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pivotTables/pivotTable37.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xml" ContentType="application/vnd.openxmlformats-officedocument.themeOverrid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2.xml" ContentType="application/vnd.openxmlformats-officedocument.themeOverride+xml"/>
  <Override PartName="/xl/drawings/drawing9.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0.xml" ContentType="application/vnd.openxmlformats-officedocument.drawingml.chartshapes+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3.xml" ContentType="application/vnd.openxmlformats-officedocument.themeOverrid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4.xml" ContentType="application/vnd.openxmlformats-officedocument.themeOverride+xml"/>
  <Override PartName="/xl/pivotTables/pivotTable38.xml" ContentType="application/vnd.openxmlformats-officedocument.spreadsheetml.pivotTable+xml"/>
  <Override PartName="/xl/drawings/drawing11.xml" ContentType="application/vnd.openxmlformats-officedocument.drawing+xml"/>
  <Override PartName="/xl/slicers/slicer3.xml" ContentType="application/vnd.ms-excel.slicer+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39.xml" ContentType="application/vnd.openxmlformats-officedocument.spreadsheetml.pivotTable+xml"/>
  <Override PartName="/xl/drawings/drawing12.xml" ContentType="application/vnd.openxmlformats-officedocument.drawing+xml"/>
  <Override PartName="/xl/slicers/slicer4.xml" ContentType="application/vnd.ms-excel.slicer+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3.xml" ContentType="application/vnd.openxmlformats-officedocument.drawing+xml"/>
  <Override PartName="/xl/tables/table8.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0\2020_Q3\"/>
    </mc:Choice>
  </mc:AlternateContent>
  <xr:revisionPtr revIDLastSave="0" documentId="13_ncr:1_{C304F647-5377-4BAB-B61E-5BE1CEF8F24E}" xr6:coauthVersionLast="44" xr6:coauthVersionMax="44" xr10:uidLastSave="{00000000-0000-0000-0000-000000000000}"/>
  <bookViews>
    <workbookView xWindow="-110" yWindow="-110" windowWidth="19420" windowHeight="10420" tabRatio="831" firstSheet="6" activeTab="13" xr2:uid="{00000000-000D-0000-FFFF-FFFF00000000}"/>
  </bookViews>
  <sheets>
    <sheet name="Guide" sheetId="81" r:id="rId1"/>
    <sheet name="Sheet2" sheetId="122" state="hidden" r:id="rId2"/>
    <sheet name="Sheet3" sheetId="123" state="hidden" r:id="rId3"/>
    <sheet name="Sheet4" sheetId="127" state="hidden" r:id="rId4"/>
    <sheet name="DATABASE" sheetId="25" r:id="rId5"/>
    <sheet name="Site_DB" sheetId="91" r:id="rId6"/>
    <sheet name="Indicator Summary  Eng" sheetId="124" r:id="rId7"/>
    <sheet name="Indicator Summary  MM" sheetId="125" r:id="rId8"/>
    <sheet name="HRP Calculations" sheetId="126" r:id="rId9"/>
    <sheet name="HRP" sheetId="89" r:id="rId10"/>
    <sheet name="Sheet1" sheetId="113" state="hidden" r:id="rId11"/>
    <sheet name="Analysis" sheetId="92" r:id="rId12"/>
    <sheet name="Quarterly Dashboard" sheetId="100" r:id="rId13"/>
    <sheet name="Kachin" sheetId="111" r:id="rId14"/>
    <sheet name="Shan(n)" sheetId="110" r:id="rId15"/>
    <sheet name="AAP-community Feedback" sheetId="121" state="hidden" r:id="rId16"/>
    <sheet name="By Camps" sheetId="102" r:id="rId17"/>
    <sheet name="Tracking Dashboard" sheetId="114" r:id="rId18"/>
    <sheet name="Lookup" sheetId="32" state="hidden" r:id="rId19"/>
  </sheets>
  <externalReferences>
    <externalReference r:id="rId20"/>
    <externalReference r:id="rId21"/>
    <externalReference r:id="rId22"/>
    <externalReference r:id="rId23"/>
    <externalReference r:id="rId24"/>
    <externalReference r:id="rId25"/>
  </externalReferences>
  <definedNames>
    <definedName name="_Fill" localSheetId="16" hidden="1">#REF!</definedName>
    <definedName name="_Fill" localSheetId="8" hidden="1">#REF!</definedName>
    <definedName name="_Fill" localSheetId="6" hidden="1">#REF!</definedName>
    <definedName name="_Fill" localSheetId="13" hidden="1">#REF!</definedName>
    <definedName name="_Fill" localSheetId="14" hidden="1">#REF!</definedName>
    <definedName name="_Fill" hidden="1">#REF!</definedName>
    <definedName name="_xlnm._FilterDatabase" localSheetId="4" hidden="1">DATABASE!#REF!</definedName>
    <definedName name="_xlnm._FilterDatabase" localSheetId="6" hidden="1">'Indicator Summary  Eng'!$B$2:$H$72</definedName>
    <definedName name="_xlnm._FilterDatabase" localSheetId="18" hidden="1">Lookup!$A$3:$AA$457</definedName>
    <definedName name="_Key1" localSheetId="15" hidden="1">[1]Data!#REF!</definedName>
    <definedName name="_Key1" localSheetId="16" hidden="1">[1]Data!#REF!</definedName>
    <definedName name="_Key1" localSheetId="8" hidden="1">[1]Data!#REF!</definedName>
    <definedName name="_Key1" localSheetId="6" hidden="1">[1]Data!#REF!</definedName>
    <definedName name="_Key1" localSheetId="13" hidden="1">[1]Data!#REF!</definedName>
    <definedName name="_Key1" localSheetId="14" hidden="1">[1]Data!#REF!</definedName>
    <definedName name="_Key1" hidden="1">[1]Data!#REF!</definedName>
    <definedName name="_Order1" hidden="1">255</definedName>
    <definedName name="_xlcn.WorksheetConnection_20200716_Myanmar_WASH_4W_2020_Q2_KachinShan_camp_Consolidate.xlsxWWWW" hidden="1">WWWW[]</definedName>
    <definedName name="a" localSheetId="15" hidden="1">#REF!</definedName>
    <definedName name="a" hidden="1">#REF!</definedName>
    <definedName name="b">[2]!SiteDB6[[#Headers],[Township]]</definedName>
    <definedName name="_xlnm.Print_Area" localSheetId="8">'HRP Calculations'!$A$1:$F$11</definedName>
    <definedName name="_xlnm.Print_Area" localSheetId="6">'Indicator Summary  Eng'!$B$1:$G$72</definedName>
    <definedName name="_xlnm.Print_Area" localSheetId="7">'Indicator Summary  MM'!$B$2:$G$72</definedName>
    <definedName name="_xlnm.Print_Area" localSheetId="13">Kachin!$B$1:$T$111</definedName>
    <definedName name="_xlnm.Print_Area" localSheetId="14">'Shan(n)'!$A$1:$T$103</definedName>
    <definedName name="_xlnm.Print_Titles" localSheetId="6">'Indicator Summary  Eng'!$1:$2</definedName>
    <definedName name="_xlnm.Print_Titles" localSheetId="7">'Indicator Summary  MM'!$1:$2</definedName>
    <definedName name="Sasha" localSheetId="15" hidden="1">{#N/A,#N/A,FALSE,"Truck Rent"}</definedName>
    <definedName name="Sasha" localSheetId="8" hidden="1">{#N/A,#N/A,FALSE,"Truck Rent"}</definedName>
    <definedName name="Sasha" localSheetId="6"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5">[3]Lookup!$AB$4:$AB$83</definedName>
    <definedName name="State_list">Lookup!$AB$4:$AB$83</definedName>
    <definedName name="Statestart_1" localSheetId="15">[3]Lookup!$AB$3</definedName>
    <definedName name="Statestart_1">Lookup!$AB$3</definedName>
    <definedName name="Township_list" localSheetId="15">[3]!SiteDB6[Township]</definedName>
    <definedName name="Township_list" localSheetId="13">SiteDB6[Township]</definedName>
    <definedName name="Township_list" localSheetId="14">SiteDB6[Township]</definedName>
    <definedName name="Township_list">SiteDB6[Township]</definedName>
    <definedName name="Township_start" localSheetId="15">[3]!SiteDB6[[#Headers],[Township]]</definedName>
    <definedName name="Township_start" localSheetId="13">SiteDB6[[#Headers],[Township]]</definedName>
    <definedName name="Township_start" localSheetId="14">SiteDB6[[#Headers],[Township]]</definedName>
    <definedName name="Township_start">SiteDB6[[#Headers],[Township]]</definedName>
    <definedName name="TSps">Lookup!$AC$3:$AC$83</definedName>
    <definedName name="wrn.MUSA._.TRUCKS." localSheetId="15" hidden="1">{#N/A,#N/A,FALSE,"Truck Rent"}</definedName>
    <definedName name="wrn.MUSA._.TRUCKS." localSheetId="8" hidden="1">{#N/A,#N/A,FALSE,"Truck Rent"}</definedName>
    <definedName name="wrn.MUSA._.TRUCKS." localSheetId="6" hidden="1">{#N/A,#N/A,FALSE,"Truck Rent"}</definedName>
    <definedName name="wrn.MUSA._.TRUCKS." hidden="1">{#N/A,#N/A,FALSE,"Truck Rent"}</definedName>
  </definedNames>
  <calcPr calcId="191029"/>
  <pivotCaches>
    <pivotCache cacheId="0" r:id="rId26"/>
    <pivotCache cacheId="1" r:id="rId27"/>
    <pivotCache cacheId="2" r:id="rId28"/>
  </pivotCaches>
  <extLs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3" i="89" l="1"/>
  <c r="H47" i="89"/>
  <c r="H32" i="89"/>
  <c r="H38" i="89"/>
  <c r="H44" i="89"/>
  <c r="J21" i="89"/>
  <c r="H26" i="89"/>
  <c r="F26" i="89"/>
  <c r="G49" i="89"/>
  <c r="G45" i="89"/>
  <c r="I53" i="89" l="1"/>
  <c r="G34" i="89"/>
  <c r="G22" i="89"/>
  <c r="G40" i="89"/>
  <c r="G28" i="89"/>
  <c r="BZ602" i="25" l="1"/>
  <c r="CA602" i="25"/>
  <c r="CC602" i="25"/>
  <c r="CD602" i="25"/>
  <c r="CE602" i="25"/>
  <c r="CF602" i="25"/>
  <c r="CG602" i="25"/>
  <c r="CH602" i="25"/>
  <c r="CM602" i="25"/>
  <c r="CN602" i="25" s="1"/>
  <c r="CU602" i="25"/>
  <c r="CV602" i="25"/>
  <c r="CX602" i="25" s="1"/>
  <c r="CW602" i="25" s="1"/>
  <c r="DE602" i="25" s="1"/>
  <c r="DA602" i="25"/>
  <c r="DF602" i="25"/>
  <c r="DG602" i="25"/>
  <c r="DH602" i="25"/>
  <c r="DI602" i="25"/>
  <c r="DP602" i="25"/>
  <c r="DQ602" i="25"/>
  <c r="DT602" i="25" s="1"/>
  <c r="DS602" i="25"/>
  <c r="DU602" i="25"/>
  <c r="DV602" i="25"/>
  <c r="DW602" i="25"/>
  <c r="DO602" i="25"/>
  <c r="EH602" i="25"/>
  <c r="BZ601" i="25"/>
  <c r="CA601" i="25"/>
  <c r="CC601" i="25"/>
  <c r="CD601" i="25"/>
  <c r="CE601" i="25"/>
  <c r="CF601" i="25"/>
  <c r="CG601" i="25"/>
  <c r="CH601" i="25"/>
  <c r="CM601" i="25"/>
  <c r="CN601" i="25" s="1"/>
  <c r="CU601" i="25"/>
  <c r="CV601" i="25"/>
  <c r="CX601" i="25" s="1"/>
  <c r="CW601" i="25" s="1"/>
  <c r="DE601" i="25" s="1"/>
  <c r="DA601" i="25"/>
  <c r="DF601" i="25"/>
  <c r="DG601" i="25"/>
  <c r="DN601" i="25" s="1"/>
  <c r="DH601" i="25"/>
  <c r="DI601" i="25"/>
  <c r="DP601" i="25"/>
  <c r="DQ601" i="25"/>
  <c r="DR601" i="25" s="1"/>
  <c r="DS601" i="25"/>
  <c r="DU601" i="25"/>
  <c r="DV601" i="25"/>
  <c r="DW601" i="25"/>
  <c r="DO601" i="25"/>
  <c r="EH601" i="25"/>
  <c r="G37" i="89"/>
  <c r="G25" i="89"/>
  <c r="G31" i="89"/>
  <c r="G52" i="89"/>
  <c r="G26" i="89" l="1"/>
  <c r="E72" i="89" s="1"/>
  <c r="CB602" i="25"/>
  <c r="CB601" i="25"/>
  <c r="DJ602" i="25"/>
  <c r="DK602" i="25" s="1"/>
  <c r="DL602" i="25" s="1"/>
  <c r="DM602" i="25" s="1"/>
  <c r="DR602" i="25"/>
  <c r="DJ601" i="25"/>
  <c r="DK601" i="25" s="1"/>
  <c r="DL601" i="25" s="1"/>
  <c r="DM601" i="25" s="1"/>
  <c r="CI602" i="25"/>
  <c r="CK602" i="25" s="1"/>
  <c r="DN602" i="25"/>
  <c r="DT601" i="25"/>
  <c r="DC602" i="25"/>
  <c r="DD602" i="25" s="1"/>
  <c r="CI601" i="25"/>
  <c r="CK601" i="25" s="1"/>
  <c r="CJ601" i="25"/>
  <c r="CZ602" i="25"/>
  <c r="DB602" i="25" s="1"/>
  <c r="DX602" i="25" s="1"/>
  <c r="CJ602" i="25"/>
  <c r="CY602" i="25"/>
  <c r="DC601" i="25"/>
  <c r="DD601" i="25" s="1"/>
  <c r="CZ601" i="25"/>
  <c r="DB601" i="25" s="1"/>
  <c r="DX601" i="25" s="1"/>
  <c r="CY601" i="25"/>
  <c r="CL602" i="25" l="1"/>
  <c r="CP602" i="25" s="1"/>
  <c r="CQ602" i="25" s="1"/>
  <c r="CT602" i="25" s="1"/>
  <c r="CO602" i="25"/>
  <c r="CR602" i="25" s="1"/>
  <c r="CS602" i="25" s="1"/>
  <c r="CL601" i="25"/>
  <c r="CP601" i="25" s="1"/>
  <c r="CQ601" i="25" s="1"/>
  <c r="CT601" i="25" s="1"/>
  <c r="CO601" i="25"/>
  <c r="CR601" i="25" s="1"/>
  <c r="CS601" i="25" s="1"/>
  <c r="J50" i="89" l="1"/>
  <c r="J51" i="89"/>
  <c r="J48" i="89"/>
  <c r="K53" i="89" l="1"/>
  <c r="G12" i="25" l="1"/>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64" i="25"/>
  <c r="G460" i="25"/>
  <c r="G461" i="25"/>
  <c r="G462" i="25"/>
  <c r="G463" i="25"/>
  <c r="G472" i="25"/>
  <c r="G465" i="25"/>
  <c r="G466" i="25"/>
  <c r="G467" i="25"/>
  <c r="G468" i="25"/>
  <c r="G558" i="25"/>
  <c r="G470" i="25"/>
  <c r="G564" i="25"/>
  <c r="G473" i="25"/>
  <c r="G459"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469" i="25"/>
  <c r="G549" i="25"/>
  <c r="G550" i="25"/>
  <c r="G551" i="25"/>
  <c r="G552" i="25"/>
  <c r="G553" i="25"/>
  <c r="G471" i="25"/>
  <c r="G555" i="25"/>
  <c r="G556" i="25"/>
  <c r="G557" i="25"/>
  <c r="G548" i="25"/>
  <c r="G559" i="25"/>
  <c r="G560" i="25"/>
  <c r="G561" i="25"/>
  <c r="G562" i="25"/>
  <c r="G563" i="25"/>
  <c r="G55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CA474" i="25"/>
  <c r="BZ404" i="25"/>
  <c r="BZ405" i="25"/>
  <c r="BZ406" i="25"/>
  <c r="BZ407" i="25"/>
  <c r="BZ408" i="25"/>
  <c r="BZ409" i="25"/>
  <c r="BZ410" i="25"/>
  <c r="BZ411" i="25"/>
  <c r="BZ412" i="25"/>
  <c r="BZ413" i="25"/>
  <c r="BZ414" i="25"/>
  <c r="BZ415" i="25"/>
  <c r="BZ416" i="25"/>
  <c r="BZ417" i="25"/>
  <c r="BZ418" i="25"/>
  <c r="BZ419" i="25"/>
  <c r="BZ420" i="25"/>
  <c r="BZ421" i="25"/>
  <c r="BZ422" i="25"/>
  <c r="BZ423" i="25"/>
  <c r="BZ424" i="25"/>
  <c r="BZ425" i="25"/>
  <c r="BZ426" i="25"/>
  <c r="BZ427" i="25"/>
  <c r="BZ428" i="25"/>
  <c r="BZ429" i="25"/>
  <c r="BZ430" i="25"/>
  <c r="BZ431" i="25"/>
  <c r="BZ432" i="25"/>
  <c r="BZ433" i="25"/>
  <c r="BZ434" i="25"/>
  <c r="BZ435" i="25"/>
  <c r="BZ436" i="25"/>
  <c r="BZ437" i="25"/>
  <c r="BZ438" i="25"/>
  <c r="BZ439" i="25"/>
  <c r="BZ440" i="25"/>
  <c r="BZ441" i="25"/>
  <c r="BZ442" i="25"/>
  <c r="BZ443" i="25"/>
  <c r="BZ444" i="25"/>
  <c r="BZ445" i="25"/>
  <c r="BZ446" i="25"/>
  <c r="BZ447" i="25"/>
  <c r="BZ448" i="25"/>
  <c r="BZ449" i="25"/>
  <c r="BZ450" i="25"/>
  <c r="BZ451" i="25"/>
  <c r="BZ452" i="25"/>
  <c r="BZ453" i="25"/>
  <c r="BZ454" i="25"/>
  <c r="BZ455" i="25"/>
  <c r="BZ456" i="25"/>
  <c r="BZ457" i="25"/>
  <c r="BZ458" i="25"/>
  <c r="BZ464" i="25"/>
  <c r="BZ460" i="25"/>
  <c r="BZ461" i="25"/>
  <c r="BZ462" i="25"/>
  <c r="BZ463" i="25"/>
  <c r="BZ472" i="25"/>
  <c r="BZ465" i="25"/>
  <c r="BZ466" i="25"/>
  <c r="BZ467" i="25"/>
  <c r="BZ468" i="25"/>
  <c r="BZ558" i="25"/>
  <c r="BZ470" i="25"/>
  <c r="BZ564" i="25"/>
  <c r="BZ473" i="25"/>
  <c r="BZ459" i="25"/>
  <c r="BZ474" i="25"/>
  <c r="BZ475" i="25"/>
  <c r="BZ476" i="25"/>
  <c r="BZ477" i="25"/>
  <c r="BZ478" i="25"/>
  <c r="BZ479" i="25"/>
  <c r="BZ480" i="25"/>
  <c r="BZ481" i="25"/>
  <c r="BZ482" i="25"/>
  <c r="BZ483" i="25"/>
  <c r="BZ484" i="25"/>
  <c r="BZ485" i="25"/>
  <c r="BZ486" i="25"/>
  <c r="BZ487" i="25"/>
  <c r="BZ488" i="25"/>
  <c r="BZ489" i="25"/>
  <c r="BZ490" i="25"/>
  <c r="BZ491" i="25"/>
  <c r="BZ492" i="25"/>
  <c r="BZ493" i="25"/>
  <c r="BZ494" i="25"/>
  <c r="BZ495" i="25"/>
  <c r="BZ496" i="25"/>
  <c r="BZ497" i="25"/>
  <c r="BZ498" i="25"/>
  <c r="BZ499" i="25"/>
  <c r="BZ500" i="25"/>
  <c r="BZ501" i="25"/>
  <c r="BZ502" i="25"/>
  <c r="BZ503" i="25"/>
  <c r="BZ504" i="25"/>
  <c r="BZ505" i="25"/>
  <c r="BZ506" i="25"/>
  <c r="BZ507" i="25"/>
  <c r="BZ508" i="25"/>
  <c r="BZ509" i="25"/>
  <c r="BZ510" i="25"/>
  <c r="BZ511" i="25"/>
  <c r="BZ512" i="25"/>
  <c r="BZ513" i="25"/>
  <c r="BZ514" i="25"/>
  <c r="BZ515" i="25"/>
  <c r="BZ516" i="25"/>
  <c r="BZ517" i="25"/>
  <c r="BZ518" i="25"/>
  <c r="BZ519" i="25"/>
  <c r="BZ520" i="25"/>
  <c r="BZ521" i="25"/>
  <c r="BZ522" i="25"/>
  <c r="BZ523" i="25"/>
  <c r="BZ524" i="25"/>
  <c r="BZ525" i="25"/>
  <c r="BZ526" i="25"/>
  <c r="BZ527" i="25"/>
  <c r="BZ528" i="25"/>
  <c r="BZ529" i="25"/>
  <c r="BZ530" i="25"/>
  <c r="BZ531" i="25"/>
  <c r="BZ532" i="25"/>
  <c r="BZ533" i="25"/>
  <c r="BZ534" i="25"/>
  <c r="BZ535" i="25"/>
  <c r="BZ536" i="25"/>
  <c r="BZ537" i="25"/>
  <c r="BZ538" i="25"/>
  <c r="BZ539" i="25"/>
  <c r="BZ540" i="25"/>
  <c r="BZ541" i="25"/>
  <c r="BZ542" i="25"/>
  <c r="BZ543" i="25"/>
  <c r="BZ544" i="25"/>
  <c r="BZ545" i="25"/>
  <c r="BZ546" i="25"/>
  <c r="BZ547" i="25"/>
  <c r="BZ469" i="25"/>
  <c r="BZ549" i="25"/>
  <c r="BZ550" i="25"/>
  <c r="BZ551" i="25"/>
  <c r="BZ552" i="25"/>
  <c r="BZ553" i="25"/>
  <c r="BZ471" i="25"/>
  <c r="BZ555" i="25"/>
  <c r="BZ556" i="25"/>
  <c r="BZ557" i="25"/>
  <c r="BZ548" i="25"/>
  <c r="BZ559" i="25"/>
  <c r="BZ560" i="25"/>
  <c r="BZ561" i="25"/>
  <c r="BZ562" i="25"/>
  <c r="BZ563" i="25"/>
  <c r="BZ554" i="25"/>
  <c r="BZ565" i="25"/>
  <c r="BZ566" i="25"/>
  <c r="BZ567" i="25"/>
  <c r="BZ568" i="25"/>
  <c r="BZ569" i="25"/>
  <c r="BZ570" i="25"/>
  <c r="BZ571" i="25"/>
  <c r="BZ572" i="25"/>
  <c r="BZ573" i="25"/>
  <c r="BZ574" i="25"/>
  <c r="BZ575" i="25"/>
  <c r="BZ576" i="25"/>
  <c r="BZ577" i="25"/>
  <c r="BZ578" i="25"/>
  <c r="BZ579" i="25"/>
  <c r="BZ580" i="25"/>
  <c r="BZ581" i="25"/>
  <c r="BZ582" i="25"/>
  <c r="BZ583" i="25"/>
  <c r="BZ584" i="25"/>
  <c r="BZ585" i="25"/>
  <c r="BZ586" i="25"/>
  <c r="BZ587" i="25"/>
  <c r="BZ588" i="25"/>
  <c r="BZ589" i="25"/>
  <c r="BZ590" i="25"/>
  <c r="BZ591" i="25"/>
  <c r="BZ592" i="25"/>
  <c r="BZ593" i="25"/>
  <c r="BZ594" i="25"/>
  <c r="BZ595" i="25"/>
  <c r="BZ596" i="25"/>
  <c r="BZ597" i="25"/>
  <c r="BZ598" i="25"/>
  <c r="BZ599" i="25"/>
  <c r="BZ600" i="25"/>
  <c r="CA404" i="25"/>
  <c r="CA405" i="25"/>
  <c r="CA406" i="25"/>
  <c r="CA407" i="25"/>
  <c r="CA408" i="25"/>
  <c r="CA409" i="25"/>
  <c r="CA410" i="25"/>
  <c r="CA411" i="25"/>
  <c r="CA412" i="25"/>
  <c r="CA413" i="25"/>
  <c r="CA414" i="25"/>
  <c r="CA415" i="25"/>
  <c r="CA416" i="25"/>
  <c r="CA417" i="25"/>
  <c r="CA418" i="25"/>
  <c r="CA419" i="25"/>
  <c r="CA420" i="25"/>
  <c r="CA421" i="25"/>
  <c r="CA422" i="25"/>
  <c r="CA423" i="25"/>
  <c r="CA425" i="25"/>
  <c r="CA426" i="25"/>
  <c r="CA427" i="25"/>
  <c r="CA428" i="25"/>
  <c r="CA429" i="25"/>
  <c r="CA430" i="25"/>
  <c r="CA431" i="25"/>
  <c r="CA432" i="25"/>
  <c r="CA433" i="25"/>
  <c r="CA434" i="25"/>
  <c r="CA435" i="25"/>
  <c r="CA436" i="25"/>
  <c r="CA437" i="25"/>
  <c r="CA438" i="25"/>
  <c r="CA439" i="25"/>
  <c r="CA440" i="25"/>
  <c r="CA441" i="25"/>
  <c r="CA442" i="25"/>
  <c r="CA443" i="25"/>
  <c r="CA444" i="25"/>
  <c r="CA445" i="25"/>
  <c r="CA446" i="25"/>
  <c r="CA447" i="25"/>
  <c r="CA448" i="25"/>
  <c r="CA449" i="25"/>
  <c r="CA450" i="25"/>
  <c r="CA451" i="25"/>
  <c r="CA452" i="25"/>
  <c r="CA453" i="25"/>
  <c r="CA454" i="25"/>
  <c r="CA455" i="25"/>
  <c r="CA456" i="25"/>
  <c r="CA457" i="25"/>
  <c r="CA458" i="25"/>
  <c r="CA464" i="25"/>
  <c r="CA460" i="25"/>
  <c r="CA461" i="25"/>
  <c r="CA462" i="25"/>
  <c r="CA463" i="25"/>
  <c r="CA472" i="25"/>
  <c r="CA465" i="25"/>
  <c r="CA466" i="25"/>
  <c r="CA467" i="25"/>
  <c r="CA468" i="25"/>
  <c r="CA558" i="25"/>
  <c r="CA470" i="25"/>
  <c r="CA564" i="25"/>
  <c r="CA473" i="25"/>
  <c r="CA459" i="25"/>
  <c r="CA475" i="25"/>
  <c r="CA476" i="25"/>
  <c r="CA477" i="25"/>
  <c r="CA478" i="25"/>
  <c r="CA479" i="25"/>
  <c r="CA480" i="25"/>
  <c r="CA481" i="25"/>
  <c r="CA482" i="25"/>
  <c r="CA483" i="25"/>
  <c r="CA484" i="25"/>
  <c r="CA485" i="25"/>
  <c r="CA486" i="25"/>
  <c r="CA487" i="25"/>
  <c r="CA488" i="25"/>
  <c r="CA489" i="25"/>
  <c r="CA490" i="25"/>
  <c r="CA491" i="25"/>
  <c r="CA492" i="25"/>
  <c r="CA493" i="25"/>
  <c r="CA494" i="25"/>
  <c r="CA495" i="25"/>
  <c r="CA496" i="25"/>
  <c r="CA497" i="25"/>
  <c r="CA498" i="25"/>
  <c r="CA499" i="25"/>
  <c r="CA500" i="25"/>
  <c r="CA501" i="25"/>
  <c r="CA502" i="25"/>
  <c r="CA503" i="25"/>
  <c r="CA504" i="25"/>
  <c r="CA505" i="25"/>
  <c r="CA506" i="25"/>
  <c r="CA507" i="25"/>
  <c r="CA508" i="25"/>
  <c r="CA509" i="25"/>
  <c r="CA510" i="25"/>
  <c r="CA511" i="25"/>
  <c r="CA512" i="25"/>
  <c r="CA513" i="25"/>
  <c r="CA514" i="25"/>
  <c r="CA515" i="25"/>
  <c r="CA516" i="25"/>
  <c r="CA517" i="25"/>
  <c r="CA518" i="25"/>
  <c r="CA519" i="25"/>
  <c r="CA520" i="25"/>
  <c r="CA521" i="25"/>
  <c r="CA522" i="25"/>
  <c r="CA523" i="25"/>
  <c r="CA524" i="25"/>
  <c r="CA525" i="25"/>
  <c r="CA526" i="25"/>
  <c r="CA527" i="25"/>
  <c r="CA528" i="25"/>
  <c r="CA529" i="25"/>
  <c r="CA530" i="25"/>
  <c r="CA531" i="25"/>
  <c r="CA532" i="25"/>
  <c r="CA533" i="25"/>
  <c r="CA534" i="25"/>
  <c r="CA535" i="25"/>
  <c r="CA536" i="25"/>
  <c r="CA537" i="25"/>
  <c r="CA538" i="25"/>
  <c r="CA539" i="25"/>
  <c r="CA540" i="25"/>
  <c r="CA541" i="25"/>
  <c r="CA542" i="25"/>
  <c r="CA543" i="25"/>
  <c r="CA544" i="25"/>
  <c r="CA545" i="25"/>
  <c r="CA546" i="25"/>
  <c r="CA547" i="25"/>
  <c r="CA469" i="25"/>
  <c r="CA549" i="25"/>
  <c r="CA550" i="25"/>
  <c r="CA551" i="25"/>
  <c r="CA552" i="25"/>
  <c r="CA553" i="25"/>
  <c r="CA471" i="25"/>
  <c r="CA555" i="25"/>
  <c r="CA556" i="25"/>
  <c r="CA557" i="25"/>
  <c r="CA548" i="25"/>
  <c r="CA559" i="25"/>
  <c r="CA560" i="25"/>
  <c r="CA561" i="25"/>
  <c r="CA562" i="25"/>
  <c r="CA563" i="25"/>
  <c r="CA554" i="25"/>
  <c r="CA565" i="25"/>
  <c r="CA566" i="25"/>
  <c r="CA567" i="25"/>
  <c r="CA568" i="25"/>
  <c r="CA569" i="25"/>
  <c r="CA570" i="25"/>
  <c r="CA571" i="25"/>
  <c r="CA572" i="25"/>
  <c r="CA573" i="25"/>
  <c r="CA574" i="25"/>
  <c r="CA575" i="25"/>
  <c r="CA576" i="25"/>
  <c r="CA577" i="25"/>
  <c r="CA578" i="25"/>
  <c r="CA579" i="25"/>
  <c r="CA580" i="25"/>
  <c r="CA581" i="25"/>
  <c r="CA582" i="25"/>
  <c r="CA583" i="25"/>
  <c r="CA584" i="25"/>
  <c r="CA585" i="25"/>
  <c r="CA586" i="25"/>
  <c r="CA587" i="25"/>
  <c r="CA588" i="25"/>
  <c r="CA589" i="25"/>
  <c r="CA590" i="25"/>
  <c r="CA591" i="25"/>
  <c r="CA592" i="25"/>
  <c r="CA593" i="25"/>
  <c r="CA594" i="25"/>
  <c r="CA595" i="25"/>
  <c r="CA596" i="25"/>
  <c r="CA597" i="25"/>
  <c r="CA598" i="25"/>
  <c r="CA599" i="25"/>
  <c r="CA600" i="25"/>
  <c r="CC404" i="25"/>
  <c r="CC405" i="25"/>
  <c r="CC406" i="25"/>
  <c r="CC407" i="25"/>
  <c r="CC408" i="25"/>
  <c r="CC409" i="25"/>
  <c r="CC410" i="25"/>
  <c r="CC411" i="25"/>
  <c r="CC412" i="25"/>
  <c r="CC413" i="25"/>
  <c r="CC414" i="25"/>
  <c r="CC415" i="25"/>
  <c r="CC416" i="25"/>
  <c r="CC417" i="25"/>
  <c r="CC418" i="25"/>
  <c r="CC419" i="25"/>
  <c r="CC420" i="25"/>
  <c r="CC421" i="25"/>
  <c r="CC422" i="25"/>
  <c r="CC423" i="25"/>
  <c r="CC424" i="25"/>
  <c r="CC425" i="25"/>
  <c r="CC426" i="25"/>
  <c r="CC427" i="25"/>
  <c r="CC428" i="25"/>
  <c r="CC429" i="25"/>
  <c r="CC430" i="25"/>
  <c r="CC431" i="25"/>
  <c r="CC432" i="25"/>
  <c r="CC433" i="25"/>
  <c r="CC434" i="25"/>
  <c r="CC435" i="25"/>
  <c r="CC436" i="25"/>
  <c r="CC437" i="25"/>
  <c r="CC438" i="25"/>
  <c r="CC439" i="25"/>
  <c r="CC440" i="25"/>
  <c r="CC441" i="25"/>
  <c r="CC442" i="25"/>
  <c r="CC443" i="25"/>
  <c r="CC444" i="25"/>
  <c r="CC445" i="25"/>
  <c r="CC446" i="25"/>
  <c r="CC447" i="25"/>
  <c r="CC448" i="25"/>
  <c r="CC449" i="25"/>
  <c r="CC450" i="25"/>
  <c r="CC451" i="25"/>
  <c r="CC452" i="25"/>
  <c r="CC453" i="25"/>
  <c r="CC454" i="25"/>
  <c r="CC455" i="25"/>
  <c r="CC456" i="25"/>
  <c r="CC457" i="25"/>
  <c r="CC458" i="25"/>
  <c r="CC464" i="25"/>
  <c r="CC460" i="25"/>
  <c r="CC461" i="25"/>
  <c r="CC462" i="25"/>
  <c r="CC463" i="25"/>
  <c r="CC472" i="25"/>
  <c r="CC465" i="25"/>
  <c r="CC466" i="25"/>
  <c r="CC467" i="25"/>
  <c r="CC468" i="25"/>
  <c r="CC558" i="25"/>
  <c r="CC470" i="25"/>
  <c r="CC564" i="25"/>
  <c r="CC473" i="25"/>
  <c r="CC459" i="25"/>
  <c r="CC474" i="25"/>
  <c r="CC475" i="25"/>
  <c r="CC476" i="25"/>
  <c r="CC477" i="25"/>
  <c r="CC478" i="25"/>
  <c r="CC479" i="25"/>
  <c r="CC480" i="25"/>
  <c r="CC481" i="25"/>
  <c r="CC482" i="25"/>
  <c r="CC483" i="25"/>
  <c r="CC484" i="25"/>
  <c r="CC485" i="25"/>
  <c r="CC486" i="25"/>
  <c r="CC487" i="25"/>
  <c r="CC488" i="25"/>
  <c r="CC489" i="25"/>
  <c r="CC490" i="25"/>
  <c r="CC491" i="25"/>
  <c r="CC492" i="25"/>
  <c r="CC493" i="25"/>
  <c r="CC494" i="25"/>
  <c r="CC495" i="25"/>
  <c r="CC496" i="25"/>
  <c r="CC497" i="25"/>
  <c r="CC498" i="25"/>
  <c r="CC499" i="25"/>
  <c r="CC500" i="25"/>
  <c r="CC501" i="25"/>
  <c r="CC502" i="25"/>
  <c r="CC503" i="25"/>
  <c r="CC504" i="25"/>
  <c r="CC505" i="25"/>
  <c r="CC506" i="25"/>
  <c r="CC507" i="25"/>
  <c r="CC508" i="25"/>
  <c r="CC509" i="25"/>
  <c r="CC510" i="25"/>
  <c r="CC511" i="25"/>
  <c r="CC512" i="25"/>
  <c r="CC513" i="25"/>
  <c r="CC514" i="25"/>
  <c r="CC515" i="25"/>
  <c r="CC516" i="25"/>
  <c r="CC517" i="25"/>
  <c r="CC518" i="25"/>
  <c r="CC519" i="25"/>
  <c r="CC520" i="25"/>
  <c r="CC521" i="25"/>
  <c r="CC522" i="25"/>
  <c r="CC523" i="25"/>
  <c r="CC524" i="25"/>
  <c r="CC525" i="25"/>
  <c r="CC526" i="25"/>
  <c r="CC527" i="25"/>
  <c r="CC528" i="25"/>
  <c r="CC529" i="25"/>
  <c r="CC530" i="25"/>
  <c r="CC531" i="25"/>
  <c r="CC532" i="25"/>
  <c r="CC533" i="25"/>
  <c r="CC534" i="25"/>
  <c r="CC535" i="25"/>
  <c r="CC536" i="25"/>
  <c r="CC537" i="25"/>
  <c r="CC538" i="25"/>
  <c r="CC539" i="25"/>
  <c r="CC540" i="25"/>
  <c r="CC541" i="25"/>
  <c r="CC542" i="25"/>
  <c r="CC543" i="25"/>
  <c r="CC544" i="25"/>
  <c r="CC545" i="25"/>
  <c r="CC546" i="25"/>
  <c r="CC547" i="25"/>
  <c r="CC469" i="25"/>
  <c r="CC549" i="25"/>
  <c r="CC550" i="25"/>
  <c r="CC551" i="25"/>
  <c r="CC552" i="25"/>
  <c r="CC553" i="25"/>
  <c r="CC471" i="25"/>
  <c r="CC555" i="25"/>
  <c r="CC556" i="25"/>
  <c r="CC557" i="25"/>
  <c r="CC548" i="25"/>
  <c r="CC559" i="25"/>
  <c r="CC560" i="25"/>
  <c r="CC561" i="25"/>
  <c r="CC562" i="25"/>
  <c r="CC563" i="25"/>
  <c r="CC554" i="25"/>
  <c r="CC565" i="25"/>
  <c r="CC566" i="25"/>
  <c r="CC567" i="25"/>
  <c r="CC568" i="25"/>
  <c r="CC569" i="25"/>
  <c r="CC570" i="25"/>
  <c r="CC571" i="25"/>
  <c r="CC572" i="25"/>
  <c r="CC573" i="25"/>
  <c r="CC574" i="25"/>
  <c r="CC575" i="25"/>
  <c r="CC576" i="25"/>
  <c r="CC577" i="25"/>
  <c r="CC578" i="25"/>
  <c r="CC579" i="25"/>
  <c r="CC580" i="25"/>
  <c r="CC581" i="25"/>
  <c r="CC582" i="25"/>
  <c r="CC583" i="25"/>
  <c r="CC584" i="25"/>
  <c r="CC585" i="25"/>
  <c r="CC586" i="25"/>
  <c r="CC587" i="25"/>
  <c r="CC588" i="25"/>
  <c r="CC589" i="25"/>
  <c r="CC590" i="25"/>
  <c r="CC591" i="25"/>
  <c r="CC592" i="25"/>
  <c r="CC593" i="25"/>
  <c r="CC594" i="25"/>
  <c r="CC595" i="25"/>
  <c r="CC596" i="25"/>
  <c r="CC597" i="25"/>
  <c r="CC598" i="25"/>
  <c r="CC599" i="25"/>
  <c r="CC600" i="25"/>
  <c r="CD404" i="25"/>
  <c r="CD405" i="25"/>
  <c r="CD406" i="25"/>
  <c r="CD407" i="25"/>
  <c r="CD408" i="25"/>
  <c r="CD409" i="25"/>
  <c r="CD410" i="25"/>
  <c r="CD411" i="25"/>
  <c r="CD412" i="25"/>
  <c r="CD413" i="25"/>
  <c r="CD414" i="25"/>
  <c r="CD415" i="25"/>
  <c r="CD416" i="25"/>
  <c r="CD417" i="25"/>
  <c r="CD418" i="25"/>
  <c r="CD419" i="25"/>
  <c r="CD420" i="25"/>
  <c r="CD421" i="25"/>
  <c r="CD422" i="25"/>
  <c r="CD423" i="25"/>
  <c r="CD424" i="25"/>
  <c r="CD425" i="25"/>
  <c r="CD426" i="25"/>
  <c r="CD427" i="25"/>
  <c r="CD428" i="25"/>
  <c r="CD429" i="25"/>
  <c r="CD430" i="25"/>
  <c r="CD431" i="25"/>
  <c r="CD432" i="25"/>
  <c r="CD433" i="25"/>
  <c r="CD434" i="25"/>
  <c r="CD435" i="25"/>
  <c r="CD436" i="25"/>
  <c r="CD437" i="25"/>
  <c r="CD438" i="25"/>
  <c r="CD439" i="25"/>
  <c r="CD440" i="25"/>
  <c r="CD441" i="25"/>
  <c r="CD442" i="25"/>
  <c r="CD443" i="25"/>
  <c r="CD444" i="25"/>
  <c r="CD445" i="25"/>
  <c r="CD446" i="25"/>
  <c r="CD447" i="25"/>
  <c r="CD448" i="25"/>
  <c r="CD449" i="25"/>
  <c r="CD450" i="25"/>
  <c r="CD451" i="25"/>
  <c r="CD452" i="25"/>
  <c r="CD453" i="25"/>
  <c r="CD454" i="25"/>
  <c r="CD455" i="25"/>
  <c r="CD456" i="25"/>
  <c r="CD457" i="25"/>
  <c r="CD458" i="25"/>
  <c r="CD464" i="25"/>
  <c r="CD460" i="25"/>
  <c r="CD461" i="25"/>
  <c r="CD462" i="25"/>
  <c r="CD463" i="25"/>
  <c r="CD472" i="25"/>
  <c r="CD465" i="25"/>
  <c r="CD466" i="25"/>
  <c r="CD467" i="25"/>
  <c r="CD468" i="25"/>
  <c r="CD558" i="25"/>
  <c r="CD470" i="25"/>
  <c r="CD564" i="25"/>
  <c r="CD473" i="25"/>
  <c r="CD459" i="25"/>
  <c r="CD474" i="25"/>
  <c r="CD475" i="25"/>
  <c r="CD476" i="25"/>
  <c r="CD477" i="25"/>
  <c r="CD478" i="25"/>
  <c r="CD479" i="25"/>
  <c r="CD480" i="25"/>
  <c r="CD481" i="25"/>
  <c r="CD482" i="25"/>
  <c r="CD483" i="25"/>
  <c r="CD484" i="25"/>
  <c r="CD485" i="25"/>
  <c r="CD486" i="25"/>
  <c r="CD487" i="25"/>
  <c r="CD488" i="25"/>
  <c r="CD489" i="25"/>
  <c r="CD490" i="25"/>
  <c r="CD491" i="25"/>
  <c r="CD492" i="25"/>
  <c r="CD493" i="25"/>
  <c r="CD494" i="25"/>
  <c r="CD495" i="25"/>
  <c r="CD496" i="25"/>
  <c r="CD497" i="25"/>
  <c r="CD498" i="25"/>
  <c r="CD499" i="25"/>
  <c r="CD500" i="25"/>
  <c r="CD501" i="25"/>
  <c r="CD502" i="25"/>
  <c r="CD503" i="25"/>
  <c r="CD504" i="25"/>
  <c r="CD505" i="25"/>
  <c r="CD506" i="25"/>
  <c r="CD507" i="25"/>
  <c r="CD508" i="25"/>
  <c r="CD509" i="25"/>
  <c r="CD510" i="25"/>
  <c r="CD511" i="25"/>
  <c r="CD512" i="25"/>
  <c r="CD513" i="25"/>
  <c r="CD514" i="25"/>
  <c r="CD515" i="25"/>
  <c r="CD516" i="25"/>
  <c r="CD517" i="25"/>
  <c r="CD518" i="25"/>
  <c r="CD519" i="25"/>
  <c r="CD520" i="25"/>
  <c r="CD521" i="25"/>
  <c r="CD522" i="25"/>
  <c r="CD523" i="25"/>
  <c r="CD524" i="25"/>
  <c r="CD525" i="25"/>
  <c r="CD526" i="25"/>
  <c r="CD527" i="25"/>
  <c r="CD528" i="25"/>
  <c r="CD529" i="25"/>
  <c r="CD530" i="25"/>
  <c r="CD531" i="25"/>
  <c r="CD532" i="25"/>
  <c r="CD533" i="25"/>
  <c r="CD534" i="25"/>
  <c r="CD535" i="25"/>
  <c r="CD536" i="25"/>
  <c r="CD537" i="25"/>
  <c r="CD538" i="25"/>
  <c r="CD539" i="25"/>
  <c r="CD540" i="25"/>
  <c r="CD541" i="25"/>
  <c r="CD542" i="25"/>
  <c r="CD543" i="25"/>
  <c r="CD544" i="25"/>
  <c r="CD545" i="25"/>
  <c r="CD546" i="25"/>
  <c r="CD547" i="25"/>
  <c r="CD469" i="25"/>
  <c r="CD549" i="25"/>
  <c r="CD550" i="25"/>
  <c r="CD551" i="25"/>
  <c r="CD552" i="25"/>
  <c r="CD553" i="25"/>
  <c r="CD471" i="25"/>
  <c r="CD555" i="25"/>
  <c r="CD556" i="25"/>
  <c r="CD557" i="25"/>
  <c r="CD548" i="25"/>
  <c r="CD559" i="25"/>
  <c r="CD560" i="25"/>
  <c r="CD561" i="25"/>
  <c r="CD562" i="25"/>
  <c r="CD563" i="25"/>
  <c r="CD554" i="25"/>
  <c r="CD565" i="25"/>
  <c r="CD566" i="25"/>
  <c r="CD567" i="25"/>
  <c r="CD568" i="25"/>
  <c r="CD569" i="25"/>
  <c r="CD570" i="25"/>
  <c r="CD571" i="25"/>
  <c r="CD572" i="25"/>
  <c r="CD573" i="25"/>
  <c r="CD574" i="25"/>
  <c r="CD575" i="25"/>
  <c r="CD576" i="25"/>
  <c r="CD577" i="25"/>
  <c r="CD578" i="25"/>
  <c r="CD579" i="25"/>
  <c r="CD580" i="25"/>
  <c r="CD581" i="25"/>
  <c r="CD582" i="25"/>
  <c r="CD583" i="25"/>
  <c r="CD584" i="25"/>
  <c r="CD585" i="25"/>
  <c r="CD586" i="25"/>
  <c r="CD587" i="25"/>
  <c r="CD588" i="25"/>
  <c r="CD589" i="25"/>
  <c r="CD590" i="25"/>
  <c r="CD591" i="25"/>
  <c r="CD592" i="25"/>
  <c r="CD593" i="25"/>
  <c r="CD594" i="25"/>
  <c r="CD595" i="25"/>
  <c r="CD596" i="25"/>
  <c r="CD597" i="25"/>
  <c r="CD598" i="25"/>
  <c r="CD599" i="25"/>
  <c r="CD600" i="25"/>
  <c r="CE404" i="25"/>
  <c r="CE405" i="25"/>
  <c r="CE406" i="25"/>
  <c r="CE407" i="25"/>
  <c r="CE408" i="25"/>
  <c r="CE409" i="25"/>
  <c r="CE410" i="25"/>
  <c r="CE411" i="25"/>
  <c r="CE412" i="25"/>
  <c r="CE413" i="25"/>
  <c r="CE414" i="25"/>
  <c r="CE415" i="25"/>
  <c r="CE416" i="25"/>
  <c r="CE417" i="25"/>
  <c r="CE418" i="25"/>
  <c r="CE419" i="25"/>
  <c r="CE420" i="25"/>
  <c r="CE421" i="25"/>
  <c r="CE422" i="25"/>
  <c r="CE423" i="25"/>
  <c r="CE424" i="25"/>
  <c r="CE425" i="25"/>
  <c r="CE426" i="25"/>
  <c r="CE427" i="25"/>
  <c r="CE428" i="25"/>
  <c r="CE429" i="25"/>
  <c r="CE430" i="25"/>
  <c r="CE431" i="25"/>
  <c r="CE432" i="25"/>
  <c r="CE433" i="25"/>
  <c r="CE434" i="25"/>
  <c r="CE435" i="25"/>
  <c r="CE436" i="25"/>
  <c r="CE437" i="25"/>
  <c r="CE438" i="25"/>
  <c r="CE439" i="25"/>
  <c r="CE440" i="25"/>
  <c r="CE441" i="25"/>
  <c r="CE442" i="25"/>
  <c r="CE443" i="25"/>
  <c r="CE444" i="25"/>
  <c r="CE445" i="25"/>
  <c r="CE446" i="25"/>
  <c r="CE447" i="25"/>
  <c r="CE448" i="25"/>
  <c r="CE449" i="25"/>
  <c r="CE450" i="25"/>
  <c r="CE451" i="25"/>
  <c r="CE452" i="25"/>
  <c r="CE453" i="25"/>
  <c r="CE454" i="25"/>
  <c r="CE455" i="25"/>
  <c r="CE456" i="25"/>
  <c r="CE457" i="25"/>
  <c r="CE458" i="25"/>
  <c r="CE464" i="25"/>
  <c r="CE460" i="25"/>
  <c r="CE461" i="25"/>
  <c r="CE462" i="25"/>
  <c r="CE463" i="25"/>
  <c r="CE472" i="25"/>
  <c r="CE465" i="25"/>
  <c r="CE466" i="25"/>
  <c r="CE467" i="25"/>
  <c r="CE468" i="25"/>
  <c r="CE558" i="25"/>
  <c r="CE470" i="25"/>
  <c r="CE564" i="25"/>
  <c r="CE473" i="25"/>
  <c r="CE459" i="25"/>
  <c r="CE474" i="25"/>
  <c r="CE475" i="25"/>
  <c r="CE476" i="25"/>
  <c r="CE477" i="25"/>
  <c r="CE478" i="25"/>
  <c r="CE479" i="25"/>
  <c r="CE480" i="25"/>
  <c r="CE481" i="25"/>
  <c r="CE482" i="25"/>
  <c r="CE483" i="25"/>
  <c r="CE484" i="25"/>
  <c r="CE485" i="25"/>
  <c r="CE486" i="25"/>
  <c r="CE487" i="25"/>
  <c r="CE488" i="25"/>
  <c r="CE489" i="25"/>
  <c r="CE490" i="25"/>
  <c r="CE491" i="25"/>
  <c r="CE492" i="25"/>
  <c r="CE493" i="25"/>
  <c r="CE494" i="25"/>
  <c r="CE495" i="25"/>
  <c r="CE496" i="25"/>
  <c r="CE497" i="25"/>
  <c r="CE498" i="25"/>
  <c r="CE499" i="25"/>
  <c r="CE500" i="25"/>
  <c r="CE501" i="25"/>
  <c r="CE502" i="25"/>
  <c r="CE503" i="25"/>
  <c r="CE504" i="25"/>
  <c r="CE505" i="25"/>
  <c r="CE506" i="25"/>
  <c r="CE507" i="25"/>
  <c r="CE508" i="25"/>
  <c r="CE509" i="25"/>
  <c r="CE510" i="25"/>
  <c r="CE511" i="25"/>
  <c r="CE512" i="25"/>
  <c r="CE513" i="25"/>
  <c r="CE514" i="25"/>
  <c r="CE515" i="25"/>
  <c r="CE516" i="25"/>
  <c r="CE517" i="25"/>
  <c r="CE518" i="25"/>
  <c r="CE519" i="25"/>
  <c r="CE520" i="25"/>
  <c r="CE521" i="25"/>
  <c r="CE522" i="25"/>
  <c r="CE523" i="25"/>
  <c r="CE524" i="25"/>
  <c r="CE525" i="25"/>
  <c r="CE526" i="25"/>
  <c r="CE527" i="25"/>
  <c r="CE528" i="25"/>
  <c r="CE529" i="25"/>
  <c r="CE530" i="25"/>
  <c r="CE531" i="25"/>
  <c r="CE532" i="25"/>
  <c r="CE533" i="25"/>
  <c r="CE534" i="25"/>
  <c r="CE535" i="25"/>
  <c r="CE536" i="25"/>
  <c r="CE537" i="25"/>
  <c r="CE538" i="25"/>
  <c r="CE539" i="25"/>
  <c r="CE540" i="25"/>
  <c r="CE541" i="25"/>
  <c r="CE542" i="25"/>
  <c r="CE543" i="25"/>
  <c r="CE544" i="25"/>
  <c r="CE545" i="25"/>
  <c r="CE546" i="25"/>
  <c r="CE547" i="25"/>
  <c r="CE469" i="25"/>
  <c r="CE549" i="25"/>
  <c r="CE550" i="25"/>
  <c r="CE551" i="25"/>
  <c r="CE552" i="25"/>
  <c r="CE553" i="25"/>
  <c r="CE471" i="25"/>
  <c r="CE555" i="25"/>
  <c r="CE556" i="25"/>
  <c r="CE557" i="25"/>
  <c r="CE548" i="25"/>
  <c r="CE559" i="25"/>
  <c r="CE560" i="25"/>
  <c r="CE561" i="25"/>
  <c r="CE562" i="25"/>
  <c r="CE563" i="25"/>
  <c r="CE554" i="25"/>
  <c r="CE565" i="25"/>
  <c r="CE566" i="25"/>
  <c r="CE567" i="25"/>
  <c r="CE568" i="25"/>
  <c r="CE569" i="25"/>
  <c r="CE570" i="25"/>
  <c r="CE571" i="25"/>
  <c r="CE572" i="25"/>
  <c r="CE573" i="25"/>
  <c r="CE574" i="25"/>
  <c r="CE575" i="25"/>
  <c r="CE576" i="25"/>
  <c r="CE577" i="25"/>
  <c r="CE578" i="25"/>
  <c r="CE579" i="25"/>
  <c r="CE580" i="25"/>
  <c r="CE581" i="25"/>
  <c r="CE582" i="25"/>
  <c r="CE583" i="25"/>
  <c r="CE584" i="25"/>
  <c r="CE585" i="25"/>
  <c r="CE586" i="25"/>
  <c r="CE587" i="25"/>
  <c r="CE588" i="25"/>
  <c r="CE589" i="25"/>
  <c r="CE590" i="25"/>
  <c r="CE591" i="25"/>
  <c r="CE592" i="25"/>
  <c r="CE593" i="25"/>
  <c r="CE594" i="25"/>
  <c r="CE595" i="25"/>
  <c r="CE596" i="25"/>
  <c r="CE597" i="25"/>
  <c r="CE598" i="25"/>
  <c r="CE599" i="25"/>
  <c r="CE600" i="25"/>
  <c r="CF404" i="25"/>
  <c r="CF405" i="25"/>
  <c r="CF406" i="25"/>
  <c r="CF407" i="25"/>
  <c r="CF408" i="25"/>
  <c r="CF409" i="25"/>
  <c r="CF410" i="25"/>
  <c r="CF411" i="25"/>
  <c r="CF412" i="25"/>
  <c r="CF413" i="25"/>
  <c r="CF414" i="25"/>
  <c r="CF415" i="25"/>
  <c r="CF416" i="25"/>
  <c r="CF417" i="25"/>
  <c r="CF418" i="25"/>
  <c r="CF419" i="25"/>
  <c r="CF420" i="25"/>
  <c r="CF421" i="25"/>
  <c r="CF422" i="25"/>
  <c r="CF423" i="25"/>
  <c r="CF424" i="25"/>
  <c r="CF425" i="25"/>
  <c r="CF426" i="25"/>
  <c r="CF427" i="25"/>
  <c r="CF428" i="25"/>
  <c r="CF429" i="25"/>
  <c r="CF430" i="25"/>
  <c r="CF431" i="25"/>
  <c r="CF432" i="25"/>
  <c r="CF433" i="25"/>
  <c r="CF434" i="25"/>
  <c r="CF435" i="25"/>
  <c r="CF436" i="25"/>
  <c r="CF437" i="25"/>
  <c r="CF438" i="25"/>
  <c r="CF439" i="25"/>
  <c r="CF440" i="25"/>
  <c r="CF441" i="25"/>
  <c r="CF442" i="25"/>
  <c r="CF443" i="25"/>
  <c r="CF444" i="25"/>
  <c r="CF445" i="25"/>
  <c r="CF446" i="25"/>
  <c r="CF447" i="25"/>
  <c r="CF448" i="25"/>
  <c r="CF449" i="25"/>
  <c r="CF450" i="25"/>
  <c r="CF451" i="25"/>
  <c r="CF452" i="25"/>
  <c r="CF453" i="25"/>
  <c r="CF454" i="25"/>
  <c r="CF455" i="25"/>
  <c r="CF456" i="25"/>
  <c r="CF457" i="25"/>
  <c r="CF458" i="25"/>
  <c r="CF464" i="25"/>
  <c r="CF460" i="25"/>
  <c r="CF461" i="25"/>
  <c r="CF462" i="25"/>
  <c r="CF463" i="25"/>
  <c r="CF472" i="25"/>
  <c r="CF465" i="25"/>
  <c r="CF466" i="25"/>
  <c r="CF467" i="25"/>
  <c r="CF468" i="25"/>
  <c r="CF558" i="25"/>
  <c r="CF470" i="25"/>
  <c r="CF564" i="25"/>
  <c r="CF473" i="25"/>
  <c r="CF459" i="25"/>
  <c r="CF474" i="25"/>
  <c r="CF475" i="25"/>
  <c r="CF476" i="25"/>
  <c r="CF477" i="25"/>
  <c r="CF478" i="25"/>
  <c r="CF479" i="25"/>
  <c r="CF480" i="25"/>
  <c r="CF481" i="25"/>
  <c r="CF482" i="25"/>
  <c r="CF483" i="25"/>
  <c r="CF484" i="25"/>
  <c r="CF485" i="25"/>
  <c r="CF486" i="25"/>
  <c r="CF487" i="25"/>
  <c r="CF488" i="25"/>
  <c r="CF489" i="25"/>
  <c r="CF490" i="25"/>
  <c r="CF491" i="25"/>
  <c r="CF492" i="25"/>
  <c r="CF493" i="25"/>
  <c r="CF494" i="25"/>
  <c r="CF495" i="25"/>
  <c r="CF496" i="25"/>
  <c r="CF497" i="25"/>
  <c r="CF498" i="25"/>
  <c r="CF499" i="25"/>
  <c r="CF500" i="25"/>
  <c r="CF501" i="25"/>
  <c r="CF502" i="25"/>
  <c r="CF503" i="25"/>
  <c r="CF504" i="25"/>
  <c r="CF505" i="25"/>
  <c r="CF506" i="25"/>
  <c r="CF507" i="25"/>
  <c r="CF508" i="25"/>
  <c r="CF509" i="25"/>
  <c r="CF510" i="25"/>
  <c r="CF511" i="25"/>
  <c r="CF512" i="25"/>
  <c r="CF513" i="25"/>
  <c r="CF514" i="25"/>
  <c r="CF515" i="25"/>
  <c r="CF516" i="25"/>
  <c r="CF517" i="25"/>
  <c r="CF518" i="25"/>
  <c r="CF519" i="25"/>
  <c r="CF520" i="25"/>
  <c r="CF521" i="25"/>
  <c r="CF522" i="25"/>
  <c r="CF523" i="25"/>
  <c r="CF524" i="25"/>
  <c r="CF525" i="25"/>
  <c r="CF526" i="25"/>
  <c r="CF527" i="25"/>
  <c r="CF528" i="25"/>
  <c r="CF529" i="25"/>
  <c r="CF530" i="25"/>
  <c r="CF531" i="25"/>
  <c r="CF532" i="25"/>
  <c r="CF533" i="25"/>
  <c r="CF534" i="25"/>
  <c r="CF535" i="25"/>
  <c r="CF536" i="25"/>
  <c r="CF537" i="25"/>
  <c r="CF538" i="25"/>
  <c r="CF539" i="25"/>
  <c r="CF540" i="25"/>
  <c r="CF541" i="25"/>
  <c r="CF542" i="25"/>
  <c r="CF543" i="25"/>
  <c r="CF544" i="25"/>
  <c r="CF545" i="25"/>
  <c r="CF546" i="25"/>
  <c r="CF547" i="25"/>
  <c r="CF469" i="25"/>
  <c r="CF549" i="25"/>
  <c r="CF550" i="25"/>
  <c r="CF551" i="25"/>
  <c r="CF552" i="25"/>
  <c r="CF553" i="25"/>
  <c r="CF471" i="25"/>
  <c r="CF555" i="25"/>
  <c r="CF556" i="25"/>
  <c r="CF557" i="25"/>
  <c r="CF548" i="25"/>
  <c r="CF559" i="25"/>
  <c r="CF560" i="25"/>
  <c r="CF561" i="25"/>
  <c r="CF562" i="25"/>
  <c r="CF563" i="25"/>
  <c r="CF554" i="25"/>
  <c r="CF565" i="25"/>
  <c r="CF566" i="25"/>
  <c r="CF567" i="25"/>
  <c r="CF568" i="25"/>
  <c r="CF569" i="25"/>
  <c r="CF570" i="25"/>
  <c r="CF571" i="25"/>
  <c r="CF572" i="25"/>
  <c r="CF573" i="25"/>
  <c r="CF574" i="25"/>
  <c r="CF575" i="25"/>
  <c r="CF576" i="25"/>
  <c r="CF577" i="25"/>
  <c r="CF578" i="25"/>
  <c r="CF579" i="25"/>
  <c r="CF580" i="25"/>
  <c r="CF581" i="25"/>
  <c r="CF582" i="25"/>
  <c r="CF583" i="25"/>
  <c r="CF584" i="25"/>
  <c r="CF585" i="25"/>
  <c r="CF586" i="25"/>
  <c r="CF587" i="25"/>
  <c r="CF588" i="25"/>
  <c r="CF589" i="25"/>
  <c r="CF590" i="25"/>
  <c r="CF591" i="25"/>
  <c r="CF592" i="25"/>
  <c r="CF593" i="25"/>
  <c r="CF594" i="25"/>
  <c r="CF595" i="25"/>
  <c r="CF596" i="25"/>
  <c r="CF597" i="25"/>
  <c r="CF598" i="25"/>
  <c r="CF599" i="25"/>
  <c r="CF600" i="25"/>
  <c r="CG404" i="25"/>
  <c r="CG405" i="25"/>
  <c r="CG406" i="25"/>
  <c r="CG407" i="25"/>
  <c r="CG408" i="25"/>
  <c r="CG409" i="25"/>
  <c r="CG410" i="25"/>
  <c r="CG411" i="25"/>
  <c r="CG412" i="25"/>
  <c r="CG413" i="25"/>
  <c r="CG414" i="25"/>
  <c r="CG415" i="25"/>
  <c r="CG416" i="25"/>
  <c r="CG417" i="25"/>
  <c r="CG418" i="25"/>
  <c r="CG419" i="25"/>
  <c r="CG420" i="25"/>
  <c r="CG421" i="25"/>
  <c r="CG422" i="25"/>
  <c r="CG423" i="25"/>
  <c r="CG424" i="25"/>
  <c r="CG425" i="25"/>
  <c r="CG426" i="25"/>
  <c r="CG427" i="25"/>
  <c r="CG428" i="25"/>
  <c r="CG429" i="25"/>
  <c r="CG430" i="25"/>
  <c r="CG431" i="25"/>
  <c r="CG432" i="25"/>
  <c r="CG433" i="25"/>
  <c r="CG434" i="25"/>
  <c r="CG435" i="25"/>
  <c r="CG436" i="25"/>
  <c r="CG437" i="25"/>
  <c r="CG438" i="25"/>
  <c r="CG439" i="25"/>
  <c r="CG440" i="25"/>
  <c r="CG441" i="25"/>
  <c r="CG442" i="25"/>
  <c r="CG443" i="25"/>
  <c r="CG444" i="25"/>
  <c r="CG445" i="25"/>
  <c r="CG446" i="25"/>
  <c r="CG447" i="25"/>
  <c r="CG448" i="25"/>
  <c r="CG449" i="25"/>
  <c r="CG450" i="25"/>
  <c r="CG451" i="25"/>
  <c r="CG452" i="25"/>
  <c r="CG453" i="25"/>
  <c r="CG454" i="25"/>
  <c r="CG455" i="25"/>
  <c r="CG456" i="25"/>
  <c r="CG457" i="25"/>
  <c r="CG458" i="25"/>
  <c r="CG464" i="25"/>
  <c r="CG460" i="25"/>
  <c r="CG461" i="25"/>
  <c r="CG462" i="25"/>
  <c r="CG463" i="25"/>
  <c r="CG472" i="25"/>
  <c r="CG465" i="25"/>
  <c r="CG466" i="25"/>
  <c r="CG467" i="25"/>
  <c r="CG468" i="25"/>
  <c r="CG558" i="25"/>
  <c r="CG470" i="25"/>
  <c r="CG564" i="25"/>
  <c r="CG473" i="25"/>
  <c r="CG459" i="25"/>
  <c r="CG474" i="25"/>
  <c r="CG475" i="25"/>
  <c r="CG476" i="25"/>
  <c r="CG477" i="25"/>
  <c r="CG478" i="25"/>
  <c r="CG479" i="25"/>
  <c r="CG480" i="25"/>
  <c r="CG481" i="25"/>
  <c r="CG482" i="25"/>
  <c r="CG483" i="25"/>
  <c r="CG484" i="25"/>
  <c r="CG485" i="25"/>
  <c r="CG486" i="25"/>
  <c r="CG487" i="25"/>
  <c r="CG488" i="25"/>
  <c r="CG489" i="25"/>
  <c r="CG490" i="25"/>
  <c r="CG491" i="25"/>
  <c r="CG492" i="25"/>
  <c r="CG493" i="25"/>
  <c r="CG494" i="25"/>
  <c r="CG495" i="25"/>
  <c r="CG496" i="25"/>
  <c r="CG497" i="25"/>
  <c r="CG498" i="25"/>
  <c r="CG499" i="25"/>
  <c r="CG500" i="25"/>
  <c r="CG501" i="25"/>
  <c r="CG502" i="25"/>
  <c r="CG503" i="25"/>
  <c r="CG504" i="25"/>
  <c r="CG505" i="25"/>
  <c r="CG506" i="25"/>
  <c r="CG507" i="25"/>
  <c r="CG508" i="25"/>
  <c r="CG509" i="25"/>
  <c r="CG510" i="25"/>
  <c r="CG511" i="25"/>
  <c r="CG512" i="25"/>
  <c r="CG513" i="25"/>
  <c r="CG514" i="25"/>
  <c r="CG515" i="25"/>
  <c r="CG516" i="25"/>
  <c r="CG517" i="25"/>
  <c r="CG518" i="25"/>
  <c r="CG519" i="25"/>
  <c r="CG520" i="25"/>
  <c r="CG521" i="25"/>
  <c r="CG522" i="25"/>
  <c r="CG523" i="25"/>
  <c r="CG524" i="25"/>
  <c r="CG525" i="25"/>
  <c r="CG526" i="25"/>
  <c r="CG527" i="25"/>
  <c r="CG528" i="25"/>
  <c r="CG529" i="25"/>
  <c r="CG530" i="25"/>
  <c r="CG531" i="25"/>
  <c r="CG532" i="25"/>
  <c r="CG533" i="25"/>
  <c r="CG534" i="25"/>
  <c r="CG535" i="25"/>
  <c r="CG536" i="25"/>
  <c r="CG537" i="25"/>
  <c r="CG538" i="25"/>
  <c r="CG539" i="25"/>
  <c r="CG540" i="25"/>
  <c r="CG541" i="25"/>
  <c r="CG542" i="25"/>
  <c r="CG543" i="25"/>
  <c r="CG544" i="25"/>
  <c r="CG545" i="25"/>
  <c r="CG546" i="25"/>
  <c r="CG547" i="25"/>
  <c r="CG469" i="25"/>
  <c r="CG549" i="25"/>
  <c r="CG550" i="25"/>
  <c r="CG551" i="25"/>
  <c r="CG552" i="25"/>
  <c r="CG553" i="25"/>
  <c r="CG471" i="25"/>
  <c r="CG555" i="25"/>
  <c r="CG556" i="25"/>
  <c r="CG557" i="25"/>
  <c r="CG548" i="25"/>
  <c r="CG559" i="25"/>
  <c r="CG560" i="25"/>
  <c r="CG561" i="25"/>
  <c r="CG562" i="25"/>
  <c r="CG563" i="25"/>
  <c r="CG554" i="25"/>
  <c r="CG565" i="25"/>
  <c r="CG566" i="25"/>
  <c r="CG567" i="25"/>
  <c r="CG568" i="25"/>
  <c r="CG569" i="25"/>
  <c r="CG570" i="25"/>
  <c r="CG571" i="25"/>
  <c r="CG572" i="25"/>
  <c r="CG573" i="25"/>
  <c r="CG574" i="25"/>
  <c r="CG575" i="25"/>
  <c r="CG576" i="25"/>
  <c r="CG577" i="25"/>
  <c r="CG578" i="25"/>
  <c r="CG579" i="25"/>
  <c r="CG580" i="25"/>
  <c r="CG581" i="25"/>
  <c r="CG582" i="25"/>
  <c r="CG583" i="25"/>
  <c r="CG584" i="25"/>
  <c r="CG585" i="25"/>
  <c r="CG586" i="25"/>
  <c r="CG587" i="25"/>
  <c r="CG588" i="25"/>
  <c r="CG589" i="25"/>
  <c r="CG590" i="25"/>
  <c r="CG591" i="25"/>
  <c r="CG592" i="25"/>
  <c r="CG593" i="25"/>
  <c r="CG594" i="25"/>
  <c r="CG595" i="25"/>
  <c r="CG596" i="25"/>
  <c r="CG597" i="25"/>
  <c r="CG598" i="25"/>
  <c r="CG599" i="25"/>
  <c r="CG600" i="25"/>
  <c r="CH404" i="25"/>
  <c r="CH405" i="25"/>
  <c r="CH406" i="25"/>
  <c r="CH407" i="25"/>
  <c r="CH408" i="25"/>
  <c r="CH409" i="25"/>
  <c r="CH410" i="25"/>
  <c r="CH411" i="25"/>
  <c r="CH412" i="25"/>
  <c r="CH413" i="25"/>
  <c r="CH414" i="25"/>
  <c r="CH415" i="25"/>
  <c r="CH416" i="25"/>
  <c r="CH417" i="25"/>
  <c r="CH418" i="25"/>
  <c r="CH419" i="25"/>
  <c r="CH420" i="25"/>
  <c r="CH421" i="25"/>
  <c r="CH422" i="25"/>
  <c r="CH423" i="25"/>
  <c r="CH424" i="25"/>
  <c r="CH425" i="25"/>
  <c r="CH426" i="25"/>
  <c r="CH427" i="25"/>
  <c r="CH428" i="25"/>
  <c r="CH429" i="25"/>
  <c r="CH430" i="25"/>
  <c r="CH431" i="25"/>
  <c r="CH432" i="25"/>
  <c r="CH433" i="25"/>
  <c r="CH434" i="25"/>
  <c r="CH435" i="25"/>
  <c r="CH436" i="25"/>
  <c r="CH437" i="25"/>
  <c r="CH438" i="25"/>
  <c r="CH439" i="25"/>
  <c r="CH440" i="25"/>
  <c r="CH441" i="25"/>
  <c r="CH442" i="25"/>
  <c r="CH443" i="25"/>
  <c r="CH444" i="25"/>
  <c r="CH445" i="25"/>
  <c r="CH446" i="25"/>
  <c r="CH447" i="25"/>
  <c r="CH448" i="25"/>
  <c r="CH449" i="25"/>
  <c r="CH450" i="25"/>
  <c r="CH451" i="25"/>
  <c r="CH452" i="25"/>
  <c r="CH453" i="25"/>
  <c r="CH454" i="25"/>
  <c r="CH455" i="25"/>
  <c r="CH456" i="25"/>
  <c r="CH457" i="25"/>
  <c r="CH458" i="25"/>
  <c r="CH464" i="25"/>
  <c r="CH460" i="25"/>
  <c r="CH461" i="25"/>
  <c r="CH462" i="25"/>
  <c r="CH463" i="25"/>
  <c r="CH472" i="25"/>
  <c r="CH465" i="25"/>
  <c r="CH466" i="25"/>
  <c r="CH467" i="25"/>
  <c r="CH468" i="25"/>
  <c r="CH558" i="25"/>
  <c r="CH470" i="25"/>
  <c r="CH564" i="25"/>
  <c r="CH473" i="25"/>
  <c r="CH459" i="25"/>
  <c r="CH474" i="25"/>
  <c r="CH475" i="25"/>
  <c r="CH476" i="25"/>
  <c r="CH477" i="25"/>
  <c r="CH478" i="25"/>
  <c r="CH479" i="25"/>
  <c r="CH480" i="25"/>
  <c r="CH481" i="25"/>
  <c r="CH482" i="25"/>
  <c r="CH483" i="25"/>
  <c r="CH484" i="25"/>
  <c r="CH485" i="25"/>
  <c r="CH486" i="25"/>
  <c r="CH487" i="25"/>
  <c r="CH488" i="25"/>
  <c r="CH489" i="25"/>
  <c r="CH490" i="25"/>
  <c r="CH491" i="25"/>
  <c r="CH492" i="25"/>
  <c r="CH493" i="25"/>
  <c r="CH494" i="25"/>
  <c r="CH495" i="25"/>
  <c r="CH496" i="25"/>
  <c r="CH497" i="25"/>
  <c r="CH498" i="25"/>
  <c r="CH499" i="25"/>
  <c r="CH500" i="25"/>
  <c r="CH501" i="25"/>
  <c r="CH502" i="25"/>
  <c r="CH503" i="25"/>
  <c r="CH504" i="25"/>
  <c r="CH505" i="25"/>
  <c r="CH506" i="25"/>
  <c r="CH507" i="25"/>
  <c r="CH508" i="25"/>
  <c r="CH509" i="25"/>
  <c r="CH510" i="25"/>
  <c r="CH511" i="25"/>
  <c r="CH512" i="25"/>
  <c r="CH513" i="25"/>
  <c r="CH514" i="25"/>
  <c r="CH515" i="25"/>
  <c r="CH516" i="25"/>
  <c r="CH517" i="25"/>
  <c r="CH518" i="25"/>
  <c r="CH519" i="25"/>
  <c r="CH520" i="25"/>
  <c r="CH521" i="25"/>
  <c r="CH522" i="25"/>
  <c r="CH523" i="25"/>
  <c r="CH524" i="25"/>
  <c r="CH525" i="25"/>
  <c r="CH526" i="25"/>
  <c r="CH527" i="25"/>
  <c r="CH528" i="25"/>
  <c r="CH529" i="25"/>
  <c r="CH530" i="25"/>
  <c r="CH531" i="25"/>
  <c r="CH532" i="25"/>
  <c r="CH533" i="25"/>
  <c r="CH534" i="25"/>
  <c r="CH535" i="25"/>
  <c r="CH536" i="25"/>
  <c r="CH537" i="25"/>
  <c r="CH538" i="25"/>
  <c r="CH539" i="25"/>
  <c r="CH540" i="25"/>
  <c r="CH541" i="25"/>
  <c r="CH542" i="25"/>
  <c r="CH543" i="25"/>
  <c r="CH544" i="25"/>
  <c r="CH545" i="25"/>
  <c r="CH546" i="25"/>
  <c r="CH547" i="25"/>
  <c r="CH469" i="25"/>
  <c r="CH549" i="25"/>
  <c r="CH550" i="25"/>
  <c r="CH551" i="25"/>
  <c r="CH552" i="25"/>
  <c r="CH553" i="25"/>
  <c r="CH471" i="25"/>
  <c r="CH555" i="25"/>
  <c r="CH556" i="25"/>
  <c r="CH557" i="25"/>
  <c r="CH548" i="25"/>
  <c r="CH559" i="25"/>
  <c r="CH560" i="25"/>
  <c r="CH561" i="25"/>
  <c r="CH562" i="25"/>
  <c r="CH563" i="25"/>
  <c r="CH554" i="25"/>
  <c r="CH565" i="25"/>
  <c r="CH566" i="25"/>
  <c r="CH567" i="25"/>
  <c r="CH568" i="25"/>
  <c r="CH569" i="25"/>
  <c r="CH570" i="25"/>
  <c r="CH571" i="25"/>
  <c r="CH572" i="25"/>
  <c r="CH573" i="25"/>
  <c r="CH574" i="25"/>
  <c r="CH575" i="25"/>
  <c r="CH576" i="25"/>
  <c r="CH577" i="25"/>
  <c r="CH578" i="25"/>
  <c r="CH579" i="25"/>
  <c r="CH580" i="25"/>
  <c r="CH581" i="25"/>
  <c r="CH582" i="25"/>
  <c r="CH583" i="25"/>
  <c r="CH584" i="25"/>
  <c r="CH585" i="25"/>
  <c r="CH586" i="25"/>
  <c r="CH587" i="25"/>
  <c r="CH588" i="25"/>
  <c r="CH589" i="25"/>
  <c r="CH590" i="25"/>
  <c r="CH591" i="25"/>
  <c r="CH592" i="25"/>
  <c r="CH593" i="25"/>
  <c r="CH594" i="25"/>
  <c r="CH595" i="25"/>
  <c r="CH596" i="25"/>
  <c r="CH597" i="25"/>
  <c r="CH598" i="25"/>
  <c r="CH599" i="25"/>
  <c r="CH600" i="25"/>
  <c r="CM404" i="25"/>
  <c r="CN404" i="25" s="1"/>
  <c r="CM405" i="25"/>
  <c r="CN405" i="25" s="1"/>
  <c r="CM406" i="25"/>
  <c r="CN406" i="25" s="1"/>
  <c r="CM407" i="25"/>
  <c r="CN407" i="25" s="1"/>
  <c r="CM408" i="25"/>
  <c r="CN408" i="25" s="1"/>
  <c r="CM409" i="25"/>
  <c r="CM410" i="25"/>
  <c r="CM411" i="25"/>
  <c r="CM412" i="25"/>
  <c r="CN412" i="25" s="1"/>
  <c r="CM413" i="25"/>
  <c r="CN413" i="25" s="1"/>
  <c r="CM414" i="25"/>
  <c r="CM415" i="25"/>
  <c r="CN415" i="25" s="1"/>
  <c r="CM416" i="25"/>
  <c r="CN416" i="25" s="1"/>
  <c r="CM417" i="25"/>
  <c r="CN417" i="25" s="1"/>
  <c r="CM418" i="25"/>
  <c r="CN418" i="25" s="1"/>
  <c r="CM419" i="25"/>
  <c r="CM420" i="25"/>
  <c r="CN420" i="25" s="1"/>
  <c r="CM421" i="25"/>
  <c r="CN421" i="25" s="1"/>
  <c r="CM422" i="25"/>
  <c r="CN422" i="25" s="1"/>
  <c r="CM423" i="25"/>
  <c r="CM424" i="25"/>
  <c r="CN424" i="25" s="1"/>
  <c r="CM425" i="25"/>
  <c r="CN425" i="25" s="1"/>
  <c r="CM426" i="25"/>
  <c r="CN426" i="25" s="1"/>
  <c r="CM427" i="25"/>
  <c r="CM428" i="25"/>
  <c r="CN428" i="25" s="1"/>
  <c r="CM429" i="25"/>
  <c r="CN429" i="25" s="1"/>
  <c r="CM430" i="25"/>
  <c r="CN430" i="25" s="1"/>
  <c r="CM431" i="25"/>
  <c r="CM432" i="25"/>
  <c r="CN432" i="25" s="1"/>
  <c r="CM433" i="25"/>
  <c r="CN433" i="25" s="1"/>
  <c r="CM434" i="25"/>
  <c r="CN434" i="25" s="1"/>
  <c r="CM435" i="25"/>
  <c r="CM436" i="25"/>
  <c r="CN436" i="25" s="1"/>
  <c r="CM437" i="25"/>
  <c r="CN437" i="25" s="1"/>
  <c r="CM438" i="25"/>
  <c r="CN438" i="25" s="1"/>
  <c r="CM439" i="25"/>
  <c r="CN439" i="25" s="1"/>
  <c r="CM440" i="25"/>
  <c r="CN440" i="25" s="1"/>
  <c r="CM441" i="25"/>
  <c r="CN441" i="25" s="1"/>
  <c r="CM442" i="25"/>
  <c r="CN442" i="25" s="1"/>
  <c r="CM443" i="25"/>
  <c r="CM444" i="25"/>
  <c r="CN444" i="25" s="1"/>
  <c r="CM445" i="25"/>
  <c r="CN445" i="25" s="1"/>
  <c r="CM446" i="25"/>
  <c r="CN446" i="25" s="1"/>
  <c r="CM447" i="25"/>
  <c r="CN447" i="25" s="1"/>
  <c r="CM448" i="25"/>
  <c r="CN448" i="25" s="1"/>
  <c r="CM449" i="25"/>
  <c r="CN449" i="25" s="1"/>
  <c r="CM450" i="25"/>
  <c r="CN450" i="25" s="1"/>
  <c r="CM451" i="25"/>
  <c r="CM452" i="25"/>
  <c r="CN452" i="25" s="1"/>
  <c r="CM453" i="25"/>
  <c r="CN453" i="25" s="1"/>
  <c r="CM454" i="25"/>
  <c r="CN454" i="25" s="1"/>
  <c r="CM455" i="25"/>
  <c r="CM456" i="25"/>
  <c r="CN456" i="25" s="1"/>
  <c r="CM457" i="25"/>
  <c r="CN457" i="25" s="1"/>
  <c r="CM458" i="25"/>
  <c r="CN458" i="25" s="1"/>
  <c r="CM464" i="25"/>
  <c r="CM460" i="25"/>
  <c r="CN460" i="25" s="1"/>
  <c r="CM461" i="25"/>
  <c r="CN461" i="25" s="1"/>
  <c r="CM462" i="25"/>
  <c r="CN462" i="25" s="1"/>
  <c r="CM463" i="25"/>
  <c r="CN463" i="25" s="1"/>
  <c r="CM472" i="25"/>
  <c r="CN472" i="25" s="1"/>
  <c r="CM465" i="25"/>
  <c r="CN465" i="25" s="1"/>
  <c r="CM466" i="25"/>
  <c r="CN466" i="25" s="1"/>
  <c r="CM467" i="25"/>
  <c r="CM468" i="25"/>
  <c r="CN468" i="25" s="1"/>
  <c r="CM558" i="25"/>
  <c r="CN558" i="25" s="1"/>
  <c r="CM470" i="25"/>
  <c r="CN470" i="25" s="1"/>
  <c r="CM564" i="25"/>
  <c r="CN564" i="25" s="1"/>
  <c r="CM473" i="25"/>
  <c r="CN473" i="25" s="1"/>
  <c r="CM459" i="25"/>
  <c r="CN459" i="25" s="1"/>
  <c r="CM474" i="25"/>
  <c r="CN474" i="25" s="1"/>
  <c r="CM475" i="25"/>
  <c r="CM476" i="25"/>
  <c r="CN476" i="25" s="1"/>
  <c r="CM477" i="25"/>
  <c r="CN477" i="25" s="1"/>
  <c r="CM478" i="25"/>
  <c r="CM479" i="25"/>
  <c r="CN479" i="25" s="1"/>
  <c r="CM480" i="25"/>
  <c r="CN480" i="25" s="1"/>
  <c r="CM481" i="25"/>
  <c r="CN481" i="25" s="1"/>
  <c r="CM482" i="25"/>
  <c r="CN482" i="25" s="1"/>
  <c r="CM483" i="25"/>
  <c r="CM484" i="25"/>
  <c r="CN484" i="25" s="1"/>
  <c r="CM485" i="25"/>
  <c r="CN485" i="25" s="1"/>
  <c r="CM486" i="25"/>
  <c r="CN486" i="25" s="1"/>
  <c r="CM487" i="25"/>
  <c r="CM488" i="25"/>
  <c r="CN488" i="25" s="1"/>
  <c r="CM489" i="25"/>
  <c r="CN489" i="25" s="1"/>
  <c r="CM490" i="25"/>
  <c r="CN490" i="25" s="1"/>
  <c r="CM491" i="25"/>
  <c r="CM492" i="25"/>
  <c r="CN492" i="25" s="1"/>
  <c r="CM493" i="25"/>
  <c r="CN493" i="25" s="1"/>
  <c r="CM494" i="25"/>
  <c r="CN494" i="25" s="1"/>
  <c r="CM495" i="25"/>
  <c r="CM496" i="25"/>
  <c r="CN496" i="25" s="1"/>
  <c r="CM497" i="25"/>
  <c r="CN497" i="25" s="1"/>
  <c r="CM498" i="25"/>
  <c r="CN498" i="25" s="1"/>
  <c r="CM499" i="25"/>
  <c r="CM500" i="25"/>
  <c r="CN500" i="25" s="1"/>
  <c r="CM501" i="25"/>
  <c r="CN501" i="25" s="1"/>
  <c r="CM502" i="25"/>
  <c r="CN502" i="25" s="1"/>
  <c r="CM503" i="25"/>
  <c r="CN503" i="25" s="1"/>
  <c r="CM504" i="25"/>
  <c r="CN504" i="25" s="1"/>
  <c r="CM505" i="25"/>
  <c r="CN505" i="25" s="1"/>
  <c r="CM506" i="25"/>
  <c r="CN506" i="25" s="1"/>
  <c r="CM507" i="25"/>
  <c r="CM508" i="25"/>
  <c r="CN508" i="25" s="1"/>
  <c r="CM509" i="25"/>
  <c r="CN509" i="25" s="1"/>
  <c r="CM510" i="25"/>
  <c r="CN510" i="25" s="1"/>
  <c r="CM511" i="25"/>
  <c r="CM512" i="25"/>
  <c r="CN512" i="25" s="1"/>
  <c r="CM513" i="25"/>
  <c r="CN513" i="25" s="1"/>
  <c r="CM514" i="25"/>
  <c r="CN514" i="25" s="1"/>
  <c r="CM515" i="25"/>
  <c r="CM516" i="25"/>
  <c r="CN516" i="25" s="1"/>
  <c r="CM517" i="25"/>
  <c r="CN517" i="25" s="1"/>
  <c r="CM518" i="25"/>
  <c r="CN518" i="25" s="1"/>
  <c r="CM519" i="25"/>
  <c r="CM520" i="25"/>
  <c r="CN520" i="25" s="1"/>
  <c r="CM521" i="25"/>
  <c r="CN521" i="25" s="1"/>
  <c r="CM522" i="25"/>
  <c r="CN522" i="25" s="1"/>
  <c r="CM523" i="25"/>
  <c r="CM524" i="25"/>
  <c r="CN524" i="25" s="1"/>
  <c r="CM525" i="25"/>
  <c r="CN525" i="25" s="1"/>
  <c r="CM526" i="25"/>
  <c r="CN526" i="25" s="1"/>
  <c r="CM527" i="25"/>
  <c r="CN527" i="25" s="1"/>
  <c r="CM528" i="25"/>
  <c r="CN528" i="25" s="1"/>
  <c r="CM529" i="25"/>
  <c r="CN529" i="25" s="1"/>
  <c r="CM530" i="25"/>
  <c r="CN530" i="25" s="1"/>
  <c r="CM531" i="25"/>
  <c r="CM532" i="25"/>
  <c r="CN532" i="25" s="1"/>
  <c r="CM533" i="25"/>
  <c r="CN533" i="25" s="1"/>
  <c r="CM534" i="25"/>
  <c r="CN534" i="25" s="1"/>
  <c r="CM535" i="25"/>
  <c r="CN535" i="25" s="1"/>
  <c r="CM536" i="25"/>
  <c r="CN536" i="25" s="1"/>
  <c r="CM537" i="25"/>
  <c r="CN537" i="25" s="1"/>
  <c r="CM538" i="25"/>
  <c r="CN538" i="25" s="1"/>
  <c r="CM539" i="25"/>
  <c r="CM540" i="25"/>
  <c r="CN540" i="25" s="1"/>
  <c r="CM541" i="25"/>
  <c r="CN541" i="25" s="1"/>
  <c r="CM542" i="25"/>
  <c r="CM543" i="25"/>
  <c r="CN543" i="25" s="1"/>
  <c r="CM544" i="25"/>
  <c r="CN544" i="25" s="1"/>
  <c r="CM545" i="25"/>
  <c r="CN545" i="25" s="1"/>
  <c r="CM546" i="25"/>
  <c r="CN546" i="25" s="1"/>
  <c r="CM547" i="25"/>
  <c r="CM469" i="25"/>
  <c r="CN469" i="25" s="1"/>
  <c r="CM549" i="25"/>
  <c r="CN549" i="25" s="1"/>
  <c r="CM550" i="25"/>
  <c r="CN550" i="25" s="1"/>
  <c r="CM551" i="25"/>
  <c r="CM552" i="25"/>
  <c r="CN552" i="25" s="1"/>
  <c r="CM553" i="25"/>
  <c r="CN553" i="25" s="1"/>
  <c r="CM471" i="25"/>
  <c r="CN471" i="25" s="1"/>
  <c r="CM555" i="25"/>
  <c r="CM556" i="25"/>
  <c r="CN556" i="25" s="1"/>
  <c r="CM557" i="25"/>
  <c r="CN557" i="25" s="1"/>
  <c r="CM548" i="25"/>
  <c r="CN548" i="25" s="1"/>
  <c r="CM559" i="25"/>
  <c r="CM560" i="25"/>
  <c r="CN560" i="25" s="1"/>
  <c r="CM561" i="25"/>
  <c r="CN561" i="25" s="1"/>
  <c r="CM562" i="25"/>
  <c r="CN562" i="25" s="1"/>
  <c r="CM563" i="25"/>
  <c r="CM554" i="25"/>
  <c r="CN554" i="25" s="1"/>
  <c r="CM565" i="25"/>
  <c r="CN565" i="25" s="1"/>
  <c r="CM566" i="25"/>
  <c r="CN566" i="25" s="1"/>
  <c r="CM567" i="25"/>
  <c r="CN567" i="25" s="1"/>
  <c r="CM568" i="25"/>
  <c r="CN568" i="25" s="1"/>
  <c r="CM569" i="25"/>
  <c r="CN569" i="25" s="1"/>
  <c r="CM570" i="25"/>
  <c r="CN570" i="25" s="1"/>
  <c r="CM571" i="25"/>
  <c r="CM572" i="25"/>
  <c r="CN572" i="25" s="1"/>
  <c r="CM573" i="25"/>
  <c r="CN573" i="25" s="1"/>
  <c r="CM574" i="25"/>
  <c r="CN574" i="25" s="1"/>
  <c r="CM575" i="25"/>
  <c r="CN575" i="25" s="1"/>
  <c r="CM576" i="25"/>
  <c r="CN576" i="25" s="1"/>
  <c r="CM577" i="25"/>
  <c r="CN577" i="25" s="1"/>
  <c r="CM578" i="25"/>
  <c r="CN578" i="25" s="1"/>
  <c r="CM579" i="25"/>
  <c r="CM580" i="25"/>
  <c r="CN580" i="25" s="1"/>
  <c r="CM581" i="25"/>
  <c r="CN581" i="25" s="1"/>
  <c r="CM582" i="25"/>
  <c r="CN582" i="25" s="1"/>
  <c r="CM583" i="25"/>
  <c r="CN583" i="25" s="1"/>
  <c r="CM584" i="25"/>
  <c r="CN584" i="25" s="1"/>
  <c r="CM585" i="25"/>
  <c r="CN585" i="25" s="1"/>
  <c r="CM586" i="25"/>
  <c r="CN586" i="25" s="1"/>
  <c r="CM587" i="25"/>
  <c r="CM588" i="25"/>
  <c r="CN588" i="25" s="1"/>
  <c r="CM589" i="25"/>
  <c r="CN589" i="25" s="1"/>
  <c r="CM590" i="25"/>
  <c r="CM591" i="25"/>
  <c r="CN591" i="25" s="1"/>
  <c r="CM592" i="25"/>
  <c r="CN592" i="25" s="1"/>
  <c r="CM593" i="25"/>
  <c r="CN593" i="25" s="1"/>
  <c r="CM594" i="25"/>
  <c r="CN594" i="25" s="1"/>
  <c r="CM595" i="25"/>
  <c r="CM596" i="25"/>
  <c r="CN596" i="25" s="1"/>
  <c r="CM597" i="25"/>
  <c r="CN597" i="25" s="1"/>
  <c r="CM598" i="25"/>
  <c r="CN598" i="25" s="1"/>
  <c r="CM599" i="25"/>
  <c r="CN599" i="25" s="1"/>
  <c r="CM600" i="25"/>
  <c r="CN600" i="25" s="1"/>
  <c r="CN409" i="25"/>
  <c r="CN410" i="25"/>
  <c r="CU404" i="25"/>
  <c r="CU405" i="25"/>
  <c r="CU406" i="25"/>
  <c r="CU407" i="25"/>
  <c r="CU408" i="25"/>
  <c r="CU409" i="25"/>
  <c r="CU410" i="25"/>
  <c r="CU411" i="25"/>
  <c r="CU412" i="25"/>
  <c r="CU413" i="25"/>
  <c r="CU414" i="25"/>
  <c r="CU415" i="25"/>
  <c r="CU416" i="25"/>
  <c r="CU417" i="25"/>
  <c r="CU418" i="25"/>
  <c r="CU419" i="25"/>
  <c r="CU420" i="25"/>
  <c r="CU421" i="25"/>
  <c r="CU422" i="25"/>
  <c r="CU423" i="25"/>
  <c r="CU424" i="25"/>
  <c r="CU425" i="25"/>
  <c r="CU426" i="25"/>
  <c r="CU427" i="25"/>
  <c r="CU428" i="25"/>
  <c r="CU429" i="25"/>
  <c r="CU430" i="25"/>
  <c r="CU431" i="25"/>
  <c r="CU432" i="25"/>
  <c r="CU433" i="25"/>
  <c r="CU434" i="25"/>
  <c r="CU435" i="25"/>
  <c r="CU436" i="25"/>
  <c r="CU437" i="25"/>
  <c r="CU438" i="25"/>
  <c r="CU439" i="25"/>
  <c r="CU440" i="25"/>
  <c r="CU441" i="25"/>
  <c r="CU442" i="25"/>
  <c r="CU443" i="25"/>
  <c r="CU444" i="25"/>
  <c r="CU445" i="25"/>
  <c r="CU446" i="25"/>
  <c r="CU447" i="25"/>
  <c r="CU448" i="25"/>
  <c r="CU449" i="25"/>
  <c r="CU450" i="25"/>
  <c r="CU451" i="25"/>
  <c r="CU452" i="25"/>
  <c r="CU453" i="25"/>
  <c r="CU454" i="25"/>
  <c r="CU455" i="25"/>
  <c r="CU456" i="25"/>
  <c r="CU457" i="25"/>
  <c r="CU458" i="25"/>
  <c r="CU464" i="25"/>
  <c r="CU460" i="25"/>
  <c r="CU461" i="25"/>
  <c r="CU462" i="25"/>
  <c r="CU463" i="25"/>
  <c r="CU472" i="25"/>
  <c r="CU465" i="25"/>
  <c r="CU466" i="25"/>
  <c r="CU467" i="25"/>
  <c r="CU468" i="25"/>
  <c r="CU558" i="25"/>
  <c r="CU470" i="25"/>
  <c r="CU564" i="25"/>
  <c r="CU473" i="25"/>
  <c r="CU459" i="25"/>
  <c r="CU474" i="25"/>
  <c r="CU475" i="25"/>
  <c r="CU476" i="25"/>
  <c r="CU477" i="25"/>
  <c r="CU478" i="25"/>
  <c r="CU479" i="25"/>
  <c r="CU480" i="25"/>
  <c r="CU481" i="25"/>
  <c r="CU482" i="25"/>
  <c r="CU483" i="25"/>
  <c r="CU484" i="25"/>
  <c r="CU485" i="25"/>
  <c r="CU486" i="25"/>
  <c r="CU487" i="25"/>
  <c r="CU488" i="25"/>
  <c r="CU489" i="25"/>
  <c r="CU490" i="25"/>
  <c r="CU491" i="25"/>
  <c r="CU492" i="25"/>
  <c r="CU493" i="25"/>
  <c r="CU494" i="25"/>
  <c r="CU495" i="25"/>
  <c r="CU496" i="25"/>
  <c r="CU497" i="25"/>
  <c r="CU498" i="25"/>
  <c r="CU499" i="25"/>
  <c r="CU500" i="25"/>
  <c r="CU501" i="25"/>
  <c r="CU502" i="25"/>
  <c r="CU503" i="25"/>
  <c r="CU504" i="25"/>
  <c r="CU505" i="25"/>
  <c r="CU506" i="25"/>
  <c r="CU507" i="25"/>
  <c r="CU508" i="25"/>
  <c r="CU509" i="25"/>
  <c r="CU510" i="25"/>
  <c r="CU511" i="25"/>
  <c r="CU512" i="25"/>
  <c r="CU513" i="25"/>
  <c r="CU514" i="25"/>
  <c r="CU515" i="25"/>
  <c r="CU516" i="25"/>
  <c r="CU517" i="25"/>
  <c r="CU518" i="25"/>
  <c r="CU519" i="25"/>
  <c r="CU520" i="25"/>
  <c r="CU521" i="25"/>
  <c r="CU522" i="25"/>
  <c r="CU523" i="25"/>
  <c r="CU524" i="25"/>
  <c r="CU525" i="25"/>
  <c r="CU526" i="25"/>
  <c r="CU527" i="25"/>
  <c r="CU528" i="25"/>
  <c r="CU529" i="25"/>
  <c r="CU530" i="25"/>
  <c r="CU531" i="25"/>
  <c r="CU532" i="25"/>
  <c r="CU533" i="25"/>
  <c r="CU534" i="25"/>
  <c r="CU535" i="25"/>
  <c r="CU536" i="25"/>
  <c r="CU537" i="25"/>
  <c r="CU538" i="25"/>
  <c r="CU539" i="25"/>
  <c r="CU540" i="25"/>
  <c r="CU541" i="25"/>
  <c r="CU542" i="25"/>
  <c r="CU543" i="25"/>
  <c r="CU544" i="25"/>
  <c r="CU545" i="25"/>
  <c r="CU546" i="25"/>
  <c r="CU547" i="25"/>
  <c r="CU469" i="25"/>
  <c r="CU549" i="25"/>
  <c r="CU550" i="25"/>
  <c r="CU551" i="25"/>
  <c r="CU552" i="25"/>
  <c r="CU553" i="25"/>
  <c r="CU471" i="25"/>
  <c r="CU555" i="25"/>
  <c r="CU556" i="25"/>
  <c r="CU557" i="25"/>
  <c r="CU548" i="25"/>
  <c r="CU559" i="25"/>
  <c r="CU560" i="25"/>
  <c r="CU561" i="25"/>
  <c r="CU562" i="25"/>
  <c r="CU563" i="25"/>
  <c r="CU554" i="25"/>
  <c r="CU565" i="25"/>
  <c r="CU566" i="25"/>
  <c r="CU567" i="25"/>
  <c r="CU568" i="25"/>
  <c r="CU569" i="25"/>
  <c r="CU570" i="25"/>
  <c r="CU571" i="25"/>
  <c r="CU572" i="25"/>
  <c r="CU573" i="25"/>
  <c r="CU574" i="25"/>
  <c r="CU575" i="25"/>
  <c r="CU576" i="25"/>
  <c r="CU577" i="25"/>
  <c r="CU578" i="25"/>
  <c r="CU579" i="25"/>
  <c r="CU580" i="25"/>
  <c r="CU581" i="25"/>
  <c r="CU582" i="25"/>
  <c r="CU583" i="25"/>
  <c r="CU584" i="25"/>
  <c r="CU585" i="25"/>
  <c r="CU586" i="25"/>
  <c r="CU587" i="25"/>
  <c r="CU588" i="25"/>
  <c r="CU589" i="25"/>
  <c r="CU590" i="25"/>
  <c r="CU591" i="25"/>
  <c r="CU592" i="25"/>
  <c r="CU593" i="25"/>
  <c r="CU594" i="25"/>
  <c r="CU595" i="25"/>
  <c r="CU596" i="25"/>
  <c r="CU597" i="25"/>
  <c r="CU598" i="25"/>
  <c r="CU599" i="25"/>
  <c r="CU600" i="25"/>
  <c r="CV404" i="25"/>
  <c r="CV405" i="25"/>
  <c r="CV406" i="25"/>
  <c r="CV407" i="25"/>
  <c r="CV408" i="25"/>
  <c r="CV409" i="25"/>
  <c r="CV410" i="25"/>
  <c r="CV411" i="25"/>
  <c r="CV412" i="25"/>
  <c r="CV413" i="25"/>
  <c r="CV414" i="25"/>
  <c r="CV415" i="25"/>
  <c r="CV416" i="25"/>
  <c r="CV417" i="25"/>
  <c r="CV418" i="25"/>
  <c r="CV419" i="25"/>
  <c r="CV420" i="25"/>
  <c r="CV421" i="25"/>
  <c r="CV422" i="25"/>
  <c r="CV423" i="25"/>
  <c r="CV424" i="25"/>
  <c r="CV425" i="25"/>
  <c r="CV426" i="25"/>
  <c r="CV427" i="25"/>
  <c r="CV428" i="25"/>
  <c r="CV429" i="25"/>
  <c r="CV430" i="25"/>
  <c r="CV431" i="25"/>
  <c r="CV432" i="25"/>
  <c r="CV433" i="25"/>
  <c r="CV434" i="25"/>
  <c r="CV435" i="25"/>
  <c r="CV436" i="25"/>
  <c r="CV437" i="25"/>
  <c r="CV438" i="25"/>
  <c r="CV439" i="25"/>
  <c r="CV440" i="25"/>
  <c r="CV441" i="25"/>
  <c r="CV442" i="25"/>
  <c r="CV443" i="25"/>
  <c r="CV444" i="25"/>
  <c r="CV445" i="25"/>
  <c r="CV446" i="25"/>
  <c r="CV447" i="25"/>
  <c r="CV448" i="25"/>
  <c r="CV449" i="25"/>
  <c r="CV450" i="25"/>
  <c r="CV451" i="25"/>
  <c r="CV452" i="25"/>
  <c r="CV453" i="25"/>
  <c r="CV454" i="25"/>
  <c r="CV455" i="25"/>
  <c r="CV456" i="25"/>
  <c r="CV457" i="25"/>
  <c r="CV458" i="25"/>
  <c r="CV464" i="25"/>
  <c r="CV460" i="25"/>
  <c r="CV461" i="25"/>
  <c r="CV462" i="25"/>
  <c r="CV463" i="25"/>
  <c r="CV472" i="25"/>
  <c r="CV465" i="25"/>
  <c r="CV466" i="25"/>
  <c r="CV467" i="25"/>
  <c r="CV468" i="25"/>
  <c r="CV558" i="25"/>
  <c r="CV470" i="25"/>
  <c r="CV564" i="25"/>
  <c r="CV473" i="25"/>
  <c r="CV459" i="25"/>
  <c r="CV474" i="25"/>
  <c r="CV475" i="25"/>
  <c r="CV476" i="25"/>
  <c r="CV477" i="25"/>
  <c r="CV478" i="25"/>
  <c r="CV479" i="25"/>
  <c r="CV480" i="25"/>
  <c r="CV481" i="25"/>
  <c r="CV482" i="25"/>
  <c r="CV483" i="25"/>
  <c r="CV484" i="25"/>
  <c r="CV485" i="25"/>
  <c r="CV486" i="25"/>
  <c r="CV487" i="25"/>
  <c r="CV488" i="25"/>
  <c r="CV489" i="25"/>
  <c r="CV490" i="25"/>
  <c r="CV491" i="25"/>
  <c r="CV492" i="25"/>
  <c r="CV493" i="25"/>
  <c r="CV494" i="25"/>
  <c r="CV495" i="25"/>
  <c r="CV496" i="25"/>
  <c r="CV497" i="25"/>
  <c r="CV498" i="25"/>
  <c r="CV499" i="25"/>
  <c r="CV500" i="25"/>
  <c r="CV501" i="25"/>
  <c r="CV502" i="25"/>
  <c r="CV503" i="25"/>
  <c r="CV504" i="25"/>
  <c r="CV505" i="25"/>
  <c r="CV506" i="25"/>
  <c r="CV507" i="25"/>
  <c r="CV508" i="25"/>
  <c r="CV509" i="25"/>
  <c r="CV510" i="25"/>
  <c r="CV511" i="25"/>
  <c r="CV512" i="25"/>
  <c r="CV513" i="25"/>
  <c r="CV514" i="25"/>
  <c r="CV515" i="25"/>
  <c r="CV516" i="25"/>
  <c r="CV517" i="25"/>
  <c r="CV518" i="25"/>
  <c r="CV519" i="25"/>
  <c r="CV520" i="25"/>
  <c r="CV521" i="25"/>
  <c r="CV522" i="25"/>
  <c r="CV523" i="25"/>
  <c r="CV524" i="25"/>
  <c r="CV525" i="25"/>
  <c r="CV526" i="25"/>
  <c r="CV527" i="25"/>
  <c r="CV528" i="25"/>
  <c r="CV529" i="25"/>
  <c r="CV530" i="25"/>
  <c r="CV531" i="25"/>
  <c r="CV532" i="25"/>
  <c r="CV533" i="25"/>
  <c r="CV534" i="25"/>
  <c r="CV535" i="25"/>
  <c r="CV536" i="25"/>
  <c r="CV537" i="25"/>
  <c r="CV538" i="25"/>
  <c r="CV539" i="25"/>
  <c r="CV540" i="25"/>
  <c r="CV541" i="25"/>
  <c r="CV542" i="25"/>
  <c r="CV543" i="25"/>
  <c r="CV544" i="25"/>
  <c r="CV545" i="25"/>
  <c r="CV546" i="25"/>
  <c r="CV547" i="25"/>
  <c r="CV469" i="25"/>
  <c r="CV549" i="25"/>
  <c r="CV550" i="25"/>
  <c r="CV551" i="25"/>
  <c r="CV552" i="25"/>
  <c r="CV553" i="25"/>
  <c r="CV471" i="25"/>
  <c r="CV555" i="25"/>
  <c r="CV556" i="25"/>
  <c r="CV557" i="25"/>
  <c r="CV548" i="25"/>
  <c r="CV559" i="25"/>
  <c r="CV560" i="25"/>
  <c r="CV561" i="25"/>
  <c r="CV562" i="25"/>
  <c r="CV563" i="25"/>
  <c r="CV554" i="25"/>
  <c r="CV565" i="25"/>
  <c r="CV566" i="25"/>
  <c r="CV567" i="25"/>
  <c r="CV568" i="25"/>
  <c r="CV569" i="25"/>
  <c r="CV570" i="25"/>
  <c r="CV571" i="25"/>
  <c r="CV572" i="25"/>
  <c r="CV573" i="25"/>
  <c r="CV574" i="25"/>
  <c r="CV575" i="25"/>
  <c r="CV576" i="25"/>
  <c r="CV577" i="25"/>
  <c r="CV578" i="25"/>
  <c r="CV579" i="25"/>
  <c r="CV580" i="25"/>
  <c r="CV581" i="25"/>
  <c r="CV582" i="25"/>
  <c r="CV583" i="25"/>
  <c r="CV584" i="25"/>
  <c r="CV585" i="25"/>
  <c r="CV586" i="25"/>
  <c r="CV587" i="25"/>
  <c r="CV588" i="25"/>
  <c r="CV589" i="25"/>
  <c r="CV590" i="25"/>
  <c r="CV591" i="25"/>
  <c r="CV592" i="25"/>
  <c r="CV593" i="25"/>
  <c r="CV594" i="25"/>
  <c r="CV595" i="25"/>
  <c r="CV596" i="25"/>
  <c r="CV597" i="25"/>
  <c r="CV598" i="25"/>
  <c r="CV599" i="25"/>
  <c r="CV600" i="25"/>
  <c r="DA404" i="25"/>
  <c r="DA405" i="25"/>
  <c r="DA406" i="25"/>
  <c r="DA407" i="25"/>
  <c r="DA408" i="25"/>
  <c r="DA409" i="25"/>
  <c r="DA410" i="25"/>
  <c r="DA411" i="25"/>
  <c r="DA412" i="25"/>
  <c r="DA413" i="25"/>
  <c r="DA414" i="25"/>
  <c r="DA415" i="25"/>
  <c r="DA416" i="25"/>
  <c r="DA417" i="25"/>
  <c r="DA418" i="25"/>
  <c r="DA419" i="25"/>
  <c r="DA420" i="25"/>
  <c r="DA421" i="25"/>
  <c r="DA422" i="25"/>
  <c r="DA423" i="25"/>
  <c r="DA424" i="25"/>
  <c r="DA425" i="25"/>
  <c r="DA426" i="25"/>
  <c r="DA427" i="25"/>
  <c r="DA428" i="25"/>
  <c r="DA429" i="25"/>
  <c r="DA430" i="25"/>
  <c r="DA431" i="25"/>
  <c r="DA432" i="25"/>
  <c r="DA433" i="25"/>
  <c r="DA434" i="25"/>
  <c r="DA435" i="25"/>
  <c r="DA436" i="25"/>
  <c r="DA437" i="25"/>
  <c r="DA438" i="25"/>
  <c r="DA439" i="25"/>
  <c r="DA440" i="25"/>
  <c r="DA441" i="25"/>
  <c r="DA442" i="25"/>
  <c r="DA443" i="25"/>
  <c r="DA444" i="25"/>
  <c r="DA445" i="25"/>
  <c r="DA446" i="25"/>
  <c r="DA447" i="25"/>
  <c r="DA448" i="25"/>
  <c r="DA449" i="25"/>
  <c r="DA450" i="25"/>
  <c r="DA451" i="25"/>
  <c r="DA452" i="25"/>
  <c r="DA453" i="25"/>
  <c r="DA454" i="25"/>
  <c r="DA455" i="25"/>
  <c r="DA456" i="25"/>
  <c r="DA457" i="25"/>
  <c r="DA458" i="25"/>
  <c r="DA464" i="25"/>
  <c r="DA460" i="25"/>
  <c r="DA461" i="25"/>
  <c r="DA462" i="25"/>
  <c r="DA463" i="25"/>
  <c r="DA472" i="25"/>
  <c r="DA465" i="25"/>
  <c r="DA466" i="25"/>
  <c r="DA467" i="25"/>
  <c r="DA468" i="25"/>
  <c r="DA558" i="25"/>
  <c r="DA470" i="25"/>
  <c r="DA564" i="25"/>
  <c r="DA473" i="25"/>
  <c r="DA459" i="25"/>
  <c r="DA474" i="25"/>
  <c r="DA475" i="25"/>
  <c r="DA476" i="25"/>
  <c r="DA477" i="25"/>
  <c r="DA478" i="25"/>
  <c r="DA479" i="25"/>
  <c r="DA480" i="25"/>
  <c r="DA481" i="25"/>
  <c r="DA482" i="25"/>
  <c r="DA483" i="25"/>
  <c r="DA484" i="25"/>
  <c r="DA485" i="25"/>
  <c r="DA486" i="25"/>
  <c r="DA487" i="25"/>
  <c r="DA488" i="25"/>
  <c r="DA489" i="25"/>
  <c r="DA490" i="25"/>
  <c r="DA491" i="25"/>
  <c r="DA492" i="25"/>
  <c r="DA493" i="25"/>
  <c r="DA494" i="25"/>
  <c r="DA495" i="25"/>
  <c r="DA496" i="25"/>
  <c r="DA497" i="25"/>
  <c r="DA498" i="25"/>
  <c r="DA499" i="25"/>
  <c r="DA500" i="25"/>
  <c r="DA501" i="25"/>
  <c r="DA502" i="25"/>
  <c r="DA503" i="25"/>
  <c r="DA504" i="25"/>
  <c r="DA505" i="25"/>
  <c r="DA506" i="25"/>
  <c r="DA507" i="25"/>
  <c r="DA508" i="25"/>
  <c r="DA509" i="25"/>
  <c r="DA510" i="25"/>
  <c r="DA511" i="25"/>
  <c r="DA512" i="25"/>
  <c r="DA513" i="25"/>
  <c r="DA514" i="25"/>
  <c r="DA515" i="25"/>
  <c r="DA516" i="25"/>
  <c r="DA517" i="25"/>
  <c r="DA518" i="25"/>
  <c r="DA519" i="25"/>
  <c r="DA520" i="25"/>
  <c r="DA521" i="25"/>
  <c r="DA522" i="25"/>
  <c r="DA523" i="25"/>
  <c r="DA524" i="25"/>
  <c r="DA525" i="25"/>
  <c r="DA526" i="25"/>
  <c r="DA527" i="25"/>
  <c r="DA528" i="25"/>
  <c r="DA529" i="25"/>
  <c r="DA530" i="25"/>
  <c r="DA531" i="25"/>
  <c r="DA532" i="25"/>
  <c r="DA533" i="25"/>
  <c r="DA534" i="25"/>
  <c r="DA535" i="25"/>
  <c r="DA536" i="25"/>
  <c r="DA537" i="25"/>
  <c r="DA538" i="25"/>
  <c r="DA539" i="25"/>
  <c r="DA540" i="25"/>
  <c r="DA541" i="25"/>
  <c r="DA542" i="25"/>
  <c r="DA543" i="25"/>
  <c r="DA544" i="25"/>
  <c r="DA545" i="25"/>
  <c r="DA546" i="25"/>
  <c r="DA547" i="25"/>
  <c r="DA469" i="25"/>
  <c r="DA549" i="25"/>
  <c r="DA550" i="25"/>
  <c r="DA551" i="25"/>
  <c r="DA552" i="25"/>
  <c r="DA553" i="25"/>
  <c r="DA471" i="25"/>
  <c r="DA555" i="25"/>
  <c r="DA556" i="25"/>
  <c r="DA557" i="25"/>
  <c r="DA548" i="25"/>
  <c r="DA559" i="25"/>
  <c r="DA560" i="25"/>
  <c r="DA561" i="25"/>
  <c r="DA562" i="25"/>
  <c r="DA563" i="25"/>
  <c r="DA554" i="25"/>
  <c r="DA565" i="25"/>
  <c r="DA566" i="25"/>
  <c r="DA567" i="25"/>
  <c r="DA568" i="25"/>
  <c r="DA569" i="25"/>
  <c r="DA570" i="25"/>
  <c r="DA571" i="25"/>
  <c r="DA572" i="25"/>
  <c r="DA573" i="25"/>
  <c r="DA574" i="25"/>
  <c r="DA575" i="25"/>
  <c r="DA576" i="25"/>
  <c r="DA577" i="25"/>
  <c r="DA578" i="25"/>
  <c r="DA579" i="25"/>
  <c r="DA580" i="25"/>
  <c r="DA581" i="25"/>
  <c r="DA582" i="25"/>
  <c r="DA583" i="25"/>
  <c r="DA584" i="25"/>
  <c r="DA585" i="25"/>
  <c r="DA586" i="25"/>
  <c r="DA587" i="25"/>
  <c r="DA588" i="25"/>
  <c r="DA589" i="25"/>
  <c r="DA590" i="25"/>
  <c r="DA591" i="25"/>
  <c r="DA592" i="25"/>
  <c r="DA593" i="25"/>
  <c r="DA594" i="25"/>
  <c r="DA595" i="25"/>
  <c r="DA596" i="25"/>
  <c r="DA597" i="25"/>
  <c r="DA598" i="25"/>
  <c r="DA599" i="25"/>
  <c r="DA600" i="25"/>
  <c r="DF404" i="25"/>
  <c r="DF405" i="25"/>
  <c r="DF406" i="25"/>
  <c r="DF407" i="25"/>
  <c r="DF408" i="25"/>
  <c r="DF409" i="25"/>
  <c r="DF410" i="25"/>
  <c r="DF411" i="25"/>
  <c r="DF412" i="25"/>
  <c r="DF413" i="25"/>
  <c r="DF414" i="25"/>
  <c r="DF415" i="25"/>
  <c r="DF416" i="25"/>
  <c r="DF417" i="25"/>
  <c r="DF418" i="25"/>
  <c r="DF419" i="25"/>
  <c r="DF420" i="25"/>
  <c r="DF421" i="25"/>
  <c r="DF422" i="25"/>
  <c r="DF423" i="25"/>
  <c r="DF424" i="25"/>
  <c r="DF425" i="25"/>
  <c r="DF426" i="25"/>
  <c r="DF427" i="25"/>
  <c r="DF428" i="25"/>
  <c r="DF429" i="25"/>
  <c r="DF430" i="25"/>
  <c r="DF431" i="25"/>
  <c r="DF432" i="25"/>
  <c r="DF433" i="25"/>
  <c r="DF434" i="25"/>
  <c r="DF435" i="25"/>
  <c r="DF436" i="25"/>
  <c r="DF437" i="25"/>
  <c r="DF438" i="25"/>
  <c r="DF439" i="25"/>
  <c r="DF440" i="25"/>
  <c r="DF441" i="25"/>
  <c r="DF442" i="25"/>
  <c r="DF443" i="25"/>
  <c r="DF444" i="25"/>
  <c r="DF445" i="25"/>
  <c r="DF446" i="25"/>
  <c r="DF447" i="25"/>
  <c r="DF448" i="25"/>
  <c r="DF449" i="25"/>
  <c r="DF450" i="25"/>
  <c r="DF451" i="25"/>
  <c r="DF452" i="25"/>
  <c r="DF453" i="25"/>
  <c r="DF454" i="25"/>
  <c r="DF455" i="25"/>
  <c r="DF456" i="25"/>
  <c r="DF457" i="25"/>
  <c r="DF458" i="25"/>
  <c r="DF464" i="25"/>
  <c r="DF460" i="25"/>
  <c r="DF461" i="25"/>
  <c r="DF462" i="25"/>
  <c r="DF463" i="25"/>
  <c r="DF472" i="25"/>
  <c r="DF465" i="25"/>
  <c r="DF466" i="25"/>
  <c r="DF467" i="25"/>
  <c r="DF468" i="25"/>
  <c r="DF558" i="25"/>
  <c r="DF470" i="25"/>
  <c r="DF564" i="25"/>
  <c r="DF473" i="25"/>
  <c r="DF459" i="25"/>
  <c r="DF474" i="25"/>
  <c r="DF475" i="25"/>
  <c r="DF476" i="25"/>
  <c r="DF477" i="25"/>
  <c r="DF478" i="25"/>
  <c r="DF479" i="25"/>
  <c r="DF480" i="25"/>
  <c r="DF481" i="25"/>
  <c r="DF482" i="25"/>
  <c r="DF483" i="25"/>
  <c r="DF484" i="25"/>
  <c r="DF485" i="25"/>
  <c r="DF486" i="25"/>
  <c r="DF487" i="25"/>
  <c r="DF488" i="25"/>
  <c r="DF489" i="25"/>
  <c r="DF490" i="25"/>
  <c r="DF491" i="25"/>
  <c r="DF492" i="25"/>
  <c r="DF493" i="25"/>
  <c r="DF494" i="25"/>
  <c r="DF495" i="25"/>
  <c r="DF496" i="25"/>
  <c r="DF497" i="25"/>
  <c r="DF498" i="25"/>
  <c r="DF499" i="25"/>
  <c r="DF500" i="25"/>
  <c r="DF501" i="25"/>
  <c r="DF502" i="25"/>
  <c r="DF503" i="25"/>
  <c r="DF504" i="25"/>
  <c r="DF505" i="25"/>
  <c r="DF506" i="25"/>
  <c r="DF507" i="25"/>
  <c r="DF508" i="25"/>
  <c r="DF509" i="25"/>
  <c r="DF510" i="25"/>
  <c r="DF511" i="25"/>
  <c r="DF512" i="25"/>
  <c r="DF513" i="25"/>
  <c r="DF514" i="25"/>
  <c r="DF515" i="25"/>
  <c r="DF516" i="25"/>
  <c r="DF517" i="25"/>
  <c r="DF518" i="25"/>
  <c r="DF519" i="25"/>
  <c r="DF520" i="25"/>
  <c r="DF521" i="25"/>
  <c r="DF522" i="25"/>
  <c r="DF523" i="25"/>
  <c r="DF524" i="25"/>
  <c r="DF525" i="25"/>
  <c r="DF526" i="25"/>
  <c r="DF527" i="25"/>
  <c r="DF528" i="25"/>
  <c r="DF529" i="25"/>
  <c r="DF530" i="25"/>
  <c r="DF531" i="25"/>
  <c r="DF532" i="25"/>
  <c r="DF533" i="25"/>
  <c r="DF534" i="25"/>
  <c r="DF535" i="25"/>
  <c r="DF536" i="25"/>
  <c r="DF537" i="25"/>
  <c r="DF538" i="25"/>
  <c r="DF539" i="25"/>
  <c r="DF540" i="25"/>
  <c r="DF541" i="25"/>
  <c r="DF542" i="25"/>
  <c r="DF543" i="25"/>
  <c r="DF544" i="25"/>
  <c r="DF545" i="25"/>
  <c r="DF546" i="25"/>
  <c r="DF547" i="25"/>
  <c r="DF469" i="25"/>
  <c r="DF549" i="25"/>
  <c r="DF550" i="25"/>
  <c r="DF551" i="25"/>
  <c r="DF552" i="25"/>
  <c r="DF553" i="25"/>
  <c r="DF471" i="25"/>
  <c r="DF555" i="25"/>
  <c r="DF556" i="25"/>
  <c r="DF557" i="25"/>
  <c r="DF548" i="25"/>
  <c r="DF559" i="25"/>
  <c r="DF560" i="25"/>
  <c r="DF561" i="25"/>
  <c r="DF562" i="25"/>
  <c r="DF563" i="25"/>
  <c r="DF554" i="25"/>
  <c r="DF565" i="25"/>
  <c r="DF566" i="25"/>
  <c r="DF567" i="25"/>
  <c r="DF568" i="25"/>
  <c r="DF569" i="25"/>
  <c r="DF570" i="25"/>
  <c r="DF571" i="25"/>
  <c r="DF572" i="25"/>
  <c r="DF573" i="25"/>
  <c r="DF574" i="25"/>
  <c r="DF575" i="25"/>
  <c r="DF576" i="25"/>
  <c r="DF577" i="25"/>
  <c r="DF578" i="25"/>
  <c r="DF579" i="25"/>
  <c r="DF580" i="25"/>
  <c r="DF581" i="25"/>
  <c r="DF582" i="25"/>
  <c r="DF583" i="25"/>
  <c r="DF584" i="25"/>
  <c r="DF585" i="25"/>
  <c r="DF586" i="25"/>
  <c r="DF587" i="25"/>
  <c r="DF588" i="25"/>
  <c r="DF589" i="25"/>
  <c r="DF590" i="25"/>
  <c r="DF591" i="25"/>
  <c r="DF592" i="25"/>
  <c r="DF593" i="25"/>
  <c r="DF594" i="25"/>
  <c r="DF595" i="25"/>
  <c r="DF596" i="25"/>
  <c r="DF597" i="25"/>
  <c r="DF598" i="25"/>
  <c r="DF599" i="25"/>
  <c r="DF600" i="25"/>
  <c r="DG404" i="25"/>
  <c r="DN404" i="25" s="1"/>
  <c r="DG405" i="25"/>
  <c r="DN405" i="25" s="1"/>
  <c r="DG406" i="25"/>
  <c r="DN406" i="25" s="1"/>
  <c r="DG407" i="25"/>
  <c r="DN407" i="25" s="1"/>
  <c r="DG408" i="25"/>
  <c r="DN408" i="25" s="1"/>
  <c r="DG409" i="25"/>
  <c r="DG410" i="25"/>
  <c r="DN410" i="25" s="1"/>
  <c r="DG411" i="25"/>
  <c r="DN411" i="25" s="1"/>
  <c r="DG412" i="25"/>
  <c r="DN412" i="25" s="1"/>
  <c r="DG413" i="25"/>
  <c r="DN413" i="25" s="1"/>
  <c r="DG414" i="25"/>
  <c r="DN414" i="25" s="1"/>
  <c r="DG415" i="25"/>
  <c r="DN415" i="25" s="1"/>
  <c r="DG416" i="25"/>
  <c r="DG417" i="25"/>
  <c r="DG418" i="25"/>
  <c r="DN418" i="25" s="1"/>
  <c r="DG419" i="25"/>
  <c r="DN419" i="25" s="1"/>
  <c r="DG420" i="25"/>
  <c r="DN420" i="25" s="1"/>
  <c r="DG421" i="25"/>
  <c r="DN421" i="25" s="1"/>
  <c r="DG422" i="25"/>
  <c r="DN422" i="25" s="1"/>
  <c r="DG423" i="25"/>
  <c r="DN423" i="25" s="1"/>
  <c r="DG424" i="25"/>
  <c r="DN424" i="25" s="1"/>
  <c r="DG425" i="25"/>
  <c r="DG426" i="25"/>
  <c r="DN426" i="25" s="1"/>
  <c r="DG427" i="25"/>
  <c r="DN427" i="25" s="1"/>
  <c r="DG428" i="25"/>
  <c r="DN428" i="25" s="1"/>
  <c r="DG429" i="25"/>
  <c r="DN429" i="25" s="1"/>
  <c r="DG430" i="25"/>
  <c r="DN430" i="25" s="1"/>
  <c r="DG431" i="25"/>
  <c r="DN431" i="25" s="1"/>
  <c r="DG432" i="25"/>
  <c r="DN432" i="25" s="1"/>
  <c r="DG433" i="25"/>
  <c r="DG434" i="25"/>
  <c r="DN434" i="25" s="1"/>
  <c r="DG435" i="25"/>
  <c r="DN435" i="25" s="1"/>
  <c r="DG436" i="25"/>
  <c r="DN436" i="25" s="1"/>
  <c r="DG437" i="25"/>
  <c r="DN437" i="25" s="1"/>
  <c r="DG438" i="25"/>
  <c r="DN438" i="25" s="1"/>
  <c r="DG439" i="25"/>
  <c r="DN439" i="25" s="1"/>
  <c r="DG440" i="25"/>
  <c r="DN440" i="25" s="1"/>
  <c r="DG441" i="25"/>
  <c r="DG442" i="25"/>
  <c r="DN442" i="25" s="1"/>
  <c r="DG443" i="25"/>
  <c r="DN443" i="25" s="1"/>
  <c r="DG444" i="25"/>
  <c r="DN444" i="25" s="1"/>
  <c r="DG445" i="25"/>
  <c r="DN445" i="25" s="1"/>
  <c r="DG446" i="25"/>
  <c r="DN446" i="25" s="1"/>
  <c r="DG447" i="25"/>
  <c r="DN447" i="25" s="1"/>
  <c r="DG448" i="25"/>
  <c r="DG449" i="25"/>
  <c r="DG450" i="25"/>
  <c r="DN450" i="25" s="1"/>
  <c r="DG451" i="25"/>
  <c r="DN451" i="25" s="1"/>
  <c r="DG452" i="25"/>
  <c r="DN452" i="25" s="1"/>
  <c r="DG453" i="25"/>
  <c r="DN453" i="25" s="1"/>
  <c r="DG454" i="25"/>
  <c r="DN454" i="25" s="1"/>
  <c r="DG455" i="25"/>
  <c r="DN455" i="25" s="1"/>
  <c r="DG456" i="25"/>
  <c r="DN456" i="25" s="1"/>
  <c r="DG457" i="25"/>
  <c r="DG458" i="25"/>
  <c r="DN458" i="25" s="1"/>
  <c r="DG464" i="25"/>
  <c r="DN464" i="25" s="1"/>
  <c r="DG460" i="25"/>
  <c r="DN460" i="25" s="1"/>
  <c r="DG461" i="25"/>
  <c r="DN461" i="25" s="1"/>
  <c r="DG462" i="25"/>
  <c r="DN462" i="25" s="1"/>
  <c r="DG463" i="25"/>
  <c r="DN463" i="25" s="1"/>
  <c r="DG472" i="25"/>
  <c r="DN472" i="25" s="1"/>
  <c r="DG465" i="25"/>
  <c r="DG466" i="25"/>
  <c r="DN466" i="25" s="1"/>
  <c r="DG467" i="25"/>
  <c r="DN467" i="25" s="1"/>
  <c r="DG468" i="25"/>
  <c r="DN468" i="25" s="1"/>
  <c r="DG558" i="25"/>
  <c r="DN558" i="25" s="1"/>
  <c r="DG470" i="25"/>
  <c r="DN470" i="25" s="1"/>
  <c r="DG564" i="25"/>
  <c r="DN564" i="25" s="1"/>
  <c r="DG473" i="25"/>
  <c r="DN473" i="25" s="1"/>
  <c r="DG459" i="25"/>
  <c r="DG474" i="25"/>
  <c r="DN474" i="25" s="1"/>
  <c r="DG475" i="25"/>
  <c r="DN475" i="25" s="1"/>
  <c r="DG476" i="25"/>
  <c r="DN476" i="25" s="1"/>
  <c r="DG477" i="25"/>
  <c r="DN477" i="25" s="1"/>
  <c r="DG478" i="25"/>
  <c r="DN478" i="25" s="1"/>
  <c r="DG479" i="25"/>
  <c r="DN479" i="25" s="1"/>
  <c r="DG480" i="25"/>
  <c r="DN480" i="25" s="1"/>
  <c r="DG481" i="25"/>
  <c r="DG482" i="25"/>
  <c r="DN482" i="25" s="1"/>
  <c r="DG483" i="25"/>
  <c r="DN483" i="25" s="1"/>
  <c r="DG484" i="25"/>
  <c r="DN484" i="25" s="1"/>
  <c r="DG485" i="25"/>
  <c r="DN485" i="25" s="1"/>
  <c r="DG486" i="25"/>
  <c r="DN486" i="25" s="1"/>
  <c r="DG487" i="25"/>
  <c r="DN487" i="25" s="1"/>
  <c r="DG488" i="25"/>
  <c r="DN488" i="25" s="1"/>
  <c r="DG489" i="25"/>
  <c r="DG490" i="25"/>
  <c r="DN490" i="25" s="1"/>
  <c r="DG491" i="25"/>
  <c r="DN491" i="25" s="1"/>
  <c r="DG492" i="25"/>
  <c r="DN492" i="25" s="1"/>
  <c r="DG493" i="25"/>
  <c r="DN493" i="25" s="1"/>
  <c r="DG494" i="25"/>
  <c r="DN494" i="25" s="1"/>
  <c r="DG495" i="25"/>
  <c r="DN495" i="25" s="1"/>
  <c r="DG496" i="25"/>
  <c r="DN496" i="25" s="1"/>
  <c r="DG497" i="25"/>
  <c r="DG498" i="25"/>
  <c r="DN498" i="25" s="1"/>
  <c r="DG499" i="25"/>
  <c r="DN499" i="25" s="1"/>
  <c r="DG500" i="25"/>
  <c r="DN500" i="25" s="1"/>
  <c r="DG501" i="25"/>
  <c r="DN501" i="25" s="1"/>
  <c r="DG502" i="25"/>
  <c r="DN502" i="25" s="1"/>
  <c r="DG503" i="25"/>
  <c r="DN503" i="25" s="1"/>
  <c r="DG504" i="25"/>
  <c r="DN504" i="25" s="1"/>
  <c r="DG505" i="25"/>
  <c r="DG506" i="25"/>
  <c r="DN506" i="25" s="1"/>
  <c r="DG507" i="25"/>
  <c r="DN507" i="25" s="1"/>
  <c r="DG508" i="25"/>
  <c r="DN508" i="25" s="1"/>
  <c r="DG509" i="25"/>
  <c r="DN509" i="25" s="1"/>
  <c r="DG510" i="25"/>
  <c r="DN510" i="25" s="1"/>
  <c r="DG511" i="25"/>
  <c r="DN511" i="25" s="1"/>
  <c r="DG512" i="25"/>
  <c r="DN512" i="25" s="1"/>
  <c r="DG513" i="25"/>
  <c r="DG514" i="25"/>
  <c r="DN514" i="25" s="1"/>
  <c r="DG515" i="25"/>
  <c r="DN515" i="25" s="1"/>
  <c r="DG516" i="25"/>
  <c r="DN516" i="25" s="1"/>
  <c r="DG517" i="25"/>
  <c r="DN517" i="25" s="1"/>
  <c r="DG518" i="25"/>
  <c r="DN518" i="25" s="1"/>
  <c r="DG519" i="25"/>
  <c r="DN519" i="25" s="1"/>
  <c r="DG520" i="25"/>
  <c r="DN520" i="25" s="1"/>
  <c r="DG521" i="25"/>
  <c r="DG522" i="25"/>
  <c r="DN522" i="25" s="1"/>
  <c r="DG523" i="25"/>
  <c r="DN523" i="25" s="1"/>
  <c r="DG524" i="25"/>
  <c r="DN524" i="25" s="1"/>
  <c r="DG525" i="25"/>
  <c r="DN525" i="25" s="1"/>
  <c r="DG526" i="25"/>
  <c r="DN526" i="25" s="1"/>
  <c r="DG527" i="25"/>
  <c r="DN527" i="25" s="1"/>
  <c r="DG528" i="25"/>
  <c r="DN528" i="25" s="1"/>
  <c r="DG529" i="25"/>
  <c r="DG530" i="25"/>
  <c r="DN530" i="25" s="1"/>
  <c r="DG531" i="25"/>
  <c r="DN531" i="25" s="1"/>
  <c r="DG532" i="25"/>
  <c r="DN532" i="25" s="1"/>
  <c r="DG533" i="25"/>
  <c r="DN533" i="25" s="1"/>
  <c r="DG534" i="25"/>
  <c r="DN534" i="25" s="1"/>
  <c r="DG535" i="25"/>
  <c r="DN535" i="25" s="1"/>
  <c r="DG536" i="25"/>
  <c r="DN536" i="25" s="1"/>
  <c r="DG537" i="25"/>
  <c r="DG538" i="25"/>
  <c r="DN538" i="25" s="1"/>
  <c r="DG539" i="25"/>
  <c r="DN539" i="25" s="1"/>
  <c r="DG540" i="25"/>
  <c r="DN540" i="25" s="1"/>
  <c r="DG541" i="25"/>
  <c r="DN541" i="25" s="1"/>
  <c r="DG542" i="25"/>
  <c r="DN542" i="25" s="1"/>
  <c r="DG543" i="25"/>
  <c r="DN543" i="25" s="1"/>
  <c r="DG544" i="25"/>
  <c r="DN544" i="25" s="1"/>
  <c r="DG545" i="25"/>
  <c r="DG546" i="25"/>
  <c r="DN546" i="25" s="1"/>
  <c r="DG547" i="25"/>
  <c r="DN547" i="25" s="1"/>
  <c r="DG469" i="25"/>
  <c r="DN469" i="25" s="1"/>
  <c r="DG549" i="25"/>
  <c r="DN549" i="25" s="1"/>
  <c r="DG550" i="25"/>
  <c r="DN550" i="25" s="1"/>
  <c r="DG551" i="25"/>
  <c r="DN551" i="25" s="1"/>
  <c r="DG552" i="25"/>
  <c r="DN552" i="25" s="1"/>
  <c r="DG553" i="25"/>
  <c r="DG471" i="25"/>
  <c r="DN471" i="25" s="1"/>
  <c r="DG555" i="25"/>
  <c r="DN555" i="25" s="1"/>
  <c r="DG556" i="25"/>
  <c r="DN556" i="25" s="1"/>
  <c r="DG557" i="25"/>
  <c r="DN557" i="25" s="1"/>
  <c r="DG548" i="25"/>
  <c r="DN548" i="25" s="1"/>
  <c r="DG559" i="25"/>
  <c r="DN559" i="25" s="1"/>
  <c r="DG560" i="25"/>
  <c r="DN560" i="25" s="1"/>
  <c r="DG561" i="25"/>
  <c r="DG562" i="25"/>
  <c r="DN562" i="25" s="1"/>
  <c r="DG563" i="25"/>
  <c r="DN563" i="25" s="1"/>
  <c r="DG554" i="25"/>
  <c r="DN554" i="25" s="1"/>
  <c r="DG565" i="25"/>
  <c r="DN565" i="25" s="1"/>
  <c r="DG566" i="25"/>
  <c r="DN566" i="25" s="1"/>
  <c r="DG567" i="25"/>
  <c r="DN567" i="25" s="1"/>
  <c r="DG568" i="25"/>
  <c r="DN568" i="25" s="1"/>
  <c r="DG569" i="25"/>
  <c r="DG570" i="25"/>
  <c r="DN570" i="25" s="1"/>
  <c r="DG571" i="25"/>
  <c r="DN571" i="25" s="1"/>
  <c r="DG572" i="25"/>
  <c r="DN572" i="25" s="1"/>
  <c r="DG573" i="25"/>
  <c r="DN573" i="25" s="1"/>
  <c r="DG574" i="25"/>
  <c r="DN574" i="25" s="1"/>
  <c r="DG575" i="25"/>
  <c r="DN575" i="25" s="1"/>
  <c r="DG576" i="25"/>
  <c r="DN576" i="25" s="1"/>
  <c r="DG577" i="25"/>
  <c r="DG578" i="25"/>
  <c r="DN578" i="25" s="1"/>
  <c r="DG579" i="25"/>
  <c r="DN579" i="25" s="1"/>
  <c r="DG580" i="25"/>
  <c r="DN580" i="25" s="1"/>
  <c r="DG581" i="25"/>
  <c r="DN581" i="25" s="1"/>
  <c r="DG582" i="25"/>
  <c r="DN582" i="25" s="1"/>
  <c r="DG583" i="25"/>
  <c r="DN583" i="25" s="1"/>
  <c r="DG584" i="25"/>
  <c r="DN584" i="25" s="1"/>
  <c r="DG585" i="25"/>
  <c r="DG586" i="25"/>
  <c r="DN586" i="25" s="1"/>
  <c r="DG587" i="25"/>
  <c r="DN587" i="25" s="1"/>
  <c r="DG588" i="25"/>
  <c r="DN588" i="25" s="1"/>
  <c r="DG589" i="25"/>
  <c r="DN589" i="25" s="1"/>
  <c r="DG590" i="25"/>
  <c r="DN590" i="25" s="1"/>
  <c r="DG591" i="25"/>
  <c r="DN591" i="25" s="1"/>
  <c r="DG592" i="25"/>
  <c r="DG593" i="25"/>
  <c r="DG594" i="25"/>
  <c r="DN594" i="25" s="1"/>
  <c r="DG595" i="25"/>
  <c r="DN595" i="25" s="1"/>
  <c r="DG596" i="25"/>
  <c r="DN596" i="25" s="1"/>
  <c r="DG597" i="25"/>
  <c r="DN597" i="25" s="1"/>
  <c r="DG598" i="25"/>
  <c r="DN598" i="25" s="1"/>
  <c r="DG599" i="25"/>
  <c r="DN599" i="25" s="1"/>
  <c r="DG600" i="25"/>
  <c r="DN600" i="25" s="1"/>
  <c r="DH404" i="25"/>
  <c r="DH405" i="25"/>
  <c r="DH406" i="25"/>
  <c r="DH407" i="25"/>
  <c r="DH408" i="25"/>
  <c r="DH409" i="25"/>
  <c r="DH410" i="25"/>
  <c r="DH411" i="25"/>
  <c r="DH412" i="25"/>
  <c r="DH413" i="25"/>
  <c r="DH414" i="25"/>
  <c r="DH415" i="25"/>
  <c r="DH416" i="25"/>
  <c r="DH417" i="25"/>
  <c r="DH418" i="25"/>
  <c r="DH419" i="25"/>
  <c r="DH420" i="25"/>
  <c r="DH421" i="25"/>
  <c r="DH422" i="25"/>
  <c r="DH423" i="25"/>
  <c r="DH424" i="25"/>
  <c r="DH425" i="25"/>
  <c r="DH426" i="25"/>
  <c r="DH427" i="25"/>
  <c r="DH428" i="25"/>
  <c r="DH429" i="25"/>
  <c r="DH430" i="25"/>
  <c r="DH431" i="25"/>
  <c r="DH432" i="25"/>
  <c r="DH433" i="25"/>
  <c r="DH434" i="25"/>
  <c r="DH435" i="25"/>
  <c r="DH436" i="25"/>
  <c r="DH437" i="25"/>
  <c r="DH438" i="25"/>
  <c r="DH439" i="25"/>
  <c r="DH440" i="25"/>
  <c r="DH441" i="25"/>
  <c r="DH442" i="25"/>
  <c r="DH443" i="25"/>
  <c r="DH444" i="25"/>
  <c r="DH445" i="25"/>
  <c r="DH446" i="25"/>
  <c r="DH447" i="25"/>
  <c r="DH448" i="25"/>
  <c r="DH449" i="25"/>
  <c r="DH450" i="25"/>
  <c r="DH451" i="25"/>
  <c r="DH452" i="25"/>
  <c r="DH453" i="25"/>
  <c r="DH454" i="25"/>
  <c r="DH455" i="25"/>
  <c r="DH456" i="25"/>
  <c r="DH457" i="25"/>
  <c r="DH458" i="25"/>
  <c r="DH464" i="25"/>
  <c r="DH460" i="25"/>
  <c r="DH461" i="25"/>
  <c r="DH462" i="25"/>
  <c r="DH463" i="25"/>
  <c r="DH472" i="25"/>
  <c r="DH465" i="25"/>
  <c r="DH466" i="25"/>
  <c r="DH467" i="25"/>
  <c r="DH468" i="25"/>
  <c r="DH558" i="25"/>
  <c r="DH470" i="25"/>
  <c r="DH564" i="25"/>
  <c r="DH473" i="25"/>
  <c r="DH459" i="25"/>
  <c r="DH474" i="25"/>
  <c r="DH475" i="25"/>
  <c r="DH476" i="25"/>
  <c r="DH477" i="25"/>
  <c r="DH478" i="25"/>
  <c r="DH479" i="25"/>
  <c r="DH480" i="25"/>
  <c r="DH481" i="25"/>
  <c r="DH482" i="25"/>
  <c r="DH483" i="25"/>
  <c r="DH484" i="25"/>
  <c r="DH485" i="25"/>
  <c r="DH486" i="25"/>
  <c r="DH487" i="25"/>
  <c r="DH488" i="25"/>
  <c r="DH489" i="25"/>
  <c r="DH490" i="25"/>
  <c r="DH491" i="25"/>
  <c r="DH492" i="25"/>
  <c r="DH493" i="25"/>
  <c r="DH494" i="25"/>
  <c r="DH495" i="25"/>
  <c r="DH496" i="25"/>
  <c r="DH497" i="25"/>
  <c r="DH498" i="25"/>
  <c r="DH499" i="25"/>
  <c r="DH500" i="25"/>
  <c r="DH501" i="25"/>
  <c r="DH502" i="25"/>
  <c r="DH503" i="25"/>
  <c r="DH504" i="25"/>
  <c r="DH505" i="25"/>
  <c r="DH506" i="25"/>
  <c r="DH507" i="25"/>
  <c r="DH508" i="25"/>
  <c r="DH509" i="25"/>
  <c r="DH510" i="25"/>
  <c r="DH511" i="25"/>
  <c r="DH512" i="25"/>
  <c r="DH513" i="25"/>
  <c r="DH514" i="25"/>
  <c r="DH515" i="25"/>
  <c r="DH516" i="25"/>
  <c r="DH517" i="25"/>
  <c r="DH518" i="25"/>
  <c r="DH519" i="25"/>
  <c r="DH520" i="25"/>
  <c r="DH521" i="25"/>
  <c r="DH522" i="25"/>
  <c r="DH523" i="25"/>
  <c r="DH524" i="25"/>
  <c r="DH525" i="25"/>
  <c r="DH526" i="25"/>
  <c r="DH527" i="25"/>
  <c r="DH528" i="25"/>
  <c r="DH529" i="25"/>
  <c r="DH530" i="25"/>
  <c r="DH531" i="25"/>
  <c r="DH532" i="25"/>
  <c r="DH533" i="25"/>
  <c r="DH534" i="25"/>
  <c r="DH535" i="25"/>
  <c r="DH536" i="25"/>
  <c r="DH537" i="25"/>
  <c r="DH538" i="25"/>
  <c r="DH539" i="25"/>
  <c r="DH540" i="25"/>
  <c r="DH541" i="25"/>
  <c r="DH542" i="25"/>
  <c r="DH543" i="25"/>
  <c r="DH544" i="25"/>
  <c r="DH545" i="25"/>
  <c r="DH546" i="25"/>
  <c r="DH547" i="25"/>
  <c r="DH469" i="25"/>
  <c r="DH549" i="25"/>
  <c r="DH550" i="25"/>
  <c r="DH551" i="25"/>
  <c r="DH552" i="25"/>
  <c r="DH553" i="25"/>
  <c r="DH471" i="25"/>
  <c r="DH555" i="25"/>
  <c r="DH556" i="25"/>
  <c r="DH557" i="25"/>
  <c r="DH548" i="25"/>
  <c r="DH559" i="25"/>
  <c r="DH560" i="25"/>
  <c r="DH561" i="25"/>
  <c r="DH562" i="25"/>
  <c r="DH563" i="25"/>
  <c r="DH554" i="25"/>
  <c r="DH565" i="25"/>
  <c r="DH566" i="25"/>
  <c r="DH567" i="25"/>
  <c r="DH568" i="25"/>
  <c r="DH569" i="25"/>
  <c r="DH570" i="25"/>
  <c r="DH571" i="25"/>
  <c r="DH572" i="25"/>
  <c r="DH573" i="25"/>
  <c r="DH574" i="25"/>
  <c r="DH575" i="25"/>
  <c r="DH576" i="25"/>
  <c r="DH577" i="25"/>
  <c r="DH578" i="25"/>
  <c r="DH579" i="25"/>
  <c r="DH580" i="25"/>
  <c r="DH581" i="25"/>
  <c r="DH582" i="25"/>
  <c r="DH583" i="25"/>
  <c r="DH584" i="25"/>
  <c r="DH585" i="25"/>
  <c r="DH586" i="25"/>
  <c r="DH587" i="25"/>
  <c r="DH588" i="25"/>
  <c r="DH589" i="25"/>
  <c r="DH590" i="25"/>
  <c r="DH591" i="25"/>
  <c r="DH592" i="25"/>
  <c r="DH593" i="25"/>
  <c r="DH594" i="25"/>
  <c r="DH595" i="25"/>
  <c r="DH596" i="25"/>
  <c r="DH597" i="25"/>
  <c r="DH598" i="25"/>
  <c r="DH599" i="25"/>
  <c r="DH600" i="25"/>
  <c r="DI404" i="25"/>
  <c r="DI405" i="25"/>
  <c r="DI406" i="25"/>
  <c r="DI407" i="25"/>
  <c r="DI408" i="25"/>
  <c r="DI409" i="25"/>
  <c r="DI410" i="25"/>
  <c r="DI411" i="25"/>
  <c r="DI412" i="25"/>
  <c r="DI413" i="25"/>
  <c r="DI414" i="25"/>
  <c r="DI415" i="25"/>
  <c r="DI416" i="25"/>
  <c r="DI417" i="25"/>
  <c r="DI418" i="25"/>
  <c r="DI419" i="25"/>
  <c r="DI420" i="25"/>
  <c r="DI421" i="25"/>
  <c r="DI422" i="25"/>
  <c r="DI423" i="25"/>
  <c r="DI424" i="25"/>
  <c r="DI425" i="25"/>
  <c r="DI426" i="25"/>
  <c r="DI427" i="25"/>
  <c r="DI428" i="25"/>
  <c r="DI429" i="25"/>
  <c r="DI430" i="25"/>
  <c r="DI431" i="25"/>
  <c r="DI432" i="25"/>
  <c r="DI433" i="25"/>
  <c r="DI434" i="25"/>
  <c r="DI435" i="25"/>
  <c r="DI436" i="25"/>
  <c r="DI437" i="25"/>
  <c r="DI438" i="25"/>
  <c r="DI439" i="25"/>
  <c r="DI440" i="25"/>
  <c r="DI441" i="25"/>
  <c r="DI442" i="25"/>
  <c r="DI443" i="25"/>
  <c r="DI444" i="25"/>
  <c r="DI445" i="25"/>
  <c r="DI446" i="25"/>
  <c r="DI447" i="25"/>
  <c r="DI448" i="25"/>
  <c r="DI449" i="25"/>
  <c r="DI450" i="25"/>
  <c r="DI451" i="25"/>
  <c r="DI452" i="25"/>
  <c r="DI453" i="25"/>
  <c r="DI454" i="25"/>
  <c r="DI455" i="25"/>
  <c r="DI456" i="25"/>
  <c r="DI457" i="25"/>
  <c r="DI458" i="25"/>
  <c r="DI464" i="25"/>
  <c r="DI460" i="25"/>
  <c r="DI461" i="25"/>
  <c r="DI462" i="25"/>
  <c r="DI463" i="25"/>
  <c r="DI472" i="25"/>
  <c r="DI465" i="25"/>
  <c r="DI466" i="25"/>
  <c r="DI467" i="25"/>
  <c r="DI468" i="25"/>
  <c r="DI558" i="25"/>
  <c r="DI470" i="25"/>
  <c r="DI564" i="25"/>
  <c r="DI473" i="25"/>
  <c r="DI459" i="25"/>
  <c r="DI474" i="25"/>
  <c r="DI475" i="25"/>
  <c r="DI476" i="25"/>
  <c r="DI477" i="25"/>
  <c r="DI478" i="25"/>
  <c r="DI479" i="25"/>
  <c r="DI480" i="25"/>
  <c r="DI481" i="25"/>
  <c r="DI482" i="25"/>
  <c r="DI483" i="25"/>
  <c r="DI484" i="25"/>
  <c r="DI485" i="25"/>
  <c r="DI486" i="25"/>
  <c r="DI487" i="25"/>
  <c r="DI488" i="25"/>
  <c r="DI489" i="25"/>
  <c r="DI490" i="25"/>
  <c r="DI491" i="25"/>
  <c r="DI492" i="25"/>
  <c r="DI493" i="25"/>
  <c r="DI494" i="25"/>
  <c r="DI495" i="25"/>
  <c r="DI496" i="25"/>
  <c r="DI497" i="25"/>
  <c r="DI498" i="25"/>
  <c r="DI499" i="25"/>
  <c r="DI500" i="25"/>
  <c r="DI501" i="25"/>
  <c r="DI502" i="25"/>
  <c r="DI503" i="25"/>
  <c r="DI504" i="25"/>
  <c r="DI505" i="25"/>
  <c r="DI506" i="25"/>
  <c r="DI507" i="25"/>
  <c r="DI508" i="25"/>
  <c r="DI509" i="25"/>
  <c r="DI510" i="25"/>
  <c r="DI511" i="25"/>
  <c r="DI512" i="25"/>
  <c r="DI513" i="25"/>
  <c r="DI514" i="25"/>
  <c r="DI515" i="25"/>
  <c r="DI516" i="25"/>
  <c r="DI517" i="25"/>
  <c r="DI518" i="25"/>
  <c r="DI519" i="25"/>
  <c r="DI520" i="25"/>
  <c r="DI521" i="25"/>
  <c r="DI522" i="25"/>
  <c r="DI523" i="25"/>
  <c r="DI524" i="25"/>
  <c r="DI525" i="25"/>
  <c r="DI526" i="25"/>
  <c r="DI527" i="25"/>
  <c r="DI528" i="25"/>
  <c r="DI529" i="25"/>
  <c r="DI530" i="25"/>
  <c r="DI531" i="25"/>
  <c r="DI532" i="25"/>
  <c r="DI533" i="25"/>
  <c r="DI534" i="25"/>
  <c r="DI535" i="25"/>
  <c r="DI536" i="25"/>
  <c r="DI537" i="25"/>
  <c r="DI538" i="25"/>
  <c r="DI539" i="25"/>
  <c r="DI540" i="25"/>
  <c r="DI541" i="25"/>
  <c r="DI542" i="25"/>
  <c r="DI543" i="25"/>
  <c r="DI544" i="25"/>
  <c r="DI545" i="25"/>
  <c r="DI546" i="25"/>
  <c r="DI547" i="25"/>
  <c r="DI469" i="25"/>
  <c r="DI549" i="25"/>
  <c r="DI550" i="25"/>
  <c r="DI551" i="25"/>
  <c r="DI552" i="25"/>
  <c r="DI553" i="25"/>
  <c r="DI471" i="25"/>
  <c r="DI555" i="25"/>
  <c r="DI556" i="25"/>
  <c r="DI557" i="25"/>
  <c r="DI548" i="25"/>
  <c r="DI559" i="25"/>
  <c r="DI560" i="25"/>
  <c r="DI561" i="25"/>
  <c r="DI562" i="25"/>
  <c r="DI563" i="25"/>
  <c r="DI554" i="25"/>
  <c r="DI565" i="25"/>
  <c r="DI566" i="25"/>
  <c r="DI567" i="25"/>
  <c r="DI568" i="25"/>
  <c r="DI569" i="25"/>
  <c r="DI570" i="25"/>
  <c r="DI571" i="25"/>
  <c r="DI572" i="25"/>
  <c r="DI573" i="25"/>
  <c r="DI574" i="25"/>
  <c r="DI575" i="25"/>
  <c r="DI576" i="25"/>
  <c r="DI577" i="25"/>
  <c r="DI578" i="25"/>
  <c r="DI579" i="25"/>
  <c r="DI580" i="25"/>
  <c r="DI581" i="25"/>
  <c r="DI582" i="25"/>
  <c r="DI583" i="25"/>
  <c r="DI584" i="25"/>
  <c r="DI585" i="25"/>
  <c r="DI586" i="25"/>
  <c r="DI587" i="25"/>
  <c r="DI588" i="25"/>
  <c r="DI589" i="25"/>
  <c r="DI590" i="25"/>
  <c r="DI591" i="25"/>
  <c r="DI592" i="25"/>
  <c r="DI593" i="25"/>
  <c r="DI594" i="25"/>
  <c r="DI595" i="25"/>
  <c r="DI596" i="25"/>
  <c r="DI597" i="25"/>
  <c r="DI598" i="25"/>
  <c r="DI599" i="25"/>
  <c r="DI600" i="25"/>
  <c r="DP404" i="25"/>
  <c r="DP405" i="25"/>
  <c r="DP406" i="25"/>
  <c r="DP407" i="25"/>
  <c r="DP408" i="25"/>
  <c r="DP409" i="25"/>
  <c r="DP410" i="25"/>
  <c r="DP411" i="25"/>
  <c r="DP412" i="25"/>
  <c r="DP413" i="25"/>
  <c r="DP414" i="25"/>
  <c r="DP415" i="25"/>
  <c r="DP416" i="25"/>
  <c r="DP417" i="25"/>
  <c r="DP418" i="25"/>
  <c r="DP419" i="25"/>
  <c r="DP420" i="25"/>
  <c r="DP421" i="25"/>
  <c r="DP422" i="25"/>
  <c r="DP423" i="25"/>
  <c r="DP424" i="25"/>
  <c r="DP425" i="25"/>
  <c r="DP426" i="25"/>
  <c r="DP427" i="25"/>
  <c r="DP428" i="25"/>
  <c r="DP429" i="25"/>
  <c r="DP430" i="25"/>
  <c r="DP431" i="25"/>
  <c r="DP432" i="25"/>
  <c r="DP433" i="25"/>
  <c r="DP434" i="25"/>
  <c r="DP435" i="25"/>
  <c r="DP436" i="25"/>
  <c r="DP437" i="25"/>
  <c r="DP438" i="25"/>
  <c r="DP439" i="25"/>
  <c r="DP440" i="25"/>
  <c r="DP441" i="25"/>
  <c r="DP442" i="25"/>
  <c r="DP443" i="25"/>
  <c r="DP444" i="25"/>
  <c r="DP445" i="25"/>
  <c r="DP446" i="25"/>
  <c r="DP447" i="25"/>
  <c r="DP448" i="25"/>
  <c r="DP449" i="25"/>
  <c r="DP450" i="25"/>
  <c r="DP451" i="25"/>
  <c r="DP452" i="25"/>
  <c r="DP453" i="25"/>
  <c r="DP454" i="25"/>
  <c r="DP455" i="25"/>
  <c r="DP456" i="25"/>
  <c r="DP457" i="25"/>
  <c r="DP458" i="25"/>
  <c r="DP464" i="25"/>
  <c r="DP460" i="25"/>
  <c r="DP461" i="25"/>
  <c r="DP462" i="25"/>
  <c r="DP463" i="25"/>
  <c r="DP472" i="25"/>
  <c r="DP465" i="25"/>
  <c r="DP466" i="25"/>
  <c r="DP467" i="25"/>
  <c r="DP468" i="25"/>
  <c r="DP558" i="25"/>
  <c r="DP470" i="25"/>
  <c r="DP564" i="25"/>
  <c r="DP473" i="25"/>
  <c r="DP459" i="25"/>
  <c r="DP474" i="25"/>
  <c r="DP475" i="25"/>
  <c r="DP476" i="25"/>
  <c r="DP477" i="25"/>
  <c r="DP478" i="25"/>
  <c r="DP479" i="25"/>
  <c r="DP480" i="25"/>
  <c r="DP481" i="25"/>
  <c r="DP482" i="25"/>
  <c r="DP483" i="25"/>
  <c r="DP484" i="25"/>
  <c r="DP485" i="25"/>
  <c r="DP486" i="25"/>
  <c r="DP487" i="25"/>
  <c r="DP488" i="25"/>
  <c r="DP489" i="25"/>
  <c r="DP490" i="25"/>
  <c r="DP491" i="25"/>
  <c r="DP492" i="25"/>
  <c r="DP493" i="25"/>
  <c r="DP494" i="25"/>
  <c r="DP495" i="25"/>
  <c r="DP496" i="25"/>
  <c r="DP497" i="25"/>
  <c r="DP498" i="25"/>
  <c r="DP499" i="25"/>
  <c r="DP500" i="25"/>
  <c r="DP501" i="25"/>
  <c r="DP502" i="25"/>
  <c r="DP503" i="25"/>
  <c r="DP504" i="25"/>
  <c r="DP505" i="25"/>
  <c r="DP506" i="25"/>
  <c r="DP507" i="25"/>
  <c r="DP508" i="25"/>
  <c r="DP509" i="25"/>
  <c r="DP510" i="25"/>
  <c r="DP511" i="25"/>
  <c r="DP512" i="25"/>
  <c r="DP513" i="25"/>
  <c r="DP514" i="25"/>
  <c r="DP515" i="25"/>
  <c r="DP516" i="25"/>
  <c r="DP517" i="25"/>
  <c r="DP518" i="25"/>
  <c r="DP519" i="25"/>
  <c r="DP520" i="25"/>
  <c r="DP521" i="25"/>
  <c r="DP522" i="25"/>
  <c r="DP523" i="25"/>
  <c r="DP524" i="25"/>
  <c r="DP525" i="25"/>
  <c r="DP526" i="25"/>
  <c r="DP527" i="25"/>
  <c r="DP528" i="25"/>
  <c r="DP529" i="25"/>
  <c r="DP530" i="25"/>
  <c r="DP531" i="25"/>
  <c r="DP532" i="25"/>
  <c r="DP533" i="25"/>
  <c r="DP534" i="25"/>
  <c r="DP535" i="25"/>
  <c r="DP536" i="25"/>
  <c r="DP537" i="25"/>
  <c r="DP538" i="25"/>
  <c r="DP539" i="25"/>
  <c r="DP540" i="25"/>
  <c r="DP541" i="25"/>
  <c r="DP542" i="25"/>
  <c r="DP543" i="25"/>
  <c r="DP544" i="25"/>
  <c r="DP545" i="25"/>
  <c r="DP546" i="25"/>
  <c r="DP547" i="25"/>
  <c r="DP469" i="25"/>
  <c r="DP549" i="25"/>
  <c r="DP550" i="25"/>
  <c r="DP551" i="25"/>
  <c r="DP552" i="25"/>
  <c r="DP553" i="25"/>
  <c r="DP471" i="25"/>
  <c r="DP555" i="25"/>
  <c r="DP556" i="25"/>
  <c r="DP557" i="25"/>
  <c r="DP548" i="25"/>
  <c r="DP559" i="25"/>
  <c r="DP560" i="25"/>
  <c r="DP561" i="25"/>
  <c r="DP562" i="25"/>
  <c r="DP563" i="25"/>
  <c r="DP554" i="25"/>
  <c r="DP565" i="25"/>
  <c r="DP566" i="25"/>
  <c r="DP567" i="25"/>
  <c r="DP568" i="25"/>
  <c r="DP569" i="25"/>
  <c r="DP570" i="25"/>
  <c r="DP571" i="25"/>
  <c r="DP572" i="25"/>
  <c r="DP573" i="25"/>
  <c r="DP574" i="25"/>
  <c r="DP575" i="25"/>
  <c r="DP576" i="25"/>
  <c r="DP577" i="25"/>
  <c r="DP578" i="25"/>
  <c r="DP579" i="25"/>
  <c r="DP580" i="25"/>
  <c r="DP581" i="25"/>
  <c r="DP582" i="25"/>
  <c r="DP583" i="25"/>
  <c r="DP584" i="25"/>
  <c r="DP585" i="25"/>
  <c r="DP586" i="25"/>
  <c r="DP587" i="25"/>
  <c r="DP588" i="25"/>
  <c r="DP589" i="25"/>
  <c r="DP590" i="25"/>
  <c r="DP591" i="25"/>
  <c r="DP592" i="25"/>
  <c r="DP593" i="25"/>
  <c r="DP594" i="25"/>
  <c r="DP595" i="25"/>
  <c r="DP596" i="25"/>
  <c r="DP597" i="25"/>
  <c r="DP598" i="25"/>
  <c r="DP599" i="25"/>
  <c r="DP600" i="25"/>
  <c r="DQ404" i="25"/>
  <c r="DR404" i="25" s="1"/>
  <c r="DQ405" i="25"/>
  <c r="DR405" i="25" s="1"/>
  <c r="DQ406" i="25"/>
  <c r="DQ407" i="25"/>
  <c r="DR407" i="25" s="1"/>
  <c r="DQ408" i="25"/>
  <c r="DR408" i="25" s="1"/>
  <c r="DQ409" i="25"/>
  <c r="DT409" i="25" s="1"/>
  <c r="DQ410" i="25"/>
  <c r="DT410" i="25" s="1"/>
  <c r="DQ411" i="25"/>
  <c r="DR411" i="25" s="1"/>
  <c r="DQ412" i="25"/>
  <c r="DR412" i="25" s="1"/>
  <c r="DQ413" i="25"/>
  <c r="DT413" i="25" s="1"/>
  <c r="DQ414" i="25"/>
  <c r="DT414" i="25" s="1"/>
  <c r="DQ415" i="25"/>
  <c r="DT415" i="25" s="1"/>
  <c r="DQ416" i="25"/>
  <c r="DR416" i="25" s="1"/>
  <c r="DQ417" i="25"/>
  <c r="DR417" i="25" s="1"/>
  <c r="DQ418" i="25"/>
  <c r="DR418" i="25" s="1"/>
  <c r="DQ419" i="25"/>
  <c r="DR419" i="25" s="1"/>
  <c r="DQ420" i="25"/>
  <c r="DR420" i="25" s="1"/>
  <c r="DQ421" i="25"/>
  <c r="DT421" i="25" s="1"/>
  <c r="DQ422" i="25"/>
  <c r="DR422" i="25" s="1"/>
  <c r="DQ423" i="25"/>
  <c r="DQ424" i="25"/>
  <c r="DR424" i="25" s="1"/>
  <c r="DQ425" i="25"/>
  <c r="DR425" i="25" s="1"/>
  <c r="DQ426" i="25"/>
  <c r="DR426" i="25" s="1"/>
  <c r="DQ427" i="25"/>
  <c r="DR427" i="25" s="1"/>
  <c r="DQ428" i="25"/>
  <c r="DR428" i="25" s="1"/>
  <c r="DQ429" i="25"/>
  <c r="DR429" i="25" s="1"/>
  <c r="DQ430" i="25"/>
  <c r="DR430" i="25" s="1"/>
  <c r="DQ431" i="25"/>
  <c r="DR431" i="25" s="1"/>
  <c r="DQ432" i="25"/>
  <c r="DR432" i="25" s="1"/>
  <c r="DQ433" i="25"/>
  <c r="DR433" i="25" s="1"/>
  <c r="DQ434" i="25"/>
  <c r="DR434" i="25" s="1"/>
  <c r="DQ435" i="25"/>
  <c r="DR435" i="25" s="1"/>
  <c r="DQ436" i="25"/>
  <c r="DR436" i="25" s="1"/>
  <c r="DQ437" i="25"/>
  <c r="DR437" i="25" s="1"/>
  <c r="DQ438" i="25"/>
  <c r="DR438" i="25" s="1"/>
  <c r="DQ439" i="25"/>
  <c r="DR439" i="25" s="1"/>
  <c r="DQ440" i="25"/>
  <c r="DR440" i="25" s="1"/>
  <c r="DQ441" i="25"/>
  <c r="DR441" i="25" s="1"/>
  <c r="DQ442" i="25"/>
  <c r="DT442" i="25" s="1"/>
  <c r="DQ443" i="25"/>
  <c r="DT443" i="25" s="1"/>
  <c r="DQ444" i="25"/>
  <c r="DR444" i="25" s="1"/>
  <c r="DQ445" i="25"/>
  <c r="DT445" i="25" s="1"/>
  <c r="DQ446" i="25"/>
  <c r="DT446" i="25" s="1"/>
  <c r="DQ447" i="25"/>
  <c r="DR447" i="25" s="1"/>
  <c r="DQ448" i="25"/>
  <c r="DR448" i="25" s="1"/>
  <c r="DQ449" i="25"/>
  <c r="DR449" i="25" s="1"/>
  <c r="DQ450" i="25"/>
  <c r="DT450" i="25" s="1"/>
  <c r="DQ451" i="25"/>
  <c r="DR451" i="25" s="1"/>
  <c r="DQ452" i="25"/>
  <c r="DR452" i="25" s="1"/>
  <c r="DQ453" i="25"/>
  <c r="DT453" i="25" s="1"/>
  <c r="DQ454" i="25"/>
  <c r="DR454" i="25" s="1"/>
  <c r="DQ455" i="25"/>
  <c r="DT455" i="25" s="1"/>
  <c r="DQ456" i="25"/>
  <c r="DR456" i="25" s="1"/>
  <c r="DQ457" i="25"/>
  <c r="DR457" i="25" s="1"/>
  <c r="DQ458" i="25"/>
  <c r="DT458" i="25" s="1"/>
  <c r="DQ464" i="25"/>
  <c r="DQ460" i="25"/>
  <c r="DR460" i="25" s="1"/>
  <c r="DQ461" i="25"/>
  <c r="DR461" i="25" s="1"/>
  <c r="DQ462" i="25"/>
  <c r="DT462" i="25" s="1"/>
  <c r="DQ463" i="25"/>
  <c r="DR463" i="25" s="1"/>
  <c r="DQ472" i="25"/>
  <c r="DR472" i="25" s="1"/>
  <c r="DQ465" i="25"/>
  <c r="DT465" i="25" s="1"/>
  <c r="DQ466" i="25"/>
  <c r="DR466" i="25" s="1"/>
  <c r="DQ467" i="25"/>
  <c r="DR467" i="25" s="1"/>
  <c r="DQ468" i="25"/>
  <c r="DR468" i="25" s="1"/>
  <c r="DQ558" i="25"/>
  <c r="DR558" i="25" s="1"/>
  <c r="DQ470" i="25"/>
  <c r="DR470" i="25" s="1"/>
  <c r="DQ564" i="25"/>
  <c r="DR564" i="25" s="1"/>
  <c r="DQ473" i="25"/>
  <c r="DR473" i="25" s="1"/>
  <c r="DQ459" i="25"/>
  <c r="DR459" i="25" s="1"/>
  <c r="DQ474" i="25"/>
  <c r="DT474" i="25" s="1"/>
  <c r="DQ475" i="25"/>
  <c r="DT475" i="25" s="1"/>
  <c r="DQ476" i="25"/>
  <c r="DR476" i="25" s="1"/>
  <c r="DQ477" i="25"/>
  <c r="DT477" i="25" s="1"/>
  <c r="DQ478" i="25"/>
  <c r="DT478" i="25" s="1"/>
  <c r="DQ479" i="25"/>
  <c r="DR479" i="25" s="1"/>
  <c r="DQ480" i="25"/>
  <c r="DR480" i="25" s="1"/>
  <c r="DQ481" i="25"/>
  <c r="DR481" i="25" s="1"/>
  <c r="DQ482" i="25"/>
  <c r="DR482" i="25" s="1"/>
  <c r="DQ483" i="25"/>
  <c r="DR483" i="25" s="1"/>
  <c r="DQ484" i="25"/>
  <c r="DR484" i="25" s="1"/>
  <c r="DQ485" i="25"/>
  <c r="DR485" i="25" s="1"/>
  <c r="DQ486" i="25"/>
  <c r="DR486" i="25" s="1"/>
  <c r="DQ487" i="25"/>
  <c r="DT487" i="25" s="1"/>
  <c r="DQ488" i="25"/>
  <c r="DR488" i="25" s="1"/>
  <c r="DQ489" i="25"/>
  <c r="DR489" i="25" s="1"/>
  <c r="DQ490" i="25"/>
  <c r="DT490" i="25" s="1"/>
  <c r="DQ491" i="25"/>
  <c r="DR491" i="25" s="1"/>
  <c r="DQ492" i="25"/>
  <c r="DR492" i="25" s="1"/>
  <c r="DQ493" i="25"/>
  <c r="DT493" i="25" s="1"/>
  <c r="DQ494" i="25"/>
  <c r="DT494" i="25" s="1"/>
  <c r="DQ495" i="25"/>
  <c r="DT495" i="25" s="1"/>
  <c r="DQ496" i="25"/>
  <c r="DQ497" i="25"/>
  <c r="DR497" i="25" s="1"/>
  <c r="DQ498" i="25"/>
  <c r="DR498" i="25" s="1"/>
  <c r="DQ499" i="25"/>
  <c r="DT499" i="25" s="1"/>
  <c r="DQ500" i="25"/>
  <c r="DR500" i="25" s="1"/>
  <c r="DQ501" i="25"/>
  <c r="DT501" i="25" s="1"/>
  <c r="DQ502" i="25"/>
  <c r="DR502" i="25" s="1"/>
  <c r="DQ503" i="25"/>
  <c r="DR503" i="25" s="1"/>
  <c r="DQ504" i="25"/>
  <c r="DR504" i="25" s="1"/>
  <c r="DQ505" i="25"/>
  <c r="DR505" i="25" s="1"/>
  <c r="DQ506" i="25"/>
  <c r="DR506" i="25" s="1"/>
  <c r="DQ507" i="25"/>
  <c r="DR507" i="25" s="1"/>
  <c r="DQ508" i="25"/>
  <c r="DR508" i="25" s="1"/>
  <c r="DQ509" i="25"/>
  <c r="DT509" i="25" s="1"/>
  <c r="DQ510" i="25"/>
  <c r="DT510" i="25" s="1"/>
  <c r="DQ511" i="25"/>
  <c r="DR511" i="25" s="1"/>
  <c r="DQ512" i="25"/>
  <c r="DR512" i="25" s="1"/>
  <c r="DQ513" i="25"/>
  <c r="DR513" i="25" s="1"/>
  <c r="DQ514" i="25"/>
  <c r="DR514" i="25" s="1"/>
  <c r="DQ515" i="25"/>
  <c r="DR515" i="25" s="1"/>
  <c r="DQ516" i="25"/>
  <c r="DR516" i="25" s="1"/>
  <c r="DQ517" i="25"/>
  <c r="DR517" i="25" s="1"/>
  <c r="DQ518" i="25"/>
  <c r="DR518" i="25" s="1"/>
  <c r="DQ519" i="25"/>
  <c r="DT519" i="25" s="1"/>
  <c r="DQ520" i="25"/>
  <c r="DR520" i="25" s="1"/>
  <c r="DQ521" i="25"/>
  <c r="DR521" i="25" s="1"/>
  <c r="DQ522" i="25"/>
  <c r="DR522" i="25" s="1"/>
  <c r="DQ523" i="25"/>
  <c r="DQ524" i="25"/>
  <c r="DR524" i="25" s="1"/>
  <c r="DQ525" i="25"/>
  <c r="DT525" i="25" s="1"/>
  <c r="DQ526" i="25"/>
  <c r="DR526" i="25" s="1"/>
  <c r="DQ527" i="25"/>
  <c r="DT527" i="25" s="1"/>
  <c r="DQ528" i="25"/>
  <c r="DR528" i="25" s="1"/>
  <c r="DQ529" i="25"/>
  <c r="DR529" i="25" s="1"/>
  <c r="DQ530" i="25"/>
  <c r="DR530" i="25" s="1"/>
  <c r="DQ531" i="25"/>
  <c r="DT531" i="25" s="1"/>
  <c r="DQ532" i="25"/>
  <c r="DR532" i="25" s="1"/>
  <c r="DQ533" i="25"/>
  <c r="DT533" i="25" s="1"/>
  <c r="DQ534" i="25"/>
  <c r="DR534" i="25" s="1"/>
  <c r="DQ535" i="25"/>
  <c r="DR535" i="25" s="1"/>
  <c r="DQ536" i="25"/>
  <c r="DR536" i="25" s="1"/>
  <c r="DQ537" i="25"/>
  <c r="DR537" i="25" s="1"/>
  <c r="DQ538" i="25"/>
  <c r="DT538" i="25" s="1"/>
  <c r="DQ539" i="25"/>
  <c r="DR539" i="25" s="1"/>
  <c r="DQ540" i="25"/>
  <c r="DR540" i="25" s="1"/>
  <c r="DQ541" i="25"/>
  <c r="DT541" i="25" s="1"/>
  <c r="DQ542" i="25"/>
  <c r="DT542" i="25" s="1"/>
  <c r="DQ543" i="25"/>
  <c r="DR543" i="25" s="1"/>
  <c r="DQ544" i="25"/>
  <c r="DR544" i="25" s="1"/>
  <c r="DQ545" i="25"/>
  <c r="DR545" i="25" s="1"/>
  <c r="DQ546" i="25"/>
  <c r="DR546" i="25" s="1"/>
  <c r="DQ547" i="25"/>
  <c r="DR547" i="25" s="1"/>
  <c r="DQ469" i="25"/>
  <c r="DR469" i="25" s="1"/>
  <c r="DQ549" i="25"/>
  <c r="DR549" i="25" s="1"/>
  <c r="DQ550" i="25"/>
  <c r="DR550" i="25" s="1"/>
  <c r="DQ551" i="25"/>
  <c r="DT551" i="25" s="1"/>
  <c r="DQ552" i="25"/>
  <c r="DR552" i="25" s="1"/>
  <c r="DQ553" i="25"/>
  <c r="DR553" i="25" s="1"/>
  <c r="DQ471" i="25"/>
  <c r="DT471" i="25" s="1"/>
  <c r="DQ555" i="25"/>
  <c r="DR555" i="25" s="1"/>
  <c r="DQ556" i="25"/>
  <c r="DR556" i="25" s="1"/>
  <c r="DQ557" i="25"/>
  <c r="DR557" i="25" s="1"/>
  <c r="DQ548" i="25"/>
  <c r="DR548" i="25" s="1"/>
  <c r="DQ559" i="25"/>
  <c r="DR559" i="25" s="1"/>
  <c r="DQ560" i="25"/>
  <c r="DQ561" i="25"/>
  <c r="DT561" i="25" s="1"/>
  <c r="DQ562" i="25"/>
  <c r="DR562" i="25" s="1"/>
  <c r="DQ563" i="25"/>
  <c r="DT563" i="25" s="1"/>
  <c r="DQ554" i="25"/>
  <c r="DR554" i="25" s="1"/>
  <c r="DQ565" i="25"/>
  <c r="DT565" i="25" s="1"/>
  <c r="DQ566" i="25"/>
  <c r="DR566" i="25" s="1"/>
  <c r="DQ567" i="25"/>
  <c r="DR567" i="25" s="1"/>
  <c r="DQ568" i="25"/>
  <c r="DR568" i="25" s="1"/>
  <c r="DQ569" i="25"/>
  <c r="DT569" i="25" s="1"/>
  <c r="DQ570" i="25"/>
  <c r="DR570" i="25" s="1"/>
  <c r="DQ571" i="25"/>
  <c r="DR571" i="25" s="1"/>
  <c r="DQ572" i="25"/>
  <c r="DR572" i="25" s="1"/>
  <c r="DQ573" i="25"/>
  <c r="DR573" i="25" s="1"/>
  <c r="DQ574" i="25"/>
  <c r="DT574" i="25" s="1"/>
  <c r="DQ575" i="25"/>
  <c r="DR575" i="25" s="1"/>
  <c r="DQ576" i="25"/>
  <c r="DR576" i="25" s="1"/>
  <c r="DQ577" i="25"/>
  <c r="DR577" i="25" s="1"/>
  <c r="DQ578" i="25"/>
  <c r="DR578" i="25" s="1"/>
  <c r="DQ579" i="25"/>
  <c r="DT579" i="25" s="1"/>
  <c r="DQ580" i="25"/>
  <c r="DR580" i="25" s="1"/>
  <c r="DQ581" i="25"/>
  <c r="DT581" i="25" s="1"/>
  <c r="DQ582" i="25"/>
  <c r="DR582" i="25" s="1"/>
  <c r="DQ583" i="25"/>
  <c r="DR583" i="25" s="1"/>
  <c r="DQ584" i="25"/>
  <c r="DR584" i="25" s="1"/>
  <c r="DQ585" i="25"/>
  <c r="DR585" i="25" s="1"/>
  <c r="DQ586" i="25"/>
  <c r="DR586" i="25" s="1"/>
  <c r="DQ587" i="25"/>
  <c r="DR587" i="25" s="1"/>
  <c r="DQ588" i="25"/>
  <c r="DR588" i="25" s="1"/>
  <c r="DQ589" i="25"/>
  <c r="DR589" i="25" s="1"/>
  <c r="DQ590" i="25"/>
  <c r="DR590" i="25" s="1"/>
  <c r="DQ591" i="25"/>
  <c r="DR591" i="25" s="1"/>
  <c r="DQ592" i="25"/>
  <c r="DR592" i="25" s="1"/>
  <c r="DQ593" i="25"/>
  <c r="DR593" i="25" s="1"/>
  <c r="DQ594" i="25"/>
  <c r="DT594" i="25" s="1"/>
  <c r="DQ595" i="25"/>
  <c r="DT595" i="25" s="1"/>
  <c r="DQ596" i="25"/>
  <c r="DR596" i="25" s="1"/>
  <c r="DQ597" i="25"/>
  <c r="DT597" i="25" s="1"/>
  <c r="DQ598" i="25"/>
  <c r="DR598" i="25" s="1"/>
  <c r="DQ599" i="25"/>
  <c r="DT599" i="25" s="1"/>
  <c r="DQ600" i="25"/>
  <c r="DR600" i="25" s="1"/>
  <c r="DR409" i="25"/>
  <c r="DR410" i="25"/>
  <c r="DS404" i="25"/>
  <c r="DS405" i="25"/>
  <c r="DS406" i="25"/>
  <c r="DS407" i="25"/>
  <c r="DS408" i="25"/>
  <c r="DS409" i="25"/>
  <c r="DS410" i="25"/>
  <c r="DS411" i="25"/>
  <c r="DS412" i="25"/>
  <c r="DS413" i="25"/>
  <c r="DS414" i="25"/>
  <c r="DS415" i="25"/>
  <c r="DS416" i="25"/>
  <c r="DS417" i="25"/>
  <c r="DS418" i="25"/>
  <c r="DS419" i="25"/>
  <c r="DS420" i="25"/>
  <c r="DS421" i="25"/>
  <c r="DS422" i="25"/>
  <c r="DS423" i="25"/>
  <c r="DS424" i="25"/>
  <c r="DS425" i="25"/>
  <c r="DS426" i="25"/>
  <c r="DS427" i="25"/>
  <c r="DS428" i="25"/>
  <c r="DS429" i="25"/>
  <c r="DS430" i="25"/>
  <c r="DS431" i="25"/>
  <c r="DS432" i="25"/>
  <c r="DS433" i="25"/>
  <c r="DS434" i="25"/>
  <c r="DS435" i="25"/>
  <c r="DS436" i="25"/>
  <c r="DS437" i="25"/>
  <c r="DS438" i="25"/>
  <c r="DS439" i="25"/>
  <c r="DS440" i="25"/>
  <c r="DS441" i="25"/>
  <c r="DS442" i="25"/>
  <c r="DS443" i="25"/>
  <c r="DS444" i="25"/>
  <c r="DS445" i="25"/>
  <c r="DS446" i="25"/>
  <c r="DS447" i="25"/>
  <c r="DS448" i="25"/>
  <c r="DS449" i="25"/>
  <c r="DS450" i="25"/>
  <c r="DS451" i="25"/>
  <c r="DS452" i="25"/>
  <c r="DS453" i="25"/>
  <c r="DS454" i="25"/>
  <c r="DS455" i="25"/>
  <c r="DS456" i="25"/>
  <c r="DS457" i="25"/>
  <c r="DS458" i="25"/>
  <c r="DS464" i="25"/>
  <c r="DS460" i="25"/>
  <c r="DS461" i="25"/>
  <c r="DS462" i="25"/>
  <c r="DS463" i="25"/>
  <c r="DS472" i="25"/>
  <c r="DS465" i="25"/>
  <c r="DS466" i="25"/>
  <c r="DS467" i="25"/>
  <c r="DS468" i="25"/>
  <c r="DS558" i="25"/>
  <c r="DS470" i="25"/>
  <c r="DS564" i="25"/>
  <c r="DS473" i="25"/>
  <c r="DS459" i="25"/>
  <c r="DS474" i="25"/>
  <c r="DS475" i="25"/>
  <c r="DS476" i="25"/>
  <c r="DS477" i="25"/>
  <c r="DS478" i="25"/>
  <c r="DS479" i="25"/>
  <c r="DS480" i="25"/>
  <c r="DS481" i="25"/>
  <c r="DS482" i="25"/>
  <c r="DS483" i="25"/>
  <c r="DS484" i="25"/>
  <c r="DS485" i="25"/>
  <c r="DS486" i="25"/>
  <c r="DS487" i="25"/>
  <c r="DS488" i="25"/>
  <c r="DS489" i="25"/>
  <c r="DS490" i="25"/>
  <c r="DS491" i="25"/>
  <c r="DS492" i="25"/>
  <c r="DS493" i="25"/>
  <c r="DS494" i="25"/>
  <c r="DS495" i="25"/>
  <c r="DS496" i="25"/>
  <c r="DS497" i="25"/>
  <c r="DS498" i="25"/>
  <c r="DS499" i="25"/>
  <c r="DS500" i="25"/>
  <c r="DS501" i="25"/>
  <c r="DS502" i="25"/>
  <c r="DS503" i="25"/>
  <c r="DS504" i="25"/>
  <c r="DS505" i="25"/>
  <c r="DS506" i="25"/>
  <c r="DS507" i="25"/>
  <c r="DS508" i="25"/>
  <c r="DS509" i="25"/>
  <c r="DS510" i="25"/>
  <c r="DS511" i="25"/>
  <c r="DS512" i="25"/>
  <c r="DS513" i="25"/>
  <c r="DS514" i="25"/>
  <c r="DS515" i="25"/>
  <c r="DS516" i="25"/>
  <c r="DS517" i="25"/>
  <c r="DS518" i="25"/>
  <c r="DS519" i="25"/>
  <c r="DS520" i="25"/>
  <c r="DS521" i="25"/>
  <c r="DS522" i="25"/>
  <c r="DS523" i="25"/>
  <c r="DS524" i="25"/>
  <c r="DS525" i="25"/>
  <c r="DS526" i="25"/>
  <c r="DS527" i="25"/>
  <c r="DS528" i="25"/>
  <c r="DS529" i="25"/>
  <c r="DS530" i="25"/>
  <c r="DS531" i="25"/>
  <c r="DS532" i="25"/>
  <c r="DS533" i="25"/>
  <c r="DS534" i="25"/>
  <c r="DS535" i="25"/>
  <c r="DS536" i="25"/>
  <c r="DS537" i="25"/>
  <c r="DS538" i="25"/>
  <c r="DS539" i="25"/>
  <c r="DS540" i="25"/>
  <c r="DS541" i="25"/>
  <c r="DS542" i="25"/>
  <c r="DS543" i="25"/>
  <c r="DS544" i="25"/>
  <c r="DS545" i="25"/>
  <c r="DS546" i="25"/>
  <c r="DS547" i="25"/>
  <c r="DS469" i="25"/>
  <c r="DS549" i="25"/>
  <c r="DS550" i="25"/>
  <c r="DS551" i="25"/>
  <c r="DS552" i="25"/>
  <c r="DS553" i="25"/>
  <c r="DS471" i="25"/>
  <c r="DS555" i="25"/>
  <c r="DS556" i="25"/>
  <c r="DS557" i="25"/>
  <c r="DS548" i="25"/>
  <c r="DS559" i="25"/>
  <c r="DS560" i="25"/>
  <c r="DS561" i="25"/>
  <c r="DS562" i="25"/>
  <c r="DS563" i="25"/>
  <c r="DS554" i="25"/>
  <c r="DS565" i="25"/>
  <c r="DS566" i="25"/>
  <c r="DS567" i="25"/>
  <c r="DS568" i="25"/>
  <c r="DS569" i="25"/>
  <c r="DS570" i="25"/>
  <c r="DS571" i="25"/>
  <c r="DS572" i="25"/>
  <c r="DS573" i="25"/>
  <c r="DS574" i="25"/>
  <c r="DS575" i="25"/>
  <c r="DS576" i="25"/>
  <c r="DS577" i="25"/>
  <c r="DS578" i="25"/>
  <c r="DS579" i="25"/>
  <c r="DS580" i="25"/>
  <c r="DS581" i="25"/>
  <c r="DS582" i="25"/>
  <c r="DS583" i="25"/>
  <c r="DS584" i="25"/>
  <c r="DS585" i="25"/>
  <c r="DS586" i="25"/>
  <c r="DS587" i="25"/>
  <c r="DS588" i="25"/>
  <c r="DS589" i="25"/>
  <c r="DS590" i="25"/>
  <c r="DS591" i="25"/>
  <c r="DS592" i="25"/>
  <c r="DS593" i="25"/>
  <c r="DS594" i="25"/>
  <c r="DS595" i="25"/>
  <c r="DS596" i="25"/>
  <c r="DS597" i="25"/>
  <c r="DS598" i="25"/>
  <c r="DS599" i="25"/>
  <c r="DS600" i="25"/>
  <c r="DU404" i="25"/>
  <c r="DU405" i="25"/>
  <c r="DU406" i="25"/>
  <c r="DU407" i="25"/>
  <c r="DU408" i="25"/>
  <c r="DU409" i="25"/>
  <c r="DU410" i="25"/>
  <c r="DU411" i="25"/>
  <c r="DU412" i="25"/>
  <c r="DU413" i="25"/>
  <c r="DU414" i="25"/>
  <c r="DU415" i="25"/>
  <c r="DU416" i="25"/>
  <c r="DU417" i="25"/>
  <c r="DU418" i="25"/>
  <c r="DU419" i="25"/>
  <c r="DU420" i="25"/>
  <c r="DU421" i="25"/>
  <c r="DU422" i="25"/>
  <c r="DU423" i="25"/>
  <c r="DU424" i="25"/>
  <c r="DU425" i="25"/>
  <c r="DU426" i="25"/>
  <c r="DU427" i="25"/>
  <c r="DU428" i="25"/>
  <c r="DU429" i="25"/>
  <c r="DU430" i="25"/>
  <c r="DU431" i="25"/>
  <c r="DU432" i="25"/>
  <c r="DU433" i="25"/>
  <c r="DU434" i="25"/>
  <c r="DU435" i="25"/>
  <c r="DU436" i="25"/>
  <c r="DU437" i="25"/>
  <c r="DU438" i="25"/>
  <c r="DU439" i="25"/>
  <c r="DU440" i="25"/>
  <c r="DU441" i="25"/>
  <c r="DU442" i="25"/>
  <c r="DU443" i="25"/>
  <c r="DU444" i="25"/>
  <c r="DU445" i="25"/>
  <c r="DU446" i="25"/>
  <c r="DU447" i="25"/>
  <c r="DU448" i="25"/>
  <c r="DU449" i="25"/>
  <c r="DU450" i="25"/>
  <c r="DU451" i="25"/>
  <c r="DU452" i="25"/>
  <c r="DU453" i="25"/>
  <c r="DU454" i="25"/>
  <c r="DU455" i="25"/>
  <c r="DU456" i="25"/>
  <c r="DU457" i="25"/>
  <c r="DU458" i="25"/>
  <c r="DU464" i="25"/>
  <c r="DU460" i="25"/>
  <c r="DU461" i="25"/>
  <c r="DU462" i="25"/>
  <c r="DU463" i="25"/>
  <c r="DU472" i="25"/>
  <c r="DU465" i="25"/>
  <c r="DU466" i="25"/>
  <c r="DU467" i="25"/>
  <c r="DU468" i="25"/>
  <c r="DU558" i="25"/>
  <c r="DU470" i="25"/>
  <c r="DU564" i="25"/>
  <c r="DU473" i="25"/>
  <c r="DU459" i="25"/>
  <c r="DU474" i="25"/>
  <c r="DU475" i="25"/>
  <c r="DU476" i="25"/>
  <c r="DU477" i="25"/>
  <c r="DU478" i="25"/>
  <c r="DU479" i="25"/>
  <c r="DU480" i="25"/>
  <c r="DU481" i="25"/>
  <c r="DU482" i="25"/>
  <c r="DU483" i="25"/>
  <c r="DU484" i="25"/>
  <c r="DU485" i="25"/>
  <c r="DU486" i="25"/>
  <c r="DU487" i="25"/>
  <c r="DU488" i="25"/>
  <c r="DU489" i="25"/>
  <c r="DU490" i="25"/>
  <c r="DU491" i="25"/>
  <c r="DU492" i="25"/>
  <c r="DU493" i="25"/>
  <c r="DU494" i="25"/>
  <c r="DU495" i="25"/>
  <c r="DU496" i="25"/>
  <c r="DU497" i="25"/>
  <c r="DU498" i="25"/>
  <c r="DU499" i="25"/>
  <c r="DU500" i="25"/>
  <c r="DU501" i="25"/>
  <c r="DU502" i="25"/>
  <c r="DU503" i="25"/>
  <c r="DU504" i="25"/>
  <c r="DU505" i="25"/>
  <c r="DU506" i="25"/>
  <c r="DU507" i="25"/>
  <c r="DU508" i="25"/>
  <c r="DU509" i="25"/>
  <c r="DU510" i="25"/>
  <c r="DU511" i="25"/>
  <c r="DU512" i="25"/>
  <c r="DU513" i="25"/>
  <c r="DU514" i="25"/>
  <c r="DU515" i="25"/>
  <c r="DU516" i="25"/>
  <c r="DU517" i="25"/>
  <c r="DU518" i="25"/>
  <c r="DU519" i="25"/>
  <c r="DU520" i="25"/>
  <c r="DU521" i="25"/>
  <c r="DU522" i="25"/>
  <c r="DU523" i="25"/>
  <c r="DU524" i="25"/>
  <c r="DU525" i="25"/>
  <c r="DU526" i="25"/>
  <c r="DU527" i="25"/>
  <c r="DU528" i="25"/>
  <c r="DU529" i="25"/>
  <c r="DU530" i="25"/>
  <c r="DU531" i="25"/>
  <c r="DU532" i="25"/>
  <c r="DU533" i="25"/>
  <c r="DU534" i="25"/>
  <c r="DU535" i="25"/>
  <c r="DU536" i="25"/>
  <c r="DU537" i="25"/>
  <c r="DU538" i="25"/>
  <c r="DU539" i="25"/>
  <c r="DU540" i="25"/>
  <c r="DU541" i="25"/>
  <c r="DU542" i="25"/>
  <c r="DU543" i="25"/>
  <c r="DU544" i="25"/>
  <c r="DU545" i="25"/>
  <c r="DU546" i="25"/>
  <c r="DU547" i="25"/>
  <c r="DU469" i="25"/>
  <c r="DU549" i="25"/>
  <c r="DU550" i="25"/>
  <c r="DU551" i="25"/>
  <c r="DU552" i="25"/>
  <c r="DU553" i="25"/>
  <c r="DU471" i="25"/>
  <c r="DU555" i="25"/>
  <c r="DU556" i="25"/>
  <c r="DU557" i="25"/>
  <c r="DU548" i="25"/>
  <c r="DU559" i="25"/>
  <c r="DU560" i="25"/>
  <c r="DU561" i="25"/>
  <c r="DU562" i="25"/>
  <c r="DU563" i="25"/>
  <c r="DU554" i="25"/>
  <c r="DU565" i="25"/>
  <c r="DU566" i="25"/>
  <c r="DU567" i="25"/>
  <c r="DU568" i="25"/>
  <c r="DU569" i="25"/>
  <c r="DU570" i="25"/>
  <c r="DU571" i="25"/>
  <c r="DU572" i="25"/>
  <c r="DU573" i="25"/>
  <c r="DU574" i="25"/>
  <c r="DU575" i="25"/>
  <c r="DU576" i="25"/>
  <c r="DU577" i="25"/>
  <c r="DU578" i="25"/>
  <c r="DU579" i="25"/>
  <c r="DU580" i="25"/>
  <c r="DU581" i="25"/>
  <c r="DU582" i="25"/>
  <c r="DU583" i="25"/>
  <c r="DU584" i="25"/>
  <c r="DU585" i="25"/>
  <c r="DU586" i="25"/>
  <c r="DU587" i="25"/>
  <c r="DU588" i="25"/>
  <c r="DU589" i="25"/>
  <c r="DU590" i="25"/>
  <c r="DU591" i="25"/>
  <c r="DU592" i="25"/>
  <c r="DU593" i="25"/>
  <c r="DU594" i="25"/>
  <c r="DU595" i="25"/>
  <c r="DU596" i="25"/>
  <c r="DU597" i="25"/>
  <c r="DU598" i="25"/>
  <c r="DU599" i="25"/>
  <c r="DU600" i="25"/>
  <c r="DV404" i="25"/>
  <c r="DV405" i="25"/>
  <c r="DV406" i="25"/>
  <c r="DV407" i="25"/>
  <c r="DV408" i="25"/>
  <c r="DV409" i="25"/>
  <c r="DV410" i="25"/>
  <c r="DV411" i="25"/>
  <c r="DV412" i="25"/>
  <c r="DV413" i="25"/>
  <c r="DV414" i="25"/>
  <c r="DV415" i="25"/>
  <c r="DV416" i="25"/>
  <c r="DV417" i="25"/>
  <c r="DV418" i="25"/>
  <c r="DV419" i="25"/>
  <c r="DV420" i="25"/>
  <c r="DV421" i="25"/>
  <c r="DV422" i="25"/>
  <c r="DV423" i="25"/>
  <c r="DV424" i="25"/>
  <c r="DV425" i="25"/>
  <c r="DV426" i="25"/>
  <c r="DV427" i="25"/>
  <c r="DV428" i="25"/>
  <c r="DV429" i="25"/>
  <c r="DV430" i="25"/>
  <c r="DV431" i="25"/>
  <c r="DV432" i="25"/>
  <c r="DV433" i="25"/>
  <c r="DV434" i="25"/>
  <c r="DV435" i="25"/>
  <c r="DV436" i="25"/>
  <c r="DV437" i="25"/>
  <c r="DV438" i="25"/>
  <c r="DV439" i="25"/>
  <c r="DV440" i="25"/>
  <c r="DV441" i="25"/>
  <c r="DV442" i="25"/>
  <c r="DV443" i="25"/>
  <c r="DV444" i="25"/>
  <c r="DV445" i="25"/>
  <c r="DV446" i="25"/>
  <c r="DV447" i="25"/>
  <c r="DV448" i="25"/>
  <c r="DV449" i="25"/>
  <c r="DV450" i="25"/>
  <c r="DV451" i="25"/>
  <c r="DV452" i="25"/>
  <c r="DV453" i="25"/>
  <c r="DV454" i="25"/>
  <c r="DV455" i="25"/>
  <c r="DV456" i="25"/>
  <c r="DV457" i="25"/>
  <c r="DV458" i="25"/>
  <c r="DV464" i="25"/>
  <c r="DV460" i="25"/>
  <c r="DV461" i="25"/>
  <c r="DV462" i="25"/>
  <c r="DV463" i="25"/>
  <c r="DV472" i="25"/>
  <c r="DV465" i="25"/>
  <c r="DV466" i="25"/>
  <c r="DV467" i="25"/>
  <c r="DV468" i="25"/>
  <c r="DV558" i="25"/>
  <c r="DV470" i="25"/>
  <c r="DV564" i="25"/>
  <c r="DV473" i="25"/>
  <c r="DV459" i="25"/>
  <c r="DV474" i="25"/>
  <c r="DV475" i="25"/>
  <c r="DV476" i="25"/>
  <c r="DV477" i="25"/>
  <c r="DV478" i="25"/>
  <c r="DV479" i="25"/>
  <c r="DV480" i="25"/>
  <c r="DV481" i="25"/>
  <c r="DV482" i="25"/>
  <c r="DV483" i="25"/>
  <c r="DV484" i="25"/>
  <c r="DV485" i="25"/>
  <c r="DV486" i="25"/>
  <c r="DV487" i="25"/>
  <c r="DV488" i="25"/>
  <c r="DV489" i="25"/>
  <c r="DV490" i="25"/>
  <c r="DV491" i="25"/>
  <c r="DV492" i="25"/>
  <c r="DV493" i="25"/>
  <c r="DV494" i="25"/>
  <c r="DV495" i="25"/>
  <c r="DV496" i="25"/>
  <c r="DV497" i="25"/>
  <c r="DV498" i="25"/>
  <c r="DV499" i="25"/>
  <c r="DV500" i="25"/>
  <c r="DV501" i="25"/>
  <c r="DV502" i="25"/>
  <c r="DV503" i="25"/>
  <c r="DV504" i="25"/>
  <c r="DV505" i="25"/>
  <c r="DV506" i="25"/>
  <c r="DV507" i="25"/>
  <c r="DV508" i="25"/>
  <c r="DV509" i="25"/>
  <c r="DV510" i="25"/>
  <c r="DV511" i="25"/>
  <c r="DV512" i="25"/>
  <c r="DV513" i="25"/>
  <c r="DV514" i="25"/>
  <c r="DV515" i="25"/>
  <c r="DV516" i="25"/>
  <c r="DV517" i="25"/>
  <c r="DV518" i="25"/>
  <c r="DV519" i="25"/>
  <c r="DV520" i="25"/>
  <c r="DV521" i="25"/>
  <c r="DV522" i="25"/>
  <c r="DV523" i="25"/>
  <c r="DV524" i="25"/>
  <c r="DV525" i="25"/>
  <c r="DV526" i="25"/>
  <c r="DV527" i="25"/>
  <c r="DV528" i="25"/>
  <c r="DV529" i="25"/>
  <c r="DV530" i="25"/>
  <c r="DV531" i="25"/>
  <c r="DV532" i="25"/>
  <c r="DV533" i="25"/>
  <c r="DV534" i="25"/>
  <c r="DV535" i="25"/>
  <c r="DV536" i="25"/>
  <c r="DV537" i="25"/>
  <c r="DV538" i="25"/>
  <c r="DV539" i="25"/>
  <c r="DV540" i="25"/>
  <c r="DV541" i="25"/>
  <c r="DV542" i="25"/>
  <c r="DV543" i="25"/>
  <c r="DV544" i="25"/>
  <c r="DV545" i="25"/>
  <c r="DV546" i="25"/>
  <c r="DV547" i="25"/>
  <c r="DV469" i="25"/>
  <c r="DV549" i="25"/>
  <c r="DV550" i="25"/>
  <c r="DV551" i="25"/>
  <c r="DV552" i="25"/>
  <c r="DV553" i="25"/>
  <c r="DV471" i="25"/>
  <c r="DV555" i="25"/>
  <c r="DV556" i="25"/>
  <c r="DV557" i="25"/>
  <c r="DV548" i="25"/>
  <c r="DV559" i="25"/>
  <c r="DV560" i="25"/>
  <c r="DV561" i="25"/>
  <c r="DV562" i="25"/>
  <c r="DV563" i="25"/>
  <c r="DV554" i="25"/>
  <c r="DV565" i="25"/>
  <c r="DV566" i="25"/>
  <c r="DV567" i="25"/>
  <c r="DV568" i="25"/>
  <c r="DV569" i="25"/>
  <c r="DV570" i="25"/>
  <c r="DV571" i="25"/>
  <c r="DV572" i="25"/>
  <c r="DV573" i="25"/>
  <c r="DV574" i="25"/>
  <c r="DV575" i="25"/>
  <c r="DV576" i="25"/>
  <c r="DV577" i="25"/>
  <c r="DV578" i="25"/>
  <c r="DV579" i="25"/>
  <c r="DV580" i="25"/>
  <c r="DV581" i="25"/>
  <c r="DV582" i="25"/>
  <c r="DV583" i="25"/>
  <c r="DV584" i="25"/>
  <c r="DV585" i="25"/>
  <c r="DV586" i="25"/>
  <c r="DV587" i="25"/>
  <c r="DV588" i="25"/>
  <c r="DV589" i="25"/>
  <c r="DV590" i="25"/>
  <c r="DV591" i="25"/>
  <c r="DV592" i="25"/>
  <c r="DV593" i="25"/>
  <c r="DV594" i="25"/>
  <c r="DV595" i="25"/>
  <c r="DV596" i="25"/>
  <c r="DV597" i="25"/>
  <c r="DV598" i="25"/>
  <c r="DV599" i="25"/>
  <c r="DV600" i="25"/>
  <c r="DW404" i="25"/>
  <c r="DW405" i="25"/>
  <c r="DW406" i="25"/>
  <c r="DW407" i="25"/>
  <c r="DW408" i="25"/>
  <c r="DW409" i="25"/>
  <c r="DW410" i="25"/>
  <c r="DW411" i="25"/>
  <c r="DW412" i="25"/>
  <c r="DW413" i="25"/>
  <c r="DW414" i="25"/>
  <c r="DW415" i="25"/>
  <c r="DW416" i="25"/>
  <c r="DW417" i="25"/>
  <c r="DW418" i="25"/>
  <c r="DW419" i="25"/>
  <c r="DW420" i="25"/>
  <c r="DW421" i="25"/>
  <c r="DW422" i="25"/>
  <c r="DW423" i="25"/>
  <c r="DW424" i="25"/>
  <c r="DW425" i="25"/>
  <c r="DW426" i="25"/>
  <c r="DW427" i="25"/>
  <c r="DW428" i="25"/>
  <c r="DW429" i="25"/>
  <c r="DW430" i="25"/>
  <c r="DW431" i="25"/>
  <c r="DW432" i="25"/>
  <c r="DW433" i="25"/>
  <c r="DW434" i="25"/>
  <c r="DW435" i="25"/>
  <c r="DW436" i="25"/>
  <c r="DW437" i="25"/>
  <c r="DW438" i="25"/>
  <c r="DW439" i="25"/>
  <c r="DW440" i="25"/>
  <c r="DW441" i="25"/>
  <c r="DW442" i="25"/>
  <c r="DW443" i="25"/>
  <c r="DW444" i="25"/>
  <c r="DW445" i="25"/>
  <c r="DW446" i="25"/>
  <c r="DW447" i="25"/>
  <c r="DW448" i="25"/>
  <c r="DW449" i="25"/>
  <c r="DW450" i="25"/>
  <c r="DW451" i="25"/>
  <c r="DW452" i="25"/>
  <c r="DW453" i="25"/>
  <c r="DW454" i="25"/>
  <c r="DW455" i="25"/>
  <c r="DW456" i="25"/>
  <c r="DW457" i="25"/>
  <c r="DW458" i="25"/>
  <c r="DW464" i="25"/>
  <c r="DW460" i="25"/>
  <c r="DW461" i="25"/>
  <c r="DW462" i="25"/>
  <c r="DW463" i="25"/>
  <c r="DW472" i="25"/>
  <c r="DW465" i="25"/>
  <c r="DW466" i="25"/>
  <c r="DW467" i="25"/>
  <c r="DW468" i="25"/>
  <c r="DW558" i="25"/>
  <c r="DW470" i="25"/>
  <c r="DW564" i="25"/>
  <c r="DW473" i="25"/>
  <c r="DW459" i="25"/>
  <c r="DW474" i="25"/>
  <c r="DW475" i="25"/>
  <c r="DW476" i="25"/>
  <c r="DW477" i="25"/>
  <c r="DW478" i="25"/>
  <c r="DW479" i="25"/>
  <c r="DW480" i="25"/>
  <c r="DW481" i="25"/>
  <c r="DW482" i="25"/>
  <c r="DW483" i="25"/>
  <c r="DW484" i="25"/>
  <c r="DW485" i="25"/>
  <c r="DW486" i="25"/>
  <c r="DW487" i="25"/>
  <c r="DW488" i="25"/>
  <c r="DW489" i="25"/>
  <c r="DW490" i="25"/>
  <c r="DW491" i="25"/>
  <c r="DW492" i="25"/>
  <c r="DW493" i="25"/>
  <c r="DW494" i="25"/>
  <c r="DW495" i="25"/>
  <c r="DW496" i="25"/>
  <c r="DW497" i="25"/>
  <c r="DW498" i="25"/>
  <c r="DW499" i="25"/>
  <c r="DW500" i="25"/>
  <c r="DW501" i="25"/>
  <c r="DW502" i="25"/>
  <c r="DW503" i="25"/>
  <c r="DW504" i="25"/>
  <c r="DW505" i="25"/>
  <c r="DW506" i="25"/>
  <c r="DW507" i="25"/>
  <c r="DW508" i="25"/>
  <c r="DW509" i="25"/>
  <c r="DW510" i="25"/>
  <c r="DW511" i="25"/>
  <c r="DW512" i="25"/>
  <c r="DW513" i="25"/>
  <c r="DW514" i="25"/>
  <c r="DW515" i="25"/>
  <c r="DW516" i="25"/>
  <c r="DW517" i="25"/>
  <c r="DW518" i="25"/>
  <c r="DW519" i="25"/>
  <c r="DW520" i="25"/>
  <c r="DW521" i="25"/>
  <c r="DW522" i="25"/>
  <c r="DW523" i="25"/>
  <c r="DW524" i="25"/>
  <c r="DW525" i="25"/>
  <c r="DW526" i="25"/>
  <c r="DW527" i="25"/>
  <c r="DW528" i="25"/>
  <c r="DW529" i="25"/>
  <c r="DW530" i="25"/>
  <c r="DW531" i="25"/>
  <c r="DW532" i="25"/>
  <c r="DW533" i="25"/>
  <c r="DW534" i="25"/>
  <c r="DW535" i="25"/>
  <c r="DW536" i="25"/>
  <c r="DW537" i="25"/>
  <c r="DW538" i="25"/>
  <c r="DW539" i="25"/>
  <c r="DW540" i="25"/>
  <c r="DW541" i="25"/>
  <c r="DW542" i="25"/>
  <c r="DW543" i="25"/>
  <c r="DW544" i="25"/>
  <c r="DW545" i="25"/>
  <c r="DW546" i="25"/>
  <c r="DW547" i="25"/>
  <c r="DW469" i="25"/>
  <c r="DW549" i="25"/>
  <c r="DW550" i="25"/>
  <c r="DW551" i="25"/>
  <c r="DW552" i="25"/>
  <c r="DW553" i="25"/>
  <c r="DW471" i="25"/>
  <c r="DW555" i="25"/>
  <c r="DW556" i="25"/>
  <c r="DW557" i="25"/>
  <c r="DW548" i="25"/>
  <c r="DW559" i="25"/>
  <c r="DW560" i="25"/>
  <c r="DW561" i="25"/>
  <c r="DW562" i="25"/>
  <c r="DW563" i="25"/>
  <c r="DW554" i="25"/>
  <c r="DW565" i="25"/>
  <c r="DW566" i="25"/>
  <c r="DW567" i="25"/>
  <c r="DW568" i="25"/>
  <c r="DW569" i="25"/>
  <c r="DW570" i="25"/>
  <c r="DW571" i="25"/>
  <c r="DW572" i="25"/>
  <c r="DW573" i="25"/>
  <c r="DW574" i="25"/>
  <c r="DW575" i="25"/>
  <c r="DW576" i="25"/>
  <c r="DW577" i="25"/>
  <c r="DW578" i="25"/>
  <c r="DW579" i="25"/>
  <c r="DW580" i="25"/>
  <c r="DW581" i="25"/>
  <c r="DW582" i="25"/>
  <c r="DW583" i="25"/>
  <c r="DW584" i="25"/>
  <c r="DW585" i="25"/>
  <c r="DW586" i="25"/>
  <c r="DW587" i="25"/>
  <c r="DW588" i="25"/>
  <c r="DW589" i="25"/>
  <c r="DW590" i="25"/>
  <c r="DW591" i="25"/>
  <c r="DW592" i="25"/>
  <c r="DW593" i="25"/>
  <c r="DW594" i="25"/>
  <c r="DW595" i="25"/>
  <c r="DW596" i="25"/>
  <c r="DW597" i="25"/>
  <c r="DW598" i="25"/>
  <c r="DW599" i="25"/>
  <c r="DW600" i="25"/>
  <c r="DY404" i="25"/>
  <c r="DY405" i="25"/>
  <c r="DY406" i="25"/>
  <c r="DY407" i="25"/>
  <c r="DY408" i="25"/>
  <c r="DY409" i="25"/>
  <c r="DY410" i="25"/>
  <c r="DY411" i="25"/>
  <c r="DY412" i="25"/>
  <c r="DY413" i="25"/>
  <c r="DY414" i="25"/>
  <c r="DY415" i="25"/>
  <c r="DY416" i="25"/>
  <c r="DY417" i="25"/>
  <c r="DY418" i="25"/>
  <c r="DY419" i="25"/>
  <c r="DY420" i="25"/>
  <c r="DY421" i="25"/>
  <c r="DY422" i="25"/>
  <c r="DY423" i="25"/>
  <c r="DY424" i="25"/>
  <c r="DY425" i="25"/>
  <c r="DY426" i="25"/>
  <c r="DY427" i="25"/>
  <c r="DY428" i="25"/>
  <c r="DY429" i="25"/>
  <c r="DY430" i="25"/>
  <c r="DY431" i="25"/>
  <c r="DY432" i="25"/>
  <c r="DY433" i="25"/>
  <c r="DY434" i="25"/>
  <c r="DY435" i="25"/>
  <c r="DY436" i="25"/>
  <c r="DY437" i="25"/>
  <c r="DY438" i="25"/>
  <c r="DY439" i="25"/>
  <c r="DY440" i="25"/>
  <c r="DY441" i="25"/>
  <c r="DY442" i="25"/>
  <c r="DY443" i="25"/>
  <c r="DY444" i="25"/>
  <c r="DY445" i="25"/>
  <c r="DY446" i="25"/>
  <c r="DY447" i="25"/>
  <c r="DY448" i="25"/>
  <c r="DY449" i="25"/>
  <c r="DY450" i="25"/>
  <c r="DY451" i="25"/>
  <c r="DY452" i="25"/>
  <c r="DY453" i="25"/>
  <c r="DY454" i="25"/>
  <c r="DY455" i="25"/>
  <c r="DY456" i="25"/>
  <c r="DY457" i="25"/>
  <c r="DY458" i="25"/>
  <c r="DY464" i="25"/>
  <c r="DY460" i="25"/>
  <c r="DY461" i="25"/>
  <c r="DY462" i="25"/>
  <c r="DY463" i="25"/>
  <c r="DY472" i="25"/>
  <c r="DY465" i="25"/>
  <c r="DY466" i="25"/>
  <c r="DY467" i="25"/>
  <c r="DY468" i="25"/>
  <c r="DY558" i="25"/>
  <c r="DY470" i="25"/>
  <c r="DY564" i="25"/>
  <c r="DY473" i="25"/>
  <c r="DY459" i="25"/>
  <c r="DY474" i="25"/>
  <c r="DY475" i="25"/>
  <c r="DY476" i="25"/>
  <c r="DY477" i="25"/>
  <c r="DY478" i="25"/>
  <c r="DY479" i="25"/>
  <c r="DY480" i="25"/>
  <c r="DY481" i="25"/>
  <c r="DY482" i="25"/>
  <c r="DY483" i="25"/>
  <c r="DY484" i="25"/>
  <c r="DY485" i="25"/>
  <c r="DY486" i="25"/>
  <c r="DY487" i="25"/>
  <c r="DY488" i="25"/>
  <c r="DY489" i="25"/>
  <c r="DY490" i="25"/>
  <c r="DY491" i="25"/>
  <c r="DY492" i="25"/>
  <c r="DY493" i="25"/>
  <c r="DY494" i="25"/>
  <c r="DY495" i="25"/>
  <c r="DY496" i="25"/>
  <c r="DY497" i="25"/>
  <c r="DY498" i="25"/>
  <c r="DY499" i="25"/>
  <c r="DY500" i="25"/>
  <c r="DY501" i="25"/>
  <c r="DY502" i="25"/>
  <c r="DY503" i="25"/>
  <c r="DY504" i="25"/>
  <c r="DY505" i="25"/>
  <c r="DY506" i="25"/>
  <c r="DY507" i="25"/>
  <c r="DY508" i="25"/>
  <c r="DY509" i="25"/>
  <c r="DY510" i="25"/>
  <c r="DY511" i="25"/>
  <c r="DY512" i="25"/>
  <c r="DY513" i="25"/>
  <c r="DY514" i="25"/>
  <c r="DY515" i="25"/>
  <c r="DY516" i="25"/>
  <c r="DY517" i="25"/>
  <c r="DY518" i="25"/>
  <c r="DY519" i="25"/>
  <c r="DY520" i="25"/>
  <c r="DY521" i="25"/>
  <c r="DY522" i="25"/>
  <c r="DY523" i="25"/>
  <c r="DY524" i="25"/>
  <c r="DY525" i="25"/>
  <c r="DY526" i="25"/>
  <c r="DY527" i="25"/>
  <c r="DY528" i="25"/>
  <c r="DY529" i="25"/>
  <c r="DY530" i="25"/>
  <c r="DY531" i="25"/>
  <c r="DY532" i="25"/>
  <c r="DY533" i="25"/>
  <c r="DY534" i="25"/>
  <c r="DY535" i="25"/>
  <c r="DY536" i="25"/>
  <c r="DY537" i="25"/>
  <c r="DY538" i="25"/>
  <c r="DY539" i="25"/>
  <c r="DY540" i="25"/>
  <c r="DY541" i="25"/>
  <c r="DY542" i="25"/>
  <c r="DY543" i="25"/>
  <c r="DY544" i="25"/>
  <c r="DY545" i="25"/>
  <c r="DY546" i="25"/>
  <c r="DY547" i="25"/>
  <c r="DY469" i="25"/>
  <c r="DY549" i="25"/>
  <c r="DY550" i="25"/>
  <c r="DY551" i="25"/>
  <c r="DY552" i="25"/>
  <c r="DY553" i="25"/>
  <c r="DY471" i="25"/>
  <c r="DY555" i="25"/>
  <c r="DY556" i="25"/>
  <c r="DY557" i="25"/>
  <c r="DY548" i="25"/>
  <c r="DY559" i="25"/>
  <c r="DY560" i="25"/>
  <c r="DY561" i="25"/>
  <c r="DY562" i="25"/>
  <c r="DY563" i="25"/>
  <c r="DY554" i="25"/>
  <c r="DY565" i="25"/>
  <c r="DY566" i="25"/>
  <c r="DY567" i="25"/>
  <c r="DY568" i="25"/>
  <c r="DY569" i="25"/>
  <c r="DY570" i="25"/>
  <c r="DY571" i="25"/>
  <c r="DY572" i="25"/>
  <c r="DY573" i="25"/>
  <c r="DY574" i="25"/>
  <c r="DY575" i="25"/>
  <c r="DY576" i="25"/>
  <c r="DY577" i="25"/>
  <c r="DY578" i="25"/>
  <c r="DY579" i="25"/>
  <c r="DY580" i="25"/>
  <c r="DY581" i="25"/>
  <c r="DY582" i="25"/>
  <c r="DY583" i="25"/>
  <c r="DY584" i="25"/>
  <c r="DY585" i="25"/>
  <c r="DY586" i="25"/>
  <c r="DY587" i="25"/>
  <c r="DY588" i="25"/>
  <c r="DY589" i="25"/>
  <c r="DY590" i="25"/>
  <c r="DY591" i="25"/>
  <c r="DY592" i="25"/>
  <c r="DY593" i="25"/>
  <c r="DY594" i="25"/>
  <c r="DY595" i="25"/>
  <c r="DY596" i="25"/>
  <c r="DY597" i="25"/>
  <c r="DY598" i="25"/>
  <c r="DY599" i="25"/>
  <c r="DY600" i="25"/>
  <c r="DZ404" i="25"/>
  <c r="DZ405" i="25"/>
  <c r="DZ406" i="25"/>
  <c r="DZ407" i="25"/>
  <c r="DZ408" i="25"/>
  <c r="DZ409" i="25"/>
  <c r="DZ410" i="25"/>
  <c r="DZ411" i="25"/>
  <c r="DZ412" i="25"/>
  <c r="DZ413" i="25"/>
  <c r="DZ414" i="25"/>
  <c r="DZ415" i="25"/>
  <c r="DZ416" i="25"/>
  <c r="DZ417" i="25"/>
  <c r="DZ418" i="25"/>
  <c r="DZ419" i="25"/>
  <c r="DZ420" i="25"/>
  <c r="DZ421" i="25"/>
  <c r="DZ422" i="25"/>
  <c r="DZ423" i="25"/>
  <c r="DZ424" i="25"/>
  <c r="DZ425" i="25"/>
  <c r="DZ426" i="25"/>
  <c r="DZ427" i="25"/>
  <c r="DZ428" i="25"/>
  <c r="DZ429" i="25"/>
  <c r="DZ430" i="25"/>
  <c r="DZ431" i="25"/>
  <c r="DZ432" i="25"/>
  <c r="DZ433" i="25"/>
  <c r="DZ434" i="25"/>
  <c r="DZ435" i="25"/>
  <c r="DZ436" i="25"/>
  <c r="DZ437" i="25"/>
  <c r="DZ438" i="25"/>
  <c r="DZ439" i="25"/>
  <c r="DZ440" i="25"/>
  <c r="DZ441" i="25"/>
  <c r="DZ442" i="25"/>
  <c r="DZ443" i="25"/>
  <c r="DZ444" i="25"/>
  <c r="DZ445" i="25"/>
  <c r="DZ446" i="25"/>
  <c r="DZ447" i="25"/>
  <c r="DZ448" i="25"/>
  <c r="DZ449" i="25"/>
  <c r="DZ450" i="25"/>
  <c r="DZ451" i="25"/>
  <c r="DZ452" i="25"/>
  <c r="DZ453" i="25"/>
  <c r="DZ454" i="25"/>
  <c r="DZ455" i="25"/>
  <c r="DZ456" i="25"/>
  <c r="DZ457" i="25"/>
  <c r="DZ458" i="25"/>
  <c r="DZ464" i="25"/>
  <c r="DZ460" i="25"/>
  <c r="DZ461" i="25"/>
  <c r="DZ462" i="25"/>
  <c r="DZ463" i="25"/>
  <c r="DZ472" i="25"/>
  <c r="DZ465" i="25"/>
  <c r="DZ466" i="25"/>
  <c r="DZ467" i="25"/>
  <c r="DZ468" i="25"/>
  <c r="DZ558" i="25"/>
  <c r="DZ470" i="25"/>
  <c r="DZ564" i="25"/>
  <c r="DZ473" i="25"/>
  <c r="DZ459" i="25"/>
  <c r="DZ474" i="25"/>
  <c r="DZ475" i="25"/>
  <c r="DZ476" i="25"/>
  <c r="DZ477" i="25"/>
  <c r="DZ478" i="25"/>
  <c r="DZ479" i="25"/>
  <c r="DZ480" i="25"/>
  <c r="DZ481" i="25"/>
  <c r="DZ482" i="25"/>
  <c r="DZ483" i="25"/>
  <c r="DZ484" i="25"/>
  <c r="DZ485" i="25"/>
  <c r="DZ486" i="25"/>
  <c r="DZ487" i="25"/>
  <c r="DZ488" i="25"/>
  <c r="DZ489" i="25"/>
  <c r="DZ490" i="25"/>
  <c r="DZ491" i="25"/>
  <c r="DZ492" i="25"/>
  <c r="DZ493" i="25"/>
  <c r="DZ494" i="25"/>
  <c r="DZ495" i="25"/>
  <c r="DZ496" i="25"/>
  <c r="DZ497" i="25"/>
  <c r="DZ498" i="25"/>
  <c r="DZ499" i="25"/>
  <c r="DZ500" i="25"/>
  <c r="DZ501" i="25"/>
  <c r="DZ502" i="25"/>
  <c r="DZ503" i="25"/>
  <c r="DZ504" i="25"/>
  <c r="DZ505" i="25"/>
  <c r="DZ506" i="25"/>
  <c r="DZ507" i="25"/>
  <c r="DZ508" i="25"/>
  <c r="DZ509" i="25"/>
  <c r="DZ510" i="25"/>
  <c r="DZ511" i="25"/>
  <c r="DZ512" i="25"/>
  <c r="DZ513" i="25"/>
  <c r="DZ514" i="25"/>
  <c r="DZ515" i="25"/>
  <c r="DZ516" i="25"/>
  <c r="DZ517" i="25"/>
  <c r="DZ518" i="25"/>
  <c r="DZ519" i="25"/>
  <c r="DZ520" i="25"/>
  <c r="DZ521" i="25"/>
  <c r="DZ522" i="25"/>
  <c r="DZ523" i="25"/>
  <c r="DZ524" i="25"/>
  <c r="DZ525" i="25"/>
  <c r="DZ526" i="25"/>
  <c r="DZ527" i="25"/>
  <c r="DZ528" i="25"/>
  <c r="DZ529" i="25"/>
  <c r="DZ530" i="25"/>
  <c r="DZ531" i="25"/>
  <c r="DZ532" i="25"/>
  <c r="DZ533" i="25"/>
  <c r="DZ534" i="25"/>
  <c r="DZ535" i="25"/>
  <c r="DZ536" i="25"/>
  <c r="DZ537" i="25"/>
  <c r="DZ538" i="25"/>
  <c r="DZ539" i="25"/>
  <c r="DZ540" i="25"/>
  <c r="DZ541" i="25"/>
  <c r="DZ542" i="25"/>
  <c r="DZ543" i="25"/>
  <c r="DZ544" i="25"/>
  <c r="DZ545" i="25"/>
  <c r="DZ546" i="25"/>
  <c r="DZ547" i="25"/>
  <c r="DZ469" i="25"/>
  <c r="DZ549" i="25"/>
  <c r="DZ550" i="25"/>
  <c r="DZ551" i="25"/>
  <c r="DZ552" i="25"/>
  <c r="DZ553" i="25"/>
  <c r="DZ471" i="25"/>
  <c r="DZ555" i="25"/>
  <c r="DZ556" i="25"/>
  <c r="DZ557" i="25"/>
  <c r="DZ548" i="25"/>
  <c r="DZ559" i="25"/>
  <c r="DZ560" i="25"/>
  <c r="DZ561" i="25"/>
  <c r="DZ562" i="25"/>
  <c r="DZ563" i="25"/>
  <c r="DZ554" i="25"/>
  <c r="DZ565" i="25"/>
  <c r="DZ566" i="25"/>
  <c r="DZ567" i="25"/>
  <c r="DZ568" i="25"/>
  <c r="DZ569" i="25"/>
  <c r="DZ570" i="25"/>
  <c r="DZ571" i="25"/>
  <c r="DZ572" i="25"/>
  <c r="DZ573" i="25"/>
  <c r="DZ574" i="25"/>
  <c r="DZ575" i="25"/>
  <c r="DZ576" i="25"/>
  <c r="DZ577" i="25"/>
  <c r="DZ578" i="25"/>
  <c r="DZ579" i="25"/>
  <c r="DZ580" i="25"/>
  <c r="DZ581" i="25"/>
  <c r="DZ582" i="25"/>
  <c r="DZ583" i="25"/>
  <c r="DZ584" i="25"/>
  <c r="DZ585" i="25"/>
  <c r="DZ586" i="25"/>
  <c r="DZ587" i="25"/>
  <c r="DZ588" i="25"/>
  <c r="DZ589" i="25"/>
  <c r="DZ590" i="25"/>
  <c r="DZ591" i="25"/>
  <c r="DZ592" i="25"/>
  <c r="DZ593" i="25"/>
  <c r="DZ594" i="25"/>
  <c r="DZ595" i="25"/>
  <c r="DZ596" i="25"/>
  <c r="DZ597" i="25"/>
  <c r="DZ598" i="25"/>
  <c r="DZ599" i="25"/>
  <c r="DZ600" i="25"/>
  <c r="EA404" i="25"/>
  <c r="EA405" i="25"/>
  <c r="EA406" i="25"/>
  <c r="EA407" i="25"/>
  <c r="EA408" i="25"/>
  <c r="EA409" i="25"/>
  <c r="EA410" i="25"/>
  <c r="EA411" i="25"/>
  <c r="EA412" i="25"/>
  <c r="DC412" i="25" s="1"/>
  <c r="DD412" i="25" s="1"/>
  <c r="EA413" i="25"/>
  <c r="EA414" i="25"/>
  <c r="EA415" i="25"/>
  <c r="EA416" i="25"/>
  <c r="EA417" i="25"/>
  <c r="EA418" i="25"/>
  <c r="EA419" i="25"/>
  <c r="EA420" i="25"/>
  <c r="EA421" i="25"/>
  <c r="EA422" i="25"/>
  <c r="EA423" i="25"/>
  <c r="EA424" i="25"/>
  <c r="EA425" i="25"/>
  <c r="EA426" i="25"/>
  <c r="EA427" i="25"/>
  <c r="EA428" i="25"/>
  <c r="EA429" i="25"/>
  <c r="EA430" i="25"/>
  <c r="EA431" i="25"/>
  <c r="EA432" i="25"/>
  <c r="EA433" i="25"/>
  <c r="EA434" i="25"/>
  <c r="EA435" i="25"/>
  <c r="EA436" i="25"/>
  <c r="EA437" i="25"/>
  <c r="EA438" i="25"/>
  <c r="EA439" i="25"/>
  <c r="EA440" i="25"/>
  <c r="EA441" i="25"/>
  <c r="EA442" i="25"/>
  <c r="EA443" i="25"/>
  <c r="EA444" i="25"/>
  <c r="DC444" i="25" s="1"/>
  <c r="DD444" i="25" s="1"/>
  <c r="EA445" i="25"/>
  <c r="EA446" i="25"/>
  <c r="EA447" i="25"/>
  <c r="EA448" i="25"/>
  <c r="EA449" i="25"/>
  <c r="EA450" i="25"/>
  <c r="EA451" i="25"/>
  <c r="EA452" i="25"/>
  <c r="EA453" i="25"/>
  <c r="EA454" i="25"/>
  <c r="EA455" i="25"/>
  <c r="EA456" i="25"/>
  <c r="EA457" i="25"/>
  <c r="EA458" i="25"/>
  <c r="EA464" i="25"/>
  <c r="EA460" i="25"/>
  <c r="EA461" i="25"/>
  <c r="EA462" i="25"/>
  <c r="EA463" i="25"/>
  <c r="EA472" i="25"/>
  <c r="EA465" i="25"/>
  <c r="EA466" i="25"/>
  <c r="EA467" i="25"/>
  <c r="EA468" i="25"/>
  <c r="EA558" i="25"/>
  <c r="EA470" i="25"/>
  <c r="EA564" i="25"/>
  <c r="EA473" i="25"/>
  <c r="EA459" i="25"/>
  <c r="EA474" i="25"/>
  <c r="EA475" i="25"/>
  <c r="EA476" i="25"/>
  <c r="DC476" i="25" s="1"/>
  <c r="DD476" i="25" s="1"/>
  <c r="EA477" i="25"/>
  <c r="EA478" i="25"/>
  <c r="EA479" i="25"/>
  <c r="CZ479" i="25" s="1"/>
  <c r="EA480" i="25"/>
  <c r="EA481" i="25"/>
  <c r="EA482" i="25"/>
  <c r="EA483" i="25"/>
  <c r="EA484" i="25"/>
  <c r="CY484" i="25" s="1"/>
  <c r="EA485" i="25"/>
  <c r="EA486" i="25"/>
  <c r="EA487" i="25"/>
  <c r="CX487" i="25" s="1"/>
  <c r="CW487" i="25" s="1"/>
  <c r="DE487" i="25" s="1"/>
  <c r="EA488" i="25"/>
  <c r="EA489" i="25"/>
  <c r="EA490" i="25"/>
  <c r="EA491" i="25"/>
  <c r="EA492" i="25"/>
  <c r="EA493" i="25"/>
  <c r="EA494" i="25"/>
  <c r="EA495" i="25"/>
  <c r="EA496" i="25"/>
  <c r="EA497" i="25"/>
  <c r="EA498" i="25"/>
  <c r="EA499" i="25"/>
  <c r="EA500" i="25"/>
  <c r="EA501" i="25"/>
  <c r="EA502" i="25"/>
  <c r="EA503" i="25"/>
  <c r="EA504" i="25"/>
  <c r="EA505" i="25"/>
  <c r="EA506" i="25"/>
  <c r="EA507" i="25"/>
  <c r="EA508" i="25"/>
  <c r="DC508" i="25" s="1"/>
  <c r="DD508" i="25" s="1"/>
  <c r="EA509" i="25"/>
  <c r="EA510" i="25"/>
  <c r="EA511" i="25"/>
  <c r="EA512" i="25"/>
  <c r="EA513" i="25"/>
  <c r="EA514" i="25"/>
  <c r="EA515" i="25"/>
  <c r="EA516" i="25"/>
  <c r="EA517" i="25"/>
  <c r="EA518" i="25"/>
  <c r="EA519" i="25"/>
  <c r="EA520" i="25"/>
  <c r="EA521" i="25"/>
  <c r="EA522" i="25"/>
  <c r="EA523" i="25"/>
  <c r="EA524" i="25"/>
  <c r="EA525" i="25"/>
  <c r="EA526" i="25"/>
  <c r="EA527" i="25"/>
  <c r="EA528" i="25"/>
  <c r="EA529" i="25"/>
  <c r="EA530" i="25"/>
  <c r="EA531" i="25"/>
  <c r="EA532" i="25"/>
  <c r="EA533" i="25"/>
  <c r="EA534" i="25"/>
  <c r="EA535" i="25"/>
  <c r="EA536" i="25"/>
  <c r="EA537" i="25"/>
  <c r="EA538" i="25"/>
  <c r="EA539" i="25"/>
  <c r="EA540" i="25"/>
  <c r="DC540" i="25" s="1"/>
  <c r="DD540" i="25" s="1"/>
  <c r="EA541" i="25"/>
  <c r="EA542" i="25"/>
  <c r="EA543" i="25"/>
  <c r="CZ543" i="25" s="1"/>
  <c r="EA544" i="25"/>
  <c r="EA545" i="25"/>
  <c r="EA546" i="25"/>
  <c r="EA547" i="25"/>
  <c r="EA469" i="25"/>
  <c r="CY469" i="25" s="1"/>
  <c r="EA549" i="25"/>
  <c r="EA550" i="25"/>
  <c r="EA551" i="25"/>
  <c r="EA552" i="25"/>
  <c r="EA553" i="25"/>
  <c r="EA471" i="25"/>
  <c r="EA555" i="25"/>
  <c r="EA556" i="25"/>
  <c r="EA557" i="25"/>
  <c r="EA548" i="25"/>
  <c r="EA559" i="25"/>
  <c r="EA560" i="25"/>
  <c r="EA561" i="25"/>
  <c r="EA562" i="25"/>
  <c r="EA563" i="25"/>
  <c r="EA554" i="25"/>
  <c r="EA565" i="25"/>
  <c r="EA566" i="25"/>
  <c r="EA567" i="25"/>
  <c r="EA568" i="25"/>
  <c r="EA569" i="25"/>
  <c r="EA570" i="25"/>
  <c r="EA571" i="25"/>
  <c r="EA572" i="25"/>
  <c r="DC572" i="25" s="1"/>
  <c r="DD572" i="25" s="1"/>
  <c r="EA573" i="25"/>
  <c r="EA574" i="25"/>
  <c r="EA575" i="25"/>
  <c r="EA576" i="25"/>
  <c r="EA577" i="25"/>
  <c r="EA578" i="25"/>
  <c r="EA579" i="25"/>
  <c r="EA580" i="25"/>
  <c r="EA581" i="25"/>
  <c r="EA582" i="25"/>
  <c r="EA583" i="25"/>
  <c r="EA584" i="25"/>
  <c r="EA585" i="25"/>
  <c r="EA586" i="25"/>
  <c r="EA587" i="25"/>
  <c r="EA588" i="25"/>
  <c r="EA589" i="25"/>
  <c r="EA590" i="25"/>
  <c r="EA591" i="25"/>
  <c r="EA592" i="25"/>
  <c r="EA593" i="25"/>
  <c r="EA594" i="25"/>
  <c r="EA595" i="25"/>
  <c r="EA596" i="25"/>
  <c r="EA597" i="25"/>
  <c r="EA598" i="25"/>
  <c r="EA599" i="25"/>
  <c r="EA600" i="25"/>
  <c r="EB404" i="25"/>
  <c r="EB405" i="25"/>
  <c r="EB406" i="25"/>
  <c r="EB407" i="25"/>
  <c r="EB408" i="25"/>
  <c r="EB409" i="25"/>
  <c r="EB410" i="25"/>
  <c r="EB411" i="25"/>
  <c r="EB412" i="25"/>
  <c r="EB413" i="25"/>
  <c r="EB414" i="25"/>
  <c r="EB415" i="25"/>
  <c r="EB416" i="25"/>
  <c r="EB417" i="25"/>
  <c r="EB418" i="25"/>
  <c r="EB419" i="25"/>
  <c r="EB420" i="25"/>
  <c r="EB421" i="25"/>
  <c r="EB422" i="25"/>
  <c r="EB423" i="25"/>
  <c r="EB424" i="25"/>
  <c r="EB425" i="25"/>
  <c r="EB426" i="25"/>
  <c r="EB427" i="25"/>
  <c r="EB428" i="25"/>
  <c r="EB429" i="25"/>
  <c r="EB430" i="25"/>
  <c r="EB431" i="25"/>
  <c r="EB432" i="25"/>
  <c r="EB433" i="25"/>
  <c r="EB434" i="25"/>
  <c r="EB435" i="25"/>
  <c r="EB436" i="25"/>
  <c r="EB437" i="25"/>
  <c r="EB438" i="25"/>
  <c r="EB439" i="25"/>
  <c r="EB440" i="25"/>
  <c r="EB441" i="25"/>
  <c r="EB442" i="25"/>
  <c r="EB443" i="25"/>
  <c r="EB444" i="25"/>
  <c r="EB445" i="25"/>
  <c r="EB446" i="25"/>
  <c r="EB447" i="25"/>
  <c r="EB448" i="25"/>
  <c r="EB449" i="25"/>
  <c r="EB450" i="25"/>
  <c r="EB451" i="25"/>
  <c r="EB452" i="25"/>
  <c r="EB453" i="25"/>
  <c r="EB454" i="25"/>
  <c r="EB455" i="25"/>
  <c r="EB456" i="25"/>
  <c r="EB457" i="25"/>
  <c r="EB458" i="25"/>
  <c r="EB464" i="25"/>
  <c r="EB460" i="25"/>
  <c r="EB461" i="25"/>
  <c r="EB462" i="25"/>
  <c r="EB463" i="25"/>
  <c r="EB472" i="25"/>
  <c r="EB465" i="25"/>
  <c r="EB466" i="25"/>
  <c r="EB467" i="25"/>
  <c r="EB468" i="25"/>
  <c r="EB558" i="25"/>
  <c r="EB470" i="25"/>
  <c r="EB564" i="25"/>
  <c r="EB473" i="25"/>
  <c r="EB459" i="25"/>
  <c r="EB474" i="25"/>
  <c r="EB475" i="25"/>
  <c r="EB476" i="25"/>
  <c r="EB477" i="25"/>
  <c r="EB478" i="25"/>
  <c r="EB479" i="25"/>
  <c r="EB480" i="25"/>
  <c r="EB481" i="25"/>
  <c r="EB482" i="25"/>
  <c r="EB483" i="25"/>
  <c r="EB484" i="25"/>
  <c r="EB485" i="25"/>
  <c r="EB486" i="25"/>
  <c r="EB487" i="25"/>
  <c r="EB488" i="25"/>
  <c r="EB489" i="25"/>
  <c r="EB490" i="25"/>
  <c r="EB491" i="25"/>
  <c r="EB492" i="25"/>
  <c r="EB493" i="25"/>
  <c r="EB494" i="25"/>
  <c r="EB495" i="25"/>
  <c r="EB496" i="25"/>
  <c r="EB497" i="25"/>
  <c r="EB498" i="25"/>
  <c r="EB499" i="25"/>
  <c r="EB500" i="25"/>
  <c r="EB501" i="25"/>
  <c r="EB502" i="25"/>
  <c r="EB503" i="25"/>
  <c r="EB504" i="25"/>
  <c r="EB505" i="25"/>
  <c r="EB506" i="25"/>
  <c r="EB507" i="25"/>
  <c r="EB508" i="25"/>
  <c r="EB509" i="25"/>
  <c r="EB510" i="25"/>
  <c r="EB511" i="25"/>
  <c r="EB512" i="25"/>
  <c r="EB513" i="25"/>
  <c r="EB514" i="25"/>
  <c r="EB515" i="25"/>
  <c r="EB516" i="25"/>
  <c r="EB517" i="25"/>
  <c r="EB518" i="25"/>
  <c r="EB519" i="25"/>
  <c r="EB520" i="25"/>
  <c r="EB521" i="25"/>
  <c r="EB522" i="25"/>
  <c r="EB523" i="25"/>
  <c r="EB524" i="25"/>
  <c r="EB525" i="25"/>
  <c r="EB526" i="25"/>
  <c r="EB527" i="25"/>
  <c r="EB528" i="25"/>
  <c r="EB529" i="25"/>
  <c r="EB530" i="25"/>
  <c r="EB531" i="25"/>
  <c r="EB532" i="25"/>
  <c r="EB533" i="25"/>
  <c r="EB534" i="25"/>
  <c r="EB535" i="25"/>
  <c r="EB536" i="25"/>
  <c r="EB537" i="25"/>
  <c r="EB538" i="25"/>
  <c r="EB539" i="25"/>
  <c r="EB540" i="25"/>
  <c r="EB541" i="25"/>
  <c r="EB542" i="25"/>
  <c r="EB543" i="25"/>
  <c r="EB544" i="25"/>
  <c r="EB545" i="25"/>
  <c r="EB546" i="25"/>
  <c r="EB547" i="25"/>
  <c r="EB469" i="25"/>
  <c r="EB549" i="25"/>
  <c r="EB550" i="25"/>
  <c r="EB551" i="25"/>
  <c r="EB552" i="25"/>
  <c r="EB553" i="25"/>
  <c r="EB471" i="25"/>
  <c r="EB555" i="25"/>
  <c r="EB556" i="25"/>
  <c r="EB557" i="25"/>
  <c r="EB548" i="25"/>
  <c r="EB559" i="25"/>
  <c r="EB560" i="25"/>
  <c r="EB561" i="25"/>
  <c r="EB562" i="25"/>
  <c r="EB563" i="25"/>
  <c r="EB554" i="25"/>
  <c r="EB565" i="25"/>
  <c r="EB566" i="25"/>
  <c r="EB567" i="25"/>
  <c r="EB568" i="25"/>
  <c r="EB569" i="25"/>
  <c r="EB570" i="25"/>
  <c r="EB571" i="25"/>
  <c r="EB572" i="25"/>
  <c r="EB573" i="25"/>
  <c r="EB574" i="25"/>
  <c r="EB575" i="25"/>
  <c r="EB576" i="25"/>
  <c r="EB577" i="25"/>
  <c r="EB578" i="25"/>
  <c r="EB579" i="25"/>
  <c r="EB580" i="25"/>
  <c r="EB581" i="25"/>
  <c r="EB582" i="25"/>
  <c r="EB583" i="25"/>
  <c r="EB584" i="25"/>
  <c r="EB585" i="25"/>
  <c r="EB586" i="25"/>
  <c r="EB587" i="25"/>
  <c r="EB588" i="25"/>
  <c r="EB589" i="25"/>
  <c r="EB590" i="25"/>
  <c r="EB591" i="25"/>
  <c r="EB592" i="25"/>
  <c r="EB593" i="25"/>
  <c r="EB594" i="25"/>
  <c r="EB595" i="25"/>
  <c r="EB596" i="25"/>
  <c r="EB597" i="25"/>
  <c r="EB598" i="25"/>
  <c r="EB599" i="25"/>
  <c r="EB600" i="25"/>
  <c r="EC404" i="25"/>
  <c r="DO404" i="25" s="1"/>
  <c r="EC405" i="25"/>
  <c r="DO405" i="25" s="1"/>
  <c r="EC406" i="25"/>
  <c r="DO406" i="25" s="1"/>
  <c r="EC407" i="25"/>
  <c r="DO407" i="25" s="1"/>
  <c r="EC408" i="25"/>
  <c r="DO408" i="25" s="1"/>
  <c r="EC409" i="25"/>
  <c r="DO409" i="25" s="1"/>
  <c r="EC410" i="25"/>
  <c r="DO410" i="25" s="1"/>
  <c r="EC411" i="25"/>
  <c r="DO411" i="25" s="1"/>
  <c r="EC412" i="25"/>
  <c r="DO412" i="25" s="1"/>
  <c r="EC413" i="25"/>
  <c r="DO413" i="25" s="1"/>
  <c r="EC414" i="25"/>
  <c r="DO414" i="25" s="1"/>
  <c r="EC415" i="25"/>
  <c r="DO415" i="25" s="1"/>
  <c r="EC416" i="25"/>
  <c r="DO416" i="25" s="1"/>
  <c r="EC417" i="25"/>
  <c r="DO417" i="25" s="1"/>
  <c r="EC418" i="25"/>
  <c r="DO418" i="25" s="1"/>
  <c r="EC419" i="25"/>
  <c r="DO419" i="25" s="1"/>
  <c r="EC420" i="25"/>
  <c r="DO420" i="25" s="1"/>
  <c r="EC421" i="25"/>
  <c r="DO421" i="25" s="1"/>
  <c r="EC422" i="25"/>
  <c r="DO422" i="25" s="1"/>
  <c r="EC423" i="25"/>
  <c r="DO423" i="25" s="1"/>
  <c r="EC424" i="25"/>
  <c r="DO424" i="25" s="1"/>
  <c r="EC425" i="25"/>
  <c r="DO425" i="25" s="1"/>
  <c r="EC426" i="25"/>
  <c r="DO426" i="25" s="1"/>
  <c r="EC427" i="25"/>
  <c r="DO427" i="25" s="1"/>
  <c r="EC428" i="25"/>
  <c r="DO428" i="25" s="1"/>
  <c r="EC429" i="25"/>
  <c r="DO429" i="25" s="1"/>
  <c r="EC430" i="25"/>
  <c r="DO430" i="25" s="1"/>
  <c r="EC431" i="25"/>
  <c r="DO431" i="25" s="1"/>
  <c r="EC432" i="25"/>
  <c r="DO432" i="25" s="1"/>
  <c r="EC433" i="25"/>
  <c r="DO433" i="25" s="1"/>
  <c r="EC434" i="25"/>
  <c r="DO434" i="25" s="1"/>
  <c r="EC435" i="25"/>
  <c r="DO435" i="25" s="1"/>
  <c r="EC436" i="25"/>
  <c r="DO436" i="25" s="1"/>
  <c r="EC437" i="25"/>
  <c r="DO437" i="25" s="1"/>
  <c r="EC438" i="25"/>
  <c r="DO438" i="25" s="1"/>
  <c r="EC439" i="25"/>
  <c r="DO439" i="25" s="1"/>
  <c r="EC440" i="25"/>
  <c r="DO440" i="25" s="1"/>
  <c r="EC441" i="25"/>
  <c r="DO441" i="25" s="1"/>
  <c r="EC442" i="25"/>
  <c r="DO442" i="25" s="1"/>
  <c r="EC443" i="25"/>
  <c r="DO443" i="25" s="1"/>
  <c r="EC444" i="25"/>
  <c r="DO444" i="25" s="1"/>
  <c r="EC445" i="25"/>
  <c r="DO445" i="25" s="1"/>
  <c r="EC446" i="25"/>
  <c r="DO446" i="25" s="1"/>
  <c r="EC447" i="25"/>
  <c r="DO447" i="25" s="1"/>
  <c r="EC448" i="25"/>
  <c r="DO448" i="25" s="1"/>
  <c r="EC449" i="25"/>
  <c r="DO449" i="25" s="1"/>
  <c r="EC450" i="25"/>
  <c r="DO450" i="25" s="1"/>
  <c r="EC451" i="25"/>
  <c r="DO451" i="25" s="1"/>
  <c r="EC452" i="25"/>
  <c r="DO452" i="25" s="1"/>
  <c r="EC453" i="25"/>
  <c r="DO453" i="25" s="1"/>
  <c r="EC454" i="25"/>
  <c r="DO454" i="25" s="1"/>
  <c r="EC455" i="25"/>
  <c r="DO455" i="25" s="1"/>
  <c r="EC456" i="25"/>
  <c r="DO456" i="25" s="1"/>
  <c r="EC457" i="25"/>
  <c r="DO457" i="25" s="1"/>
  <c r="EC458" i="25"/>
  <c r="DO458" i="25" s="1"/>
  <c r="EC464" i="25"/>
  <c r="DO464" i="25" s="1"/>
  <c r="EC460" i="25"/>
  <c r="DO460" i="25" s="1"/>
  <c r="EC461" i="25"/>
  <c r="DO461" i="25" s="1"/>
  <c r="EC462" i="25"/>
  <c r="DO462" i="25" s="1"/>
  <c r="EC463" i="25"/>
  <c r="DO463" i="25" s="1"/>
  <c r="EC472" i="25"/>
  <c r="DO472" i="25" s="1"/>
  <c r="EC465" i="25"/>
  <c r="DO465" i="25" s="1"/>
  <c r="EC466" i="25"/>
  <c r="DO466" i="25" s="1"/>
  <c r="EC467" i="25"/>
  <c r="DO467" i="25" s="1"/>
  <c r="EC468" i="25"/>
  <c r="DO468" i="25" s="1"/>
  <c r="EC558" i="25"/>
  <c r="DO558" i="25" s="1"/>
  <c r="EC470" i="25"/>
  <c r="DO470" i="25" s="1"/>
  <c r="EC564" i="25"/>
  <c r="DO564" i="25" s="1"/>
  <c r="EC473" i="25"/>
  <c r="DO473" i="25" s="1"/>
  <c r="EC459" i="25"/>
  <c r="DO459" i="25" s="1"/>
  <c r="EC474" i="25"/>
  <c r="DO474" i="25" s="1"/>
  <c r="EC475" i="25"/>
  <c r="DO475" i="25" s="1"/>
  <c r="EC476" i="25"/>
  <c r="DO476" i="25" s="1"/>
  <c r="EC477" i="25"/>
  <c r="DO477" i="25" s="1"/>
  <c r="EC478" i="25"/>
  <c r="DO478" i="25" s="1"/>
  <c r="EC479" i="25"/>
  <c r="DO479" i="25" s="1"/>
  <c r="EC480" i="25"/>
  <c r="DO480" i="25" s="1"/>
  <c r="EC481" i="25"/>
  <c r="DO481" i="25" s="1"/>
  <c r="EC482" i="25"/>
  <c r="DO482" i="25" s="1"/>
  <c r="EC483" i="25"/>
  <c r="DO483" i="25" s="1"/>
  <c r="EC484" i="25"/>
  <c r="DO484" i="25" s="1"/>
  <c r="EC485" i="25"/>
  <c r="DO485" i="25" s="1"/>
  <c r="EC486" i="25"/>
  <c r="DO486" i="25" s="1"/>
  <c r="EC487" i="25"/>
  <c r="DO487" i="25" s="1"/>
  <c r="EC488" i="25"/>
  <c r="DO488" i="25" s="1"/>
  <c r="EC489" i="25"/>
  <c r="DO489" i="25" s="1"/>
  <c r="EC490" i="25"/>
  <c r="DO490" i="25" s="1"/>
  <c r="EC491" i="25"/>
  <c r="DO491" i="25" s="1"/>
  <c r="EC492" i="25"/>
  <c r="DO492" i="25" s="1"/>
  <c r="EC493" i="25"/>
  <c r="DO493" i="25" s="1"/>
  <c r="EC494" i="25"/>
  <c r="DO494" i="25" s="1"/>
  <c r="EC495" i="25"/>
  <c r="DO495" i="25" s="1"/>
  <c r="EC496" i="25"/>
  <c r="DO496" i="25" s="1"/>
  <c r="EC497" i="25"/>
  <c r="DO497" i="25" s="1"/>
  <c r="EC498" i="25"/>
  <c r="DO498" i="25" s="1"/>
  <c r="EC499" i="25"/>
  <c r="DO499" i="25" s="1"/>
  <c r="EC500" i="25"/>
  <c r="DO500" i="25" s="1"/>
  <c r="EC501" i="25"/>
  <c r="DO501" i="25" s="1"/>
  <c r="EC502" i="25"/>
  <c r="DO502" i="25" s="1"/>
  <c r="EC503" i="25"/>
  <c r="DO503" i="25" s="1"/>
  <c r="EC504" i="25"/>
  <c r="DO504" i="25" s="1"/>
  <c r="EC505" i="25"/>
  <c r="DO505" i="25" s="1"/>
  <c r="EC506" i="25"/>
  <c r="DO506" i="25" s="1"/>
  <c r="EC507" i="25"/>
  <c r="DO507" i="25" s="1"/>
  <c r="EC508" i="25"/>
  <c r="DO508" i="25" s="1"/>
  <c r="EC509" i="25"/>
  <c r="DO509" i="25" s="1"/>
  <c r="EC510" i="25"/>
  <c r="DO510" i="25" s="1"/>
  <c r="EC511" i="25"/>
  <c r="DO511" i="25" s="1"/>
  <c r="EC512" i="25"/>
  <c r="DO512" i="25" s="1"/>
  <c r="EC513" i="25"/>
  <c r="DO513" i="25" s="1"/>
  <c r="EC514" i="25"/>
  <c r="DO514" i="25" s="1"/>
  <c r="EC515" i="25"/>
  <c r="DO515" i="25" s="1"/>
  <c r="EC516" i="25"/>
  <c r="DO516" i="25" s="1"/>
  <c r="EC517" i="25"/>
  <c r="DO517" i="25" s="1"/>
  <c r="EC518" i="25"/>
  <c r="DO518" i="25" s="1"/>
  <c r="EC519" i="25"/>
  <c r="DO519" i="25" s="1"/>
  <c r="EC520" i="25"/>
  <c r="DO520" i="25" s="1"/>
  <c r="EC521" i="25"/>
  <c r="DO521" i="25" s="1"/>
  <c r="EC522" i="25"/>
  <c r="DO522" i="25" s="1"/>
  <c r="EC523" i="25"/>
  <c r="DO523" i="25" s="1"/>
  <c r="EC524" i="25"/>
  <c r="DO524" i="25" s="1"/>
  <c r="EC525" i="25"/>
  <c r="DO525" i="25" s="1"/>
  <c r="EC526" i="25"/>
  <c r="DO526" i="25" s="1"/>
  <c r="EC527" i="25"/>
  <c r="DO527" i="25" s="1"/>
  <c r="EC528" i="25"/>
  <c r="DO528" i="25" s="1"/>
  <c r="EC529" i="25"/>
  <c r="DO529" i="25" s="1"/>
  <c r="EC530" i="25"/>
  <c r="DO530" i="25" s="1"/>
  <c r="EC531" i="25"/>
  <c r="DO531" i="25" s="1"/>
  <c r="EC532" i="25"/>
  <c r="DO532" i="25" s="1"/>
  <c r="EC533" i="25"/>
  <c r="DO533" i="25" s="1"/>
  <c r="EC534" i="25"/>
  <c r="DO534" i="25" s="1"/>
  <c r="EC535" i="25"/>
  <c r="DO535" i="25" s="1"/>
  <c r="EC536" i="25"/>
  <c r="DO536" i="25" s="1"/>
  <c r="EC537" i="25"/>
  <c r="DO537" i="25" s="1"/>
  <c r="EC538" i="25"/>
  <c r="DO538" i="25" s="1"/>
  <c r="EC539" i="25"/>
  <c r="DO539" i="25" s="1"/>
  <c r="EC540" i="25"/>
  <c r="DO540" i="25" s="1"/>
  <c r="EC541" i="25"/>
  <c r="DO541" i="25" s="1"/>
  <c r="EC542" i="25"/>
  <c r="DO542" i="25" s="1"/>
  <c r="EC543" i="25"/>
  <c r="DO543" i="25" s="1"/>
  <c r="EC544" i="25"/>
  <c r="DO544" i="25" s="1"/>
  <c r="EC545" i="25"/>
  <c r="DO545" i="25" s="1"/>
  <c r="EC546" i="25"/>
  <c r="DO546" i="25" s="1"/>
  <c r="EC547" i="25"/>
  <c r="DO547" i="25" s="1"/>
  <c r="EC469" i="25"/>
  <c r="DO469" i="25" s="1"/>
  <c r="EC549" i="25"/>
  <c r="DO549" i="25" s="1"/>
  <c r="EC550" i="25"/>
  <c r="DO550" i="25" s="1"/>
  <c r="EC551" i="25"/>
  <c r="DO551" i="25" s="1"/>
  <c r="EC552" i="25"/>
  <c r="DO552" i="25" s="1"/>
  <c r="EC553" i="25"/>
  <c r="DO553" i="25" s="1"/>
  <c r="EC471" i="25"/>
  <c r="DO471" i="25" s="1"/>
  <c r="EC555" i="25"/>
  <c r="DO555" i="25" s="1"/>
  <c r="EC556" i="25"/>
  <c r="DO556" i="25" s="1"/>
  <c r="EC557" i="25"/>
  <c r="DO557" i="25" s="1"/>
  <c r="EC548" i="25"/>
  <c r="DO548" i="25" s="1"/>
  <c r="EC559" i="25"/>
  <c r="DO559" i="25" s="1"/>
  <c r="EC560" i="25"/>
  <c r="DO560" i="25" s="1"/>
  <c r="EC561" i="25"/>
  <c r="DO561" i="25" s="1"/>
  <c r="EC562" i="25"/>
  <c r="DO562" i="25" s="1"/>
  <c r="EC563" i="25"/>
  <c r="DO563" i="25" s="1"/>
  <c r="EC554" i="25"/>
  <c r="DO554" i="25" s="1"/>
  <c r="EC565" i="25"/>
  <c r="DO565" i="25" s="1"/>
  <c r="EC566" i="25"/>
  <c r="DO566" i="25" s="1"/>
  <c r="EC567" i="25"/>
  <c r="DO567" i="25" s="1"/>
  <c r="EC568" i="25"/>
  <c r="DO568" i="25" s="1"/>
  <c r="EC569" i="25"/>
  <c r="DO569" i="25" s="1"/>
  <c r="EC570" i="25"/>
  <c r="DO570" i="25" s="1"/>
  <c r="EC571" i="25"/>
  <c r="DO571" i="25" s="1"/>
  <c r="EC572" i="25"/>
  <c r="DO572" i="25" s="1"/>
  <c r="EC573" i="25"/>
  <c r="DO573" i="25" s="1"/>
  <c r="EC574" i="25"/>
  <c r="DO574" i="25" s="1"/>
  <c r="EC575" i="25"/>
  <c r="DO575" i="25" s="1"/>
  <c r="EC576" i="25"/>
  <c r="DO576" i="25" s="1"/>
  <c r="EC577" i="25"/>
  <c r="DO577" i="25" s="1"/>
  <c r="EC578" i="25"/>
  <c r="DO578" i="25" s="1"/>
  <c r="EC579" i="25"/>
  <c r="DO579" i="25" s="1"/>
  <c r="EC580" i="25"/>
  <c r="DO580" i="25" s="1"/>
  <c r="EC581" i="25"/>
  <c r="DO581" i="25" s="1"/>
  <c r="EC582" i="25"/>
  <c r="DO582" i="25" s="1"/>
  <c r="EC583" i="25"/>
  <c r="DO583" i="25" s="1"/>
  <c r="EC584" i="25"/>
  <c r="DO584" i="25" s="1"/>
  <c r="EC585" i="25"/>
  <c r="DO585" i="25" s="1"/>
  <c r="EC586" i="25"/>
  <c r="DO586" i="25" s="1"/>
  <c r="EC587" i="25"/>
  <c r="DO587" i="25" s="1"/>
  <c r="EC588" i="25"/>
  <c r="DO588" i="25" s="1"/>
  <c r="EC589" i="25"/>
  <c r="DO589" i="25" s="1"/>
  <c r="EC590" i="25"/>
  <c r="DO590" i="25" s="1"/>
  <c r="EC591" i="25"/>
  <c r="DO591" i="25" s="1"/>
  <c r="EC592" i="25"/>
  <c r="DO592" i="25" s="1"/>
  <c r="EC593" i="25"/>
  <c r="DO593" i="25" s="1"/>
  <c r="EC594" i="25"/>
  <c r="DO594" i="25" s="1"/>
  <c r="EC595" i="25"/>
  <c r="DO595" i="25" s="1"/>
  <c r="EC596" i="25"/>
  <c r="DO596" i="25" s="1"/>
  <c r="EC597" i="25"/>
  <c r="DO597" i="25" s="1"/>
  <c r="EC598" i="25"/>
  <c r="DO598" i="25" s="1"/>
  <c r="EC599" i="25"/>
  <c r="DO599" i="25" s="1"/>
  <c r="EC600" i="25"/>
  <c r="DO600" i="25" s="1"/>
  <c r="ED404" i="25"/>
  <c r="ED405" i="25"/>
  <c r="ED406" i="25"/>
  <c r="ED407" i="25"/>
  <c r="ED408" i="25"/>
  <c r="ED409" i="25"/>
  <c r="ED410" i="25"/>
  <c r="ED411" i="25"/>
  <c r="ED412" i="25"/>
  <c r="ED413" i="25"/>
  <c r="ED414" i="25"/>
  <c r="ED415" i="25"/>
  <c r="ED416" i="25"/>
  <c r="ED417" i="25"/>
  <c r="ED418" i="25"/>
  <c r="ED419" i="25"/>
  <c r="ED420" i="25"/>
  <c r="ED421" i="25"/>
  <c r="ED422" i="25"/>
  <c r="ED423" i="25"/>
  <c r="ED424" i="25"/>
  <c r="ED425" i="25"/>
  <c r="ED426" i="25"/>
  <c r="ED427" i="25"/>
  <c r="ED429" i="25"/>
  <c r="ED430" i="25"/>
  <c r="ED431" i="25"/>
  <c r="ED432" i="25"/>
  <c r="ED433" i="25"/>
  <c r="ED434" i="25"/>
  <c r="ED435" i="25"/>
  <c r="ED436" i="25"/>
  <c r="ED437" i="25"/>
  <c r="ED438" i="25"/>
  <c r="ED439" i="25"/>
  <c r="ED440" i="25"/>
  <c r="ED441" i="25"/>
  <c r="ED442" i="25"/>
  <c r="ED443" i="25"/>
  <c r="ED444" i="25"/>
  <c r="ED445" i="25"/>
  <c r="ED446" i="25"/>
  <c r="ED447" i="25"/>
  <c r="ED448" i="25"/>
  <c r="ED449" i="25"/>
  <c r="ED450" i="25"/>
  <c r="ED451" i="25"/>
  <c r="ED452" i="25"/>
  <c r="ED453" i="25"/>
  <c r="ED454" i="25"/>
  <c r="ED455" i="25"/>
  <c r="ED456" i="25"/>
  <c r="ED457" i="25"/>
  <c r="ED458" i="25"/>
  <c r="ED460" i="25"/>
  <c r="ED461" i="25"/>
  <c r="ED462" i="25"/>
  <c r="ED463" i="25"/>
  <c r="ED465" i="25"/>
  <c r="ED466" i="25"/>
  <c r="ED467" i="25"/>
  <c r="ED468" i="25"/>
  <c r="ED558" i="25"/>
  <c r="ED470" i="25"/>
  <c r="ED564" i="25"/>
  <c r="ED473" i="25"/>
  <c r="ED459" i="25"/>
  <c r="ED474" i="25"/>
  <c r="ED475" i="25"/>
  <c r="ED476" i="25"/>
  <c r="ED477" i="25"/>
  <c r="ED478" i="25"/>
  <c r="ED479" i="25"/>
  <c r="ED480" i="25"/>
  <c r="ED481" i="25"/>
  <c r="ED482" i="25"/>
  <c r="ED483" i="25"/>
  <c r="ED484" i="25"/>
  <c r="ED485" i="25"/>
  <c r="ED486" i="25"/>
  <c r="ED487" i="25"/>
  <c r="ED488" i="25"/>
  <c r="ED489" i="25"/>
  <c r="ED490" i="25"/>
  <c r="ED491" i="25"/>
  <c r="ED492" i="25"/>
  <c r="ED493" i="25"/>
  <c r="ED494" i="25"/>
  <c r="ED495" i="25"/>
  <c r="ED496" i="25"/>
  <c r="ED497" i="25"/>
  <c r="ED498" i="25"/>
  <c r="ED499" i="25"/>
  <c r="ED500" i="25"/>
  <c r="ED501" i="25"/>
  <c r="ED502" i="25"/>
  <c r="ED503" i="25"/>
  <c r="ED504" i="25"/>
  <c r="ED505" i="25"/>
  <c r="ED506" i="25"/>
  <c r="ED507" i="25"/>
  <c r="ED508" i="25"/>
  <c r="ED509" i="25"/>
  <c r="ED510" i="25"/>
  <c r="ED511" i="25"/>
  <c r="ED512" i="25"/>
  <c r="ED513" i="25"/>
  <c r="ED514" i="25"/>
  <c r="ED515" i="25"/>
  <c r="ED516" i="25"/>
  <c r="ED517" i="25"/>
  <c r="ED518" i="25"/>
  <c r="ED519" i="25"/>
  <c r="ED520" i="25"/>
  <c r="ED521" i="25"/>
  <c r="ED522" i="25"/>
  <c r="ED523" i="25"/>
  <c r="ED524" i="25"/>
  <c r="ED525" i="25"/>
  <c r="ED526" i="25"/>
  <c r="ED527" i="25"/>
  <c r="ED528" i="25"/>
  <c r="ED529" i="25"/>
  <c r="ED530" i="25"/>
  <c r="ED531" i="25"/>
  <c r="ED532" i="25"/>
  <c r="ED533" i="25"/>
  <c r="ED534" i="25"/>
  <c r="ED535" i="25"/>
  <c r="ED536" i="25"/>
  <c r="ED537" i="25"/>
  <c r="ED538" i="25"/>
  <c r="ED539" i="25"/>
  <c r="ED540" i="25"/>
  <c r="ED541" i="25"/>
  <c r="ED542" i="25"/>
  <c r="ED543" i="25"/>
  <c r="ED544" i="25"/>
  <c r="ED545" i="25"/>
  <c r="ED546" i="25"/>
  <c r="ED547" i="25"/>
  <c r="ED469" i="25"/>
  <c r="ED549" i="25"/>
  <c r="ED550" i="25"/>
  <c r="ED551" i="25"/>
  <c r="ED552" i="25"/>
  <c r="ED553" i="25"/>
  <c r="ED471" i="25"/>
  <c r="ED555" i="25"/>
  <c r="ED556" i="25"/>
  <c r="ED557" i="25"/>
  <c r="ED548" i="25"/>
  <c r="ED559" i="25"/>
  <c r="ED560" i="25"/>
  <c r="ED561" i="25"/>
  <c r="ED562" i="25"/>
  <c r="ED563" i="25"/>
  <c r="ED554" i="25"/>
  <c r="ED565" i="25"/>
  <c r="ED566" i="25"/>
  <c r="ED567" i="25"/>
  <c r="ED568" i="25"/>
  <c r="ED569" i="25"/>
  <c r="ED570" i="25"/>
  <c r="ED571" i="25"/>
  <c r="ED572" i="25"/>
  <c r="ED573" i="25"/>
  <c r="ED574" i="25"/>
  <c r="ED575" i="25"/>
  <c r="ED576" i="25"/>
  <c r="ED577" i="25"/>
  <c r="ED578" i="25"/>
  <c r="ED579" i="25"/>
  <c r="ED580" i="25"/>
  <c r="ED581" i="25"/>
  <c r="ED582" i="25"/>
  <c r="ED583" i="25"/>
  <c r="ED584" i="25"/>
  <c r="ED585" i="25"/>
  <c r="ED586" i="25"/>
  <c r="ED587" i="25"/>
  <c r="ED588" i="25"/>
  <c r="ED589" i="25"/>
  <c r="ED590" i="25"/>
  <c r="ED591" i="25"/>
  <c r="ED592" i="25"/>
  <c r="ED593" i="25"/>
  <c r="ED594" i="25"/>
  <c r="ED595" i="25"/>
  <c r="ED596" i="25"/>
  <c r="ED597" i="25"/>
  <c r="ED598" i="25"/>
  <c r="ED599" i="25"/>
  <c r="ED600" i="25"/>
  <c r="EE404" i="25"/>
  <c r="EE405" i="25"/>
  <c r="EE406" i="25"/>
  <c r="EE407" i="25"/>
  <c r="EE408" i="25"/>
  <c r="EE409" i="25"/>
  <c r="EE410" i="25"/>
  <c r="EE411" i="25"/>
  <c r="EE412" i="25"/>
  <c r="EE413" i="25"/>
  <c r="EE414" i="25"/>
  <c r="EE415" i="25"/>
  <c r="EE416" i="25"/>
  <c r="EE417" i="25"/>
  <c r="EE418" i="25"/>
  <c r="EE419" i="25"/>
  <c r="EE420" i="25"/>
  <c r="EE421" i="25"/>
  <c r="EE422" i="25"/>
  <c r="EE423" i="25"/>
  <c r="EE424" i="25"/>
  <c r="EE425" i="25"/>
  <c r="EE426" i="25"/>
  <c r="EE427" i="25"/>
  <c r="EE429" i="25"/>
  <c r="EE430" i="25"/>
  <c r="EE431" i="25"/>
  <c r="EE432" i="25"/>
  <c r="EE433" i="25"/>
  <c r="EE434" i="25"/>
  <c r="EE435" i="25"/>
  <c r="EE436" i="25"/>
  <c r="EE437" i="25"/>
  <c r="EE438" i="25"/>
  <c r="EE439" i="25"/>
  <c r="EE440" i="25"/>
  <c r="EE441" i="25"/>
  <c r="EE442" i="25"/>
  <c r="EE443" i="25"/>
  <c r="EE444" i="25"/>
  <c r="EE445" i="25"/>
  <c r="EE446" i="25"/>
  <c r="EE447" i="25"/>
  <c r="EE448" i="25"/>
  <c r="EE449" i="25"/>
  <c r="EE450" i="25"/>
  <c r="EE451" i="25"/>
  <c r="EE452" i="25"/>
  <c r="EE453" i="25"/>
  <c r="EE454" i="25"/>
  <c r="EE455" i="25"/>
  <c r="EE456" i="25"/>
  <c r="EE457" i="25"/>
  <c r="EE458" i="25"/>
  <c r="EE460" i="25"/>
  <c r="EE461" i="25"/>
  <c r="EE462" i="25"/>
  <c r="EE463" i="25"/>
  <c r="EE465" i="25"/>
  <c r="EE466" i="25"/>
  <c r="EE467" i="25"/>
  <c r="EE468" i="25"/>
  <c r="EE558" i="25"/>
  <c r="EE470" i="25"/>
  <c r="EE564" i="25"/>
  <c r="EE473" i="25"/>
  <c r="EE459" i="25"/>
  <c r="EE474" i="25"/>
  <c r="EE475" i="25"/>
  <c r="EE476" i="25"/>
  <c r="EE477" i="25"/>
  <c r="EE478" i="25"/>
  <c r="EE479" i="25"/>
  <c r="EE480" i="25"/>
  <c r="EE481" i="25"/>
  <c r="EE482" i="25"/>
  <c r="EE483" i="25"/>
  <c r="EE484" i="25"/>
  <c r="EE485" i="25"/>
  <c r="EE486" i="25"/>
  <c r="EE487" i="25"/>
  <c r="EE488" i="25"/>
  <c r="EE489" i="25"/>
  <c r="EE490" i="25"/>
  <c r="EE491" i="25"/>
  <c r="EE492" i="25"/>
  <c r="EE493" i="25"/>
  <c r="EE494" i="25"/>
  <c r="EE495" i="25"/>
  <c r="EE496" i="25"/>
  <c r="EE497" i="25"/>
  <c r="EE498" i="25"/>
  <c r="EE499" i="25"/>
  <c r="EE500" i="25"/>
  <c r="EE501" i="25"/>
  <c r="EE502" i="25"/>
  <c r="EE503" i="25"/>
  <c r="EE504" i="25"/>
  <c r="EE505" i="25"/>
  <c r="EE506" i="25"/>
  <c r="EE507" i="25"/>
  <c r="EE508" i="25"/>
  <c r="EE509" i="25"/>
  <c r="EE510" i="25"/>
  <c r="EE511" i="25"/>
  <c r="EE512" i="25"/>
  <c r="EE513" i="25"/>
  <c r="EE514" i="25"/>
  <c r="EE515" i="25"/>
  <c r="EE516" i="25"/>
  <c r="EE517" i="25"/>
  <c r="EE518" i="25"/>
  <c r="EE519" i="25"/>
  <c r="EE520" i="25"/>
  <c r="EE521" i="25"/>
  <c r="EE522" i="25"/>
  <c r="EE523" i="25"/>
  <c r="EE524" i="25"/>
  <c r="EE525" i="25"/>
  <c r="EE526" i="25"/>
  <c r="EE527" i="25"/>
  <c r="EE528" i="25"/>
  <c r="EE529" i="25"/>
  <c r="EE530" i="25"/>
  <c r="EE531" i="25"/>
  <c r="EE532" i="25"/>
  <c r="EE533" i="25"/>
  <c r="EE534" i="25"/>
  <c r="EE535" i="25"/>
  <c r="EE536" i="25"/>
  <c r="EE537" i="25"/>
  <c r="EE538" i="25"/>
  <c r="EE539" i="25"/>
  <c r="EE540" i="25"/>
  <c r="EE541" i="25"/>
  <c r="EE542" i="25"/>
  <c r="EE543" i="25"/>
  <c r="EE544" i="25"/>
  <c r="EE545" i="25"/>
  <c r="EE546" i="25"/>
  <c r="EE547" i="25"/>
  <c r="EE469" i="25"/>
  <c r="EE549" i="25"/>
  <c r="EE550" i="25"/>
  <c r="EE551" i="25"/>
  <c r="EE552" i="25"/>
  <c r="EE553" i="25"/>
  <c r="EE471" i="25"/>
  <c r="EE555" i="25"/>
  <c r="EE556" i="25"/>
  <c r="EE557" i="25"/>
  <c r="EE548" i="25"/>
  <c r="EE559" i="25"/>
  <c r="EE560" i="25"/>
  <c r="EE561" i="25"/>
  <c r="EE562" i="25"/>
  <c r="EE563" i="25"/>
  <c r="EE554" i="25"/>
  <c r="EE565" i="25"/>
  <c r="EE566" i="25"/>
  <c r="EE567" i="25"/>
  <c r="EE568" i="25"/>
  <c r="EE569" i="25"/>
  <c r="EE570" i="25"/>
  <c r="EE571" i="25"/>
  <c r="EE572" i="25"/>
  <c r="EE573" i="25"/>
  <c r="EE574" i="25"/>
  <c r="EE575" i="25"/>
  <c r="EE576" i="25"/>
  <c r="EE577" i="25"/>
  <c r="EE578" i="25"/>
  <c r="EE579" i="25"/>
  <c r="EE580" i="25"/>
  <c r="EE581" i="25"/>
  <c r="EE582" i="25"/>
  <c r="EE583" i="25"/>
  <c r="EE584" i="25"/>
  <c r="EE585" i="25"/>
  <c r="EE586" i="25"/>
  <c r="EE587" i="25"/>
  <c r="EE588" i="25"/>
  <c r="EE589" i="25"/>
  <c r="EE590" i="25"/>
  <c r="EE591" i="25"/>
  <c r="EE592" i="25"/>
  <c r="EE593" i="25"/>
  <c r="EE594" i="25"/>
  <c r="EE595" i="25"/>
  <c r="EE596" i="25"/>
  <c r="EE597" i="25"/>
  <c r="EE598" i="25"/>
  <c r="EE599" i="25"/>
  <c r="EE600" i="25"/>
  <c r="EF404" i="25"/>
  <c r="EF405" i="25"/>
  <c r="EF406" i="25"/>
  <c r="EF407" i="25"/>
  <c r="EF408" i="25"/>
  <c r="EF409" i="25"/>
  <c r="EF410" i="25"/>
  <c r="EF411" i="25"/>
  <c r="EF412" i="25"/>
  <c r="EF413" i="25"/>
  <c r="EF414" i="25"/>
  <c r="EF415" i="25"/>
  <c r="EF416" i="25"/>
  <c r="EF417" i="25"/>
  <c r="EF418" i="25"/>
  <c r="EF419" i="25"/>
  <c r="EF420" i="25"/>
  <c r="EF421" i="25"/>
  <c r="EF422" i="25"/>
  <c r="EF423" i="25"/>
  <c r="EF424" i="25"/>
  <c r="EF425" i="25"/>
  <c r="EF426" i="25"/>
  <c r="EF427" i="25"/>
  <c r="EF428" i="25"/>
  <c r="EF429" i="25"/>
  <c r="EF430" i="25"/>
  <c r="EF431" i="25"/>
  <c r="EF432" i="25"/>
  <c r="EF433" i="25"/>
  <c r="EF434" i="25"/>
  <c r="EF435" i="25"/>
  <c r="EF436" i="25"/>
  <c r="EF437" i="25"/>
  <c r="EF438" i="25"/>
  <c r="EF439" i="25"/>
  <c r="EF440" i="25"/>
  <c r="EF441" i="25"/>
  <c r="EF442" i="25"/>
  <c r="EF443" i="25"/>
  <c r="EF444" i="25"/>
  <c r="EF445" i="25"/>
  <c r="EF446" i="25"/>
  <c r="EF447" i="25"/>
  <c r="EF448" i="25"/>
  <c r="EF449" i="25"/>
  <c r="EF450" i="25"/>
  <c r="EF451" i="25"/>
  <c r="EF452" i="25"/>
  <c r="EF453" i="25"/>
  <c r="EF454" i="25"/>
  <c r="EF455" i="25"/>
  <c r="EF456" i="25"/>
  <c r="EF457" i="25"/>
  <c r="EF458" i="25"/>
  <c r="EF464" i="25"/>
  <c r="EF460" i="25"/>
  <c r="EF461" i="25"/>
  <c r="EF462" i="25"/>
  <c r="EF463" i="25"/>
  <c r="EF472" i="25"/>
  <c r="EF465" i="25"/>
  <c r="EF466" i="25"/>
  <c r="EF467" i="25"/>
  <c r="EF468" i="25"/>
  <c r="EF558" i="25"/>
  <c r="EF470" i="25"/>
  <c r="EF564" i="25"/>
  <c r="EF473" i="25"/>
  <c r="EF459" i="25"/>
  <c r="EF474" i="25"/>
  <c r="EF475" i="25"/>
  <c r="EF476" i="25"/>
  <c r="EF477" i="25"/>
  <c r="EF478" i="25"/>
  <c r="EF479" i="25"/>
  <c r="EF480" i="25"/>
  <c r="EF481" i="25"/>
  <c r="EF482" i="25"/>
  <c r="EF483" i="25"/>
  <c r="EF484" i="25"/>
  <c r="EF485" i="25"/>
  <c r="EF486" i="25"/>
  <c r="EF487" i="25"/>
  <c r="EF488" i="25"/>
  <c r="EF489" i="25"/>
  <c r="EF490" i="25"/>
  <c r="EF491" i="25"/>
  <c r="EF492" i="25"/>
  <c r="EF493" i="25"/>
  <c r="EF494" i="25"/>
  <c r="EF495" i="25"/>
  <c r="EF496" i="25"/>
  <c r="EF497" i="25"/>
  <c r="EF498" i="25"/>
  <c r="EF499" i="25"/>
  <c r="EF500" i="25"/>
  <c r="EF501" i="25"/>
  <c r="EF502" i="25"/>
  <c r="EF503" i="25"/>
  <c r="EF504" i="25"/>
  <c r="EF505" i="25"/>
  <c r="EF506" i="25"/>
  <c r="EF507" i="25"/>
  <c r="EF508" i="25"/>
  <c r="EF509" i="25"/>
  <c r="EF510" i="25"/>
  <c r="EF511" i="25"/>
  <c r="EF512" i="25"/>
  <c r="EF513" i="25"/>
  <c r="EF514" i="25"/>
  <c r="EF515" i="25"/>
  <c r="EF516" i="25"/>
  <c r="EF517" i="25"/>
  <c r="EF518" i="25"/>
  <c r="EF519" i="25"/>
  <c r="EF520" i="25"/>
  <c r="EF521" i="25"/>
  <c r="EF522" i="25"/>
  <c r="EF523" i="25"/>
  <c r="EF524" i="25"/>
  <c r="EF525" i="25"/>
  <c r="EF526" i="25"/>
  <c r="EF527" i="25"/>
  <c r="EF528" i="25"/>
  <c r="EF529" i="25"/>
  <c r="EF530" i="25"/>
  <c r="EF531" i="25"/>
  <c r="EF532" i="25"/>
  <c r="EF533" i="25"/>
  <c r="EF534" i="25"/>
  <c r="EF535" i="25"/>
  <c r="EF536" i="25"/>
  <c r="EF537" i="25"/>
  <c r="EF538" i="25"/>
  <c r="EF539" i="25"/>
  <c r="EF540" i="25"/>
  <c r="EF541" i="25"/>
  <c r="EF542" i="25"/>
  <c r="EF543" i="25"/>
  <c r="EF544" i="25"/>
  <c r="EF545" i="25"/>
  <c r="EF546" i="25"/>
  <c r="EF547" i="25"/>
  <c r="EF469" i="25"/>
  <c r="EF549" i="25"/>
  <c r="EF550" i="25"/>
  <c r="EF551" i="25"/>
  <c r="EF552" i="25"/>
  <c r="EF553" i="25"/>
  <c r="EF471" i="25"/>
  <c r="EF555" i="25"/>
  <c r="EF556" i="25"/>
  <c r="EF557" i="25"/>
  <c r="EF548" i="25"/>
  <c r="EF559" i="25"/>
  <c r="EF560" i="25"/>
  <c r="EF561" i="25"/>
  <c r="EF562" i="25"/>
  <c r="EF563" i="25"/>
  <c r="EF554" i="25"/>
  <c r="EF565" i="25"/>
  <c r="EF566" i="25"/>
  <c r="EF567" i="25"/>
  <c r="EF568" i="25"/>
  <c r="EF569" i="25"/>
  <c r="EF570" i="25"/>
  <c r="EF571" i="25"/>
  <c r="EF572" i="25"/>
  <c r="EF573" i="25"/>
  <c r="EF574" i="25"/>
  <c r="EF575" i="25"/>
  <c r="EF576" i="25"/>
  <c r="EF577" i="25"/>
  <c r="EF578" i="25"/>
  <c r="EF579" i="25"/>
  <c r="EF580" i="25"/>
  <c r="EF581" i="25"/>
  <c r="EF582" i="25"/>
  <c r="EF583" i="25"/>
  <c r="EF584" i="25"/>
  <c r="EF585" i="25"/>
  <c r="EF586" i="25"/>
  <c r="EF587" i="25"/>
  <c r="EF588" i="25"/>
  <c r="EF589" i="25"/>
  <c r="EF590" i="25"/>
  <c r="EF591" i="25"/>
  <c r="EF592" i="25"/>
  <c r="EF593" i="25"/>
  <c r="EF594" i="25"/>
  <c r="EF595" i="25"/>
  <c r="EF596" i="25"/>
  <c r="EF597" i="25"/>
  <c r="EF598" i="25"/>
  <c r="EF599" i="25"/>
  <c r="EF600" i="25"/>
  <c r="EG404" i="25"/>
  <c r="EG405" i="25"/>
  <c r="EG406" i="25"/>
  <c r="EG407" i="25"/>
  <c r="EG408" i="25"/>
  <c r="EG409" i="25"/>
  <c r="EG410" i="25"/>
  <c r="EG411" i="25"/>
  <c r="EG412" i="25"/>
  <c r="EG413" i="25"/>
  <c r="EG414" i="25"/>
  <c r="EG415" i="25"/>
  <c r="EG416" i="25"/>
  <c r="EG417" i="25"/>
  <c r="EG418" i="25"/>
  <c r="EG419" i="25"/>
  <c r="EG420" i="25"/>
  <c r="EG421" i="25"/>
  <c r="EG422" i="25"/>
  <c r="EG423" i="25"/>
  <c r="EG424" i="25"/>
  <c r="EG425" i="25"/>
  <c r="EG426" i="25"/>
  <c r="EG427" i="25"/>
  <c r="EG428" i="25"/>
  <c r="EG429" i="25"/>
  <c r="EG430" i="25"/>
  <c r="EG431" i="25"/>
  <c r="EG432" i="25"/>
  <c r="EG433" i="25"/>
  <c r="EG434" i="25"/>
  <c r="EG435" i="25"/>
  <c r="EG436" i="25"/>
  <c r="EG437" i="25"/>
  <c r="EG438" i="25"/>
  <c r="EG439" i="25"/>
  <c r="EG440" i="25"/>
  <c r="EG441" i="25"/>
  <c r="EG442" i="25"/>
  <c r="EG443" i="25"/>
  <c r="EG444" i="25"/>
  <c r="EG445" i="25"/>
  <c r="EG446" i="25"/>
  <c r="EG447" i="25"/>
  <c r="EG448" i="25"/>
  <c r="EG449" i="25"/>
  <c r="EG450" i="25"/>
  <c r="EG451" i="25"/>
  <c r="EG452" i="25"/>
  <c r="EG453" i="25"/>
  <c r="EG454" i="25"/>
  <c r="EG455" i="25"/>
  <c r="EG456" i="25"/>
  <c r="EG457" i="25"/>
  <c r="EG458" i="25"/>
  <c r="EG464" i="25"/>
  <c r="EG460" i="25"/>
  <c r="EG461" i="25"/>
  <c r="EG462" i="25"/>
  <c r="EG463" i="25"/>
  <c r="EG472" i="25"/>
  <c r="EG465" i="25"/>
  <c r="EG466" i="25"/>
  <c r="EG467" i="25"/>
  <c r="EG468" i="25"/>
  <c r="EG558" i="25"/>
  <c r="EG470" i="25"/>
  <c r="EG564" i="25"/>
  <c r="EG473" i="25"/>
  <c r="EG459" i="25"/>
  <c r="EG474" i="25"/>
  <c r="EG475" i="25"/>
  <c r="EG476" i="25"/>
  <c r="EG477" i="25"/>
  <c r="EG478" i="25"/>
  <c r="EG479" i="25"/>
  <c r="EG480" i="25"/>
  <c r="EG481" i="25"/>
  <c r="EG482" i="25"/>
  <c r="EG483" i="25"/>
  <c r="EG484" i="25"/>
  <c r="EG485" i="25"/>
  <c r="EG486" i="25"/>
  <c r="EG487" i="25"/>
  <c r="EG488" i="25"/>
  <c r="EG489" i="25"/>
  <c r="EG490" i="25"/>
  <c r="EG491" i="25"/>
  <c r="EG492" i="25"/>
  <c r="EG493" i="25"/>
  <c r="EG494" i="25"/>
  <c r="EG495" i="25"/>
  <c r="EG496" i="25"/>
  <c r="EG497" i="25"/>
  <c r="EG498" i="25"/>
  <c r="EG499" i="25"/>
  <c r="EG500" i="25"/>
  <c r="EG501" i="25"/>
  <c r="EG502" i="25"/>
  <c r="EG503" i="25"/>
  <c r="EG504" i="25"/>
  <c r="EG505" i="25"/>
  <c r="EG506" i="25"/>
  <c r="EG507" i="25"/>
  <c r="EG508" i="25"/>
  <c r="EG509" i="25"/>
  <c r="EG510" i="25"/>
  <c r="EG511" i="25"/>
  <c r="EG512" i="25"/>
  <c r="EG513" i="25"/>
  <c r="EG514" i="25"/>
  <c r="EG515" i="25"/>
  <c r="EG516" i="25"/>
  <c r="EG517" i="25"/>
  <c r="EG518" i="25"/>
  <c r="EG519" i="25"/>
  <c r="EG520" i="25"/>
  <c r="EG521" i="25"/>
  <c r="EG522" i="25"/>
  <c r="EG523" i="25"/>
  <c r="EG524" i="25"/>
  <c r="EG525" i="25"/>
  <c r="EG526" i="25"/>
  <c r="EG527" i="25"/>
  <c r="EG528" i="25"/>
  <c r="EG529" i="25"/>
  <c r="EG530" i="25"/>
  <c r="EG531" i="25"/>
  <c r="EG532" i="25"/>
  <c r="EG533" i="25"/>
  <c r="EG534" i="25"/>
  <c r="EG535" i="25"/>
  <c r="EG536" i="25"/>
  <c r="EG537" i="25"/>
  <c r="EG538" i="25"/>
  <c r="EG539" i="25"/>
  <c r="EG540" i="25"/>
  <c r="EG541" i="25"/>
  <c r="EG542" i="25"/>
  <c r="EG543" i="25"/>
  <c r="EG544" i="25"/>
  <c r="EG545" i="25"/>
  <c r="EG546" i="25"/>
  <c r="EG547" i="25"/>
  <c r="EG469" i="25"/>
  <c r="EG549" i="25"/>
  <c r="EG550" i="25"/>
  <c r="EG551" i="25"/>
  <c r="EG552" i="25"/>
  <c r="EG553" i="25"/>
  <c r="EG471" i="25"/>
  <c r="EG555" i="25"/>
  <c r="EG556" i="25"/>
  <c r="EG557" i="25"/>
  <c r="EG548" i="25"/>
  <c r="EG559" i="25"/>
  <c r="EG560" i="25"/>
  <c r="EG561" i="25"/>
  <c r="EG562" i="25"/>
  <c r="EG563" i="25"/>
  <c r="EG554" i="25"/>
  <c r="EG565" i="25"/>
  <c r="EG566" i="25"/>
  <c r="EG567" i="25"/>
  <c r="EG568" i="25"/>
  <c r="EG569" i="25"/>
  <c r="EG570" i="25"/>
  <c r="EG571" i="25"/>
  <c r="EG572" i="25"/>
  <c r="EG573" i="25"/>
  <c r="EG574" i="25"/>
  <c r="EG575" i="25"/>
  <c r="EG576" i="25"/>
  <c r="EG577" i="25"/>
  <c r="EG578" i="25"/>
  <c r="EG579" i="25"/>
  <c r="EG580" i="25"/>
  <c r="EG581" i="25"/>
  <c r="EG582" i="25"/>
  <c r="EG583" i="25"/>
  <c r="EG584" i="25"/>
  <c r="EG585" i="25"/>
  <c r="EG586" i="25"/>
  <c r="EG587" i="25"/>
  <c r="EG588" i="25"/>
  <c r="EG589" i="25"/>
  <c r="EG590" i="25"/>
  <c r="EG591" i="25"/>
  <c r="EG592" i="25"/>
  <c r="EG593" i="25"/>
  <c r="EG594" i="25"/>
  <c r="EG595" i="25"/>
  <c r="EG596" i="25"/>
  <c r="EG597" i="25"/>
  <c r="EG598" i="25"/>
  <c r="EG599" i="25"/>
  <c r="EG600" i="25"/>
  <c r="EH404" i="25"/>
  <c r="EH405" i="25"/>
  <c r="EH406" i="25"/>
  <c r="EH407" i="25"/>
  <c r="EH408" i="25"/>
  <c r="EH409" i="25"/>
  <c r="EH410" i="25"/>
  <c r="EH411" i="25"/>
  <c r="EH412" i="25"/>
  <c r="EH413" i="25"/>
  <c r="EH414" i="25"/>
  <c r="EH415" i="25"/>
  <c r="EH416" i="25"/>
  <c r="EH417" i="25"/>
  <c r="EH418" i="25"/>
  <c r="EH419" i="25"/>
  <c r="EH420" i="25"/>
  <c r="EH421" i="25"/>
  <c r="EH422" i="25"/>
  <c r="EH423" i="25"/>
  <c r="EH424" i="25"/>
  <c r="EH425" i="25"/>
  <c r="EH426" i="25"/>
  <c r="EH427" i="25"/>
  <c r="EH428" i="25"/>
  <c r="EH429" i="25"/>
  <c r="EH430" i="25"/>
  <c r="EH431" i="25"/>
  <c r="EH432" i="25"/>
  <c r="EH433" i="25"/>
  <c r="EH434" i="25"/>
  <c r="EH435" i="25"/>
  <c r="EH436" i="25"/>
  <c r="EH437" i="25"/>
  <c r="EH438" i="25"/>
  <c r="EH439" i="25"/>
  <c r="EH440" i="25"/>
  <c r="EH441" i="25"/>
  <c r="EH442" i="25"/>
  <c r="EH443" i="25"/>
  <c r="EH444" i="25"/>
  <c r="EH445" i="25"/>
  <c r="EH446" i="25"/>
  <c r="EH447" i="25"/>
  <c r="EH448" i="25"/>
  <c r="EH449" i="25"/>
  <c r="EH450" i="25"/>
  <c r="EH451" i="25"/>
  <c r="EH452" i="25"/>
  <c r="EH453" i="25"/>
  <c r="EH454" i="25"/>
  <c r="EH455" i="25"/>
  <c r="EH456" i="25"/>
  <c r="EH457" i="25"/>
  <c r="EH458" i="25"/>
  <c r="EH464" i="25"/>
  <c r="EH460" i="25"/>
  <c r="EH461" i="25"/>
  <c r="EH462" i="25"/>
  <c r="EH463" i="25"/>
  <c r="EH472" i="25"/>
  <c r="EH465" i="25"/>
  <c r="EH466" i="25"/>
  <c r="EH467" i="25"/>
  <c r="EH468" i="25"/>
  <c r="EH558" i="25"/>
  <c r="EH470" i="25"/>
  <c r="EH564" i="25"/>
  <c r="EH473" i="25"/>
  <c r="EH459" i="25"/>
  <c r="EH474" i="25"/>
  <c r="EH475" i="25"/>
  <c r="EH476" i="25"/>
  <c r="EH477" i="25"/>
  <c r="EH478" i="25"/>
  <c r="EH479" i="25"/>
  <c r="EH480" i="25"/>
  <c r="EH481" i="25"/>
  <c r="EH482" i="25"/>
  <c r="EH483" i="25"/>
  <c r="EH484" i="25"/>
  <c r="EH485" i="25"/>
  <c r="EH486" i="25"/>
  <c r="EH487" i="25"/>
  <c r="EH488" i="25"/>
  <c r="EH489" i="25"/>
  <c r="EH490" i="25"/>
  <c r="EH491" i="25"/>
  <c r="EH492" i="25"/>
  <c r="EH493" i="25"/>
  <c r="EH494" i="25"/>
  <c r="EH495" i="25"/>
  <c r="EH496" i="25"/>
  <c r="EH497" i="25"/>
  <c r="EH498" i="25"/>
  <c r="EH499" i="25"/>
  <c r="EH500" i="25"/>
  <c r="EH501" i="25"/>
  <c r="EH502" i="25"/>
  <c r="EH503" i="25"/>
  <c r="EH504" i="25"/>
  <c r="EH505" i="25"/>
  <c r="EH506" i="25"/>
  <c r="EH507" i="25"/>
  <c r="EH508" i="25"/>
  <c r="EH509" i="25"/>
  <c r="EH510" i="25"/>
  <c r="EH511" i="25"/>
  <c r="EH512" i="25"/>
  <c r="EH513" i="25"/>
  <c r="EH514" i="25"/>
  <c r="EH515" i="25"/>
  <c r="EH516" i="25"/>
  <c r="EH517" i="25"/>
  <c r="EH518" i="25"/>
  <c r="EH519" i="25"/>
  <c r="EH520" i="25"/>
  <c r="EH521" i="25"/>
  <c r="EH522" i="25"/>
  <c r="EH523" i="25"/>
  <c r="EH524" i="25"/>
  <c r="EH525" i="25"/>
  <c r="EH526" i="25"/>
  <c r="EH527" i="25"/>
  <c r="EH528" i="25"/>
  <c r="EH529" i="25"/>
  <c r="EH530" i="25"/>
  <c r="EH531" i="25"/>
  <c r="EH532" i="25"/>
  <c r="EH533" i="25"/>
  <c r="EH534" i="25"/>
  <c r="EH535" i="25"/>
  <c r="EH536" i="25"/>
  <c r="EH537" i="25"/>
  <c r="EH538" i="25"/>
  <c r="EH539" i="25"/>
  <c r="EH540" i="25"/>
  <c r="EH541" i="25"/>
  <c r="EH542" i="25"/>
  <c r="EH543" i="25"/>
  <c r="EH544" i="25"/>
  <c r="EH545" i="25"/>
  <c r="EH546" i="25"/>
  <c r="EH547" i="25"/>
  <c r="EH469" i="25"/>
  <c r="EH549" i="25"/>
  <c r="EH550" i="25"/>
  <c r="EH551" i="25"/>
  <c r="EH552" i="25"/>
  <c r="EH553" i="25"/>
  <c r="EH471" i="25"/>
  <c r="EH555" i="25"/>
  <c r="EH556" i="25"/>
  <c r="EH557" i="25"/>
  <c r="EH548" i="25"/>
  <c r="EH559" i="25"/>
  <c r="EH560" i="25"/>
  <c r="EH561" i="25"/>
  <c r="EH562" i="25"/>
  <c r="EH563" i="25"/>
  <c r="EH554" i="25"/>
  <c r="EH565" i="25"/>
  <c r="EH566" i="25"/>
  <c r="EH567" i="25"/>
  <c r="EH568" i="25"/>
  <c r="EH569" i="25"/>
  <c r="EH570" i="25"/>
  <c r="EH571" i="25"/>
  <c r="EH572" i="25"/>
  <c r="EH573" i="25"/>
  <c r="EH574" i="25"/>
  <c r="EH575" i="25"/>
  <c r="EH576" i="25"/>
  <c r="EH577" i="25"/>
  <c r="EH578" i="25"/>
  <c r="EH579" i="25"/>
  <c r="EH580" i="25"/>
  <c r="EH581" i="25"/>
  <c r="EH582" i="25"/>
  <c r="EH583" i="25"/>
  <c r="EH584" i="25"/>
  <c r="EH585" i="25"/>
  <c r="EH586" i="25"/>
  <c r="EH587" i="25"/>
  <c r="EH588" i="25"/>
  <c r="EH589" i="25"/>
  <c r="EH590" i="25"/>
  <c r="EH591" i="25"/>
  <c r="EH592" i="25"/>
  <c r="EH593" i="25"/>
  <c r="EH594" i="25"/>
  <c r="EH595" i="25"/>
  <c r="EH596" i="25"/>
  <c r="EH597" i="25"/>
  <c r="EH598" i="25"/>
  <c r="EH599" i="25"/>
  <c r="EH600" i="25"/>
  <c r="CB411" i="25" l="1"/>
  <c r="CB600" i="25"/>
  <c r="CB528" i="25"/>
  <c r="CB512" i="25"/>
  <c r="CB496" i="25"/>
  <c r="CB472" i="25"/>
  <c r="CB432" i="25"/>
  <c r="DT530" i="25"/>
  <c r="CB587" i="25"/>
  <c r="CB579" i="25"/>
  <c r="CB571" i="25"/>
  <c r="CB563" i="25"/>
  <c r="CB547" i="25"/>
  <c r="CB515" i="25"/>
  <c r="CB499" i="25"/>
  <c r="CB483" i="25"/>
  <c r="DT564" i="25"/>
  <c r="DJ586" i="25"/>
  <c r="DJ578" i="25"/>
  <c r="DJ570" i="25"/>
  <c r="DK570" i="25" s="1"/>
  <c r="DL570" i="25" s="1"/>
  <c r="DM570" i="25" s="1"/>
  <c r="DJ562" i="25"/>
  <c r="DK562" i="25" s="1"/>
  <c r="DL562" i="25" s="1"/>
  <c r="DM562" i="25" s="1"/>
  <c r="DJ471" i="25"/>
  <c r="DK471" i="25" s="1"/>
  <c r="DL471" i="25" s="1"/>
  <c r="DM471" i="25" s="1"/>
  <c r="DJ546" i="25"/>
  <c r="DK546" i="25" s="1"/>
  <c r="DL546" i="25" s="1"/>
  <c r="DM546" i="25" s="1"/>
  <c r="DJ538" i="25"/>
  <c r="DK538" i="25" s="1"/>
  <c r="DL538" i="25" s="1"/>
  <c r="DM538" i="25" s="1"/>
  <c r="DJ530" i="25"/>
  <c r="DK530" i="25" s="1"/>
  <c r="DL530" i="25" s="1"/>
  <c r="DM530" i="25" s="1"/>
  <c r="DJ522" i="25"/>
  <c r="DK522" i="25" s="1"/>
  <c r="DL522" i="25" s="1"/>
  <c r="DM522" i="25" s="1"/>
  <c r="DJ514" i="25"/>
  <c r="DK514" i="25" s="1"/>
  <c r="DL514" i="25" s="1"/>
  <c r="DM514" i="25" s="1"/>
  <c r="DJ506" i="25"/>
  <c r="DK506" i="25" s="1"/>
  <c r="DL506" i="25" s="1"/>
  <c r="DM506" i="25" s="1"/>
  <c r="DJ498" i="25"/>
  <c r="DK498" i="25" s="1"/>
  <c r="DL498" i="25" s="1"/>
  <c r="DM498" i="25" s="1"/>
  <c r="DJ490" i="25"/>
  <c r="DK490" i="25" s="1"/>
  <c r="DL490" i="25" s="1"/>
  <c r="DM490" i="25" s="1"/>
  <c r="DJ482" i="25"/>
  <c r="DK482" i="25" s="1"/>
  <c r="DL482" i="25" s="1"/>
  <c r="DM482" i="25" s="1"/>
  <c r="DJ474" i="25"/>
  <c r="DK474" i="25" s="1"/>
  <c r="DL474" i="25" s="1"/>
  <c r="DM474" i="25" s="1"/>
  <c r="DJ466" i="25"/>
  <c r="DK466" i="25" s="1"/>
  <c r="DL466" i="25" s="1"/>
  <c r="DM466" i="25" s="1"/>
  <c r="DJ450" i="25"/>
  <c r="DK450" i="25" s="1"/>
  <c r="DL450" i="25" s="1"/>
  <c r="DM450" i="25" s="1"/>
  <c r="DJ426" i="25"/>
  <c r="DK426" i="25" s="1"/>
  <c r="DL426" i="25" s="1"/>
  <c r="DM426" i="25" s="1"/>
  <c r="DT546" i="25"/>
  <c r="DR442" i="25"/>
  <c r="DT586" i="25"/>
  <c r="DT562" i="25"/>
  <c r="DR594" i="25"/>
  <c r="DR471" i="25"/>
  <c r="DT430" i="25"/>
  <c r="DT506" i="25"/>
  <c r="DT418" i="25"/>
  <c r="DR519" i="25"/>
  <c r="DT498" i="25"/>
  <c r="DT497" i="25"/>
  <c r="DR474" i="25"/>
  <c r="DT451" i="25"/>
  <c r="DT539" i="25"/>
  <c r="DT419" i="25"/>
  <c r="DJ594" i="25"/>
  <c r="DK594" i="25" s="1"/>
  <c r="DL594" i="25" s="1"/>
  <c r="DM594" i="25" s="1"/>
  <c r="DT570" i="25"/>
  <c r="DR450" i="25"/>
  <c r="DT482" i="25"/>
  <c r="DR538" i="25"/>
  <c r="DR490" i="25"/>
  <c r="DT522" i="25"/>
  <c r="DT434" i="25"/>
  <c r="DT467" i="25"/>
  <c r="DT472" i="25"/>
  <c r="DT417" i="25"/>
  <c r="DR443" i="25"/>
  <c r="DJ513" i="25"/>
  <c r="DK513" i="25" s="1"/>
  <c r="DL513" i="25" s="1"/>
  <c r="DM513" i="25" s="1"/>
  <c r="DJ590" i="25"/>
  <c r="DK590" i="25" s="1"/>
  <c r="DL590" i="25" s="1"/>
  <c r="DM590" i="25" s="1"/>
  <c r="DJ502" i="25"/>
  <c r="DK502" i="25" s="1"/>
  <c r="DL502" i="25" s="1"/>
  <c r="DM502" i="25" s="1"/>
  <c r="CB448" i="25"/>
  <c r="CB444" i="25"/>
  <c r="DT521" i="25"/>
  <c r="DJ552" i="25"/>
  <c r="DK552" i="25" s="1"/>
  <c r="DL552" i="25" s="1"/>
  <c r="DM552" i="25" s="1"/>
  <c r="DB543" i="25"/>
  <c r="DX543" i="25" s="1"/>
  <c r="DB479" i="25"/>
  <c r="DX479" i="25" s="1"/>
  <c r="DT427" i="25"/>
  <c r="CB464" i="25"/>
  <c r="CB443" i="25"/>
  <c r="DT559" i="25"/>
  <c r="DT514" i="25"/>
  <c r="DT466" i="25"/>
  <c r="DT425" i="25"/>
  <c r="CB584" i="25"/>
  <c r="CB422" i="25"/>
  <c r="CB406" i="25"/>
  <c r="DJ597" i="25"/>
  <c r="DK597" i="25" s="1"/>
  <c r="DL597" i="25" s="1"/>
  <c r="DM597" i="25" s="1"/>
  <c r="DJ581" i="25"/>
  <c r="DK581" i="25" s="1"/>
  <c r="DL581" i="25" s="1"/>
  <c r="DM581" i="25" s="1"/>
  <c r="DJ509" i="25"/>
  <c r="DJ501" i="25"/>
  <c r="DK501" i="25" s="1"/>
  <c r="DL501" i="25" s="1"/>
  <c r="DM501" i="25" s="1"/>
  <c r="DJ493" i="25"/>
  <c r="DK493" i="25" s="1"/>
  <c r="DL493" i="25" s="1"/>
  <c r="DM493" i="25" s="1"/>
  <c r="DJ413" i="25"/>
  <c r="DK413" i="25" s="1"/>
  <c r="DL413" i="25" s="1"/>
  <c r="DM413" i="25" s="1"/>
  <c r="DJ405" i="25"/>
  <c r="DK405" i="25" s="1"/>
  <c r="DL405" i="25" s="1"/>
  <c r="DM405" i="25" s="1"/>
  <c r="DK586" i="25"/>
  <c r="DL586" i="25" s="1"/>
  <c r="DM586" i="25" s="1"/>
  <c r="DK578" i="25"/>
  <c r="DL578" i="25" s="1"/>
  <c r="DM578" i="25" s="1"/>
  <c r="CB598" i="25"/>
  <c r="CB590" i="25"/>
  <c r="CB574" i="25"/>
  <c r="CB566" i="25"/>
  <c r="CB548" i="25"/>
  <c r="CB550" i="25"/>
  <c r="CB534" i="25"/>
  <c r="CB526" i="25"/>
  <c r="CB510" i="25"/>
  <c r="CB502" i="25"/>
  <c r="CB494" i="25"/>
  <c r="CB486" i="25"/>
  <c r="CB420" i="25"/>
  <c r="CB412" i="25"/>
  <c r="CB404" i="25"/>
  <c r="DJ600" i="25"/>
  <c r="DK600" i="25" s="1"/>
  <c r="DL600" i="25" s="1"/>
  <c r="DM600" i="25" s="1"/>
  <c r="DJ568" i="25"/>
  <c r="DK568" i="25" s="1"/>
  <c r="DL568" i="25" s="1"/>
  <c r="DM568" i="25" s="1"/>
  <c r="DJ456" i="25"/>
  <c r="DK456" i="25" s="1"/>
  <c r="DL456" i="25" s="1"/>
  <c r="DM456" i="25" s="1"/>
  <c r="DJ448" i="25"/>
  <c r="CB468" i="25"/>
  <c r="CB460" i="25"/>
  <c r="CB452" i="25"/>
  <c r="CB436" i="25"/>
  <c r="DT591" i="25"/>
  <c r="DT441" i="25"/>
  <c r="DR551" i="25"/>
  <c r="DR458" i="25"/>
  <c r="CB596" i="25"/>
  <c r="CB588" i="25"/>
  <c r="CB580" i="25"/>
  <c r="CB572" i="25"/>
  <c r="CB554" i="25"/>
  <c r="CB469" i="25"/>
  <c r="CB540" i="25"/>
  <c r="CB532" i="25"/>
  <c r="CB524" i="25"/>
  <c r="CB516" i="25"/>
  <c r="CB508" i="25"/>
  <c r="CB500" i="25"/>
  <c r="CB484" i="25"/>
  <c r="CB476" i="25"/>
  <c r="DT424" i="25"/>
  <c r="DT584" i="25"/>
  <c r="DT440" i="25"/>
  <c r="DT568" i="25"/>
  <c r="DR462" i="25"/>
  <c r="CB475" i="25"/>
  <c r="CB558" i="25"/>
  <c r="CB461" i="25"/>
  <c r="CB453" i="25"/>
  <c r="CB445" i="25"/>
  <c r="CB437" i="25"/>
  <c r="CB429" i="25"/>
  <c r="CB597" i="25"/>
  <c r="CB589" i="25"/>
  <c r="CB581" i="25"/>
  <c r="CB573" i="25"/>
  <c r="CB565" i="25"/>
  <c r="CB557" i="25"/>
  <c r="CB549" i="25"/>
  <c r="CB541" i="25"/>
  <c r="CB533" i="25"/>
  <c r="CB525" i="25"/>
  <c r="CB517" i="25"/>
  <c r="CB509" i="25"/>
  <c r="CB501" i="25"/>
  <c r="CB493" i="25"/>
  <c r="CB485" i="25"/>
  <c r="CB477" i="25"/>
  <c r="CB408" i="25"/>
  <c r="CJ509" i="25"/>
  <c r="DT485" i="25"/>
  <c r="DT461" i="25"/>
  <c r="DR525" i="25"/>
  <c r="DT578" i="25"/>
  <c r="DT547" i="25"/>
  <c r="DT517" i="25"/>
  <c r="DT483" i="25"/>
  <c r="DT429" i="25"/>
  <c r="DR477" i="25"/>
  <c r="DT573" i="25"/>
  <c r="DT571" i="25"/>
  <c r="DT545" i="25"/>
  <c r="DT507" i="25"/>
  <c r="DT426" i="25"/>
  <c r="CB470" i="25"/>
  <c r="CB462" i="25"/>
  <c r="CB446" i="25"/>
  <c r="CB438" i="25"/>
  <c r="CB430" i="25"/>
  <c r="CB421" i="25"/>
  <c r="CB413" i="25"/>
  <c r="CB405" i="25"/>
  <c r="CB594" i="25"/>
  <c r="CB586" i="25"/>
  <c r="CB578" i="25"/>
  <c r="CB570" i="25"/>
  <c r="CB562" i="25"/>
  <c r="CB471" i="25"/>
  <c r="CB546" i="25"/>
  <c r="CB538" i="25"/>
  <c r="CB530" i="25"/>
  <c r="CB522" i="25"/>
  <c r="CB514" i="25"/>
  <c r="CB506" i="25"/>
  <c r="CB498" i="25"/>
  <c r="CB490" i="25"/>
  <c r="CB482" i="25"/>
  <c r="CB466" i="25"/>
  <c r="CB458" i="25"/>
  <c r="CB450" i="25"/>
  <c r="CB442" i="25"/>
  <c r="CB434" i="25"/>
  <c r="CB426" i="25"/>
  <c r="DR493" i="25"/>
  <c r="DR413" i="25"/>
  <c r="DR595" i="25"/>
  <c r="DT528" i="25"/>
  <c r="DT456" i="25"/>
  <c r="DT416" i="25"/>
  <c r="DR494" i="25"/>
  <c r="DT577" i="25"/>
  <c r="DT550" i="25"/>
  <c r="DT504" i="25"/>
  <c r="DR414" i="25"/>
  <c r="DT408" i="25"/>
  <c r="CJ507" i="25"/>
  <c r="CJ411" i="25"/>
  <c r="CJ413" i="25"/>
  <c r="CI458" i="25"/>
  <c r="CK458" i="25" s="1"/>
  <c r="CI410" i="25"/>
  <c r="CK410" i="25" s="1"/>
  <c r="DT520" i="25"/>
  <c r="DR581" i="25"/>
  <c r="DT518" i="25"/>
  <c r="CJ598" i="25"/>
  <c r="CJ548" i="25"/>
  <c r="CJ462" i="25"/>
  <c r="DK509" i="25"/>
  <c r="DL509" i="25" s="1"/>
  <c r="DM509" i="25" s="1"/>
  <c r="DT537" i="25"/>
  <c r="DT489" i="25"/>
  <c r="DT457" i="25"/>
  <c r="DR599" i="25"/>
  <c r="DR509" i="25"/>
  <c r="DR465" i="25"/>
  <c r="CB593" i="25"/>
  <c r="CB585" i="25"/>
  <c r="CB577" i="25"/>
  <c r="CB569" i="25"/>
  <c r="CB561" i="25"/>
  <c r="CB553" i="25"/>
  <c r="CB545" i="25"/>
  <c r="CB537" i="25"/>
  <c r="CB529" i="25"/>
  <c r="CB521" i="25"/>
  <c r="CB513" i="25"/>
  <c r="CB505" i="25"/>
  <c r="CB497" i="25"/>
  <c r="CB489" i="25"/>
  <c r="CB481" i="25"/>
  <c r="CB459" i="25"/>
  <c r="CB465" i="25"/>
  <c r="CB457" i="25"/>
  <c r="CB449" i="25"/>
  <c r="CB441" i="25"/>
  <c r="CB433" i="25"/>
  <c r="CB425" i="25"/>
  <c r="CB417" i="25"/>
  <c r="CB409" i="25"/>
  <c r="DT585" i="25"/>
  <c r="DT553" i="25"/>
  <c r="DT535" i="25"/>
  <c r="DT505" i="25"/>
  <c r="DT439" i="25"/>
  <c r="DR569" i="25"/>
  <c r="DR415" i="25"/>
  <c r="CJ555" i="25"/>
  <c r="CI547" i="25"/>
  <c r="CK547" i="25" s="1"/>
  <c r="CL547" i="25" s="1"/>
  <c r="CJ451" i="25"/>
  <c r="CI544" i="25"/>
  <c r="CK544" i="25" s="1"/>
  <c r="CJ504" i="25"/>
  <c r="CI408" i="25"/>
  <c r="CK408" i="25" s="1"/>
  <c r="CJ597" i="25"/>
  <c r="CJ557" i="25"/>
  <c r="CI541" i="25"/>
  <c r="CK541" i="25" s="1"/>
  <c r="CJ501" i="25"/>
  <c r="CI558" i="25"/>
  <c r="CK558" i="25" s="1"/>
  <c r="CJ461" i="25"/>
  <c r="CJ453" i="25"/>
  <c r="CI405" i="25"/>
  <c r="CK405" i="25" s="1"/>
  <c r="DT407" i="25"/>
  <c r="DR563" i="25"/>
  <c r="DJ592" i="25"/>
  <c r="DK592" i="25" s="1"/>
  <c r="DL592" i="25" s="1"/>
  <c r="DM592" i="25" s="1"/>
  <c r="DJ584" i="25"/>
  <c r="DK584" i="25" s="1"/>
  <c r="DL584" i="25" s="1"/>
  <c r="DM584" i="25" s="1"/>
  <c r="DJ576" i="25"/>
  <c r="DK576" i="25" s="1"/>
  <c r="DL576" i="25" s="1"/>
  <c r="DM576" i="25" s="1"/>
  <c r="DJ560" i="25"/>
  <c r="DK560" i="25" s="1"/>
  <c r="DL560" i="25" s="1"/>
  <c r="DM560" i="25" s="1"/>
  <c r="DJ544" i="25"/>
  <c r="DK544" i="25" s="1"/>
  <c r="DL544" i="25" s="1"/>
  <c r="DM544" i="25" s="1"/>
  <c r="DJ536" i="25"/>
  <c r="DK536" i="25" s="1"/>
  <c r="DL536" i="25" s="1"/>
  <c r="DM536" i="25" s="1"/>
  <c r="DJ528" i="25"/>
  <c r="DK528" i="25" s="1"/>
  <c r="DL528" i="25" s="1"/>
  <c r="DM528" i="25" s="1"/>
  <c r="DJ520" i="25"/>
  <c r="DK520" i="25" s="1"/>
  <c r="DL520" i="25" s="1"/>
  <c r="DM520" i="25" s="1"/>
  <c r="DJ512" i="25"/>
  <c r="DK512" i="25" s="1"/>
  <c r="DL512" i="25" s="1"/>
  <c r="DM512" i="25" s="1"/>
  <c r="DJ504" i="25"/>
  <c r="DK504" i="25" s="1"/>
  <c r="DL504" i="25" s="1"/>
  <c r="DM504" i="25" s="1"/>
  <c r="DJ496" i="25"/>
  <c r="DK496" i="25" s="1"/>
  <c r="DL496" i="25" s="1"/>
  <c r="DM496" i="25" s="1"/>
  <c r="DJ488" i="25"/>
  <c r="DK488" i="25" s="1"/>
  <c r="DL488" i="25" s="1"/>
  <c r="DM488" i="25" s="1"/>
  <c r="DJ480" i="25"/>
  <c r="DK480" i="25" s="1"/>
  <c r="DL480" i="25" s="1"/>
  <c r="DM480" i="25" s="1"/>
  <c r="DJ473" i="25"/>
  <c r="DK473" i="25" s="1"/>
  <c r="DL473" i="25" s="1"/>
  <c r="DM473" i="25" s="1"/>
  <c r="DJ472" i="25"/>
  <c r="DK472" i="25" s="1"/>
  <c r="DL472" i="25" s="1"/>
  <c r="DM472" i="25" s="1"/>
  <c r="DJ440" i="25"/>
  <c r="DK440" i="25" s="1"/>
  <c r="DL440" i="25" s="1"/>
  <c r="DM440" i="25" s="1"/>
  <c r="DJ432" i="25"/>
  <c r="DK432" i="25" s="1"/>
  <c r="DL432" i="25" s="1"/>
  <c r="DM432" i="25" s="1"/>
  <c r="DJ424" i="25"/>
  <c r="DK424" i="25" s="1"/>
  <c r="DL424" i="25" s="1"/>
  <c r="DM424" i="25" s="1"/>
  <c r="DJ416" i="25"/>
  <c r="DK416" i="25" s="1"/>
  <c r="DL416" i="25" s="1"/>
  <c r="DM416" i="25" s="1"/>
  <c r="DJ408" i="25"/>
  <c r="DK408" i="25" s="1"/>
  <c r="DL408" i="25" s="1"/>
  <c r="DM408" i="25" s="1"/>
  <c r="DJ558" i="25"/>
  <c r="DK558" i="25" s="1"/>
  <c r="DL558" i="25" s="1"/>
  <c r="DM558" i="25" s="1"/>
  <c r="DJ437" i="25"/>
  <c r="DK437" i="25" s="1"/>
  <c r="DL437" i="25" s="1"/>
  <c r="DM437" i="25" s="1"/>
  <c r="CJ552" i="25"/>
  <c r="CI536" i="25"/>
  <c r="CK536" i="25" s="1"/>
  <c r="CI473" i="25"/>
  <c r="CK473" i="25" s="1"/>
  <c r="DT583" i="25"/>
  <c r="DT529" i="25"/>
  <c r="DT503" i="25"/>
  <c r="DT433" i="25"/>
  <c r="DT515" i="25"/>
  <c r="DT481" i="25"/>
  <c r="DT463" i="25"/>
  <c r="DT449" i="25"/>
  <c r="DT431" i="25"/>
  <c r="DR561" i="25"/>
  <c r="DR527" i="25"/>
  <c r="DR475" i="25"/>
  <c r="DJ548" i="25"/>
  <c r="DK548" i="25" s="1"/>
  <c r="DL548" i="25" s="1"/>
  <c r="DM548" i="25" s="1"/>
  <c r="DJ542" i="25"/>
  <c r="DK542" i="25" s="1"/>
  <c r="DL542" i="25" s="1"/>
  <c r="DM542" i="25" s="1"/>
  <c r="DJ518" i="25"/>
  <c r="DK518" i="25" s="1"/>
  <c r="DL518" i="25" s="1"/>
  <c r="DM518" i="25" s="1"/>
  <c r="DJ470" i="25"/>
  <c r="DK470" i="25" s="1"/>
  <c r="DL470" i="25" s="1"/>
  <c r="DM470" i="25" s="1"/>
  <c r="DJ462" i="25"/>
  <c r="DK462" i="25" s="1"/>
  <c r="DL462" i="25" s="1"/>
  <c r="DM462" i="25" s="1"/>
  <c r="DJ438" i="25"/>
  <c r="DK438" i="25" s="1"/>
  <c r="DL438" i="25" s="1"/>
  <c r="DM438" i="25" s="1"/>
  <c r="DK448" i="25"/>
  <c r="DL448" i="25" s="1"/>
  <c r="DM448" i="25" s="1"/>
  <c r="DT447" i="25"/>
  <c r="DR495" i="25"/>
  <c r="DT593" i="25"/>
  <c r="DT575" i="25"/>
  <c r="DT513" i="25"/>
  <c r="DT459" i="25"/>
  <c r="DR579" i="25"/>
  <c r="DR445" i="25"/>
  <c r="DJ593" i="25"/>
  <c r="DK593" i="25" s="1"/>
  <c r="DL593" i="25" s="1"/>
  <c r="DM593" i="25" s="1"/>
  <c r="DJ585" i="25"/>
  <c r="DK585" i="25" s="1"/>
  <c r="DL585" i="25" s="1"/>
  <c r="DM585" i="25" s="1"/>
  <c r="DJ577" i="25"/>
  <c r="DK577" i="25" s="1"/>
  <c r="DL577" i="25" s="1"/>
  <c r="DM577" i="25" s="1"/>
  <c r="DJ569" i="25"/>
  <c r="DK569" i="25" s="1"/>
  <c r="DL569" i="25" s="1"/>
  <c r="DM569" i="25" s="1"/>
  <c r="DJ561" i="25"/>
  <c r="DK561" i="25" s="1"/>
  <c r="DL561" i="25" s="1"/>
  <c r="DM561" i="25" s="1"/>
  <c r="DJ553" i="25"/>
  <c r="DK553" i="25" s="1"/>
  <c r="DL553" i="25" s="1"/>
  <c r="DM553" i="25" s="1"/>
  <c r="DJ545" i="25"/>
  <c r="DK545" i="25" s="1"/>
  <c r="DL545" i="25" s="1"/>
  <c r="DM545" i="25" s="1"/>
  <c r="DJ537" i="25"/>
  <c r="DK537" i="25" s="1"/>
  <c r="DL537" i="25" s="1"/>
  <c r="DM537" i="25" s="1"/>
  <c r="DJ529" i="25"/>
  <c r="DK529" i="25" s="1"/>
  <c r="DL529" i="25" s="1"/>
  <c r="DM529" i="25" s="1"/>
  <c r="DJ521" i="25"/>
  <c r="DK521" i="25" s="1"/>
  <c r="DL521" i="25" s="1"/>
  <c r="DM521" i="25" s="1"/>
  <c r="DJ505" i="25"/>
  <c r="DK505" i="25" s="1"/>
  <c r="DL505" i="25" s="1"/>
  <c r="DM505" i="25" s="1"/>
  <c r="DJ497" i="25"/>
  <c r="DK497" i="25" s="1"/>
  <c r="DL497" i="25" s="1"/>
  <c r="DM497" i="25" s="1"/>
  <c r="DJ489" i="25"/>
  <c r="DK489" i="25" s="1"/>
  <c r="DL489" i="25" s="1"/>
  <c r="DM489" i="25" s="1"/>
  <c r="DJ481" i="25"/>
  <c r="DK481" i="25" s="1"/>
  <c r="DL481" i="25" s="1"/>
  <c r="DM481" i="25" s="1"/>
  <c r="DJ459" i="25"/>
  <c r="DK459" i="25" s="1"/>
  <c r="DL459" i="25" s="1"/>
  <c r="DM459" i="25" s="1"/>
  <c r="DJ465" i="25"/>
  <c r="DK465" i="25" s="1"/>
  <c r="DL465" i="25" s="1"/>
  <c r="DM465" i="25" s="1"/>
  <c r="DJ457" i="25"/>
  <c r="DK457" i="25" s="1"/>
  <c r="DL457" i="25" s="1"/>
  <c r="DM457" i="25" s="1"/>
  <c r="DJ449" i="25"/>
  <c r="DK449" i="25" s="1"/>
  <c r="DL449" i="25" s="1"/>
  <c r="DM449" i="25" s="1"/>
  <c r="DJ441" i="25"/>
  <c r="DK441" i="25" s="1"/>
  <c r="DL441" i="25" s="1"/>
  <c r="DM441" i="25" s="1"/>
  <c r="DJ433" i="25"/>
  <c r="DK433" i="25" s="1"/>
  <c r="DL433" i="25" s="1"/>
  <c r="DM433" i="25" s="1"/>
  <c r="DJ425" i="25"/>
  <c r="DK425" i="25" s="1"/>
  <c r="DL425" i="25" s="1"/>
  <c r="DM425" i="25" s="1"/>
  <c r="DJ417" i="25"/>
  <c r="DK417" i="25" s="1"/>
  <c r="DL417" i="25" s="1"/>
  <c r="DM417" i="25" s="1"/>
  <c r="DJ409" i="25"/>
  <c r="DK409" i="25" s="1"/>
  <c r="DL409" i="25" s="1"/>
  <c r="DM409" i="25" s="1"/>
  <c r="CI456" i="25"/>
  <c r="CK456" i="25" s="1"/>
  <c r="DT582" i="25"/>
  <c r="DT549" i="25"/>
  <c r="DT526" i="25"/>
  <c r="DT558" i="25"/>
  <c r="DT438" i="25"/>
  <c r="DR597" i="25"/>
  <c r="DR565" i="25"/>
  <c r="DN448" i="25"/>
  <c r="CJ408" i="25"/>
  <c r="CJ596" i="25"/>
  <c r="CJ588" i="25"/>
  <c r="CJ580" i="25"/>
  <c r="CJ572" i="25"/>
  <c r="CJ554" i="25"/>
  <c r="CJ556" i="25"/>
  <c r="CJ469" i="25"/>
  <c r="CJ540" i="25"/>
  <c r="CJ532" i="25"/>
  <c r="CJ524" i="25"/>
  <c r="CJ516" i="25"/>
  <c r="CJ508" i="25"/>
  <c r="CJ500" i="25"/>
  <c r="CJ492" i="25"/>
  <c r="CJ484" i="25"/>
  <c r="CJ476" i="25"/>
  <c r="CJ468" i="25"/>
  <c r="CJ593" i="25"/>
  <c r="CJ585" i="25"/>
  <c r="CJ577" i="25"/>
  <c r="CJ569" i="25"/>
  <c r="CJ561" i="25"/>
  <c r="CJ553" i="25"/>
  <c r="CJ545" i="25"/>
  <c r="CJ537" i="25"/>
  <c r="CJ529" i="25"/>
  <c r="CJ521" i="25"/>
  <c r="CJ513" i="25"/>
  <c r="CJ505" i="25"/>
  <c r="CJ497" i="25"/>
  <c r="CJ489" i="25"/>
  <c r="CJ481" i="25"/>
  <c r="CJ459" i="25"/>
  <c r="CJ465" i="25"/>
  <c r="CJ457" i="25"/>
  <c r="CJ449" i="25"/>
  <c r="CJ441" i="25"/>
  <c r="CJ433" i="25"/>
  <c r="CJ425" i="25"/>
  <c r="CJ417" i="25"/>
  <c r="CJ409" i="25"/>
  <c r="CJ574" i="25"/>
  <c r="CJ478" i="25"/>
  <c r="CI579" i="25"/>
  <c r="CK579" i="25" s="1"/>
  <c r="CL579" i="25" s="1"/>
  <c r="CB592" i="25"/>
  <c r="CB576" i="25"/>
  <c r="CB568" i="25"/>
  <c r="CB560" i="25"/>
  <c r="CB552" i="25"/>
  <c r="CB544" i="25"/>
  <c r="CB536" i="25"/>
  <c r="CB520" i="25"/>
  <c r="CB504" i="25"/>
  <c r="CB488" i="25"/>
  <c r="CB480" i="25"/>
  <c r="CB473" i="25"/>
  <c r="CB456" i="25"/>
  <c r="CB440" i="25"/>
  <c r="CB416" i="25"/>
  <c r="DT437" i="25"/>
  <c r="DT405" i="25"/>
  <c r="DR533" i="25"/>
  <c r="DN416" i="25"/>
  <c r="CJ405" i="25"/>
  <c r="CJ576" i="25"/>
  <c r="CI568" i="25"/>
  <c r="CK568" i="25" s="1"/>
  <c r="CJ536" i="25"/>
  <c r="CI512" i="25"/>
  <c r="CK512" i="25" s="1"/>
  <c r="CI504" i="25"/>
  <c r="CK504" i="25" s="1"/>
  <c r="CJ480" i="25"/>
  <c r="CI432" i="25"/>
  <c r="CK432" i="25" s="1"/>
  <c r="CI581" i="25"/>
  <c r="CK581" i="25" s="1"/>
  <c r="CI565" i="25"/>
  <c r="CK565" i="25" s="1"/>
  <c r="CJ533" i="25"/>
  <c r="CJ525" i="25"/>
  <c r="CI509" i="25"/>
  <c r="CK509" i="25" s="1"/>
  <c r="CI501" i="25"/>
  <c r="CK501" i="25" s="1"/>
  <c r="CJ485" i="25"/>
  <c r="CI437" i="25"/>
  <c r="CK437" i="25" s="1"/>
  <c r="CB599" i="25"/>
  <c r="CB591" i="25"/>
  <c r="CB583" i="25"/>
  <c r="CB575" i="25"/>
  <c r="CB567" i="25"/>
  <c r="CB559" i="25"/>
  <c r="CB551" i="25"/>
  <c r="CB543" i="25"/>
  <c r="CB535" i="25"/>
  <c r="CB527" i="25"/>
  <c r="CB519" i="25"/>
  <c r="CB511" i="25"/>
  <c r="CB503" i="25"/>
  <c r="CB495" i="25"/>
  <c r="CB487" i="25"/>
  <c r="CB479" i="25"/>
  <c r="CB564" i="25"/>
  <c r="CB463" i="25"/>
  <c r="CB455" i="25"/>
  <c r="CB447" i="25"/>
  <c r="CB439" i="25"/>
  <c r="CB431" i="25"/>
  <c r="CB423" i="25"/>
  <c r="CB415" i="25"/>
  <c r="CB407" i="25"/>
  <c r="DT589" i="25"/>
  <c r="DT548" i="25"/>
  <c r="DT502" i="25"/>
  <c r="DT491" i="25"/>
  <c r="DT479" i="25"/>
  <c r="DT435" i="25"/>
  <c r="DR531" i="25"/>
  <c r="DR501" i="25"/>
  <c r="DR487" i="25"/>
  <c r="DR455" i="25"/>
  <c r="DR421" i="25"/>
  <c r="DN592" i="25"/>
  <c r="CI429" i="25"/>
  <c r="CK429" i="25" s="1"/>
  <c r="CI434" i="25"/>
  <c r="CK434" i="25" s="1"/>
  <c r="DT587" i="25"/>
  <c r="DT567" i="25"/>
  <c r="DT557" i="25"/>
  <c r="DT511" i="25"/>
  <c r="DR574" i="25"/>
  <c r="DR499" i="25"/>
  <c r="DR453" i="25"/>
  <c r="DJ434" i="25"/>
  <c r="DK434" i="25" s="1"/>
  <c r="DL434" i="25" s="1"/>
  <c r="DM434" i="25" s="1"/>
  <c r="DJ418" i="25"/>
  <c r="DK418" i="25" s="1"/>
  <c r="DL418" i="25" s="1"/>
  <c r="DM418" i="25" s="1"/>
  <c r="DJ410" i="25"/>
  <c r="DK410" i="25" s="1"/>
  <c r="DL410" i="25" s="1"/>
  <c r="DM410" i="25" s="1"/>
  <c r="DT598" i="25"/>
  <c r="DT566" i="25"/>
  <c r="DT555" i="25"/>
  <c r="DT543" i="25"/>
  <c r="DT454" i="25"/>
  <c r="DT422" i="25"/>
  <c r="DT411" i="25"/>
  <c r="DR541" i="25"/>
  <c r="DJ598" i="25"/>
  <c r="DK598" i="25" s="1"/>
  <c r="DL598" i="25" s="1"/>
  <c r="DM598" i="25" s="1"/>
  <c r="DJ582" i="25"/>
  <c r="DK582" i="25" s="1"/>
  <c r="DL582" i="25" s="1"/>
  <c r="DM582" i="25" s="1"/>
  <c r="DJ574" i="25"/>
  <c r="DK574" i="25" s="1"/>
  <c r="DL574" i="25" s="1"/>
  <c r="DM574" i="25" s="1"/>
  <c r="DJ566" i="25"/>
  <c r="DK566" i="25" s="1"/>
  <c r="DL566" i="25" s="1"/>
  <c r="DM566" i="25" s="1"/>
  <c r="DJ550" i="25"/>
  <c r="DK550" i="25" s="1"/>
  <c r="DL550" i="25" s="1"/>
  <c r="DM550" i="25" s="1"/>
  <c r="DJ534" i="25"/>
  <c r="DK534" i="25" s="1"/>
  <c r="DL534" i="25" s="1"/>
  <c r="DM534" i="25" s="1"/>
  <c r="DJ526" i="25"/>
  <c r="DK526" i="25" s="1"/>
  <c r="DL526" i="25" s="1"/>
  <c r="DM526" i="25" s="1"/>
  <c r="DJ510" i="25"/>
  <c r="DK510" i="25" s="1"/>
  <c r="DL510" i="25" s="1"/>
  <c r="DM510" i="25" s="1"/>
  <c r="DJ494" i="25"/>
  <c r="DK494" i="25" s="1"/>
  <c r="DL494" i="25" s="1"/>
  <c r="DM494" i="25" s="1"/>
  <c r="DJ486" i="25"/>
  <c r="DK486" i="25" s="1"/>
  <c r="DL486" i="25" s="1"/>
  <c r="DM486" i="25" s="1"/>
  <c r="DJ478" i="25"/>
  <c r="DK478" i="25" s="1"/>
  <c r="DL478" i="25" s="1"/>
  <c r="DM478" i="25" s="1"/>
  <c r="DJ454" i="25"/>
  <c r="DK454" i="25" s="1"/>
  <c r="DL454" i="25" s="1"/>
  <c r="DM454" i="25" s="1"/>
  <c r="DJ446" i="25"/>
  <c r="DK446" i="25" s="1"/>
  <c r="DL446" i="25" s="1"/>
  <c r="DM446" i="25" s="1"/>
  <c r="DJ430" i="25"/>
  <c r="DK430" i="25" s="1"/>
  <c r="DL430" i="25" s="1"/>
  <c r="DM430" i="25" s="1"/>
  <c r="DJ422" i="25"/>
  <c r="DK422" i="25" s="1"/>
  <c r="DL422" i="25" s="1"/>
  <c r="DM422" i="25" s="1"/>
  <c r="DJ414" i="25"/>
  <c r="DK414" i="25" s="1"/>
  <c r="DL414" i="25" s="1"/>
  <c r="DM414" i="25" s="1"/>
  <c r="DJ406" i="25"/>
  <c r="DK406" i="25" s="1"/>
  <c r="DL406" i="25" s="1"/>
  <c r="DM406" i="25" s="1"/>
  <c r="DT486" i="25"/>
  <c r="DR510" i="25"/>
  <c r="CB539" i="25"/>
  <c r="CB523" i="25"/>
  <c r="CB507" i="25"/>
  <c r="CB419" i="25"/>
  <c r="DT590" i="25"/>
  <c r="DT552" i="25"/>
  <c r="DT512" i="25"/>
  <c r="DT473" i="25"/>
  <c r="DR523" i="25"/>
  <c r="DT523" i="25"/>
  <c r="DR464" i="25"/>
  <c r="DT464" i="25"/>
  <c r="DT480" i="25"/>
  <c r="DT470" i="25"/>
  <c r="DR446" i="25"/>
  <c r="DR560" i="25"/>
  <c r="DT560" i="25"/>
  <c r="DR496" i="25"/>
  <c r="DT496" i="25"/>
  <c r="DT576" i="25"/>
  <c r="DT536" i="25"/>
  <c r="DT488" i="25"/>
  <c r="DT448" i="25"/>
  <c r="DR423" i="25"/>
  <c r="DT423" i="25"/>
  <c r="DR406" i="25"/>
  <c r="DT406" i="25"/>
  <c r="DT592" i="25"/>
  <c r="DT544" i="25"/>
  <c r="DT534" i="25"/>
  <c r="DT600" i="25"/>
  <c r="DR542" i="25"/>
  <c r="DR478" i="25"/>
  <c r="DJ573" i="25"/>
  <c r="DK573" i="25" s="1"/>
  <c r="DL573" i="25" s="1"/>
  <c r="DM573" i="25" s="1"/>
  <c r="DJ557" i="25"/>
  <c r="DK557" i="25" s="1"/>
  <c r="DL557" i="25" s="1"/>
  <c r="DM557" i="25" s="1"/>
  <c r="DJ533" i="25"/>
  <c r="DK533" i="25" s="1"/>
  <c r="DL533" i="25" s="1"/>
  <c r="DM533" i="25" s="1"/>
  <c r="DJ517" i="25"/>
  <c r="DK517" i="25" s="1"/>
  <c r="DL517" i="25" s="1"/>
  <c r="DM517" i="25" s="1"/>
  <c r="DJ485" i="25"/>
  <c r="DK485" i="25" s="1"/>
  <c r="DL485" i="25" s="1"/>
  <c r="DM485" i="25" s="1"/>
  <c r="DJ453" i="25"/>
  <c r="DK453" i="25" s="1"/>
  <c r="DL453" i="25" s="1"/>
  <c r="DM453" i="25" s="1"/>
  <c r="DJ445" i="25"/>
  <c r="DK445" i="25" s="1"/>
  <c r="DL445" i="25" s="1"/>
  <c r="DM445" i="25" s="1"/>
  <c r="DJ589" i="25"/>
  <c r="DK589" i="25" s="1"/>
  <c r="DL589" i="25" s="1"/>
  <c r="DM589" i="25" s="1"/>
  <c r="DJ565" i="25"/>
  <c r="DK565" i="25" s="1"/>
  <c r="DL565" i="25" s="1"/>
  <c r="DM565" i="25" s="1"/>
  <c r="DJ549" i="25"/>
  <c r="DK549" i="25" s="1"/>
  <c r="DL549" i="25" s="1"/>
  <c r="DM549" i="25" s="1"/>
  <c r="DJ541" i="25"/>
  <c r="DK541" i="25" s="1"/>
  <c r="DL541" i="25" s="1"/>
  <c r="DM541" i="25" s="1"/>
  <c r="DJ525" i="25"/>
  <c r="DK525" i="25" s="1"/>
  <c r="DL525" i="25" s="1"/>
  <c r="DM525" i="25" s="1"/>
  <c r="DJ477" i="25"/>
  <c r="DK477" i="25" s="1"/>
  <c r="DL477" i="25" s="1"/>
  <c r="DM477" i="25" s="1"/>
  <c r="DJ461" i="25"/>
  <c r="DK461" i="25" s="1"/>
  <c r="DL461" i="25" s="1"/>
  <c r="DM461" i="25" s="1"/>
  <c r="DJ429" i="25"/>
  <c r="DK429" i="25" s="1"/>
  <c r="DL429" i="25" s="1"/>
  <c r="DM429" i="25" s="1"/>
  <c r="DJ421" i="25"/>
  <c r="DK421" i="25" s="1"/>
  <c r="DL421" i="25" s="1"/>
  <c r="DM421" i="25" s="1"/>
  <c r="DT432" i="25"/>
  <c r="DJ599" i="25"/>
  <c r="DK599" i="25" s="1"/>
  <c r="DL599" i="25" s="1"/>
  <c r="DM599" i="25" s="1"/>
  <c r="DJ591" i="25"/>
  <c r="DK591" i="25" s="1"/>
  <c r="DL591" i="25" s="1"/>
  <c r="DM591" i="25" s="1"/>
  <c r="DJ583" i="25"/>
  <c r="DK583" i="25" s="1"/>
  <c r="DL583" i="25" s="1"/>
  <c r="DM583" i="25" s="1"/>
  <c r="DJ575" i="25"/>
  <c r="DK575" i="25" s="1"/>
  <c r="DL575" i="25" s="1"/>
  <c r="DM575" i="25" s="1"/>
  <c r="DJ567" i="25"/>
  <c r="DK567" i="25" s="1"/>
  <c r="DL567" i="25" s="1"/>
  <c r="DM567" i="25" s="1"/>
  <c r="DJ559" i="25"/>
  <c r="DK559" i="25" s="1"/>
  <c r="DL559" i="25" s="1"/>
  <c r="DM559" i="25" s="1"/>
  <c r="DJ551" i="25"/>
  <c r="DK551" i="25" s="1"/>
  <c r="DL551" i="25" s="1"/>
  <c r="DM551" i="25" s="1"/>
  <c r="DJ543" i="25"/>
  <c r="DK543" i="25" s="1"/>
  <c r="DL543" i="25" s="1"/>
  <c r="DM543" i="25" s="1"/>
  <c r="DJ535" i="25"/>
  <c r="DK535" i="25" s="1"/>
  <c r="DL535" i="25" s="1"/>
  <c r="DM535" i="25" s="1"/>
  <c r="DJ527" i="25"/>
  <c r="DK527" i="25" s="1"/>
  <c r="DL527" i="25" s="1"/>
  <c r="DM527" i="25" s="1"/>
  <c r="DJ519" i="25"/>
  <c r="DK519" i="25" s="1"/>
  <c r="DL519" i="25" s="1"/>
  <c r="DM519" i="25" s="1"/>
  <c r="DJ511" i="25"/>
  <c r="DK511" i="25" s="1"/>
  <c r="DL511" i="25" s="1"/>
  <c r="DM511" i="25" s="1"/>
  <c r="DJ503" i="25"/>
  <c r="DK503" i="25" s="1"/>
  <c r="DL503" i="25" s="1"/>
  <c r="DM503" i="25" s="1"/>
  <c r="DJ495" i="25"/>
  <c r="DK495" i="25" s="1"/>
  <c r="DL495" i="25" s="1"/>
  <c r="DM495" i="25" s="1"/>
  <c r="DJ487" i="25"/>
  <c r="DK487" i="25" s="1"/>
  <c r="DL487" i="25" s="1"/>
  <c r="DM487" i="25" s="1"/>
  <c r="DJ479" i="25"/>
  <c r="DK479" i="25" s="1"/>
  <c r="DL479" i="25" s="1"/>
  <c r="DM479" i="25" s="1"/>
  <c r="DJ564" i="25"/>
  <c r="DK564" i="25" s="1"/>
  <c r="DL564" i="25" s="1"/>
  <c r="DM564" i="25" s="1"/>
  <c r="DJ463" i="25"/>
  <c r="DK463" i="25" s="1"/>
  <c r="DL463" i="25" s="1"/>
  <c r="DM463" i="25" s="1"/>
  <c r="DJ455" i="25"/>
  <c r="DK455" i="25" s="1"/>
  <c r="DL455" i="25" s="1"/>
  <c r="DM455" i="25" s="1"/>
  <c r="DJ447" i="25"/>
  <c r="DK447" i="25" s="1"/>
  <c r="DL447" i="25" s="1"/>
  <c r="DM447" i="25" s="1"/>
  <c r="DJ439" i="25"/>
  <c r="DK439" i="25" s="1"/>
  <c r="DL439" i="25" s="1"/>
  <c r="DM439" i="25" s="1"/>
  <c r="DJ431" i="25"/>
  <c r="DK431" i="25" s="1"/>
  <c r="DL431" i="25" s="1"/>
  <c r="DM431" i="25" s="1"/>
  <c r="DJ423" i="25"/>
  <c r="DK423" i="25" s="1"/>
  <c r="DL423" i="25" s="1"/>
  <c r="DM423" i="25" s="1"/>
  <c r="DJ415" i="25"/>
  <c r="DK415" i="25" s="1"/>
  <c r="DL415" i="25" s="1"/>
  <c r="DM415" i="25" s="1"/>
  <c r="DJ407" i="25"/>
  <c r="DK407" i="25" s="1"/>
  <c r="DL407" i="25" s="1"/>
  <c r="DM407" i="25" s="1"/>
  <c r="DJ596" i="25"/>
  <c r="DK596" i="25" s="1"/>
  <c r="DL596" i="25" s="1"/>
  <c r="DM596" i="25" s="1"/>
  <c r="DJ588" i="25"/>
  <c r="DK588" i="25" s="1"/>
  <c r="DL588" i="25" s="1"/>
  <c r="DM588" i="25" s="1"/>
  <c r="DJ580" i="25"/>
  <c r="DK580" i="25" s="1"/>
  <c r="DL580" i="25" s="1"/>
  <c r="DM580" i="25" s="1"/>
  <c r="CJ429" i="25"/>
  <c r="CI592" i="25"/>
  <c r="CK592" i="25" s="1"/>
  <c r="CI560" i="25"/>
  <c r="CJ544" i="25"/>
  <c r="CI528" i="25"/>
  <c r="CK528" i="25" s="1"/>
  <c r="CJ520" i="25"/>
  <c r="CJ496" i="25"/>
  <c r="CI488" i="25"/>
  <c r="CK488" i="25" s="1"/>
  <c r="CI480" i="25"/>
  <c r="CK480" i="25" s="1"/>
  <c r="CJ473" i="25"/>
  <c r="CI448" i="25"/>
  <c r="CK448" i="25" s="1"/>
  <c r="CI424" i="25"/>
  <c r="CK424" i="25" s="1"/>
  <c r="CI416" i="25"/>
  <c r="CK416" i="25" s="1"/>
  <c r="CI589" i="25"/>
  <c r="CK589" i="25" s="1"/>
  <c r="CJ573" i="25"/>
  <c r="CI533" i="25"/>
  <c r="CK533" i="25" s="1"/>
  <c r="CI485" i="25"/>
  <c r="CK485" i="25" s="1"/>
  <c r="CJ558" i="25"/>
  <c r="CI453" i="25"/>
  <c r="CI598" i="25"/>
  <c r="CK598" i="25" s="1"/>
  <c r="CI590" i="25"/>
  <c r="CK590" i="25" s="1"/>
  <c r="CL590" i="25" s="1"/>
  <c r="CJ590" i="25"/>
  <c r="CI582" i="25"/>
  <c r="CK582" i="25" s="1"/>
  <c r="CL582" i="25" s="1"/>
  <c r="CP582" i="25" s="1"/>
  <c r="CQ582" i="25" s="1"/>
  <c r="CT582" i="25" s="1"/>
  <c r="CI574" i="25"/>
  <c r="CK574" i="25" s="1"/>
  <c r="CI566" i="25"/>
  <c r="CK566" i="25" s="1"/>
  <c r="CL566" i="25" s="1"/>
  <c r="CP566" i="25" s="1"/>
  <c r="CQ566" i="25" s="1"/>
  <c r="CT566" i="25" s="1"/>
  <c r="CI548" i="25"/>
  <c r="CI550" i="25"/>
  <c r="CI542" i="25"/>
  <c r="CK542" i="25" s="1"/>
  <c r="CJ542" i="25"/>
  <c r="CI534" i="25"/>
  <c r="CK534" i="25" s="1"/>
  <c r="CI526" i="25"/>
  <c r="CK526" i="25" s="1"/>
  <c r="CL526" i="25" s="1"/>
  <c r="CP526" i="25" s="1"/>
  <c r="CQ526" i="25" s="1"/>
  <c r="CT526" i="25" s="1"/>
  <c r="CI518" i="25"/>
  <c r="CK518" i="25" s="1"/>
  <c r="CL518" i="25" s="1"/>
  <c r="CP518" i="25" s="1"/>
  <c r="CQ518" i="25" s="1"/>
  <c r="CT518" i="25" s="1"/>
  <c r="CI510" i="25"/>
  <c r="CK510" i="25" s="1"/>
  <c r="CL510" i="25" s="1"/>
  <c r="CP510" i="25" s="1"/>
  <c r="CQ510" i="25" s="1"/>
  <c r="CT510" i="25" s="1"/>
  <c r="CI502" i="25"/>
  <c r="CK502" i="25" s="1"/>
  <c r="CL502" i="25" s="1"/>
  <c r="CP502" i="25" s="1"/>
  <c r="CQ502" i="25" s="1"/>
  <c r="CT502" i="25" s="1"/>
  <c r="CI494" i="25"/>
  <c r="CI486" i="25"/>
  <c r="CK486" i="25" s="1"/>
  <c r="CL486" i="25" s="1"/>
  <c r="CP486" i="25" s="1"/>
  <c r="CQ486" i="25" s="1"/>
  <c r="CT486" i="25" s="1"/>
  <c r="CI478" i="25"/>
  <c r="CK478" i="25" s="1"/>
  <c r="CL478" i="25" s="1"/>
  <c r="CI470" i="25"/>
  <c r="CK470" i="25" s="1"/>
  <c r="CL470" i="25" s="1"/>
  <c r="CP470" i="25" s="1"/>
  <c r="CQ470" i="25" s="1"/>
  <c r="CT470" i="25" s="1"/>
  <c r="CI462" i="25"/>
  <c r="CK462" i="25" s="1"/>
  <c r="CL462" i="25" s="1"/>
  <c r="CP462" i="25" s="1"/>
  <c r="CQ462" i="25" s="1"/>
  <c r="CT462" i="25" s="1"/>
  <c r="CI454" i="25"/>
  <c r="CK454" i="25" s="1"/>
  <c r="CI446" i="25"/>
  <c r="CK446" i="25" s="1"/>
  <c r="CL446" i="25" s="1"/>
  <c r="CP446" i="25" s="1"/>
  <c r="CQ446" i="25" s="1"/>
  <c r="CT446" i="25" s="1"/>
  <c r="CJ446" i="25"/>
  <c r="CI438" i="25"/>
  <c r="CI430" i="25"/>
  <c r="CK430" i="25" s="1"/>
  <c r="CI422" i="25"/>
  <c r="CK422" i="25" s="1"/>
  <c r="CL422" i="25" s="1"/>
  <c r="CP422" i="25" s="1"/>
  <c r="CQ422" i="25" s="1"/>
  <c r="CT422" i="25" s="1"/>
  <c r="CI414" i="25"/>
  <c r="CK414" i="25" s="1"/>
  <c r="CL414" i="25" s="1"/>
  <c r="CJ414" i="25"/>
  <c r="CI406" i="25"/>
  <c r="CK406" i="25" s="1"/>
  <c r="CL406" i="25" s="1"/>
  <c r="CP406" i="25" s="1"/>
  <c r="CQ406" i="25" s="1"/>
  <c r="CT406" i="25" s="1"/>
  <c r="CI595" i="25"/>
  <c r="CK595" i="25" s="1"/>
  <c r="CL595" i="25" s="1"/>
  <c r="CJ595" i="25"/>
  <c r="CI587" i="25"/>
  <c r="CK587" i="25" s="1"/>
  <c r="CL587" i="25" s="1"/>
  <c r="CJ587" i="25"/>
  <c r="CI571" i="25"/>
  <c r="CK571" i="25" s="1"/>
  <c r="CJ571" i="25"/>
  <c r="CJ563" i="25"/>
  <c r="CI563" i="25"/>
  <c r="CK563" i="25" s="1"/>
  <c r="CI555" i="25"/>
  <c r="CK555" i="25" s="1"/>
  <c r="CL555" i="25" s="1"/>
  <c r="CJ547" i="25"/>
  <c r="CI539" i="25"/>
  <c r="CK539" i="25" s="1"/>
  <c r="CL539" i="25" s="1"/>
  <c r="CJ539" i="25"/>
  <c r="CI531" i="25"/>
  <c r="CK531" i="25" s="1"/>
  <c r="CL531" i="25" s="1"/>
  <c r="CJ531" i="25"/>
  <c r="CI523" i="25"/>
  <c r="CK523" i="25" s="1"/>
  <c r="CJ523" i="25"/>
  <c r="CI515" i="25"/>
  <c r="CK515" i="25" s="1"/>
  <c r="CJ515" i="25"/>
  <c r="CI507" i="25"/>
  <c r="CK507" i="25" s="1"/>
  <c r="CI499" i="25"/>
  <c r="CK499" i="25" s="1"/>
  <c r="CJ499" i="25"/>
  <c r="CI491" i="25"/>
  <c r="CK491" i="25" s="1"/>
  <c r="CJ491" i="25"/>
  <c r="CI483" i="25"/>
  <c r="CK483" i="25" s="1"/>
  <c r="CL483" i="25" s="1"/>
  <c r="CI475" i="25"/>
  <c r="CK475" i="25" s="1"/>
  <c r="CJ475" i="25"/>
  <c r="CI467" i="25"/>
  <c r="CK467" i="25" s="1"/>
  <c r="CL467" i="25" s="1"/>
  <c r="CJ467" i="25"/>
  <c r="CI464" i="25"/>
  <c r="CK464" i="25" s="1"/>
  <c r="CL464" i="25" s="1"/>
  <c r="CJ464" i="25"/>
  <c r="CI451" i="25"/>
  <c r="CK451" i="25" s="1"/>
  <c r="CI443" i="25"/>
  <c r="CK443" i="25" s="1"/>
  <c r="CJ443" i="25"/>
  <c r="CI435" i="25"/>
  <c r="CK435" i="25" s="1"/>
  <c r="CI427" i="25"/>
  <c r="CK427" i="25" s="1"/>
  <c r="CL427" i="25" s="1"/>
  <c r="CJ427" i="25"/>
  <c r="CI419" i="25"/>
  <c r="CK419" i="25" s="1"/>
  <c r="CL419" i="25" s="1"/>
  <c r="CJ419" i="25"/>
  <c r="CI411" i="25"/>
  <c r="CK411" i="25" s="1"/>
  <c r="CI584" i="25"/>
  <c r="CK584" i="25" s="1"/>
  <c r="CJ560" i="25"/>
  <c r="CJ488" i="25"/>
  <c r="CJ472" i="25"/>
  <c r="CJ589" i="25"/>
  <c r="CI557" i="25"/>
  <c r="CK557" i="25" s="1"/>
  <c r="CJ541" i="25"/>
  <c r="CI517" i="25"/>
  <c r="CK517" i="25" s="1"/>
  <c r="CJ517" i="25"/>
  <c r="CI477" i="25"/>
  <c r="CK477" i="25" s="1"/>
  <c r="CI445" i="25"/>
  <c r="CK445" i="25" s="1"/>
  <c r="CJ445" i="25"/>
  <c r="CI413" i="25"/>
  <c r="CK413" i="25" s="1"/>
  <c r="CI471" i="25"/>
  <c r="CK471" i="25" s="1"/>
  <c r="CI514" i="25"/>
  <c r="CK514" i="25" s="1"/>
  <c r="CI450" i="25"/>
  <c r="CK450" i="25" s="1"/>
  <c r="CI426" i="25"/>
  <c r="CK426" i="25" s="1"/>
  <c r="CJ581" i="25"/>
  <c r="CJ435" i="25"/>
  <c r="DJ458" i="25"/>
  <c r="DK458" i="25" s="1"/>
  <c r="DL458" i="25" s="1"/>
  <c r="DM458" i="25" s="1"/>
  <c r="DJ442" i="25"/>
  <c r="DK442" i="25" s="1"/>
  <c r="DL442" i="25" s="1"/>
  <c r="DM442" i="25" s="1"/>
  <c r="CJ579" i="25"/>
  <c r="CJ483" i="25"/>
  <c r="CJ432" i="25"/>
  <c r="CJ526" i="25"/>
  <c r="CJ430" i="25"/>
  <c r="CB451" i="25"/>
  <c r="CB435" i="25"/>
  <c r="CB474" i="25"/>
  <c r="CB418" i="25"/>
  <c r="CB410" i="25"/>
  <c r="CI442" i="25"/>
  <c r="CK442" i="25" s="1"/>
  <c r="CI418" i="25"/>
  <c r="CK418" i="25" s="1"/>
  <c r="DJ572" i="25"/>
  <c r="DK572" i="25" s="1"/>
  <c r="DL572" i="25" s="1"/>
  <c r="DM572" i="25" s="1"/>
  <c r="DJ554" i="25"/>
  <c r="DK554" i="25" s="1"/>
  <c r="DL554" i="25" s="1"/>
  <c r="DM554" i="25" s="1"/>
  <c r="DJ556" i="25"/>
  <c r="DK556" i="25" s="1"/>
  <c r="DL556" i="25" s="1"/>
  <c r="DM556" i="25" s="1"/>
  <c r="DJ469" i="25"/>
  <c r="DK469" i="25" s="1"/>
  <c r="DL469" i="25" s="1"/>
  <c r="DM469" i="25" s="1"/>
  <c r="DJ540" i="25"/>
  <c r="DK540" i="25" s="1"/>
  <c r="DL540" i="25" s="1"/>
  <c r="DM540" i="25" s="1"/>
  <c r="DJ532" i="25"/>
  <c r="DK532" i="25" s="1"/>
  <c r="DL532" i="25" s="1"/>
  <c r="DM532" i="25" s="1"/>
  <c r="DJ524" i="25"/>
  <c r="DK524" i="25" s="1"/>
  <c r="DL524" i="25" s="1"/>
  <c r="DM524" i="25" s="1"/>
  <c r="DJ516" i="25"/>
  <c r="DK516" i="25" s="1"/>
  <c r="DL516" i="25" s="1"/>
  <c r="DM516" i="25" s="1"/>
  <c r="DJ508" i="25"/>
  <c r="DK508" i="25" s="1"/>
  <c r="DL508" i="25" s="1"/>
  <c r="DM508" i="25" s="1"/>
  <c r="DJ500" i="25"/>
  <c r="DK500" i="25" s="1"/>
  <c r="DL500" i="25" s="1"/>
  <c r="DM500" i="25" s="1"/>
  <c r="DJ492" i="25"/>
  <c r="DK492" i="25" s="1"/>
  <c r="DL492" i="25" s="1"/>
  <c r="DM492" i="25" s="1"/>
  <c r="DJ484" i="25"/>
  <c r="DK484" i="25" s="1"/>
  <c r="DL484" i="25" s="1"/>
  <c r="DM484" i="25" s="1"/>
  <c r="DJ476" i="25"/>
  <c r="DK476" i="25" s="1"/>
  <c r="DL476" i="25" s="1"/>
  <c r="DM476" i="25" s="1"/>
  <c r="DJ468" i="25"/>
  <c r="DK468" i="25" s="1"/>
  <c r="DL468" i="25" s="1"/>
  <c r="DM468" i="25" s="1"/>
  <c r="DJ460" i="25"/>
  <c r="DK460" i="25" s="1"/>
  <c r="DL460" i="25" s="1"/>
  <c r="DM460" i="25" s="1"/>
  <c r="DJ452" i="25"/>
  <c r="DK452" i="25" s="1"/>
  <c r="DL452" i="25" s="1"/>
  <c r="DM452" i="25" s="1"/>
  <c r="DJ444" i="25"/>
  <c r="DK444" i="25" s="1"/>
  <c r="DL444" i="25" s="1"/>
  <c r="DM444" i="25" s="1"/>
  <c r="DJ436" i="25"/>
  <c r="DK436" i="25" s="1"/>
  <c r="DL436" i="25" s="1"/>
  <c r="DM436" i="25" s="1"/>
  <c r="DJ428" i="25"/>
  <c r="DK428" i="25" s="1"/>
  <c r="DL428" i="25" s="1"/>
  <c r="DM428" i="25" s="1"/>
  <c r="DJ420" i="25"/>
  <c r="DK420" i="25" s="1"/>
  <c r="DL420" i="25" s="1"/>
  <c r="DM420" i="25" s="1"/>
  <c r="DJ412" i="25"/>
  <c r="DK412" i="25" s="1"/>
  <c r="DL412" i="25" s="1"/>
  <c r="DM412" i="25" s="1"/>
  <c r="DJ404" i="25"/>
  <c r="DK404" i="25" s="1"/>
  <c r="DL404" i="25" s="1"/>
  <c r="DM404" i="25" s="1"/>
  <c r="CJ448" i="25"/>
  <c r="CB582" i="25"/>
  <c r="CB542" i="25"/>
  <c r="CB518" i="25"/>
  <c r="CB478" i="25"/>
  <c r="CB454" i="25"/>
  <c r="CB414" i="25"/>
  <c r="CA424" i="25"/>
  <c r="CB424" i="25" s="1"/>
  <c r="CJ592" i="25"/>
  <c r="CJ424" i="25"/>
  <c r="CJ416" i="25"/>
  <c r="CJ471" i="25"/>
  <c r="CJ522" i="25"/>
  <c r="CJ514" i="25"/>
  <c r="CJ498" i="25"/>
  <c r="CJ458" i="25"/>
  <c r="CJ450" i="25"/>
  <c r="CJ442" i="25"/>
  <c r="CJ434" i="25"/>
  <c r="CJ426" i="25"/>
  <c r="CJ418" i="25"/>
  <c r="CJ410" i="25"/>
  <c r="CJ510" i="25"/>
  <c r="CJ494" i="25"/>
  <c r="CB556" i="25"/>
  <c r="CB492" i="25"/>
  <c r="CB428" i="25"/>
  <c r="CJ600" i="25"/>
  <c r="CI600" i="25"/>
  <c r="CJ584" i="25"/>
  <c r="CI576" i="25"/>
  <c r="CK576" i="25" s="1"/>
  <c r="CJ568" i="25"/>
  <c r="CI552" i="25"/>
  <c r="CK552" i="25" s="1"/>
  <c r="CJ528" i="25"/>
  <c r="CI520" i="25"/>
  <c r="CK520" i="25" s="1"/>
  <c r="CJ512" i="25"/>
  <c r="CI496" i="25"/>
  <c r="CI472" i="25"/>
  <c r="CK472" i="25" s="1"/>
  <c r="CJ456" i="25"/>
  <c r="CI440" i="25"/>
  <c r="CK440" i="25" s="1"/>
  <c r="CJ440" i="25"/>
  <c r="CI597" i="25"/>
  <c r="CK597" i="25" s="1"/>
  <c r="CI573" i="25"/>
  <c r="CK573" i="25" s="1"/>
  <c r="CJ565" i="25"/>
  <c r="CI549" i="25"/>
  <c r="CJ549" i="25"/>
  <c r="CI525" i="25"/>
  <c r="CK525" i="25" s="1"/>
  <c r="CI493" i="25"/>
  <c r="CK493" i="25" s="1"/>
  <c r="CJ493" i="25"/>
  <c r="CJ477" i="25"/>
  <c r="CI461" i="25"/>
  <c r="CJ437" i="25"/>
  <c r="CI421" i="25"/>
  <c r="CJ421" i="25"/>
  <c r="CB595" i="25"/>
  <c r="CB555" i="25"/>
  <c r="CB531" i="25"/>
  <c r="CB491" i="25"/>
  <c r="CB467" i="25"/>
  <c r="CB427" i="25"/>
  <c r="DJ595" i="25"/>
  <c r="DK595" i="25" s="1"/>
  <c r="DL595" i="25" s="1"/>
  <c r="DM595" i="25" s="1"/>
  <c r="DJ587" i="25"/>
  <c r="DK587" i="25" s="1"/>
  <c r="DL587" i="25" s="1"/>
  <c r="DM587" i="25" s="1"/>
  <c r="DJ579" i="25"/>
  <c r="DK579" i="25" s="1"/>
  <c r="DL579" i="25" s="1"/>
  <c r="DM579" i="25" s="1"/>
  <c r="DJ571" i="25"/>
  <c r="DK571" i="25" s="1"/>
  <c r="DL571" i="25" s="1"/>
  <c r="DM571" i="25" s="1"/>
  <c r="DJ563" i="25"/>
  <c r="DK563" i="25" s="1"/>
  <c r="DL563" i="25" s="1"/>
  <c r="DM563" i="25" s="1"/>
  <c r="DJ555" i="25"/>
  <c r="DK555" i="25" s="1"/>
  <c r="DL555" i="25" s="1"/>
  <c r="DM555" i="25" s="1"/>
  <c r="DJ547" i="25"/>
  <c r="DK547" i="25" s="1"/>
  <c r="DL547" i="25" s="1"/>
  <c r="DM547" i="25" s="1"/>
  <c r="DJ539" i="25"/>
  <c r="DK539" i="25" s="1"/>
  <c r="DL539" i="25" s="1"/>
  <c r="DM539" i="25" s="1"/>
  <c r="DJ531" i="25"/>
  <c r="DK531" i="25" s="1"/>
  <c r="DL531" i="25" s="1"/>
  <c r="DM531" i="25" s="1"/>
  <c r="DJ523" i="25"/>
  <c r="DK523" i="25" s="1"/>
  <c r="DL523" i="25" s="1"/>
  <c r="DM523" i="25" s="1"/>
  <c r="DJ515" i="25"/>
  <c r="DK515" i="25" s="1"/>
  <c r="DL515" i="25" s="1"/>
  <c r="DM515" i="25" s="1"/>
  <c r="DJ507" i="25"/>
  <c r="DK507" i="25" s="1"/>
  <c r="DL507" i="25" s="1"/>
  <c r="DM507" i="25" s="1"/>
  <c r="DJ499" i="25"/>
  <c r="DK499" i="25" s="1"/>
  <c r="DL499" i="25" s="1"/>
  <c r="DM499" i="25" s="1"/>
  <c r="DJ491" i="25"/>
  <c r="DK491" i="25" s="1"/>
  <c r="DL491" i="25" s="1"/>
  <c r="DM491" i="25" s="1"/>
  <c r="DJ483" i="25"/>
  <c r="DK483" i="25" s="1"/>
  <c r="DL483" i="25" s="1"/>
  <c r="DM483" i="25" s="1"/>
  <c r="DJ475" i="25"/>
  <c r="DK475" i="25" s="1"/>
  <c r="DL475" i="25" s="1"/>
  <c r="DM475" i="25" s="1"/>
  <c r="DJ467" i="25"/>
  <c r="DK467" i="25" s="1"/>
  <c r="DL467" i="25" s="1"/>
  <c r="DM467" i="25" s="1"/>
  <c r="DJ464" i="25"/>
  <c r="DK464" i="25" s="1"/>
  <c r="DL464" i="25" s="1"/>
  <c r="DM464" i="25" s="1"/>
  <c r="DJ451" i="25"/>
  <c r="DK451" i="25" s="1"/>
  <c r="DL451" i="25" s="1"/>
  <c r="DM451" i="25" s="1"/>
  <c r="DJ443" i="25"/>
  <c r="DK443" i="25" s="1"/>
  <c r="DL443" i="25" s="1"/>
  <c r="DM443" i="25" s="1"/>
  <c r="DJ435" i="25"/>
  <c r="DK435" i="25" s="1"/>
  <c r="DL435" i="25" s="1"/>
  <c r="DM435" i="25" s="1"/>
  <c r="DJ427" i="25"/>
  <c r="DK427" i="25" s="1"/>
  <c r="DL427" i="25" s="1"/>
  <c r="DM427" i="25" s="1"/>
  <c r="DJ419" i="25"/>
  <c r="DK419" i="25" s="1"/>
  <c r="DL419" i="25" s="1"/>
  <c r="DM419" i="25" s="1"/>
  <c r="DJ411" i="25"/>
  <c r="DK411" i="25" s="1"/>
  <c r="DL411" i="25" s="1"/>
  <c r="DM411" i="25" s="1"/>
  <c r="DC562" i="25"/>
  <c r="DD562" i="25" s="1"/>
  <c r="CZ562" i="25"/>
  <c r="DB562" i="25" s="1"/>
  <c r="DX562" i="25" s="1"/>
  <c r="CX562" i="25"/>
  <c r="CW562" i="25" s="1"/>
  <c r="DE562" i="25" s="1"/>
  <c r="CY562" i="25"/>
  <c r="DC506" i="25"/>
  <c r="DD506" i="25" s="1"/>
  <c r="CZ506" i="25"/>
  <c r="DB506" i="25" s="1"/>
  <c r="DX506" i="25" s="1"/>
  <c r="CY506" i="25"/>
  <c r="CX506" i="25"/>
  <c r="CW506" i="25" s="1"/>
  <c r="DE506" i="25" s="1"/>
  <c r="CX466" i="25"/>
  <c r="CW466" i="25" s="1"/>
  <c r="DE466" i="25" s="1"/>
  <c r="DC466" i="25"/>
  <c r="DD466" i="25" s="1"/>
  <c r="CZ466" i="25"/>
  <c r="DB466" i="25" s="1"/>
  <c r="DX466" i="25" s="1"/>
  <c r="CY466" i="25"/>
  <c r="CX418" i="25"/>
  <c r="CW418" i="25" s="1"/>
  <c r="DE418" i="25" s="1"/>
  <c r="DC418" i="25"/>
  <c r="DD418" i="25" s="1"/>
  <c r="CZ418" i="25"/>
  <c r="DB418" i="25" s="1"/>
  <c r="DX418" i="25" s="1"/>
  <c r="CY418" i="25"/>
  <c r="DC595" i="25"/>
  <c r="DD595" i="25" s="1"/>
  <c r="CZ595" i="25"/>
  <c r="DB595" i="25" s="1"/>
  <c r="DX595" i="25" s="1"/>
  <c r="CX595" i="25"/>
  <c r="CW595" i="25" s="1"/>
  <c r="DE595" i="25" s="1"/>
  <c r="CY595" i="25"/>
  <c r="DC587" i="25"/>
  <c r="DD587" i="25" s="1"/>
  <c r="CZ587" i="25"/>
  <c r="DB587" i="25" s="1"/>
  <c r="DX587" i="25" s="1"/>
  <c r="CY587" i="25"/>
  <c r="CX587" i="25"/>
  <c r="CW587" i="25" s="1"/>
  <c r="DE587" i="25" s="1"/>
  <c r="CX579" i="25"/>
  <c r="CW579" i="25" s="1"/>
  <c r="DE579" i="25" s="1"/>
  <c r="DC579" i="25"/>
  <c r="DD579" i="25" s="1"/>
  <c r="CZ579" i="25"/>
  <c r="DB579" i="25" s="1"/>
  <c r="DX579" i="25" s="1"/>
  <c r="CY579" i="25"/>
  <c r="DC571" i="25"/>
  <c r="DD571" i="25" s="1"/>
  <c r="CX571" i="25"/>
  <c r="CW571" i="25" s="1"/>
  <c r="DE571" i="25" s="1"/>
  <c r="CZ571" i="25"/>
  <c r="DB571" i="25" s="1"/>
  <c r="DX571" i="25" s="1"/>
  <c r="CY571" i="25"/>
  <c r="DC563" i="25"/>
  <c r="DD563" i="25" s="1"/>
  <c r="CZ563" i="25"/>
  <c r="DB563" i="25" s="1"/>
  <c r="DX563" i="25" s="1"/>
  <c r="CX563" i="25"/>
  <c r="CW563" i="25" s="1"/>
  <c r="DE563" i="25" s="1"/>
  <c r="CY563" i="25"/>
  <c r="DC555" i="25"/>
  <c r="DD555" i="25" s="1"/>
  <c r="CZ555" i="25"/>
  <c r="DB555" i="25" s="1"/>
  <c r="DX555" i="25" s="1"/>
  <c r="CY555" i="25"/>
  <c r="CX555" i="25"/>
  <c r="CW555" i="25" s="1"/>
  <c r="DE555" i="25" s="1"/>
  <c r="DC547" i="25"/>
  <c r="DD547" i="25" s="1"/>
  <c r="CX547" i="25"/>
  <c r="CW547" i="25" s="1"/>
  <c r="DE547" i="25" s="1"/>
  <c r="CZ547" i="25"/>
  <c r="DB547" i="25" s="1"/>
  <c r="DX547" i="25" s="1"/>
  <c r="CY547" i="25"/>
  <c r="DC539" i="25"/>
  <c r="DD539" i="25" s="1"/>
  <c r="CZ539" i="25"/>
  <c r="DB539" i="25" s="1"/>
  <c r="DX539" i="25" s="1"/>
  <c r="CX539" i="25"/>
  <c r="CW539" i="25" s="1"/>
  <c r="DE539" i="25" s="1"/>
  <c r="CY539" i="25"/>
  <c r="CX531" i="25"/>
  <c r="CW531" i="25" s="1"/>
  <c r="DE531" i="25" s="1"/>
  <c r="DC531" i="25"/>
  <c r="DD531" i="25" s="1"/>
  <c r="CZ531" i="25"/>
  <c r="DB531" i="25" s="1"/>
  <c r="DX531" i="25" s="1"/>
  <c r="CY531" i="25"/>
  <c r="DC523" i="25"/>
  <c r="DD523" i="25" s="1"/>
  <c r="CZ523" i="25"/>
  <c r="DB523" i="25" s="1"/>
  <c r="DX523" i="25" s="1"/>
  <c r="CX523" i="25"/>
  <c r="CW523" i="25" s="1"/>
  <c r="DE523" i="25" s="1"/>
  <c r="CY523" i="25"/>
  <c r="CX515" i="25"/>
  <c r="CW515" i="25" s="1"/>
  <c r="DE515" i="25" s="1"/>
  <c r="DC515" i="25"/>
  <c r="DD515" i="25" s="1"/>
  <c r="CZ515" i="25"/>
  <c r="DB515" i="25" s="1"/>
  <c r="DX515" i="25" s="1"/>
  <c r="CY515" i="25"/>
  <c r="CX507" i="25"/>
  <c r="CW507" i="25" s="1"/>
  <c r="DE507" i="25" s="1"/>
  <c r="DC507" i="25"/>
  <c r="DD507" i="25" s="1"/>
  <c r="CZ507" i="25"/>
  <c r="DB507" i="25" s="1"/>
  <c r="DX507" i="25" s="1"/>
  <c r="CY507" i="25"/>
  <c r="CX499" i="25"/>
  <c r="CW499" i="25" s="1"/>
  <c r="DE499" i="25" s="1"/>
  <c r="DC499" i="25"/>
  <c r="DD499" i="25" s="1"/>
  <c r="CZ499" i="25"/>
  <c r="DB499" i="25" s="1"/>
  <c r="DX499" i="25" s="1"/>
  <c r="CY499" i="25"/>
  <c r="CX491" i="25"/>
  <c r="CW491" i="25" s="1"/>
  <c r="DE491" i="25" s="1"/>
  <c r="DC491" i="25"/>
  <c r="DD491" i="25" s="1"/>
  <c r="CZ491" i="25"/>
  <c r="DB491" i="25" s="1"/>
  <c r="DX491" i="25" s="1"/>
  <c r="CY491" i="25"/>
  <c r="CX483" i="25"/>
  <c r="CW483" i="25" s="1"/>
  <c r="DE483" i="25" s="1"/>
  <c r="DC483" i="25"/>
  <c r="DD483" i="25" s="1"/>
  <c r="CZ483" i="25"/>
  <c r="DB483" i="25" s="1"/>
  <c r="DX483" i="25" s="1"/>
  <c r="CY483" i="25"/>
  <c r="CX475" i="25"/>
  <c r="CW475" i="25" s="1"/>
  <c r="DE475" i="25" s="1"/>
  <c r="CY475" i="25"/>
  <c r="DC475" i="25"/>
  <c r="DD475" i="25" s="1"/>
  <c r="CZ475" i="25"/>
  <c r="DB475" i="25" s="1"/>
  <c r="DX475" i="25" s="1"/>
  <c r="CX467" i="25"/>
  <c r="CW467" i="25" s="1"/>
  <c r="DE467" i="25" s="1"/>
  <c r="CY467" i="25"/>
  <c r="DC467" i="25"/>
  <c r="DD467" i="25" s="1"/>
  <c r="CZ467" i="25"/>
  <c r="DB467" i="25" s="1"/>
  <c r="DX467" i="25" s="1"/>
  <c r="CX464" i="25"/>
  <c r="CW464" i="25" s="1"/>
  <c r="DE464" i="25" s="1"/>
  <c r="CY464" i="25"/>
  <c r="DC464" i="25"/>
  <c r="DD464" i="25" s="1"/>
  <c r="CZ464" i="25"/>
  <c r="DB464" i="25" s="1"/>
  <c r="DX464" i="25" s="1"/>
  <c r="CX451" i="25"/>
  <c r="CW451" i="25" s="1"/>
  <c r="DE451" i="25" s="1"/>
  <c r="CY451" i="25"/>
  <c r="DC451" i="25"/>
  <c r="DD451" i="25" s="1"/>
  <c r="CZ451" i="25"/>
  <c r="DB451" i="25" s="1"/>
  <c r="DX451" i="25" s="1"/>
  <c r="CX443" i="25"/>
  <c r="CW443" i="25" s="1"/>
  <c r="DE443" i="25" s="1"/>
  <c r="CY443" i="25"/>
  <c r="DC443" i="25"/>
  <c r="DD443" i="25" s="1"/>
  <c r="CZ443" i="25"/>
  <c r="DB443" i="25" s="1"/>
  <c r="DX443" i="25" s="1"/>
  <c r="CX435" i="25"/>
  <c r="CW435" i="25" s="1"/>
  <c r="DE435" i="25" s="1"/>
  <c r="CY435" i="25"/>
  <c r="DC435" i="25"/>
  <c r="DD435" i="25" s="1"/>
  <c r="CZ435" i="25"/>
  <c r="DB435" i="25" s="1"/>
  <c r="DX435" i="25" s="1"/>
  <c r="CX427" i="25"/>
  <c r="CW427" i="25" s="1"/>
  <c r="DE427" i="25" s="1"/>
  <c r="CY427" i="25"/>
  <c r="DC427" i="25"/>
  <c r="DD427" i="25" s="1"/>
  <c r="CZ427" i="25"/>
  <c r="DB427" i="25" s="1"/>
  <c r="DX427" i="25" s="1"/>
  <c r="CX419" i="25"/>
  <c r="CW419" i="25" s="1"/>
  <c r="DE419" i="25" s="1"/>
  <c r="CY419" i="25"/>
  <c r="DC419" i="25"/>
  <c r="DD419" i="25" s="1"/>
  <c r="CZ419" i="25"/>
  <c r="DB419" i="25" s="1"/>
  <c r="DX419" i="25" s="1"/>
  <c r="CX411" i="25"/>
  <c r="CW411" i="25" s="1"/>
  <c r="DE411" i="25" s="1"/>
  <c r="CY411" i="25"/>
  <c r="DC411" i="25"/>
  <c r="DD411" i="25" s="1"/>
  <c r="CZ411" i="25"/>
  <c r="DB411" i="25" s="1"/>
  <c r="DX411" i="25" s="1"/>
  <c r="DC586" i="25"/>
  <c r="DD586" i="25" s="1"/>
  <c r="CZ586" i="25"/>
  <c r="DB586" i="25" s="1"/>
  <c r="DX586" i="25" s="1"/>
  <c r="CY586" i="25"/>
  <c r="CX586" i="25"/>
  <c r="CW586" i="25" s="1"/>
  <c r="DE586" i="25" s="1"/>
  <c r="DC538" i="25"/>
  <c r="DD538" i="25" s="1"/>
  <c r="CZ538" i="25"/>
  <c r="DB538" i="25" s="1"/>
  <c r="DX538" i="25" s="1"/>
  <c r="CX538" i="25"/>
  <c r="CW538" i="25" s="1"/>
  <c r="DE538" i="25" s="1"/>
  <c r="CY538" i="25"/>
  <c r="DC490" i="25"/>
  <c r="DD490" i="25" s="1"/>
  <c r="CZ490" i="25"/>
  <c r="DB490" i="25" s="1"/>
  <c r="DX490" i="25" s="1"/>
  <c r="CY490" i="25"/>
  <c r="CX490" i="25"/>
  <c r="CW490" i="25" s="1"/>
  <c r="DE490" i="25" s="1"/>
  <c r="CX434" i="25"/>
  <c r="CW434" i="25" s="1"/>
  <c r="DE434" i="25" s="1"/>
  <c r="DC434" i="25"/>
  <c r="DD434" i="25" s="1"/>
  <c r="CZ434" i="25"/>
  <c r="DB434" i="25" s="1"/>
  <c r="DX434" i="25" s="1"/>
  <c r="CY434" i="25"/>
  <c r="CZ593" i="25"/>
  <c r="DB593" i="25" s="1"/>
  <c r="DX593" i="25" s="1"/>
  <c r="CX593" i="25"/>
  <c r="CW593" i="25" s="1"/>
  <c r="DE593" i="25" s="1"/>
  <c r="CY593" i="25"/>
  <c r="DC593" i="25"/>
  <c r="DD593" i="25" s="1"/>
  <c r="CZ585" i="25"/>
  <c r="DB585" i="25" s="1"/>
  <c r="DX585" i="25" s="1"/>
  <c r="CY585" i="25"/>
  <c r="CX585" i="25"/>
  <c r="CW585" i="25" s="1"/>
  <c r="DE585" i="25" s="1"/>
  <c r="DC585" i="25"/>
  <c r="DD585" i="25" s="1"/>
  <c r="CZ577" i="25"/>
  <c r="DB577" i="25" s="1"/>
  <c r="DX577" i="25" s="1"/>
  <c r="CY577" i="25"/>
  <c r="DC577" i="25"/>
  <c r="DD577" i="25" s="1"/>
  <c r="CX577" i="25"/>
  <c r="CW577" i="25" s="1"/>
  <c r="DE577" i="25" s="1"/>
  <c r="CX569" i="25"/>
  <c r="CW569" i="25" s="1"/>
  <c r="DE569" i="25" s="1"/>
  <c r="CZ569" i="25"/>
  <c r="DB569" i="25" s="1"/>
  <c r="DX569" i="25" s="1"/>
  <c r="CY569" i="25"/>
  <c r="DC569" i="25"/>
  <c r="DD569" i="25" s="1"/>
  <c r="CZ561" i="25"/>
  <c r="DB561" i="25" s="1"/>
  <c r="DX561" i="25" s="1"/>
  <c r="CX561" i="25"/>
  <c r="CW561" i="25" s="1"/>
  <c r="DE561" i="25" s="1"/>
  <c r="CY561" i="25"/>
  <c r="DC561" i="25"/>
  <c r="DD561" i="25" s="1"/>
  <c r="CZ553" i="25"/>
  <c r="DB553" i="25" s="1"/>
  <c r="DX553" i="25" s="1"/>
  <c r="CY553" i="25"/>
  <c r="CX553" i="25"/>
  <c r="CW553" i="25" s="1"/>
  <c r="DE553" i="25" s="1"/>
  <c r="DC553" i="25"/>
  <c r="DD553" i="25" s="1"/>
  <c r="CX545" i="25"/>
  <c r="CW545" i="25" s="1"/>
  <c r="DE545" i="25" s="1"/>
  <c r="CZ545" i="25"/>
  <c r="DB545" i="25" s="1"/>
  <c r="DX545" i="25" s="1"/>
  <c r="CY545" i="25"/>
  <c r="DC545" i="25"/>
  <c r="DD545" i="25" s="1"/>
  <c r="CZ537" i="25"/>
  <c r="DB537" i="25" s="1"/>
  <c r="DX537" i="25" s="1"/>
  <c r="CX537" i="25"/>
  <c r="CW537" i="25" s="1"/>
  <c r="DE537" i="25" s="1"/>
  <c r="CY537" i="25"/>
  <c r="DC537" i="25"/>
  <c r="DD537" i="25" s="1"/>
  <c r="CX529" i="25"/>
  <c r="CW529" i="25" s="1"/>
  <c r="DE529" i="25" s="1"/>
  <c r="CZ529" i="25"/>
  <c r="DB529" i="25" s="1"/>
  <c r="DX529" i="25" s="1"/>
  <c r="CY529" i="25"/>
  <c r="DC529" i="25"/>
  <c r="DD529" i="25" s="1"/>
  <c r="CX521" i="25"/>
  <c r="CW521" i="25" s="1"/>
  <c r="DE521" i="25" s="1"/>
  <c r="CZ521" i="25"/>
  <c r="DB521" i="25" s="1"/>
  <c r="DX521" i="25" s="1"/>
  <c r="CY521" i="25"/>
  <c r="DC521" i="25"/>
  <c r="DD521" i="25" s="1"/>
  <c r="CX513" i="25"/>
  <c r="CW513" i="25" s="1"/>
  <c r="DE513" i="25" s="1"/>
  <c r="CZ513" i="25"/>
  <c r="DB513" i="25" s="1"/>
  <c r="DX513" i="25" s="1"/>
  <c r="CY513" i="25"/>
  <c r="DC513" i="25"/>
  <c r="DD513" i="25" s="1"/>
  <c r="CX505" i="25"/>
  <c r="CW505" i="25" s="1"/>
  <c r="DE505" i="25" s="1"/>
  <c r="CZ505" i="25"/>
  <c r="DB505" i="25" s="1"/>
  <c r="DX505" i="25" s="1"/>
  <c r="CY505" i="25"/>
  <c r="DC505" i="25"/>
  <c r="DD505" i="25" s="1"/>
  <c r="CX497" i="25"/>
  <c r="CW497" i="25" s="1"/>
  <c r="DE497" i="25" s="1"/>
  <c r="CZ497" i="25"/>
  <c r="DB497" i="25" s="1"/>
  <c r="DX497" i="25" s="1"/>
  <c r="CY497" i="25"/>
  <c r="DC497" i="25"/>
  <c r="DD497" i="25" s="1"/>
  <c r="CX489" i="25"/>
  <c r="CW489" i="25" s="1"/>
  <c r="DE489" i="25" s="1"/>
  <c r="CZ489" i="25"/>
  <c r="DB489" i="25" s="1"/>
  <c r="DX489" i="25" s="1"/>
  <c r="CY489" i="25"/>
  <c r="DC489" i="25"/>
  <c r="DD489" i="25" s="1"/>
  <c r="CX481" i="25"/>
  <c r="CW481" i="25" s="1"/>
  <c r="DE481" i="25" s="1"/>
  <c r="CZ481" i="25"/>
  <c r="DB481" i="25" s="1"/>
  <c r="DX481" i="25" s="1"/>
  <c r="CY481" i="25"/>
  <c r="DC481" i="25"/>
  <c r="DD481" i="25" s="1"/>
  <c r="CX459" i="25"/>
  <c r="CW459" i="25" s="1"/>
  <c r="DE459" i="25" s="1"/>
  <c r="CZ459" i="25"/>
  <c r="DB459" i="25" s="1"/>
  <c r="DX459" i="25" s="1"/>
  <c r="CY459" i="25"/>
  <c r="DC459" i="25"/>
  <c r="DD459" i="25" s="1"/>
  <c r="CX465" i="25"/>
  <c r="CW465" i="25" s="1"/>
  <c r="DE465" i="25" s="1"/>
  <c r="CZ465" i="25"/>
  <c r="DB465" i="25" s="1"/>
  <c r="DX465" i="25" s="1"/>
  <c r="DC465" i="25"/>
  <c r="DD465" i="25" s="1"/>
  <c r="CY465" i="25"/>
  <c r="CX457" i="25"/>
  <c r="CW457" i="25" s="1"/>
  <c r="DE457" i="25" s="1"/>
  <c r="CY457" i="25"/>
  <c r="CZ457" i="25"/>
  <c r="DB457" i="25" s="1"/>
  <c r="DX457" i="25" s="1"/>
  <c r="DC457" i="25"/>
  <c r="DD457" i="25" s="1"/>
  <c r="CX449" i="25"/>
  <c r="CW449" i="25" s="1"/>
  <c r="DE449" i="25" s="1"/>
  <c r="CZ449" i="25"/>
  <c r="DB449" i="25" s="1"/>
  <c r="DX449" i="25" s="1"/>
  <c r="CY449" i="25"/>
  <c r="DC449" i="25"/>
  <c r="DD449" i="25" s="1"/>
  <c r="CX441" i="25"/>
  <c r="CW441" i="25" s="1"/>
  <c r="DE441" i="25" s="1"/>
  <c r="CZ441" i="25"/>
  <c r="DB441" i="25" s="1"/>
  <c r="DX441" i="25" s="1"/>
  <c r="CY441" i="25"/>
  <c r="DC441" i="25"/>
  <c r="DD441" i="25" s="1"/>
  <c r="CX433" i="25"/>
  <c r="CW433" i="25" s="1"/>
  <c r="DE433" i="25" s="1"/>
  <c r="CZ433" i="25"/>
  <c r="DB433" i="25" s="1"/>
  <c r="DX433" i="25" s="1"/>
  <c r="DC433" i="25"/>
  <c r="DD433" i="25" s="1"/>
  <c r="CY433" i="25"/>
  <c r="CX425" i="25"/>
  <c r="CW425" i="25" s="1"/>
  <c r="DE425" i="25" s="1"/>
  <c r="CY425" i="25"/>
  <c r="CZ425" i="25"/>
  <c r="DB425" i="25" s="1"/>
  <c r="DX425" i="25" s="1"/>
  <c r="DC425" i="25"/>
  <c r="DD425" i="25" s="1"/>
  <c r="CX417" i="25"/>
  <c r="CW417" i="25" s="1"/>
  <c r="DE417" i="25" s="1"/>
  <c r="CZ417" i="25"/>
  <c r="DB417" i="25" s="1"/>
  <c r="DX417" i="25" s="1"/>
  <c r="CY417" i="25"/>
  <c r="DC417" i="25"/>
  <c r="DD417" i="25" s="1"/>
  <c r="CX409" i="25"/>
  <c r="CW409" i="25" s="1"/>
  <c r="DE409" i="25" s="1"/>
  <c r="CZ409" i="25"/>
  <c r="DB409" i="25" s="1"/>
  <c r="DX409" i="25" s="1"/>
  <c r="CY409" i="25"/>
  <c r="DC409" i="25"/>
  <c r="DD409" i="25" s="1"/>
  <c r="DT596" i="25"/>
  <c r="DT588" i="25"/>
  <c r="DT580" i="25"/>
  <c r="DT572" i="25"/>
  <c r="DT554" i="25"/>
  <c r="DT556" i="25"/>
  <c r="DT469" i="25"/>
  <c r="DT540" i="25"/>
  <c r="DT532" i="25"/>
  <c r="DT524" i="25"/>
  <c r="DT516" i="25"/>
  <c r="DT508" i="25"/>
  <c r="DT500" i="25"/>
  <c r="DT492" i="25"/>
  <c r="DT484" i="25"/>
  <c r="DT476" i="25"/>
  <c r="DT468" i="25"/>
  <c r="DT460" i="25"/>
  <c r="DT452" i="25"/>
  <c r="DT444" i="25"/>
  <c r="DT436" i="25"/>
  <c r="DT428" i="25"/>
  <c r="DT420" i="25"/>
  <c r="DT412" i="25"/>
  <c r="DT404" i="25"/>
  <c r="DC471" i="25"/>
  <c r="DD471" i="25" s="1"/>
  <c r="CZ471" i="25"/>
  <c r="DB471" i="25" s="1"/>
  <c r="DX471" i="25" s="1"/>
  <c r="CY471" i="25"/>
  <c r="CX471" i="25"/>
  <c r="CW471" i="25" s="1"/>
  <c r="DE471" i="25" s="1"/>
  <c r="DC522" i="25"/>
  <c r="DD522" i="25" s="1"/>
  <c r="CZ522" i="25"/>
  <c r="DB522" i="25" s="1"/>
  <c r="DX522" i="25" s="1"/>
  <c r="CX522" i="25"/>
  <c r="CW522" i="25" s="1"/>
  <c r="DE522" i="25" s="1"/>
  <c r="CY522" i="25"/>
  <c r="CX474" i="25"/>
  <c r="CW474" i="25" s="1"/>
  <c r="DE474" i="25" s="1"/>
  <c r="DC474" i="25"/>
  <c r="DD474" i="25" s="1"/>
  <c r="CZ474" i="25"/>
  <c r="DB474" i="25" s="1"/>
  <c r="DX474" i="25" s="1"/>
  <c r="CY474" i="25"/>
  <c r="CX426" i="25"/>
  <c r="CW426" i="25" s="1"/>
  <c r="DE426" i="25" s="1"/>
  <c r="DC426" i="25"/>
  <c r="DD426" i="25" s="1"/>
  <c r="CY426" i="25"/>
  <c r="CZ426" i="25"/>
  <c r="DB426" i="25" s="1"/>
  <c r="DX426" i="25" s="1"/>
  <c r="CK600" i="25"/>
  <c r="CX600" i="25"/>
  <c r="CW600" i="25" s="1"/>
  <c r="DE600" i="25" s="1"/>
  <c r="CY600" i="25"/>
  <c r="CZ600" i="25"/>
  <c r="DB600" i="25" s="1"/>
  <c r="DX600" i="25" s="1"/>
  <c r="DC600" i="25"/>
  <c r="DD600" i="25" s="1"/>
  <c r="CX592" i="25"/>
  <c r="CW592" i="25" s="1"/>
  <c r="DE592" i="25" s="1"/>
  <c r="CY592" i="25"/>
  <c r="CZ592" i="25"/>
  <c r="DB592" i="25" s="1"/>
  <c r="DX592" i="25" s="1"/>
  <c r="DC592" i="25"/>
  <c r="DD592" i="25" s="1"/>
  <c r="CX584" i="25"/>
  <c r="CW584" i="25" s="1"/>
  <c r="DE584" i="25" s="1"/>
  <c r="CY584" i="25"/>
  <c r="CZ584" i="25"/>
  <c r="DB584" i="25" s="1"/>
  <c r="DX584" i="25" s="1"/>
  <c r="DC584" i="25"/>
  <c r="DD584" i="25" s="1"/>
  <c r="CX576" i="25"/>
  <c r="CW576" i="25" s="1"/>
  <c r="DE576" i="25" s="1"/>
  <c r="CY576" i="25"/>
  <c r="CZ576" i="25"/>
  <c r="DB576" i="25" s="1"/>
  <c r="DX576" i="25" s="1"/>
  <c r="DC576" i="25"/>
  <c r="DD576" i="25" s="1"/>
  <c r="CX568" i="25"/>
  <c r="CW568" i="25" s="1"/>
  <c r="DE568" i="25" s="1"/>
  <c r="CY568" i="25"/>
  <c r="CZ568" i="25"/>
  <c r="DB568" i="25" s="1"/>
  <c r="DX568" i="25" s="1"/>
  <c r="DC568" i="25"/>
  <c r="DD568" i="25" s="1"/>
  <c r="CK560" i="25"/>
  <c r="CX560" i="25"/>
  <c r="CW560" i="25" s="1"/>
  <c r="DE560" i="25" s="1"/>
  <c r="CY560" i="25"/>
  <c r="CZ560" i="25"/>
  <c r="DB560" i="25" s="1"/>
  <c r="DX560" i="25" s="1"/>
  <c r="DC560" i="25"/>
  <c r="DD560" i="25" s="1"/>
  <c r="CX552" i="25"/>
  <c r="CW552" i="25" s="1"/>
  <c r="DE552" i="25" s="1"/>
  <c r="CY552" i="25"/>
  <c r="CZ552" i="25"/>
  <c r="DB552" i="25" s="1"/>
  <c r="DX552" i="25" s="1"/>
  <c r="DC552" i="25"/>
  <c r="DD552" i="25" s="1"/>
  <c r="CX544" i="25"/>
  <c r="CW544" i="25" s="1"/>
  <c r="DE544" i="25" s="1"/>
  <c r="CY544" i="25"/>
  <c r="CZ544" i="25"/>
  <c r="DB544" i="25" s="1"/>
  <c r="DX544" i="25" s="1"/>
  <c r="DC544" i="25"/>
  <c r="DD544" i="25" s="1"/>
  <c r="CX536" i="25"/>
  <c r="CW536" i="25" s="1"/>
  <c r="DE536" i="25" s="1"/>
  <c r="CY536" i="25"/>
  <c r="CZ536" i="25"/>
  <c r="DB536" i="25" s="1"/>
  <c r="DX536" i="25" s="1"/>
  <c r="DC536" i="25"/>
  <c r="DD536" i="25" s="1"/>
  <c r="CX528" i="25"/>
  <c r="CW528" i="25" s="1"/>
  <c r="DE528" i="25" s="1"/>
  <c r="CY528" i="25"/>
  <c r="CZ528" i="25"/>
  <c r="DB528" i="25" s="1"/>
  <c r="DX528" i="25" s="1"/>
  <c r="DC528" i="25"/>
  <c r="DD528" i="25" s="1"/>
  <c r="CX520" i="25"/>
  <c r="CW520" i="25" s="1"/>
  <c r="DE520" i="25" s="1"/>
  <c r="CY520" i="25"/>
  <c r="CZ520" i="25"/>
  <c r="DB520" i="25" s="1"/>
  <c r="DX520" i="25" s="1"/>
  <c r="DC520" i="25"/>
  <c r="DD520" i="25" s="1"/>
  <c r="CX512" i="25"/>
  <c r="CW512" i="25" s="1"/>
  <c r="DE512" i="25" s="1"/>
  <c r="CY512" i="25"/>
  <c r="CZ512" i="25"/>
  <c r="DB512" i="25" s="1"/>
  <c r="DX512" i="25" s="1"/>
  <c r="DC512" i="25"/>
  <c r="DD512" i="25" s="1"/>
  <c r="CX504" i="25"/>
  <c r="CW504" i="25" s="1"/>
  <c r="DE504" i="25" s="1"/>
  <c r="CY504" i="25"/>
  <c r="CZ504" i="25"/>
  <c r="DB504" i="25" s="1"/>
  <c r="DX504" i="25" s="1"/>
  <c r="DC504" i="25"/>
  <c r="DD504" i="25" s="1"/>
  <c r="CK496" i="25"/>
  <c r="CX496" i="25"/>
  <c r="CW496" i="25" s="1"/>
  <c r="DE496" i="25" s="1"/>
  <c r="CY496" i="25"/>
  <c r="CZ496" i="25"/>
  <c r="DB496" i="25" s="1"/>
  <c r="DX496" i="25" s="1"/>
  <c r="DC496" i="25"/>
  <c r="DD496" i="25" s="1"/>
  <c r="CX488" i="25"/>
  <c r="CW488" i="25" s="1"/>
  <c r="DE488" i="25" s="1"/>
  <c r="CY488" i="25"/>
  <c r="CZ488" i="25"/>
  <c r="DB488" i="25" s="1"/>
  <c r="DX488" i="25" s="1"/>
  <c r="DC488" i="25"/>
  <c r="DD488" i="25" s="1"/>
  <c r="CX480" i="25"/>
  <c r="CW480" i="25" s="1"/>
  <c r="DE480" i="25" s="1"/>
  <c r="CY480" i="25"/>
  <c r="CZ480" i="25"/>
  <c r="DB480" i="25" s="1"/>
  <c r="DX480" i="25" s="1"/>
  <c r="DC480" i="25"/>
  <c r="DD480" i="25" s="1"/>
  <c r="CY473" i="25"/>
  <c r="CX473" i="25"/>
  <c r="CW473" i="25" s="1"/>
  <c r="DE473" i="25" s="1"/>
  <c r="CZ473" i="25"/>
  <c r="DB473" i="25" s="1"/>
  <c r="DX473" i="25" s="1"/>
  <c r="DC473" i="25"/>
  <c r="DD473" i="25" s="1"/>
  <c r="CY472" i="25"/>
  <c r="CX472" i="25"/>
  <c r="CW472" i="25" s="1"/>
  <c r="DE472" i="25" s="1"/>
  <c r="CZ472" i="25"/>
  <c r="DB472" i="25" s="1"/>
  <c r="DX472" i="25" s="1"/>
  <c r="DC472" i="25"/>
  <c r="DD472" i="25" s="1"/>
  <c r="CY456" i="25"/>
  <c r="CX456" i="25"/>
  <c r="CW456" i="25" s="1"/>
  <c r="DE456" i="25" s="1"/>
  <c r="CZ456" i="25"/>
  <c r="DB456" i="25" s="1"/>
  <c r="DX456" i="25" s="1"/>
  <c r="DC456" i="25"/>
  <c r="DD456" i="25" s="1"/>
  <c r="CY448" i="25"/>
  <c r="CX448" i="25"/>
  <c r="CW448" i="25" s="1"/>
  <c r="DE448" i="25" s="1"/>
  <c r="CZ448" i="25"/>
  <c r="DB448" i="25" s="1"/>
  <c r="DX448" i="25" s="1"/>
  <c r="DC448" i="25"/>
  <c r="DD448" i="25" s="1"/>
  <c r="CY440" i="25"/>
  <c r="CX440" i="25"/>
  <c r="CW440" i="25" s="1"/>
  <c r="DE440" i="25" s="1"/>
  <c r="CZ440" i="25"/>
  <c r="DB440" i="25" s="1"/>
  <c r="DX440" i="25" s="1"/>
  <c r="DC440" i="25"/>
  <c r="DD440" i="25" s="1"/>
  <c r="CY432" i="25"/>
  <c r="CX432" i="25"/>
  <c r="CW432" i="25" s="1"/>
  <c r="DE432" i="25" s="1"/>
  <c r="CZ432" i="25"/>
  <c r="DB432" i="25" s="1"/>
  <c r="DX432" i="25" s="1"/>
  <c r="DC432" i="25"/>
  <c r="DD432" i="25" s="1"/>
  <c r="CY424" i="25"/>
  <c r="CX424" i="25"/>
  <c r="CW424" i="25" s="1"/>
  <c r="DE424" i="25" s="1"/>
  <c r="CZ424" i="25"/>
  <c r="DB424" i="25" s="1"/>
  <c r="DX424" i="25" s="1"/>
  <c r="DC424" i="25"/>
  <c r="DD424" i="25" s="1"/>
  <c r="CY416" i="25"/>
  <c r="CX416" i="25"/>
  <c r="CW416" i="25" s="1"/>
  <c r="DE416" i="25" s="1"/>
  <c r="CZ416" i="25"/>
  <c r="DB416" i="25" s="1"/>
  <c r="DX416" i="25" s="1"/>
  <c r="DC416" i="25"/>
  <c r="DD416" i="25" s="1"/>
  <c r="CY408" i="25"/>
  <c r="CX408" i="25"/>
  <c r="CW408" i="25" s="1"/>
  <c r="DE408" i="25" s="1"/>
  <c r="CZ408" i="25"/>
  <c r="DB408" i="25" s="1"/>
  <c r="DX408" i="25" s="1"/>
  <c r="DC408" i="25"/>
  <c r="DD408" i="25" s="1"/>
  <c r="DN593" i="25"/>
  <c r="DN585" i="25"/>
  <c r="DN577" i="25"/>
  <c r="DN569" i="25"/>
  <c r="DN561" i="25"/>
  <c r="DN553" i="25"/>
  <c r="DN545" i="25"/>
  <c r="DN537" i="25"/>
  <c r="DN529" i="25"/>
  <c r="DN521" i="25"/>
  <c r="DN513" i="25"/>
  <c r="DN505" i="25"/>
  <c r="DN497" i="25"/>
  <c r="DN489" i="25"/>
  <c r="DN481" i="25"/>
  <c r="DN459" i="25"/>
  <c r="DN465" i="25"/>
  <c r="DN457" i="25"/>
  <c r="DN449" i="25"/>
  <c r="DN441" i="25"/>
  <c r="DN433" i="25"/>
  <c r="DN425" i="25"/>
  <c r="DN417" i="25"/>
  <c r="DN409" i="25"/>
  <c r="CY599" i="25"/>
  <c r="DC599" i="25"/>
  <c r="DD599" i="25" s="1"/>
  <c r="CX599" i="25"/>
  <c r="CW599" i="25" s="1"/>
  <c r="DE599" i="25" s="1"/>
  <c r="CZ599" i="25"/>
  <c r="DB599" i="25" s="1"/>
  <c r="DX599" i="25" s="1"/>
  <c r="CX591" i="25"/>
  <c r="CW591" i="25" s="1"/>
  <c r="DE591" i="25" s="1"/>
  <c r="CY591" i="25"/>
  <c r="DC591" i="25"/>
  <c r="DD591" i="25" s="1"/>
  <c r="CZ591" i="25"/>
  <c r="DB591" i="25" s="1"/>
  <c r="DX591" i="25" s="1"/>
  <c r="CY583" i="25"/>
  <c r="CX583" i="25"/>
  <c r="CW583" i="25" s="1"/>
  <c r="DE583" i="25" s="1"/>
  <c r="DC583" i="25"/>
  <c r="DD583" i="25" s="1"/>
  <c r="CZ583" i="25"/>
  <c r="DB583" i="25" s="1"/>
  <c r="DX583" i="25" s="1"/>
  <c r="CY575" i="25"/>
  <c r="CX575" i="25"/>
  <c r="CW575" i="25" s="1"/>
  <c r="DE575" i="25" s="1"/>
  <c r="DC575" i="25"/>
  <c r="DD575" i="25" s="1"/>
  <c r="CZ575" i="25"/>
  <c r="DB575" i="25" s="1"/>
  <c r="DX575" i="25" s="1"/>
  <c r="CY567" i="25"/>
  <c r="DC567" i="25"/>
  <c r="DD567" i="25" s="1"/>
  <c r="CX567" i="25"/>
  <c r="CW567" i="25" s="1"/>
  <c r="DE567" i="25" s="1"/>
  <c r="CZ567" i="25"/>
  <c r="DB567" i="25" s="1"/>
  <c r="DX567" i="25" s="1"/>
  <c r="CX559" i="25"/>
  <c r="CW559" i="25" s="1"/>
  <c r="DE559" i="25" s="1"/>
  <c r="CY559" i="25"/>
  <c r="DC559" i="25"/>
  <c r="DD559" i="25" s="1"/>
  <c r="CZ559" i="25"/>
  <c r="DB559" i="25" s="1"/>
  <c r="DX559" i="25" s="1"/>
  <c r="CY551" i="25"/>
  <c r="CX551" i="25"/>
  <c r="CW551" i="25" s="1"/>
  <c r="DE551" i="25" s="1"/>
  <c r="DC551" i="25"/>
  <c r="DD551" i="25" s="1"/>
  <c r="CZ551" i="25"/>
  <c r="DB551" i="25" s="1"/>
  <c r="DX551" i="25" s="1"/>
  <c r="CY543" i="25"/>
  <c r="DC543" i="25"/>
  <c r="DD543" i="25" s="1"/>
  <c r="CX543" i="25"/>
  <c r="CW543" i="25" s="1"/>
  <c r="DE543" i="25" s="1"/>
  <c r="CY535" i="25"/>
  <c r="CX535" i="25"/>
  <c r="CW535" i="25" s="1"/>
  <c r="DE535" i="25" s="1"/>
  <c r="DC535" i="25"/>
  <c r="DD535" i="25" s="1"/>
  <c r="CZ535" i="25"/>
  <c r="DB535" i="25" s="1"/>
  <c r="DX535" i="25" s="1"/>
  <c r="CY527" i="25"/>
  <c r="DC527" i="25"/>
  <c r="DD527" i="25" s="1"/>
  <c r="CX527" i="25"/>
  <c r="CW527" i="25" s="1"/>
  <c r="DE527" i="25" s="1"/>
  <c r="CZ527" i="25"/>
  <c r="DB527" i="25" s="1"/>
  <c r="DX527" i="25" s="1"/>
  <c r="CY519" i="25"/>
  <c r="CX519" i="25"/>
  <c r="CW519" i="25" s="1"/>
  <c r="DE519" i="25" s="1"/>
  <c r="DC519" i="25"/>
  <c r="DD519" i="25" s="1"/>
  <c r="CZ519" i="25"/>
  <c r="DB519" i="25" s="1"/>
  <c r="DX519" i="25" s="1"/>
  <c r="CY511" i="25"/>
  <c r="DC511" i="25"/>
  <c r="DD511" i="25" s="1"/>
  <c r="CX511" i="25"/>
  <c r="CW511" i="25" s="1"/>
  <c r="DE511" i="25" s="1"/>
  <c r="CZ511" i="25"/>
  <c r="DB511" i="25" s="1"/>
  <c r="DX511" i="25" s="1"/>
  <c r="CY503" i="25"/>
  <c r="CX503" i="25"/>
  <c r="CW503" i="25" s="1"/>
  <c r="DE503" i="25" s="1"/>
  <c r="DC503" i="25"/>
  <c r="DD503" i="25" s="1"/>
  <c r="CZ503" i="25"/>
  <c r="DB503" i="25" s="1"/>
  <c r="DX503" i="25" s="1"/>
  <c r="CX495" i="25"/>
  <c r="CW495" i="25" s="1"/>
  <c r="DE495" i="25" s="1"/>
  <c r="CY495" i="25"/>
  <c r="DC495" i="25"/>
  <c r="DD495" i="25" s="1"/>
  <c r="CZ495" i="25"/>
  <c r="DB495" i="25" s="1"/>
  <c r="DX495" i="25" s="1"/>
  <c r="CY487" i="25"/>
  <c r="DC487" i="25"/>
  <c r="DD487" i="25" s="1"/>
  <c r="CZ487" i="25"/>
  <c r="DB487" i="25" s="1"/>
  <c r="DX487" i="25" s="1"/>
  <c r="CY479" i="25"/>
  <c r="CX479" i="25"/>
  <c r="CW479" i="25" s="1"/>
  <c r="DE479" i="25" s="1"/>
  <c r="DC479" i="25"/>
  <c r="DD479" i="25" s="1"/>
  <c r="CX564" i="25"/>
  <c r="CW564" i="25" s="1"/>
  <c r="DE564" i="25" s="1"/>
  <c r="CY564" i="25"/>
  <c r="DC564" i="25"/>
  <c r="DD564" i="25" s="1"/>
  <c r="CZ564" i="25"/>
  <c r="DB564" i="25" s="1"/>
  <c r="DX564" i="25" s="1"/>
  <c r="CX463" i="25"/>
  <c r="CW463" i="25" s="1"/>
  <c r="DE463" i="25" s="1"/>
  <c r="CY463" i="25"/>
  <c r="DC463" i="25"/>
  <c r="DD463" i="25" s="1"/>
  <c r="CZ463" i="25"/>
  <c r="DB463" i="25" s="1"/>
  <c r="DX463" i="25" s="1"/>
  <c r="CX455" i="25"/>
  <c r="CW455" i="25" s="1"/>
  <c r="DE455" i="25" s="1"/>
  <c r="DC455" i="25"/>
  <c r="DD455" i="25" s="1"/>
  <c r="CY455" i="25"/>
  <c r="CZ455" i="25"/>
  <c r="DB455" i="25" s="1"/>
  <c r="DX455" i="25" s="1"/>
  <c r="CX447" i="25"/>
  <c r="CW447" i="25" s="1"/>
  <c r="DE447" i="25" s="1"/>
  <c r="CY447" i="25"/>
  <c r="DC447" i="25"/>
  <c r="DD447" i="25" s="1"/>
  <c r="CZ447" i="25"/>
  <c r="DB447" i="25" s="1"/>
  <c r="DX447" i="25" s="1"/>
  <c r="CY439" i="25"/>
  <c r="DC439" i="25"/>
  <c r="DD439" i="25" s="1"/>
  <c r="CX439" i="25"/>
  <c r="CW439" i="25" s="1"/>
  <c r="DE439" i="25" s="1"/>
  <c r="CZ439" i="25"/>
  <c r="DB439" i="25" s="1"/>
  <c r="DX439" i="25" s="1"/>
  <c r="CY431" i="25"/>
  <c r="DC431" i="25"/>
  <c r="DD431" i="25" s="1"/>
  <c r="CZ431" i="25"/>
  <c r="DB431" i="25" s="1"/>
  <c r="DX431" i="25" s="1"/>
  <c r="CX431" i="25"/>
  <c r="CW431" i="25" s="1"/>
  <c r="DE431" i="25" s="1"/>
  <c r="CX423" i="25"/>
  <c r="CW423" i="25" s="1"/>
  <c r="DE423" i="25" s="1"/>
  <c r="DC423" i="25"/>
  <c r="DD423" i="25" s="1"/>
  <c r="CY423" i="25"/>
  <c r="CZ423" i="25"/>
  <c r="DB423" i="25" s="1"/>
  <c r="DX423" i="25" s="1"/>
  <c r="CY415" i="25"/>
  <c r="CX415" i="25"/>
  <c r="CW415" i="25" s="1"/>
  <c r="DE415" i="25" s="1"/>
  <c r="DC415" i="25"/>
  <c r="DD415" i="25" s="1"/>
  <c r="CX407" i="25"/>
  <c r="CW407" i="25" s="1"/>
  <c r="DE407" i="25" s="1"/>
  <c r="CY407" i="25"/>
  <c r="DC407" i="25"/>
  <c r="DD407" i="25" s="1"/>
  <c r="CZ407" i="25"/>
  <c r="DB407" i="25" s="1"/>
  <c r="DX407" i="25" s="1"/>
  <c r="CZ415" i="25"/>
  <c r="DB415" i="25" s="1"/>
  <c r="DX415" i="25" s="1"/>
  <c r="DC594" i="25"/>
  <c r="DD594" i="25" s="1"/>
  <c r="CZ594" i="25"/>
  <c r="DB594" i="25" s="1"/>
  <c r="DX594" i="25" s="1"/>
  <c r="CX594" i="25"/>
  <c r="CW594" i="25" s="1"/>
  <c r="DE594" i="25" s="1"/>
  <c r="CY594" i="25"/>
  <c r="CX514" i="25"/>
  <c r="CW514" i="25" s="1"/>
  <c r="DE514" i="25" s="1"/>
  <c r="DC514" i="25"/>
  <c r="DD514" i="25" s="1"/>
  <c r="CZ514" i="25"/>
  <c r="DB514" i="25" s="1"/>
  <c r="DX514" i="25" s="1"/>
  <c r="CY514" i="25"/>
  <c r="CX458" i="25"/>
  <c r="CW458" i="25" s="1"/>
  <c r="DE458" i="25" s="1"/>
  <c r="DC458" i="25"/>
  <c r="DD458" i="25" s="1"/>
  <c r="CY458" i="25"/>
  <c r="CZ458" i="25"/>
  <c r="DB458" i="25" s="1"/>
  <c r="DX458" i="25" s="1"/>
  <c r="CX410" i="25"/>
  <c r="CW410" i="25" s="1"/>
  <c r="DE410" i="25" s="1"/>
  <c r="DC410" i="25"/>
  <c r="DD410" i="25" s="1"/>
  <c r="CZ410" i="25"/>
  <c r="DB410" i="25" s="1"/>
  <c r="DX410" i="25" s="1"/>
  <c r="CY410" i="25"/>
  <c r="CY598" i="25"/>
  <c r="DC598" i="25"/>
  <c r="DD598" i="25" s="1"/>
  <c r="CZ598" i="25"/>
  <c r="DB598" i="25" s="1"/>
  <c r="DX598" i="25" s="1"/>
  <c r="CX590" i="25"/>
  <c r="CW590" i="25" s="1"/>
  <c r="DE590" i="25" s="1"/>
  <c r="CY590" i="25"/>
  <c r="DC590" i="25"/>
  <c r="DD590" i="25" s="1"/>
  <c r="CZ590" i="25"/>
  <c r="DB590" i="25" s="1"/>
  <c r="DX590" i="25" s="1"/>
  <c r="CY582" i="25"/>
  <c r="CX582" i="25"/>
  <c r="CW582" i="25" s="1"/>
  <c r="DE582" i="25" s="1"/>
  <c r="DC582" i="25"/>
  <c r="DD582" i="25" s="1"/>
  <c r="CZ582" i="25"/>
  <c r="DB582" i="25" s="1"/>
  <c r="DX582" i="25" s="1"/>
  <c r="CY574" i="25"/>
  <c r="CX574" i="25"/>
  <c r="CW574" i="25" s="1"/>
  <c r="DE574" i="25" s="1"/>
  <c r="DC574" i="25"/>
  <c r="DD574" i="25" s="1"/>
  <c r="CZ574" i="25"/>
  <c r="DB574" i="25" s="1"/>
  <c r="DX574" i="25" s="1"/>
  <c r="CY566" i="25"/>
  <c r="DC566" i="25"/>
  <c r="DD566" i="25" s="1"/>
  <c r="CZ566" i="25"/>
  <c r="DB566" i="25" s="1"/>
  <c r="DX566" i="25" s="1"/>
  <c r="CX566" i="25"/>
  <c r="CW566" i="25" s="1"/>
  <c r="DE566" i="25" s="1"/>
  <c r="CK548" i="25"/>
  <c r="CL548" i="25" s="1"/>
  <c r="CP548" i="25" s="1"/>
  <c r="CQ548" i="25" s="1"/>
  <c r="CT548" i="25" s="1"/>
  <c r="CX548" i="25"/>
  <c r="CW548" i="25" s="1"/>
  <c r="DE548" i="25" s="1"/>
  <c r="CY548" i="25"/>
  <c r="DC548" i="25"/>
  <c r="DD548" i="25" s="1"/>
  <c r="CZ548" i="25"/>
  <c r="DB548" i="25" s="1"/>
  <c r="DX548" i="25" s="1"/>
  <c r="CK550" i="25"/>
  <c r="CL550" i="25" s="1"/>
  <c r="CP550" i="25" s="1"/>
  <c r="CQ550" i="25" s="1"/>
  <c r="CT550" i="25" s="1"/>
  <c r="CY550" i="25"/>
  <c r="CX550" i="25"/>
  <c r="CW550" i="25" s="1"/>
  <c r="DE550" i="25" s="1"/>
  <c r="DC550" i="25"/>
  <c r="DD550" i="25" s="1"/>
  <c r="CZ550" i="25"/>
  <c r="DB550" i="25" s="1"/>
  <c r="DX550" i="25" s="1"/>
  <c r="CY542" i="25"/>
  <c r="DC542" i="25"/>
  <c r="DD542" i="25" s="1"/>
  <c r="CZ542" i="25"/>
  <c r="DB542" i="25" s="1"/>
  <c r="DX542" i="25" s="1"/>
  <c r="CX542" i="25"/>
  <c r="CW542" i="25" s="1"/>
  <c r="DE542" i="25" s="1"/>
  <c r="CY534" i="25"/>
  <c r="CX534" i="25"/>
  <c r="CW534" i="25" s="1"/>
  <c r="DE534" i="25" s="1"/>
  <c r="DC534" i="25"/>
  <c r="DD534" i="25" s="1"/>
  <c r="CZ534" i="25"/>
  <c r="DB534" i="25" s="1"/>
  <c r="DX534" i="25" s="1"/>
  <c r="CY526" i="25"/>
  <c r="DC526" i="25"/>
  <c r="DD526" i="25" s="1"/>
  <c r="CX526" i="25"/>
  <c r="CW526" i="25" s="1"/>
  <c r="DE526" i="25" s="1"/>
  <c r="CZ526" i="25"/>
  <c r="DB526" i="25" s="1"/>
  <c r="DX526" i="25" s="1"/>
  <c r="CY518" i="25"/>
  <c r="CX518" i="25"/>
  <c r="CW518" i="25" s="1"/>
  <c r="DE518" i="25" s="1"/>
  <c r="DC518" i="25"/>
  <c r="DD518" i="25" s="1"/>
  <c r="CZ518" i="25"/>
  <c r="DB518" i="25" s="1"/>
  <c r="DX518" i="25" s="1"/>
  <c r="CY510" i="25"/>
  <c r="DC510" i="25"/>
  <c r="DD510" i="25" s="1"/>
  <c r="CZ510" i="25"/>
  <c r="DB510" i="25" s="1"/>
  <c r="DX510" i="25" s="1"/>
  <c r="CX510" i="25"/>
  <c r="CW510" i="25" s="1"/>
  <c r="DE510" i="25" s="1"/>
  <c r="CY502" i="25"/>
  <c r="CX502" i="25"/>
  <c r="CW502" i="25" s="1"/>
  <c r="DE502" i="25" s="1"/>
  <c r="DC502" i="25"/>
  <c r="DD502" i="25" s="1"/>
  <c r="CZ502" i="25"/>
  <c r="DB502" i="25" s="1"/>
  <c r="DX502" i="25" s="1"/>
  <c r="CK494" i="25"/>
  <c r="CL494" i="25" s="1"/>
  <c r="CP494" i="25" s="1"/>
  <c r="CQ494" i="25" s="1"/>
  <c r="CT494" i="25" s="1"/>
  <c r="CX494" i="25"/>
  <c r="CW494" i="25" s="1"/>
  <c r="DE494" i="25" s="1"/>
  <c r="CY494" i="25"/>
  <c r="DC494" i="25"/>
  <c r="DD494" i="25" s="1"/>
  <c r="CZ494" i="25"/>
  <c r="DB494" i="25" s="1"/>
  <c r="DX494" i="25" s="1"/>
  <c r="CX486" i="25"/>
  <c r="CW486" i="25" s="1"/>
  <c r="DE486" i="25" s="1"/>
  <c r="CY486" i="25"/>
  <c r="DC486" i="25"/>
  <c r="DD486" i="25" s="1"/>
  <c r="CZ486" i="25"/>
  <c r="DB486" i="25" s="1"/>
  <c r="DX486" i="25" s="1"/>
  <c r="CX478" i="25"/>
  <c r="CW478" i="25" s="1"/>
  <c r="DE478" i="25" s="1"/>
  <c r="CY478" i="25"/>
  <c r="DC478" i="25"/>
  <c r="DD478" i="25" s="1"/>
  <c r="CZ478" i="25"/>
  <c r="DB478" i="25" s="1"/>
  <c r="DX478" i="25" s="1"/>
  <c r="CX470" i="25"/>
  <c r="CW470" i="25" s="1"/>
  <c r="DE470" i="25" s="1"/>
  <c r="CY470" i="25"/>
  <c r="DC470" i="25"/>
  <c r="DD470" i="25" s="1"/>
  <c r="CZ470" i="25"/>
  <c r="DB470" i="25" s="1"/>
  <c r="DX470" i="25" s="1"/>
  <c r="CX462" i="25"/>
  <c r="CW462" i="25" s="1"/>
  <c r="DE462" i="25" s="1"/>
  <c r="CY462" i="25"/>
  <c r="DC462" i="25"/>
  <c r="DD462" i="25" s="1"/>
  <c r="CZ462" i="25"/>
  <c r="DB462" i="25" s="1"/>
  <c r="DX462" i="25" s="1"/>
  <c r="CX454" i="25"/>
  <c r="CW454" i="25" s="1"/>
  <c r="DE454" i="25" s="1"/>
  <c r="DC454" i="25"/>
  <c r="DD454" i="25" s="1"/>
  <c r="CZ454" i="25"/>
  <c r="DB454" i="25" s="1"/>
  <c r="DX454" i="25" s="1"/>
  <c r="CY454" i="25"/>
  <c r="CX446" i="25"/>
  <c r="CW446" i="25" s="1"/>
  <c r="DE446" i="25" s="1"/>
  <c r="CY446" i="25"/>
  <c r="DC446" i="25"/>
  <c r="DD446" i="25" s="1"/>
  <c r="CZ446" i="25"/>
  <c r="DB446" i="25" s="1"/>
  <c r="DX446" i="25" s="1"/>
  <c r="CK438" i="25"/>
  <c r="CL438" i="25" s="1"/>
  <c r="CP438" i="25" s="1"/>
  <c r="CQ438" i="25" s="1"/>
  <c r="CT438" i="25" s="1"/>
  <c r="CX438" i="25"/>
  <c r="CW438" i="25" s="1"/>
  <c r="DE438" i="25" s="1"/>
  <c r="CY438" i="25"/>
  <c r="DC438" i="25"/>
  <c r="DD438" i="25" s="1"/>
  <c r="CZ438" i="25"/>
  <c r="DB438" i="25" s="1"/>
  <c r="DX438" i="25" s="1"/>
  <c r="CX430" i="25"/>
  <c r="CW430" i="25" s="1"/>
  <c r="DE430" i="25" s="1"/>
  <c r="CY430" i="25"/>
  <c r="DC430" i="25"/>
  <c r="DD430" i="25" s="1"/>
  <c r="CZ430" i="25"/>
  <c r="DB430" i="25" s="1"/>
  <c r="DX430" i="25" s="1"/>
  <c r="CX422" i="25"/>
  <c r="CW422" i="25" s="1"/>
  <c r="DE422" i="25" s="1"/>
  <c r="DC422" i="25"/>
  <c r="DD422" i="25" s="1"/>
  <c r="CZ422" i="25"/>
  <c r="DB422" i="25" s="1"/>
  <c r="DX422" i="25" s="1"/>
  <c r="CY422" i="25"/>
  <c r="CX414" i="25"/>
  <c r="CW414" i="25" s="1"/>
  <c r="DE414" i="25" s="1"/>
  <c r="CY414" i="25"/>
  <c r="DC414" i="25"/>
  <c r="DD414" i="25" s="1"/>
  <c r="CZ414" i="25"/>
  <c r="DB414" i="25" s="1"/>
  <c r="DX414" i="25" s="1"/>
  <c r="CX406" i="25"/>
  <c r="CW406" i="25" s="1"/>
  <c r="DE406" i="25" s="1"/>
  <c r="CY406" i="25"/>
  <c r="DC406" i="25"/>
  <c r="DD406" i="25" s="1"/>
  <c r="CZ406" i="25"/>
  <c r="DB406" i="25" s="1"/>
  <c r="DX406" i="25" s="1"/>
  <c r="DC578" i="25"/>
  <c r="DD578" i="25" s="1"/>
  <c r="CZ578" i="25"/>
  <c r="DB578" i="25" s="1"/>
  <c r="DX578" i="25" s="1"/>
  <c r="CY578" i="25"/>
  <c r="CX578" i="25"/>
  <c r="CW578" i="25" s="1"/>
  <c r="DE578" i="25" s="1"/>
  <c r="DC530" i="25"/>
  <c r="DD530" i="25" s="1"/>
  <c r="CZ530" i="25"/>
  <c r="DB530" i="25" s="1"/>
  <c r="DX530" i="25" s="1"/>
  <c r="CY530" i="25"/>
  <c r="CX530" i="25"/>
  <c r="CW530" i="25" s="1"/>
  <c r="DE530" i="25" s="1"/>
  <c r="DC498" i="25"/>
  <c r="DD498" i="25" s="1"/>
  <c r="CZ498" i="25"/>
  <c r="DB498" i="25" s="1"/>
  <c r="DX498" i="25" s="1"/>
  <c r="CX498" i="25"/>
  <c r="CW498" i="25" s="1"/>
  <c r="DE498" i="25" s="1"/>
  <c r="CY498" i="25"/>
  <c r="CX450" i="25"/>
  <c r="CW450" i="25" s="1"/>
  <c r="DE450" i="25" s="1"/>
  <c r="DC450" i="25"/>
  <c r="DD450" i="25" s="1"/>
  <c r="CZ450" i="25"/>
  <c r="DB450" i="25" s="1"/>
  <c r="DX450" i="25" s="1"/>
  <c r="CY450" i="25"/>
  <c r="CX597" i="25"/>
  <c r="CW597" i="25" s="1"/>
  <c r="DE597" i="25" s="1"/>
  <c r="DC597" i="25"/>
  <c r="DD597" i="25" s="1"/>
  <c r="CZ597" i="25"/>
  <c r="DB597" i="25" s="1"/>
  <c r="DX597" i="25" s="1"/>
  <c r="CY597" i="25"/>
  <c r="CX589" i="25"/>
  <c r="CW589" i="25" s="1"/>
  <c r="DE589" i="25" s="1"/>
  <c r="DC589" i="25"/>
  <c r="DD589" i="25" s="1"/>
  <c r="CZ589" i="25"/>
  <c r="DB589" i="25" s="1"/>
  <c r="DX589" i="25" s="1"/>
  <c r="CY589" i="25"/>
  <c r="CX581" i="25"/>
  <c r="CW581" i="25" s="1"/>
  <c r="DE581" i="25" s="1"/>
  <c r="DC581" i="25"/>
  <c r="DD581" i="25" s="1"/>
  <c r="CZ581" i="25"/>
  <c r="DB581" i="25" s="1"/>
  <c r="DX581" i="25" s="1"/>
  <c r="CY581" i="25"/>
  <c r="CX573" i="25"/>
  <c r="CW573" i="25" s="1"/>
  <c r="DE573" i="25" s="1"/>
  <c r="DC573" i="25"/>
  <c r="DD573" i="25" s="1"/>
  <c r="CZ573" i="25"/>
  <c r="DB573" i="25" s="1"/>
  <c r="DX573" i="25" s="1"/>
  <c r="CY573" i="25"/>
  <c r="CX565" i="25"/>
  <c r="CW565" i="25" s="1"/>
  <c r="DE565" i="25" s="1"/>
  <c r="DC565" i="25"/>
  <c r="DD565" i="25" s="1"/>
  <c r="CZ565" i="25"/>
  <c r="DB565" i="25" s="1"/>
  <c r="DX565" i="25" s="1"/>
  <c r="CY565" i="25"/>
  <c r="CX557" i="25"/>
  <c r="CW557" i="25" s="1"/>
  <c r="DE557" i="25" s="1"/>
  <c r="DC557" i="25"/>
  <c r="DD557" i="25" s="1"/>
  <c r="CZ557" i="25"/>
  <c r="DB557" i="25" s="1"/>
  <c r="DX557" i="25" s="1"/>
  <c r="CY557" i="25"/>
  <c r="CK549" i="25"/>
  <c r="CX549" i="25"/>
  <c r="CW549" i="25" s="1"/>
  <c r="DE549" i="25" s="1"/>
  <c r="DC549" i="25"/>
  <c r="DD549" i="25" s="1"/>
  <c r="CZ549" i="25"/>
  <c r="DB549" i="25" s="1"/>
  <c r="DX549" i="25" s="1"/>
  <c r="CY549" i="25"/>
  <c r="CX541" i="25"/>
  <c r="CW541" i="25" s="1"/>
  <c r="DE541" i="25" s="1"/>
  <c r="DC541" i="25"/>
  <c r="DD541" i="25" s="1"/>
  <c r="CZ541" i="25"/>
  <c r="DB541" i="25" s="1"/>
  <c r="DX541" i="25" s="1"/>
  <c r="CY541" i="25"/>
  <c r="CX533" i="25"/>
  <c r="CW533" i="25" s="1"/>
  <c r="DE533" i="25" s="1"/>
  <c r="DC533" i="25"/>
  <c r="DD533" i="25" s="1"/>
  <c r="CZ533" i="25"/>
  <c r="DB533" i="25" s="1"/>
  <c r="DX533" i="25" s="1"/>
  <c r="CY533" i="25"/>
  <c r="CX525" i="25"/>
  <c r="CW525" i="25" s="1"/>
  <c r="DE525" i="25" s="1"/>
  <c r="DC525" i="25"/>
  <c r="DD525" i="25" s="1"/>
  <c r="CZ525" i="25"/>
  <c r="DB525" i="25" s="1"/>
  <c r="DX525" i="25" s="1"/>
  <c r="CY525" i="25"/>
  <c r="CX517" i="25"/>
  <c r="CW517" i="25" s="1"/>
  <c r="DE517" i="25" s="1"/>
  <c r="DC517" i="25"/>
  <c r="DD517" i="25" s="1"/>
  <c r="CZ517" i="25"/>
  <c r="DB517" i="25" s="1"/>
  <c r="DX517" i="25" s="1"/>
  <c r="CY517" i="25"/>
  <c r="CX509" i="25"/>
  <c r="CW509" i="25" s="1"/>
  <c r="DE509" i="25" s="1"/>
  <c r="DC509" i="25"/>
  <c r="DD509" i="25" s="1"/>
  <c r="CZ509" i="25"/>
  <c r="DB509" i="25" s="1"/>
  <c r="DX509" i="25" s="1"/>
  <c r="CY509" i="25"/>
  <c r="CX501" i="25"/>
  <c r="CW501" i="25" s="1"/>
  <c r="DE501" i="25" s="1"/>
  <c r="DC501" i="25"/>
  <c r="DD501" i="25" s="1"/>
  <c r="CZ501" i="25"/>
  <c r="DB501" i="25" s="1"/>
  <c r="DX501" i="25" s="1"/>
  <c r="CY501" i="25"/>
  <c r="CX493" i="25"/>
  <c r="CW493" i="25" s="1"/>
  <c r="DE493" i="25" s="1"/>
  <c r="DC493" i="25"/>
  <c r="DD493" i="25" s="1"/>
  <c r="CZ493" i="25"/>
  <c r="DB493" i="25" s="1"/>
  <c r="DX493" i="25" s="1"/>
  <c r="CY493" i="25"/>
  <c r="CX485" i="25"/>
  <c r="CW485" i="25" s="1"/>
  <c r="DE485" i="25" s="1"/>
  <c r="DC485" i="25"/>
  <c r="DD485" i="25" s="1"/>
  <c r="CZ485" i="25"/>
  <c r="DB485" i="25" s="1"/>
  <c r="DX485" i="25" s="1"/>
  <c r="CY485" i="25"/>
  <c r="CX477" i="25"/>
  <c r="CW477" i="25" s="1"/>
  <c r="DE477" i="25" s="1"/>
  <c r="DC477" i="25"/>
  <c r="DD477" i="25" s="1"/>
  <c r="CZ477" i="25"/>
  <c r="DB477" i="25" s="1"/>
  <c r="DX477" i="25" s="1"/>
  <c r="CY477" i="25"/>
  <c r="CX558" i="25"/>
  <c r="CW558" i="25" s="1"/>
  <c r="DE558" i="25" s="1"/>
  <c r="CY558" i="25"/>
  <c r="DC558" i="25"/>
  <c r="DD558" i="25" s="1"/>
  <c r="CZ558" i="25"/>
  <c r="DB558" i="25" s="1"/>
  <c r="DX558" i="25" s="1"/>
  <c r="CK461" i="25"/>
  <c r="CX461" i="25"/>
  <c r="CW461" i="25" s="1"/>
  <c r="DE461" i="25" s="1"/>
  <c r="CY461" i="25"/>
  <c r="DC461" i="25"/>
  <c r="DD461" i="25" s="1"/>
  <c r="CZ461" i="25"/>
  <c r="DB461" i="25" s="1"/>
  <c r="DX461" i="25" s="1"/>
  <c r="CK453" i="25"/>
  <c r="CX453" i="25"/>
  <c r="CW453" i="25" s="1"/>
  <c r="DE453" i="25" s="1"/>
  <c r="DC453" i="25"/>
  <c r="DD453" i="25" s="1"/>
  <c r="CZ453" i="25"/>
  <c r="DB453" i="25" s="1"/>
  <c r="DX453" i="25" s="1"/>
  <c r="CY453" i="25"/>
  <c r="CX445" i="25"/>
  <c r="CW445" i="25" s="1"/>
  <c r="DE445" i="25" s="1"/>
  <c r="DC445" i="25"/>
  <c r="DD445" i="25" s="1"/>
  <c r="CZ445" i="25"/>
  <c r="DB445" i="25" s="1"/>
  <c r="DX445" i="25" s="1"/>
  <c r="CY445" i="25"/>
  <c r="CX437" i="25"/>
  <c r="CW437" i="25" s="1"/>
  <c r="DE437" i="25" s="1"/>
  <c r="CY437" i="25"/>
  <c r="DC437" i="25"/>
  <c r="DD437" i="25" s="1"/>
  <c r="CZ437" i="25"/>
  <c r="DB437" i="25" s="1"/>
  <c r="DX437" i="25" s="1"/>
  <c r="CX429" i="25"/>
  <c r="CW429" i="25" s="1"/>
  <c r="DE429" i="25" s="1"/>
  <c r="CY429" i="25"/>
  <c r="DC429" i="25"/>
  <c r="DD429" i="25" s="1"/>
  <c r="CZ429" i="25"/>
  <c r="DB429" i="25" s="1"/>
  <c r="DX429" i="25" s="1"/>
  <c r="CK421" i="25"/>
  <c r="CX421" i="25"/>
  <c r="CW421" i="25" s="1"/>
  <c r="DE421" i="25" s="1"/>
  <c r="DC421" i="25"/>
  <c r="DD421" i="25" s="1"/>
  <c r="CZ421" i="25"/>
  <c r="DB421" i="25" s="1"/>
  <c r="DX421" i="25" s="1"/>
  <c r="CY421" i="25"/>
  <c r="CX413" i="25"/>
  <c r="CW413" i="25" s="1"/>
  <c r="DE413" i="25" s="1"/>
  <c r="DC413" i="25"/>
  <c r="DD413" i="25" s="1"/>
  <c r="CZ413" i="25"/>
  <c r="DB413" i="25" s="1"/>
  <c r="DX413" i="25" s="1"/>
  <c r="CY413" i="25"/>
  <c r="CX405" i="25"/>
  <c r="CW405" i="25" s="1"/>
  <c r="DE405" i="25" s="1"/>
  <c r="CY405" i="25"/>
  <c r="DC405" i="25"/>
  <c r="DD405" i="25" s="1"/>
  <c r="CZ405" i="25"/>
  <c r="DB405" i="25" s="1"/>
  <c r="DX405" i="25" s="1"/>
  <c r="DC570" i="25"/>
  <c r="DD570" i="25" s="1"/>
  <c r="CX570" i="25"/>
  <c r="CW570" i="25" s="1"/>
  <c r="DE570" i="25" s="1"/>
  <c r="CZ570" i="25"/>
  <c r="DB570" i="25" s="1"/>
  <c r="DX570" i="25" s="1"/>
  <c r="CY570" i="25"/>
  <c r="DC546" i="25"/>
  <c r="DD546" i="25" s="1"/>
  <c r="CX546" i="25"/>
  <c r="CW546" i="25" s="1"/>
  <c r="DE546" i="25" s="1"/>
  <c r="CZ546" i="25"/>
  <c r="DB546" i="25" s="1"/>
  <c r="DX546" i="25" s="1"/>
  <c r="CY546" i="25"/>
  <c r="DC482" i="25"/>
  <c r="DD482" i="25" s="1"/>
  <c r="CZ482" i="25"/>
  <c r="DB482" i="25" s="1"/>
  <c r="DX482" i="25" s="1"/>
  <c r="CY482" i="25"/>
  <c r="CX482" i="25"/>
  <c r="CW482" i="25" s="1"/>
  <c r="DE482" i="25" s="1"/>
  <c r="CX442" i="25"/>
  <c r="CW442" i="25" s="1"/>
  <c r="DE442" i="25" s="1"/>
  <c r="DC442" i="25"/>
  <c r="DD442" i="25" s="1"/>
  <c r="CZ442" i="25"/>
  <c r="DB442" i="25" s="1"/>
  <c r="DX442" i="25" s="1"/>
  <c r="CY442" i="25"/>
  <c r="CZ596" i="25"/>
  <c r="DB596" i="25" s="1"/>
  <c r="DX596" i="25" s="1"/>
  <c r="CX596" i="25"/>
  <c r="CW596" i="25" s="1"/>
  <c r="DE596" i="25" s="1"/>
  <c r="CY596" i="25"/>
  <c r="DC596" i="25"/>
  <c r="DD596" i="25" s="1"/>
  <c r="CZ588" i="25"/>
  <c r="DB588" i="25" s="1"/>
  <c r="DX588" i="25" s="1"/>
  <c r="CX588" i="25"/>
  <c r="CW588" i="25" s="1"/>
  <c r="DE588" i="25" s="1"/>
  <c r="DC588" i="25"/>
  <c r="DD588" i="25" s="1"/>
  <c r="CY588" i="25"/>
  <c r="CX580" i="25"/>
  <c r="CW580" i="25" s="1"/>
  <c r="DE580" i="25" s="1"/>
  <c r="CZ580" i="25"/>
  <c r="DB580" i="25" s="1"/>
  <c r="DX580" i="25" s="1"/>
  <c r="DC580" i="25"/>
  <c r="DD580" i="25" s="1"/>
  <c r="CY580" i="25"/>
  <c r="CX572" i="25"/>
  <c r="CW572" i="25" s="1"/>
  <c r="DE572" i="25" s="1"/>
  <c r="CZ572" i="25"/>
  <c r="DB572" i="25" s="1"/>
  <c r="DX572" i="25" s="1"/>
  <c r="CY572" i="25"/>
  <c r="CZ554" i="25"/>
  <c r="DB554" i="25" s="1"/>
  <c r="DX554" i="25" s="1"/>
  <c r="CX554" i="25"/>
  <c r="CW554" i="25" s="1"/>
  <c r="DE554" i="25" s="1"/>
  <c r="CY554" i="25"/>
  <c r="DC554" i="25"/>
  <c r="DD554" i="25" s="1"/>
  <c r="CX556" i="25"/>
  <c r="CW556" i="25" s="1"/>
  <c r="DE556" i="25" s="1"/>
  <c r="CZ556" i="25"/>
  <c r="DB556" i="25" s="1"/>
  <c r="DX556" i="25" s="1"/>
  <c r="DC556" i="25"/>
  <c r="DD556" i="25" s="1"/>
  <c r="CY556" i="25"/>
  <c r="CX469" i="25"/>
  <c r="CW469" i="25" s="1"/>
  <c r="DE469" i="25" s="1"/>
  <c r="CZ469" i="25"/>
  <c r="DB469" i="25" s="1"/>
  <c r="DX469" i="25" s="1"/>
  <c r="DC469" i="25"/>
  <c r="DD469" i="25" s="1"/>
  <c r="CX540" i="25"/>
  <c r="CW540" i="25" s="1"/>
  <c r="DE540" i="25" s="1"/>
  <c r="CZ540" i="25"/>
  <c r="DB540" i="25" s="1"/>
  <c r="DX540" i="25" s="1"/>
  <c r="CY540" i="25"/>
  <c r="CX532" i="25"/>
  <c r="CW532" i="25" s="1"/>
  <c r="DE532" i="25" s="1"/>
  <c r="CZ532" i="25"/>
  <c r="DB532" i="25" s="1"/>
  <c r="DX532" i="25" s="1"/>
  <c r="CY532" i="25"/>
  <c r="DC532" i="25"/>
  <c r="DD532" i="25" s="1"/>
  <c r="CX524" i="25"/>
  <c r="CW524" i="25" s="1"/>
  <c r="DE524" i="25" s="1"/>
  <c r="CZ524" i="25"/>
  <c r="DB524" i="25" s="1"/>
  <c r="DX524" i="25" s="1"/>
  <c r="DC524" i="25"/>
  <c r="DD524" i="25" s="1"/>
  <c r="CY524" i="25"/>
  <c r="CX516" i="25"/>
  <c r="CW516" i="25" s="1"/>
  <c r="DE516" i="25" s="1"/>
  <c r="CZ516" i="25"/>
  <c r="DB516" i="25" s="1"/>
  <c r="DX516" i="25" s="1"/>
  <c r="DC516" i="25"/>
  <c r="DD516" i="25" s="1"/>
  <c r="CY516" i="25"/>
  <c r="CX508" i="25"/>
  <c r="CW508" i="25" s="1"/>
  <c r="DE508" i="25" s="1"/>
  <c r="CZ508" i="25"/>
  <c r="DB508" i="25" s="1"/>
  <c r="DX508" i="25" s="1"/>
  <c r="CY508" i="25"/>
  <c r="CX500" i="25"/>
  <c r="CW500" i="25" s="1"/>
  <c r="DE500" i="25" s="1"/>
  <c r="CZ500" i="25"/>
  <c r="DB500" i="25" s="1"/>
  <c r="DX500" i="25" s="1"/>
  <c r="CY500" i="25"/>
  <c r="DC500" i="25"/>
  <c r="DD500" i="25" s="1"/>
  <c r="CX492" i="25"/>
  <c r="CW492" i="25" s="1"/>
  <c r="DE492" i="25" s="1"/>
  <c r="CZ492" i="25"/>
  <c r="DB492" i="25" s="1"/>
  <c r="DX492" i="25" s="1"/>
  <c r="DC492" i="25"/>
  <c r="DD492" i="25" s="1"/>
  <c r="CY492" i="25"/>
  <c r="CX484" i="25"/>
  <c r="CW484" i="25" s="1"/>
  <c r="DE484" i="25" s="1"/>
  <c r="CZ484" i="25"/>
  <c r="DB484" i="25" s="1"/>
  <c r="DX484" i="25" s="1"/>
  <c r="DC484" i="25"/>
  <c r="DD484" i="25" s="1"/>
  <c r="CX476" i="25"/>
  <c r="CW476" i="25" s="1"/>
  <c r="DE476" i="25" s="1"/>
  <c r="CZ476" i="25"/>
  <c r="DB476" i="25" s="1"/>
  <c r="DX476" i="25" s="1"/>
  <c r="CY476" i="25"/>
  <c r="CX468" i="25"/>
  <c r="CW468" i="25" s="1"/>
  <c r="DE468" i="25" s="1"/>
  <c r="CY468" i="25"/>
  <c r="CZ468" i="25"/>
  <c r="DB468" i="25" s="1"/>
  <c r="DX468" i="25" s="1"/>
  <c r="DC468" i="25"/>
  <c r="DD468" i="25" s="1"/>
  <c r="CX460" i="25"/>
  <c r="CW460" i="25" s="1"/>
  <c r="DE460" i="25" s="1"/>
  <c r="CY460" i="25"/>
  <c r="CZ460" i="25"/>
  <c r="DB460" i="25" s="1"/>
  <c r="DX460" i="25" s="1"/>
  <c r="DC460" i="25"/>
  <c r="DD460" i="25" s="1"/>
  <c r="CX452" i="25"/>
  <c r="CW452" i="25" s="1"/>
  <c r="DE452" i="25" s="1"/>
  <c r="CZ452" i="25"/>
  <c r="DB452" i="25" s="1"/>
  <c r="DX452" i="25" s="1"/>
  <c r="CY452" i="25"/>
  <c r="DC452" i="25"/>
  <c r="DD452" i="25" s="1"/>
  <c r="CX444" i="25"/>
  <c r="CW444" i="25" s="1"/>
  <c r="DE444" i="25" s="1"/>
  <c r="CZ444" i="25"/>
  <c r="DB444" i="25" s="1"/>
  <c r="DX444" i="25" s="1"/>
  <c r="CY444" i="25"/>
  <c r="CX436" i="25"/>
  <c r="CW436" i="25" s="1"/>
  <c r="DE436" i="25" s="1"/>
  <c r="CY436" i="25"/>
  <c r="CZ436" i="25"/>
  <c r="DB436" i="25" s="1"/>
  <c r="DX436" i="25" s="1"/>
  <c r="DC436" i="25"/>
  <c r="DD436" i="25" s="1"/>
  <c r="CX428" i="25"/>
  <c r="CW428" i="25" s="1"/>
  <c r="DE428" i="25" s="1"/>
  <c r="CY428" i="25"/>
  <c r="CZ428" i="25"/>
  <c r="DB428" i="25" s="1"/>
  <c r="DX428" i="25" s="1"/>
  <c r="DC428" i="25"/>
  <c r="DD428" i="25" s="1"/>
  <c r="CX420" i="25"/>
  <c r="CW420" i="25" s="1"/>
  <c r="DE420" i="25" s="1"/>
  <c r="CZ420" i="25"/>
  <c r="DB420" i="25" s="1"/>
  <c r="DX420" i="25" s="1"/>
  <c r="CY420" i="25"/>
  <c r="DC420" i="25"/>
  <c r="DD420" i="25" s="1"/>
  <c r="CX412" i="25"/>
  <c r="CW412" i="25" s="1"/>
  <c r="DE412" i="25" s="1"/>
  <c r="CZ412" i="25"/>
  <c r="DB412" i="25" s="1"/>
  <c r="DX412" i="25" s="1"/>
  <c r="CY412" i="25"/>
  <c r="CX404" i="25"/>
  <c r="CW404" i="25" s="1"/>
  <c r="DE404" i="25" s="1"/>
  <c r="CY404" i="25"/>
  <c r="CZ404" i="25"/>
  <c r="DB404" i="25" s="1"/>
  <c r="DX404" i="25" s="1"/>
  <c r="DC404" i="25"/>
  <c r="DD404" i="25" s="1"/>
  <c r="CX598" i="25"/>
  <c r="CW598" i="25" s="1"/>
  <c r="DE598" i="25" s="1"/>
  <c r="CJ594" i="25"/>
  <c r="CI594" i="25"/>
  <c r="CK594" i="25" s="1"/>
  <c r="CJ586" i="25"/>
  <c r="CI586" i="25"/>
  <c r="CK586" i="25" s="1"/>
  <c r="CJ578" i="25"/>
  <c r="CI578" i="25"/>
  <c r="CK578" i="25" s="1"/>
  <c r="CJ570" i="25"/>
  <c r="CI570" i="25"/>
  <c r="CK570" i="25" s="1"/>
  <c r="CJ562" i="25"/>
  <c r="CI562" i="25"/>
  <c r="CK562" i="25" s="1"/>
  <c r="CJ546" i="25"/>
  <c r="CI546" i="25"/>
  <c r="CK546" i="25" s="1"/>
  <c r="CJ538" i="25"/>
  <c r="CI538" i="25"/>
  <c r="CK538" i="25" s="1"/>
  <c r="CJ530" i="25"/>
  <c r="CI530" i="25"/>
  <c r="CK530" i="25" s="1"/>
  <c r="CN511" i="25"/>
  <c r="CN559" i="25"/>
  <c r="CN551" i="25"/>
  <c r="CN519" i="25"/>
  <c r="CN495" i="25"/>
  <c r="CN487" i="25"/>
  <c r="CN455" i="25"/>
  <c r="CN431" i="25"/>
  <c r="CN423" i="25"/>
  <c r="CJ506" i="25"/>
  <c r="CI506" i="25"/>
  <c r="CK506" i="25" s="1"/>
  <c r="CJ490" i="25"/>
  <c r="CI490" i="25"/>
  <c r="CK490" i="25" s="1"/>
  <c r="CJ482" i="25"/>
  <c r="CI482" i="25"/>
  <c r="CK482" i="25" s="1"/>
  <c r="CJ474" i="25"/>
  <c r="CI474" i="25"/>
  <c r="CK474" i="25" s="1"/>
  <c r="CJ466" i="25"/>
  <c r="CI466" i="25"/>
  <c r="CK466" i="25" s="1"/>
  <c r="CI599" i="25"/>
  <c r="CK599" i="25" s="1"/>
  <c r="CI591" i="25"/>
  <c r="CK591" i="25" s="1"/>
  <c r="CI583" i="25"/>
  <c r="CK583" i="25" s="1"/>
  <c r="CI575" i="25"/>
  <c r="CK575" i="25" s="1"/>
  <c r="CJ567" i="25"/>
  <c r="CJ559" i="25"/>
  <c r="CJ551" i="25"/>
  <c r="CJ543" i="25"/>
  <c r="CJ535" i="25"/>
  <c r="CJ527" i="25"/>
  <c r="CJ519" i="25"/>
  <c r="CJ511" i="25"/>
  <c r="CJ503" i="25"/>
  <c r="CJ495" i="25"/>
  <c r="CJ487" i="25"/>
  <c r="CJ479" i="25"/>
  <c r="CJ564" i="25"/>
  <c r="CJ463" i="25"/>
  <c r="CJ455" i="25"/>
  <c r="CJ447" i="25"/>
  <c r="CJ439" i="25"/>
  <c r="CJ431" i="25"/>
  <c r="CJ423" i="25"/>
  <c r="CJ415" i="25"/>
  <c r="CJ407" i="25"/>
  <c r="CI596" i="25"/>
  <c r="CK596" i="25" s="1"/>
  <c r="CI588" i="25"/>
  <c r="CK588" i="25" s="1"/>
  <c r="CI580" i="25"/>
  <c r="CK580" i="25" s="1"/>
  <c r="CI572" i="25"/>
  <c r="CK572" i="25" s="1"/>
  <c r="CI554" i="25"/>
  <c r="CK554" i="25" s="1"/>
  <c r="CI556" i="25"/>
  <c r="CK556" i="25" s="1"/>
  <c r="CI469" i="25"/>
  <c r="CK469" i="25" s="1"/>
  <c r="CI540" i="25"/>
  <c r="CK540" i="25" s="1"/>
  <c r="CI532" i="25"/>
  <c r="CK532" i="25" s="1"/>
  <c r="CI524" i="25"/>
  <c r="CK524" i="25" s="1"/>
  <c r="CI516" i="25"/>
  <c r="CK516" i="25" s="1"/>
  <c r="CI508" i="25"/>
  <c r="CK508" i="25" s="1"/>
  <c r="CI500" i="25"/>
  <c r="CK500" i="25" s="1"/>
  <c r="CI492" i="25"/>
  <c r="CK492" i="25" s="1"/>
  <c r="CI484" i="25"/>
  <c r="CK484" i="25" s="1"/>
  <c r="CI476" i="25"/>
  <c r="CK476" i="25" s="1"/>
  <c r="CI468" i="25"/>
  <c r="CK468" i="25" s="1"/>
  <c r="CJ460" i="25"/>
  <c r="CJ452" i="25"/>
  <c r="CJ444" i="25"/>
  <c r="CJ436" i="25"/>
  <c r="CJ428" i="25"/>
  <c r="CJ420" i="25"/>
  <c r="CJ412" i="25"/>
  <c r="CN590" i="25"/>
  <c r="CN595" i="25"/>
  <c r="CN587" i="25"/>
  <c r="CN579" i="25"/>
  <c r="CN571" i="25"/>
  <c r="CN563" i="25"/>
  <c r="CN555" i="25"/>
  <c r="CN547" i="25"/>
  <c r="CN539" i="25"/>
  <c r="CN531" i="25"/>
  <c r="CN523" i="25"/>
  <c r="CN515" i="25"/>
  <c r="CN507" i="25"/>
  <c r="CN499" i="25"/>
  <c r="CN491" i="25"/>
  <c r="CN483" i="25"/>
  <c r="CN475" i="25"/>
  <c r="CN467" i="25"/>
  <c r="CN464" i="25"/>
  <c r="CN451" i="25"/>
  <c r="CN443" i="25"/>
  <c r="CN435" i="25"/>
  <c r="CN427" i="25"/>
  <c r="CN419" i="25"/>
  <c r="CN411" i="25"/>
  <c r="CI522" i="25"/>
  <c r="CK522" i="25" s="1"/>
  <c r="CI498" i="25"/>
  <c r="CK498" i="25" s="1"/>
  <c r="CN542" i="25"/>
  <c r="CN478" i="25"/>
  <c r="CN414" i="25"/>
  <c r="CJ404" i="25"/>
  <c r="CI593" i="25"/>
  <c r="CK593" i="25" s="1"/>
  <c r="CI585" i="25"/>
  <c r="CK585" i="25" s="1"/>
  <c r="CI577" i="25"/>
  <c r="CK577" i="25" s="1"/>
  <c r="CI569" i="25"/>
  <c r="CK569" i="25" s="1"/>
  <c r="CI561" i="25"/>
  <c r="CK561" i="25" s="1"/>
  <c r="CI553" i="25"/>
  <c r="CK553" i="25" s="1"/>
  <c r="CI545" i="25"/>
  <c r="CK545" i="25" s="1"/>
  <c r="CI537" i="25"/>
  <c r="CK537" i="25" s="1"/>
  <c r="CI529" i="25"/>
  <c r="CK529" i="25" s="1"/>
  <c r="CI521" i="25"/>
  <c r="CK521" i="25" s="1"/>
  <c r="CI513" i="25"/>
  <c r="CK513" i="25" s="1"/>
  <c r="CI505" i="25"/>
  <c r="CK505" i="25" s="1"/>
  <c r="CI497" i="25"/>
  <c r="CK497" i="25" s="1"/>
  <c r="CI489" i="25"/>
  <c r="CK489" i="25" s="1"/>
  <c r="CI481" i="25"/>
  <c r="CK481" i="25" s="1"/>
  <c r="CI459" i="25"/>
  <c r="CK459" i="25" s="1"/>
  <c r="CI465" i="25"/>
  <c r="CK465" i="25" s="1"/>
  <c r="CI457" i="25"/>
  <c r="CK457" i="25" s="1"/>
  <c r="CI449" i="25"/>
  <c r="CK449" i="25" s="1"/>
  <c r="CI441" i="25"/>
  <c r="CK441" i="25" s="1"/>
  <c r="CI433" i="25"/>
  <c r="CK433" i="25" s="1"/>
  <c r="CI425" i="25"/>
  <c r="CK425" i="25" s="1"/>
  <c r="CI417" i="25"/>
  <c r="CK417" i="25" s="1"/>
  <c r="CI409" i="25"/>
  <c r="CK409" i="25" s="1"/>
  <c r="CJ582" i="25"/>
  <c r="CJ566" i="25"/>
  <c r="CJ550" i="25"/>
  <c r="CJ534" i="25"/>
  <c r="CJ518" i="25"/>
  <c r="CJ502" i="25"/>
  <c r="CJ486" i="25"/>
  <c r="CJ470" i="25"/>
  <c r="CJ454" i="25"/>
  <c r="CJ438" i="25"/>
  <c r="CJ422" i="25"/>
  <c r="CJ406" i="25"/>
  <c r="CI567" i="25"/>
  <c r="CK567" i="25" s="1"/>
  <c r="CI559" i="25"/>
  <c r="CK559" i="25" s="1"/>
  <c r="CI551" i="25"/>
  <c r="CK551" i="25" s="1"/>
  <c r="CI543" i="25"/>
  <c r="CK543" i="25" s="1"/>
  <c r="CI535" i="25"/>
  <c r="CK535" i="25" s="1"/>
  <c r="CI527" i="25"/>
  <c r="CK527" i="25" s="1"/>
  <c r="CI519" i="25"/>
  <c r="CK519" i="25" s="1"/>
  <c r="CI511" i="25"/>
  <c r="CK511" i="25" s="1"/>
  <c r="CI503" i="25"/>
  <c r="CK503" i="25" s="1"/>
  <c r="CI495" i="25"/>
  <c r="CK495" i="25" s="1"/>
  <c r="CI487" i="25"/>
  <c r="CK487" i="25" s="1"/>
  <c r="CI479" i="25"/>
  <c r="CK479" i="25" s="1"/>
  <c r="CI564" i="25"/>
  <c r="CK564" i="25" s="1"/>
  <c r="CI463" i="25"/>
  <c r="CK463" i="25" s="1"/>
  <c r="CI455" i="25"/>
  <c r="CK455" i="25" s="1"/>
  <c r="CI447" i="25"/>
  <c r="CK447" i="25" s="1"/>
  <c r="CI439" i="25"/>
  <c r="CK439" i="25" s="1"/>
  <c r="CI431" i="25"/>
  <c r="CK431" i="25" s="1"/>
  <c r="CI423" i="25"/>
  <c r="CK423" i="25" s="1"/>
  <c r="CI415" i="25"/>
  <c r="CK415" i="25" s="1"/>
  <c r="CI407" i="25"/>
  <c r="CK407" i="25" s="1"/>
  <c r="CJ599" i="25"/>
  <c r="CJ591" i="25"/>
  <c r="CJ583" i="25"/>
  <c r="CJ575" i="25"/>
  <c r="CI460" i="25"/>
  <c r="CK460" i="25" s="1"/>
  <c r="CI452" i="25"/>
  <c r="CK452" i="25" s="1"/>
  <c r="CI444" i="25"/>
  <c r="CK444" i="25" s="1"/>
  <c r="CI436" i="25"/>
  <c r="CK436" i="25" s="1"/>
  <c r="CI428" i="25"/>
  <c r="CK428" i="25" s="1"/>
  <c r="CI420" i="25"/>
  <c r="CK420" i="25" s="1"/>
  <c r="CI412" i="25"/>
  <c r="CK412" i="25" s="1"/>
  <c r="CI404" i="25"/>
  <c r="CK404" i="25" s="1"/>
  <c r="M25" i="122"/>
  <c r="M27" i="122"/>
  <c r="M28" i="122"/>
  <c r="M29" i="122"/>
  <c r="M30" i="122"/>
  <c r="M31" i="122"/>
  <c r="M32" i="122"/>
  <c r="M33" i="122"/>
  <c r="M34" i="122"/>
  <c r="M35" i="122"/>
  <c r="M38" i="122"/>
  <c r="M39" i="122"/>
  <c r="M40" i="122"/>
  <c r="M41" i="122"/>
  <c r="CL534" i="25" l="1"/>
  <c r="CP534" i="25" s="1"/>
  <c r="CQ534" i="25" s="1"/>
  <c r="CT534" i="25" s="1"/>
  <c r="CO534" i="25"/>
  <c r="CR534" i="25" s="1"/>
  <c r="CS534" i="25" s="1"/>
  <c r="CL507" i="25"/>
  <c r="CO507" i="25"/>
  <c r="CR507" i="25" s="1"/>
  <c r="CS507" i="25" s="1"/>
  <c r="CL491" i="25"/>
  <c r="CO491" i="25"/>
  <c r="CR491" i="25" s="1"/>
  <c r="CS491" i="25" s="1"/>
  <c r="CO548" i="25"/>
  <c r="CR548" i="25" s="1"/>
  <c r="CS548" i="25" s="1"/>
  <c r="CL475" i="25"/>
  <c r="CP475" i="25" s="1"/>
  <c r="CQ475" i="25" s="1"/>
  <c r="CT475" i="25" s="1"/>
  <c r="CO475" i="25"/>
  <c r="CR475" i="25" s="1"/>
  <c r="CS475" i="25" s="1"/>
  <c r="CL515" i="25"/>
  <c r="CP515" i="25" s="1"/>
  <c r="CQ515" i="25" s="1"/>
  <c r="CT515" i="25" s="1"/>
  <c r="CO515" i="25"/>
  <c r="CR515" i="25" s="1"/>
  <c r="CS515" i="25" s="1"/>
  <c r="CO555" i="25"/>
  <c r="CR555" i="25" s="1"/>
  <c r="CS555" i="25" s="1"/>
  <c r="CO427" i="25"/>
  <c r="CR427" i="25" s="1"/>
  <c r="CS427" i="25" s="1"/>
  <c r="CO414" i="25"/>
  <c r="CR414" i="25" s="1"/>
  <c r="CS414" i="25" s="1"/>
  <c r="CO470" i="25"/>
  <c r="CR470" i="25" s="1"/>
  <c r="CS470" i="25" s="1"/>
  <c r="CL563" i="25"/>
  <c r="CP563" i="25" s="1"/>
  <c r="CQ563" i="25" s="1"/>
  <c r="CT563" i="25" s="1"/>
  <c r="CO563" i="25"/>
  <c r="CR563" i="25" s="1"/>
  <c r="CS563" i="25" s="1"/>
  <c r="CL571" i="25"/>
  <c r="CP571" i="25" s="1"/>
  <c r="CQ571" i="25" s="1"/>
  <c r="CT571" i="25" s="1"/>
  <c r="CO571" i="25"/>
  <c r="CR571" i="25" s="1"/>
  <c r="CS571" i="25" s="1"/>
  <c r="CO422" i="25"/>
  <c r="CR422" i="25" s="1"/>
  <c r="CS422" i="25" s="1"/>
  <c r="CO579" i="25"/>
  <c r="CR579" i="25" s="1"/>
  <c r="CS579" i="25" s="1"/>
  <c r="CO478" i="25"/>
  <c r="CR478" i="25" s="1"/>
  <c r="CS478" i="25" s="1"/>
  <c r="CO587" i="25"/>
  <c r="CR587" i="25" s="1"/>
  <c r="CS587" i="25" s="1"/>
  <c r="CL443" i="25"/>
  <c r="CP443" i="25" s="1"/>
  <c r="CQ443" i="25" s="1"/>
  <c r="CT443" i="25" s="1"/>
  <c r="CO443" i="25"/>
  <c r="CR443" i="25" s="1"/>
  <c r="CS443" i="25" s="1"/>
  <c r="CL454" i="25"/>
  <c r="CP454" i="25" s="1"/>
  <c r="CQ454" i="25" s="1"/>
  <c r="CT454" i="25" s="1"/>
  <c r="CO454" i="25"/>
  <c r="CR454" i="25" s="1"/>
  <c r="CS454" i="25" s="1"/>
  <c r="CL574" i="25"/>
  <c r="CP574" i="25" s="1"/>
  <c r="CQ574" i="25" s="1"/>
  <c r="CT574" i="25" s="1"/>
  <c r="CO574" i="25"/>
  <c r="CR574" i="25" s="1"/>
  <c r="CS574" i="25" s="1"/>
  <c r="CL411" i="25"/>
  <c r="CP411" i="25" s="1"/>
  <c r="CQ411" i="25" s="1"/>
  <c r="CT411" i="25" s="1"/>
  <c r="CO411" i="25"/>
  <c r="CR411" i="25" s="1"/>
  <c r="CS411" i="25" s="1"/>
  <c r="CL451" i="25"/>
  <c r="CP451" i="25" s="1"/>
  <c r="CQ451" i="25" s="1"/>
  <c r="CT451" i="25" s="1"/>
  <c r="CO451" i="25"/>
  <c r="CR451" i="25" s="1"/>
  <c r="CS451" i="25" s="1"/>
  <c r="CL523" i="25"/>
  <c r="CP523" i="25" s="1"/>
  <c r="CQ523" i="25" s="1"/>
  <c r="CT523" i="25" s="1"/>
  <c r="CO523" i="25"/>
  <c r="CR523" i="25" s="1"/>
  <c r="CS523" i="25" s="1"/>
  <c r="CO510" i="25"/>
  <c r="CR510" i="25" s="1"/>
  <c r="CS510" i="25" s="1"/>
  <c r="CO406" i="25"/>
  <c r="CR406" i="25" s="1"/>
  <c r="CS406" i="25" s="1"/>
  <c r="CO464" i="25"/>
  <c r="CR464" i="25" s="1"/>
  <c r="CS464" i="25" s="1"/>
  <c r="CO539" i="25"/>
  <c r="CR539" i="25" s="1"/>
  <c r="CS539" i="25" s="1"/>
  <c r="CO550" i="25"/>
  <c r="CR550" i="25" s="1"/>
  <c r="CS550" i="25" s="1"/>
  <c r="CO446" i="25"/>
  <c r="CR446" i="25" s="1"/>
  <c r="CS446" i="25" s="1"/>
  <c r="CO494" i="25"/>
  <c r="CR494" i="25" s="1"/>
  <c r="CS494" i="25" s="1"/>
  <c r="CL499" i="25"/>
  <c r="CO499" i="25"/>
  <c r="CR499" i="25" s="1"/>
  <c r="CS499" i="25" s="1"/>
  <c r="CL430" i="25"/>
  <c r="CP430" i="25" s="1"/>
  <c r="CQ430" i="25" s="1"/>
  <c r="CT430" i="25" s="1"/>
  <c r="CO430" i="25"/>
  <c r="CR430" i="25" s="1"/>
  <c r="CS430" i="25" s="1"/>
  <c r="CL542" i="25"/>
  <c r="CP542" i="25" s="1"/>
  <c r="CQ542" i="25" s="1"/>
  <c r="CT542" i="25" s="1"/>
  <c r="CO542" i="25"/>
  <c r="CR542" i="25" s="1"/>
  <c r="CS542" i="25" s="1"/>
  <c r="CL598" i="25"/>
  <c r="CP598" i="25" s="1"/>
  <c r="CQ598" i="25" s="1"/>
  <c r="CT598" i="25" s="1"/>
  <c r="CO598" i="25"/>
  <c r="CR598" i="25" s="1"/>
  <c r="CS598" i="25" s="1"/>
  <c r="CL435" i="25"/>
  <c r="CO435" i="25"/>
  <c r="CR435" i="25" s="1"/>
  <c r="CS435" i="25" s="1"/>
  <c r="CO502" i="25"/>
  <c r="CR502" i="25" s="1"/>
  <c r="CS502" i="25" s="1"/>
  <c r="CO438" i="25"/>
  <c r="CR438" i="25" s="1"/>
  <c r="CS438" i="25" s="1"/>
  <c r="CO582" i="25"/>
  <c r="CR582" i="25" s="1"/>
  <c r="CS582" i="25" s="1"/>
  <c r="CO467" i="25"/>
  <c r="CR467" i="25" s="1"/>
  <c r="CS467" i="25" s="1"/>
  <c r="CO531" i="25"/>
  <c r="CR531" i="25" s="1"/>
  <c r="CS531" i="25" s="1"/>
  <c r="CO595" i="25"/>
  <c r="CR595" i="25" s="1"/>
  <c r="CS595" i="25" s="1"/>
  <c r="CO518" i="25"/>
  <c r="CR518" i="25" s="1"/>
  <c r="CS518" i="25" s="1"/>
  <c r="CO566" i="25"/>
  <c r="CR566" i="25" s="1"/>
  <c r="CS566" i="25" s="1"/>
  <c r="CO419" i="25"/>
  <c r="CR419" i="25" s="1"/>
  <c r="CS419" i="25" s="1"/>
  <c r="CO483" i="25"/>
  <c r="CR483" i="25" s="1"/>
  <c r="CS483" i="25" s="1"/>
  <c r="CO547" i="25"/>
  <c r="CR547" i="25" s="1"/>
  <c r="CS547" i="25" s="1"/>
  <c r="CO486" i="25"/>
  <c r="CR486" i="25" s="1"/>
  <c r="CS486" i="25" s="1"/>
  <c r="CO462" i="25"/>
  <c r="CR462" i="25" s="1"/>
  <c r="CS462" i="25" s="1"/>
  <c r="CO526" i="25"/>
  <c r="CR526" i="25" s="1"/>
  <c r="CS526" i="25" s="1"/>
  <c r="CO590" i="25"/>
  <c r="CR590" i="25" s="1"/>
  <c r="CS590" i="25" s="1"/>
  <c r="CL529" i="25"/>
  <c r="CP529" i="25" s="1"/>
  <c r="CQ529" i="25" s="1"/>
  <c r="CT529" i="25" s="1"/>
  <c r="CO529" i="25"/>
  <c r="CR529" i="25" s="1"/>
  <c r="CS529" i="25" s="1"/>
  <c r="CL468" i="25"/>
  <c r="CP468" i="25" s="1"/>
  <c r="CQ468" i="25" s="1"/>
  <c r="CT468" i="25" s="1"/>
  <c r="CO468" i="25"/>
  <c r="CR468" i="25" s="1"/>
  <c r="CS468" i="25" s="1"/>
  <c r="CL447" i="25"/>
  <c r="CP447" i="25" s="1"/>
  <c r="CQ447" i="25" s="1"/>
  <c r="CT447" i="25" s="1"/>
  <c r="CO447" i="25"/>
  <c r="CR447" i="25" s="1"/>
  <c r="CS447" i="25" s="1"/>
  <c r="CO505" i="25"/>
  <c r="CR505" i="25" s="1"/>
  <c r="CS505" i="25" s="1"/>
  <c r="CL505" i="25"/>
  <c r="CP505" i="25" s="1"/>
  <c r="CQ505" i="25" s="1"/>
  <c r="CT505" i="25" s="1"/>
  <c r="CO420" i="25"/>
  <c r="CR420" i="25" s="1"/>
  <c r="CS420" i="25" s="1"/>
  <c r="CL420" i="25"/>
  <c r="CP420" i="25" s="1"/>
  <c r="CQ420" i="25" s="1"/>
  <c r="CT420" i="25" s="1"/>
  <c r="CL519" i="25"/>
  <c r="CP519" i="25" s="1"/>
  <c r="CQ519" i="25" s="1"/>
  <c r="CT519" i="25" s="1"/>
  <c r="CO519" i="25"/>
  <c r="CR519" i="25" s="1"/>
  <c r="CS519" i="25" s="1"/>
  <c r="CL513" i="25"/>
  <c r="CP513" i="25" s="1"/>
  <c r="CQ513" i="25" s="1"/>
  <c r="CT513" i="25" s="1"/>
  <c r="CO513" i="25"/>
  <c r="CR513" i="25" s="1"/>
  <c r="CS513" i="25" s="1"/>
  <c r="CL428" i="25"/>
  <c r="CP428" i="25" s="1"/>
  <c r="CQ428" i="25" s="1"/>
  <c r="CT428" i="25" s="1"/>
  <c r="CO428" i="25"/>
  <c r="CR428" i="25" s="1"/>
  <c r="CS428" i="25" s="1"/>
  <c r="CL463" i="25"/>
  <c r="CP463" i="25" s="1"/>
  <c r="CQ463" i="25" s="1"/>
  <c r="CT463" i="25" s="1"/>
  <c r="CO463" i="25"/>
  <c r="CR463" i="25" s="1"/>
  <c r="CS463" i="25" s="1"/>
  <c r="CL527" i="25"/>
  <c r="CP527" i="25" s="1"/>
  <c r="CQ527" i="25" s="1"/>
  <c r="CT527" i="25" s="1"/>
  <c r="CO527" i="25"/>
  <c r="CR527" i="25" s="1"/>
  <c r="CS527" i="25" s="1"/>
  <c r="CL457" i="25"/>
  <c r="CP457" i="25" s="1"/>
  <c r="CQ457" i="25" s="1"/>
  <c r="CT457" i="25" s="1"/>
  <c r="CO457" i="25"/>
  <c r="CR457" i="25" s="1"/>
  <c r="CS457" i="25" s="1"/>
  <c r="CL521" i="25"/>
  <c r="CP521" i="25" s="1"/>
  <c r="CQ521" i="25" s="1"/>
  <c r="CT521" i="25" s="1"/>
  <c r="CO521" i="25"/>
  <c r="CR521" i="25" s="1"/>
  <c r="CS521" i="25" s="1"/>
  <c r="CL585" i="25"/>
  <c r="CP585" i="25" s="1"/>
  <c r="CQ585" i="25" s="1"/>
  <c r="CT585" i="25" s="1"/>
  <c r="CO585" i="25"/>
  <c r="CR585" i="25" s="1"/>
  <c r="CS585" i="25" s="1"/>
  <c r="CL524" i="25"/>
  <c r="CP524" i="25" s="1"/>
  <c r="CQ524" i="25" s="1"/>
  <c r="CT524" i="25" s="1"/>
  <c r="CO524" i="25"/>
  <c r="CR524" i="25" s="1"/>
  <c r="CS524" i="25" s="1"/>
  <c r="CL588" i="25"/>
  <c r="CP588" i="25" s="1"/>
  <c r="CQ588" i="25" s="1"/>
  <c r="CT588" i="25" s="1"/>
  <c r="CO588" i="25"/>
  <c r="CR588" i="25" s="1"/>
  <c r="CS588" i="25" s="1"/>
  <c r="CL583" i="25"/>
  <c r="CP583" i="25" s="1"/>
  <c r="CQ583" i="25" s="1"/>
  <c r="CT583" i="25" s="1"/>
  <c r="CO583" i="25"/>
  <c r="CR583" i="25" s="1"/>
  <c r="CS583" i="25" s="1"/>
  <c r="CL538" i="25"/>
  <c r="CP538" i="25" s="1"/>
  <c r="CQ538" i="25" s="1"/>
  <c r="CT538" i="25" s="1"/>
  <c r="CO538" i="25"/>
  <c r="CR538" i="25" s="1"/>
  <c r="CS538" i="25" s="1"/>
  <c r="CL578" i="25"/>
  <c r="CP578" i="25" s="1"/>
  <c r="CQ578" i="25" s="1"/>
  <c r="CT578" i="25" s="1"/>
  <c r="CO578" i="25"/>
  <c r="CR578" i="25" s="1"/>
  <c r="CS578" i="25" s="1"/>
  <c r="CL564" i="25"/>
  <c r="CP564" i="25" s="1"/>
  <c r="CQ564" i="25" s="1"/>
  <c r="CT564" i="25" s="1"/>
  <c r="CO564" i="25"/>
  <c r="CR564" i="25" s="1"/>
  <c r="CS564" i="25" s="1"/>
  <c r="CL591" i="25"/>
  <c r="CP591" i="25" s="1"/>
  <c r="CQ591" i="25" s="1"/>
  <c r="CT591" i="25" s="1"/>
  <c r="CO591" i="25"/>
  <c r="CR591" i="25" s="1"/>
  <c r="CS591" i="25" s="1"/>
  <c r="CL543" i="25"/>
  <c r="CP543" i="25" s="1"/>
  <c r="CQ543" i="25" s="1"/>
  <c r="CT543" i="25" s="1"/>
  <c r="CO543" i="25"/>
  <c r="CR543" i="25" s="1"/>
  <c r="CS543" i="25" s="1"/>
  <c r="CL476" i="25"/>
  <c r="CP476" i="25" s="1"/>
  <c r="CQ476" i="25" s="1"/>
  <c r="CT476" i="25" s="1"/>
  <c r="CO476" i="25"/>
  <c r="CR476" i="25" s="1"/>
  <c r="CS476" i="25" s="1"/>
  <c r="CL540" i="25"/>
  <c r="CP540" i="25" s="1"/>
  <c r="CQ540" i="25" s="1"/>
  <c r="CT540" i="25" s="1"/>
  <c r="CO540" i="25"/>
  <c r="CR540" i="25" s="1"/>
  <c r="CS540" i="25" s="1"/>
  <c r="CL599" i="25"/>
  <c r="CP599" i="25" s="1"/>
  <c r="CQ599" i="25" s="1"/>
  <c r="CT599" i="25" s="1"/>
  <c r="CO599" i="25"/>
  <c r="CR599" i="25" s="1"/>
  <c r="CS599" i="25" s="1"/>
  <c r="CL546" i="25"/>
  <c r="CP546" i="25" s="1"/>
  <c r="CQ546" i="25" s="1"/>
  <c r="CT546" i="25" s="1"/>
  <c r="CO546" i="25"/>
  <c r="CR546" i="25" s="1"/>
  <c r="CS546" i="25" s="1"/>
  <c r="CL586" i="25"/>
  <c r="CP586" i="25" s="1"/>
  <c r="CQ586" i="25" s="1"/>
  <c r="CT586" i="25" s="1"/>
  <c r="CO586" i="25"/>
  <c r="CR586" i="25" s="1"/>
  <c r="CS586" i="25" s="1"/>
  <c r="CL436" i="25"/>
  <c r="CP436" i="25" s="1"/>
  <c r="CQ436" i="25" s="1"/>
  <c r="CT436" i="25" s="1"/>
  <c r="CO436" i="25"/>
  <c r="CR436" i="25" s="1"/>
  <c r="CS436" i="25" s="1"/>
  <c r="CL465" i="25"/>
  <c r="CP465" i="25" s="1"/>
  <c r="CQ465" i="25" s="1"/>
  <c r="CT465" i="25" s="1"/>
  <c r="CO465" i="25"/>
  <c r="CR465" i="25" s="1"/>
  <c r="CS465" i="25" s="1"/>
  <c r="CL415" i="25"/>
  <c r="CP415" i="25" s="1"/>
  <c r="CQ415" i="25" s="1"/>
  <c r="CT415" i="25" s="1"/>
  <c r="CO415" i="25"/>
  <c r="CR415" i="25" s="1"/>
  <c r="CS415" i="25" s="1"/>
  <c r="CO459" i="25"/>
  <c r="CR459" i="25" s="1"/>
  <c r="CS459" i="25" s="1"/>
  <c r="CL459" i="25"/>
  <c r="CP459" i="25" s="1"/>
  <c r="CQ459" i="25" s="1"/>
  <c r="CT459" i="25" s="1"/>
  <c r="CO452" i="25"/>
  <c r="CR452" i="25" s="1"/>
  <c r="CS452" i="25" s="1"/>
  <c r="CL452" i="25"/>
  <c r="CP452" i="25" s="1"/>
  <c r="CQ452" i="25" s="1"/>
  <c r="CT452" i="25" s="1"/>
  <c r="CL551" i="25"/>
  <c r="CP551" i="25" s="1"/>
  <c r="CQ551" i="25" s="1"/>
  <c r="CT551" i="25" s="1"/>
  <c r="CO551" i="25"/>
  <c r="CR551" i="25" s="1"/>
  <c r="CS551" i="25" s="1"/>
  <c r="CL545" i="25"/>
  <c r="CP545" i="25" s="1"/>
  <c r="CQ545" i="25" s="1"/>
  <c r="CT545" i="25" s="1"/>
  <c r="CO545" i="25"/>
  <c r="CR545" i="25" s="1"/>
  <c r="CS545" i="25" s="1"/>
  <c r="CO484" i="25"/>
  <c r="CR484" i="25" s="1"/>
  <c r="CS484" i="25" s="1"/>
  <c r="CL484" i="25"/>
  <c r="CP484" i="25" s="1"/>
  <c r="CQ484" i="25" s="1"/>
  <c r="CT484" i="25" s="1"/>
  <c r="CO469" i="25"/>
  <c r="CR469" i="25" s="1"/>
  <c r="CS469" i="25" s="1"/>
  <c r="CL469" i="25"/>
  <c r="CP469" i="25" s="1"/>
  <c r="CQ469" i="25" s="1"/>
  <c r="CT469" i="25" s="1"/>
  <c r="CL466" i="25"/>
  <c r="CP466" i="25" s="1"/>
  <c r="CQ466" i="25" s="1"/>
  <c r="CT466" i="25" s="1"/>
  <c r="CO466" i="25"/>
  <c r="CR466" i="25" s="1"/>
  <c r="CS466" i="25" s="1"/>
  <c r="CL506" i="25"/>
  <c r="CP506" i="25" s="1"/>
  <c r="CQ506" i="25" s="1"/>
  <c r="CT506" i="25" s="1"/>
  <c r="CO506" i="25"/>
  <c r="CR506" i="25" s="1"/>
  <c r="CS506" i="25" s="1"/>
  <c r="CL407" i="25"/>
  <c r="CP407" i="25" s="1"/>
  <c r="CQ407" i="25" s="1"/>
  <c r="CT407" i="25" s="1"/>
  <c r="CO407" i="25"/>
  <c r="CR407" i="25" s="1"/>
  <c r="CS407" i="25" s="1"/>
  <c r="CL490" i="25"/>
  <c r="CP490" i="25" s="1"/>
  <c r="CQ490" i="25" s="1"/>
  <c r="CT490" i="25" s="1"/>
  <c r="CO490" i="25"/>
  <c r="CR490" i="25" s="1"/>
  <c r="CS490" i="25" s="1"/>
  <c r="CL479" i="25"/>
  <c r="CP479" i="25" s="1"/>
  <c r="CQ479" i="25" s="1"/>
  <c r="CT479" i="25" s="1"/>
  <c r="CO479" i="25"/>
  <c r="CR479" i="25" s="1"/>
  <c r="CS479" i="25" s="1"/>
  <c r="CO537" i="25"/>
  <c r="CR537" i="25" s="1"/>
  <c r="CS537" i="25" s="1"/>
  <c r="CL537" i="25"/>
  <c r="CP537" i="25" s="1"/>
  <c r="CQ537" i="25" s="1"/>
  <c r="CT537" i="25" s="1"/>
  <c r="CL487" i="25"/>
  <c r="CP487" i="25" s="1"/>
  <c r="CQ487" i="25" s="1"/>
  <c r="CT487" i="25" s="1"/>
  <c r="CO487" i="25"/>
  <c r="CR487" i="25" s="1"/>
  <c r="CS487" i="25" s="1"/>
  <c r="CL417" i="25"/>
  <c r="CP417" i="25" s="1"/>
  <c r="CQ417" i="25" s="1"/>
  <c r="CT417" i="25" s="1"/>
  <c r="CO417" i="25"/>
  <c r="CR417" i="25" s="1"/>
  <c r="CS417" i="25" s="1"/>
  <c r="CL431" i="25"/>
  <c r="CP431" i="25" s="1"/>
  <c r="CQ431" i="25" s="1"/>
  <c r="CT431" i="25" s="1"/>
  <c r="CO431" i="25"/>
  <c r="CR431" i="25" s="1"/>
  <c r="CS431" i="25" s="1"/>
  <c r="CL559" i="25"/>
  <c r="CP559" i="25" s="1"/>
  <c r="CQ559" i="25" s="1"/>
  <c r="CT559" i="25" s="1"/>
  <c r="CO559" i="25"/>
  <c r="CR559" i="25" s="1"/>
  <c r="CS559" i="25" s="1"/>
  <c r="CL425" i="25"/>
  <c r="CP425" i="25" s="1"/>
  <c r="CQ425" i="25" s="1"/>
  <c r="CT425" i="25" s="1"/>
  <c r="CO425" i="25"/>
  <c r="CR425" i="25" s="1"/>
  <c r="CS425" i="25" s="1"/>
  <c r="CL489" i="25"/>
  <c r="CP489" i="25" s="1"/>
  <c r="CQ489" i="25" s="1"/>
  <c r="CT489" i="25" s="1"/>
  <c r="CO489" i="25"/>
  <c r="CR489" i="25" s="1"/>
  <c r="CS489" i="25" s="1"/>
  <c r="CL553" i="25"/>
  <c r="CP553" i="25" s="1"/>
  <c r="CQ553" i="25" s="1"/>
  <c r="CT553" i="25" s="1"/>
  <c r="CO553" i="25"/>
  <c r="CR553" i="25" s="1"/>
  <c r="CS553" i="25" s="1"/>
  <c r="CL492" i="25"/>
  <c r="CP492" i="25" s="1"/>
  <c r="CQ492" i="25" s="1"/>
  <c r="CT492" i="25" s="1"/>
  <c r="CO492" i="25"/>
  <c r="CR492" i="25" s="1"/>
  <c r="CS492" i="25" s="1"/>
  <c r="CL556" i="25"/>
  <c r="CP556" i="25" s="1"/>
  <c r="CQ556" i="25" s="1"/>
  <c r="CT556" i="25" s="1"/>
  <c r="CO556" i="25"/>
  <c r="CR556" i="25" s="1"/>
  <c r="CS556" i="25" s="1"/>
  <c r="CL562" i="25"/>
  <c r="CP562" i="25" s="1"/>
  <c r="CQ562" i="25" s="1"/>
  <c r="CT562" i="25" s="1"/>
  <c r="CO562" i="25"/>
  <c r="CR562" i="25" s="1"/>
  <c r="CS562" i="25" s="1"/>
  <c r="CL594" i="25"/>
  <c r="CP594" i="25" s="1"/>
  <c r="CQ594" i="25" s="1"/>
  <c r="CT594" i="25" s="1"/>
  <c r="CO594" i="25"/>
  <c r="CR594" i="25" s="1"/>
  <c r="CS594" i="25" s="1"/>
  <c r="CL444" i="25"/>
  <c r="CP444" i="25" s="1"/>
  <c r="CQ444" i="25" s="1"/>
  <c r="CT444" i="25" s="1"/>
  <c r="CO444" i="25"/>
  <c r="CR444" i="25" s="1"/>
  <c r="CS444" i="25" s="1"/>
  <c r="CO409" i="25"/>
  <c r="CR409" i="25" s="1"/>
  <c r="CS409" i="25" s="1"/>
  <c r="CL409" i="25"/>
  <c r="CP409" i="25" s="1"/>
  <c r="CQ409" i="25" s="1"/>
  <c r="CT409" i="25" s="1"/>
  <c r="CL423" i="25"/>
  <c r="CP423" i="25" s="1"/>
  <c r="CQ423" i="25" s="1"/>
  <c r="CT423" i="25" s="1"/>
  <c r="CO423" i="25"/>
  <c r="CR423" i="25" s="1"/>
  <c r="CS423" i="25" s="1"/>
  <c r="CL481" i="25"/>
  <c r="CP481" i="25" s="1"/>
  <c r="CQ481" i="25" s="1"/>
  <c r="CT481" i="25" s="1"/>
  <c r="CO481" i="25"/>
  <c r="CR481" i="25" s="1"/>
  <c r="CS481" i="25" s="1"/>
  <c r="CL460" i="25"/>
  <c r="CP460" i="25" s="1"/>
  <c r="CQ460" i="25" s="1"/>
  <c r="CT460" i="25" s="1"/>
  <c r="CO460" i="25"/>
  <c r="CR460" i="25" s="1"/>
  <c r="CS460" i="25" s="1"/>
  <c r="CL495" i="25"/>
  <c r="CP495" i="25" s="1"/>
  <c r="CQ495" i="25" s="1"/>
  <c r="CT495" i="25" s="1"/>
  <c r="CO495" i="25"/>
  <c r="CR495" i="25" s="1"/>
  <c r="CS495" i="25" s="1"/>
  <c r="CL404" i="25"/>
  <c r="CP404" i="25" s="1"/>
  <c r="CQ404" i="25" s="1"/>
  <c r="CT404" i="25" s="1"/>
  <c r="CO404" i="25"/>
  <c r="CR404" i="25" s="1"/>
  <c r="CS404" i="25" s="1"/>
  <c r="CL439" i="25"/>
  <c r="CP439" i="25" s="1"/>
  <c r="CQ439" i="25" s="1"/>
  <c r="CT439" i="25" s="1"/>
  <c r="CO439" i="25"/>
  <c r="CR439" i="25" s="1"/>
  <c r="CS439" i="25" s="1"/>
  <c r="CL503" i="25"/>
  <c r="CP503" i="25" s="1"/>
  <c r="CQ503" i="25" s="1"/>
  <c r="CT503" i="25" s="1"/>
  <c r="CO503" i="25"/>
  <c r="CR503" i="25" s="1"/>
  <c r="CS503" i="25" s="1"/>
  <c r="CL567" i="25"/>
  <c r="CP567" i="25" s="1"/>
  <c r="CQ567" i="25" s="1"/>
  <c r="CT567" i="25" s="1"/>
  <c r="CO567" i="25"/>
  <c r="CR567" i="25" s="1"/>
  <c r="CS567" i="25" s="1"/>
  <c r="CL433" i="25"/>
  <c r="CP433" i="25" s="1"/>
  <c r="CQ433" i="25" s="1"/>
  <c r="CT433" i="25" s="1"/>
  <c r="CO433" i="25"/>
  <c r="CR433" i="25" s="1"/>
  <c r="CS433" i="25" s="1"/>
  <c r="CL497" i="25"/>
  <c r="CP497" i="25" s="1"/>
  <c r="CQ497" i="25" s="1"/>
  <c r="CT497" i="25" s="1"/>
  <c r="CO497" i="25"/>
  <c r="CR497" i="25" s="1"/>
  <c r="CS497" i="25" s="1"/>
  <c r="CL561" i="25"/>
  <c r="CP561" i="25" s="1"/>
  <c r="CQ561" i="25" s="1"/>
  <c r="CT561" i="25" s="1"/>
  <c r="CO561" i="25"/>
  <c r="CR561" i="25" s="1"/>
  <c r="CS561" i="25" s="1"/>
  <c r="CL500" i="25"/>
  <c r="CP500" i="25" s="1"/>
  <c r="CQ500" i="25" s="1"/>
  <c r="CT500" i="25" s="1"/>
  <c r="CO500" i="25"/>
  <c r="CR500" i="25" s="1"/>
  <c r="CS500" i="25" s="1"/>
  <c r="CL554" i="25"/>
  <c r="CP554" i="25" s="1"/>
  <c r="CQ554" i="25" s="1"/>
  <c r="CT554" i="25" s="1"/>
  <c r="CO554" i="25"/>
  <c r="CR554" i="25" s="1"/>
  <c r="CS554" i="25" s="1"/>
  <c r="CL474" i="25"/>
  <c r="CP474" i="25" s="1"/>
  <c r="CQ474" i="25" s="1"/>
  <c r="CT474" i="25" s="1"/>
  <c r="CO474" i="25"/>
  <c r="CR474" i="25" s="1"/>
  <c r="CS474" i="25" s="1"/>
  <c r="CL593" i="25"/>
  <c r="CP593" i="25" s="1"/>
  <c r="CQ593" i="25" s="1"/>
  <c r="CT593" i="25" s="1"/>
  <c r="CO593" i="25"/>
  <c r="CR593" i="25" s="1"/>
  <c r="CS593" i="25" s="1"/>
  <c r="CL596" i="25"/>
  <c r="CP596" i="25" s="1"/>
  <c r="CQ596" i="25" s="1"/>
  <c r="CT596" i="25" s="1"/>
  <c r="CO596" i="25"/>
  <c r="CR596" i="25" s="1"/>
  <c r="CS596" i="25" s="1"/>
  <c r="CL412" i="25"/>
  <c r="CP412" i="25" s="1"/>
  <c r="CQ412" i="25" s="1"/>
  <c r="CT412" i="25" s="1"/>
  <c r="CO412" i="25"/>
  <c r="CR412" i="25" s="1"/>
  <c r="CS412" i="25" s="1"/>
  <c r="CL511" i="25"/>
  <c r="CP511" i="25" s="1"/>
  <c r="CQ511" i="25" s="1"/>
  <c r="CT511" i="25" s="1"/>
  <c r="CO511" i="25"/>
  <c r="CR511" i="25" s="1"/>
  <c r="CS511" i="25" s="1"/>
  <c r="CO569" i="25"/>
  <c r="CR569" i="25" s="1"/>
  <c r="CS569" i="25" s="1"/>
  <c r="CL569" i="25"/>
  <c r="CP569" i="25" s="1"/>
  <c r="CQ569" i="25" s="1"/>
  <c r="CT569" i="25" s="1"/>
  <c r="CL508" i="25"/>
  <c r="CP508" i="25" s="1"/>
  <c r="CQ508" i="25" s="1"/>
  <c r="CT508" i="25" s="1"/>
  <c r="CO508" i="25"/>
  <c r="CR508" i="25" s="1"/>
  <c r="CS508" i="25" s="1"/>
  <c r="CL572" i="25"/>
  <c r="CP572" i="25" s="1"/>
  <c r="CQ572" i="25" s="1"/>
  <c r="CT572" i="25" s="1"/>
  <c r="CO572" i="25"/>
  <c r="CR572" i="25" s="1"/>
  <c r="CS572" i="25" s="1"/>
  <c r="CL530" i="25"/>
  <c r="CP530" i="25" s="1"/>
  <c r="CQ530" i="25" s="1"/>
  <c r="CT530" i="25" s="1"/>
  <c r="CO530" i="25"/>
  <c r="CR530" i="25" s="1"/>
  <c r="CS530" i="25" s="1"/>
  <c r="CL570" i="25"/>
  <c r="CP570" i="25" s="1"/>
  <c r="CQ570" i="25" s="1"/>
  <c r="CT570" i="25" s="1"/>
  <c r="CO570" i="25"/>
  <c r="CR570" i="25" s="1"/>
  <c r="CS570" i="25" s="1"/>
  <c r="CL535" i="25"/>
  <c r="CP535" i="25" s="1"/>
  <c r="CQ535" i="25" s="1"/>
  <c r="CT535" i="25" s="1"/>
  <c r="CO535" i="25"/>
  <c r="CR535" i="25" s="1"/>
  <c r="CS535" i="25" s="1"/>
  <c r="CL532" i="25"/>
  <c r="CP532" i="25" s="1"/>
  <c r="CQ532" i="25" s="1"/>
  <c r="CT532" i="25" s="1"/>
  <c r="CO532" i="25"/>
  <c r="CR532" i="25" s="1"/>
  <c r="CS532" i="25" s="1"/>
  <c r="CO441" i="25"/>
  <c r="CR441" i="25" s="1"/>
  <c r="CS441" i="25" s="1"/>
  <c r="CL441" i="25"/>
  <c r="CP441" i="25" s="1"/>
  <c r="CQ441" i="25" s="1"/>
  <c r="CT441" i="25" s="1"/>
  <c r="CL498" i="25"/>
  <c r="CP498" i="25" s="1"/>
  <c r="CQ498" i="25" s="1"/>
  <c r="CT498" i="25" s="1"/>
  <c r="CO498" i="25"/>
  <c r="CR498" i="25" s="1"/>
  <c r="CS498" i="25" s="1"/>
  <c r="CL455" i="25"/>
  <c r="CP455" i="25" s="1"/>
  <c r="CQ455" i="25" s="1"/>
  <c r="CT455" i="25" s="1"/>
  <c r="CO455" i="25"/>
  <c r="CR455" i="25" s="1"/>
  <c r="CS455" i="25" s="1"/>
  <c r="CL449" i="25"/>
  <c r="CP449" i="25" s="1"/>
  <c r="CQ449" i="25" s="1"/>
  <c r="CT449" i="25" s="1"/>
  <c r="CO449" i="25"/>
  <c r="CR449" i="25" s="1"/>
  <c r="CS449" i="25" s="1"/>
  <c r="CO577" i="25"/>
  <c r="CR577" i="25" s="1"/>
  <c r="CS577" i="25" s="1"/>
  <c r="CL577" i="25"/>
  <c r="CP577" i="25" s="1"/>
  <c r="CQ577" i="25" s="1"/>
  <c r="CT577" i="25" s="1"/>
  <c r="CL522" i="25"/>
  <c r="CP522" i="25" s="1"/>
  <c r="CQ522" i="25" s="1"/>
  <c r="CT522" i="25" s="1"/>
  <c r="CO522" i="25"/>
  <c r="CR522" i="25" s="1"/>
  <c r="CS522" i="25" s="1"/>
  <c r="CO516" i="25"/>
  <c r="CR516" i="25" s="1"/>
  <c r="CS516" i="25" s="1"/>
  <c r="CL516" i="25"/>
  <c r="CP516" i="25" s="1"/>
  <c r="CQ516" i="25" s="1"/>
  <c r="CT516" i="25" s="1"/>
  <c r="CO580" i="25"/>
  <c r="CR580" i="25" s="1"/>
  <c r="CS580" i="25" s="1"/>
  <c r="CL580" i="25"/>
  <c r="CP580" i="25" s="1"/>
  <c r="CQ580" i="25" s="1"/>
  <c r="CT580" i="25" s="1"/>
  <c r="CL575" i="25"/>
  <c r="CP575" i="25" s="1"/>
  <c r="CQ575" i="25" s="1"/>
  <c r="CT575" i="25" s="1"/>
  <c r="CO575" i="25"/>
  <c r="CR575" i="25" s="1"/>
  <c r="CS575" i="25" s="1"/>
  <c r="CL482" i="25"/>
  <c r="CP482" i="25" s="1"/>
  <c r="CQ482" i="25" s="1"/>
  <c r="CT482" i="25" s="1"/>
  <c r="CO482" i="25"/>
  <c r="CR482" i="25" s="1"/>
  <c r="CS482" i="25" s="1"/>
  <c r="CL445" i="25"/>
  <c r="CP445" i="25" s="1"/>
  <c r="CQ445" i="25" s="1"/>
  <c r="CT445" i="25" s="1"/>
  <c r="CO445" i="25"/>
  <c r="CR445" i="25" s="1"/>
  <c r="CS445" i="25" s="1"/>
  <c r="CL509" i="25"/>
  <c r="CP509" i="25" s="1"/>
  <c r="CQ509" i="25" s="1"/>
  <c r="CT509" i="25" s="1"/>
  <c r="CO509" i="25"/>
  <c r="CR509" i="25" s="1"/>
  <c r="CS509" i="25" s="1"/>
  <c r="CL573" i="25"/>
  <c r="CP573" i="25" s="1"/>
  <c r="CQ573" i="25" s="1"/>
  <c r="CT573" i="25" s="1"/>
  <c r="CO573" i="25"/>
  <c r="CR573" i="25" s="1"/>
  <c r="CS573" i="25" s="1"/>
  <c r="CL456" i="25"/>
  <c r="CP456" i="25" s="1"/>
  <c r="CQ456" i="25" s="1"/>
  <c r="CT456" i="25" s="1"/>
  <c r="CO456" i="25"/>
  <c r="CR456" i="25" s="1"/>
  <c r="CS456" i="25" s="1"/>
  <c r="CL520" i="25"/>
  <c r="CP520" i="25" s="1"/>
  <c r="CQ520" i="25" s="1"/>
  <c r="CT520" i="25" s="1"/>
  <c r="CO520" i="25"/>
  <c r="CR520" i="25" s="1"/>
  <c r="CS520" i="25" s="1"/>
  <c r="CL584" i="25"/>
  <c r="CP584" i="25" s="1"/>
  <c r="CQ584" i="25" s="1"/>
  <c r="CT584" i="25" s="1"/>
  <c r="CO584" i="25"/>
  <c r="CR584" i="25" s="1"/>
  <c r="CS584" i="25" s="1"/>
  <c r="CP539" i="25"/>
  <c r="CQ539" i="25" s="1"/>
  <c r="CT539" i="25" s="1"/>
  <c r="CL418" i="25"/>
  <c r="CP418" i="25" s="1"/>
  <c r="CQ418" i="25" s="1"/>
  <c r="CT418" i="25" s="1"/>
  <c r="CO418" i="25"/>
  <c r="CR418" i="25" s="1"/>
  <c r="CS418" i="25" s="1"/>
  <c r="CL421" i="25"/>
  <c r="CP421" i="25" s="1"/>
  <c r="CQ421" i="25" s="1"/>
  <c r="CT421" i="25" s="1"/>
  <c r="CO421" i="25"/>
  <c r="CR421" i="25" s="1"/>
  <c r="CS421" i="25" s="1"/>
  <c r="CL485" i="25"/>
  <c r="CP485" i="25" s="1"/>
  <c r="CQ485" i="25" s="1"/>
  <c r="CT485" i="25" s="1"/>
  <c r="CO485" i="25"/>
  <c r="CR485" i="25" s="1"/>
  <c r="CS485" i="25" s="1"/>
  <c r="CL549" i="25"/>
  <c r="CP549" i="25" s="1"/>
  <c r="CQ549" i="25" s="1"/>
  <c r="CT549" i="25" s="1"/>
  <c r="CO549" i="25"/>
  <c r="CR549" i="25" s="1"/>
  <c r="CS549" i="25" s="1"/>
  <c r="CL458" i="25"/>
  <c r="CP458" i="25" s="1"/>
  <c r="CQ458" i="25" s="1"/>
  <c r="CT458" i="25" s="1"/>
  <c r="CO458" i="25"/>
  <c r="CR458" i="25" s="1"/>
  <c r="CS458" i="25" s="1"/>
  <c r="CL432" i="25"/>
  <c r="CP432" i="25" s="1"/>
  <c r="CQ432" i="25" s="1"/>
  <c r="CT432" i="25" s="1"/>
  <c r="CO432" i="25"/>
  <c r="CR432" i="25" s="1"/>
  <c r="CS432" i="25" s="1"/>
  <c r="CL496" i="25"/>
  <c r="CP496" i="25" s="1"/>
  <c r="CQ496" i="25" s="1"/>
  <c r="CT496" i="25" s="1"/>
  <c r="CO496" i="25"/>
  <c r="CR496" i="25" s="1"/>
  <c r="CS496" i="25" s="1"/>
  <c r="CL560" i="25"/>
  <c r="CP560" i="25" s="1"/>
  <c r="CQ560" i="25" s="1"/>
  <c r="CT560" i="25" s="1"/>
  <c r="CO560" i="25"/>
  <c r="CR560" i="25" s="1"/>
  <c r="CS560" i="25" s="1"/>
  <c r="CP579" i="25"/>
  <c r="CQ579" i="25" s="1"/>
  <c r="CT579" i="25" s="1"/>
  <c r="CL461" i="25"/>
  <c r="CP461" i="25" s="1"/>
  <c r="CQ461" i="25" s="1"/>
  <c r="CT461" i="25" s="1"/>
  <c r="CO461" i="25"/>
  <c r="CR461" i="25" s="1"/>
  <c r="CS461" i="25" s="1"/>
  <c r="CL525" i="25"/>
  <c r="CP525" i="25" s="1"/>
  <c r="CQ525" i="25" s="1"/>
  <c r="CT525" i="25" s="1"/>
  <c r="CO525" i="25"/>
  <c r="CR525" i="25" s="1"/>
  <c r="CS525" i="25" s="1"/>
  <c r="CL589" i="25"/>
  <c r="CP589" i="25" s="1"/>
  <c r="CQ589" i="25" s="1"/>
  <c r="CT589" i="25" s="1"/>
  <c r="CO589" i="25"/>
  <c r="CR589" i="25" s="1"/>
  <c r="CS589" i="25" s="1"/>
  <c r="CL408" i="25"/>
  <c r="CP408" i="25" s="1"/>
  <c r="CQ408" i="25" s="1"/>
  <c r="CT408" i="25" s="1"/>
  <c r="CO408" i="25"/>
  <c r="CR408" i="25" s="1"/>
  <c r="CS408" i="25" s="1"/>
  <c r="CL473" i="25"/>
  <c r="CP473" i="25" s="1"/>
  <c r="CQ473" i="25" s="1"/>
  <c r="CT473" i="25" s="1"/>
  <c r="CO473" i="25"/>
  <c r="CR473" i="25" s="1"/>
  <c r="CS473" i="25" s="1"/>
  <c r="CL536" i="25"/>
  <c r="CP536" i="25" s="1"/>
  <c r="CQ536" i="25" s="1"/>
  <c r="CT536" i="25" s="1"/>
  <c r="CO536" i="25"/>
  <c r="CR536" i="25" s="1"/>
  <c r="CS536" i="25" s="1"/>
  <c r="CL600" i="25"/>
  <c r="CP600" i="25" s="1"/>
  <c r="CQ600" i="25" s="1"/>
  <c r="CT600" i="25" s="1"/>
  <c r="CO600" i="25"/>
  <c r="CR600" i="25" s="1"/>
  <c r="CS600" i="25" s="1"/>
  <c r="CP427" i="25"/>
  <c r="CQ427" i="25" s="1"/>
  <c r="CT427" i="25" s="1"/>
  <c r="CP491" i="25"/>
  <c r="CQ491" i="25" s="1"/>
  <c r="CT491" i="25" s="1"/>
  <c r="CP555" i="25"/>
  <c r="CQ555" i="25" s="1"/>
  <c r="CT555" i="25" s="1"/>
  <c r="CL442" i="25"/>
  <c r="CP442" i="25" s="1"/>
  <c r="CQ442" i="25" s="1"/>
  <c r="CT442" i="25" s="1"/>
  <c r="CO442" i="25"/>
  <c r="CR442" i="25" s="1"/>
  <c r="CS442" i="25" s="1"/>
  <c r="CL437" i="25"/>
  <c r="CP437" i="25" s="1"/>
  <c r="CQ437" i="25" s="1"/>
  <c r="CT437" i="25" s="1"/>
  <c r="CO437" i="25"/>
  <c r="CR437" i="25" s="1"/>
  <c r="CS437" i="25" s="1"/>
  <c r="CL501" i="25"/>
  <c r="CP501" i="25" s="1"/>
  <c r="CQ501" i="25" s="1"/>
  <c r="CT501" i="25" s="1"/>
  <c r="CO501" i="25"/>
  <c r="CR501" i="25" s="1"/>
  <c r="CS501" i="25" s="1"/>
  <c r="CL565" i="25"/>
  <c r="CP565" i="25" s="1"/>
  <c r="CQ565" i="25" s="1"/>
  <c r="CT565" i="25" s="1"/>
  <c r="CO565" i="25"/>
  <c r="CR565" i="25" s="1"/>
  <c r="CS565" i="25" s="1"/>
  <c r="CP590" i="25"/>
  <c r="CQ590" i="25" s="1"/>
  <c r="CT590" i="25" s="1"/>
  <c r="CL448" i="25"/>
  <c r="CP448" i="25" s="1"/>
  <c r="CQ448" i="25" s="1"/>
  <c r="CT448" i="25" s="1"/>
  <c r="CO448" i="25"/>
  <c r="CR448" i="25" s="1"/>
  <c r="CS448" i="25" s="1"/>
  <c r="CL512" i="25"/>
  <c r="CP512" i="25" s="1"/>
  <c r="CQ512" i="25" s="1"/>
  <c r="CT512" i="25" s="1"/>
  <c r="CO512" i="25"/>
  <c r="CR512" i="25" s="1"/>
  <c r="CS512" i="25" s="1"/>
  <c r="CL576" i="25"/>
  <c r="CP576" i="25" s="1"/>
  <c r="CQ576" i="25" s="1"/>
  <c r="CT576" i="25" s="1"/>
  <c r="CO576" i="25"/>
  <c r="CR576" i="25" s="1"/>
  <c r="CS576" i="25" s="1"/>
  <c r="CP467" i="25"/>
  <c r="CQ467" i="25" s="1"/>
  <c r="CT467" i="25" s="1"/>
  <c r="CP531" i="25"/>
  <c r="CQ531" i="25" s="1"/>
  <c r="CT531" i="25" s="1"/>
  <c r="CP595" i="25"/>
  <c r="CQ595" i="25" s="1"/>
  <c r="CT595" i="25" s="1"/>
  <c r="CL413" i="25"/>
  <c r="CP413" i="25" s="1"/>
  <c r="CQ413" i="25" s="1"/>
  <c r="CT413" i="25" s="1"/>
  <c r="CO413" i="25"/>
  <c r="CR413" i="25" s="1"/>
  <c r="CS413" i="25" s="1"/>
  <c r="CL477" i="25"/>
  <c r="CP477" i="25" s="1"/>
  <c r="CQ477" i="25" s="1"/>
  <c r="CT477" i="25" s="1"/>
  <c r="CO477" i="25"/>
  <c r="CR477" i="25" s="1"/>
  <c r="CS477" i="25" s="1"/>
  <c r="CL541" i="25"/>
  <c r="CP541" i="25" s="1"/>
  <c r="CQ541" i="25" s="1"/>
  <c r="CT541" i="25" s="1"/>
  <c r="CO541" i="25"/>
  <c r="CR541" i="25" s="1"/>
  <c r="CS541" i="25" s="1"/>
  <c r="CL450" i="25"/>
  <c r="CP450" i="25" s="1"/>
  <c r="CQ450" i="25" s="1"/>
  <c r="CT450" i="25" s="1"/>
  <c r="CO450" i="25"/>
  <c r="CR450" i="25" s="1"/>
  <c r="CS450" i="25" s="1"/>
  <c r="CL410" i="25"/>
  <c r="CP410" i="25" s="1"/>
  <c r="CQ410" i="25" s="1"/>
  <c r="CT410" i="25" s="1"/>
  <c r="CO410" i="25"/>
  <c r="CR410" i="25" s="1"/>
  <c r="CS410" i="25" s="1"/>
  <c r="CL424" i="25"/>
  <c r="CP424" i="25" s="1"/>
  <c r="CQ424" i="25" s="1"/>
  <c r="CT424" i="25" s="1"/>
  <c r="CO424" i="25"/>
  <c r="CR424" i="25" s="1"/>
  <c r="CS424" i="25" s="1"/>
  <c r="CL488" i="25"/>
  <c r="CP488" i="25" s="1"/>
  <c r="CQ488" i="25" s="1"/>
  <c r="CT488" i="25" s="1"/>
  <c r="CO488" i="25"/>
  <c r="CR488" i="25" s="1"/>
  <c r="CS488" i="25" s="1"/>
  <c r="CL552" i="25"/>
  <c r="CP552" i="25" s="1"/>
  <c r="CQ552" i="25" s="1"/>
  <c r="CT552" i="25" s="1"/>
  <c r="CO552" i="25"/>
  <c r="CR552" i="25" s="1"/>
  <c r="CS552" i="25" s="1"/>
  <c r="CL434" i="25"/>
  <c r="CP434" i="25" s="1"/>
  <c r="CQ434" i="25" s="1"/>
  <c r="CT434" i="25" s="1"/>
  <c r="CO434" i="25"/>
  <c r="CR434" i="25" s="1"/>
  <c r="CS434" i="25" s="1"/>
  <c r="CP507" i="25"/>
  <c r="CQ507" i="25" s="1"/>
  <c r="CT507" i="25" s="1"/>
  <c r="CL453" i="25"/>
  <c r="CP453" i="25" s="1"/>
  <c r="CQ453" i="25" s="1"/>
  <c r="CT453" i="25" s="1"/>
  <c r="CO453" i="25"/>
  <c r="CR453" i="25" s="1"/>
  <c r="CS453" i="25" s="1"/>
  <c r="CL517" i="25"/>
  <c r="CP517" i="25" s="1"/>
  <c r="CQ517" i="25" s="1"/>
  <c r="CT517" i="25" s="1"/>
  <c r="CO517" i="25"/>
  <c r="CR517" i="25" s="1"/>
  <c r="CS517" i="25" s="1"/>
  <c r="CL581" i="25"/>
  <c r="CP581" i="25" s="1"/>
  <c r="CQ581" i="25" s="1"/>
  <c r="CT581" i="25" s="1"/>
  <c r="CO581" i="25"/>
  <c r="CR581" i="25" s="1"/>
  <c r="CS581" i="25" s="1"/>
  <c r="CP414" i="25"/>
  <c r="CQ414" i="25" s="1"/>
  <c r="CT414" i="25" s="1"/>
  <c r="CP478" i="25"/>
  <c r="CQ478" i="25" s="1"/>
  <c r="CT478" i="25" s="1"/>
  <c r="CL472" i="25"/>
  <c r="CP472" i="25" s="1"/>
  <c r="CQ472" i="25" s="1"/>
  <c r="CT472" i="25" s="1"/>
  <c r="CO472" i="25"/>
  <c r="CR472" i="25" s="1"/>
  <c r="CS472" i="25" s="1"/>
  <c r="CL528" i="25"/>
  <c r="CP528" i="25" s="1"/>
  <c r="CQ528" i="25" s="1"/>
  <c r="CT528" i="25" s="1"/>
  <c r="CO528" i="25"/>
  <c r="CR528" i="25" s="1"/>
  <c r="CS528" i="25" s="1"/>
  <c r="CL592" i="25"/>
  <c r="CP592" i="25" s="1"/>
  <c r="CQ592" i="25" s="1"/>
  <c r="CT592" i="25" s="1"/>
  <c r="CO592" i="25"/>
  <c r="CR592" i="25" s="1"/>
  <c r="CS592" i="25" s="1"/>
  <c r="CP419" i="25"/>
  <c r="CQ419" i="25" s="1"/>
  <c r="CT419" i="25" s="1"/>
  <c r="CP483" i="25"/>
  <c r="CQ483" i="25" s="1"/>
  <c r="CT483" i="25" s="1"/>
  <c r="CP547" i="25"/>
  <c r="CQ547" i="25" s="1"/>
  <c r="CT547" i="25" s="1"/>
  <c r="CL429" i="25"/>
  <c r="CP429" i="25" s="1"/>
  <c r="CQ429" i="25" s="1"/>
  <c r="CT429" i="25" s="1"/>
  <c r="CO429" i="25"/>
  <c r="CR429" i="25" s="1"/>
  <c r="CS429" i="25" s="1"/>
  <c r="CL493" i="25"/>
  <c r="CP493" i="25" s="1"/>
  <c r="CQ493" i="25" s="1"/>
  <c r="CT493" i="25" s="1"/>
  <c r="CO493" i="25"/>
  <c r="CR493" i="25" s="1"/>
  <c r="CS493" i="25" s="1"/>
  <c r="CL557" i="25"/>
  <c r="CP557" i="25" s="1"/>
  <c r="CQ557" i="25" s="1"/>
  <c r="CT557" i="25" s="1"/>
  <c r="CO557" i="25"/>
  <c r="CR557" i="25" s="1"/>
  <c r="CS557" i="25" s="1"/>
  <c r="CL514" i="25"/>
  <c r="CP514" i="25" s="1"/>
  <c r="CQ514" i="25" s="1"/>
  <c r="CT514" i="25" s="1"/>
  <c r="CO514" i="25"/>
  <c r="CR514" i="25" s="1"/>
  <c r="CS514" i="25" s="1"/>
  <c r="CL440" i="25"/>
  <c r="CP440" i="25" s="1"/>
  <c r="CQ440" i="25" s="1"/>
  <c r="CT440" i="25" s="1"/>
  <c r="CO440" i="25"/>
  <c r="CR440" i="25" s="1"/>
  <c r="CS440" i="25" s="1"/>
  <c r="CL504" i="25"/>
  <c r="CP504" i="25" s="1"/>
  <c r="CQ504" i="25" s="1"/>
  <c r="CT504" i="25" s="1"/>
  <c r="CO504" i="25"/>
  <c r="CR504" i="25" s="1"/>
  <c r="CS504" i="25" s="1"/>
  <c r="CL568" i="25"/>
  <c r="CP568" i="25" s="1"/>
  <c r="CQ568" i="25" s="1"/>
  <c r="CT568" i="25" s="1"/>
  <c r="CO568" i="25"/>
  <c r="CR568" i="25" s="1"/>
  <c r="CS568" i="25" s="1"/>
  <c r="CL471" i="25"/>
  <c r="CP471" i="25" s="1"/>
  <c r="CQ471" i="25" s="1"/>
  <c r="CT471" i="25" s="1"/>
  <c r="CO471" i="25"/>
  <c r="CR471" i="25" s="1"/>
  <c r="CS471" i="25" s="1"/>
  <c r="CP464" i="25"/>
  <c r="CQ464" i="25" s="1"/>
  <c r="CT464" i="25" s="1"/>
  <c r="CP587" i="25"/>
  <c r="CQ587" i="25" s="1"/>
  <c r="CT587" i="25" s="1"/>
  <c r="CL405" i="25"/>
  <c r="CP405" i="25" s="1"/>
  <c r="CQ405" i="25" s="1"/>
  <c r="CT405" i="25" s="1"/>
  <c r="CO405" i="25"/>
  <c r="CR405" i="25" s="1"/>
  <c r="CS405" i="25" s="1"/>
  <c r="CL558" i="25"/>
  <c r="CP558" i="25" s="1"/>
  <c r="CQ558" i="25" s="1"/>
  <c r="CT558" i="25" s="1"/>
  <c r="CO558" i="25"/>
  <c r="CR558" i="25" s="1"/>
  <c r="CS558" i="25" s="1"/>
  <c r="CL533" i="25"/>
  <c r="CP533" i="25" s="1"/>
  <c r="CQ533" i="25" s="1"/>
  <c r="CT533" i="25" s="1"/>
  <c r="CO533" i="25"/>
  <c r="CR533" i="25" s="1"/>
  <c r="CS533" i="25" s="1"/>
  <c r="CL597" i="25"/>
  <c r="CP597" i="25" s="1"/>
  <c r="CQ597" i="25" s="1"/>
  <c r="CT597" i="25" s="1"/>
  <c r="CO597" i="25"/>
  <c r="CR597" i="25" s="1"/>
  <c r="CS597" i="25" s="1"/>
  <c r="CL416" i="25"/>
  <c r="CP416" i="25" s="1"/>
  <c r="CQ416" i="25" s="1"/>
  <c r="CT416" i="25" s="1"/>
  <c r="CO416" i="25"/>
  <c r="CR416" i="25" s="1"/>
  <c r="CS416" i="25" s="1"/>
  <c r="CL480" i="25"/>
  <c r="CP480" i="25" s="1"/>
  <c r="CQ480" i="25" s="1"/>
  <c r="CT480" i="25" s="1"/>
  <c r="CO480" i="25"/>
  <c r="CR480" i="25" s="1"/>
  <c r="CS480" i="25" s="1"/>
  <c r="CL544" i="25"/>
  <c r="CP544" i="25" s="1"/>
  <c r="CQ544" i="25" s="1"/>
  <c r="CT544" i="25" s="1"/>
  <c r="CO544" i="25"/>
  <c r="CR544" i="25" s="1"/>
  <c r="CS544" i="25" s="1"/>
  <c r="CL426" i="25"/>
  <c r="CP426" i="25" s="1"/>
  <c r="CQ426" i="25" s="1"/>
  <c r="CT426" i="25" s="1"/>
  <c r="CO426" i="25"/>
  <c r="CR426" i="25" s="1"/>
  <c r="CS426" i="25" s="1"/>
  <c r="CP435" i="25"/>
  <c r="CQ435" i="25" s="1"/>
  <c r="CT435" i="25" s="1"/>
  <c r="CP499" i="25"/>
  <c r="CQ499" i="25" s="1"/>
  <c r="CT499" i="25" s="1"/>
  <c r="DS329" i="25"/>
  <c r="X61" i="92"/>
  <c r="J61" i="92"/>
  <c r="J36" i="89" l="1"/>
  <c r="J35" i="89"/>
  <c r="J33" i="89"/>
  <c r="F53" i="89" l="1"/>
  <c r="E53" i="89"/>
  <c r="L33" i="89" l="1"/>
  <c r="O237" i="25" l="1"/>
  <c r="BN394" i="25"/>
  <c r="BN259" i="25"/>
  <c r="AK276" i="25"/>
  <c r="AL226" i="25"/>
  <c r="AK226" i="25"/>
  <c r="I32" i="89" l="1"/>
  <c r="S48" i="89"/>
  <c r="S50" i="89"/>
  <c r="N50" i="89"/>
  <c r="L50" i="89"/>
  <c r="M50" i="89" s="1"/>
  <c r="L48" i="89"/>
  <c r="M48" i="89" s="1"/>
  <c r="P51" i="89"/>
  <c r="R50" i="89"/>
  <c r="R48" i="89"/>
  <c r="I38" i="89"/>
  <c r="F38" i="89"/>
  <c r="E38" i="89"/>
  <c r="S35" i="89"/>
  <c r="J29" i="89"/>
  <c r="S29" i="89" s="1"/>
  <c r="J23" i="89"/>
  <c r="S23" i="89" s="1"/>
  <c r="N48" i="89" l="1"/>
  <c r="O50" i="89"/>
  <c r="O48" i="89"/>
  <c r="P50" i="89"/>
  <c r="P48" i="89"/>
  <c r="Q50" i="89"/>
  <c r="Q48" i="89"/>
  <c r="L51" i="89"/>
  <c r="M51" i="89" s="1"/>
  <c r="S51" i="89"/>
  <c r="N51" i="89"/>
  <c r="Q51" i="89"/>
  <c r="R51" i="89"/>
  <c r="O51" i="89"/>
  <c r="J354" i="25"/>
  <c r="J352" i="25"/>
  <c r="J257" i="25" l="1"/>
  <c r="CU257" i="25" s="1"/>
  <c r="G9" i="25"/>
  <c r="G10" i="25"/>
  <c r="G11" i="25"/>
  <c r="BZ257" i="25"/>
  <c r="CA257" i="25"/>
  <c r="CC257" i="25"/>
  <c r="CD257" i="25"/>
  <c r="CE257" i="25"/>
  <c r="CF257" i="25"/>
  <c r="CG257" i="25"/>
  <c r="CH257" i="25"/>
  <c r="CV257" i="25"/>
  <c r="DA257" i="25"/>
  <c r="DF257" i="25"/>
  <c r="DI257" i="25"/>
  <c r="DP257" i="25"/>
  <c r="DQ257" i="25"/>
  <c r="DR257" i="25" s="1"/>
  <c r="DS257" i="25"/>
  <c r="DU257" i="25"/>
  <c r="DV257" i="25"/>
  <c r="DW257" i="25"/>
  <c r="DY257" i="25"/>
  <c r="DZ257" i="25"/>
  <c r="EA257" i="25"/>
  <c r="EB257" i="25"/>
  <c r="EC257" i="25"/>
  <c r="DO257" i="25" s="1"/>
  <c r="ED257" i="25"/>
  <c r="EE257" i="25"/>
  <c r="EF257" i="25"/>
  <c r="EG257" i="25"/>
  <c r="EH257" i="25"/>
  <c r="DH257" i="25" l="1"/>
  <c r="DJ257" i="25" s="1"/>
  <c r="CY257" i="25"/>
  <c r="CX257" i="25"/>
  <c r="CW257" i="25" s="1"/>
  <c r="DE257" i="25" s="1"/>
  <c r="CJ257" i="25"/>
  <c r="CI257" i="25"/>
  <c r="CK257" i="25" s="1"/>
  <c r="CL257" i="25" s="1"/>
  <c r="DG257" i="25"/>
  <c r="DN257" i="25" s="1"/>
  <c r="CM257" i="25"/>
  <c r="CN257" i="25" s="1"/>
  <c r="DT257" i="25"/>
  <c r="CB257" i="25"/>
  <c r="DC257" i="25"/>
  <c r="DD257" i="25" s="1"/>
  <c r="CZ257" i="25"/>
  <c r="DB257" i="25" s="1"/>
  <c r="DX257" i="25" s="1"/>
  <c r="CP257" i="25" l="1"/>
  <c r="CQ257" i="25" s="1"/>
  <c r="CT257" i="25" s="1"/>
  <c r="DK257" i="25"/>
  <c r="DL257" i="25" s="1"/>
  <c r="DM257" i="25" s="1"/>
  <c r="CO257" i="25"/>
  <c r="CR257" i="25" s="1"/>
  <c r="CS257" i="25" s="1"/>
  <c r="BZ337" i="25" l="1"/>
  <c r="BZ340" i="25"/>
  <c r="BZ374" i="25"/>
  <c r="BZ386" i="25"/>
  <c r="BZ387" i="25"/>
  <c r="BZ388" i="25"/>
  <c r="BZ259" i="25"/>
  <c r="BZ332" i="25"/>
  <c r="BZ277" i="25"/>
  <c r="BZ210" i="25"/>
  <c r="BZ281" i="25"/>
  <c r="BZ362" i="25"/>
  <c r="BZ256" i="25"/>
  <c r="BZ389" i="25"/>
  <c r="BZ208" i="25"/>
  <c r="BZ211" i="25"/>
  <c r="BZ207" i="25"/>
  <c r="BZ242" i="25"/>
  <c r="BZ243" i="25"/>
  <c r="BZ285" i="25"/>
  <c r="BZ261" i="25"/>
  <c r="BZ263" i="25"/>
  <c r="BZ264" i="25"/>
  <c r="BZ212" i="25"/>
  <c r="BZ269" i="25"/>
  <c r="BZ224" i="25"/>
  <c r="BZ225" i="25"/>
  <c r="BZ344" i="25"/>
  <c r="BZ347" i="25"/>
  <c r="BZ351" i="25"/>
  <c r="BZ357" i="25"/>
  <c r="BZ358" i="25"/>
  <c r="BZ282" i="25"/>
  <c r="BZ359" i="25"/>
  <c r="BZ333" i="25"/>
  <c r="BZ360" i="25"/>
  <c r="BZ361" i="25"/>
  <c r="BZ226" i="25"/>
  <c r="BZ266" i="25"/>
  <c r="BZ236" i="25"/>
  <c r="BZ238" i="25"/>
  <c r="BZ363" i="25"/>
  <c r="BZ246" i="25"/>
  <c r="BZ248" i="25"/>
  <c r="BZ400" i="25"/>
  <c r="BZ401" i="25"/>
  <c r="BZ209" i="25"/>
  <c r="BZ296" i="25"/>
  <c r="BZ286" i="25"/>
  <c r="BZ368" i="25"/>
  <c r="BZ294" i="25"/>
  <c r="BZ297" i="25"/>
  <c r="BZ298" i="25"/>
  <c r="BZ299" i="25"/>
  <c r="BZ343" i="25"/>
  <c r="BZ365" i="25"/>
  <c r="BZ214" i="25"/>
  <c r="BZ215" i="25"/>
  <c r="BZ276" i="25"/>
  <c r="BZ219" i="25"/>
  <c r="BZ229" i="25"/>
  <c r="BZ216" i="25"/>
  <c r="BZ217" i="25"/>
  <c r="BZ218" i="25"/>
  <c r="BZ213" i="25"/>
  <c r="BZ336" i="25"/>
  <c r="BZ227" i="25"/>
  <c r="BZ345" i="25"/>
  <c r="BZ220" i="25"/>
  <c r="BZ262" i="25"/>
  <c r="BZ300" i="25"/>
  <c r="BZ245" i="25"/>
  <c r="BZ302" i="25"/>
  <c r="BZ390" i="25"/>
  <c r="BZ391" i="25"/>
  <c r="BZ366" i="25"/>
  <c r="BZ339" i="25"/>
  <c r="BZ392" i="25"/>
  <c r="BZ393" i="25"/>
  <c r="BZ305" i="25"/>
  <c r="BZ395" i="25"/>
  <c r="BZ291" i="25"/>
  <c r="BZ394" i="25"/>
  <c r="BZ311" i="25"/>
  <c r="BZ272" i="25"/>
  <c r="BZ346" i="25"/>
  <c r="BZ348" i="25"/>
  <c r="BZ402" i="25"/>
  <c r="BZ396" i="25"/>
  <c r="BZ403" i="25"/>
  <c r="BZ399" i="25"/>
  <c r="BZ222" i="25"/>
  <c r="BZ253" i="25"/>
  <c r="BZ241" i="25"/>
  <c r="BZ367" i="25"/>
  <c r="BZ255" i="25"/>
  <c r="BZ267" i="25"/>
  <c r="BZ265" i="25"/>
  <c r="BZ369" i="25"/>
  <c r="BZ228" i="25"/>
  <c r="BZ235" i="25"/>
  <c r="BZ397" i="25"/>
  <c r="BZ230" i="25"/>
  <c r="BZ249" i="25"/>
  <c r="BZ273" i="25"/>
  <c r="BZ251" i="25"/>
  <c r="BZ231" i="25"/>
  <c r="BZ398" i="25"/>
  <c r="BZ252" i="25"/>
  <c r="BZ232" i="25"/>
  <c r="BZ284" i="25"/>
  <c r="BZ221" i="25"/>
  <c r="BZ234" i="25"/>
  <c r="BZ237" i="25"/>
  <c r="BZ370" i="25"/>
  <c r="BZ244" i="25"/>
  <c r="BZ325" i="25"/>
  <c r="BZ250" i="25"/>
  <c r="BZ233" i="25"/>
  <c r="BZ326" i="25"/>
  <c r="BZ327" i="25"/>
  <c r="BZ335" i="25"/>
  <c r="BZ349" i="25"/>
  <c r="BZ338" i="25"/>
  <c r="BZ239" i="25"/>
  <c r="BZ356" i="25"/>
  <c r="BZ240" i="25"/>
  <c r="BZ364" i="25"/>
  <c r="BZ322" i="25"/>
  <c r="BZ323" i="25"/>
  <c r="BZ378" i="25"/>
  <c r="BZ260" i="25"/>
  <c r="BZ334" i="25"/>
  <c r="BZ353" i="25"/>
  <c r="BZ247" i="25"/>
  <c r="BZ380" i="25"/>
  <c r="BZ352" i="25"/>
  <c r="BZ274" i="25"/>
  <c r="BZ223" i="25"/>
  <c r="BZ268" i="25"/>
  <c r="BZ270" i="25"/>
  <c r="BZ275" i="25"/>
  <c r="BZ371" i="25"/>
  <c r="BZ350" i="25"/>
  <c r="BZ354" i="25"/>
  <c r="BZ271" i="25"/>
  <c r="BZ373" i="25"/>
  <c r="BZ372" i="25"/>
  <c r="BZ379" i="25"/>
  <c r="BZ355" i="25"/>
  <c r="BZ375" i="25"/>
  <c r="BZ376" i="25"/>
  <c r="BZ377" i="25"/>
  <c r="BZ341" i="25"/>
  <c r="BZ381" i="25"/>
  <c r="BZ382" i="25"/>
  <c r="BZ384" i="25"/>
  <c r="BZ385" i="25"/>
  <c r="BZ383" i="25"/>
  <c r="BZ254" i="25"/>
  <c r="BZ258" i="25"/>
  <c r="BZ316" i="25"/>
  <c r="BZ324" i="25"/>
  <c r="BZ342" i="25"/>
  <c r="BZ279" i="25"/>
  <c r="BZ283" i="25"/>
  <c r="BZ287" i="25"/>
  <c r="BZ288" i="25"/>
  <c r="BZ289" i="25"/>
  <c r="BZ293" i="25"/>
  <c r="BZ295" i="25"/>
  <c r="BZ304" i="25"/>
  <c r="BZ307" i="25"/>
  <c r="BZ308" i="25"/>
  <c r="BZ309" i="25"/>
  <c r="BZ314" i="25"/>
  <c r="BZ315" i="25"/>
  <c r="BZ319" i="25"/>
  <c r="BZ320" i="25"/>
  <c r="BZ328" i="25"/>
  <c r="BZ278" i="25"/>
  <c r="BZ301" i="25"/>
  <c r="BZ329" i="25"/>
  <c r="BZ280" i="25"/>
  <c r="BZ310" i="25"/>
  <c r="BZ306" i="25"/>
  <c r="BZ330" i="25"/>
  <c r="BZ312" i="25"/>
  <c r="BZ313" i="25"/>
  <c r="BZ331" i="25"/>
  <c r="BZ318" i="25"/>
  <c r="BZ290" i="25"/>
  <c r="BZ292" i="25"/>
  <c r="BZ317" i="25"/>
  <c r="BZ321" i="25"/>
  <c r="BZ303" i="25"/>
  <c r="CA337" i="25"/>
  <c r="CA340" i="25"/>
  <c r="CA374" i="25"/>
  <c r="CA386" i="25"/>
  <c r="CA387" i="25"/>
  <c r="CA388" i="25"/>
  <c r="CA259" i="25"/>
  <c r="CA332" i="25"/>
  <c r="CA277" i="25"/>
  <c r="CA210" i="25"/>
  <c r="CA281" i="25"/>
  <c r="CA362" i="25"/>
  <c r="CA256" i="25"/>
  <c r="CA389" i="25"/>
  <c r="CA208" i="25"/>
  <c r="CA211" i="25"/>
  <c r="CA207" i="25"/>
  <c r="CA242" i="25"/>
  <c r="CA243" i="25"/>
  <c r="CA285" i="25"/>
  <c r="CA261" i="25"/>
  <c r="CA263" i="25"/>
  <c r="CA264" i="25"/>
  <c r="CA212" i="25"/>
  <c r="CA269" i="25"/>
  <c r="CA224" i="25"/>
  <c r="CA225" i="25"/>
  <c r="CA344" i="25"/>
  <c r="CA347" i="25"/>
  <c r="CA351" i="25"/>
  <c r="CA357" i="25"/>
  <c r="CA358" i="25"/>
  <c r="CA282" i="25"/>
  <c r="CA359" i="25"/>
  <c r="CA333" i="25"/>
  <c r="CA360" i="25"/>
  <c r="CA361" i="25"/>
  <c r="CA226" i="25"/>
  <c r="CA266" i="25"/>
  <c r="CA236" i="25"/>
  <c r="CA238" i="25"/>
  <c r="CA363" i="25"/>
  <c r="CA246" i="25"/>
  <c r="CA248" i="25"/>
  <c r="CA400" i="25"/>
  <c r="CA401" i="25"/>
  <c r="CA209" i="25"/>
  <c r="CA296" i="25"/>
  <c r="CA286" i="25"/>
  <c r="CA368" i="25"/>
  <c r="CA294" i="25"/>
  <c r="CA297" i="25"/>
  <c r="CA298" i="25"/>
  <c r="CA299" i="25"/>
  <c r="CA343" i="25"/>
  <c r="CA365" i="25"/>
  <c r="CA214" i="25"/>
  <c r="CA215" i="25"/>
  <c r="CA276" i="25"/>
  <c r="CA219" i="25"/>
  <c r="CA229" i="25"/>
  <c r="CA216" i="25"/>
  <c r="CA217" i="25"/>
  <c r="CA218" i="25"/>
  <c r="CA213" i="25"/>
  <c r="CA336" i="25"/>
  <c r="CA227" i="25"/>
  <c r="CA345" i="25"/>
  <c r="CA220" i="25"/>
  <c r="CA262" i="25"/>
  <c r="CA300" i="25"/>
  <c r="CA245" i="25"/>
  <c r="CA302" i="25"/>
  <c r="CA390" i="25"/>
  <c r="CA391" i="25"/>
  <c r="CA366" i="25"/>
  <c r="CA339" i="25"/>
  <c r="CA392" i="25"/>
  <c r="CA393" i="25"/>
  <c r="CA305" i="25"/>
  <c r="CA395" i="25"/>
  <c r="CA291" i="25"/>
  <c r="CA394" i="25"/>
  <c r="CA311" i="25"/>
  <c r="CA272" i="25"/>
  <c r="CA346" i="25"/>
  <c r="CA348" i="25"/>
  <c r="CA402" i="25"/>
  <c r="CA396" i="25"/>
  <c r="CA403" i="25"/>
  <c r="CA399" i="25"/>
  <c r="CA222" i="25"/>
  <c r="CA253" i="25"/>
  <c r="CA241" i="25"/>
  <c r="CA367" i="25"/>
  <c r="CA255" i="25"/>
  <c r="CA267" i="25"/>
  <c r="CA265" i="25"/>
  <c r="CA369" i="25"/>
  <c r="CA228" i="25"/>
  <c r="CA235" i="25"/>
  <c r="CA397" i="25"/>
  <c r="CA230" i="25"/>
  <c r="CA249" i="25"/>
  <c r="CA273" i="25"/>
  <c r="CA251" i="25"/>
  <c r="CA231" i="25"/>
  <c r="CA398" i="25"/>
  <c r="CA252" i="25"/>
  <c r="CA232" i="25"/>
  <c r="CA284" i="25"/>
  <c r="CA221" i="25"/>
  <c r="CA234" i="25"/>
  <c r="CA237" i="25"/>
  <c r="CA370" i="25"/>
  <c r="CA244" i="25"/>
  <c r="CA325" i="25"/>
  <c r="CA250" i="25"/>
  <c r="CA233" i="25"/>
  <c r="CA326" i="25"/>
  <c r="CA327" i="25"/>
  <c r="CA335" i="25"/>
  <c r="CA349" i="25"/>
  <c r="CA338" i="25"/>
  <c r="CA239" i="25"/>
  <c r="CA356" i="25"/>
  <c r="CA240" i="25"/>
  <c r="CA364" i="25"/>
  <c r="CA322" i="25"/>
  <c r="CA323" i="25"/>
  <c r="CA378" i="25"/>
  <c r="CA260" i="25"/>
  <c r="CA334" i="25"/>
  <c r="CA353" i="25"/>
  <c r="CA247" i="25"/>
  <c r="CA380" i="25"/>
  <c r="CA352" i="25"/>
  <c r="CA274" i="25"/>
  <c r="CA223" i="25"/>
  <c r="CA268" i="25"/>
  <c r="CA270" i="25"/>
  <c r="CA275" i="25"/>
  <c r="CA371" i="25"/>
  <c r="CA350" i="25"/>
  <c r="CA354" i="25"/>
  <c r="CA271" i="25"/>
  <c r="CA373" i="25"/>
  <c r="CA372" i="25"/>
  <c r="CA379" i="25"/>
  <c r="CA355" i="25"/>
  <c r="CA375" i="25"/>
  <c r="CA376" i="25"/>
  <c r="CA377" i="25"/>
  <c r="CA341" i="25"/>
  <c r="CA381" i="25"/>
  <c r="CA382" i="25"/>
  <c r="CA384" i="25"/>
  <c r="CA385" i="25"/>
  <c r="CA383" i="25"/>
  <c r="CA254" i="25"/>
  <c r="CA258" i="25"/>
  <c r="CA316" i="25"/>
  <c r="CA324" i="25"/>
  <c r="CA342" i="25"/>
  <c r="CA279" i="25"/>
  <c r="CA283" i="25"/>
  <c r="CA287" i="25"/>
  <c r="CA288" i="25"/>
  <c r="CA289" i="25"/>
  <c r="CA293" i="25"/>
  <c r="CA295" i="25"/>
  <c r="CA304" i="25"/>
  <c r="CA307" i="25"/>
  <c r="CA308" i="25"/>
  <c r="CA309" i="25"/>
  <c r="CA314" i="25"/>
  <c r="CA315" i="25"/>
  <c r="CA319" i="25"/>
  <c r="CA320" i="25"/>
  <c r="CA328" i="25"/>
  <c r="CA278" i="25"/>
  <c r="CA301" i="25"/>
  <c r="CA329" i="25"/>
  <c r="CA280" i="25"/>
  <c r="CA310" i="25"/>
  <c r="CA306" i="25"/>
  <c r="CA330" i="25"/>
  <c r="CA312" i="25"/>
  <c r="CA313" i="25"/>
  <c r="CA331" i="25"/>
  <c r="CA318" i="25"/>
  <c r="CA290" i="25"/>
  <c r="CA292" i="25"/>
  <c r="CA317" i="25"/>
  <c r="CA321" i="25"/>
  <c r="CA303" i="25"/>
  <c r="CC337" i="25"/>
  <c r="CC340" i="25"/>
  <c r="CC374" i="25"/>
  <c r="CC386" i="25"/>
  <c r="CC387" i="25"/>
  <c r="CC388" i="25"/>
  <c r="CC259" i="25"/>
  <c r="CC332" i="25"/>
  <c r="CC277" i="25"/>
  <c r="CC210" i="25"/>
  <c r="CC281" i="25"/>
  <c r="CC362" i="25"/>
  <c r="CC256" i="25"/>
  <c r="CC389" i="25"/>
  <c r="CC208" i="25"/>
  <c r="CC211" i="25"/>
  <c r="CC207" i="25"/>
  <c r="CC242" i="25"/>
  <c r="CC243" i="25"/>
  <c r="CC285" i="25"/>
  <c r="CC261" i="25"/>
  <c r="CC263" i="25"/>
  <c r="CC264" i="25"/>
  <c r="CC212" i="25"/>
  <c r="CC269" i="25"/>
  <c r="CC224" i="25"/>
  <c r="CC225" i="25"/>
  <c r="CC344" i="25"/>
  <c r="CC347" i="25"/>
  <c r="CC351" i="25"/>
  <c r="CC357" i="25"/>
  <c r="CC358" i="25"/>
  <c r="CC282" i="25"/>
  <c r="CC359" i="25"/>
  <c r="CC333" i="25"/>
  <c r="CC360" i="25"/>
  <c r="CC361" i="25"/>
  <c r="CC226" i="25"/>
  <c r="CC266" i="25"/>
  <c r="CC236" i="25"/>
  <c r="CC238" i="25"/>
  <c r="CC363" i="25"/>
  <c r="CC246" i="25"/>
  <c r="CC248" i="25"/>
  <c r="CC400" i="25"/>
  <c r="CC401" i="25"/>
  <c r="CC209" i="25"/>
  <c r="CC296" i="25"/>
  <c r="CC286" i="25"/>
  <c r="CC368" i="25"/>
  <c r="CC294" i="25"/>
  <c r="CC297" i="25"/>
  <c r="CC298" i="25"/>
  <c r="CC299" i="25"/>
  <c r="CC343" i="25"/>
  <c r="CC365" i="25"/>
  <c r="CC214" i="25"/>
  <c r="CC215" i="25"/>
  <c r="CC276" i="25"/>
  <c r="CC219" i="25"/>
  <c r="CC229" i="25"/>
  <c r="CC216" i="25"/>
  <c r="CC217" i="25"/>
  <c r="CC218" i="25"/>
  <c r="CC213" i="25"/>
  <c r="CC336" i="25"/>
  <c r="CC227" i="25"/>
  <c r="CC345" i="25"/>
  <c r="CC220" i="25"/>
  <c r="CC262" i="25"/>
  <c r="CC300" i="25"/>
  <c r="CC245" i="25"/>
  <c r="CC302" i="25"/>
  <c r="CC390" i="25"/>
  <c r="CC391" i="25"/>
  <c r="CC366" i="25"/>
  <c r="CC339" i="25"/>
  <c r="CC392" i="25"/>
  <c r="CC393" i="25"/>
  <c r="CC305" i="25"/>
  <c r="CC395" i="25"/>
  <c r="CC291" i="25"/>
  <c r="CC394" i="25"/>
  <c r="CC311" i="25"/>
  <c r="CC272" i="25"/>
  <c r="CC346" i="25"/>
  <c r="CC348" i="25"/>
  <c r="CC402" i="25"/>
  <c r="CC396" i="25"/>
  <c r="CC403" i="25"/>
  <c r="CC399" i="25"/>
  <c r="CC222" i="25"/>
  <c r="CC253" i="25"/>
  <c r="CC241" i="25"/>
  <c r="CC367" i="25"/>
  <c r="CC255" i="25"/>
  <c r="CC267" i="25"/>
  <c r="CC265" i="25"/>
  <c r="CC369" i="25"/>
  <c r="CC228" i="25"/>
  <c r="CC235" i="25"/>
  <c r="CC397" i="25"/>
  <c r="CC230" i="25"/>
  <c r="CC249" i="25"/>
  <c r="CC273" i="25"/>
  <c r="CC251" i="25"/>
  <c r="CC231" i="25"/>
  <c r="CC398" i="25"/>
  <c r="CC252" i="25"/>
  <c r="CC232" i="25"/>
  <c r="CC284" i="25"/>
  <c r="CC221" i="25"/>
  <c r="CC234" i="25"/>
  <c r="CC237" i="25"/>
  <c r="CC370" i="25"/>
  <c r="CC244" i="25"/>
  <c r="CC325" i="25"/>
  <c r="CC250" i="25"/>
  <c r="CC233" i="25"/>
  <c r="CC326" i="25"/>
  <c r="CC327" i="25"/>
  <c r="CC335" i="25"/>
  <c r="CC349" i="25"/>
  <c r="CC338" i="25"/>
  <c r="CC239" i="25"/>
  <c r="CC356" i="25"/>
  <c r="CC240" i="25"/>
  <c r="CC364" i="25"/>
  <c r="CC322" i="25"/>
  <c r="CC323" i="25"/>
  <c r="CC378" i="25"/>
  <c r="CC260" i="25"/>
  <c r="CC334" i="25"/>
  <c r="CC353" i="25"/>
  <c r="CC247" i="25"/>
  <c r="CC380" i="25"/>
  <c r="CC352" i="25"/>
  <c r="CC274" i="25"/>
  <c r="CC223" i="25"/>
  <c r="CC268" i="25"/>
  <c r="CC270" i="25"/>
  <c r="CC275" i="25"/>
  <c r="CC371" i="25"/>
  <c r="CC350" i="25"/>
  <c r="CC354" i="25"/>
  <c r="CC271" i="25"/>
  <c r="CC373" i="25"/>
  <c r="CC372" i="25"/>
  <c r="CC379" i="25"/>
  <c r="CC355" i="25"/>
  <c r="CC375" i="25"/>
  <c r="CC376" i="25"/>
  <c r="CC377" i="25"/>
  <c r="CC341" i="25"/>
  <c r="CC381" i="25"/>
  <c r="CC382" i="25"/>
  <c r="CC384" i="25"/>
  <c r="CC385" i="25"/>
  <c r="CC383" i="25"/>
  <c r="CC254" i="25"/>
  <c r="CC258" i="25"/>
  <c r="CC316" i="25"/>
  <c r="CC324" i="25"/>
  <c r="CC342" i="25"/>
  <c r="CC279" i="25"/>
  <c r="CC283" i="25"/>
  <c r="CC287" i="25"/>
  <c r="CC288" i="25"/>
  <c r="CC289" i="25"/>
  <c r="CC293" i="25"/>
  <c r="CC295" i="25"/>
  <c r="CC304" i="25"/>
  <c r="CC307" i="25"/>
  <c r="CC308" i="25"/>
  <c r="CC309" i="25"/>
  <c r="CC314" i="25"/>
  <c r="CC315" i="25"/>
  <c r="CC319" i="25"/>
  <c r="CC320" i="25"/>
  <c r="CC328" i="25"/>
  <c r="CC278" i="25"/>
  <c r="CC301" i="25"/>
  <c r="CC329" i="25"/>
  <c r="CC280" i="25"/>
  <c r="CC310" i="25"/>
  <c r="CC306" i="25"/>
  <c r="CC330" i="25"/>
  <c r="CC312" i="25"/>
  <c r="CC313" i="25"/>
  <c r="CC331" i="25"/>
  <c r="CC318" i="25"/>
  <c r="CC290" i="25"/>
  <c r="CC292" i="25"/>
  <c r="CC317" i="25"/>
  <c r="CC321" i="25"/>
  <c r="CC303" i="25"/>
  <c r="CD337" i="25"/>
  <c r="CD340" i="25"/>
  <c r="CD374" i="25"/>
  <c r="CD386" i="25"/>
  <c r="CD387" i="25"/>
  <c r="CD388" i="25"/>
  <c r="CD259" i="25"/>
  <c r="CD332" i="25"/>
  <c r="CD277" i="25"/>
  <c r="CD210" i="25"/>
  <c r="CD281" i="25"/>
  <c r="CD362" i="25"/>
  <c r="CD256" i="25"/>
  <c r="CD389" i="25"/>
  <c r="CD208" i="25"/>
  <c r="CD211" i="25"/>
  <c r="CD207" i="25"/>
  <c r="CD242" i="25"/>
  <c r="CD243" i="25"/>
  <c r="CD285" i="25"/>
  <c r="CD261" i="25"/>
  <c r="CD263" i="25"/>
  <c r="CD264" i="25"/>
  <c r="CD212" i="25"/>
  <c r="CD269" i="25"/>
  <c r="CD224" i="25"/>
  <c r="CD225" i="25"/>
  <c r="CD344" i="25"/>
  <c r="CD347" i="25"/>
  <c r="CD351" i="25"/>
  <c r="CD357" i="25"/>
  <c r="CD358" i="25"/>
  <c r="CD282" i="25"/>
  <c r="CD359" i="25"/>
  <c r="CD333" i="25"/>
  <c r="CD360" i="25"/>
  <c r="CD361" i="25"/>
  <c r="CD226" i="25"/>
  <c r="CD266" i="25"/>
  <c r="CD236" i="25"/>
  <c r="CD238" i="25"/>
  <c r="CD363" i="25"/>
  <c r="CD246" i="25"/>
  <c r="CD248" i="25"/>
  <c r="CD400" i="25"/>
  <c r="CD401" i="25"/>
  <c r="CD209" i="25"/>
  <c r="CD296" i="25"/>
  <c r="CD286" i="25"/>
  <c r="CD368" i="25"/>
  <c r="CD294" i="25"/>
  <c r="CD297" i="25"/>
  <c r="CD298" i="25"/>
  <c r="CD299" i="25"/>
  <c r="CD343" i="25"/>
  <c r="CD365" i="25"/>
  <c r="CD214" i="25"/>
  <c r="CD215" i="25"/>
  <c r="CD276" i="25"/>
  <c r="CD219" i="25"/>
  <c r="CD229" i="25"/>
  <c r="CD216" i="25"/>
  <c r="CD217" i="25"/>
  <c r="CD218" i="25"/>
  <c r="CD213" i="25"/>
  <c r="CD336" i="25"/>
  <c r="CD227" i="25"/>
  <c r="CD345" i="25"/>
  <c r="CD220" i="25"/>
  <c r="CD262" i="25"/>
  <c r="CD300" i="25"/>
  <c r="CD245" i="25"/>
  <c r="CD302" i="25"/>
  <c r="CD390" i="25"/>
  <c r="CD391" i="25"/>
  <c r="CD366" i="25"/>
  <c r="CD339" i="25"/>
  <c r="CD392" i="25"/>
  <c r="CD393" i="25"/>
  <c r="CD305" i="25"/>
  <c r="CD395" i="25"/>
  <c r="CD291" i="25"/>
  <c r="CD394" i="25"/>
  <c r="CD311" i="25"/>
  <c r="CD272" i="25"/>
  <c r="CD346" i="25"/>
  <c r="CD348" i="25"/>
  <c r="CD402" i="25"/>
  <c r="CD396" i="25"/>
  <c r="CD403" i="25"/>
  <c r="CD399" i="25"/>
  <c r="CD222" i="25"/>
  <c r="CD253" i="25"/>
  <c r="CD241" i="25"/>
  <c r="CD367" i="25"/>
  <c r="CD255" i="25"/>
  <c r="CD267" i="25"/>
  <c r="CD265" i="25"/>
  <c r="CD369" i="25"/>
  <c r="CD228" i="25"/>
  <c r="CD235" i="25"/>
  <c r="CD397" i="25"/>
  <c r="CD230" i="25"/>
  <c r="CD249" i="25"/>
  <c r="CD273" i="25"/>
  <c r="CD251" i="25"/>
  <c r="CD231" i="25"/>
  <c r="CD398" i="25"/>
  <c r="CD252" i="25"/>
  <c r="CD232" i="25"/>
  <c r="CD284" i="25"/>
  <c r="CD221" i="25"/>
  <c r="CD234" i="25"/>
  <c r="CD237" i="25"/>
  <c r="CD370" i="25"/>
  <c r="CD244" i="25"/>
  <c r="CD325" i="25"/>
  <c r="CD250" i="25"/>
  <c r="CD233" i="25"/>
  <c r="CD326" i="25"/>
  <c r="CD327" i="25"/>
  <c r="CD335" i="25"/>
  <c r="CD349" i="25"/>
  <c r="CD338" i="25"/>
  <c r="CD239" i="25"/>
  <c r="CD356" i="25"/>
  <c r="CD240" i="25"/>
  <c r="CD364" i="25"/>
  <c r="CD322" i="25"/>
  <c r="CD323" i="25"/>
  <c r="CD378" i="25"/>
  <c r="CD260" i="25"/>
  <c r="CD334" i="25"/>
  <c r="CD353" i="25"/>
  <c r="CD247" i="25"/>
  <c r="CD380" i="25"/>
  <c r="CD352" i="25"/>
  <c r="CD274" i="25"/>
  <c r="CD223" i="25"/>
  <c r="CD268" i="25"/>
  <c r="CD270" i="25"/>
  <c r="CD275" i="25"/>
  <c r="CD371" i="25"/>
  <c r="CD350" i="25"/>
  <c r="CD354" i="25"/>
  <c r="CD271" i="25"/>
  <c r="CD373" i="25"/>
  <c r="CD372" i="25"/>
  <c r="CD379" i="25"/>
  <c r="CD355" i="25"/>
  <c r="CD375" i="25"/>
  <c r="CD376" i="25"/>
  <c r="CD377" i="25"/>
  <c r="CD341" i="25"/>
  <c r="CD381" i="25"/>
  <c r="CD382" i="25"/>
  <c r="CD384" i="25"/>
  <c r="CD385" i="25"/>
  <c r="CD383" i="25"/>
  <c r="CD254" i="25"/>
  <c r="CD258" i="25"/>
  <c r="CD316" i="25"/>
  <c r="CD324" i="25"/>
  <c r="CD342" i="25"/>
  <c r="CD279" i="25"/>
  <c r="CD283" i="25"/>
  <c r="CD287" i="25"/>
  <c r="CD288" i="25"/>
  <c r="CD289" i="25"/>
  <c r="CD293" i="25"/>
  <c r="CD295" i="25"/>
  <c r="CD304" i="25"/>
  <c r="CD307" i="25"/>
  <c r="CD308" i="25"/>
  <c r="CD309" i="25"/>
  <c r="CD314" i="25"/>
  <c r="CD315" i="25"/>
  <c r="CD319" i="25"/>
  <c r="CD320" i="25"/>
  <c r="CD328" i="25"/>
  <c r="CD278" i="25"/>
  <c r="CD301" i="25"/>
  <c r="CD329" i="25"/>
  <c r="CD280" i="25"/>
  <c r="CD310" i="25"/>
  <c r="CD306" i="25"/>
  <c r="CD330" i="25"/>
  <c r="CD312" i="25"/>
  <c r="CD313" i="25"/>
  <c r="CD331" i="25"/>
  <c r="CD318" i="25"/>
  <c r="CD290" i="25"/>
  <c r="CD292" i="25"/>
  <c r="CD317" i="25"/>
  <c r="CD321" i="25"/>
  <c r="CD303" i="25"/>
  <c r="CE337" i="25"/>
  <c r="CE340" i="25"/>
  <c r="CE374" i="25"/>
  <c r="CE386" i="25"/>
  <c r="CE387" i="25"/>
  <c r="CE388" i="25"/>
  <c r="CE259" i="25"/>
  <c r="CE332" i="25"/>
  <c r="CE277" i="25"/>
  <c r="CE210" i="25"/>
  <c r="CE281" i="25"/>
  <c r="CE362" i="25"/>
  <c r="CE256" i="25"/>
  <c r="CE389" i="25"/>
  <c r="CE208" i="25"/>
  <c r="CE211" i="25"/>
  <c r="CE207" i="25"/>
  <c r="CE242" i="25"/>
  <c r="CE243" i="25"/>
  <c r="CE285" i="25"/>
  <c r="CE261" i="25"/>
  <c r="CE263" i="25"/>
  <c r="CE264" i="25"/>
  <c r="CE212" i="25"/>
  <c r="CE269" i="25"/>
  <c r="CE224" i="25"/>
  <c r="CE225" i="25"/>
  <c r="CE344" i="25"/>
  <c r="CE347" i="25"/>
  <c r="CE351" i="25"/>
  <c r="CE357" i="25"/>
  <c r="CE358" i="25"/>
  <c r="CE282" i="25"/>
  <c r="CE359" i="25"/>
  <c r="CE333" i="25"/>
  <c r="CE360" i="25"/>
  <c r="CE361" i="25"/>
  <c r="CE226" i="25"/>
  <c r="CE266" i="25"/>
  <c r="CE236" i="25"/>
  <c r="CE238" i="25"/>
  <c r="CE363" i="25"/>
  <c r="CE246" i="25"/>
  <c r="CE248" i="25"/>
  <c r="CE400" i="25"/>
  <c r="CE401" i="25"/>
  <c r="CE209" i="25"/>
  <c r="CE296" i="25"/>
  <c r="CE286" i="25"/>
  <c r="CE368" i="25"/>
  <c r="CE294" i="25"/>
  <c r="CE297" i="25"/>
  <c r="CE298" i="25"/>
  <c r="CE299" i="25"/>
  <c r="CE343" i="25"/>
  <c r="CE365" i="25"/>
  <c r="CE214" i="25"/>
  <c r="CE215" i="25"/>
  <c r="CE276" i="25"/>
  <c r="CE219" i="25"/>
  <c r="CE229" i="25"/>
  <c r="CE216" i="25"/>
  <c r="CE217" i="25"/>
  <c r="CE218" i="25"/>
  <c r="CE213" i="25"/>
  <c r="CE336" i="25"/>
  <c r="CE227" i="25"/>
  <c r="CE345" i="25"/>
  <c r="CE220" i="25"/>
  <c r="CE262" i="25"/>
  <c r="CE300" i="25"/>
  <c r="CE245" i="25"/>
  <c r="CE302" i="25"/>
  <c r="CE390" i="25"/>
  <c r="CE391" i="25"/>
  <c r="CE366" i="25"/>
  <c r="CE339" i="25"/>
  <c r="CE392" i="25"/>
  <c r="CE393" i="25"/>
  <c r="CE305" i="25"/>
  <c r="CE395" i="25"/>
  <c r="CE291" i="25"/>
  <c r="CE394" i="25"/>
  <c r="CE311" i="25"/>
  <c r="CE272" i="25"/>
  <c r="CE346" i="25"/>
  <c r="CE348" i="25"/>
  <c r="CE402" i="25"/>
  <c r="CE396" i="25"/>
  <c r="CE403" i="25"/>
  <c r="CE399" i="25"/>
  <c r="CE222" i="25"/>
  <c r="CE253" i="25"/>
  <c r="CE241" i="25"/>
  <c r="CE367" i="25"/>
  <c r="CE255" i="25"/>
  <c r="CE267" i="25"/>
  <c r="CE265" i="25"/>
  <c r="CE369" i="25"/>
  <c r="CE228" i="25"/>
  <c r="CE235" i="25"/>
  <c r="CE397" i="25"/>
  <c r="CE230" i="25"/>
  <c r="CE249" i="25"/>
  <c r="CE273" i="25"/>
  <c r="CE251" i="25"/>
  <c r="CE231" i="25"/>
  <c r="CE398" i="25"/>
  <c r="CE252" i="25"/>
  <c r="CE232" i="25"/>
  <c r="CE284" i="25"/>
  <c r="CE221" i="25"/>
  <c r="CE234" i="25"/>
  <c r="CE237" i="25"/>
  <c r="CE370" i="25"/>
  <c r="CE244" i="25"/>
  <c r="CE325" i="25"/>
  <c r="CE250" i="25"/>
  <c r="CE233" i="25"/>
  <c r="CE326" i="25"/>
  <c r="CE327" i="25"/>
  <c r="CE335" i="25"/>
  <c r="CE349" i="25"/>
  <c r="CE338" i="25"/>
  <c r="CE239" i="25"/>
  <c r="CE356" i="25"/>
  <c r="CE240" i="25"/>
  <c r="CE364" i="25"/>
  <c r="CE322" i="25"/>
  <c r="CE323" i="25"/>
  <c r="CE378" i="25"/>
  <c r="CE260" i="25"/>
  <c r="CE334" i="25"/>
  <c r="CE353" i="25"/>
  <c r="CE247" i="25"/>
  <c r="CE380" i="25"/>
  <c r="CE352" i="25"/>
  <c r="CE274" i="25"/>
  <c r="CE223" i="25"/>
  <c r="CE268" i="25"/>
  <c r="CE270" i="25"/>
  <c r="CE275" i="25"/>
  <c r="CE371" i="25"/>
  <c r="CE350" i="25"/>
  <c r="CE354" i="25"/>
  <c r="CE271" i="25"/>
  <c r="CE373" i="25"/>
  <c r="CE372" i="25"/>
  <c r="CE379" i="25"/>
  <c r="CE355" i="25"/>
  <c r="CE375" i="25"/>
  <c r="CE376" i="25"/>
  <c r="CE377" i="25"/>
  <c r="CE341" i="25"/>
  <c r="CE381" i="25"/>
  <c r="CE382" i="25"/>
  <c r="CE384" i="25"/>
  <c r="CE385" i="25"/>
  <c r="CE383" i="25"/>
  <c r="CE254" i="25"/>
  <c r="CE258" i="25"/>
  <c r="CE316" i="25"/>
  <c r="CE324" i="25"/>
  <c r="CE342" i="25"/>
  <c r="CE279" i="25"/>
  <c r="CE283" i="25"/>
  <c r="CE287" i="25"/>
  <c r="CE288" i="25"/>
  <c r="CE289" i="25"/>
  <c r="CE293" i="25"/>
  <c r="CE295" i="25"/>
  <c r="CE304" i="25"/>
  <c r="CE307" i="25"/>
  <c r="CE308" i="25"/>
  <c r="CE309" i="25"/>
  <c r="CE314" i="25"/>
  <c r="CE315" i="25"/>
  <c r="CE319" i="25"/>
  <c r="CE320" i="25"/>
  <c r="CE328" i="25"/>
  <c r="CE278" i="25"/>
  <c r="CE301" i="25"/>
  <c r="CE329" i="25"/>
  <c r="CE280" i="25"/>
  <c r="CE310" i="25"/>
  <c r="CE306" i="25"/>
  <c r="CE330" i="25"/>
  <c r="CE312" i="25"/>
  <c r="CE313" i="25"/>
  <c r="CE331" i="25"/>
  <c r="CE318" i="25"/>
  <c r="CE290" i="25"/>
  <c r="CE292" i="25"/>
  <c r="CE317" i="25"/>
  <c r="CE321" i="25"/>
  <c r="CE303" i="25"/>
  <c r="CF337" i="25"/>
  <c r="CF340" i="25"/>
  <c r="CF374" i="25"/>
  <c r="CF386" i="25"/>
  <c r="CF387" i="25"/>
  <c r="CF388" i="25"/>
  <c r="CF259" i="25"/>
  <c r="CF332" i="25"/>
  <c r="CF277" i="25"/>
  <c r="CF210" i="25"/>
  <c r="CF281" i="25"/>
  <c r="CF362" i="25"/>
  <c r="CF256" i="25"/>
  <c r="CF389" i="25"/>
  <c r="CF208" i="25"/>
  <c r="CF211" i="25"/>
  <c r="CF207" i="25"/>
  <c r="CF242" i="25"/>
  <c r="CF243" i="25"/>
  <c r="CF285" i="25"/>
  <c r="CF261" i="25"/>
  <c r="CF263" i="25"/>
  <c r="CF264" i="25"/>
  <c r="CF212" i="25"/>
  <c r="CF269" i="25"/>
  <c r="CF224" i="25"/>
  <c r="CF225" i="25"/>
  <c r="CF344" i="25"/>
  <c r="CF347" i="25"/>
  <c r="CF351" i="25"/>
  <c r="CF357" i="25"/>
  <c r="CF358" i="25"/>
  <c r="CF282" i="25"/>
  <c r="CF359" i="25"/>
  <c r="CF333" i="25"/>
  <c r="CF360" i="25"/>
  <c r="CF361" i="25"/>
  <c r="CF226" i="25"/>
  <c r="CF266" i="25"/>
  <c r="CF236" i="25"/>
  <c r="CF238" i="25"/>
  <c r="CF363" i="25"/>
  <c r="CF246" i="25"/>
  <c r="CF248" i="25"/>
  <c r="CF400" i="25"/>
  <c r="CF401" i="25"/>
  <c r="CF209" i="25"/>
  <c r="CF296" i="25"/>
  <c r="CF286" i="25"/>
  <c r="CF368" i="25"/>
  <c r="CF294" i="25"/>
  <c r="CF297" i="25"/>
  <c r="CF298" i="25"/>
  <c r="CF299" i="25"/>
  <c r="CF343" i="25"/>
  <c r="CF365" i="25"/>
  <c r="CF214" i="25"/>
  <c r="CF215" i="25"/>
  <c r="CF276" i="25"/>
  <c r="CF219" i="25"/>
  <c r="CF229" i="25"/>
  <c r="CF216" i="25"/>
  <c r="CF217" i="25"/>
  <c r="CF218" i="25"/>
  <c r="CF213" i="25"/>
  <c r="CF336" i="25"/>
  <c r="CF227" i="25"/>
  <c r="CF345" i="25"/>
  <c r="CF220" i="25"/>
  <c r="CF262" i="25"/>
  <c r="CF300" i="25"/>
  <c r="CF245" i="25"/>
  <c r="CF302" i="25"/>
  <c r="CF390" i="25"/>
  <c r="CF391" i="25"/>
  <c r="CF366" i="25"/>
  <c r="CF339" i="25"/>
  <c r="CF392" i="25"/>
  <c r="CF393" i="25"/>
  <c r="CF305" i="25"/>
  <c r="CF395" i="25"/>
  <c r="CF291" i="25"/>
  <c r="CF394" i="25"/>
  <c r="CF311" i="25"/>
  <c r="CF272" i="25"/>
  <c r="CF346" i="25"/>
  <c r="CF348" i="25"/>
  <c r="CF402" i="25"/>
  <c r="CF396" i="25"/>
  <c r="CF403" i="25"/>
  <c r="CF399" i="25"/>
  <c r="CF222" i="25"/>
  <c r="CF253" i="25"/>
  <c r="CF241" i="25"/>
  <c r="CF367" i="25"/>
  <c r="CF255" i="25"/>
  <c r="CF267" i="25"/>
  <c r="CF265" i="25"/>
  <c r="CF369" i="25"/>
  <c r="CF228" i="25"/>
  <c r="CF235" i="25"/>
  <c r="CF397" i="25"/>
  <c r="CF230" i="25"/>
  <c r="CF249" i="25"/>
  <c r="CF273" i="25"/>
  <c r="CF251" i="25"/>
  <c r="CF231" i="25"/>
  <c r="CF398" i="25"/>
  <c r="CF252" i="25"/>
  <c r="CF232" i="25"/>
  <c r="CF284" i="25"/>
  <c r="CF221" i="25"/>
  <c r="CF234" i="25"/>
  <c r="CF237" i="25"/>
  <c r="CF370" i="25"/>
  <c r="CF244" i="25"/>
  <c r="CF325" i="25"/>
  <c r="CF250" i="25"/>
  <c r="CF233" i="25"/>
  <c r="CF326" i="25"/>
  <c r="CF327" i="25"/>
  <c r="CF335" i="25"/>
  <c r="CF349" i="25"/>
  <c r="CF338" i="25"/>
  <c r="CF239" i="25"/>
  <c r="CF356" i="25"/>
  <c r="CF240" i="25"/>
  <c r="CF364" i="25"/>
  <c r="CF322" i="25"/>
  <c r="CF323" i="25"/>
  <c r="CF378" i="25"/>
  <c r="CF260" i="25"/>
  <c r="CF334" i="25"/>
  <c r="CF353" i="25"/>
  <c r="CF247" i="25"/>
  <c r="CF380" i="25"/>
  <c r="CF352" i="25"/>
  <c r="CF274" i="25"/>
  <c r="CF223" i="25"/>
  <c r="CF268" i="25"/>
  <c r="CF270" i="25"/>
  <c r="CF275" i="25"/>
  <c r="CF371" i="25"/>
  <c r="CF350" i="25"/>
  <c r="CF354" i="25"/>
  <c r="CF271" i="25"/>
  <c r="CF373" i="25"/>
  <c r="CF372" i="25"/>
  <c r="CF379" i="25"/>
  <c r="CF355" i="25"/>
  <c r="CF375" i="25"/>
  <c r="CF376" i="25"/>
  <c r="CF377" i="25"/>
  <c r="CF341" i="25"/>
  <c r="CF381" i="25"/>
  <c r="CF382" i="25"/>
  <c r="CF384" i="25"/>
  <c r="CF385" i="25"/>
  <c r="CF383" i="25"/>
  <c r="CF254" i="25"/>
  <c r="CF258" i="25"/>
  <c r="CF316" i="25"/>
  <c r="CF324" i="25"/>
  <c r="CF342" i="25"/>
  <c r="CF279" i="25"/>
  <c r="CF283" i="25"/>
  <c r="CF287" i="25"/>
  <c r="CF288" i="25"/>
  <c r="CF289" i="25"/>
  <c r="CF293" i="25"/>
  <c r="CF295" i="25"/>
  <c r="CF304" i="25"/>
  <c r="CF307" i="25"/>
  <c r="CF308" i="25"/>
  <c r="CF309" i="25"/>
  <c r="CF314" i="25"/>
  <c r="CF315" i="25"/>
  <c r="CF319" i="25"/>
  <c r="CF320" i="25"/>
  <c r="CF328" i="25"/>
  <c r="CF278" i="25"/>
  <c r="CF301" i="25"/>
  <c r="CF329" i="25"/>
  <c r="CF280" i="25"/>
  <c r="CF310" i="25"/>
  <c r="CF306" i="25"/>
  <c r="CF330" i="25"/>
  <c r="CF312" i="25"/>
  <c r="CF313" i="25"/>
  <c r="CF331" i="25"/>
  <c r="CF318" i="25"/>
  <c r="CF290" i="25"/>
  <c r="CF292" i="25"/>
  <c r="CF317" i="25"/>
  <c r="CF321" i="25"/>
  <c r="CF303" i="25"/>
  <c r="CG337" i="25"/>
  <c r="CG340" i="25"/>
  <c r="CG374" i="25"/>
  <c r="CG386" i="25"/>
  <c r="CG387" i="25"/>
  <c r="CG388" i="25"/>
  <c r="CG259" i="25"/>
  <c r="CG332" i="25"/>
  <c r="CG277" i="25"/>
  <c r="CG210" i="25"/>
  <c r="CG281" i="25"/>
  <c r="CG362" i="25"/>
  <c r="CG256" i="25"/>
  <c r="CG389" i="25"/>
  <c r="CG208" i="25"/>
  <c r="CG211" i="25"/>
  <c r="CG207" i="25"/>
  <c r="CG242" i="25"/>
  <c r="CG243" i="25"/>
  <c r="CG285" i="25"/>
  <c r="CG261" i="25"/>
  <c r="CG263" i="25"/>
  <c r="CG264" i="25"/>
  <c r="CG212" i="25"/>
  <c r="CG269" i="25"/>
  <c r="CG224" i="25"/>
  <c r="CG225" i="25"/>
  <c r="CG344" i="25"/>
  <c r="CG347" i="25"/>
  <c r="CG351" i="25"/>
  <c r="CG357" i="25"/>
  <c r="CG358" i="25"/>
  <c r="CG282" i="25"/>
  <c r="CG359" i="25"/>
  <c r="CG333" i="25"/>
  <c r="CG360" i="25"/>
  <c r="CG361" i="25"/>
  <c r="CG226" i="25"/>
  <c r="CG266" i="25"/>
  <c r="CG236" i="25"/>
  <c r="CG238" i="25"/>
  <c r="CG363" i="25"/>
  <c r="CG246" i="25"/>
  <c r="CG248" i="25"/>
  <c r="CG400" i="25"/>
  <c r="CG401" i="25"/>
  <c r="CG209" i="25"/>
  <c r="CG296" i="25"/>
  <c r="CG286" i="25"/>
  <c r="CG368" i="25"/>
  <c r="CG294" i="25"/>
  <c r="CG297" i="25"/>
  <c r="CG298" i="25"/>
  <c r="CG299" i="25"/>
  <c r="CG343" i="25"/>
  <c r="CG365" i="25"/>
  <c r="CG214" i="25"/>
  <c r="CG215" i="25"/>
  <c r="CG276" i="25"/>
  <c r="CG219" i="25"/>
  <c r="CG229" i="25"/>
  <c r="CG216" i="25"/>
  <c r="CG217" i="25"/>
  <c r="CG218" i="25"/>
  <c r="CG213" i="25"/>
  <c r="CG336" i="25"/>
  <c r="CG227" i="25"/>
  <c r="CG345" i="25"/>
  <c r="CG220" i="25"/>
  <c r="CG262" i="25"/>
  <c r="CG300" i="25"/>
  <c r="CG245" i="25"/>
  <c r="CG302" i="25"/>
  <c r="CG390" i="25"/>
  <c r="CG391" i="25"/>
  <c r="CG366" i="25"/>
  <c r="CG339" i="25"/>
  <c r="CG392" i="25"/>
  <c r="CG393" i="25"/>
  <c r="CG305" i="25"/>
  <c r="CG395" i="25"/>
  <c r="CG291" i="25"/>
  <c r="CG394" i="25"/>
  <c r="CG311" i="25"/>
  <c r="CG272" i="25"/>
  <c r="CG346" i="25"/>
  <c r="CG348" i="25"/>
  <c r="CG402" i="25"/>
  <c r="CG396" i="25"/>
  <c r="CG403" i="25"/>
  <c r="CG399" i="25"/>
  <c r="CG222" i="25"/>
  <c r="CG253" i="25"/>
  <c r="CG241" i="25"/>
  <c r="CG367" i="25"/>
  <c r="CG255" i="25"/>
  <c r="CG267" i="25"/>
  <c r="CG265" i="25"/>
  <c r="CG369" i="25"/>
  <c r="CG228" i="25"/>
  <c r="CG235" i="25"/>
  <c r="CG397" i="25"/>
  <c r="CG230" i="25"/>
  <c r="CG249" i="25"/>
  <c r="CG273" i="25"/>
  <c r="CG251" i="25"/>
  <c r="CG231" i="25"/>
  <c r="CG398" i="25"/>
  <c r="CG252" i="25"/>
  <c r="CG232" i="25"/>
  <c r="CG284" i="25"/>
  <c r="CG221" i="25"/>
  <c r="CG234" i="25"/>
  <c r="CG237" i="25"/>
  <c r="CG370" i="25"/>
  <c r="CG244" i="25"/>
  <c r="CG325" i="25"/>
  <c r="CG250" i="25"/>
  <c r="CG233" i="25"/>
  <c r="CG326" i="25"/>
  <c r="CG327" i="25"/>
  <c r="CG335" i="25"/>
  <c r="CG349" i="25"/>
  <c r="CG338" i="25"/>
  <c r="CG239" i="25"/>
  <c r="CG356" i="25"/>
  <c r="CG240" i="25"/>
  <c r="CG364" i="25"/>
  <c r="CG322" i="25"/>
  <c r="CG323" i="25"/>
  <c r="CG378" i="25"/>
  <c r="CG260" i="25"/>
  <c r="CG334" i="25"/>
  <c r="CG353" i="25"/>
  <c r="CG247" i="25"/>
  <c r="CG380" i="25"/>
  <c r="CG352" i="25"/>
  <c r="CG274" i="25"/>
  <c r="CG223" i="25"/>
  <c r="CG268" i="25"/>
  <c r="CG270" i="25"/>
  <c r="CG275" i="25"/>
  <c r="CG371" i="25"/>
  <c r="CG350" i="25"/>
  <c r="CG354" i="25"/>
  <c r="CG271" i="25"/>
  <c r="CG373" i="25"/>
  <c r="CG372" i="25"/>
  <c r="CG379" i="25"/>
  <c r="CG355" i="25"/>
  <c r="CG375" i="25"/>
  <c r="CG376" i="25"/>
  <c r="CG377" i="25"/>
  <c r="CG341" i="25"/>
  <c r="CG381" i="25"/>
  <c r="CG382" i="25"/>
  <c r="CG384" i="25"/>
  <c r="CG385" i="25"/>
  <c r="CG383" i="25"/>
  <c r="CG254" i="25"/>
  <c r="CG258" i="25"/>
  <c r="CG316" i="25"/>
  <c r="CG324" i="25"/>
  <c r="CG342" i="25"/>
  <c r="CG279" i="25"/>
  <c r="CG283" i="25"/>
  <c r="CG287" i="25"/>
  <c r="CG288" i="25"/>
  <c r="CG289" i="25"/>
  <c r="CG293" i="25"/>
  <c r="CG295" i="25"/>
  <c r="CG304" i="25"/>
  <c r="CG307" i="25"/>
  <c r="CG308" i="25"/>
  <c r="CG309" i="25"/>
  <c r="CG314" i="25"/>
  <c r="CG315" i="25"/>
  <c r="CG319" i="25"/>
  <c r="CG320" i="25"/>
  <c r="CG328" i="25"/>
  <c r="CG278" i="25"/>
  <c r="CG301" i="25"/>
  <c r="CG329" i="25"/>
  <c r="CG280" i="25"/>
  <c r="CG310" i="25"/>
  <c r="CG306" i="25"/>
  <c r="CG330" i="25"/>
  <c r="CG312" i="25"/>
  <c r="CG313" i="25"/>
  <c r="CG331" i="25"/>
  <c r="CG318" i="25"/>
  <c r="CG290" i="25"/>
  <c r="CG292" i="25"/>
  <c r="CG317" i="25"/>
  <c r="CG321" i="25"/>
  <c r="CG303" i="25"/>
  <c r="CH337" i="25"/>
  <c r="CH340" i="25"/>
  <c r="CH374" i="25"/>
  <c r="CH386" i="25"/>
  <c r="CH387" i="25"/>
  <c r="CH388" i="25"/>
  <c r="CH259" i="25"/>
  <c r="CH332" i="25"/>
  <c r="CH277" i="25"/>
  <c r="CH210" i="25"/>
  <c r="CH281" i="25"/>
  <c r="CH362" i="25"/>
  <c r="CH256" i="25"/>
  <c r="CH389" i="25"/>
  <c r="CH208" i="25"/>
  <c r="CH211" i="25"/>
  <c r="CH207" i="25"/>
  <c r="CH242" i="25"/>
  <c r="CH243" i="25"/>
  <c r="CH285" i="25"/>
  <c r="CH261" i="25"/>
  <c r="CH263" i="25"/>
  <c r="CH264" i="25"/>
  <c r="CH212" i="25"/>
  <c r="CH269" i="25"/>
  <c r="CH224" i="25"/>
  <c r="CH225" i="25"/>
  <c r="CH344" i="25"/>
  <c r="CH347" i="25"/>
  <c r="CH351" i="25"/>
  <c r="CH357" i="25"/>
  <c r="CH358" i="25"/>
  <c r="CH282" i="25"/>
  <c r="CH359" i="25"/>
  <c r="CH333" i="25"/>
  <c r="CH360" i="25"/>
  <c r="CH361" i="25"/>
  <c r="CH226" i="25"/>
  <c r="CH266" i="25"/>
  <c r="CH236" i="25"/>
  <c r="CH238" i="25"/>
  <c r="CH363" i="25"/>
  <c r="CH246" i="25"/>
  <c r="CH248" i="25"/>
  <c r="CH400" i="25"/>
  <c r="CH401" i="25"/>
  <c r="CH209" i="25"/>
  <c r="CH296" i="25"/>
  <c r="CH286" i="25"/>
  <c r="CH368" i="25"/>
  <c r="CH294" i="25"/>
  <c r="CH297" i="25"/>
  <c r="CH298" i="25"/>
  <c r="CH299" i="25"/>
  <c r="CH343" i="25"/>
  <c r="CH365" i="25"/>
  <c r="CH214" i="25"/>
  <c r="CH215" i="25"/>
  <c r="CH276" i="25"/>
  <c r="CH219" i="25"/>
  <c r="CH229" i="25"/>
  <c r="CH216" i="25"/>
  <c r="CH217" i="25"/>
  <c r="CH218" i="25"/>
  <c r="CH213" i="25"/>
  <c r="CH336" i="25"/>
  <c r="CH227" i="25"/>
  <c r="CH345" i="25"/>
  <c r="CH220" i="25"/>
  <c r="CH262" i="25"/>
  <c r="CH300" i="25"/>
  <c r="CH245" i="25"/>
  <c r="CH302" i="25"/>
  <c r="CH390" i="25"/>
  <c r="CH391" i="25"/>
  <c r="CH366" i="25"/>
  <c r="CH339" i="25"/>
  <c r="CH392" i="25"/>
  <c r="CH393" i="25"/>
  <c r="CH305" i="25"/>
  <c r="CH395" i="25"/>
  <c r="CH291" i="25"/>
  <c r="CH394" i="25"/>
  <c r="CH311" i="25"/>
  <c r="CH272" i="25"/>
  <c r="CH346" i="25"/>
  <c r="CH348" i="25"/>
  <c r="CH402" i="25"/>
  <c r="CH396" i="25"/>
  <c r="CH403" i="25"/>
  <c r="CH399" i="25"/>
  <c r="CH222" i="25"/>
  <c r="CH253" i="25"/>
  <c r="CH241" i="25"/>
  <c r="CH367" i="25"/>
  <c r="CH255" i="25"/>
  <c r="CH267" i="25"/>
  <c r="CH265" i="25"/>
  <c r="CH369" i="25"/>
  <c r="CH228" i="25"/>
  <c r="CH235" i="25"/>
  <c r="CH397" i="25"/>
  <c r="CH230" i="25"/>
  <c r="CH249" i="25"/>
  <c r="CH273" i="25"/>
  <c r="CH251" i="25"/>
  <c r="CH231" i="25"/>
  <c r="CH398" i="25"/>
  <c r="CH252" i="25"/>
  <c r="CH232" i="25"/>
  <c r="CH284" i="25"/>
  <c r="CH221" i="25"/>
  <c r="CH234" i="25"/>
  <c r="CH237" i="25"/>
  <c r="CH370" i="25"/>
  <c r="CH244" i="25"/>
  <c r="CH325" i="25"/>
  <c r="CH250" i="25"/>
  <c r="CH233" i="25"/>
  <c r="CH326" i="25"/>
  <c r="CH327" i="25"/>
  <c r="CH335" i="25"/>
  <c r="CH349" i="25"/>
  <c r="CH338" i="25"/>
  <c r="CH239" i="25"/>
  <c r="CH356" i="25"/>
  <c r="CH240" i="25"/>
  <c r="CH364" i="25"/>
  <c r="CH322" i="25"/>
  <c r="CH323" i="25"/>
  <c r="CH378" i="25"/>
  <c r="CH260" i="25"/>
  <c r="CH334" i="25"/>
  <c r="CH353" i="25"/>
  <c r="CH247" i="25"/>
  <c r="CH380" i="25"/>
  <c r="CH352" i="25"/>
  <c r="CH274" i="25"/>
  <c r="CH223" i="25"/>
  <c r="CH268" i="25"/>
  <c r="CH270" i="25"/>
  <c r="CH275" i="25"/>
  <c r="CH371" i="25"/>
  <c r="CH350" i="25"/>
  <c r="CH354" i="25"/>
  <c r="CH271" i="25"/>
  <c r="CH373" i="25"/>
  <c r="CH372" i="25"/>
  <c r="CH379" i="25"/>
  <c r="CH355" i="25"/>
  <c r="CH375" i="25"/>
  <c r="CH376" i="25"/>
  <c r="CH377" i="25"/>
  <c r="CH341" i="25"/>
  <c r="CH381" i="25"/>
  <c r="CH382" i="25"/>
  <c r="CH384" i="25"/>
  <c r="CH385" i="25"/>
  <c r="CH383" i="25"/>
  <c r="CH254" i="25"/>
  <c r="CH258" i="25"/>
  <c r="CH316" i="25"/>
  <c r="CH324" i="25"/>
  <c r="CH342" i="25"/>
  <c r="CH279" i="25"/>
  <c r="CH283" i="25"/>
  <c r="CH287" i="25"/>
  <c r="CH288" i="25"/>
  <c r="CH289" i="25"/>
  <c r="CH293" i="25"/>
  <c r="CH295" i="25"/>
  <c r="CH304" i="25"/>
  <c r="CH307" i="25"/>
  <c r="CH308" i="25"/>
  <c r="CH309" i="25"/>
  <c r="CH314" i="25"/>
  <c r="CH315" i="25"/>
  <c r="CH319" i="25"/>
  <c r="CH320" i="25"/>
  <c r="CH328" i="25"/>
  <c r="CH278" i="25"/>
  <c r="CH301" i="25"/>
  <c r="CH329" i="25"/>
  <c r="CH280" i="25"/>
  <c r="CH310" i="25"/>
  <c r="CH306" i="25"/>
  <c r="CH330" i="25"/>
  <c r="CH312" i="25"/>
  <c r="CH313" i="25"/>
  <c r="CH331" i="25"/>
  <c r="CH318" i="25"/>
  <c r="CH290" i="25"/>
  <c r="CH292" i="25"/>
  <c r="CH317" i="25"/>
  <c r="CH321" i="25"/>
  <c r="CH303" i="25"/>
  <c r="CM337" i="25"/>
  <c r="CN337" i="25" s="1"/>
  <c r="CM340" i="25"/>
  <c r="CN340" i="25" s="1"/>
  <c r="CM374" i="25"/>
  <c r="CN374" i="25" s="1"/>
  <c r="CM386" i="25"/>
  <c r="CN386" i="25" s="1"/>
  <c r="CM387" i="25"/>
  <c r="CN387" i="25" s="1"/>
  <c r="CM388" i="25"/>
  <c r="CN388" i="25" s="1"/>
  <c r="CM259" i="25"/>
  <c r="CN259" i="25" s="1"/>
  <c r="CM332" i="25"/>
  <c r="CN332" i="25" s="1"/>
  <c r="CM277" i="25"/>
  <c r="CN277" i="25" s="1"/>
  <c r="CM210" i="25"/>
  <c r="CN210" i="25" s="1"/>
  <c r="CM281" i="25"/>
  <c r="CN281" i="25" s="1"/>
  <c r="CM362" i="25"/>
  <c r="CN362" i="25" s="1"/>
  <c r="CM256" i="25"/>
  <c r="CN256" i="25" s="1"/>
  <c r="CM389" i="25"/>
  <c r="CN389" i="25" s="1"/>
  <c r="CM208" i="25"/>
  <c r="CN208" i="25" s="1"/>
  <c r="CM211" i="25"/>
  <c r="CN211" i="25" s="1"/>
  <c r="CM207" i="25"/>
  <c r="CN207" i="25" s="1"/>
  <c r="CM242" i="25"/>
  <c r="CN242" i="25" s="1"/>
  <c r="CM243" i="25"/>
  <c r="CN243" i="25" s="1"/>
  <c r="CM285" i="25"/>
  <c r="CN285" i="25" s="1"/>
  <c r="CM261" i="25"/>
  <c r="CN261" i="25" s="1"/>
  <c r="CM263" i="25"/>
  <c r="CN263" i="25" s="1"/>
  <c r="CM264" i="25"/>
  <c r="CN264" i="25" s="1"/>
  <c r="CM212" i="25"/>
  <c r="CN212" i="25" s="1"/>
  <c r="CM269" i="25"/>
  <c r="CN269" i="25" s="1"/>
  <c r="CM224" i="25"/>
  <c r="CN224" i="25" s="1"/>
  <c r="CM225" i="25"/>
  <c r="CN225" i="25" s="1"/>
  <c r="CM344" i="25"/>
  <c r="CN344" i="25" s="1"/>
  <c r="CM347" i="25"/>
  <c r="CN347" i="25" s="1"/>
  <c r="CM351" i="25"/>
  <c r="CN351" i="25" s="1"/>
  <c r="CM357" i="25"/>
  <c r="CN357" i="25" s="1"/>
  <c r="CM358" i="25"/>
  <c r="CN358" i="25" s="1"/>
  <c r="CM282" i="25"/>
  <c r="CN282" i="25" s="1"/>
  <c r="CM359" i="25"/>
  <c r="CN359" i="25" s="1"/>
  <c r="CM333" i="25"/>
  <c r="CN333" i="25" s="1"/>
  <c r="CM360" i="25"/>
  <c r="CN360" i="25" s="1"/>
  <c r="CM361" i="25"/>
  <c r="CN361" i="25" s="1"/>
  <c r="CM226" i="25"/>
  <c r="CN226" i="25" s="1"/>
  <c r="CM266" i="25"/>
  <c r="CN266" i="25" s="1"/>
  <c r="CM236" i="25"/>
  <c r="CN236" i="25" s="1"/>
  <c r="CM238" i="25"/>
  <c r="CN238" i="25" s="1"/>
  <c r="CM363" i="25"/>
  <c r="CN363" i="25" s="1"/>
  <c r="CM246" i="25"/>
  <c r="CN246" i="25" s="1"/>
  <c r="CM248" i="25"/>
  <c r="CN248" i="25" s="1"/>
  <c r="CM400" i="25"/>
  <c r="CN400" i="25" s="1"/>
  <c r="CM401" i="25"/>
  <c r="CN401" i="25" s="1"/>
  <c r="CM209" i="25"/>
  <c r="CN209" i="25" s="1"/>
  <c r="CM296" i="25"/>
  <c r="CN296" i="25" s="1"/>
  <c r="CM286" i="25"/>
  <c r="CN286" i="25" s="1"/>
  <c r="CM368" i="25"/>
  <c r="CN368" i="25" s="1"/>
  <c r="CM294" i="25"/>
  <c r="CN294" i="25" s="1"/>
  <c r="CM297" i="25"/>
  <c r="CN297" i="25" s="1"/>
  <c r="CM298" i="25"/>
  <c r="CN298" i="25" s="1"/>
  <c r="CM299" i="25"/>
  <c r="CN299" i="25" s="1"/>
  <c r="CM343" i="25"/>
  <c r="CN343" i="25" s="1"/>
  <c r="CM365" i="25"/>
  <c r="CN365" i="25" s="1"/>
  <c r="CM214" i="25"/>
  <c r="CN214" i="25" s="1"/>
  <c r="CM215" i="25"/>
  <c r="CN215" i="25" s="1"/>
  <c r="CM276" i="25"/>
  <c r="CN276" i="25" s="1"/>
  <c r="CM219" i="25"/>
  <c r="CN219" i="25" s="1"/>
  <c r="CM229" i="25"/>
  <c r="CN229" i="25" s="1"/>
  <c r="CM216" i="25"/>
  <c r="CN216" i="25" s="1"/>
  <c r="CM217" i="25"/>
  <c r="CN217" i="25" s="1"/>
  <c r="CM218" i="25"/>
  <c r="CN218" i="25" s="1"/>
  <c r="CM213" i="25"/>
  <c r="CN213" i="25" s="1"/>
  <c r="CM336" i="25"/>
  <c r="CN336" i="25" s="1"/>
  <c r="CM227" i="25"/>
  <c r="CN227" i="25" s="1"/>
  <c r="CM345" i="25"/>
  <c r="CN345" i="25" s="1"/>
  <c r="CM220" i="25"/>
  <c r="CN220" i="25" s="1"/>
  <c r="CM262" i="25"/>
  <c r="CN262" i="25" s="1"/>
  <c r="CM300" i="25"/>
  <c r="CN300" i="25" s="1"/>
  <c r="CM245" i="25"/>
  <c r="CN245" i="25" s="1"/>
  <c r="CM302" i="25"/>
  <c r="CN302" i="25" s="1"/>
  <c r="CM390" i="25"/>
  <c r="CN390" i="25" s="1"/>
  <c r="CM391" i="25"/>
  <c r="CN391" i="25" s="1"/>
  <c r="CM366" i="25"/>
  <c r="CN366" i="25" s="1"/>
  <c r="CM339" i="25"/>
  <c r="CN339" i="25" s="1"/>
  <c r="CM392" i="25"/>
  <c r="CN392" i="25" s="1"/>
  <c r="CM393" i="25"/>
  <c r="CN393" i="25" s="1"/>
  <c r="CM305" i="25"/>
  <c r="CN305" i="25" s="1"/>
  <c r="CM395" i="25"/>
  <c r="CN395" i="25" s="1"/>
  <c r="CM291" i="25"/>
  <c r="CN291" i="25" s="1"/>
  <c r="CM394" i="25"/>
  <c r="CN394" i="25" s="1"/>
  <c r="CM311" i="25"/>
  <c r="CN311" i="25" s="1"/>
  <c r="CM272" i="25"/>
  <c r="CN272" i="25" s="1"/>
  <c r="CM346" i="25"/>
  <c r="CN346" i="25" s="1"/>
  <c r="CM348" i="25"/>
  <c r="CN348" i="25" s="1"/>
  <c r="CM402" i="25"/>
  <c r="CN402" i="25" s="1"/>
  <c r="CM396" i="25"/>
  <c r="CN396" i="25" s="1"/>
  <c r="CM403" i="25"/>
  <c r="CN403" i="25" s="1"/>
  <c r="CM399" i="25"/>
  <c r="CN399" i="25" s="1"/>
  <c r="CM222" i="25"/>
  <c r="CN222" i="25" s="1"/>
  <c r="CM253" i="25"/>
  <c r="CN253" i="25" s="1"/>
  <c r="CM241" i="25"/>
  <c r="CN241" i="25" s="1"/>
  <c r="CM367" i="25"/>
  <c r="CN367" i="25" s="1"/>
  <c r="CM255" i="25"/>
  <c r="CN255" i="25" s="1"/>
  <c r="CM267" i="25"/>
  <c r="CN267" i="25" s="1"/>
  <c r="CM265" i="25"/>
  <c r="CN265" i="25" s="1"/>
  <c r="CM369" i="25"/>
  <c r="CN369" i="25" s="1"/>
  <c r="CM228" i="25"/>
  <c r="CN228" i="25" s="1"/>
  <c r="CM235" i="25"/>
  <c r="CN235" i="25" s="1"/>
  <c r="CM397" i="25"/>
  <c r="CN397" i="25" s="1"/>
  <c r="CM230" i="25"/>
  <c r="CN230" i="25" s="1"/>
  <c r="CM249" i="25"/>
  <c r="CN249" i="25" s="1"/>
  <c r="CM273" i="25"/>
  <c r="CN273" i="25" s="1"/>
  <c r="CM251" i="25"/>
  <c r="CN251" i="25" s="1"/>
  <c r="CM231" i="25"/>
  <c r="CN231" i="25" s="1"/>
  <c r="CM398" i="25"/>
  <c r="CN398" i="25" s="1"/>
  <c r="CM252" i="25"/>
  <c r="CN252" i="25" s="1"/>
  <c r="CM232" i="25"/>
  <c r="CN232" i="25" s="1"/>
  <c r="CM284" i="25"/>
  <c r="CN284" i="25" s="1"/>
  <c r="CM221" i="25"/>
  <c r="CN221" i="25" s="1"/>
  <c r="CM234" i="25"/>
  <c r="CN234" i="25" s="1"/>
  <c r="CM237" i="25"/>
  <c r="CN237" i="25" s="1"/>
  <c r="CM370" i="25"/>
  <c r="CN370" i="25" s="1"/>
  <c r="CM244" i="25"/>
  <c r="CN244" i="25" s="1"/>
  <c r="CM325" i="25"/>
  <c r="CN325" i="25" s="1"/>
  <c r="CM250" i="25"/>
  <c r="CN250" i="25" s="1"/>
  <c r="CM233" i="25"/>
  <c r="CN233" i="25" s="1"/>
  <c r="CM326" i="25"/>
  <c r="CN326" i="25" s="1"/>
  <c r="CM327" i="25"/>
  <c r="CN327" i="25" s="1"/>
  <c r="CM335" i="25"/>
  <c r="CN335" i="25" s="1"/>
  <c r="CM349" i="25"/>
  <c r="CN349" i="25" s="1"/>
  <c r="CM338" i="25"/>
  <c r="CN338" i="25" s="1"/>
  <c r="CM239" i="25"/>
  <c r="CN239" i="25" s="1"/>
  <c r="CM356" i="25"/>
  <c r="CN356" i="25" s="1"/>
  <c r="CM240" i="25"/>
  <c r="CN240" i="25" s="1"/>
  <c r="CM364" i="25"/>
  <c r="CN364" i="25" s="1"/>
  <c r="CM322" i="25"/>
  <c r="CN322" i="25" s="1"/>
  <c r="CM323" i="25"/>
  <c r="CN323" i="25" s="1"/>
  <c r="CM378" i="25"/>
  <c r="CN378" i="25" s="1"/>
  <c r="CM260" i="25"/>
  <c r="CN260" i="25" s="1"/>
  <c r="CM334" i="25"/>
  <c r="CN334" i="25" s="1"/>
  <c r="CM353" i="25"/>
  <c r="CN353" i="25" s="1"/>
  <c r="CM247" i="25"/>
  <c r="CN247" i="25" s="1"/>
  <c r="CM380" i="25"/>
  <c r="CN380" i="25" s="1"/>
  <c r="CM352" i="25"/>
  <c r="CN352" i="25" s="1"/>
  <c r="CM274" i="25"/>
  <c r="CN274" i="25" s="1"/>
  <c r="CM223" i="25"/>
  <c r="CN223" i="25" s="1"/>
  <c r="CM268" i="25"/>
  <c r="CN268" i="25" s="1"/>
  <c r="CM270" i="25"/>
  <c r="CN270" i="25" s="1"/>
  <c r="CM275" i="25"/>
  <c r="CN275" i="25" s="1"/>
  <c r="CM371" i="25"/>
  <c r="CN371" i="25" s="1"/>
  <c r="CM350" i="25"/>
  <c r="CN350" i="25" s="1"/>
  <c r="CM354" i="25"/>
  <c r="CN354" i="25" s="1"/>
  <c r="CM271" i="25"/>
  <c r="CN271" i="25" s="1"/>
  <c r="CM373" i="25"/>
  <c r="CN373" i="25" s="1"/>
  <c r="CM372" i="25"/>
  <c r="CN372" i="25" s="1"/>
  <c r="CM379" i="25"/>
  <c r="CN379" i="25" s="1"/>
  <c r="CM355" i="25"/>
  <c r="CN355" i="25" s="1"/>
  <c r="CM375" i="25"/>
  <c r="CN375" i="25" s="1"/>
  <c r="CM376" i="25"/>
  <c r="CN376" i="25" s="1"/>
  <c r="CM377" i="25"/>
  <c r="CN377" i="25" s="1"/>
  <c r="CM341" i="25"/>
  <c r="CN341" i="25" s="1"/>
  <c r="CM381" i="25"/>
  <c r="CN381" i="25" s="1"/>
  <c r="CM382" i="25"/>
  <c r="CN382" i="25" s="1"/>
  <c r="CM384" i="25"/>
  <c r="CN384" i="25" s="1"/>
  <c r="CM385" i="25"/>
  <c r="CN385" i="25" s="1"/>
  <c r="CM383" i="25"/>
  <c r="CN383" i="25" s="1"/>
  <c r="CM254" i="25"/>
  <c r="CN254" i="25" s="1"/>
  <c r="CM258" i="25"/>
  <c r="CN258" i="25" s="1"/>
  <c r="CM316" i="25"/>
  <c r="CN316" i="25" s="1"/>
  <c r="CM324" i="25"/>
  <c r="CN324" i="25" s="1"/>
  <c r="CM342" i="25"/>
  <c r="CN342" i="25" s="1"/>
  <c r="CM279" i="25"/>
  <c r="CN279" i="25" s="1"/>
  <c r="CM283" i="25"/>
  <c r="CN283" i="25" s="1"/>
  <c r="CM287" i="25"/>
  <c r="CN287" i="25" s="1"/>
  <c r="CM288" i="25"/>
  <c r="CN288" i="25" s="1"/>
  <c r="CM289" i="25"/>
  <c r="CN289" i="25" s="1"/>
  <c r="CM293" i="25"/>
  <c r="CN293" i="25" s="1"/>
  <c r="CM295" i="25"/>
  <c r="CN295" i="25" s="1"/>
  <c r="CM304" i="25"/>
  <c r="CN304" i="25" s="1"/>
  <c r="CM307" i="25"/>
  <c r="CN307" i="25" s="1"/>
  <c r="CM308" i="25"/>
  <c r="CN308" i="25" s="1"/>
  <c r="CM309" i="25"/>
  <c r="CN309" i="25" s="1"/>
  <c r="CM314" i="25"/>
  <c r="CN314" i="25" s="1"/>
  <c r="CM315" i="25"/>
  <c r="CN315" i="25" s="1"/>
  <c r="CM319" i="25"/>
  <c r="CN319" i="25" s="1"/>
  <c r="CM320" i="25"/>
  <c r="CN320" i="25" s="1"/>
  <c r="CM328" i="25"/>
  <c r="CN328" i="25" s="1"/>
  <c r="CM278" i="25"/>
  <c r="CN278" i="25" s="1"/>
  <c r="CM301" i="25"/>
  <c r="CN301" i="25" s="1"/>
  <c r="CM329" i="25"/>
  <c r="CN329" i="25" s="1"/>
  <c r="CM280" i="25"/>
  <c r="CN280" i="25" s="1"/>
  <c r="CM310" i="25"/>
  <c r="CN310" i="25" s="1"/>
  <c r="CM306" i="25"/>
  <c r="CN306" i="25" s="1"/>
  <c r="CM330" i="25"/>
  <c r="CN330" i="25" s="1"/>
  <c r="CM312" i="25"/>
  <c r="CN312" i="25" s="1"/>
  <c r="CM313" i="25"/>
  <c r="CN313" i="25" s="1"/>
  <c r="CM331" i="25"/>
  <c r="CN331" i="25" s="1"/>
  <c r="CM318" i="25"/>
  <c r="CN318" i="25" s="1"/>
  <c r="CM290" i="25"/>
  <c r="CN290" i="25" s="1"/>
  <c r="CM292" i="25"/>
  <c r="CN292" i="25" s="1"/>
  <c r="CM317" i="25"/>
  <c r="CN317" i="25" s="1"/>
  <c r="CM321" i="25"/>
  <c r="CN321" i="25" s="1"/>
  <c r="CM303" i="25"/>
  <c r="CN303" i="25" s="1"/>
  <c r="CU337" i="25"/>
  <c r="CU340" i="25"/>
  <c r="CU374" i="25"/>
  <c r="CU386" i="25"/>
  <c r="CU387" i="25"/>
  <c r="CU388" i="25"/>
  <c r="CU259" i="25"/>
  <c r="CU332" i="25"/>
  <c r="CU277" i="25"/>
  <c r="CU210" i="25"/>
  <c r="CU281" i="25"/>
  <c r="CU362" i="25"/>
  <c r="CU256" i="25"/>
  <c r="CU389" i="25"/>
  <c r="CU208" i="25"/>
  <c r="CU211" i="25"/>
  <c r="CU207" i="25"/>
  <c r="CU242" i="25"/>
  <c r="CU243" i="25"/>
  <c r="CU285" i="25"/>
  <c r="CU261" i="25"/>
  <c r="CU263" i="25"/>
  <c r="CU264" i="25"/>
  <c r="CU212" i="25"/>
  <c r="CU269" i="25"/>
  <c r="CU224" i="25"/>
  <c r="CU225" i="25"/>
  <c r="CU344" i="25"/>
  <c r="CU347" i="25"/>
  <c r="CU351" i="25"/>
  <c r="CU357" i="25"/>
  <c r="CU358" i="25"/>
  <c r="CU282" i="25"/>
  <c r="CU359" i="25"/>
  <c r="CU333" i="25"/>
  <c r="CU360" i="25"/>
  <c r="CU361" i="25"/>
  <c r="CU226" i="25"/>
  <c r="CU266" i="25"/>
  <c r="CU236" i="25"/>
  <c r="CU238" i="25"/>
  <c r="CU363" i="25"/>
  <c r="CU246" i="25"/>
  <c r="CU248" i="25"/>
  <c r="CU400" i="25"/>
  <c r="CU401" i="25"/>
  <c r="CU209" i="25"/>
  <c r="CU296" i="25"/>
  <c r="CU286" i="25"/>
  <c r="CU368" i="25"/>
  <c r="CU294" i="25"/>
  <c r="CU297" i="25"/>
  <c r="CU298" i="25"/>
  <c r="CU299" i="25"/>
  <c r="CU343" i="25"/>
  <c r="CU365" i="25"/>
  <c r="CU214" i="25"/>
  <c r="CU215" i="25"/>
  <c r="CU276" i="25"/>
  <c r="CU219" i="25"/>
  <c r="CU229" i="25"/>
  <c r="CU216" i="25"/>
  <c r="CU217" i="25"/>
  <c r="CU218" i="25"/>
  <c r="CU213" i="25"/>
  <c r="CU336" i="25"/>
  <c r="CU227" i="25"/>
  <c r="CU345" i="25"/>
  <c r="CU220" i="25"/>
  <c r="CU262" i="25"/>
  <c r="CU300" i="25"/>
  <c r="CU245" i="25"/>
  <c r="CU302" i="25"/>
  <c r="CU390" i="25"/>
  <c r="CU391" i="25"/>
  <c r="CU366" i="25"/>
  <c r="CU339" i="25"/>
  <c r="CU392" i="25"/>
  <c r="CU393" i="25"/>
  <c r="CU305" i="25"/>
  <c r="CU395" i="25"/>
  <c r="CU291" i="25"/>
  <c r="CU394" i="25"/>
  <c r="CU311" i="25"/>
  <c r="CU272" i="25"/>
  <c r="CU346" i="25"/>
  <c r="CU348" i="25"/>
  <c r="CU402" i="25"/>
  <c r="CU396" i="25"/>
  <c r="CU403" i="25"/>
  <c r="CU399" i="25"/>
  <c r="CU222" i="25"/>
  <c r="CU253" i="25"/>
  <c r="CU241" i="25"/>
  <c r="CU367" i="25"/>
  <c r="CU255" i="25"/>
  <c r="CU267" i="25"/>
  <c r="CU265" i="25"/>
  <c r="CU369" i="25"/>
  <c r="CU228" i="25"/>
  <c r="CU235" i="25"/>
  <c r="CU397" i="25"/>
  <c r="CU230" i="25"/>
  <c r="CU249" i="25"/>
  <c r="CU273" i="25"/>
  <c r="CU251" i="25"/>
  <c r="CU231" i="25"/>
  <c r="CU398" i="25"/>
  <c r="CU252" i="25"/>
  <c r="CU232" i="25"/>
  <c r="CU284" i="25"/>
  <c r="CU221" i="25"/>
  <c r="CU234" i="25"/>
  <c r="CU237" i="25"/>
  <c r="CU370" i="25"/>
  <c r="CU244" i="25"/>
  <c r="CU325" i="25"/>
  <c r="CU250" i="25"/>
  <c r="CU233" i="25"/>
  <c r="CU326" i="25"/>
  <c r="CU327" i="25"/>
  <c r="CU335" i="25"/>
  <c r="CU349" i="25"/>
  <c r="CU338" i="25"/>
  <c r="CU239" i="25"/>
  <c r="CU356" i="25"/>
  <c r="CU240" i="25"/>
  <c r="CU364" i="25"/>
  <c r="CU322" i="25"/>
  <c r="CU323" i="25"/>
  <c r="CU378" i="25"/>
  <c r="CU260" i="25"/>
  <c r="CU334" i="25"/>
  <c r="CU353" i="25"/>
  <c r="CU247" i="25"/>
  <c r="CU380" i="25"/>
  <c r="CU352" i="25"/>
  <c r="CU274" i="25"/>
  <c r="CU223" i="25"/>
  <c r="CU268" i="25"/>
  <c r="CU270" i="25"/>
  <c r="CU275" i="25"/>
  <c r="CU371" i="25"/>
  <c r="CU350" i="25"/>
  <c r="CU354" i="25"/>
  <c r="CU271" i="25"/>
  <c r="CU373" i="25"/>
  <c r="CU372" i="25"/>
  <c r="CU379" i="25"/>
  <c r="CU355" i="25"/>
  <c r="CU375" i="25"/>
  <c r="CU376" i="25"/>
  <c r="CU377" i="25"/>
  <c r="CU341" i="25"/>
  <c r="CU381" i="25"/>
  <c r="CU382" i="25"/>
  <c r="CU384" i="25"/>
  <c r="CU385" i="25"/>
  <c r="CU383" i="25"/>
  <c r="CU254" i="25"/>
  <c r="CU258" i="25"/>
  <c r="CU316" i="25"/>
  <c r="CU324" i="25"/>
  <c r="CU342" i="25"/>
  <c r="CU279" i="25"/>
  <c r="CU283" i="25"/>
  <c r="CU287" i="25"/>
  <c r="CU288" i="25"/>
  <c r="CU289" i="25"/>
  <c r="CU293" i="25"/>
  <c r="CU295" i="25"/>
  <c r="CU304" i="25"/>
  <c r="CU307" i="25"/>
  <c r="CU308" i="25"/>
  <c r="CU309" i="25"/>
  <c r="CU314" i="25"/>
  <c r="CU315" i="25"/>
  <c r="CU319" i="25"/>
  <c r="CU320" i="25"/>
  <c r="CU328" i="25"/>
  <c r="CU278" i="25"/>
  <c r="CU301" i="25"/>
  <c r="CU329" i="25"/>
  <c r="CU280" i="25"/>
  <c r="CU310" i="25"/>
  <c r="CU306" i="25"/>
  <c r="CU330" i="25"/>
  <c r="CU312" i="25"/>
  <c r="CU313" i="25"/>
  <c r="CU331" i="25"/>
  <c r="CU318" i="25"/>
  <c r="CU290" i="25"/>
  <c r="CU292" i="25"/>
  <c r="CU317" i="25"/>
  <c r="CU321" i="25"/>
  <c r="CU303" i="25"/>
  <c r="CV337" i="25"/>
  <c r="CV340" i="25"/>
  <c r="CV374" i="25"/>
  <c r="CV386" i="25"/>
  <c r="CV387" i="25"/>
  <c r="CV388" i="25"/>
  <c r="CV259" i="25"/>
  <c r="CV332" i="25"/>
  <c r="CV277" i="25"/>
  <c r="CV210" i="25"/>
  <c r="CV281" i="25"/>
  <c r="CV362" i="25"/>
  <c r="CV256" i="25"/>
  <c r="CV389" i="25"/>
  <c r="CV208" i="25"/>
  <c r="CV211" i="25"/>
  <c r="CV207" i="25"/>
  <c r="CV242" i="25"/>
  <c r="CV243" i="25"/>
  <c r="CV285" i="25"/>
  <c r="CV261" i="25"/>
  <c r="CV263" i="25"/>
  <c r="CV264" i="25"/>
  <c r="CV212" i="25"/>
  <c r="CV269" i="25"/>
  <c r="CV224" i="25"/>
  <c r="CV225" i="25"/>
  <c r="CV344" i="25"/>
  <c r="CV347" i="25"/>
  <c r="CV351" i="25"/>
  <c r="CV357" i="25"/>
  <c r="CV358" i="25"/>
  <c r="CV282" i="25"/>
  <c r="CV359" i="25"/>
  <c r="CV333" i="25"/>
  <c r="CV360" i="25"/>
  <c r="CV361" i="25"/>
  <c r="CV226" i="25"/>
  <c r="CV266" i="25"/>
  <c r="CV236" i="25"/>
  <c r="CV238" i="25"/>
  <c r="CV363" i="25"/>
  <c r="CV246" i="25"/>
  <c r="CV248" i="25"/>
  <c r="CV400" i="25"/>
  <c r="CV401" i="25"/>
  <c r="CV209" i="25"/>
  <c r="CV296" i="25"/>
  <c r="CV286" i="25"/>
  <c r="CV368" i="25"/>
  <c r="CV294" i="25"/>
  <c r="CV297" i="25"/>
  <c r="CV298" i="25"/>
  <c r="CV299" i="25"/>
  <c r="CV343" i="25"/>
  <c r="CV365" i="25"/>
  <c r="CV214" i="25"/>
  <c r="CV215" i="25"/>
  <c r="CV276" i="25"/>
  <c r="CV219" i="25"/>
  <c r="CV229" i="25"/>
  <c r="CV216" i="25"/>
  <c r="CV217" i="25"/>
  <c r="CV218" i="25"/>
  <c r="CV213" i="25"/>
  <c r="CV336" i="25"/>
  <c r="CV227" i="25"/>
  <c r="CV345" i="25"/>
  <c r="CV220" i="25"/>
  <c r="CV262" i="25"/>
  <c r="CV300" i="25"/>
  <c r="CV245" i="25"/>
  <c r="CV302" i="25"/>
  <c r="CV390" i="25"/>
  <c r="CV391" i="25"/>
  <c r="CV366" i="25"/>
  <c r="CV339" i="25"/>
  <c r="CV392" i="25"/>
  <c r="CV393" i="25"/>
  <c r="CV305" i="25"/>
  <c r="CV395" i="25"/>
  <c r="CV291" i="25"/>
  <c r="CV394" i="25"/>
  <c r="CV311" i="25"/>
  <c r="CV272" i="25"/>
  <c r="CV346" i="25"/>
  <c r="CV348" i="25"/>
  <c r="CV402" i="25"/>
  <c r="CV396" i="25"/>
  <c r="CV403" i="25"/>
  <c r="CV399" i="25"/>
  <c r="CV222" i="25"/>
  <c r="CV253" i="25"/>
  <c r="CV241" i="25"/>
  <c r="CV367" i="25"/>
  <c r="CV255" i="25"/>
  <c r="CV267" i="25"/>
  <c r="CV265" i="25"/>
  <c r="CV369" i="25"/>
  <c r="CV228" i="25"/>
  <c r="CV235" i="25"/>
  <c r="CV397" i="25"/>
  <c r="CV230" i="25"/>
  <c r="CV249" i="25"/>
  <c r="CV273" i="25"/>
  <c r="CV251" i="25"/>
  <c r="CV231" i="25"/>
  <c r="CV398" i="25"/>
  <c r="CV252" i="25"/>
  <c r="CV232" i="25"/>
  <c r="CV284" i="25"/>
  <c r="CV221" i="25"/>
  <c r="CV234" i="25"/>
  <c r="CV237" i="25"/>
  <c r="CV370" i="25"/>
  <c r="CV244" i="25"/>
  <c r="CV325" i="25"/>
  <c r="CV250" i="25"/>
  <c r="CV233" i="25"/>
  <c r="CV326" i="25"/>
  <c r="CV327" i="25"/>
  <c r="CV335" i="25"/>
  <c r="CV349" i="25"/>
  <c r="CV338" i="25"/>
  <c r="CV239" i="25"/>
  <c r="CV356" i="25"/>
  <c r="CV240" i="25"/>
  <c r="CV364" i="25"/>
  <c r="CV322" i="25"/>
  <c r="CV323" i="25"/>
  <c r="CV378" i="25"/>
  <c r="CV260" i="25"/>
  <c r="CV334" i="25"/>
  <c r="CV353" i="25"/>
  <c r="CV247" i="25"/>
  <c r="CV380" i="25"/>
  <c r="CV352" i="25"/>
  <c r="CV274" i="25"/>
  <c r="CV223" i="25"/>
  <c r="CV268" i="25"/>
  <c r="CV270" i="25"/>
  <c r="CV275" i="25"/>
  <c r="CV371" i="25"/>
  <c r="CV350" i="25"/>
  <c r="CV354" i="25"/>
  <c r="CV271" i="25"/>
  <c r="CV373" i="25"/>
  <c r="CV372" i="25"/>
  <c r="CV379" i="25"/>
  <c r="CV355" i="25"/>
  <c r="CV375" i="25"/>
  <c r="CV376" i="25"/>
  <c r="CV377" i="25"/>
  <c r="CV341" i="25"/>
  <c r="CV381" i="25"/>
  <c r="CV382" i="25"/>
  <c r="CV384" i="25"/>
  <c r="CV385" i="25"/>
  <c r="CV383" i="25"/>
  <c r="CV254" i="25"/>
  <c r="CV258" i="25"/>
  <c r="CV316" i="25"/>
  <c r="CV324" i="25"/>
  <c r="CV342" i="25"/>
  <c r="CV279" i="25"/>
  <c r="CV283" i="25"/>
  <c r="CV287" i="25"/>
  <c r="CV288" i="25"/>
  <c r="CV289" i="25"/>
  <c r="CV293" i="25"/>
  <c r="CV295" i="25"/>
  <c r="CV304" i="25"/>
  <c r="CV307" i="25"/>
  <c r="CV308" i="25"/>
  <c r="CV309" i="25"/>
  <c r="CV314" i="25"/>
  <c r="CV315" i="25"/>
  <c r="CV319" i="25"/>
  <c r="CV320" i="25"/>
  <c r="CV328" i="25"/>
  <c r="CV278" i="25"/>
  <c r="CV301" i="25"/>
  <c r="CV329" i="25"/>
  <c r="CV280" i="25"/>
  <c r="CV310" i="25"/>
  <c r="CV306" i="25"/>
  <c r="CV330" i="25"/>
  <c r="CV312" i="25"/>
  <c r="CV313" i="25"/>
  <c r="CV331" i="25"/>
  <c r="CV318" i="25"/>
  <c r="CV290" i="25"/>
  <c r="CV292" i="25"/>
  <c r="CV317" i="25"/>
  <c r="CV321" i="25"/>
  <c r="CV303" i="25"/>
  <c r="DA337" i="25"/>
  <c r="DA340" i="25"/>
  <c r="DA374" i="25"/>
  <c r="DA386" i="25"/>
  <c r="DA387" i="25"/>
  <c r="DA388" i="25"/>
  <c r="DA259" i="25"/>
  <c r="DA332" i="25"/>
  <c r="DA277" i="25"/>
  <c r="DA210" i="25"/>
  <c r="DA281" i="25"/>
  <c r="DA362" i="25"/>
  <c r="DA256" i="25"/>
  <c r="DA389" i="25"/>
  <c r="DA208" i="25"/>
  <c r="DA211" i="25"/>
  <c r="DA207" i="25"/>
  <c r="DA242" i="25"/>
  <c r="DA243" i="25"/>
  <c r="DA285" i="25"/>
  <c r="DA261" i="25"/>
  <c r="DA263" i="25"/>
  <c r="DA264" i="25"/>
  <c r="DA212" i="25"/>
  <c r="DA269" i="25"/>
  <c r="DA224" i="25"/>
  <c r="DA225" i="25"/>
  <c r="DA344" i="25"/>
  <c r="DA347" i="25"/>
  <c r="DA351" i="25"/>
  <c r="DA357" i="25"/>
  <c r="DA358" i="25"/>
  <c r="DA282" i="25"/>
  <c r="DA359" i="25"/>
  <c r="DA333" i="25"/>
  <c r="DA360" i="25"/>
  <c r="DA361" i="25"/>
  <c r="DA226" i="25"/>
  <c r="DA266" i="25"/>
  <c r="DA236" i="25"/>
  <c r="DA238" i="25"/>
  <c r="DA363" i="25"/>
  <c r="DA246" i="25"/>
  <c r="DA248" i="25"/>
  <c r="DA400" i="25"/>
  <c r="DA401" i="25"/>
  <c r="DA209" i="25"/>
  <c r="DA296" i="25"/>
  <c r="DA286" i="25"/>
  <c r="DA368" i="25"/>
  <c r="DA294" i="25"/>
  <c r="DA297" i="25"/>
  <c r="DA298" i="25"/>
  <c r="DA299" i="25"/>
  <c r="DA343" i="25"/>
  <c r="DA365" i="25"/>
  <c r="DA214" i="25"/>
  <c r="DA215" i="25"/>
  <c r="DA276" i="25"/>
  <c r="DA219" i="25"/>
  <c r="DA229" i="25"/>
  <c r="DA216" i="25"/>
  <c r="DA217" i="25"/>
  <c r="DA218" i="25"/>
  <c r="DA213" i="25"/>
  <c r="DA336" i="25"/>
  <c r="DA227" i="25"/>
  <c r="DA345" i="25"/>
  <c r="DA220" i="25"/>
  <c r="DA262" i="25"/>
  <c r="DA300" i="25"/>
  <c r="DA245" i="25"/>
  <c r="DA302" i="25"/>
  <c r="DA390" i="25"/>
  <c r="DA391" i="25"/>
  <c r="DA366" i="25"/>
  <c r="DA339" i="25"/>
  <c r="DA392" i="25"/>
  <c r="DA393" i="25"/>
  <c r="DA305" i="25"/>
  <c r="DA395" i="25"/>
  <c r="DA291" i="25"/>
  <c r="DA394" i="25"/>
  <c r="DA311" i="25"/>
  <c r="DA272" i="25"/>
  <c r="DA346" i="25"/>
  <c r="DA348" i="25"/>
  <c r="DA402" i="25"/>
  <c r="DA396" i="25"/>
  <c r="DA403" i="25"/>
  <c r="DA399" i="25"/>
  <c r="DA222" i="25"/>
  <c r="DA253" i="25"/>
  <c r="DA241" i="25"/>
  <c r="DA367" i="25"/>
  <c r="DA255" i="25"/>
  <c r="DA267" i="25"/>
  <c r="DA265" i="25"/>
  <c r="DA369" i="25"/>
  <c r="DA228" i="25"/>
  <c r="DA235" i="25"/>
  <c r="DA397" i="25"/>
  <c r="DA230" i="25"/>
  <c r="DA249" i="25"/>
  <c r="DA273" i="25"/>
  <c r="DA251" i="25"/>
  <c r="DA231" i="25"/>
  <c r="DA398" i="25"/>
  <c r="DA252" i="25"/>
  <c r="DA232" i="25"/>
  <c r="DA284" i="25"/>
  <c r="DA221" i="25"/>
  <c r="DA234" i="25"/>
  <c r="DA237" i="25"/>
  <c r="DA370" i="25"/>
  <c r="DA244" i="25"/>
  <c r="DA325" i="25"/>
  <c r="DA250" i="25"/>
  <c r="DA233" i="25"/>
  <c r="DA326" i="25"/>
  <c r="DA327" i="25"/>
  <c r="DA335" i="25"/>
  <c r="DA349" i="25"/>
  <c r="DA338" i="25"/>
  <c r="DA239" i="25"/>
  <c r="DA356" i="25"/>
  <c r="DA240" i="25"/>
  <c r="DA364" i="25"/>
  <c r="DA322" i="25"/>
  <c r="DA323" i="25"/>
  <c r="DA378" i="25"/>
  <c r="DA260" i="25"/>
  <c r="DA334" i="25"/>
  <c r="DA353" i="25"/>
  <c r="DA247" i="25"/>
  <c r="DA380" i="25"/>
  <c r="DA352" i="25"/>
  <c r="DA274" i="25"/>
  <c r="DA223" i="25"/>
  <c r="DA268" i="25"/>
  <c r="DA270" i="25"/>
  <c r="DA275" i="25"/>
  <c r="DA371" i="25"/>
  <c r="DA350" i="25"/>
  <c r="DA354" i="25"/>
  <c r="DA271" i="25"/>
  <c r="DA373" i="25"/>
  <c r="DA372" i="25"/>
  <c r="DA379" i="25"/>
  <c r="DA355" i="25"/>
  <c r="DA375" i="25"/>
  <c r="DA376" i="25"/>
  <c r="DA377" i="25"/>
  <c r="DA341" i="25"/>
  <c r="DA381" i="25"/>
  <c r="DA382" i="25"/>
  <c r="DA384" i="25"/>
  <c r="DA385" i="25"/>
  <c r="DA383" i="25"/>
  <c r="DA254" i="25"/>
  <c r="DA258" i="25"/>
  <c r="DA316" i="25"/>
  <c r="DA324" i="25"/>
  <c r="DA342" i="25"/>
  <c r="DA279" i="25"/>
  <c r="DA283" i="25"/>
  <c r="DA287" i="25"/>
  <c r="DA288" i="25"/>
  <c r="DA289" i="25"/>
  <c r="DA293" i="25"/>
  <c r="DA295" i="25"/>
  <c r="DA304" i="25"/>
  <c r="DA307" i="25"/>
  <c r="DA308" i="25"/>
  <c r="DA309" i="25"/>
  <c r="DA314" i="25"/>
  <c r="DA315" i="25"/>
  <c r="DA319" i="25"/>
  <c r="DA320" i="25"/>
  <c r="DA328" i="25"/>
  <c r="DA278" i="25"/>
  <c r="DA301" i="25"/>
  <c r="DA329" i="25"/>
  <c r="DA280" i="25"/>
  <c r="DA310" i="25"/>
  <c r="DA306" i="25"/>
  <c r="DA330" i="25"/>
  <c r="DA312" i="25"/>
  <c r="DA313" i="25"/>
  <c r="DA331" i="25"/>
  <c r="DA318" i="25"/>
  <c r="DA290" i="25"/>
  <c r="DA292" i="25"/>
  <c r="DA317" i="25"/>
  <c r="DA321" i="25"/>
  <c r="DA303" i="25"/>
  <c r="DF337" i="25"/>
  <c r="DF340" i="25"/>
  <c r="DF374" i="25"/>
  <c r="DF386" i="25"/>
  <c r="DF387" i="25"/>
  <c r="DF388" i="25"/>
  <c r="DF259" i="25"/>
  <c r="DF332" i="25"/>
  <c r="DF277" i="25"/>
  <c r="DF210" i="25"/>
  <c r="DF281" i="25"/>
  <c r="DF362" i="25"/>
  <c r="DF256" i="25"/>
  <c r="DF389" i="25"/>
  <c r="DF208" i="25"/>
  <c r="DF211" i="25"/>
  <c r="DF207" i="25"/>
  <c r="DF242" i="25"/>
  <c r="DF243" i="25"/>
  <c r="DF285" i="25"/>
  <c r="DF261" i="25"/>
  <c r="DF263" i="25"/>
  <c r="DF264" i="25"/>
  <c r="DF212" i="25"/>
  <c r="DF269" i="25"/>
  <c r="DF224" i="25"/>
  <c r="DF225" i="25"/>
  <c r="DF344" i="25"/>
  <c r="DF347" i="25"/>
  <c r="DF351" i="25"/>
  <c r="DF357" i="25"/>
  <c r="DF358" i="25"/>
  <c r="DF282" i="25"/>
  <c r="DF359" i="25"/>
  <c r="DF333" i="25"/>
  <c r="DF360" i="25"/>
  <c r="DF361" i="25"/>
  <c r="DF226" i="25"/>
  <c r="DF266" i="25"/>
  <c r="DF236" i="25"/>
  <c r="DF238" i="25"/>
  <c r="DF363" i="25"/>
  <c r="DF246" i="25"/>
  <c r="DF248" i="25"/>
  <c r="DF400" i="25"/>
  <c r="DF401" i="25"/>
  <c r="DF209" i="25"/>
  <c r="DF296" i="25"/>
  <c r="DF286" i="25"/>
  <c r="DF368" i="25"/>
  <c r="DF294" i="25"/>
  <c r="DF297" i="25"/>
  <c r="DF298" i="25"/>
  <c r="DF299" i="25"/>
  <c r="DF343" i="25"/>
  <c r="DF365" i="25"/>
  <c r="DF214" i="25"/>
  <c r="DF215" i="25"/>
  <c r="DF276" i="25"/>
  <c r="DF219" i="25"/>
  <c r="DF229" i="25"/>
  <c r="DF216" i="25"/>
  <c r="DF217" i="25"/>
  <c r="DF218" i="25"/>
  <c r="DF213" i="25"/>
  <c r="DF336" i="25"/>
  <c r="DF227" i="25"/>
  <c r="DF345" i="25"/>
  <c r="DF220" i="25"/>
  <c r="DF262" i="25"/>
  <c r="DF300" i="25"/>
  <c r="DF245" i="25"/>
  <c r="DF302" i="25"/>
  <c r="DF390" i="25"/>
  <c r="DF391" i="25"/>
  <c r="DF366" i="25"/>
  <c r="DF339" i="25"/>
  <c r="DF392" i="25"/>
  <c r="DF393" i="25"/>
  <c r="DF305" i="25"/>
  <c r="DF395" i="25"/>
  <c r="DF291" i="25"/>
  <c r="DF394" i="25"/>
  <c r="DF311" i="25"/>
  <c r="DF272" i="25"/>
  <c r="DF346" i="25"/>
  <c r="DF348" i="25"/>
  <c r="DF402" i="25"/>
  <c r="DF396" i="25"/>
  <c r="DF403" i="25"/>
  <c r="DF399" i="25"/>
  <c r="DF222" i="25"/>
  <c r="DF253" i="25"/>
  <c r="DF241" i="25"/>
  <c r="DF367" i="25"/>
  <c r="DF255" i="25"/>
  <c r="DF267" i="25"/>
  <c r="DF265" i="25"/>
  <c r="DF369" i="25"/>
  <c r="DF228" i="25"/>
  <c r="DF235" i="25"/>
  <c r="DF397" i="25"/>
  <c r="DF230" i="25"/>
  <c r="DF249" i="25"/>
  <c r="DF273" i="25"/>
  <c r="DF251" i="25"/>
  <c r="DF231" i="25"/>
  <c r="DF398" i="25"/>
  <c r="DF252" i="25"/>
  <c r="DF232" i="25"/>
  <c r="DF284" i="25"/>
  <c r="DF221" i="25"/>
  <c r="DF234" i="25"/>
  <c r="DF237" i="25"/>
  <c r="DF370" i="25"/>
  <c r="DF244" i="25"/>
  <c r="DF325" i="25"/>
  <c r="DF250" i="25"/>
  <c r="DF233" i="25"/>
  <c r="DF326" i="25"/>
  <c r="DF327" i="25"/>
  <c r="DF335" i="25"/>
  <c r="DF349" i="25"/>
  <c r="DF338" i="25"/>
  <c r="DF239" i="25"/>
  <c r="DF356" i="25"/>
  <c r="DF240" i="25"/>
  <c r="DF364" i="25"/>
  <c r="DF322" i="25"/>
  <c r="DF323" i="25"/>
  <c r="DF378" i="25"/>
  <c r="DF260" i="25"/>
  <c r="DF334" i="25"/>
  <c r="DF353" i="25"/>
  <c r="DF247" i="25"/>
  <c r="DF380" i="25"/>
  <c r="DF352" i="25"/>
  <c r="DF274" i="25"/>
  <c r="DF223" i="25"/>
  <c r="DF268" i="25"/>
  <c r="DF270" i="25"/>
  <c r="DF275" i="25"/>
  <c r="DF371" i="25"/>
  <c r="DF350" i="25"/>
  <c r="DF354" i="25"/>
  <c r="DF271" i="25"/>
  <c r="DF373" i="25"/>
  <c r="DF372" i="25"/>
  <c r="DF379" i="25"/>
  <c r="DF355" i="25"/>
  <c r="DF375" i="25"/>
  <c r="DF376" i="25"/>
  <c r="DF377" i="25"/>
  <c r="DF341" i="25"/>
  <c r="DF381" i="25"/>
  <c r="DF382" i="25"/>
  <c r="DF384" i="25"/>
  <c r="DF385" i="25"/>
  <c r="DF383" i="25"/>
  <c r="DF254" i="25"/>
  <c r="DF258" i="25"/>
  <c r="DF316" i="25"/>
  <c r="DF324" i="25"/>
  <c r="DF342" i="25"/>
  <c r="DF279" i="25"/>
  <c r="DF283" i="25"/>
  <c r="DF287" i="25"/>
  <c r="DF288" i="25"/>
  <c r="DF289" i="25"/>
  <c r="DF293" i="25"/>
  <c r="DF295" i="25"/>
  <c r="DF304" i="25"/>
  <c r="DF307" i="25"/>
  <c r="DF308" i="25"/>
  <c r="DF309" i="25"/>
  <c r="DF314" i="25"/>
  <c r="DF315" i="25"/>
  <c r="DF319" i="25"/>
  <c r="DF320" i="25"/>
  <c r="DF328" i="25"/>
  <c r="DF278" i="25"/>
  <c r="DF301" i="25"/>
  <c r="DF329" i="25"/>
  <c r="DF280" i="25"/>
  <c r="DF310" i="25"/>
  <c r="DF306" i="25"/>
  <c r="DF330" i="25"/>
  <c r="DF312" i="25"/>
  <c r="DF313" i="25"/>
  <c r="DF331" i="25"/>
  <c r="DF318" i="25"/>
  <c r="DF290" i="25"/>
  <c r="DF292" i="25"/>
  <c r="DF317" i="25"/>
  <c r="DF321" i="25"/>
  <c r="DF303" i="25"/>
  <c r="DG337" i="25"/>
  <c r="DG340" i="25"/>
  <c r="DN340" i="25" s="1"/>
  <c r="DG374" i="25"/>
  <c r="DN374" i="25" s="1"/>
  <c r="DG386" i="25"/>
  <c r="DN386" i="25" s="1"/>
  <c r="DG387" i="25"/>
  <c r="DN387" i="25" s="1"/>
  <c r="DG388" i="25"/>
  <c r="DN388" i="25" s="1"/>
  <c r="DG259" i="25"/>
  <c r="DN259" i="25" s="1"/>
  <c r="DG332" i="25"/>
  <c r="DN332" i="25" s="1"/>
  <c r="DG277" i="25"/>
  <c r="DN277" i="25" s="1"/>
  <c r="DG210" i="25"/>
  <c r="DG281" i="25"/>
  <c r="DN281" i="25" s="1"/>
  <c r="DG362" i="25"/>
  <c r="DN362" i="25" s="1"/>
  <c r="DG256" i="25"/>
  <c r="DN256" i="25" s="1"/>
  <c r="DG389" i="25"/>
  <c r="DN389" i="25" s="1"/>
  <c r="DG208" i="25"/>
  <c r="DN208" i="25" s="1"/>
  <c r="DG211" i="25"/>
  <c r="DN211" i="25" s="1"/>
  <c r="DG207" i="25"/>
  <c r="DN207" i="25" s="1"/>
  <c r="DG242" i="25"/>
  <c r="DN242" i="25" s="1"/>
  <c r="DG243" i="25"/>
  <c r="DN243" i="25" s="1"/>
  <c r="DG285" i="25"/>
  <c r="DN285" i="25" s="1"/>
  <c r="DG261" i="25"/>
  <c r="DN261" i="25" s="1"/>
  <c r="DG263" i="25"/>
  <c r="DN263" i="25" s="1"/>
  <c r="DG264" i="25"/>
  <c r="DN264" i="25" s="1"/>
  <c r="DG212" i="25"/>
  <c r="DN212" i="25" s="1"/>
  <c r="DG269" i="25"/>
  <c r="DN269" i="25" s="1"/>
  <c r="DG224" i="25"/>
  <c r="DN224" i="25" s="1"/>
  <c r="DG225" i="25"/>
  <c r="DG344" i="25"/>
  <c r="DN344" i="25" s="1"/>
  <c r="DG347" i="25"/>
  <c r="DN347" i="25" s="1"/>
  <c r="DG351" i="25"/>
  <c r="DN351" i="25" s="1"/>
  <c r="DG357" i="25"/>
  <c r="DN357" i="25" s="1"/>
  <c r="DG358" i="25"/>
  <c r="DN358" i="25" s="1"/>
  <c r="DG282" i="25"/>
  <c r="DN282" i="25" s="1"/>
  <c r="DG359" i="25"/>
  <c r="DN359" i="25" s="1"/>
  <c r="DG333" i="25"/>
  <c r="DN333" i="25" s="1"/>
  <c r="DG360" i="25"/>
  <c r="DN360" i="25" s="1"/>
  <c r="DG361" i="25"/>
  <c r="DN361" i="25" s="1"/>
  <c r="DG226" i="25"/>
  <c r="DN226" i="25" s="1"/>
  <c r="DG266" i="25"/>
  <c r="DN266" i="25" s="1"/>
  <c r="DG236" i="25"/>
  <c r="DN236" i="25" s="1"/>
  <c r="DG238" i="25"/>
  <c r="DN238" i="25" s="1"/>
  <c r="DG363" i="25"/>
  <c r="DN363" i="25" s="1"/>
  <c r="DG246" i="25"/>
  <c r="DN246" i="25" s="1"/>
  <c r="DG248" i="25"/>
  <c r="DN248" i="25" s="1"/>
  <c r="DG400" i="25"/>
  <c r="DN400" i="25" s="1"/>
  <c r="DG401" i="25"/>
  <c r="DN401" i="25" s="1"/>
  <c r="DG209" i="25"/>
  <c r="DN209" i="25" s="1"/>
  <c r="DG296" i="25"/>
  <c r="DN296" i="25" s="1"/>
  <c r="DG286" i="25"/>
  <c r="DN286" i="25" s="1"/>
  <c r="DG368" i="25"/>
  <c r="DN368" i="25" s="1"/>
  <c r="DG294" i="25"/>
  <c r="DN294" i="25" s="1"/>
  <c r="DG297" i="25"/>
  <c r="DN297" i="25" s="1"/>
  <c r="DG298" i="25"/>
  <c r="DN298" i="25" s="1"/>
  <c r="DG299" i="25"/>
  <c r="DN299" i="25" s="1"/>
  <c r="DG343" i="25"/>
  <c r="DN343" i="25" s="1"/>
  <c r="DG365" i="25"/>
  <c r="DN365" i="25" s="1"/>
  <c r="DG214" i="25"/>
  <c r="DN214" i="25" s="1"/>
  <c r="DG215" i="25"/>
  <c r="DN215" i="25" s="1"/>
  <c r="DG276" i="25"/>
  <c r="DN276" i="25" s="1"/>
  <c r="DG219" i="25"/>
  <c r="DN219" i="25" s="1"/>
  <c r="DG229" i="25"/>
  <c r="DN229" i="25" s="1"/>
  <c r="DG216" i="25"/>
  <c r="DN216" i="25" s="1"/>
  <c r="DG217" i="25"/>
  <c r="DN217" i="25" s="1"/>
  <c r="DG218" i="25"/>
  <c r="DN218" i="25" s="1"/>
  <c r="DG213" i="25"/>
  <c r="DN213" i="25" s="1"/>
  <c r="DG336" i="25"/>
  <c r="DN336" i="25" s="1"/>
  <c r="DG227" i="25"/>
  <c r="DN227" i="25" s="1"/>
  <c r="DG345" i="25"/>
  <c r="DN345" i="25" s="1"/>
  <c r="DG220" i="25"/>
  <c r="DN220" i="25" s="1"/>
  <c r="DG262" i="25"/>
  <c r="DN262" i="25" s="1"/>
  <c r="DG300" i="25"/>
  <c r="DN300" i="25" s="1"/>
  <c r="DG245" i="25"/>
  <c r="DN245" i="25" s="1"/>
  <c r="DG302" i="25"/>
  <c r="DN302" i="25" s="1"/>
  <c r="DG390" i="25"/>
  <c r="DG391" i="25"/>
  <c r="DN391" i="25" s="1"/>
  <c r="DG366" i="25"/>
  <c r="DN366" i="25" s="1"/>
  <c r="DG339" i="25"/>
  <c r="DN339" i="25" s="1"/>
  <c r="DG392" i="25"/>
  <c r="DN392" i="25" s="1"/>
  <c r="DG393" i="25"/>
  <c r="DN393" i="25" s="1"/>
  <c r="DG305" i="25"/>
  <c r="DN305" i="25" s="1"/>
  <c r="DG395" i="25"/>
  <c r="DN395" i="25" s="1"/>
  <c r="DG291" i="25"/>
  <c r="DN291" i="25" s="1"/>
  <c r="DG394" i="25"/>
  <c r="DN394" i="25" s="1"/>
  <c r="DG311" i="25"/>
  <c r="DN311" i="25" s="1"/>
  <c r="DG272" i="25"/>
  <c r="DN272" i="25" s="1"/>
  <c r="DG346" i="25"/>
  <c r="DN346" i="25" s="1"/>
  <c r="DG348" i="25"/>
  <c r="DN348" i="25" s="1"/>
  <c r="DG402" i="25"/>
  <c r="DN402" i="25" s="1"/>
  <c r="DG396" i="25"/>
  <c r="DN396" i="25" s="1"/>
  <c r="DG403" i="25"/>
  <c r="DN403" i="25" s="1"/>
  <c r="DG399" i="25"/>
  <c r="DN399" i="25" s="1"/>
  <c r="DG222" i="25"/>
  <c r="DN222" i="25" s="1"/>
  <c r="DG253" i="25"/>
  <c r="DN253" i="25" s="1"/>
  <c r="DG241" i="25"/>
  <c r="DN241" i="25" s="1"/>
  <c r="DG367" i="25"/>
  <c r="DN367" i="25" s="1"/>
  <c r="DG255" i="25"/>
  <c r="DN255" i="25" s="1"/>
  <c r="DG267" i="25"/>
  <c r="DN267" i="25" s="1"/>
  <c r="DG265" i="25"/>
  <c r="DN265" i="25" s="1"/>
  <c r="DG369" i="25"/>
  <c r="DN369" i="25" s="1"/>
  <c r="DG228" i="25"/>
  <c r="DN228" i="25" s="1"/>
  <c r="DG235" i="25"/>
  <c r="DN235" i="25" s="1"/>
  <c r="DG397" i="25"/>
  <c r="DN397" i="25" s="1"/>
  <c r="DG230" i="25"/>
  <c r="DN230" i="25" s="1"/>
  <c r="DG249" i="25"/>
  <c r="DN249" i="25" s="1"/>
  <c r="DG273" i="25"/>
  <c r="DG251" i="25"/>
  <c r="DN251" i="25" s="1"/>
  <c r="DG231" i="25"/>
  <c r="DN231" i="25" s="1"/>
  <c r="DG398" i="25"/>
  <c r="DN398" i="25" s="1"/>
  <c r="DG252" i="25"/>
  <c r="DN252" i="25" s="1"/>
  <c r="DG232" i="25"/>
  <c r="DN232" i="25" s="1"/>
  <c r="DG284" i="25"/>
  <c r="DN284" i="25" s="1"/>
  <c r="DG221" i="25"/>
  <c r="DN221" i="25" s="1"/>
  <c r="DG234" i="25"/>
  <c r="DN234" i="25" s="1"/>
  <c r="DG237" i="25"/>
  <c r="DN237" i="25" s="1"/>
  <c r="DG370" i="25"/>
  <c r="DN370" i="25" s="1"/>
  <c r="DG244" i="25"/>
  <c r="DN244" i="25" s="1"/>
  <c r="DG325" i="25"/>
  <c r="DN325" i="25" s="1"/>
  <c r="DG250" i="25"/>
  <c r="DN250" i="25" s="1"/>
  <c r="DG233" i="25"/>
  <c r="DN233" i="25" s="1"/>
  <c r="DG326" i="25"/>
  <c r="DG327" i="25"/>
  <c r="DN327" i="25" s="1"/>
  <c r="DG335" i="25"/>
  <c r="DN335" i="25" s="1"/>
  <c r="DG349" i="25"/>
  <c r="DN349" i="25" s="1"/>
  <c r="DG338" i="25"/>
  <c r="DN338" i="25" s="1"/>
  <c r="DG239" i="25"/>
  <c r="DN239" i="25" s="1"/>
  <c r="DG356" i="25"/>
  <c r="DN356" i="25" s="1"/>
  <c r="DG240" i="25"/>
  <c r="DN240" i="25" s="1"/>
  <c r="DG364" i="25"/>
  <c r="DN364" i="25" s="1"/>
  <c r="DG322" i="25"/>
  <c r="DN322" i="25" s="1"/>
  <c r="DG323" i="25"/>
  <c r="DN323" i="25" s="1"/>
  <c r="DG378" i="25"/>
  <c r="DN378" i="25" s="1"/>
  <c r="DG260" i="25"/>
  <c r="DN260" i="25" s="1"/>
  <c r="DG334" i="25"/>
  <c r="DN334" i="25" s="1"/>
  <c r="DG353" i="25"/>
  <c r="DN353" i="25" s="1"/>
  <c r="DG247" i="25"/>
  <c r="DN247" i="25" s="1"/>
  <c r="DG380" i="25"/>
  <c r="DN380" i="25" s="1"/>
  <c r="DG352" i="25"/>
  <c r="DN352" i="25" s="1"/>
  <c r="DG274" i="25"/>
  <c r="DN274" i="25" s="1"/>
  <c r="DG223" i="25"/>
  <c r="DN223" i="25" s="1"/>
  <c r="DG268" i="25"/>
  <c r="DN268" i="25" s="1"/>
  <c r="DG270" i="25"/>
  <c r="DN270" i="25" s="1"/>
  <c r="DG275" i="25"/>
  <c r="DN275" i="25" s="1"/>
  <c r="DG371" i="25"/>
  <c r="DN371" i="25" s="1"/>
  <c r="DG350" i="25"/>
  <c r="DN350" i="25" s="1"/>
  <c r="DG354" i="25"/>
  <c r="DN354" i="25" s="1"/>
  <c r="DG271" i="25"/>
  <c r="DN271" i="25" s="1"/>
  <c r="DG373" i="25"/>
  <c r="DN373" i="25" s="1"/>
  <c r="DG372" i="25"/>
  <c r="DN372" i="25" s="1"/>
  <c r="DG379" i="25"/>
  <c r="DN379" i="25" s="1"/>
  <c r="DG355" i="25"/>
  <c r="DN355" i="25" s="1"/>
  <c r="DG375" i="25"/>
  <c r="DN375" i="25" s="1"/>
  <c r="DG376" i="25"/>
  <c r="DN376" i="25" s="1"/>
  <c r="DG377" i="25"/>
  <c r="DN377" i="25" s="1"/>
  <c r="DG341" i="25"/>
  <c r="DN341" i="25" s="1"/>
  <c r="DG381" i="25"/>
  <c r="DN381" i="25" s="1"/>
  <c r="DG382" i="25"/>
  <c r="DN382" i="25" s="1"/>
  <c r="DG384" i="25"/>
  <c r="DN384" i="25" s="1"/>
  <c r="DG385" i="25"/>
  <c r="DN385" i="25" s="1"/>
  <c r="DG383" i="25"/>
  <c r="DN383" i="25" s="1"/>
  <c r="DG254" i="25"/>
  <c r="DN254" i="25" s="1"/>
  <c r="DG258" i="25"/>
  <c r="DN258" i="25" s="1"/>
  <c r="DG316" i="25"/>
  <c r="DN316" i="25" s="1"/>
  <c r="DG324" i="25"/>
  <c r="DN324" i="25" s="1"/>
  <c r="DG342" i="25"/>
  <c r="DN342" i="25" s="1"/>
  <c r="DG279" i="25"/>
  <c r="DN279" i="25" s="1"/>
  <c r="DG283" i="25"/>
  <c r="DN283" i="25" s="1"/>
  <c r="DG287" i="25"/>
  <c r="DN287" i="25" s="1"/>
  <c r="DG288" i="25"/>
  <c r="DN288" i="25" s="1"/>
  <c r="DG289" i="25"/>
  <c r="DN289" i="25" s="1"/>
  <c r="DG293" i="25"/>
  <c r="DN293" i="25" s="1"/>
  <c r="DG295" i="25"/>
  <c r="DN295" i="25" s="1"/>
  <c r="DG304" i="25"/>
  <c r="DN304" i="25" s="1"/>
  <c r="DG307" i="25"/>
  <c r="DN307" i="25" s="1"/>
  <c r="DG308" i="25"/>
  <c r="DN308" i="25" s="1"/>
  <c r="DG309" i="25"/>
  <c r="DN309" i="25" s="1"/>
  <c r="DG314" i="25"/>
  <c r="DN314" i="25" s="1"/>
  <c r="DG315" i="25"/>
  <c r="DN315" i="25" s="1"/>
  <c r="DG319" i="25"/>
  <c r="DN319" i="25" s="1"/>
  <c r="DG320" i="25"/>
  <c r="DN320" i="25" s="1"/>
  <c r="DG328" i="25"/>
  <c r="DN328" i="25" s="1"/>
  <c r="DG278" i="25"/>
  <c r="DN278" i="25" s="1"/>
  <c r="DG301" i="25"/>
  <c r="DN301" i="25" s="1"/>
  <c r="DG329" i="25"/>
  <c r="DN329" i="25" s="1"/>
  <c r="DG280" i="25"/>
  <c r="DN280" i="25" s="1"/>
  <c r="DG310" i="25"/>
  <c r="DN310" i="25" s="1"/>
  <c r="DG306" i="25"/>
  <c r="DN306" i="25" s="1"/>
  <c r="DG330" i="25"/>
  <c r="DN330" i="25" s="1"/>
  <c r="DG312" i="25"/>
  <c r="DN312" i="25" s="1"/>
  <c r="DG313" i="25"/>
  <c r="DN313" i="25" s="1"/>
  <c r="DG331" i="25"/>
  <c r="DN331" i="25" s="1"/>
  <c r="DG318" i="25"/>
  <c r="DN318" i="25" s="1"/>
  <c r="DG290" i="25"/>
  <c r="DN290" i="25" s="1"/>
  <c r="DG292" i="25"/>
  <c r="DN292" i="25" s="1"/>
  <c r="DG317" i="25"/>
  <c r="DN317" i="25" s="1"/>
  <c r="DG321" i="25"/>
  <c r="DN321" i="25" s="1"/>
  <c r="DG303" i="25"/>
  <c r="DN303" i="25" s="1"/>
  <c r="DH337" i="25"/>
  <c r="DH340" i="25"/>
  <c r="DH374" i="25"/>
  <c r="DH386" i="25"/>
  <c r="DH387" i="25"/>
  <c r="DH388" i="25"/>
  <c r="DH259" i="25"/>
  <c r="DH332" i="25"/>
  <c r="DH277" i="25"/>
  <c r="DH210" i="25"/>
  <c r="DH281" i="25"/>
  <c r="DH362" i="25"/>
  <c r="DH256" i="25"/>
  <c r="DH389" i="25"/>
  <c r="DH208" i="25"/>
  <c r="DH211" i="25"/>
  <c r="DH207" i="25"/>
  <c r="DH242" i="25"/>
  <c r="DH243" i="25"/>
  <c r="DH285" i="25"/>
  <c r="DH261" i="25"/>
  <c r="DH263" i="25"/>
  <c r="DH264" i="25"/>
  <c r="DH212" i="25"/>
  <c r="DH269" i="25"/>
  <c r="DH224" i="25"/>
  <c r="DH225" i="25"/>
  <c r="DH344" i="25"/>
  <c r="DH347" i="25"/>
  <c r="DH351" i="25"/>
  <c r="DH357" i="25"/>
  <c r="DH358" i="25"/>
  <c r="DH282" i="25"/>
  <c r="DH359" i="25"/>
  <c r="DH333" i="25"/>
  <c r="DH360" i="25"/>
  <c r="DH361" i="25"/>
  <c r="DH226" i="25"/>
  <c r="DH266" i="25"/>
  <c r="DH236" i="25"/>
  <c r="DH238" i="25"/>
  <c r="DH363" i="25"/>
  <c r="DH246" i="25"/>
  <c r="DH248" i="25"/>
  <c r="DH400" i="25"/>
  <c r="DH401" i="25"/>
  <c r="DH209" i="25"/>
  <c r="DH296" i="25"/>
  <c r="DH286" i="25"/>
  <c r="DH368" i="25"/>
  <c r="DH294" i="25"/>
  <c r="DH297" i="25"/>
  <c r="DH298" i="25"/>
  <c r="DH299" i="25"/>
  <c r="DH343" i="25"/>
  <c r="DH365" i="25"/>
  <c r="DH214" i="25"/>
  <c r="DH215" i="25"/>
  <c r="DH276" i="25"/>
  <c r="DH219" i="25"/>
  <c r="DH229" i="25"/>
  <c r="DH216" i="25"/>
  <c r="DH217" i="25"/>
  <c r="DH218" i="25"/>
  <c r="DH213" i="25"/>
  <c r="DH336" i="25"/>
  <c r="DH227" i="25"/>
  <c r="DH345" i="25"/>
  <c r="DH220" i="25"/>
  <c r="DH262" i="25"/>
  <c r="DH300" i="25"/>
  <c r="DH245" i="25"/>
  <c r="DH302" i="25"/>
  <c r="DH390" i="25"/>
  <c r="DH391" i="25"/>
  <c r="DH366" i="25"/>
  <c r="DH339" i="25"/>
  <c r="DH392" i="25"/>
  <c r="DH393" i="25"/>
  <c r="DH305" i="25"/>
  <c r="DH395" i="25"/>
  <c r="DH291" i="25"/>
  <c r="DH394" i="25"/>
  <c r="DH311" i="25"/>
  <c r="DH272" i="25"/>
  <c r="DH346" i="25"/>
  <c r="DH348" i="25"/>
  <c r="DH402" i="25"/>
  <c r="DH396" i="25"/>
  <c r="DH403" i="25"/>
  <c r="DH399" i="25"/>
  <c r="DH222" i="25"/>
  <c r="DH253" i="25"/>
  <c r="DH241" i="25"/>
  <c r="DH367" i="25"/>
  <c r="DH255" i="25"/>
  <c r="DH267" i="25"/>
  <c r="DH265" i="25"/>
  <c r="DH369" i="25"/>
  <c r="DH228" i="25"/>
  <c r="DH235" i="25"/>
  <c r="DH397" i="25"/>
  <c r="DH230" i="25"/>
  <c r="DH249" i="25"/>
  <c r="DH273" i="25"/>
  <c r="DH251" i="25"/>
  <c r="DH231" i="25"/>
  <c r="DH398" i="25"/>
  <c r="DH252" i="25"/>
  <c r="DH232" i="25"/>
  <c r="DH284" i="25"/>
  <c r="DH221" i="25"/>
  <c r="DH234" i="25"/>
  <c r="DH237" i="25"/>
  <c r="DH370" i="25"/>
  <c r="DH244" i="25"/>
  <c r="DH325" i="25"/>
  <c r="DH250" i="25"/>
  <c r="DH233" i="25"/>
  <c r="DH326" i="25"/>
  <c r="DH327" i="25"/>
  <c r="DH335" i="25"/>
  <c r="DH349" i="25"/>
  <c r="DH338" i="25"/>
  <c r="DH239" i="25"/>
  <c r="DH356" i="25"/>
  <c r="DH240" i="25"/>
  <c r="DH364" i="25"/>
  <c r="DH322" i="25"/>
  <c r="DH323" i="25"/>
  <c r="DH378" i="25"/>
  <c r="DH260" i="25"/>
  <c r="DH334" i="25"/>
  <c r="DH353" i="25"/>
  <c r="DH247" i="25"/>
  <c r="DH380" i="25"/>
  <c r="DH352" i="25"/>
  <c r="DH274" i="25"/>
  <c r="DH223" i="25"/>
  <c r="DH268" i="25"/>
  <c r="DH270" i="25"/>
  <c r="DH275" i="25"/>
  <c r="DH371" i="25"/>
  <c r="DH350" i="25"/>
  <c r="DH354" i="25"/>
  <c r="DH271" i="25"/>
  <c r="DH373" i="25"/>
  <c r="DH372" i="25"/>
  <c r="DH379" i="25"/>
  <c r="DH355" i="25"/>
  <c r="DH375" i="25"/>
  <c r="DH376" i="25"/>
  <c r="DH377" i="25"/>
  <c r="DH341" i="25"/>
  <c r="DH381" i="25"/>
  <c r="DH382" i="25"/>
  <c r="DH384" i="25"/>
  <c r="DH385" i="25"/>
  <c r="DH383" i="25"/>
  <c r="DH254" i="25"/>
  <c r="DH258" i="25"/>
  <c r="DH316" i="25"/>
  <c r="DH324" i="25"/>
  <c r="DH342" i="25"/>
  <c r="DH279" i="25"/>
  <c r="DH283" i="25"/>
  <c r="DH287" i="25"/>
  <c r="DH288" i="25"/>
  <c r="DH289" i="25"/>
  <c r="DH293" i="25"/>
  <c r="DH295" i="25"/>
  <c r="DH304" i="25"/>
  <c r="DH307" i="25"/>
  <c r="DH308" i="25"/>
  <c r="DH309" i="25"/>
  <c r="DH314" i="25"/>
  <c r="DH315" i="25"/>
  <c r="DH319" i="25"/>
  <c r="DH320" i="25"/>
  <c r="DH328" i="25"/>
  <c r="DH278" i="25"/>
  <c r="DH301" i="25"/>
  <c r="DH329" i="25"/>
  <c r="DH280" i="25"/>
  <c r="DH310" i="25"/>
  <c r="DH306" i="25"/>
  <c r="DH330" i="25"/>
  <c r="DH312" i="25"/>
  <c r="DH313" i="25"/>
  <c r="DH331" i="25"/>
  <c r="DH318" i="25"/>
  <c r="DH290" i="25"/>
  <c r="DH292" i="25"/>
  <c r="DH317" i="25"/>
  <c r="DH321" i="25"/>
  <c r="DH303" i="25"/>
  <c r="DI337" i="25"/>
  <c r="DI340" i="25"/>
  <c r="DI374" i="25"/>
  <c r="DI386" i="25"/>
  <c r="DI387" i="25"/>
  <c r="DI388" i="25"/>
  <c r="DI259" i="25"/>
  <c r="DI332" i="25"/>
  <c r="DI277" i="25"/>
  <c r="DI210" i="25"/>
  <c r="DI281" i="25"/>
  <c r="DI362" i="25"/>
  <c r="DI256" i="25"/>
  <c r="DI389" i="25"/>
  <c r="DI208" i="25"/>
  <c r="DI211" i="25"/>
  <c r="DI207" i="25"/>
  <c r="DI242" i="25"/>
  <c r="DI243" i="25"/>
  <c r="DI285" i="25"/>
  <c r="DI261" i="25"/>
  <c r="DI263" i="25"/>
  <c r="DI264" i="25"/>
  <c r="DI212" i="25"/>
  <c r="DI269" i="25"/>
  <c r="DI224" i="25"/>
  <c r="DI225" i="25"/>
  <c r="DI344" i="25"/>
  <c r="DI347" i="25"/>
  <c r="DI351" i="25"/>
  <c r="DI357" i="25"/>
  <c r="DI358" i="25"/>
  <c r="DI282" i="25"/>
  <c r="DI359" i="25"/>
  <c r="DI333" i="25"/>
  <c r="DI360" i="25"/>
  <c r="DI361" i="25"/>
  <c r="DI226" i="25"/>
  <c r="DI266" i="25"/>
  <c r="DI236" i="25"/>
  <c r="DI238" i="25"/>
  <c r="DI363" i="25"/>
  <c r="DI246" i="25"/>
  <c r="DI248" i="25"/>
  <c r="DI400" i="25"/>
  <c r="DI401" i="25"/>
  <c r="DI209" i="25"/>
  <c r="DI296" i="25"/>
  <c r="DI286" i="25"/>
  <c r="DI368" i="25"/>
  <c r="DI294" i="25"/>
  <c r="DI297" i="25"/>
  <c r="DI298" i="25"/>
  <c r="DI299" i="25"/>
  <c r="DI343" i="25"/>
  <c r="DI365" i="25"/>
  <c r="DI214" i="25"/>
  <c r="DI215" i="25"/>
  <c r="DI276" i="25"/>
  <c r="DI219" i="25"/>
  <c r="DI229" i="25"/>
  <c r="DI216" i="25"/>
  <c r="DI217" i="25"/>
  <c r="DI218" i="25"/>
  <c r="DI213" i="25"/>
  <c r="DI336" i="25"/>
  <c r="DI227" i="25"/>
  <c r="DI345" i="25"/>
  <c r="DI220" i="25"/>
  <c r="DI262" i="25"/>
  <c r="DI300" i="25"/>
  <c r="DI245" i="25"/>
  <c r="DI302" i="25"/>
  <c r="DI390" i="25"/>
  <c r="DI391" i="25"/>
  <c r="DI366" i="25"/>
  <c r="DI339" i="25"/>
  <c r="DI392" i="25"/>
  <c r="DI393" i="25"/>
  <c r="DI305" i="25"/>
  <c r="DI395" i="25"/>
  <c r="DI291" i="25"/>
  <c r="DI394" i="25"/>
  <c r="DI311" i="25"/>
  <c r="DI272" i="25"/>
  <c r="DI346" i="25"/>
  <c r="DI348" i="25"/>
  <c r="DI402" i="25"/>
  <c r="DI396" i="25"/>
  <c r="DI403" i="25"/>
  <c r="DI399" i="25"/>
  <c r="DI222" i="25"/>
  <c r="DI253" i="25"/>
  <c r="DI241" i="25"/>
  <c r="DI367" i="25"/>
  <c r="DI255" i="25"/>
  <c r="DI267" i="25"/>
  <c r="DI265" i="25"/>
  <c r="DI369" i="25"/>
  <c r="DI228" i="25"/>
  <c r="DI235" i="25"/>
  <c r="DI397" i="25"/>
  <c r="DI230" i="25"/>
  <c r="DI249" i="25"/>
  <c r="DI273" i="25"/>
  <c r="DI251" i="25"/>
  <c r="DI231" i="25"/>
  <c r="DI398" i="25"/>
  <c r="DI252" i="25"/>
  <c r="DI232" i="25"/>
  <c r="DI284" i="25"/>
  <c r="DI221" i="25"/>
  <c r="DI234" i="25"/>
  <c r="DI237" i="25"/>
  <c r="DI370" i="25"/>
  <c r="DI244" i="25"/>
  <c r="DI325" i="25"/>
  <c r="DI250" i="25"/>
  <c r="DI233" i="25"/>
  <c r="DI326" i="25"/>
  <c r="DI327" i="25"/>
  <c r="DI335" i="25"/>
  <c r="DI349" i="25"/>
  <c r="DI338" i="25"/>
  <c r="DI239" i="25"/>
  <c r="DI356" i="25"/>
  <c r="DI240" i="25"/>
  <c r="DI364" i="25"/>
  <c r="DI322" i="25"/>
  <c r="DI323" i="25"/>
  <c r="DI378" i="25"/>
  <c r="DI260" i="25"/>
  <c r="DI334" i="25"/>
  <c r="DI353" i="25"/>
  <c r="DI247" i="25"/>
  <c r="DI380" i="25"/>
  <c r="DI352" i="25"/>
  <c r="DI274" i="25"/>
  <c r="DI223" i="25"/>
  <c r="DI268" i="25"/>
  <c r="DI270" i="25"/>
  <c r="DI275" i="25"/>
  <c r="DI371" i="25"/>
  <c r="DI350" i="25"/>
  <c r="DI354" i="25"/>
  <c r="DI271" i="25"/>
  <c r="DI373" i="25"/>
  <c r="DI372" i="25"/>
  <c r="DI379" i="25"/>
  <c r="DI355" i="25"/>
  <c r="DI375" i="25"/>
  <c r="DI376" i="25"/>
  <c r="DI377" i="25"/>
  <c r="DI341" i="25"/>
  <c r="DI381" i="25"/>
  <c r="DI382" i="25"/>
  <c r="DI384" i="25"/>
  <c r="DI385" i="25"/>
  <c r="DI383" i="25"/>
  <c r="DI254" i="25"/>
  <c r="DI258" i="25"/>
  <c r="DI316" i="25"/>
  <c r="DI324" i="25"/>
  <c r="DI342" i="25"/>
  <c r="DI279" i="25"/>
  <c r="DI283" i="25"/>
  <c r="DI287" i="25"/>
  <c r="DI288" i="25"/>
  <c r="DI289" i="25"/>
  <c r="DI293" i="25"/>
  <c r="DI295" i="25"/>
  <c r="DI304" i="25"/>
  <c r="DI307" i="25"/>
  <c r="DI308" i="25"/>
  <c r="DI309" i="25"/>
  <c r="DI314" i="25"/>
  <c r="DI315" i="25"/>
  <c r="DI319" i="25"/>
  <c r="DI320" i="25"/>
  <c r="DI328" i="25"/>
  <c r="DI278" i="25"/>
  <c r="DI301" i="25"/>
  <c r="DI329" i="25"/>
  <c r="DI280" i="25"/>
  <c r="DI310" i="25"/>
  <c r="DI306" i="25"/>
  <c r="DI330" i="25"/>
  <c r="DI312" i="25"/>
  <c r="DI313" i="25"/>
  <c r="DI331" i="25"/>
  <c r="DI318" i="25"/>
  <c r="DI290" i="25"/>
  <c r="DI292" i="25"/>
  <c r="DI317" i="25"/>
  <c r="DI321" i="25"/>
  <c r="DI303" i="25"/>
  <c r="DP337" i="25"/>
  <c r="DP340" i="25"/>
  <c r="DP374" i="25"/>
  <c r="DP386" i="25"/>
  <c r="DP387" i="25"/>
  <c r="DP388" i="25"/>
  <c r="DP259" i="25"/>
  <c r="DP332" i="25"/>
  <c r="DP277" i="25"/>
  <c r="DP210" i="25"/>
  <c r="DP281" i="25"/>
  <c r="DP362" i="25"/>
  <c r="DP256" i="25"/>
  <c r="DP389" i="25"/>
  <c r="DP208" i="25"/>
  <c r="DP211" i="25"/>
  <c r="DP207" i="25"/>
  <c r="DP242" i="25"/>
  <c r="DP243" i="25"/>
  <c r="DP285" i="25"/>
  <c r="DP261" i="25"/>
  <c r="DP263" i="25"/>
  <c r="DP264" i="25"/>
  <c r="DP212" i="25"/>
  <c r="DP269" i="25"/>
  <c r="DP224" i="25"/>
  <c r="DP225" i="25"/>
  <c r="DP344" i="25"/>
  <c r="DP347" i="25"/>
  <c r="DP351" i="25"/>
  <c r="DP357" i="25"/>
  <c r="DP358" i="25"/>
  <c r="DP282" i="25"/>
  <c r="DP359" i="25"/>
  <c r="DP333" i="25"/>
  <c r="DP360" i="25"/>
  <c r="DP361" i="25"/>
  <c r="DP226" i="25"/>
  <c r="DP266" i="25"/>
  <c r="DP236" i="25"/>
  <c r="DP238" i="25"/>
  <c r="DP363" i="25"/>
  <c r="DP246" i="25"/>
  <c r="DP248" i="25"/>
  <c r="DP400" i="25"/>
  <c r="DP401" i="25"/>
  <c r="DP209" i="25"/>
  <c r="DP296" i="25"/>
  <c r="DP286" i="25"/>
  <c r="DP368" i="25"/>
  <c r="DP294" i="25"/>
  <c r="DP297" i="25"/>
  <c r="DP298" i="25"/>
  <c r="DP299" i="25"/>
  <c r="DP343" i="25"/>
  <c r="DP365" i="25"/>
  <c r="DP214" i="25"/>
  <c r="DP215" i="25"/>
  <c r="DP276" i="25"/>
  <c r="DP219" i="25"/>
  <c r="DP229" i="25"/>
  <c r="DP216" i="25"/>
  <c r="DP217" i="25"/>
  <c r="DP218" i="25"/>
  <c r="DP213" i="25"/>
  <c r="DP336" i="25"/>
  <c r="DP227" i="25"/>
  <c r="DP345" i="25"/>
  <c r="DP220" i="25"/>
  <c r="DP262" i="25"/>
  <c r="DP300" i="25"/>
  <c r="DP245" i="25"/>
  <c r="DP302" i="25"/>
  <c r="DP390" i="25"/>
  <c r="DP391" i="25"/>
  <c r="DP366" i="25"/>
  <c r="DP339" i="25"/>
  <c r="DP392" i="25"/>
  <c r="DP393" i="25"/>
  <c r="DP305" i="25"/>
  <c r="DP395" i="25"/>
  <c r="DP291" i="25"/>
  <c r="DP394" i="25"/>
  <c r="DP311" i="25"/>
  <c r="DP272" i="25"/>
  <c r="DP346" i="25"/>
  <c r="DP348" i="25"/>
  <c r="DP402" i="25"/>
  <c r="DP396" i="25"/>
  <c r="DP403" i="25"/>
  <c r="DP399" i="25"/>
  <c r="DP222" i="25"/>
  <c r="DP253" i="25"/>
  <c r="DP241" i="25"/>
  <c r="DP367" i="25"/>
  <c r="DP255" i="25"/>
  <c r="DP267" i="25"/>
  <c r="DP265" i="25"/>
  <c r="DP369" i="25"/>
  <c r="DP228" i="25"/>
  <c r="DP235" i="25"/>
  <c r="DP397" i="25"/>
  <c r="DP230" i="25"/>
  <c r="DP249" i="25"/>
  <c r="DP273" i="25"/>
  <c r="DP251" i="25"/>
  <c r="DP231" i="25"/>
  <c r="DP398" i="25"/>
  <c r="DP252" i="25"/>
  <c r="DP232" i="25"/>
  <c r="DP284" i="25"/>
  <c r="DP221" i="25"/>
  <c r="DP234" i="25"/>
  <c r="DP237" i="25"/>
  <c r="DP370" i="25"/>
  <c r="DP244" i="25"/>
  <c r="DP325" i="25"/>
  <c r="DP250" i="25"/>
  <c r="DP233" i="25"/>
  <c r="DP326" i="25"/>
  <c r="DP327" i="25"/>
  <c r="DP335" i="25"/>
  <c r="DP349" i="25"/>
  <c r="DP338" i="25"/>
  <c r="DP239" i="25"/>
  <c r="DP356" i="25"/>
  <c r="DP240" i="25"/>
  <c r="DP364" i="25"/>
  <c r="DP322" i="25"/>
  <c r="DP323" i="25"/>
  <c r="DP378" i="25"/>
  <c r="DP260" i="25"/>
  <c r="DP334" i="25"/>
  <c r="DP353" i="25"/>
  <c r="DP247" i="25"/>
  <c r="DP380" i="25"/>
  <c r="DP352" i="25"/>
  <c r="DP274" i="25"/>
  <c r="DP223" i="25"/>
  <c r="DP268" i="25"/>
  <c r="DP270" i="25"/>
  <c r="DP275" i="25"/>
  <c r="DP371" i="25"/>
  <c r="DP350" i="25"/>
  <c r="DP354" i="25"/>
  <c r="DP271" i="25"/>
  <c r="DP373" i="25"/>
  <c r="DP372" i="25"/>
  <c r="DP379" i="25"/>
  <c r="DP355" i="25"/>
  <c r="DP375" i="25"/>
  <c r="DP376" i="25"/>
  <c r="DP377" i="25"/>
  <c r="DP341" i="25"/>
  <c r="DP381" i="25"/>
  <c r="DP382" i="25"/>
  <c r="DP384" i="25"/>
  <c r="DP385" i="25"/>
  <c r="DP383" i="25"/>
  <c r="DP254" i="25"/>
  <c r="DP258" i="25"/>
  <c r="DP316" i="25"/>
  <c r="DP324" i="25"/>
  <c r="DP342" i="25"/>
  <c r="DP279" i="25"/>
  <c r="DP283" i="25"/>
  <c r="DP287" i="25"/>
  <c r="DP288" i="25"/>
  <c r="DP289" i="25"/>
  <c r="DP293" i="25"/>
  <c r="DP295" i="25"/>
  <c r="DP304" i="25"/>
  <c r="DP307" i="25"/>
  <c r="DP308" i="25"/>
  <c r="DP309" i="25"/>
  <c r="DP314" i="25"/>
  <c r="DP315" i="25"/>
  <c r="DP319" i="25"/>
  <c r="DP320" i="25"/>
  <c r="DP328" i="25"/>
  <c r="DP278" i="25"/>
  <c r="DP301" i="25"/>
  <c r="DP329" i="25"/>
  <c r="DP280" i="25"/>
  <c r="DP310" i="25"/>
  <c r="DP306" i="25"/>
  <c r="DP330" i="25"/>
  <c r="DP312" i="25"/>
  <c r="DP313" i="25"/>
  <c r="DP331" i="25"/>
  <c r="DP318" i="25"/>
  <c r="DP290" i="25"/>
  <c r="DP292" i="25"/>
  <c r="DP317" i="25"/>
  <c r="DP321" i="25"/>
  <c r="DP303" i="25"/>
  <c r="DQ337" i="25"/>
  <c r="DT337" i="25" s="1"/>
  <c r="DQ340" i="25"/>
  <c r="DT340" i="25" s="1"/>
  <c r="DQ374" i="25"/>
  <c r="DT374" i="25" s="1"/>
  <c r="DQ386" i="25"/>
  <c r="DT386" i="25" s="1"/>
  <c r="DQ387" i="25"/>
  <c r="DT387" i="25" s="1"/>
  <c r="DQ388" i="25"/>
  <c r="DT388" i="25" s="1"/>
  <c r="DQ259" i="25"/>
  <c r="DT259" i="25" s="1"/>
  <c r="DQ332" i="25"/>
  <c r="DT332" i="25" s="1"/>
  <c r="DQ277" i="25"/>
  <c r="DT277" i="25" s="1"/>
  <c r="DQ210" i="25"/>
  <c r="DT210" i="25" s="1"/>
  <c r="DQ281" i="25"/>
  <c r="DR281" i="25" s="1"/>
  <c r="DQ362" i="25"/>
  <c r="DT362" i="25" s="1"/>
  <c r="DQ256" i="25"/>
  <c r="DR256" i="25" s="1"/>
  <c r="DQ389" i="25"/>
  <c r="DT389" i="25" s="1"/>
  <c r="DQ208" i="25"/>
  <c r="DT208" i="25" s="1"/>
  <c r="DQ211" i="25"/>
  <c r="DT211" i="25" s="1"/>
  <c r="DQ207" i="25"/>
  <c r="DT207" i="25" s="1"/>
  <c r="DQ242" i="25"/>
  <c r="DT242" i="25" s="1"/>
  <c r="DQ243" i="25"/>
  <c r="DT243" i="25" s="1"/>
  <c r="DQ285" i="25"/>
  <c r="DT285" i="25" s="1"/>
  <c r="DQ261" i="25"/>
  <c r="DT261" i="25" s="1"/>
  <c r="DQ263" i="25"/>
  <c r="DT263" i="25" s="1"/>
  <c r="DQ264" i="25"/>
  <c r="DT264" i="25" s="1"/>
  <c r="DQ212" i="25"/>
  <c r="DT212" i="25" s="1"/>
  <c r="DQ269" i="25"/>
  <c r="DT269" i="25" s="1"/>
  <c r="DQ224" i="25"/>
  <c r="DT224" i="25" s="1"/>
  <c r="DQ225" i="25"/>
  <c r="DT225" i="25" s="1"/>
  <c r="DQ344" i="25"/>
  <c r="DT344" i="25" s="1"/>
  <c r="DQ347" i="25"/>
  <c r="DT347" i="25" s="1"/>
  <c r="DQ351" i="25"/>
  <c r="DT351" i="25" s="1"/>
  <c r="DQ357" i="25"/>
  <c r="DT357" i="25" s="1"/>
  <c r="DQ358" i="25"/>
  <c r="DT358" i="25" s="1"/>
  <c r="DQ282" i="25"/>
  <c r="DT282" i="25" s="1"/>
  <c r="DQ359" i="25"/>
  <c r="DT359" i="25" s="1"/>
  <c r="DQ333" i="25"/>
  <c r="DT333" i="25" s="1"/>
  <c r="DQ360" i="25"/>
  <c r="DT360" i="25" s="1"/>
  <c r="DQ361" i="25"/>
  <c r="DT361" i="25" s="1"/>
  <c r="DQ226" i="25"/>
  <c r="DT226" i="25" s="1"/>
  <c r="DQ266" i="25"/>
  <c r="DT266" i="25" s="1"/>
  <c r="DQ236" i="25"/>
  <c r="DT236" i="25" s="1"/>
  <c r="DQ238" i="25"/>
  <c r="DR238" i="25" s="1"/>
  <c r="DQ363" i="25"/>
  <c r="DT363" i="25" s="1"/>
  <c r="DQ246" i="25"/>
  <c r="DT246" i="25" s="1"/>
  <c r="DQ248" i="25"/>
  <c r="DT248" i="25" s="1"/>
  <c r="DQ400" i="25"/>
  <c r="DT400" i="25" s="1"/>
  <c r="DQ401" i="25"/>
  <c r="DT401" i="25" s="1"/>
  <c r="DQ209" i="25"/>
  <c r="DT209" i="25" s="1"/>
  <c r="DQ296" i="25"/>
  <c r="DT296" i="25" s="1"/>
  <c r="DQ286" i="25"/>
  <c r="DT286" i="25" s="1"/>
  <c r="DQ368" i="25"/>
  <c r="DT368" i="25" s="1"/>
  <c r="DQ294" i="25"/>
  <c r="DT294" i="25" s="1"/>
  <c r="DQ297" i="25"/>
  <c r="DT297" i="25" s="1"/>
  <c r="DQ298" i="25"/>
  <c r="DT298" i="25" s="1"/>
  <c r="DQ299" i="25"/>
  <c r="DT299" i="25" s="1"/>
  <c r="DQ343" i="25"/>
  <c r="DT343" i="25" s="1"/>
  <c r="DQ365" i="25"/>
  <c r="DT365" i="25" s="1"/>
  <c r="DQ214" i="25"/>
  <c r="DT214" i="25" s="1"/>
  <c r="DQ215" i="25"/>
  <c r="DT215" i="25" s="1"/>
  <c r="DQ276" i="25"/>
  <c r="DT276" i="25" s="1"/>
  <c r="DQ219" i="25"/>
  <c r="DT219" i="25" s="1"/>
  <c r="DQ229" i="25"/>
  <c r="DT229" i="25" s="1"/>
  <c r="DQ216" i="25"/>
  <c r="DT216" i="25" s="1"/>
  <c r="DQ217" i="25"/>
  <c r="DT217" i="25" s="1"/>
  <c r="DQ218" i="25"/>
  <c r="DT218" i="25" s="1"/>
  <c r="DQ213" i="25"/>
  <c r="DT213" i="25" s="1"/>
  <c r="DQ336" i="25"/>
  <c r="DT336" i="25" s="1"/>
  <c r="DQ227" i="25"/>
  <c r="DT227" i="25" s="1"/>
  <c r="DQ345" i="25"/>
  <c r="DT345" i="25" s="1"/>
  <c r="DQ220" i="25"/>
  <c r="DR220" i="25" s="1"/>
  <c r="DQ262" i="25"/>
  <c r="DT262" i="25" s="1"/>
  <c r="DQ300" i="25"/>
  <c r="DT300" i="25" s="1"/>
  <c r="DQ245" i="25"/>
  <c r="DT245" i="25" s="1"/>
  <c r="DQ302" i="25"/>
  <c r="DR302" i="25" s="1"/>
  <c r="DQ390" i="25"/>
  <c r="DR390" i="25" s="1"/>
  <c r="DQ391" i="25"/>
  <c r="DR391" i="25" s="1"/>
  <c r="DQ366" i="25"/>
  <c r="DR366" i="25" s="1"/>
  <c r="DQ339" i="25"/>
  <c r="DT339" i="25" s="1"/>
  <c r="DQ392" i="25"/>
  <c r="DT392" i="25" s="1"/>
  <c r="DQ393" i="25"/>
  <c r="DR393" i="25" s="1"/>
  <c r="DQ305" i="25"/>
  <c r="DT305" i="25" s="1"/>
  <c r="DQ395" i="25"/>
  <c r="DR395" i="25" s="1"/>
  <c r="DQ291" i="25"/>
  <c r="DR291" i="25" s="1"/>
  <c r="DQ394" i="25"/>
  <c r="DR394" i="25" s="1"/>
  <c r="DQ311" i="25"/>
  <c r="DR311" i="25" s="1"/>
  <c r="DQ272" i="25"/>
  <c r="DT272" i="25" s="1"/>
  <c r="DQ346" i="25"/>
  <c r="DR346" i="25" s="1"/>
  <c r="DQ348" i="25"/>
  <c r="DR348" i="25" s="1"/>
  <c r="DQ402" i="25"/>
  <c r="DR402" i="25" s="1"/>
  <c r="DQ396" i="25"/>
  <c r="DT396" i="25" s="1"/>
  <c r="DQ403" i="25"/>
  <c r="DT403" i="25" s="1"/>
  <c r="DQ399" i="25"/>
  <c r="DR399" i="25" s="1"/>
  <c r="DQ222" i="25"/>
  <c r="DR222" i="25" s="1"/>
  <c r="DQ253" i="25"/>
  <c r="DT253" i="25" s="1"/>
  <c r="DQ241" i="25"/>
  <c r="DR241" i="25" s="1"/>
  <c r="DQ367" i="25"/>
  <c r="DR367" i="25" s="1"/>
  <c r="DQ255" i="25"/>
  <c r="DR255" i="25" s="1"/>
  <c r="DQ267" i="25"/>
  <c r="DR267" i="25" s="1"/>
  <c r="DQ265" i="25"/>
  <c r="DT265" i="25" s="1"/>
  <c r="DQ369" i="25"/>
  <c r="DR369" i="25" s="1"/>
  <c r="DQ228" i="25"/>
  <c r="DT228" i="25" s="1"/>
  <c r="DQ235" i="25"/>
  <c r="DT235" i="25" s="1"/>
  <c r="DQ397" i="25"/>
  <c r="DR397" i="25" s="1"/>
  <c r="DQ230" i="25"/>
  <c r="DT230" i="25" s="1"/>
  <c r="DQ249" i="25"/>
  <c r="DR249" i="25" s="1"/>
  <c r="DQ273" i="25"/>
  <c r="DR273" i="25" s="1"/>
  <c r="DQ251" i="25"/>
  <c r="DT251" i="25" s="1"/>
  <c r="DQ231" i="25"/>
  <c r="DR231" i="25" s="1"/>
  <c r="DQ398" i="25"/>
  <c r="DT398" i="25" s="1"/>
  <c r="DQ252" i="25"/>
  <c r="DT252" i="25" s="1"/>
  <c r="DQ232" i="25"/>
  <c r="DR232" i="25" s="1"/>
  <c r="DQ284" i="25"/>
  <c r="DT284" i="25" s="1"/>
  <c r="DQ221" i="25"/>
  <c r="DR221" i="25" s="1"/>
  <c r="DQ234" i="25"/>
  <c r="DT234" i="25" s="1"/>
  <c r="DQ237" i="25"/>
  <c r="DT237" i="25" s="1"/>
  <c r="DQ370" i="25"/>
  <c r="DR370" i="25" s="1"/>
  <c r="DQ244" i="25"/>
  <c r="DR244" i="25" s="1"/>
  <c r="DQ325" i="25"/>
  <c r="DT325" i="25" s="1"/>
  <c r="DQ250" i="25"/>
  <c r="DR250" i="25" s="1"/>
  <c r="DQ233" i="25"/>
  <c r="DR233" i="25" s="1"/>
  <c r="DQ326" i="25"/>
  <c r="DR326" i="25" s="1"/>
  <c r="DQ327" i="25"/>
  <c r="DR327" i="25" s="1"/>
  <c r="DQ335" i="25"/>
  <c r="DT335" i="25" s="1"/>
  <c r="DQ349" i="25"/>
  <c r="DR349" i="25" s="1"/>
  <c r="DQ338" i="25"/>
  <c r="DT338" i="25" s="1"/>
  <c r="DQ239" i="25"/>
  <c r="DT239" i="25" s="1"/>
  <c r="DQ356" i="25"/>
  <c r="DR356" i="25" s="1"/>
  <c r="DQ240" i="25"/>
  <c r="DR240" i="25" s="1"/>
  <c r="DQ364" i="25"/>
  <c r="DR364" i="25" s="1"/>
  <c r="DQ322" i="25"/>
  <c r="DR322" i="25" s="1"/>
  <c r="DQ323" i="25"/>
  <c r="DT323" i="25" s="1"/>
  <c r="DQ378" i="25"/>
  <c r="DR378" i="25" s="1"/>
  <c r="DQ260" i="25"/>
  <c r="DT260" i="25" s="1"/>
  <c r="DQ334" i="25"/>
  <c r="DR334" i="25" s="1"/>
  <c r="DQ353" i="25"/>
  <c r="DT353" i="25" s="1"/>
  <c r="DQ247" i="25"/>
  <c r="DR247" i="25" s="1"/>
  <c r="DQ380" i="25"/>
  <c r="DT380" i="25" s="1"/>
  <c r="DQ352" i="25"/>
  <c r="DT352" i="25" s="1"/>
  <c r="DQ274" i="25"/>
  <c r="DR274" i="25" s="1"/>
  <c r="DQ223" i="25"/>
  <c r="DT223" i="25" s="1"/>
  <c r="DQ268" i="25"/>
  <c r="DT268" i="25" s="1"/>
  <c r="DQ270" i="25"/>
  <c r="DR270" i="25" s="1"/>
  <c r="DQ275" i="25"/>
  <c r="DT275" i="25" s="1"/>
  <c r="DQ371" i="25"/>
  <c r="DR371" i="25" s="1"/>
  <c r="DQ350" i="25"/>
  <c r="DT350" i="25" s="1"/>
  <c r="DQ354" i="25"/>
  <c r="DT354" i="25" s="1"/>
  <c r="DQ271" i="25"/>
  <c r="DR271" i="25" s="1"/>
  <c r="DQ373" i="25"/>
  <c r="DR373" i="25" s="1"/>
  <c r="DQ372" i="25"/>
  <c r="DT372" i="25" s="1"/>
  <c r="DQ379" i="25"/>
  <c r="DR379" i="25" s="1"/>
  <c r="DQ355" i="25"/>
  <c r="DR355" i="25" s="1"/>
  <c r="DQ375" i="25"/>
  <c r="DR375" i="25" s="1"/>
  <c r="DQ376" i="25"/>
  <c r="DT376" i="25" s="1"/>
  <c r="DQ377" i="25"/>
  <c r="DT377" i="25" s="1"/>
  <c r="DQ341" i="25"/>
  <c r="DR341" i="25" s="1"/>
  <c r="DQ381" i="25"/>
  <c r="DR381" i="25" s="1"/>
  <c r="DQ382" i="25"/>
  <c r="DT382" i="25" s="1"/>
  <c r="DQ384" i="25"/>
  <c r="DR384" i="25" s="1"/>
  <c r="DQ385" i="25"/>
  <c r="DR385" i="25" s="1"/>
  <c r="DQ383" i="25"/>
  <c r="DR383" i="25" s="1"/>
  <c r="DQ254" i="25"/>
  <c r="DR254" i="25" s="1"/>
  <c r="DQ258" i="25"/>
  <c r="DR258" i="25" s="1"/>
  <c r="DQ316" i="25"/>
  <c r="DT316" i="25" s="1"/>
  <c r="DQ324" i="25"/>
  <c r="DT324" i="25" s="1"/>
  <c r="DQ342" i="25"/>
  <c r="DR342" i="25" s="1"/>
  <c r="DQ279" i="25"/>
  <c r="DT279" i="25" s="1"/>
  <c r="DQ283" i="25"/>
  <c r="DR283" i="25" s="1"/>
  <c r="DQ287" i="25"/>
  <c r="DR287" i="25" s="1"/>
  <c r="DQ288" i="25"/>
  <c r="DT288" i="25" s="1"/>
  <c r="DQ289" i="25"/>
  <c r="DR289" i="25" s="1"/>
  <c r="DQ293" i="25"/>
  <c r="DT293" i="25" s="1"/>
  <c r="DQ295" i="25"/>
  <c r="DT295" i="25" s="1"/>
  <c r="DQ304" i="25"/>
  <c r="DR304" i="25" s="1"/>
  <c r="DQ307" i="25"/>
  <c r="DT307" i="25" s="1"/>
  <c r="DQ308" i="25"/>
  <c r="DR308" i="25" s="1"/>
  <c r="DQ309" i="25"/>
  <c r="DR309" i="25" s="1"/>
  <c r="DQ314" i="25"/>
  <c r="DT314" i="25" s="1"/>
  <c r="DQ315" i="25"/>
  <c r="DR315" i="25" s="1"/>
  <c r="DQ319" i="25"/>
  <c r="DR319" i="25" s="1"/>
  <c r="DQ320" i="25"/>
  <c r="DT320" i="25" s="1"/>
  <c r="DQ328" i="25"/>
  <c r="DR328" i="25" s="1"/>
  <c r="DQ278" i="25"/>
  <c r="DR278" i="25" s="1"/>
  <c r="DQ301" i="25"/>
  <c r="DR301" i="25" s="1"/>
  <c r="DQ329" i="25"/>
  <c r="DT329" i="25" s="1"/>
  <c r="DQ280" i="25"/>
  <c r="DT280" i="25" s="1"/>
  <c r="DQ310" i="25"/>
  <c r="DR310" i="25" s="1"/>
  <c r="DQ306" i="25"/>
  <c r="DT306" i="25" s="1"/>
  <c r="DQ330" i="25"/>
  <c r="DT330" i="25" s="1"/>
  <c r="DQ312" i="25"/>
  <c r="DR312" i="25" s="1"/>
  <c r="DQ313" i="25"/>
  <c r="DT313" i="25" s="1"/>
  <c r="DQ331" i="25"/>
  <c r="DR331" i="25" s="1"/>
  <c r="DQ318" i="25"/>
  <c r="DR318" i="25" s="1"/>
  <c r="DQ290" i="25"/>
  <c r="DT290" i="25" s="1"/>
  <c r="DQ292" i="25"/>
  <c r="DR292" i="25" s="1"/>
  <c r="DQ317" i="25"/>
  <c r="DR317" i="25" s="1"/>
  <c r="DQ321" i="25"/>
  <c r="DT321" i="25" s="1"/>
  <c r="DQ303" i="25"/>
  <c r="DR303" i="25" s="1"/>
  <c r="DS337" i="25"/>
  <c r="DS340" i="25"/>
  <c r="DS374" i="25"/>
  <c r="DS386" i="25"/>
  <c r="DS387" i="25"/>
  <c r="DS388" i="25"/>
  <c r="DS259" i="25"/>
  <c r="DS332" i="25"/>
  <c r="DS277" i="25"/>
  <c r="DS210" i="25"/>
  <c r="DS281" i="25"/>
  <c r="DS362" i="25"/>
  <c r="DS256" i="25"/>
  <c r="DS389" i="25"/>
  <c r="DS208" i="25"/>
  <c r="DS211" i="25"/>
  <c r="DS207" i="25"/>
  <c r="DS242" i="25"/>
  <c r="DS243" i="25"/>
  <c r="DS285" i="25"/>
  <c r="DS261" i="25"/>
  <c r="DS263" i="25"/>
  <c r="DS264" i="25"/>
  <c r="DS212" i="25"/>
  <c r="DS269" i="25"/>
  <c r="DS224" i="25"/>
  <c r="DS225" i="25"/>
  <c r="DS344" i="25"/>
  <c r="DS347" i="25"/>
  <c r="DS351" i="25"/>
  <c r="DS357" i="25"/>
  <c r="DS358" i="25"/>
  <c r="DS282" i="25"/>
  <c r="DS359" i="25"/>
  <c r="DS333" i="25"/>
  <c r="DS360" i="25"/>
  <c r="DS361" i="25"/>
  <c r="DS226" i="25"/>
  <c r="DS266" i="25"/>
  <c r="DS236" i="25"/>
  <c r="DS238" i="25"/>
  <c r="DS363" i="25"/>
  <c r="DS246" i="25"/>
  <c r="DS248" i="25"/>
  <c r="DS400" i="25"/>
  <c r="DS401" i="25"/>
  <c r="DS209" i="25"/>
  <c r="DS296" i="25"/>
  <c r="DS286" i="25"/>
  <c r="DS368" i="25"/>
  <c r="DS294" i="25"/>
  <c r="DS297" i="25"/>
  <c r="DS298" i="25"/>
  <c r="DS299" i="25"/>
  <c r="DS343" i="25"/>
  <c r="DS365" i="25"/>
  <c r="DS214" i="25"/>
  <c r="DS215" i="25"/>
  <c r="DS276" i="25"/>
  <c r="DS219" i="25"/>
  <c r="DS229" i="25"/>
  <c r="DS216" i="25"/>
  <c r="DS217" i="25"/>
  <c r="DS218" i="25"/>
  <c r="DS213" i="25"/>
  <c r="DS336" i="25"/>
  <c r="DS227" i="25"/>
  <c r="DS345" i="25"/>
  <c r="DS220" i="25"/>
  <c r="DS262" i="25"/>
  <c r="DS300" i="25"/>
  <c r="DS245" i="25"/>
  <c r="DS302" i="25"/>
  <c r="DS390" i="25"/>
  <c r="DS391" i="25"/>
  <c r="DS366" i="25"/>
  <c r="DS339" i="25"/>
  <c r="DS392" i="25"/>
  <c r="DS393" i="25"/>
  <c r="DS305" i="25"/>
  <c r="DS395" i="25"/>
  <c r="DS291" i="25"/>
  <c r="DS394" i="25"/>
  <c r="DS311" i="25"/>
  <c r="DS272" i="25"/>
  <c r="DS346" i="25"/>
  <c r="DS348" i="25"/>
  <c r="DS402" i="25"/>
  <c r="DS396" i="25"/>
  <c r="DS403" i="25"/>
  <c r="DS399" i="25"/>
  <c r="DS222" i="25"/>
  <c r="DS253" i="25"/>
  <c r="DS241" i="25"/>
  <c r="DS367" i="25"/>
  <c r="DS255" i="25"/>
  <c r="DS267" i="25"/>
  <c r="DS265" i="25"/>
  <c r="DS369" i="25"/>
  <c r="DS228" i="25"/>
  <c r="DS235" i="25"/>
  <c r="DS397" i="25"/>
  <c r="DS230" i="25"/>
  <c r="DS249" i="25"/>
  <c r="DS273" i="25"/>
  <c r="DS251" i="25"/>
  <c r="DS231" i="25"/>
  <c r="DS398" i="25"/>
  <c r="DS252" i="25"/>
  <c r="DS232" i="25"/>
  <c r="DS284" i="25"/>
  <c r="DS221" i="25"/>
  <c r="DS234" i="25"/>
  <c r="DS237" i="25"/>
  <c r="DS370" i="25"/>
  <c r="DS244" i="25"/>
  <c r="DS325" i="25"/>
  <c r="DS250" i="25"/>
  <c r="DS233" i="25"/>
  <c r="DS326" i="25"/>
  <c r="DS327" i="25"/>
  <c r="DS335" i="25"/>
  <c r="DS349" i="25"/>
  <c r="DS338" i="25"/>
  <c r="DS239" i="25"/>
  <c r="DS356" i="25"/>
  <c r="DS240" i="25"/>
  <c r="DS364" i="25"/>
  <c r="DS322" i="25"/>
  <c r="DS323" i="25"/>
  <c r="DS378" i="25"/>
  <c r="DS260" i="25"/>
  <c r="DS334" i="25"/>
  <c r="DS353" i="25"/>
  <c r="DS247" i="25"/>
  <c r="DS380" i="25"/>
  <c r="DS352" i="25"/>
  <c r="DS274" i="25"/>
  <c r="DS223" i="25"/>
  <c r="DS268" i="25"/>
  <c r="DS270" i="25"/>
  <c r="DS275" i="25"/>
  <c r="DS371" i="25"/>
  <c r="DS350" i="25"/>
  <c r="DS354" i="25"/>
  <c r="DS271" i="25"/>
  <c r="DS373" i="25"/>
  <c r="DS372" i="25"/>
  <c r="DS379" i="25"/>
  <c r="DS355" i="25"/>
  <c r="DS375" i="25"/>
  <c r="DS376" i="25"/>
  <c r="DS377" i="25"/>
  <c r="DS341" i="25"/>
  <c r="DS381" i="25"/>
  <c r="DS382" i="25"/>
  <c r="DS384" i="25"/>
  <c r="DS385" i="25"/>
  <c r="DS383" i="25"/>
  <c r="DS254" i="25"/>
  <c r="DS258" i="25"/>
  <c r="DS316" i="25"/>
  <c r="DS324" i="25"/>
  <c r="DS342" i="25"/>
  <c r="DS279" i="25"/>
  <c r="DS283" i="25"/>
  <c r="DS287" i="25"/>
  <c r="DS288" i="25"/>
  <c r="DS289" i="25"/>
  <c r="DS293" i="25"/>
  <c r="DS295" i="25"/>
  <c r="DS304" i="25"/>
  <c r="DS307" i="25"/>
  <c r="DS308" i="25"/>
  <c r="DS309" i="25"/>
  <c r="DS314" i="25"/>
  <c r="DS315" i="25"/>
  <c r="DS319" i="25"/>
  <c r="DS320" i="25"/>
  <c r="DS328" i="25"/>
  <c r="DS278" i="25"/>
  <c r="DS301" i="25"/>
  <c r="DS280" i="25"/>
  <c r="DS310" i="25"/>
  <c r="DS306" i="25"/>
  <c r="DS330" i="25"/>
  <c r="DS312" i="25"/>
  <c r="DS313" i="25"/>
  <c r="DS331" i="25"/>
  <c r="DS318" i="25"/>
  <c r="DS290" i="25"/>
  <c r="DS292" i="25"/>
  <c r="DS317" i="25"/>
  <c r="DS321" i="25"/>
  <c r="DS303" i="25"/>
  <c r="DU337" i="25"/>
  <c r="DU340" i="25"/>
  <c r="DU374" i="25"/>
  <c r="DU386" i="25"/>
  <c r="DU387" i="25"/>
  <c r="DU388" i="25"/>
  <c r="DU259" i="25"/>
  <c r="DU332" i="25"/>
  <c r="DU277" i="25"/>
  <c r="DU210" i="25"/>
  <c r="DU281" i="25"/>
  <c r="DU362" i="25"/>
  <c r="DU256" i="25"/>
  <c r="DU389" i="25"/>
  <c r="DU208" i="25"/>
  <c r="DU211" i="25"/>
  <c r="DU207" i="25"/>
  <c r="DU242" i="25"/>
  <c r="DU243" i="25"/>
  <c r="DU285" i="25"/>
  <c r="DU261" i="25"/>
  <c r="DU263" i="25"/>
  <c r="DU264" i="25"/>
  <c r="DU212" i="25"/>
  <c r="DU269" i="25"/>
  <c r="DU224" i="25"/>
  <c r="DU225" i="25"/>
  <c r="DU344" i="25"/>
  <c r="DU347" i="25"/>
  <c r="DU351" i="25"/>
  <c r="DU357" i="25"/>
  <c r="DU358" i="25"/>
  <c r="DU282" i="25"/>
  <c r="DU359" i="25"/>
  <c r="DU333" i="25"/>
  <c r="DU360" i="25"/>
  <c r="DU361" i="25"/>
  <c r="DU226" i="25"/>
  <c r="DU266" i="25"/>
  <c r="DU236" i="25"/>
  <c r="DU238" i="25"/>
  <c r="DU363" i="25"/>
  <c r="DU246" i="25"/>
  <c r="DU248" i="25"/>
  <c r="DU400" i="25"/>
  <c r="DU401" i="25"/>
  <c r="DU209" i="25"/>
  <c r="DU296" i="25"/>
  <c r="DU286" i="25"/>
  <c r="DU368" i="25"/>
  <c r="DU294" i="25"/>
  <c r="DU297" i="25"/>
  <c r="DU298" i="25"/>
  <c r="DU299" i="25"/>
  <c r="DU343" i="25"/>
  <c r="DU365" i="25"/>
  <c r="DU214" i="25"/>
  <c r="DU215" i="25"/>
  <c r="DU276" i="25"/>
  <c r="DU219" i="25"/>
  <c r="DU229" i="25"/>
  <c r="DU216" i="25"/>
  <c r="DU217" i="25"/>
  <c r="DU218" i="25"/>
  <c r="DU213" i="25"/>
  <c r="DU336" i="25"/>
  <c r="DU227" i="25"/>
  <c r="DU345" i="25"/>
  <c r="DU220" i="25"/>
  <c r="DU262" i="25"/>
  <c r="DU300" i="25"/>
  <c r="DU245" i="25"/>
  <c r="DU302" i="25"/>
  <c r="DU390" i="25"/>
  <c r="DU391" i="25"/>
  <c r="DU366" i="25"/>
  <c r="DU339" i="25"/>
  <c r="DU392" i="25"/>
  <c r="DU393" i="25"/>
  <c r="DU305" i="25"/>
  <c r="DU395" i="25"/>
  <c r="DU291" i="25"/>
  <c r="DU394" i="25"/>
  <c r="DU311" i="25"/>
  <c r="DU272" i="25"/>
  <c r="DU346" i="25"/>
  <c r="DU348" i="25"/>
  <c r="DU402" i="25"/>
  <c r="DU396" i="25"/>
  <c r="DU403" i="25"/>
  <c r="DU399" i="25"/>
  <c r="DU222" i="25"/>
  <c r="DU253" i="25"/>
  <c r="DU241" i="25"/>
  <c r="DU367" i="25"/>
  <c r="DU255" i="25"/>
  <c r="DU267" i="25"/>
  <c r="DU265" i="25"/>
  <c r="DU369" i="25"/>
  <c r="DU228" i="25"/>
  <c r="DU235" i="25"/>
  <c r="DU397" i="25"/>
  <c r="DU230" i="25"/>
  <c r="DU249" i="25"/>
  <c r="DU273" i="25"/>
  <c r="DU251" i="25"/>
  <c r="DU231" i="25"/>
  <c r="DU398" i="25"/>
  <c r="DU252" i="25"/>
  <c r="DU232" i="25"/>
  <c r="DU284" i="25"/>
  <c r="DU221" i="25"/>
  <c r="DU234" i="25"/>
  <c r="DU237" i="25"/>
  <c r="DU370" i="25"/>
  <c r="DU244" i="25"/>
  <c r="DU325" i="25"/>
  <c r="DU250" i="25"/>
  <c r="DU233" i="25"/>
  <c r="DU326" i="25"/>
  <c r="DU327" i="25"/>
  <c r="DU335" i="25"/>
  <c r="DU349" i="25"/>
  <c r="DU338" i="25"/>
  <c r="DU239" i="25"/>
  <c r="DU356" i="25"/>
  <c r="DU240" i="25"/>
  <c r="DU364" i="25"/>
  <c r="DU322" i="25"/>
  <c r="DU323" i="25"/>
  <c r="DU378" i="25"/>
  <c r="DU260" i="25"/>
  <c r="DU334" i="25"/>
  <c r="DU353" i="25"/>
  <c r="DU247" i="25"/>
  <c r="DU380" i="25"/>
  <c r="DU352" i="25"/>
  <c r="DU274" i="25"/>
  <c r="DU223" i="25"/>
  <c r="DU268" i="25"/>
  <c r="DU270" i="25"/>
  <c r="DU275" i="25"/>
  <c r="DU371" i="25"/>
  <c r="DU350" i="25"/>
  <c r="DU354" i="25"/>
  <c r="DU271" i="25"/>
  <c r="DU373" i="25"/>
  <c r="DU372" i="25"/>
  <c r="DU379" i="25"/>
  <c r="DU355" i="25"/>
  <c r="DU375" i="25"/>
  <c r="DU376" i="25"/>
  <c r="DU377" i="25"/>
  <c r="DU341" i="25"/>
  <c r="DU381" i="25"/>
  <c r="DU382" i="25"/>
  <c r="DU384" i="25"/>
  <c r="DU385" i="25"/>
  <c r="DU383" i="25"/>
  <c r="DU254" i="25"/>
  <c r="DU258" i="25"/>
  <c r="DU316" i="25"/>
  <c r="DU324" i="25"/>
  <c r="DU342" i="25"/>
  <c r="DU279" i="25"/>
  <c r="DU283" i="25"/>
  <c r="DU287" i="25"/>
  <c r="DU288" i="25"/>
  <c r="DU289" i="25"/>
  <c r="DU293" i="25"/>
  <c r="DU295" i="25"/>
  <c r="DU304" i="25"/>
  <c r="DU307" i="25"/>
  <c r="DU308" i="25"/>
  <c r="DU309" i="25"/>
  <c r="DU314" i="25"/>
  <c r="DU315" i="25"/>
  <c r="DU319" i="25"/>
  <c r="DU320" i="25"/>
  <c r="DU328" i="25"/>
  <c r="DU278" i="25"/>
  <c r="DU301" i="25"/>
  <c r="DU329" i="25"/>
  <c r="DU280" i="25"/>
  <c r="DU310" i="25"/>
  <c r="DU306" i="25"/>
  <c r="DU330" i="25"/>
  <c r="DU312" i="25"/>
  <c r="DU313" i="25"/>
  <c r="DU331" i="25"/>
  <c r="DU318" i="25"/>
  <c r="DU290" i="25"/>
  <c r="DU292" i="25"/>
  <c r="DU317" i="25"/>
  <c r="DU321" i="25"/>
  <c r="DU303" i="25"/>
  <c r="DV337" i="25"/>
  <c r="DV340" i="25"/>
  <c r="DV374" i="25"/>
  <c r="DV386" i="25"/>
  <c r="DV387" i="25"/>
  <c r="DV388" i="25"/>
  <c r="DV259" i="25"/>
  <c r="DV332" i="25"/>
  <c r="DV277" i="25"/>
  <c r="DV210" i="25"/>
  <c r="DV281" i="25"/>
  <c r="DV362" i="25"/>
  <c r="DV256" i="25"/>
  <c r="DV389" i="25"/>
  <c r="DV208" i="25"/>
  <c r="DV211" i="25"/>
  <c r="DV207" i="25"/>
  <c r="DV242" i="25"/>
  <c r="DV243" i="25"/>
  <c r="DV285" i="25"/>
  <c r="DV261" i="25"/>
  <c r="DV263" i="25"/>
  <c r="DV264" i="25"/>
  <c r="DV212" i="25"/>
  <c r="DV269" i="25"/>
  <c r="DV224" i="25"/>
  <c r="DV225" i="25"/>
  <c r="DV344" i="25"/>
  <c r="DV347" i="25"/>
  <c r="DV351" i="25"/>
  <c r="DV357" i="25"/>
  <c r="DV358" i="25"/>
  <c r="DV282" i="25"/>
  <c r="DV359" i="25"/>
  <c r="DV333" i="25"/>
  <c r="DV360" i="25"/>
  <c r="DV361" i="25"/>
  <c r="DV226" i="25"/>
  <c r="DV266" i="25"/>
  <c r="DV236" i="25"/>
  <c r="DV238" i="25"/>
  <c r="DV363" i="25"/>
  <c r="DV246" i="25"/>
  <c r="DV248" i="25"/>
  <c r="DV400" i="25"/>
  <c r="DV401" i="25"/>
  <c r="DV209" i="25"/>
  <c r="DV296" i="25"/>
  <c r="DV286" i="25"/>
  <c r="DV368" i="25"/>
  <c r="DV294" i="25"/>
  <c r="DV297" i="25"/>
  <c r="DV298" i="25"/>
  <c r="DV299" i="25"/>
  <c r="DV343" i="25"/>
  <c r="DV365" i="25"/>
  <c r="DV214" i="25"/>
  <c r="DV215" i="25"/>
  <c r="DV276" i="25"/>
  <c r="DV219" i="25"/>
  <c r="DV229" i="25"/>
  <c r="DV216" i="25"/>
  <c r="DV217" i="25"/>
  <c r="DV218" i="25"/>
  <c r="DV213" i="25"/>
  <c r="DV336" i="25"/>
  <c r="DV227" i="25"/>
  <c r="DV345" i="25"/>
  <c r="DV220" i="25"/>
  <c r="DV262" i="25"/>
  <c r="DV300" i="25"/>
  <c r="DV245" i="25"/>
  <c r="DV302" i="25"/>
  <c r="DV390" i="25"/>
  <c r="DV391" i="25"/>
  <c r="DV366" i="25"/>
  <c r="DV339" i="25"/>
  <c r="DV392" i="25"/>
  <c r="DV393" i="25"/>
  <c r="DV305" i="25"/>
  <c r="DV395" i="25"/>
  <c r="DV291" i="25"/>
  <c r="DV394" i="25"/>
  <c r="DV311" i="25"/>
  <c r="DV272" i="25"/>
  <c r="DV346" i="25"/>
  <c r="DV348" i="25"/>
  <c r="DV402" i="25"/>
  <c r="DV396" i="25"/>
  <c r="DV403" i="25"/>
  <c r="DV399" i="25"/>
  <c r="DV222" i="25"/>
  <c r="DV253" i="25"/>
  <c r="DV241" i="25"/>
  <c r="DV367" i="25"/>
  <c r="DV255" i="25"/>
  <c r="DV267" i="25"/>
  <c r="DV265" i="25"/>
  <c r="DV369" i="25"/>
  <c r="DV228" i="25"/>
  <c r="DV235" i="25"/>
  <c r="DV397" i="25"/>
  <c r="DV230" i="25"/>
  <c r="DV249" i="25"/>
  <c r="DV273" i="25"/>
  <c r="DV251" i="25"/>
  <c r="DV231" i="25"/>
  <c r="DV398" i="25"/>
  <c r="DV252" i="25"/>
  <c r="DV232" i="25"/>
  <c r="DV284" i="25"/>
  <c r="DV221" i="25"/>
  <c r="DV234" i="25"/>
  <c r="DV237" i="25"/>
  <c r="DV370" i="25"/>
  <c r="DV244" i="25"/>
  <c r="DV325" i="25"/>
  <c r="DV250" i="25"/>
  <c r="DV233" i="25"/>
  <c r="DV326" i="25"/>
  <c r="DV327" i="25"/>
  <c r="DV335" i="25"/>
  <c r="DV349" i="25"/>
  <c r="DV338" i="25"/>
  <c r="DV239" i="25"/>
  <c r="DV356" i="25"/>
  <c r="DV240" i="25"/>
  <c r="DV364" i="25"/>
  <c r="DV322" i="25"/>
  <c r="DV323" i="25"/>
  <c r="DV378" i="25"/>
  <c r="DV260" i="25"/>
  <c r="DV334" i="25"/>
  <c r="DV353" i="25"/>
  <c r="DV247" i="25"/>
  <c r="DV380" i="25"/>
  <c r="DV352" i="25"/>
  <c r="DV274" i="25"/>
  <c r="DV223" i="25"/>
  <c r="DV268" i="25"/>
  <c r="DV270" i="25"/>
  <c r="DV275" i="25"/>
  <c r="DV371" i="25"/>
  <c r="DV350" i="25"/>
  <c r="DV354" i="25"/>
  <c r="DV271" i="25"/>
  <c r="DV373" i="25"/>
  <c r="DV372" i="25"/>
  <c r="DV379" i="25"/>
  <c r="DV355" i="25"/>
  <c r="DV375" i="25"/>
  <c r="DV376" i="25"/>
  <c r="DV377" i="25"/>
  <c r="DV341" i="25"/>
  <c r="DV381" i="25"/>
  <c r="DV382" i="25"/>
  <c r="DV384" i="25"/>
  <c r="DV385" i="25"/>
  <c r="DV383" i="25"/>
  <c r="DV254" i="25"/>
  <c r="DV258" i="25"/>
  <c r="DV316" i="25"/>
  <c r="DV324" i="25"/>
  <c r="DV342" i="25"/>
  <c r="DV279" i="25"/>
  <c r="DV283" i="25"/>
  <c r="DV287" i="25"/>
  <c r="DV288" i="25"/>
  <c r="DV289" i="25"/>
  <c r="DV293" i="25"/>
  <c r="DV295" i="25"/>
  <c r="DV304" i="25"/>
  <c r="DV307" i="25"/>
  <c r="DV308" i="25"/>
  <c r="DV309" i="25"/>
  <c r="DV314" i="25"/>
  <c r="DV315" i="25"/>
  <c r="DV319" i="25"/>
  <c r="DV320" i="25"/>
  <c r="DV328" i="25"/>
  <c r="DV278" i="25"/>
  <c r="DV301" i="25"/>
  <c r="DV329" i="25"/>
  <c r="DV280" i="25"/>
  <c r="DV310" i="25"/>
  <c r="DV306" i="25"/>
  <c r="DV330" i="25"/>
  <c r="DV312" i="25"/>
  <c r="DV313" i="25"/>
  <c r="DV331" i="25"/>
  <c r="DV318" i="25"/>
  <c r="DV290" i="25"/>
  <c r="DV292" i="25"/>
  <c r="DV317" i="25"/>
  <c r="DV321" i="25"/>
  <c r="DV303" i="25"/>
  <c r="DW337" i="25"/>
  <c r="DW340" i="25"/>
  <c r="DW374" i="25"/>
  <c r="DW386" i="25"/>
  <c r="DW387" i="25"/>
  <c r="DW388" i="25"/>
  <c r="DW259" i="25"/>
  <c r="DW332" i="25"/>
  <c r="DW277" i="25"/>
  <c r="DW210" i="25"/>
  <c r="DW281" i="25"/>
  <c r="DW362" i="25"/>
  <c r="DW256" i="25"/>
  <c r="DW389" i="25"/>
  <c r="DW208" i="25"/>
  <c r="DW211" i="25"/>
  <c r="DW207" i="25"/>
  <c r="DW242" i="25"/>
  <c r="DW243" i="25"/>
  <c r="DW285" i="25"/>
  <c r="DW261" i="25"/>
  <c r="DW263" i="25"/>
  <c r="DW264" i="25"/>
  <c r="DW212" i="25"/>
  <c r="DW269" i="25"/>
  <c r="DW224" i="25"/>
  <c r="DW225" i="25"/>
  <c r="DW344" i="25"/>
  <c r="DW347" i="25"/>
  <c r="DW351" i="25"/>
  <c r="DW357" i="25"/>
  <c r="DW358" i="25"/>
  <c r="DW282" i="25"/>
  <c r="DW359" i="25"/>
  <c r="DW333" i="25"/>
  <c r="DW360" i="25"/>
  <c r="DW361" i="25"/>
  <c r="DW226" i="25"/>
  <c r="DW266" i="25"/>
  <c r="DW236" i="25"/>
  <c r="DW238" i="25"/>
  <c r="DW363" i="25"/>
  <c r="DW246" i="25"/>
  <c r="DW248" i="25"/>
  <c r="DW400" i="25"/>
  <c r="DW401" i="25"/>
  <c r="DW209" i="25"/>
  <c r="DW296" i="25"/>
  <c r="DW286" i="25"/>
  <c r="DW368" i="25"/>
  <c r="DW294" i="25"/>
  <c r="DW297" i="25"/>
  <c r="DW298" i="25"/>
  <c r="DW299" i="25"/>
  <c r="DW343" i="25"/>
  <c r="DW365" i="25"/>
  <c r="DW214" i="25"/>
  <c r="DW215" i="25"/>
  <c r="DW276" i="25"/>
  <c r="DW219" i="25"/>
  <c r="DW229" i="25"/>
  <c r="DW216" i="25"/>
  <c r="DW217" i="25"/>
  <c r="DW218" i="25"/>
  <c r="DW213" i="25"/>
  <c r="DW336" i="25"/>
  <c r="DW227" i="25"/>
  <c r="DW345" i="25"/>
  <c r="DW220" i="25"/>
  <c r="DW262" i="25"/>
  <c r="DW300" i="25"/>
  <c r="DW245" i="25"/>
  <c r="DW302" i="25"/>
  <c r="DW390" i="25"/>
  <c r="DW391" i="25"/>
  <c r="DW366" i="25"/>
  <c r="DW339" i="25"/>
  <c r="DW392" i="25"/>
  <c r="DW393" i="25"/>
  <c r="DW305" i="25"/>
  <c r="DW395" i="25"/>
  <c r="DW291" i="25"/>
  <c r="DW394" i="25"/>
  <c r="DW311" i="25"/>
  <c r="DW272" i="25"/>
  <c r="DW346" i="25"/>
  <c r="DW348" i="25"/>
  <c r="DW402" i="25"/>
  <c r="DW396" i="25"/>
  <c r="DW403" i="25"/>
  <c r="DW399" i="25"/>
  <c r="DW222" i="25"/>
  <c r="DW253" i="25"/>
  <c r="DW241" i="25"/>
  <c r="DW367" i="25"/>
  <c r="DW255" i="25"/>
  <c r="DW267" i="25"/>
  <c r="DW265" i="25"/>
  <c r="DW369" i="25"/>
  <c r="DW228" i="25"/>
  <c r="DW235" i="25"/>
  <c r="DW397" i="25"/>
  <c r="DW230" i="25"/>
  <c r="DW249" i="25"/>
  <c r="DW273" i="25"/>
  <c r="DW251" i="25"/>
  <c r="DW231" i="25"/>
  <c r="DW398" i="25"/>
  <c r="DW252" i="25"/>
  <c r="DW232" i="25"/>
  <c r="DW284" i="25"/>
  <c r="DW221" i="25"/>
  <c r="DW234" i="25"/>
  <c r="DW237" i="25"/>
  <c r="DW370" i="25"/>
  <c r="DW244" i="25"/>
  <c r="DW325" i="25"/>
  <c r="DW250" i="25"/>
  <c r="DW233" i="25"/>
  <c r="DW326" i="25"/>
  <c r="DW327" i="25"/>
  <c r="DW335" i="25"/>
  <c r="DW349" i="25"/>
  <c r="DW338" i="25"/>
  <c r="DW239" i="25"/>
  <c r="DW356" i="25"/>
  <c r="DW240" i="25"/>
  <c r="DW364" i="25"/>
  <c r="DW322" i="25"/>
  <c r="DW323" i="25"/>
  <c r="DW378" i="25"/>
  <c r="DW260" i="25"/>
  <c r="DW334" i="25"/>
  <c r="DW353" i="25"/>
  <c r="DW247" i="25"/>
  <c r="DW380" i="25"/>
  <c r="DW352" i="25"/>
  <c r="DW274" i="25"/>
  <c r="DW223" i="25"/>
  <c r="DW268" i="25"/>
  <c r="DW270" i="25"/>
  <c r="DW275" i="25"/>
  <c r="DW371" i="25"/>
  <c r="DW350" i="25"/>
  <c r="DW354" i="25"/>
  <c r="DW271" i="25"/>
  <c r="DW373" i="25"/>
  <c r="DW372" i="25"/>
  <c r="DW379" i="25"/>
  <c r="DW355" i="25"/>
  <c r="DW375" i="25"/>
  <c r="DW376" i="25"/>
  <c r="DW377" i="25"/>
  <c r="DW341" i="25"/>
  <c r="DW381" i="25"/>
  <c r="DW382" i="25"/>
  <c r="DW384" i="25"/>
  <c r="DW385" i="25"/>
  <c r="DW383" i="25"/>
  <c r="DW254" i="25"/>
  <c r="DW258" i="25"/>
  <c r="DW316" i="25"/>
  <c r="DW324" i="25"/>
  <c r="DW342" i="25"/>
  <c r="DW279" i="25"/>
  <c r="DW283" i="25"/>
  <c r="DW287" i="25"/>
  <c r="DW288" i="25"/>
  <c r="DW289" i="25"/>
  <c r="DW293" i="25"/>
  <c r="DW295" i="25"/>
  <c r="DW304" i="25"/>
  <c r="DW307" i="25"/>
  <c r="DW308" i="25"/>
  <c r="DW309" i="25"/>
  <c r="DW314" i="25"/>
  <c r="DW315" i="25"/>
  <c r="DW319" i="25"/>
  <c r="DW320" i="25"/>
  <c r="DW328" i="25"/>
  <c r="DW278" i="25"/>
  <c r="DW301" i="25"/>
  <c r="DW329" i="25"/>
  <c r="DW280" i="25"/>
  <c r="DW310" i="25"/>
  <c r="DW306" i="25"/>
  <c r="DW330" i="25"/>
  <c r="DW312" i="25"/>
  <c r="DW313" i="25"/>
  <c r="DW331" i="25"/>
  <c r="DW318" i="25"/>
  <c r="DW290" i="25"/>
  <c r="DW292" i="25"/>
  <c r="DW317" i="25"/>
  <c r="DW321" i="25"/>
  <c r="DW303" i="25"/>
  <c r="DY337" i="25"/>
  <c r="DY340" i="25"/>
  <c r="DY374" i="25"/>
  <c r="DY386" i="25"/>
  <c r="DY387" i="25"/>
  <c r="DY388" i="25"/>
  <c r="DY259" i="25"/>
  <c r="DY332" i="25"/>
  <c r="DY277" i="25"/>
  <c r="DY210" i="25"/>
  <c r="DY281" i="25"/>
  <c r="DY362" i="25"/>
  <c r="DY256" i="25"/>
  <c r="DY389" i="25"/>
  <c r="DY208" i="25"/>
  <c r="DY211" i="25"/>
  <c r="DY207" i="25"/>
  <c r="DY242" i="25"/>
  <c r="DY243" i="25"/>
  <c r="DY285" i="25"/>
  <c r="DY261" i="25"/>
  <c r="DY263" i="25"/>
  <c r="DY264" i="25"/>
  <c r="DY212" i="25"/>
  <c r="DY269" i="25"/>
  <c r="DY224" i="25"/>
  <c r="DY225" i="25"/>
  <c r="DY344" i="25"/>
  <c r="DY347" i="25"/>
  <c r="DY351" i="25"/>
  <c r="DY357" i="25"/>
  <c r="DY358" i="25"/>
  <c r="DY282" i="25"/>
  <c r="DY359" i="25"/>
  <c r="DY333" i="25"/>
  <c r="DY360" i="25"/>
  <c r="DY361" i="25"/>
  <c r="DY226" i="25"/>
  <c r="DY266" i="25"/>
  <c r="DY236" i="25"/>
  <c r="DY238" i="25"/>
  <c r="DY363" i="25"/>
  <c r="DY246" i="25"/>
  <c r="DY248" i="25"/>
  <c r="DY400" i="25"/>
  <c r="DY401" i="25"/>
  <c r="DY209" i="25"/>
  <c r="DY296" i="25"/>
  <c r="DY286" i="25"/>
  <c r="DY368" i="25"/>
  <c r="DY294" i="25"/>
  <c r="DY297" i="25"/>
  <c r="DY298" i="25"/>
  <c r="DY299" i="25"/>
  <c r="DY343" i="25"/>
  <c r="DY365" i="25"/>
  <c r="DY214" i="25"/>
  <c r="DY215" i="25"/>
  <c r="DY276" i="25"/>
  <c r="DY219" i="25"/>
  <c r="DY229" i="25"/>
  <c r="DY216" i="25"/>
  <c r="DY217" i="25"/>
  <c r="DY218" i="25"/>
  <c r="DY213" i="25"/>
  <c r="DY336" i="25"/>
  <c r="DY227" i="25"/>
  <c r="DY345" i="25"/>
  <c r="DY220" i="25"/>
  <c r="DY262" i="25"/>
  <c r="DY300" i="25"/>
  <c r="DY245" i="25"/>
  <c r="DY302" i="25"/>
  <c r="DY390" i="25"/>
  <c r="DY391" i="25"/>
  <c r="DY366" i="25"/>
  <c r="DY339" i="25"/>
  <c r="DY392" i="25"/>
  <c r="DY393" i="25"/>
  <c r="DY305" i="25"/>
  <c r="DY395" i="25"/>
  <c r="DY291" i="25"/>
  <c r="DY394" i="25"/>
  <c r="DY311" i="25"/>
  <c r="DY272" i="25"/>
  <c r="DY346" i="25"/>
  <c r="DY348" i="25"/>
  <c r="DY402" i="25"/>
  <c r="DY396" i="25"/>
  <c r="DY403" i="25"/>
  <c r="DY399" i="25"/>
  <c r="DY222" i="25"/>
  <c r="DY253" i="25"/>
  <c r="DY241" i="25"/>
  <c r="DY367" i="25"/>
  <c r="DY255" i="25"/>
  <c r="DY267" i="25"/>
  <c r="DY265" i="25"/>
  <c r="DY369" i="25"/>
  <c r="DY228" i="25"/>
  <c r="DY235" i="25"/>
  <c r="DY397" i="25"/>
  <c r="DY230" i="25"/>
  <c r="DY249" i="25"/>
  <c r="DY273" i="25"/>
  <c r="DY251" i="25"/>
  <c r="DY231" i="25"/>
  <c r="DY398" i="25"/>
  <c r="DY252" i="25"/>
  <c r="DY232" i="25"/>
  <c r="DY284" i="25"/>
  <c r="DY221" i="25"/>
  <c r="DY234" i="25"/>
  <c r="DY237" i="25"/>
  <c r="DY370" i="25"/>
  <c r="DY244" i="25"/>
  <c r="DY325" i="25"/>
  <c r="DY250" i="25"/>
  <c r="DY233" i="25"/>
  <c r="DY326" i="25"/>
  <c r="DY327" i="25"/>
  <c r="DY335" i="25"/>
  <c r="DY349" i="25"/>
  <c r="DY338" i="25"/>
  <c r="DY239" i="25"/>
  <c r="DY356" i="25"/>
  <c r="DY240" i="25"/>
  <c r="DY364" i="25"/>
  <c r="DY322" i="25"/>
  <c r="DY323" i="25"/>
  <c r="DY378" i="25"/>
  <c r="DY260" i="25"/>
  <c r="DY334" i="25"/>
  <c r="DY353" i="25"/>
  <c r="DY247" i="25"/>
  <c r="DY380" i="25"/>
  <c r="DY352" i="25"/>
  <c r="DY274" i="25"/>
  <c r="DY223" i="25"/>
  <c r="DY268" i="25"/>
  <c r="DY270" i="25"/>
  <c r="DY275" i="25"/>
  <c r="DY371" i="25"/>
  <c r="DY350" i="25"/>
  <c r="DY354" i="25"/>
  <c r="DY271" i="25"/>
  <c r="DY373" i="25"/>
  <c r="DY372" i="25"/>
  <c r="DY379" i="25"/>
  <c r="DY355" i="25"/>
  <c r="DY375" i="25"/>
  <c r="DY376" i="25"/>
  <c r="DY377" i="25"/>
  <c r="DY341" i="25"/>
  <c r="DY381" i="25"/>
  <c r="DY382" i="25"/>
  <c r="DY384" i="25"/>
  <c r="DY385" i="25"/>
  <c r="DY383" i="25"/>
  <c r="DY254" i="25"/>
  <c r="DY258" i="25"/>
  <c r="DY316" i="25"/>
  <c r="DY324" i="25"/>
  <c r="DY342" i="25"/>
  <c r="DY279" i="25"/>
  <c r="DY283" i="25"/>
  <c r="DY287" i="25"/>
  <c r="DY288" i="25"/>
  <c r="DY289" i="25"/>
  <c r="DY293" i="25"/>
  <c r="DY295" i="25"/>
  <c r="DY304" i="25"/>
  <c r="DY307" i="25"/>
  <c r="DY308" i="25"/>
  <c r="DY309" i="25"/>
  <c r="DY314" i="25"/>
  <c r="DY315" i="25"/>
  <c r="DY319" i="25"/>
  <c r="DY320" i="25"/>
  <c r="DY328" i="25"/>
  <c r="DY278" i="25"/>
  <c r="DY301" i="25"/>
  <c r="DY329" i="25"/>
  <c r="DY280" i="25"/>
  <c r="DY310" i="25"/>
  <c r="DY306" i="25"/>
  <c r="DY330" i="25"/>
  <c r="DY312" i="25"/>
  <c r="DY313" i="25"/>
  <c r="DY331" i="25"/>
  <c r="DY318" i="25"/>
  <c r="DY290" i="25"/>
  <c r="DY292" i="25"/>
  <c r="DY317" i="25"/>
  <c r="DY321" i="25"/>
  <c r="DY303" i="25"/>
  <c r="DZ337" i="25"/>
  <c r="DZ340" i="25"/>
  <c r="DZ374" i="25"/>
  <c r="DZ386" i="25"/>
  <c r="DZ387" i="25"/>
  <c r="DZ388" i="25"/>
  <c r="DZ259" i="25"/>
  <c r="DZ332" i="25"/>
  <c r="DZ277" i="25"/>
  <c r="DZ210" i="25"/>
  <c r="DZ281" i="25"/>
  <c r="DZ362" i="25"/>
  <c r="DZ256" i="25"/>
  <c r="DZ389" i="25"/>
  <c r="DZ208" i="25"/>
  <c r="DZ211" i="25"/>
  <c r="DZ207" i="25"/>
  <c r="DZ242" i="25"/>
  <c r="DZ243" i="25"/>
  <c r="DZ285" i="25"/>
  <c r="DZ261" i="25"/>
  <c r="DZ263" i="25"/>
  <c r="DZ264" i="25"/>
  <c r="DZ212" i="25"/>
  <c r="DZ269" i="25"/>
  <c r="DZ224" i="25"/>
  <c r="DZ225" i="25"/>
  <c r="DZ344" i="25"/>
  <c r="DZ347" i="25"/>
  <c r="DZ351" i="25"/>
  <c r="DZ357" i="25"/>
  <c r="DZ358" i="25"/>
  <c r="DZ282" i="25"/>
  <c r="DZ359" i="25"/>
  <c r="DZ333" i="25"/>
  <c r="DZ360" i="25"/>
  <c r="DZ361" i="25"/>
  <c r="DZ226" i="25"/>
  <c r="DZ266" i="25"/>
  <c r="DZ236" i="25"/>
  <c r="DZ238" i="25"/>
  <c r="DZ363" i="25"/>
  <c r="DZ246" i="25"/>
  <c r="DZ248" i="25"/>
  <c r="DZ400" i="25"/>
  <c r="DZ401" i="25"/>
  <c r="DZ209" i="25"/>
  <c r="DZ296" i="25"/>
  <c r="DZ286" i="25"/>
  <c r="DZ368" i="25"/>
  <c r="DZ294" i="25"/>
  <c r="DZ297" i="25"/>
  <c r="DZ298" i="25"/>
  <c r="DZ299" i="25"/>
  <c r="DZ343" i="25"/>
  <c r="DZ365" i="25"/>
  <c r="DZ214" i="25"/>
  <c r="DZ215" i="25"/>
  <c r="DZ276" i="25"/>
  <c r="DZ219" i="25"/>
  <c r="DZ229" i="25"/>
  <c r="DZ216" i="25"/>
  <c r="DZ217" i="25"/>
  <c r="DZ218" i="25"/>
  <c r="DZ213" i="25"/>
  <c r="DZ336" i="25"/>
  <c r="DZ227" i="25"/>
  <c r="DZ345" i="25"/>
  <c r="DZ220" i="25"/>
  <c r="DZ262" i="25"/>
  <c r="DZ300" i="25"/>
  <c r="DZ245" i="25"/>
  <c r="DZ302" i="25"/>
  <c r="DZ390" i="25"/>
  <c r="DZ391" i="25"/>
  <c r="DZ366" i="25"/>
  <c r="DZ339" i="25"/>
  <c r="DZ392" i="25"/>
  <c r="DZ393" i="25"/>
  <c r="DZ305" i="25"/>
  <c r="DZ395" i="25"/>
  <c r="DZ291" i="25"/>
  <c r="DZ394" i="25"/>
  <c r="DZ311" i="25"/>
  <c r="DZ272" i="25"/>
  <c r="DZ346" i="25"/>
  <c r="DZ348" i="25"/>
  <c r="DZ402" i="25"/>
  <c r="DZ396" i="25"/>
  <c r="DZ403" i="25"/>
  <c r="DZ399" i="25"/>
  <c r="DZ222" i="25"/>
  <c r="DZ253" i="25"/>
  <c r="DZ241" i="25"/>
  <c r="DZ367" i="25"/>
  <c r="DZ255" i="25"/>
  <c r="DZ267" i="25"/>
  <c r="DZ265" i="25"/>
  <c r="DZ369" i="25"/>
  <c r="DZ228" i="25"/>
  <c r="DZ235" i="25"/>
  <c r="DZ397" i="25"/>
  <c r="DZ230" i="25"/>
  <c r="DZ249" i="25"/>
  <c r="DZ273" i="25"/>
  <c r="DZ251" i="25"/>
  <c r="DZ231" i="25"/>
  <c r="DZ398" i="25"/>
  <c r="DZ252" i="25"/>
  <c r="DZ232" i="25"/>
  <c r="DZ284" i="25"/>
  <c r="DZ221" i="25"/>
  <c r="DZ234" i="25"/>
  <c r="DZ237" i="25"/>
  <c r="DZ370" i="25"/>
  <c r="DZ244" i="25"/>
  <c r="DZ325" i="25"/>
  <c r="DZ250" i="25"/>
  <c r="DZ233" i="25"/>
  <c r="DZ326" i="25"/>
  <c r="DZ327" i="25"/>
  <c r="DZ335" i="25"/>
  <c r="DZ349" i="25"/>
  <c r="DZ338" i="25"/>
  <c r="DZ239" i="25"/>
  <c r="DZ356" i="25"/>
  <c r="DZ240" i="25"/>
  <c r="DZ364" i="25"/>
  <c r="DZ322" i="25"/>
  <c r="DZ323" i="25"/>
  <c r="DZ378" i="25"/>
  <c r="DZ260" i="25"/>
  <c r="DZ334" i="25"/>
  <c r="DZ353" i="25"/>
  <c r="DZ247" i="25"/>
  <c r="DZ380" i="25"/>
  <c r="DZ352" i="25"/>
  <c r="DZ274" i="25"/>
  <c r="DZ223" i="25"/>
  <c r="DZ268" i="25"/>
  <c r="DZ270" i="25"/>
  <c r="DZ275" i="25"/>
  <c r="DZ371" i="25"/>
  <c r="DZ350" i="25"/>
  <c r="DZ354" i="25"/>
  <c r="DZ271" i="25"/>
  <c r="DZ373" i="25"/>
  <c r="DZ372" i="25"/>
  <c r="DZ379" i="25"/>
  <c r="DZ355" i="25"/>
  <c r="DZ375" i="25"/>
  <c r="DZ376" i="25"/>
  <c r="DZ377" i="25"/>
  <c r="DZ341" i="25"/>
  <c r="DZ381" i="25"/>
  <c r="DZ382" i="25"/>
  <c r="DZ384" i="25"/>
  <c r="DZ385" i="25"/>
  <c r="DZ383" i="25"/>
  <c r="DZ254" i="25"/>
  <c r="DZ258" i="25"/>
  <c r="DZ316" i="25"/>
  <c r="DZ324" i="25"/>
  <c r="DZ342" i="25"/>
  <c r="DZ279" i="25"/>
  <c r="DZ283" i="25"/>
  <c r="DZ287" i="25"/>
  <c r="DZ288" i="25"/>
  <c r="DZ289" i="25"/>
  <c r="DZ293" i="25"/>
  <c r="DZ295" i="25"/>
  <c r="DZ304" i="25"/>
  <c r="DZ307" i="25"/>
  <c r="DZ308" i="25"/>
  <c r="DZ309" i="25"/>
  <c r="DZ314" i="25"/>
  <c r="DZ315" i="25"/>
  <c r="DZ319" i="25"/>
  <c r="DZ320" i="25"/>
  <c r="DZ328" i="25"/>
  <c r="DZ278" i="25"/>
  <c r="DZ301" i="25"/>
  <c r="DZ329" i="25"/>
  <c r="DZ280" i="25"/>
  <c r="DZ310" i="25"/>
  <c r="DZ306" i="25"/>
  <c r="DZ330" i="25"/>
  <c r="DZ312" i="25"/>
  <c r="DZ313" i="25"/>
  <c r="DZ331" i="25"/>
  <c r="DZ318" i="25"/>
  <c r="DZ290" i="25"/>
  <c r="DZ292" i="25"/>
  <c r="DZ317" i="25"/>
  <c r="DZ321" i="25"/>
  <c r="DZ303" i="25"/>
  <c r="EA337" i="25"/>
  <c r="EA340" i="25"/>
  <c r="EA374" i="25"/>
  <c r="EA386" i="25"/>
  <c r="EA387" i="25"/>
  <c r="EA388" i="25"/>
  <c r="EA259" i="25"/>
  <c r="EA332" i="25"/>
  <c r="EA277" i="25"/>
  <c r="EA210" i="25"/>
  <c r="EA281" i="25"/>
  <c r="EA362" i="25"/>
  <c r="EA256" i="25"/>
  <c r="EA389" i="25"/>
  <c r="EA208" i="25"/>
  <c r="EA211" i="25"/>
  <c r="EA207" i="25"/>
  <c r="EA242" i="25"/>
  <c r="EA243" i="25"/>
  <c r="EA285" i="25"/>
  <c r="EA261" i="25"/>
  <c r="EA263" i="25"/>
  <c r="EA264" i="25"/>
  <c r="EA212" i="25"/>
  <c r="EA269" i="25"/>
  <c r="EA224" i="25"/>
  <c r="EA225" i="25"/>
  <c r="EA344" i="25"/>
  <c r="EA347" i="25"/>
  <c r="EA351" i="25"/>
  <c r="EA357" i="25"/>
  <c r="EA358" i="25"/>
  <c r="EA282" i="25"/>
  <c r="EA359" i="25"/>
  <c r="EA333" i="25"/>
  <c r="EA360" i="25"/>
  <c r="EA361" i="25"/>
  <c r="EA226" i="25"/>
  <c r="EA266" i="25"/>
  <c r="EA236" i="25"/>
  <c r="EA238" i="25"/>
  <c r="EA363" i="25"/>
  <c r="EA246" i="25"/>
  <c r="EA248" i="25"/>
  <c r="EA400" i="25"/>
  <c r="EA401" i="25"/>
  <c r="EA209" i="25"/>
  <c r="EA296" i="25"/>
  <c r="EA286" i="25"/>
  <c r="EA368" i="25"/>
  <c r="EA294" i="25"/>
  <c r="EA297" i="25"/>
  <c r="EA298" i="25"/>
  <c r="EA299" i="25"/>
  <c r="EA343" i="25"/>
  <c r="EA365" i="25"/>
  <c r="EA214" i="25"/>
  <c r="EA215" i="25"/>
  <c r="EA276" i="25"/>
  <c r="EA219" i="25"/>
  <c r="EA229" i="25"/>
  <c r="EA216" i="25"/>
  <c r="EA217" i="25"/>
  <c r="EA218" i="25"/>
  <c r="EA213" i="25"/>
  <c r="CZ213" i="25" s="1"/>
  <c r="EA336" i="25"/>
  <c r="EA227" i="25"/>
  <c r="EA345" i="25"/>
  <c r="EA220" i="25"/>
  <c r="EA262" i="25"/>
  <c r="EA300" i="25"/>
  <c r="EA245" i="25"/>
  <c r="EA302" i="25"/>
  <c r="EA390" i="25"/>
  <c r="EA391" i="25"/>
  <c r="EA366" i="25"/>
  <c r="EA339" i="25"/>
  <c r="EA392" i="25"/>
  <c r="EA393" i="25"/>
  <c r="EA305" i="25"/>
  <c r="EA395" i="25"/>
  <c r="EA291" i="25"/>
  <c r="EA394" i="25"/>
  <c r="EA311" i="25"/>
  <c r="EA272" i="25"/>
  <c r="EA346" i="25"/>
  <c r="EA348" i="25"/>
  <c r="EA402" i="25"/>
  <c r="EA396" i="25"/>
  <c r="EA403" i="25"/>
  <c r="EA399" i="25"/>
  <c r="EA222" i="25"/>
  <c r="EA253" i="25"/>
  <c r="EA241" i="25"/>
  <c r="EA367" i="25"/>
  <c r="EA255" i="25"/>
  <c r="EA267" i="25"/>
  <c r="EA265" i="25"/>
  <c r="EA369" i="25"/>
  <c r="EA228" i="25"/>
  <c r="EA235" i="25"/>
  <c r="EA397" i="25"/>
  <c r="EA230" i="25"/>
  <c r="EA249" i="25"/>
  <c r="EA273" i="25"/>
  <c r="EA251" i="25"/>
  <c r="EA231" i="25"/>
  <c r="EA398" i="25"/>
  <c r="EA252" i="25"/>
  <c r="EA232" i="25"/>
  <c r="EA284" i="25"/>
  <c r="EA221" i="25"/>
  <c r="EA234" i="25"/>
  <c r="EA237" i="25"/>
  <c r="EA370" i="25"/>
  <c r="EA244" i="25"/>
  <c r="EA325" i="25"/>
  <c r="EA250" i="25"/>
  <c r="EA233" i="25"/>
  <c r="EA326" i="25"/>
  <c r="EA327" i="25"/>
  <c r="EA335" i="25"/>
  <c r="EA349" i="25"/>
  <c r="EA338" i="25"/>
  <c r="EA239" i="25"/>
  <c r="EA356" i="25"/>
  <c r="EA240" i="25"/>
  <c r="EA364" i="25"/>
  <c r="EA322" i="25"/>
  <c r="EA323" i="25"/>
  <c r="EA378" i="25"/>
  <c r="EA260" i="25"/>
  <c r="EA334" i="25"/>
  <c r="EA353" i="25"/>
  <c r="EA247" i="25"/>
  <c r="EA380" i="25"/>
  <c r="EA352" i="25"/>
  <c r="EA274" i="25"/>
  <c r="EA223" i="25"/>
  <c r="EA268" i="25"/>
  <c r="EA270" i="25"/>
  <c r="EA275" i="25"/>
  <c r="EA371" i="25"/>
  <c r="EA350" i="25"/>
  <c r="EA354" i="25"/>
  <c r="EA271" i="25"/>
  <c r="EA373" i="25"/>
  <c r="EA372" i="25"/>
  <c r="EA379" i="25"/>
  <c r="EA355" i="25"/>
  <c r="EA375" i="25"/>
  <c r="EA376" i="25"/>
  <c r="EA377" i="25"/>
  <c r="EA341" i="25"/>
  <c r="EA381" i="25"/>
  <c r="EA382" i="25"/>
  <c r="EA384" i="25"/>
  <c r="EA385" i="25"/>
  <c r="EA383" i="25"/>
  <c r="EA254" i="25"/>
  <c r="EA258" i="25"/>
  <c r="EA316" i="25"/>
  <c r="EA324" i="25"/>
  <c r="EA342" i="25"/>
  <c r="EA279" i="25"/>
  <c r="EA283" i="25"/>
  <c r="EA287" i="25"/>
  <c r="EA288" i="25"/>
  <c r="EA289" i="25"/>
  <c r="EA293" i="25"/>
  <c r="EA295" i="25"/>
  <c r="EA304" i="25"/>
  <c r="EA307" i="25"/>
  <c r="EA308" i="25"/>
  <c r="EA309" i="25"/>
  <c r="EA314" i="25"/>
  <c r="EA315" i="25"/>
  <c r="EA319" i="25"/>
  <c r="EA320" i="25"/>
  <c r="EA328" i="25"/>
  <c r="EA278" i="25"/>
  <c r="EA301" i="25"/>
  <c r="EA329" i="25"/>
  <c r="EA280" i="25"/>
  <c r="EA310" i="25"/>
  <c r="EA306" i="25"/>
  <c r="EA330" i="25"/>
  <c r="EA312" i="25"/>
  <c r="EA313" i="25"/>
  <c r="EA331" i="25"/>
  <c r="EA318" i="25"/>
  <c r="EA290" i="25"/>
  <c r="EA292" i="25"/>
  <c r="EA317" i="25"/>
  <c r="DC317" i="25" s="1"/>
  <c r="DD317" i="25" s="1"/>
  <c r="EA321" i="25"/>
  <c r="EA303" i="25"/>
  <c r="EB337" i="25"/>
  <c r="EB340" i="25"/>
  <c r="EB374" i="25"/>
  <c r="EB386" i="25"/>
  <c r="EB387" i="25"/>
  <c r="EB388" i="25"/>
  <c r="EB259" i="25"/>
  <c r="EB332" i="25"/>
  <c r="EB277" i="25"/>
  <c r="EB210" i="25"/>
  <c r="EB281" i="25"/>
  <c r="EB362" i="25"/>
  <c r="EB256" i="25"/>
  <c r="EB389" i="25"/>
  <c r="EB208" i="25"/>
  <c r="EB211" i="25"/>
  <c r="EB207" i="25"/>
  <c r="EB242" i="25"/>
  <c r="EB243" i="25"/>
  <c r="EB285" i="25"/>
  <c r="EB261" i="25"/>
  <c r="EB263" i="25"/>
  <c r="EB264" i="25"/>
  <c r="EB212" i="25"/>
  <c r="EB269" i="25"/>
  <c r="EB224" i="25"/>
  <c r="EB225" i="25"/>
  <c r="EB344" i="25"/>
  <c r="EB347" i="25"/>
  <c r="EB351" i="25"/>
  <c r="EB357" i="25"/>
  <c r="EB358" i="25"/>
  <c r="EB282" i="25"/>
  <c r="EB359" i="25"/>
  <c r="EB333" i="25"/>
  <c r="EB360" i="25"/>
  <c r="EB361" i="25"/>
  <c r="EB226" i="25"/>
  <c r="EB266" i="25"/>
  <c r="EB236" i="25"/>
  <c r="EB238" i="25"/>
  <c r="EB363" i="25"/>
  <c r="EB246" i="25"/>
  <c r="EB248" i="25"/>
  <c r="EB400" i="25"/>
  <c r="EB401" i="25"/>
  <c r="EB209" i="25"/>
  <c r="EB296" i="25"/>
  <c r="EB286" i="25"/>
  <c r="EB368" i="25"/>
  <c r="EB294" i="25"/>
  <c r="EB297" i="25"/>
  <c r="EB298" i="25"/>
  <c r="EB299" i="25"/>
  <c r="EB343" i="25"/>
  <c r="EB365" i="25"/>
  <c r="EB214" i="25"/>
  <c r="EB215" i="25"/>
  <c r="EB276" i="25"/>
  <c r="EB219" i="25"/>
  <c r="EB229" i="25"/>
  <c r="EB216" i="25"/>
  <c r="EB217" i="25"/>
  <c r="EB218" i="25"/>
  <c r="EB213" i="25"/>
  <c r="EB336" i="25"/>
  <c r="EB227" i="25"/>
  <c r="EB345" i="25"/>
  <c r="EB220" i="25"/>
  <c r="EB262" i="25"/>
  <c r="EB300" i="25"/>
  <c r="EB245" i="25"/>
  <c r="EB302" i="25"/>
  <c r="EB390" i="25"/>
  <c r="EB391" i="25"/>
  <c r="EB366" i="25"/>
  <c r="EB339" i="25"/>
  <c r="EB392" i="25"/>
  <c r="EB393" i="25"/>
  <c r="EB305" i="25"/>
  <c r="EB395" i="25"/>
  <c r="EB291" i="25"/>
  <c r="EB394" i="25"/>
  <c r="EB311" i="25"/>
  <c r="EB272" i="25"/>
  <c r="EB346" i="25"/>
  <c r="EB348" i="25"/>
  <c r="EB402" i="25"/>
  <c r="EB396" i="25"/>
  <c r="EB403" i="25"/>
  <c r="EB399" i="25"/>
  <c r="EB222" i="25"/>
  <c r="EB253" i="25"/>
  <c r="EB241" i="25"/>
  <c r="EB367" i="25"/>
  <c r="EB255" i="25"/>
  <c r="EB267" i="25"/>
  <c r="EB265" i="25"/>
  <c r="EB369" i="25"/>
  <c r="EB228" i="25"/>
  <c r="EB235" i="25"/>
  <c r="EB397" i="25"/>
  <c r="EB230" i="25"/>
  <c r="EB249" i="25"/>
  <c r="EB273" i="25"/>
  <c r="EB251" i="25"/>
  <c r="EB231" i="25"/>
  <c r="EB398" i="25"/>
  <c r="EB252" i="25"/>
  <c r="EB232" i="25"/>
  <c r="EB284" i="25"/>
  <c r="EB221" i="25"/>
  <c r="EB234" i="25"/>
  <c r="EB237" i="25"/>
  <c r="EB370" i="25"/>
  <c r="EB244" i="25"/>
  <c r="EB325" i="25"/>
  <c r="EB250" i="25"/>
  <c r="EB233" i="25"/>
  <c r="EB326" i="25"/>
  <c r="EB327" i="25"/>
  <c r="EB335" i="25"/>
  <c r="EB349" i="25"/>
  <c r="EB338" i="25"/>
  <c r="EB239" i="25"/>
  <c r="EB356" i="25"/>
  <c r="EB240" i="25"/>
  <c r="EB364" i="25"/>
  <c r="EB322" i="25"/>
  <c r="EB323" i="25"/>
  <c r="EB378" i="25"/>
  <c r="EB260" i="25"/>
  <c r="EB334" i="25"/>
  <c r="EB353" i="25"/>
  <c r="EB247" i="25"/>
  <c r="EB380" i="25"/>
  <c r="EB352" i="25"/>
  <c r="EB274" i="25"/>
  <c r="EB223" i="25"/>
  <c r="EB268" i="25"/>
  <c r="EB270" i="25"/>
  <c r="EB275" i="25"/>
  <c r="EB371" i="25"/>
  <c r="EB350" i="25"/>
  <c r="EB354" i="25"/>
  <c r="EB271" i="25"/>
  <c r="EB373" i="25"/>
  <c r="EB372" i="25"/>
  <c r="EB379" i="25"/>
  <c r="EB355" i="25"/>
  <c r="EB375" i="25"/>
  <c r="EB376" i="25"/>
  <c r="EB377" i="25"/>
  <c r="EB341" i="25"/>
  <c r="EB381" i="25"/>
  <c r="EB382" i="25"/>
  <c r="EB384" i="25"/>
  <c r="EB385" i="25"/>
  <c r="EB383" i="25"/>
  <c r="EB254" i="25"/>
  <c r="EB258" i="25"/>
  <c r="EB316" i="25"/>
  <c r="EB324" i="25"/>
  <c r="EB342" i="25"/>
  <c r="EB279" i="25"/>
  <c r="EB283" i="25"/>
  <c r="EB287" i="25"/>
  <c r="EB288" i="25"/>
  <c r="EB289" i="25"/>
  <c r="EB293" i="25"/>
  <c r="EB295" i="25"/>
  <c r="EB304" i="25"/>
  <c r="EB307" i="25"/>
  <c r="EB308" i="25"/>
  <c r="EB309" i="25"/>
  <c r="EB314" i="25"/>
  <c r="EB315" i="25"/>
  <c r="EB319" i="25"/>
  <c r="EB320" i="25"/>
  <c r="EB328" i="25"/>
  <c r="EB278" i="25"/>
  <c r="EB301" i="25"/>
  <c r="EB329" i="25"/>
  <c r="EB280" i="25"/>
  <c r="EB310" i="25"/>
  <c r="EB306" i="25"/>
  <c r="EB330" i="25"/>
  <c r="EB312" i="25"/>
  <c r="EB313" i="25"/>
  <c r="EB331" i="25"/>
  <c r="EB318" i="25"/>
  <c r="EB290" i="25"/>
  <c r="EB292" i="25"/>
  <c r="EB317" i="25"/>
  <c r="EB321" i="25"/>
  <c r="EB303" i="25"/>
  <c r="EC337" i="25"/>
  <c r="DO337" i="25" s="1"/>
  <c r="EC340" i="25"/>
  <c r="DO340" i="25" s="1"/>
  <c r="EC374" i="25"/>
  <c r="DO374" i="25" s="1"/>
  <c r="EC386" i="25"/>
  <c r="DO386" i="25" s="1"/>
  <c r="EC387" i="25"/>
  <c r="DO387" i="25" s="1"/>
  <c r="EC388" i="25"/>
  <c r="DO388" i="25" s="1"/>
  <c r="EC259" i="25"/>
  <c r="DO259" i="25" s="1"/>
  <c r="EC332" i="25"/>
  <c r="DO332" i="25" s="1"/>
  <c r="EC277" i="25"/>
  <c r="DO277" i="25" s="1"/>
  <c r="EC210" i="25"/>
  <c r="DO210" i="25" s="1"/>
  <c r="EC281" i="25"/>
  <c r="DO281" i="25" s="1"/>
  <c r="EC362" i="25"/>
  <c r="DO362" i="25" s="1"/>
  <c r="EC256" i="25"/>
  <c r="DO256" i="25" s="1"/>
  <c r="EC389" i="25"/>
  <c r="DO389" i="25" s="1"/>
  <c r="EC208" i="25"/>
  <c r="DO208" i="25" s="1"/>
  <c r="EC211" i="25"/>
  <c r="DO211" i="25" s="1"/>
  <c r="EC207" i="25"/>
  <c r="DO207" i="25" s="1"/>
  <c r="EC242" i="25"/>
  <c r="DO242" i="25" s="1"/>
  <c r="EC243" i="25"/>
  <c r="DO243" i="25" s="1"/>
  <c r="EC285" i="25"/>
  <c r="DO285" i="25" s="1"/>
  <c r="EC261" i="25"/>
  <c r="DO261" i="25" s="1"/>
  <c r="EC263" i="25"/>
  <c r="DO263" i="25" s="1"/>
  <c r="EC264" i="25"/>
  <c r="DO264" i="25" s="1"/>
  <c r="EC212" i="25"/>
  <c r="DO212" i="25" s="1"/>
  <c r="EC269" i="25"/>
  <c r="DO269" i="25" s="1"/>
  <c r="EC224" i="25"/>
  <c r="DO224" i="25" s="1"/>
  <c r="EC225" i="25"/>
  <c r="DO225" i="25" s="1"/>
  <c r="EC344" i="25"/>
  <c r="DO344" i="25" s="1"/>
  <c r="EC347" i="25"/>
  <c r="DO347" i="25" s="1"/>
  <c r="EC351" i="25"/>
  <c r="DO351" i="25" s="1"/>
  <c r="EC357" i="25"/>
  <c r="DO357" i="25" s="1"/>
  <c r="EC358" i="25"/>
  <c r="DO358" i="25" s="1"/>
  <c r="EC282" i="25"/>
  <c r="DO282" i="25" s="1"/>
  <c r="EC359" i="25"/>
  <c r="DO359" i="25" s="1"/>
  <c r="EC333" i="25"/>
  <c r="DO333" i="25" s="1"/>
  <c r="EC360" i="25"/>
  <c r="DO360" i="25" s="1"/>
  <c r="EC361" i="25"/>
  <c r="DO361" i="25" s="1"/>
  <c r="EC226" i="25"/>
  <c r="DO226" i="25" s="1"/>
  <c r="EC266" i="25"/>
  <c r="DO266" i="25" s="1"/>
  <c r="EC236" i="25"/>
  <c r="DO236" i="25" s="1"/>
  <c r="EC238" i="25"/>
  <c r="DO238" i="25" s="1"/>
  <c r="EC363" i="25"/>
  <c r="DO363" i="25" s="1"/>
  <c r="EC246" i="25"/>
  <c r="DO246" i="25" s="1"/>
  <c r="EC248" i="25"/>
  <c r="DO248" i="25" s="1"/>
  <c r="EC400" i="25"/>
  <c r="DO400" i="25" s="1"/>
  <c r="EC401" i="25"/>
  <c r="DO401" i="25" s="1"/>
  <c r="EC209" i="25"/>
  <c r="DO209" i="25" s="1"/>
  <c r="EC296" i="25"/>
  <c r="DO296" i="25" s="1"/>
  <c r="EC286" i="25"/>
  <c r="DO286" i="25" s="1"/>
  <c r="EC368" i="25"/>
  <c r="DO368" i="25" s="1"/>
  <c r="EC294" i="25"/>
  <c r="DO294" i="25" s="1"/>
  <c r="EC297" i="25"/>
  <c r="DO297" i="25" s="1"/>
  <c r="EC298" i="25"/>
  <c r="DO298" i="25" s="1"/>
  <c r="EC299" i="25"/>
  <c r="DO299" i="25" s="1"/>
  <c r="EC343" i="25"/>
  <c r="DO343" i="25" s="1"/>
  <c r="EC365" i="25"/>
  <c r="DO365" i="25" s="1"/>
  <c r="EC214" i="25"/>
  <c r="DO214" i="25" s="1"/>
  <c r="EC215" i="25"/>
  <c r="DO215" i="25" s="1"/>
  <c r="EC276" i="25"/>
  <c r="DO276" i="25" s="1"/>
  <c r="EC219" i="25"/>
  <c r="DO219" i="25" s="1"/>
  <c r="EC229" i="25"/>
  <c r="DO229" i="25" s="1"/>
  <c r="EC216" i="25"/>
  <c r="DO216" i="25" s="1"/>
  <c r="EC217" i="25"/>
  <c r="DO217" i="25" s="1"/>
  <c r="EC218" i="25"/>
  <c r="DO218" i="25" s="1"/>
  <c r="EC213" i="25"/>
  <c r="DO213" i="25" s="1"/>
  <c r="EC336" i="25"/>
  <c r="DO336" i="25" s="1"/>
  <c r="EC227" i="25"/>
  <c r="DO227" i="25" s="1"/>
  <c r="EC345" i="25"/>
  <c r="DO345" i="25" s="1"/>
  <c r="EC220" i="25"/>
  <c r="DO220" i="25" s="1"/>
  <c r="EC262" i="25"/>
  <c r="DO262" i="25" s="1"/>
  <c r="EC300" i="25"/>
  <c r="DO300" i="25" s="1"/>
  <c r="EC245" i="25"/>
  <c r="DO245" i="25" s="1"/>
  <c r="EC302" i="25"/>
  <c r="DO302" i="25" s="1"/>
  <c r="EC390" i="25"/>
  <c r="DO390" i="25" s="1"/>
  <c r="EC391" i="25"/>
  <c r="DO391" i="25" s="1"/>
  <c r="EC366" i="25"/>
  <c r="DO366" i="25" s="1"/>
  <c r="EC339" i="25"/>
  <c r="DO339" i="25" s="1"/>
  <c r="EC392" i="25"/>
  <c r="DO392" i="25" s="1"/>
  <c r="EC393" i="25"/>
  <c r="DO393" i="25" s="1"/>
  <c r="EC305" i="25"/>
  <c r="DO305" i="25" s="1"/>
  <c r="EC395" i="25"/>
  <c r="DO395" i="25" s="1"/>
  <c r="EC291" i="25"/>
  <c r="DO291" i="25" s="1"/>
  <c r="EC394" i="25"/>
  <c r="DO394" i="25" s="1"/>
  <c r="EC311" i="25"/>
  <c r="DO311" i="25" s="1"/>
  <c r="EC272" i="25"/>
  <c r="DO272" i="25" s="1"/>
  <c r="EC346" i="25"/>
  <c r="DO346" i="25" s="1"/>
  <c r="EC348" i="25"/>
  <c r="DO348" i="25" s="1"/>
  <c r="EC402" i="25"/>
  <c r="DO402" i="25" s="1"/>
  <c r="EC396" i="25"/>
  <c r="DO396" i="25" s="1"/>
  <c r="EC403" i="25"/>
  <c r="DO403" i="25" s="1"/>
  <c r="EC399" i="25"/>
  <c r="DO399" i="25" s="1"/>
  <c r="EC222" i="25"/>
  <c r="DO222" i="25" s="1"/>
  <c r="EC253" i="25"/>
  <c r="DO253" i="25" s="1"/>
  <c r="EC241" i="25"/>
  <c r="DO241" i="25" s="1"/>
  <c r="EC367" i="25"/>
  <c r="DO367" i="25" s="1"/>
  <c r="EC255" i="25"/>
  <c r="DO255" i="25" s="1"/>
  <c r="EC267" i="25"/>
  <c r="DO267" i="25" s="1"/>
  <c r="EC265" i="25"/>
  <c r="DO265" i="25" s="1"/>
  <c r="EC369" i="25"/>
  <c r="DO369" i="25" s="1"/>
  <c r="EC228" i="25"/>
  <c r="DO228" i="25" s="1"/>
  <c r="EC235" i="25"/>
  <c r="DO235" i="25" s="1"/>
  <c r="EC397" i="25"/>
  <c r="DO397" i="25" s="1"/>
  <c r="EC230" i="25"/>
  <c r="DO230" i="25" s="1"/>
  <c r="EC249" i="25"/>
  <c r="DO249" i="25" s="1"/>
  <c r="EC273" i="25"/>
  <c r="DO273" i="25" s="1"/>
  <c r="EC251" i="25"/>
  <c r="DO251" i="25" s="1"/>
  <c r="EC231" i="25"/>
  <c r="DO231" i="25" s="1"/>
  <c r="EC398" i="25"/>
  <c r="DO398" i="25" s="1"/>
  <c r="EC252" i="25"/>
  <c r="DO252" i="25" s="1"/>
  <c r="EC232" i="25"/>
  <c r="DO232" i="25" s="1"/>
  <c r="EC284" i="25"/>
  <c r="DO284" i="25" s="1"/>
  <c r="EC221" i="25"/>
  <c r="DO221" i="25" s="1"/>
  <c r="EC234" i="25"/>
  <c r="DO234" i="25" s="1"/>
  <c r="EC237" i="25"/>
  <c r="DO237" i="25" s="1"/>
  <c r="EC370" i="25"/>
  <c r="DO370" i="25" s="1"/>
  <c r="EC244" i="25"/>
  <c r="DO244" i="25" s="1"/>
  <c r="EC325" i="25"/>
  <c r="DO325" i="25" s="1"/>
  <c r="EC250" i="25"/>
  <c r="DO250" i="25" s="1"/>
  <c r="EC233" i="25"/>
  <c r="DO233" i="25" s="1"/>
  <c r="EC326" i="25"/>
  <c r="DO326" i="25" s="1"/>
  <c r="EC327" i="25"/>
  <c r="DO327" i="25" s="1"/>
  <c r="EC335" i="25"/>
  <c r="DO335" i="25" s="1"/>
  <c r="EC349" i="25"/>
  <c r="DO349" i="25" s="1"/>
  <c r="EC338" i="25"/>
  <c r="DO338" i="25" s="1"/>
  <c r="EC239" i="25"/>
  <c r="DO239" i="25" s="1"/>
  <c r="EC356" i="25"/>
  <c r="DO356" i="25" s="1"/>
  <c r="EC240" i="25"/>
  <c r="DO240" i="25" s="1"/>
  <c r="EC364" i="25"/>
  <c r="DO364" i="25" s="1"/>
  <c r="EC322" i="25"/>
  <c r="DO322" i="25" s="1"/>
  <c r="EC323" i="25"/>
  <c r="DO323" i="25" s="1"/>
  <c r="EC378" i="25"/>
  <c r="DO378" i="25" s="1"/>
  <c r="EC260" i="25"/>
  <c r="DO260" i="25" s="1"/>
  <c r="EC334" i="25"/>
  <c r="DO334" i="25" s="1"/>
  <c r="EC353" i="25"/>
  <c r="DO353" i="25" s="1"/>
  <c r="EC247" i="25"/>
  <c r="DO247" i="25" s="1"/>
  <c r="EC380" i="25"/>
  <c r="DO380" i="25" s="1"/>
  <c r="EC352" i="25"/>
  <c r="DO352" i="25" s="1"/>
  <c r="EC274" i="25"/>
  <c r="DO274" i="25" s="1"/>
  <c r="EC223" i="25"/>
  <c r="DO223" i="25" s="1"/>
  <c r="EC268" i="25"/>
  <c r="DO268" i="25" s="1"/>
  <c r="EC270" i="25"/>
  <c r="DO270" i="25" s="1"/>
  <c r="EC275" i="25"/>
  <c r="DO275" i="25" s="1"/>
  <c r="EC371" i="25"/>
  <c r="DO371" i="25" s="1"/>
  <c r="EC350" i="25"/>
  <c r="DO350" i="25" s="1"/>
  <c r="EC354" i="25"/>
  <c r="DO354" i="25" s="1"/>
  <c r="EC271" i="25"/>
  <c r="DO271" i="25" s="1"/>
  <c r="EC373" i="25"/>
  <c r="DO373" i="25" s="1"/>
  <c r="EC372" i="25"/>
  <c r="DO372" i="25" s="1"/>
  <c r="EC379" i="25"/>
  <c r="DO379" i="25" s="1"/>
  <c r="EC355" i="25"/>
  <c r="DO355" i="25" s="1"/>
  <c r="EC375" i="25"/>
  <c r="DO375" i="25" s="1"/>
  <c r="EC376" i="25"/>
  <c r="DO376" i="25" s="1"/>
  <c r="EC377" i="25"/>
  <c r="DO377" i="25" s="1"/>
  <c r="EC341" i="25"/>
  <c r="DO341" i="25" s="1"/>
  <c r="EC381" i="25"/>
  <c r="DO381" i="25" s="1"/>
  <c r="EC382" i="25"/>
  <c r="DO382" i="25" s="1"/>
  <c r="EC384" i="25"/>
  <c r="DO384" i="25" s="1"/>
  <c r="EC385" i="25"/>
  <c r="DO385" i="25" s="1"/>
  <c r="EC383" i="25"/>
  <c r="DO383" i="25" s="1"/>
  <c r="EC254" i="25"/>
  <c r="DO254" i="25" s="1"/>
  <c r="EC258" i="25"/>
  <c r="DO258" i="25" s="1"/>
  <c r="EC316" i="25"/>
  <c r="DO316" i="25" s="1"/>
  <c r="EC324" i="25"/>
  <c r="DO324" i="25" s="1"/>
  <c r="EC342" i="25"/>
  <c r="DO342" i="25" s="1"/>
  <c r="EC279" i="25"/>
  <c r="DO279" i="25" s="1"/>
  <c r="EC283" i="25"/>
  <c r="DO283" i="25" s="1"/>
  <c r="EC287" i="25"/>
  <c r="DO287" i="25" s="1"/>
  <c r="EC288" i="25"/>
  <c r="DO288" i="25" s="1"/>
  <c r="EC289" i="25"/>
  <c r="DO289" i="25" s="1"/>
  <c r="EC293" i="25"/>
  <c r="DO293" i="25" s="1"/>
  <c r="EC295" i="25"/>
  <c r="DO295" i="25" s="1"/>
  <c r="EC304" i="25"/>
  <c r="DO304" i="25" s="1"/>
  <c r="EC307" i="25"/>
  <c r="DO307" i="25" s="1"/>
  <c r="EC308" i="25"/>
  <c r="DO308" i="25" s="1"/>
  <c r="EC309" i="25"/>
  <c r="DO309" i="25" s="1"/>
  <c r="EC314" i="25"/>
  <c r="DO314" i="25" s="1"/>
  <c r="EC315" i="25"/>
  <c r="DO315" i="25" s="1"/>
  <c r="EC319" i="25"/>
  <c r="DO319" i="25" s="1"/>
  <c r="EC320" i="25"/>
  <c r="DO320" i="25" s="1"/>
  <c r="EC328" i="25"/>
  <c r="DO328" i="25" s="1"/>
  <c r="EC278" i="25"/>
  <c r="DO278" i="25" s="1"/>
  <c r="EC301" i="25"/>
  <c r="DO301" i="25" s="1"/>
  <c r="EC329" i="25"/>
  <c r="DO329" i="25" s="1"/>
  <c r="EC280" i="25"/>
  <c r="DO280" i="25" s="1"/>
  <c r="EC310" i="25"/>
  <c r="DO310" i="25" s="1"/>
  <c r="EC306" i="25"/>
  <c r="DO306" i="25" s="1"/>
  <c r="EC330" i="25"/>
  <c r="DO330" i="25" s="1"/>
  <c r="EC312" i="25"/>
  <c r="DO312" i="25" s="1"/>
  <c r="EC313" i="25"/>
  <c r="DO313" i="25" s="1"/>
  <c r="EC331" i="25"/>
  <c r="DO331" i="25" s="1"/>
  <c r="EC318" i="25"/>
  <c r="DO318" i="25" s="1"/>
  <c r="EC290" i="25"/>
  <c r="DO290" i="25" s="1"/>
  <c r="EC292" i="25"/>
  <c r="DO292" i="25" s="1"/>
  <c r="EC317" i="25"/>
  <c r="DO317" i="25" s="1"/>
  <c r="EC321" i="25"/>
  <c r="DO321" i="25" s="1"/>
  <c r="EC303" i="25"/>
  <c r="DO303" i="25" s="1"/>
  <c r="ED337" i="25"/>
  <c r="ED340" i="25"/>
  <c r="ED374" i="25"/>
  <c r="ED386" i="25"/>
  <c r="ED387" i="25"/>
  <c r="ED388" i="25"/>
  <c r="ED259" i="25"/>
  <c r="ED332" i="25"/>
  <c r="ED277" i="25"/>
  <c r="ED210" i="25"/>
  <c r="ED281" i="25"/>
  <c r="ED362" i="25"/>
  <c r="ED256" i="25"/>
  <c r="ED389" i="25"/>
  <c r="ED208" i="25"/>
  <c r="ED211" i="25"/>
  <c r="ED207" i="25"/>
  <c r="ED242" i="25"/>
  <c r="ED243" i="25"/>
  <c r="ED285" i="25"/>
  <c r="ED261" i="25"/>
  <c r="ED263" i="25"/>
  <c r="ED264" i="25"/>
  <c r="ED212" i="25"/>
  <c r="ED269" i="25"/>
  <c r="ED224" i="25"/>
  <c r="ED225" i="25"/>
  <c r="ED344" i="25"/>
  <c r="ED347" i="25"/>
  <c r="ED351" i="25"/>
  <c r="ED357" i="25"/>
  <c r="ED358" i="25"/>
  <c r="ED282" i="25"/>
  <c r="ED359" i="25"/>
  <c r="ED333" i="25"/>
  <c r="ED360" i="25"/>
  <c r="ED361" i="25"/>
  <c r="ED226" i="25"/>
  <c r="ED266" i="25"/>
  <c r="ED236" i="25"/>
  <c r="ED238" i="25"/>
  <c r="ED363" i="25"/>
  <c r="ED246" i="25"/>
  <c r="ED248" i="25"/>
  <c r="ED400" i="25"/>
  <c r="ED401" i="25"/>
  <c r="ED209" i="25"/>
  <c r="ED296" i="25"/>
  <c r="ED286" i="25"/>
  <c r="ED368" i="25"/>
  <c r="ED294" i="25"/>
  <c r="ED297" i="25"/>
  <c r="ED298" i="25"/>
  <c r="ED299" i="25"/>
  <c r="ED343" i="25"/>
  <c r="ED365" i="25"/>
  <c r="ED214" i="25"/>
  <c r="ED215" i="25"/>
  <c r="ED276" i="25"/>
  <c r="ED219" i="25"/>
  <c r="ED229" i="25"/>
  <c r="ED216" i="25"/>
  <c r="ED217" i="25"/>
  <c r="ED218" i="25"/>
  <c r="ED213" i="25"/>
  <c r="ED336" i="25"/>
  <c r="ED227" i="25"/>
  <c r="ED345" i="25"/>
  <c r="ED220" i="25"/>
  <c r="ED300" i="25"/>
  <c r="ED245" i="25"/>
  <c r="ED302" i="25"/>
  <c r="ED390" i="25"/>
  <c r="ED391" i="25"/>
  <c r="ED366" i="25"/>
  <c r="ED339" i="25"/>
  <c r="ED392" i="25"/>
  <c r="ED393" i="25"/>
  <c r="ED305" i="25"/>
  <c r="ED395" i="25"/>
  <c r="ED291" i="25"/>
  <c r="ED394" i="25"/>
  <c r="ED311" i="25"/>
  <c r="ED272" i="25"/>
  <c r="ED346" i="25"/>
  <c r="ED348" i="25"/>
  <c r="ED402" i="25"/>
  <c r="ED396" i="25"/>
  <c r="ED403" i="25"/>
  <c r="ED399" i="25"/>
  <c r="ED222" i="25"/>
  <c r="ED253" i="25"/>
  <c r="ED241" i="25"/>
  <c r="ED367" i="25"/>
  <c r="ED255" i="25"/>
  <c r="ED265" i="25"/>
  <c r="ED369" i="25"/>
  <c r="ED228" i="25"/>
  <c r="ED235" i="25"/>
  <c r="ED397" i="25"/>
  <c r="ED230" i="25"/>
  <c r="ED249" i="25"/>
  <c r="ED273" i="25"/>
  <c r="ED251" i="25"/>
  <c r="ED398" i="25"/>
  <c r="ED252" i="25"/>
  <c r="ED232" i="25"/>
  <c r="ED284" i="25"/>
  <c r="ED221" i="25"/>
  <c r="ED234" i="25"/>
  <c r="ED237" i="25"/>
  <c r="ED370" i="25"/>
  <c r="ED244" i="25"/>
  <c r="ED325" i="25"/>
  <c r="ED250" i="25"/>
  <c r="ED233" i="25"/>
  <c r="ED326" i="25"/>
  <c r="ED327" i="25"/>
  <c r="ED335" i="25"/>
  <c r="ED349" i="25"/>
  <c r="ED338" i="25"/>
  <c r="ED239" i="25"/>
  <c r="ED356" i="25"/>
  <c r="ED240" i="25"/>
  <c r="ED364" i="25"/>
  <c r="ED322" i="25"/>
  <c r="ED323" i="25"/>
  <c r="ED378" i="25"/>
  <c r="ED260" i="25"/>
  <c r="ED334" i="25"/>
  <c r="ED353" i="25"/>
  <c r="ED247" i="25"/>
  <c r="ED380" i="25"/>
  <c r="ED352" i="25"/>
  <c r="ED274" i="25"/>
  <c r="ED223" i="25"/>
  <c r="ED268" i="25"/>
  <c r="ED270" i="25"/>
  <c r="ED275" i="25"/>
  <c r="ED371" i="25"/>
  <c r="ED350" i="25"/>
  <c r="ED354" i="25"/>
  <c r="ED271" i="25"/>
  <c r="ED373" i="25"/>
  <c r="ED372" i="25"/>
  <c r="ED379" i="25"/>
  <c r="ED355" i="25"/>
  <c r="ED375" i="25"/>
  <c r="ED376" i="25"/>
  <c r="ED377" i="25"/>
  <c r="ED341" i="25"/>
  <c r="ED381" i="25"/>
  <c r="ED382" i="25"/>
  <c r="ED384" i="25"/>
  <c r="ED385" i="25"/>
  <c r="ED383" i="25"/>
  <c r="ED254" i="25"/>
  <c r="ED258" i="25"/>
  <c r="ED316" i="25"/>
  <c r="ED324" i="25"/>
  <c r="ED342" i="25"/>
  <c r="ED279" i="25"/>
  <c r="ED283" i="25"/>
  <c r="ED287" i="25"/>
  <c r="ED288" i="25"/>
  <c r="ED289" i="25"/>
  <c r="ED293" i="25"/>
  <c r="ED295" i="25"/>
  <c r="ED304" i="25"/>
  <c r="ED307" i="25"/>
  <c r="ED308" i="25"/>
  <c r="ED309" i="25"/>
  <c r="ED314" i="25"/>
  <c r="ED315" i="25"/>
  <c r="ED319" i="25"/>
  <c r="ED320" i="25"/>
  <c r="ED328" i="25"/>
  <c r="ED278" i="25"/>
  <c r="ED301" i="25"/>
  <c r="ED329" i="25"/>
  <c r="ED280" i="25"/>
  <c r="ED310" i="25"/>
  <c r="ED306" i="25"/>
  <c r="ED330" i="25"/>
  <c r="ED312" i="25"/>
  <c r="ED313" i="25"/>
  <c r="ED331" i="25"/>
  <c r="ED318" i="25"/>
  <c r="ED290" i="25"/>
  <c r="ED292" i="25"/>
  <c r="ED317" i="25"/>
  <c r="ED321" i="25"/>
  <c r="ED303" i="25"/>
  <c r="EE337" i="25"/>
  <c r="EE340" i="25"/>
  <c r="EE374" i="25"/>
  <c r="EE386" i="25"/>
  <c r="EE387" i="25"/>
  <c r="EE388" i="25"/>
  <c r="EE259" i="25"/>
  <c r="EE332" i="25"/>
  <c r="EE277" i="25"/>
  <c r="EE210" i="25"/>
  <c r="EE281" i="25"/>
  <c r="EE362" i="25"/>
  <c r="EE256" i="25"/>
  <c r="EE389" i="25"/>
  <c r="EE208" i="25"/>
  <c r="EE211" i="25"/>
  <c r="EE207" i="25"/>
  <c r="EE242" i="25"/>
  <c r="EE243" i="25"/>
  <c r="EE285" i="25"/>
  <c r="EE261" i="25"/>
  <c r="EE263" i="25"/>
  <c r="EE264" i="25"/>
  <c r="EE212" i="25"/>
  <c r="EE269" i="25"/>
  <c r="EE224" i="25"/>
  <c r="EE225" i="25"/>
  <c r="EE344" i="25"/>
  <c r="EE347" i="25"/>
  <c r="EE351" i="25"/>
  <c r="EE357" i="25"/>
  <c r="EE358" i="25"/>
  <c r="EE282" i="25"/>
  <c r="EE359" i="25"/>
  <c r="EE333" i="25"/>
  <c r="EE360" i="25"/>
  <c r="EE361" i="25"/>
  <c r="EE226" i="25"/>
  <c r="EE266" i="25"/>
  <c r="EE236" i="25"/>
  <c r="EE238" i="25"/>
  <c r="EE363" i="25"/>
  <c r="EE246" i="25"/>
  <c r="EE248" i="25"/>
  <c r="EE400" i="25"/>
  <c r="EE401" i="25"/>
  <c r="EE209" i="25"/>
  <c r="EE296" i="25"/>
  <c r="EE286" i="25"/>
  <c r="EE368" i="25"/>
  <c r="EE294" i="25"/>
  <c r="EE297" i="25"/>
  <c r="EE298" i="25"/>
  <c r="EE299" i="25"/>
  <c r="EE343" i="25"/>
  <c r="EE365" i="25"/>
  <c r="EE214" i="25"/>
  <c r="EE215" i="25"/>
  <c r="EE276" i="25"/>
  <c r="EE219" i="25"/>
  <c r="EE229" i="25"/>
  <c r="EE216" i="25"/>
  <c r="EE217" i="25"/>
  <c r="EE218" i="25"/>
  <c r="EE213" i="25"/>
  <c r="EE336" i="25"/>
  <c r="EE227" i="25"/>
  <c r="EE345" i="25"/>
  <c r="EE220" i="25"/>
  <c r="EE300" i="25"/>
  <c r="EE245" i="25"/>
  <c r="EE302" i="25"/>
  <c r="EE390" i="25"/>
  <c r="EE391" i="25"/>
  <c r="EE366" i="25"/>
  <c r="EE339" i="25"/>
  <c r="EE392" i="25"/>
  <c r="EE393" i="25"/>
  <c r="EE305" i="25"/>
  <c r="EE395" i="25"/>
  <c r="EE291" i="25"/>
  <c r="EE394" i="25"/>
  <c r="EE311" i="25"/>
  <c r="EE272" i="25"/>
  <c r="EE346" i="25"/>
  <c r="EE348" i="25"/>
  <c r="EE402" i="25"/>
  <c r="EE396" i="25"/>
  <c r="EE403" i="25"/>
  <c r="EE399" i="25"/>
  <c r="EE222" i="25"/>
  <c r="EE253" i="25"/>
  <c r="EE241" i="25"/>
  <c r="EE367" i="25"/>
  <c r="EE255" i="25"/>
  <c r="EE265" i="25"/>
  <c r="EE369" i="25"/>
  <c r="EE228" i="25"/>
  <c r="EE235" i="25"/>
  <c r="EE397" i="25"/>
  <c r="EE230" i="25"/>
  <c r="EE249" i="25"/>
  <c r="EE273" i="25"/>
  <c r="EE251" i="25"/>
  <c r="EE398" i="25"/>
  <c r="EE252" i="25"/>
  <c r="EE232" i="25"/>
  <c r="EE284" i="25"/>
  <c r="EE221" i="25"/>
  <c r="EE234" i="25"/>
  <c r="EE237" i="25"/>
  <c r="EE370" i="25"/>
  <c r="EE244" i="25"/>
  <c r="EE325" i="25"/>
  <c r="EE250" i="25"/>
  <c r="EE233" i="25"/>
  <c r="EE326" i="25"/>
  <c r="EE327" i="25"/>
  <c r="EE335" i="25"/>
  <c r="EE349" i="25"/>
  <c r="EE338" i="25"/>
  <c r="EE239" i="25"/>
  <c r="EE356" i="25"/>
  <c r="EE240" i="25"/>
  <c r="EE364" i="25"/>
  <c r="EE322" i="25"/>
  <c r="EE323" i="25"/>
  <c r="EE378" i="25"/>
  <c r="EE260" i="25"/>
  <c r="EE334" i="25"/>
  <c r="EE353" i="25"/>
  <c r="EE247" i="25"/>
  <c r="EE380" i="25"/>
  <c r="EE352" i="25"/>
  <c r="EE274" i="25"/>
  <c r="EE223" i="25"/>
  <c r="EE268" i="25"/>
  <c r="EE270" i="25"/>
  <c r="EE275" i="25"/>
  <c r="EE371" i="25"/>
  <c r="EE350" i="25"/>
  <c r="EE354" i="25"/>
  <c r="EE271" i="25"/>
  <c r="EE373" i="25"/>
  <c r="EE372" i="25"/>
  <c r="EE379" i="25"/>
  <c r="EE355" i="25"/>
  <c r="EE375" i="25"/>
  <c r="EE376" i="25"/>
  <c r="EE377" i="25"/>
  <c r="EE341" i="25"/>
  <c r="EE381" i="25"/>
  <c r="EE382" i="25"/>
  <c r="EE384" i="25"/>
  <c r="EE385" i="25"/>
  <c r="EE383" i="25"/>
  <c r="EE254" i="25"/>
  <c r="EE258" i="25"/>
  <c r="EE316" i="25"/>
  <c r="EE324" i="25"/>
  <c r="EE342" i="25"/>
  <c r="EE279" i="25"/>
  <c r="EE283" i="25"/>
  <c r="EE287" i="25"/>
  <c r="EE288" i="25"/>
  <c r="EE289" i="25"/>
  <c r="EE293" i="25"/>
  <c r="EE295" i="25"/>
  <c r="EE304" i="25"/>
  <c r="EE307" i="25"/>
  <c r="EE308" i="25"/>
  <c r="EE309" i="25"/>
  <c r="EE314" i="25"/>
  <c r="EE315" i="25"/>
  <c r="EE319" i="25"/>
  <c r="EE320" i="25"/>
  <c r="EE328" i="25"/>
  <c r="EE278" i="25"/>
  <c r="EE301" i="25"/>
  <c r="EE329" i="25"/>
  <c r="EE280" i="25"/>
  <c r="EE310" i="25"/>
  <c r="EE306" i="25"/>
  <c r="EE330" i="25"/>
  <c r="EE312" i="25"/>
  <c r="EE313" i="25"/>
  <c r="EE331" i="25"/>
  <c r="EE318" i="25"/>
  <c r="EE290" i="25"/>
  <c r="EE292" i="25"/>
  <c r="EE317" i="25"/>
  <c r="EE321" i="25"/>
  <c r="EE303" i="25"/>
  <c r="EF337" i="25"/>
  <c r="EF340" i="25"/>
  <c r="EF374" i="25"/>
  <c r="EF386" i="25"/>
  <c r="EF387" i="25"/>
  <c r="EF388" i="25"/>
  <c r="EF259" i="25"/>
  <c r="EF332" i="25"/>
  <c r="EF277" i="25"/>
  <c r="EF210" i="25"/>
  <c r="EF281" i="25"/>
  <c r="EF362" i="25"/>
  <c r="EF256" i="25"/>
  <c r="EF389" i="25"/>
  <c r="EF208" i="25"/>
  <c r="EF211" i="25"/>
  <c r="EF207" i="25"/>
  <c r="EF242" i="25"/>
  <c r="EF243" i="25"/>
  <c r="EF285" i="25"/>
  <c r="EF261" i="25"/>
  <c r="EF263" i="25"/>
  <c r="EF264" i="25"/>
  <c r="EF212" i="25"/>
  <c r="EF269" i="25"/>
  <c r="EF224" i="25"/>
  <c r="EF225" i="25"/>
  <c r="EF344" i="25"/>
  <c r="EF347" i="25"/>
  <c r="EF351" i="25"/>
  <c r="EF357" i="25"/>
  <c r="EF358" i="25"/>
  <c r="EF282" i="25"/>
  <c r="EF359" i="25"/>
  <c r="EF333" i="25"/>
  <c r="EF360" i="25"/>
  <c r="EF361" i="25"/>
  <c r="EF226" i="25"/>
  <c r="EF266" i="25"/>
  <c r="EF236" i="25"/>
  <c r="EF238" i="25"/>
  <c r="EF363" i="25"/>
  <c r="EF246" i="25"/>
  <c r="EF248" i="25"/>
  <c r="EF400" i="25"/>
  <c r="EF401" i="25"/>
  <c r="EF209" i="25"/>
  <c r="EF296" i="25"/>
  <c r="EF286" i="25"/>
  <c r="EF368" i="25"/>
  <c r="EF294" i="25"/>
  <c r="EF297" i="25"/>
  <c r="EF298" i="25"/>
  <c r="EF299" i="25"/>
  <c r="EF343" i="25"/>
  <c r="EF365" i="25"/>
  <c r="EF214" i="25"/>
  <c r="EF215" i="25"/>
  <c r="EF276" i="25"/>
  <c r="EF219" i="25"/>
  <c r="EF229" i="25"/>
  <c r="EF216" i="25"/>
  <c r="EF217" i="25"/>
  <c r="EF218" i="25"/>
  <c r="EF213" i="25"/>
  <c r="EF336" i="25"/>
  <c r="EF227" i="25"/>
  <c r="EF345" i="25"/>
  <c r="EF220" i="25"/>
  <c r="EF262" i="25"/>
  <c r="EF300" i="25"/>
  <c r="EF245" i="25"/>
  <c r="EF302" i="25"/>
  <c r="EF390" i="25"/>
  <c r="EF391" i="25"/>
  <c r="EF366" i="25"/>
  <c r="EF339" i="25"/>
  <c r="EF392" i="25"/>
  <c r="EF393" i="25"/>
  <c r="EF305" i="25"/>
  <c r="EF395" i="25"/>
  <c r="EF291" i="25"/>
  <c r="EF394" i="25"/>
  <c r="EF311" i="25"/>
  <c r="EF272" i="25"/>
  <c r="EF346" i="25"/>
  <c r="EF348" i="25"/>
  <c r="EF402" i="25"/>
  <c r="EF396" i="25"/>
  <c r="EF403" i="25"/>
  <c r="EF399" i="25"/>
  <c r="EF222" i="25"/>
  <c r="EF253" i="25"/>
  <c r="EF241" i="25"/>
  <c r="EF367" i="25"/>
  <c r="EF255" i="25"/>
  <c r="EF267" i="25"/>
  <c r="EF265" i="25"/>
  <c r="EF369" i="25"/>
  <c r="EF228" i="25"/>
  <c r="EF235" i="25"/>
  <c r="EF397" i="25"/>
  <c r="EF230" i="25"/>
  <c r="EF249" i="25"/>
  <c r="EF273" i="25"/>
  <c r="EF251" i="25"/>
  <c r="EF231" i="25"/>
  <c r="EF398" i="25"/>
  <c r="EF252" i="25"/>
  <c r="EF232" i="25"/>
  <c r="EF284" i="25"/>
  <c r="EF221" i="25"/>
  <c r="EF234" i="25"/>
  <c r="EF237" i="25"/>
  <c r="EF370" i="25"/>
  <c r="EF244" i="25"/>
  <c r="EF325" i="25"/>
  <c r="EF250" i="25"/>
  <c r="EF233" i="25"/>
  <c r="EF326" i="25"/>
  <c r="EF327" i="25"/>
  <c r="EF335" i="25"/>
  <c r="EF349" i="25"/>
  <c r="EF338" i="25"/>
  <c r="EF239" i="25"/>
  <c r="EF356" i="25"/>
  <c r="EF240" i="25"/>
  <c r="EF364" i="25"/>
  <c r="EF322" i="25"/>
  <c r="EF323" i="25"/>
  <c r="EF378" i="25"/>
  <c r="EF260" i="25"/>
  <c r="EF334" i="25"/>
  <c r="EF353" i="25"/>
  <c r="EF247" i="25"/>
  <c r="EF380" i="25"/>
  <c r="EF352" i="25"/>
  <c r="EF274" i="25"/>
  <c r="EF223" i="25"/>
  <c r="EF268" i="25"/>
  <c r="EF270" i="25"/>
  <c r="EF275" i="25"/>
  <c r="EF371" i="25"/>
  <c r="EF350" i="25"/>
  <c r="EF354" i="25"/>
  <c r="EF271" i="25"/>
  <c r="EF373" i="25"/>
  <c r="EF372" i="25"/>
  <c r="EF379" i="25"/>
  <c r="EF355" i="25"/>
  <c r="EF375" i="25"/>
  <c r="EF376" i="25"/>
  <c r="EF377" i="25"/>
  <c r="EF341" i="25"/>
  <c r="EF381" i="25"/>
  <c r="EF382" i="25"/>
  <c r="EF384" i="25"/>
  <c r="EF385" i="25"/>
  <c r="EF383" i="25"/>
  <c r="EF254" i="25"/>
  <c r="EF258" i="25"/>
  <c r="EF316" i="25"/>
  <c r="EF324" i="25"/>
  <c r="EF342" i="25"/>
  <c r="EF279" i="25"/>
  <c r="EF283" i="25"/>
  <c r="EF287" i="25"/>
  <c r="EF288" i="25"/>
  <c r="EF289" i="25"/>
  <c r="EF293" i="25"/>
  <c r="EF295" i="25"/>
  <c r="EF304" i="25"/>
  <c r="EF307" i="25"/>
  <c r="EF308" i="25"/>
  <c r="EF309" i="25"/>
  <c r="EF314" i="25"/>
  <c r="EF315" i="25"/>
  <c r="EF319" i="25"/>
  <c r="EF320" i="25"/>
  <c r="EF328" i="25"/>
  <c r="EF278" i="25"/>
  <c r="EF301" i="25"/>
  <c r="EF329" i="25"/>
  <c r="EF280" i="25"/>
  <c r="EF310" i="25"/>
  <c r="EF306" i="25"/>
  <c r="EF330" i="25"/>
  <c r="EF312" i="25"/>
  <c r="EF313" i="25"/>
  <c r="EF331" i="25"/>
  <c r="EF318" i="25"/>
  <c r="EF290" i="25"/>
  <c r="EF292" i="25"/>
  <c r="EF317" i="25"/>
  <c r="EF321" i="25"/>
  <c r="EF303" i="25"/>
  <c r="EG337" i="25"/>
  <c r="EG340" i="25"/>
  <c r="EG374" i="25"/>
  <c r="EG386" i="25"/>
  <c r="EG387" i="25"/>
  <c r="EG388" i="25"/>
  <c r="EG259" i="25"/>
  <c r="EG332" i="25"/>
  <c r="EG277" i="25"/>
  <c r="EG210" i="25"/>
  <c r="EG281" i="25"/>
  <c r="EG362" i="25"/>
  <c r="EG256" i="25"/>
  <c r="EG389" i="25"/>
  <c r="EG208" i="25"/>
  <c r="EG211" i="25"/>
  <c r="EG207" i="25"/>
  <c r="EG242" i="25"/>
  <c r="EG243" i="25"/>
  <c r="EG285" i="25"/>
  <c r="EG261" i="25"/>
  <c r="EG263" i="25"/>
  <c r="EG264" i="25"/>
  <c r="EG212" i="25"/>
  <c r="EG269" i="25"/>
  <c r="EG224" i="25"/>
  <c r="EG225" i="25"/>
  <c r="EG344" i="25"/>
  <c r="EG347" i="25"/>
  <c r="EG351" i="25"/>
  <c r="EG357" i="25"/>
  <c r="EG358" i="25"/>
  <c r="EG282" i="25"/>
  <c r="EG359" i="25"/>
  <c r="EG333" i="25"/>
  <c r="EG360" i="25"/>
  <c r="EG361" i="25"/>
  <c r="EG226" i="25"/>
  <c r="EG266" i="25"/>
  <c r="EG236" i="25"/>
  <c r="EG238" i="25"/>
  <c r="EG363" i="25"/>
  <c r="EG246" i="25"/>
  <c r="EG248" i="25"/>
  <c r="EG400" i="25"/>
  <c r="EG401" i="25"/>
  <c r="EG209" i="25"/>
  <c r="EG296" i="25"/>
  <c r="EG286" i="25"/>
  <c r="EG368" i="25"/>
  <c r="EG294" i="25"/>
  <c r="EG297" i="25"/>
  <c r="EG298" i="25"/>
  <c r="EG299" i="25"/>
  <c r="EG343" i="25"/>
  <c r="EG365" i="25"/>
  <c r="EG214" i="25"/>
  <c r="EG215" i="25"/>
  <c r="EG276" i="25"/>
  <c r="EG219" i="25"/>
  <c r="EG229" i="25"/>
  <c r="EG216" i="25"/>
  <c r="EG217" i="25"/>
  <c r="EG218" i="25"/>
  <c r="EG213" i="25"/>
  <c r="EG336" i="25"/>
  <c r="EG227" i="25"/>
  <c r="EG345" i="25"/>
  <c r="EG220" i="25"/>
  <c r="EG262" i="25"/>
  <c r="EG300" i="25"/>
  <c r="EG245" i="25"/>
  <c r="EG302" i="25"/>
  <c r="EG390" i="25"/>
  <c r="EG391" i="25"/>
  <c r="EG366" i="25"/>
  <c r="EG339" i="25"/>
  <c r="EG392" i="25"/>
  <c r="EG393" i="25"/>
  <c r="EG305" i="25"/>
  <c r="EG395" i="25"/>
  <c r="EG291" i="25"/>
  <c r="EG394" i="25"/>
  <c r="EG311" i="25"/>
  <c r="EG272" i="25"/>
  <c r="EG346" i="25"/>
  <c r="EG348" i="25"/>
  <c r="EG402" i="25"/>
  <c r="EG396" i="25"/>
  <c r="EG403" i="25"/>
  <c r="EG399" i="25"/>
  <c r="EG222" i="25"/>
  <c r="EG253" i="25"/>
  <c r="EG241" i="25"/>
  <c r="EG367" i="25"/>
  <c r="EG255" i="25"/>
  <c r="EG267" i="25"/>
  <c r="EG265" i="25"/>
  <c r="EG369" i="25"/>
  <c r="EG228" i="25"/>
  <c r="EG235" i="25"/>
  <c r="EG397" i="25"/>
  <c r="EG230" i="25"/>
  <c r="EG249" i="25"/>
  <c r="EG273" i="25"/>
  <c r="EG251" i="25"/>
  <c r="EG231" i="25"/>
  <c r="EG398" i="25"/>
  <c r="EG252" i="25"/>
  <c r="EG232" i="25"/>
  <c r="EG284" i="25"/>
  <c r="EG221" i="25"/>
  <c r="EG234" i="25"/>
  <c r="EG237" i="25"/>
  <c r="EG370" i="25"/>
  <c r="EG244" i="25"/>
  <c r="EG325" i="25"/>
  <c r="EG250" i="25"/>
  <c r="EG233" i="25"/>
  <c r="EG326" i="25"/>
  <c r="EG327" i="25"/>
  <c r="EG335" i="25"/>
  <c r="EG349" i="25"/>
  <c r="EG338" i="25"/>
  <c r="EG239" i="25"/>
  <c r="EG356" i="25"/>
  <c r="EG240" i="25"/>
  <c r="EG364" i="25"/>
  <c r="EG322" i="25"/>
  <c r="EG323" i="25"/>
  <c r="EG378" i="25"/>
  <c r="EG260" i="25"/>
  <c r="EG334" i="25"/>
  <c r="EG353" i="25"/>
  <c r="EG247" i="25"/>
  <c r="EG380" i="25"/>
  <c r="EG352" i="25"/>
  <c r="EG274" i="25"/>
  <c r="EG223" i="25"/>
  <c r="EG268" i="25"/>
  <c r="EG270" i="25"/>
  <c r="EG275" i="25"/>
  <c r="EG371" i="25"/>
  <c r="EG350" i="25"/>
  <c r="EG354" i="25"/>
  <c r="EG271" i="25"/>
  <c r="EG373" i="25"/>
  <c r="EG372" i="25"/>
  <c r="EG379" i="25"/>
  <c r="EG355" i="25"/>
  <c r="EG375" i="25"/>
  <c r="EG376" i="25"/>
  <c r="EG377" i="25"/>
  <c r="EG341" i="25"/>
  <c r="EG381" i="25"/>
  <c r="EG382" i="25"/>
  <c r="EG384" i="25"/>
  <c r="EG385" i="25"/>
  <c r="EG383" i="25"/>
  <c r="EG254" i="25"/>
  <c r="EG258" i="25"/>
  <c r="EG316" i="25"/>
  <c r="EG324" i="25"/>
  <c r="EG342" i="25"/>
  <c r="EG279" i="25"/>
  <c r="EG283" i="25"/>
  <c r="EG287" i="25"/>
  <c r="EG288" i="25"/>
  <c r="EG289" i="25"/>
  <c r="EG293" i="25"/>
  <c r="EG295" i="25"/>
  <c r="EG304" i="25"/>
  <c r="EG307" i="25"/>
  <c r="EG308" i="25"/>
  <c r="EG309" i="25"/>
  <c r="EG314" i="25"/>
  <c r="EG315" i="25"/>
  <c r="EG319" i="25"/>
  <c r="EG320" i="25"/>
  <c r="EG328" i="25"/>
  <c r="EG278" i="25"/>
  <c r="EG301" i="25"/>
  <c r="EG329" i="25"/>
  <c r="EG280" i="25"/>
  <c r="EG310" i="25"/>
  <c r="EG306" i="25"/>
  <c r="EG330" i="25"/>
  <c r="EG312" i="25"/>
  <c r="EG313" i="25"/>
  <c r="EG331" i="25"/>
  <c r="EG318" i="25"/>
  <c r="EG290" i="25"/>
  <c r="EG292" i="25"/>
  <c r="EG317" i="25"/>
  <c r="EG321" i="25"/>
  <c r="EG303" i="25"/>
  <c r="EH337" i="25"/>
  <c r="EH340" i="25"/>
  <c r="EH374" i="25"/>
  <c r="EH386" i="25"/>
  <c r="EH387" i="25"/>
  <c r="EH388" i="25"/>
  <c r="EH259" i="25"/>
  <c r="EH332" i="25"/>
  <c r="EH277" i="25"/>
  <c r="EH210" i="25"/>
  <c r="EH281" i="25"/>
  <c r="EH362" i="25"/>
  <c r="EH256" i="25"/>
  <c r="EH389" i="25"/>
  <c r="EH208" i="25"/>
  <c r="EH211" i="25"/>
  <c r="EH207" i="25"/>
  <c r="EH242" i="25"/>
  <c r="EH243" i="25"/>
  <c r="EH285" i="25"/>
  <c r="EH261" i="25"/>
  <c r="EH263" i="25"/>
  <c r="EH264" i="25"/>
  <c r="EH212" i="25"/>
  <c r="EH269" i="25"/>
  <c r="EH224" i="25"/>
  <c r="EH225" i="25"/>
  <c r="EH344" i="25"/>
  <c r="EH347" i="25"/>
  <c r="EH351" i="25"/>
  <c r="EH357" i="25"/>
  <c r="EH358" i="25"/>
  <c r="EH282" i="25"/>
  <c r="EH359" i="25"/>
  <c r="EH333" i="25"/>
  <c r="EH360" i="25"/>
  <c r="EH361" i="25"/>
  <c r="EH226" i="25"/>
  <c r="EH266" i="25"/>
  <c r="EH236" i="25"/>
  <c r="EH238" i="25"/>
  <c r="EH363" i="25"/>
  <c r="EH246" i="25"/>
  <c r="EH248" i="25"/>
  <c r="EH400" i="25"/>
  <c r="EH401" i="25"/>
  <c r="EH209" i="25"/>
  <c r="EH296" i="25"/>
  <c r="EH286" i="25"/>
  <c r="EH368" i="25"/>
  <c r="EH294" i="25"/>
  <c r="EH297" i="25"/>
  <c r="EH298" i="25"/>
  <c r="EH299" i="25"/>
  <c r="EH343" i="25"/>
  <c r="EH365" i="25"/>
  <c r="EH214" i="25"/>
  <c r="EH215" i="25"/>
  <c r="EH276" i="25"/>
  <c r="EH219" i="25"/>
  <c r="EH229" i="25"/>
  <c r="EH216" i="25"/>
  <c r="EH217" i="25"/>
  <c r="EH218" i="25"/>
  <c r="EH213" i="25"/>
  <c r="EH336" i="25"/>
  <c r="EH227" i="25"/>
  <c r="EH345" i="25"/>
  <c r="EH220" i="25"/>
  <c r="EH262" i="25"/>
  <c r="EH300" i="25"/>
  <c r="EH245" i="25"/>
  <c r="EH302" i="25"/>
  <c r="EH390" i="25"/>
  <c r="EH391" i="25"/>
  <c r="EH366" i="25"/>
  <c r="EH339" i="25"/>
  <c r="EH392" i="25"/>
  <c r="EH393" i="25"/>
  <c r="EH305" i="25"/>
  <c r="EH395" i="25"/>
  <c r="EH291" i="25"/>
  <c r="EH394" i="25"/>
  <c r="EH311" i="25"/>
  <c r="EH272" i="25"/>
  <c r="EH346" i="25"/>
  <c r="EH348" i="25"/>
  <c r="EH402" i="25"/>
  <c r="EH396" i="25"/>
  <c r="EH403" i="25"/>
  <c r="EH399" i="25"/>
  <c r="EH222" i="25"/>
  <c r="EH253" i="25"/>
  <c r="EH241" i="25"/>
  <c r="EH367" i="25"/>
  <c r="EH255" i="25"/>
  <c r="EH267" i="25"/>
  <c r="EH265" i="25"/>
  <c r="EH369" i="25"/>
  <c r="EH228" i="25"/>
  <c r="EH235" i="25"/>
  <c r="EH397" i="25"/>
  <c r="EH230" i="25"/>
  <c r="EH249" i="25"/>
  <c r="EH273" i="25"/>
  <c r="EH251" i="25"/>
  <c r="EH231" i="25"/>
  <c r="EH398" i="25"/>
  <c r="EH252" i="25"/>
  <c r="EH232" i="25"/>
  <c r="EH284" i="25"/>
  <c r="EH221" i="25"/>
  <c r="EH234" i="25"/>
  <c r="EH237" i="25"/>
  <c r="EH370" i="25"/>
  <c r="EH244" i="25"/>
  <c r="EH325" i="25"/>
  <c r="EH250" i="25"/>
  <c r="EH233" i="25"/>
  <c r="EH326" i="25"/>
  <c r="EH327" i="25"/>
  <c r="EH335" i="25"/>
  <c r="EH349" i="25"/>
  <c r="EH338" i="25"/>
  <c r="EH239" i="25"/>
  <c r="EH356" i="25"/>
  <c r="EH240" i="25"/>
  <c r="EH364" i="25"/>
  <c r="EH322" i="25"/>
  <c r="EH323" i="25"/>
  <c r="EH378" i="25"/>
  <c r="EH260" i="25"/>
  <c r="EH334" i="25"/>
  <c r="EH353" i="25"/>
  <c r="EH247" i="25"/>
  <c r="EH380" i="25"/>
  <c r="EH352" i="25"/>
  <c r="EH274" i="25"/>
  <c r="EH223" i="25"/>
  <c r="EH268" i="25"/>
  <c r="EH270" i="25"/>
  <c r="EH275" i="25"/>
  <c r="EH371" i="25"/>
  <c r="EH350" i="25"/>
  <c r="EH354" i="25"/>
  <c r="EH271" i="25"/>
  <c r="EH373" i="25"/>
  <c r="EH372" i="25"/>
  <c r="EH379" i="25"/>
  <c r="EH355" i="25"/>
  <c r="EH375" i="25"/>
  <c r="EH376" i="25"/>
  <c r="EH377" i="25"/>
  <c r="EH341" i="25"/>
  <c r="EH381" i="25"/>
  <c r="EH382" i="25"/>
  <c r="EH384" i="25"/>
  <c r="EH385" i="25"/>
  <c r="EH383" i="25"/>
  <c r="EH254" i="25"/>
  <c r="EH258" i="25"/>
  <c r="EH316" i="25"/>
  <c r="EH324" i="25"/>
  <c r="EH342" i="25"/>
  <c r="EH279" i="25"/>
  <c r="EH283" i="25"/>
  <c r="EH287" i="25"/>
  <c r="EH288" i="25"/>
  <c r="EH289" i="25"/>
  <c r="EH293" i="25"/>
  <c r="EH295" i="25"/>
  <c r="EH304" i="25"/>
  <c r="EH307" i="25"/>
  <c r="EH308" i="25"/>
  <c r="EH309" i="25"/>
  <c r="EH314" i="25"/>
  <c r="EH315" i="25"/>
  <c r="EH319" i="25"/>
  <c r="EH320" i="25"/>
  <c r="EH328" i="25"/>
  <c r="EH278" i="25"/>
  <c r="EH301" i="25"/>
  <c r="EH329" i="25"/>
  <c r="EH280" i="25"/>
  <c r="EH310" i="25"/>
  <c r="EH306" i="25"/>
  <c r="EH330" i="25"/>
  <c r="EH312" i="25"/>
  <c r="EH313" i="25"/>
  <c r="EH331" i="25"/>
  <c r="EH318" i="25"/>
  <c r="EH290" i="25"/>
  <c r="EH292" i="25"/>
  <c r="EH317" i="25"/>
  <c r="EH321" i="25"/>
  <c r="EH303" i="25"/>
  <c r="H230" i="92"/>
  <c r="H231" i="92"/>
  <c r="H229" i="92"/>
  <c r="I226" i="92"/>
  <c r="L249" i="92"/>
  <c r="DB213" i="25" l="1"/>
  <c r="DX213" i="25" s="1"/>
  <c r="CB321" i="25"/>
  <c r="CB330" i="25"/>
  <c r="CB320" i="25"/>
  <c r="CB295" i="25"/>
  <c r="CB324" i="25"/>
  <c r="CB381" i="25"/>
  <c r="CB373" i="25"/>
  <c r="CB223" i="25"/>
  <c r="CB338" i="25"/>
  <c r="CB244" i="25"/>
  <c r="CB228" i="25"/>
  <c r="CB222" i="25"/>
  <c r="CB360" i="25"/>
  <c r="CB344" i="25"/>
  <c r="I231" i="92"/>
  <c r="CB317" i="25"/>
  <c r="CB293" i="25"/>
  <c r="CB316" i="25"/>
  <c r="CB341" i="25"/>
  <c r="CB271" i="25"/>
  <c r="CB274" i="25"/>
  <c r="CB378" i="25"/>
  <c r="CB349" i="25"/>
  <c r="CB370" i="25"/>
  <c r="CB231" i="25"/>
  <c r="CB369" i="25"/>
  <c r="CB399" i="25"/>
  <c r="CB394" i="25"/>
  <c r="CB243" i="25"/>
  <c r="CB281" i="25"/>
  <c r="CB374" i="25"/>
  <c r="CB292" i="25"/>
  <c r="CB310" i="25"/>
  <c r="CB315" i="25"/>
  <c r="CB289" i="25"/>
  <c r="CB258" i="25"/>
  <c r="CB377" i="25"/>
  <c r="CB354" i="25"/>
  <c r="CB352" i="25"/>
  <c r="CB323" i="25"/>
  <c r="CB251" i="25"/>
  <c r="CB265" i="25"/>
  <c r="CB403" i="25"/>
  <c r="CB336" i="25"/>
  <c r="CB215" i="25"/>
  <c r="CB363" i="25"/>
  <c r="CB359" i="25"/>
  <c r="CB224" i="25"/>
  <c r="CB242" i="25"/>
  <c r="CB210" i="25"/>
  <c r="CB390" i="25"/>
  <c r="CB398" i="25"/>
  <c r="CB311" i="25"/>
  <c r="CB366" i="25"/>
  <c r="CB345" i="25"/>
  <c r="CB248" i="25"/>
  <c r="CB340" i="25"/>
  <c r="DR365" i="25"/>
  <c r="DT375" i="25"/>
  <c r="DJ387" i="25"/>
  <c r="DK387" i="25" s="1"/>
  <c r="DL387" i="25" s="1"/>
  <c r="DM387" i="25" s="1"/>
  <c r="CB285" i="25"/>
  <c r="CI307" i="25"/>
  <c r="CK307" i="25" s="1"/>
  <c r="CL307" i="25" s="1"/>
  <c r="CP307" i="25" s="1"/>
  <c r="CQ307" i="25" s="1"/>
  <c r="CT307" i="25" s="1"/>
  <c r="CI217" i="25"/>
  <c r="CK217" i="25" s="1"/>
  <c r="CB372" i="25"/>
  <c r="CB268" i="25"/>
  <c r="CB260" i="25"/>
  <c r="CB239" i="25"/>
  <c r="CB325" i="25"/>
  <c r="CB252" i="25"/>
  <c r="CB235" i="25"/>
  <c r="CB253" i="25"/>
  <c r="CB272" i="25"/>
  <c r="CB339" i="25"/>
  <c r="CB220" i="25"/>
  <c r="CB229" i="25"/>
  <c r="CB298" i="25"/>
  <c r="CB400" i="25"/>
  <c r="CB361" i="25"/>
  <c r="CB261" i="25"/>
  <c r="CB256" i="25"/>
  <c r="CB387" i="25"/>
  <c r="CB362" i="25"/>
  <c r="CB386" i="25"/>
  <c r="DT327" i="25"/>
  <c r="DR359" i="25"/>
  <c r="DT238" i="25"/>
  <c r="DJ355" i="25"/>
  <c r="DK355" i="25" s="1"/>
  <c r="DL355" i="25" s="1"/>
  <c r="DM355" i="25" s="1"/>
  <c r="DJ240" i="25"/>
  <c r="DK240" i="25" s="1"/>
  <c r="DL240" i="25" s="1"/>
  <c r="DM240" i="25" s="1"/>
  <c r="DJ209" i="25"/>
  <c r="DK209" i="25" s="1"/>
  <c r="DL209" i="25" s="1"/>
  <c r="DM209" i="25" s="1"/>
  <c r="DJ266" i="25"/>
  <c r="DK266" i="25" s="1"/>
  <c r="DL266" i="25" s="1"/>
  <c r="DM266" i="25" s="1"/>
  <c r="DJ357" i="25"/>
  <c r="DK357" i="25" s="1"/>
  <c r="DL357" i="25" s="1"/>
  <c r="DM357" i="25" s="1"/>
  <c r="DJ264" i="25"/>
  <c r="DK264" i="25" s="1"/>
  <c r="DL264" i="25" s="1"/>
  <c r="DM264" i="25" s="1"/>
  <c r="DJ208" i="25"/>
  <c r="DK208" i="25" s="1"/>
  <c r="DL208" i="25" s="1"/>
  <c r="DM208" i="25" s="1"/>
  <c r="DJ259" i="25"/>
  <c r="DK259" i="25" s="1"/>
  <c r="DL259" i="25" s="1"/>
  <c r="DM259" i="25" s="1"/>
  <c r="CJ217" i="25"/>
  <c r="DJ361" i="25"/>
  <c r="DK361" i="25" s="1"/>
  <c r="DL361" i="25" s="1"/>
  <c r="DM361" i="25" s="1"/>
  <c r="DJ294" i="25"/>
  <c r="DK294" i="25" s="1"/>
  <c r="DL294" i="25" s="1"/>
  <c r="DM294" i="25" s="1"/>
  <c r="DJ333" i="25"/>
  <c r="DK333" i="25" s="1"/>
  <c r="DL333" i="25" s="1"/>
  <c r="DM333" i="25" s="1"/>
  <c r="DJ243" i="25"/>
  <c r="DK243" i="25" s="1"/>
  <c r="DL243" i="25" s="1"/>
  <c r="DM243" i="25" s="1"/>
  <c r="CJ395" i="25"/>
  <c r="DJ282" i="25"/>
  <c r="DK282" i="25" s="1"/>
  <c r="DL282" i="25" s="1"/>
  <c r="DM282" i="25" s="1"/>
  <c r="CB347" i="25"/>
  <c r="DR234" i="25"/>
  <c r="DR236" i="25"/>
  <c r="DJ344" i="25"/>
  <c r="DK344" i="25" s="1"/>
  <c r="DL344" i="25" s="1"/>
  <c r="DM344" i="25" s="1"/>
  <c r="DJ362" i="25"/>
  <c r="DK362" i="25" s="1"/>
  <c r="DL362" i="25" s="1"/>
  <c r="DM362" i="25" s="1"/>
  <c r="CB208" i="25"/>
  <c r="CB259" i="25"/>
  <c r="CI274" i="25"/>
  <c r="CK274" i="25" s="1"/>
  <c r="CB263" i="25"/>
  <c r="CB389" i="25"/>
  <c r="CB388" i="25"/>
  <c r="DR212" i="25"/>
  <c r="DJ272" i="25"/>
  <c r="DK272" i="25" s="1"/>
  <c r="DL272" i="25" s="1"/>
  <c r="DM272" i="25" s="1"/>
  <c r="DJ298" i="25"/>
  <c r="DK298" i="25" s="1"/>
  <c r="DL298" i="25" s="1"/>
  <c r="DM298" i="25" s="1"/>
  <c r="DJ261" i="25"/>
  <c r="DK261" i="25" s="1"/>
  <c r="DL261" i="25" s="1"/>
  <c r="DM261" i="25" s="1"/>
  <c r="DJ256" i="25"/>
  <c r="DK256" i="25" s="1"/>
  <c r="DL256" i="25" s="1"/>
  <c r="DM256" i="25" s="1"/>
  <c r="DJ210" i="25"/>
  <c r="DK210" i="25" s="1"/>
  <c r="DL210" i="25" s="1"/>
  <c r="DM210" i="25" s="1"/>
  <c r="CB375" i="25"/>
  <c r="CB247" i="25"/>
  <c r="CB364" i="25"/>
  <c r="CB326" i="25"/>
  <c r="CB255" i="25"/>
  <c r="CB402" i="25"/>
  <c r="DR242" i="25"/>
  <c r="DR245" i="25"/>
  <c r="DR332" i="25"/>
  <c r="CJ279" i="25"/>
  <c r="CI384" i="25"/>
  <c r="CK384" i="25" s="1"/>
  <c r="CL384" i="25" s="1"/>
  <c r="CP384" i="25" s="1"/>
  <c r="CQ384" i="25" s="1"/>
  <c r="CT384" i="25" s="1"/>
  <c r="CJ356" i="25"/>
  <c r="CI383" i="25"/>
  <c r="CK383" i="25" s="1"/>
  <c r="CJ371" i="25"/>
  <c r="CJ364" i="25"/>
  <c r="CI326" i="25"/>
  <c r="CK326" i="25" s="1"/>
  <c r="CJ236" i="25"/>
  <c r="CJ212" i="25"/>
  <c r="CI211" i="25"/>
  <c r="CK211" i="25" s="1"/>
  <c r="CJ312" i="25"/>
  <c r="CI328" i="25"/>
  <c r="CK328" i="25" s="1"/>
  <c r="CJ304" i="25"/>
  <c r="CI310" i="25"/>
  <c r="CK310" i="25" s="1"/>
  <c r="CI289" i="25"/>
  <c r="CK289" i="25" s="1"/>
  <c r="DR336" i="25"/>
  <c r="DR340" i="25"/>
  <c r="CI331" i="25"/>
  <c r="CK331" i="25" s="1"/>
  <c r="CI230" i="25"/>
  <c r="CK230" i="25" s="1"/>
  <c r="CL230" i="25" s="1"/>
  <c r="CP230" i="25" s="1"/>
  <c r="CQ230" i="25" s="1"/>
  <c r="CT230" i="25" s="1"/>
  <c r="CI395" i="25"/>
  <c r="CK395" i="25" s="1"/>
  <c r="CJ207" i="25"/>
  <c r="DR219" i="25"/>
  <c r="DJ350" i="25"/>
  <c r="DK350" i="25" s="1"/>
  <c r="DL350" i="25" s="1"/>
  <c r="DM350" i="25" s="1"/>
  <c r="DJ322" i="25"/>
  <c r="DK322" i="25" s="1"/>
  <c r="DL322" i="25" s="1"/>
  <c r="DM322" i="25" s="1"/>
  <c r="DJ286" i="25"/>
  <c r="DK286" i="25" s="1"/>
  <c r="DL286" i="25" s="1"/>
  <c r="DM286" i="25" s="1"/>
  <c r="DT256" i="25"/>
  <c r="CJ230" i="25"/>
  <c r="CJ331" i="25"/>
  <c r="CI301" i="25"/>
  <c r="CK301" i="25" s="1"/>
  <c r="CJ308" i="25"/>
  <c r="CI283" i="25"/>
  <c r="CK283" i="25" s="1"/>
  <c r="CL283" i="25" s="1"/>
  <c r="CP283" i="25" s="1"/>
  <c r="CQ283" i="25" s="1"/>
  <c r="CT283" i="25" s="1"/>
  <c r="CJ385" i="25"/>
  <c r="CJ355" i="25"/>
  <c r="CI275" i="25"/>
  <c r="CK275" i="25" s="1"/>
  <c r="CJ353" i="25"/>
  <c r="CI240" i="25"/>
  <c r="CK240" i="25" s="1"/>
  <c r="CJ233" i="25"/>
  <c r="CJ284" i="25"/>
  <c r="CI367" i="25"/>
  <c r="CK367" i="25" s="1"/>
  <c r="CL367" i="25" s="1"/>
  <c r="CP367" i="25" s="1"/>
  <c r="CQ367" i="25" s="1"/>
  <c r="CT367" i="25" s="1"/>
  <c r="CI348" i="25"/>
  <c r="CK348" i="25" s="1"/>
  <c r="CI393" i="25"/>
  <c r="CI300" i="25"/>
  <c r="CK300" i="25" s="1"/>
  <c r="CI343" i="25"/>
  <c r="CK343" i="25" s="1"/>
  <c r="CI209" i="25"/>
  <c r="CK209" i="25" s="1"/>
  <c r="CI266" i="25"/>
  <c r="CK266" i="25" s="1"/>
  <c r="CI357" i="25"/>
  <c r="CK357" i="25" s="1"/>
  <c r="CI264" i="25"/>
  <c r="CK264" i="25" s="1"/>
  <c r="CJ208" i="25"/>
  <c r="CJ259" i="25"/>
  <c r="CI302" i="25"/>
  <c r="CK302" i="25" s="1"/>
  <c r="CI213" i="25"/>
  <c r="CK213" i="25" s="1"/>
  <c r="CI214" i="25"/>
  <c r="CK214" i="25" s="1"/>
  <c r="CI286" i="25"/>
  <c r="CK286" i="25" s="1"/>
  <c r="CL286" i="25" s="1"/>
  <c r="CP286" i="25" s="1"/>
  <c r="CQ286" i="25" s="1"/>
  <c r="CT286" i="25" s="1"/>
  <c r="CI238" i="25"/>
  <c r="CK238" i="25" s="1"/>
  <c r="CI282" i="25"/>
  <c r="CK282" i="25" s="1"/>
  <c r="CI269" i="25"/>
  <c r="CK269" i="25" s="1"/>
  <c r="CI207" i="25"/>
  <c r="CJ277" i="25"/>
  <c r="CJ337" i="25"/>
  <c r="CI313" i="25"/>
  <c r="CK313" i="25" s="1"/>
  <c r="CL313" i="25" s="1"/>
  <c r="CP313" i="25" s="1"/>
  <c r="CQ313" i="25" s="1"/>
  <c r="CT313" i="25" s="1"/>
  <c r="CI278" i="25"/>
  <c r="CK278" i="25" s="1"/>
  <c r="CJ307" i="25"/>
  <c r="CI279" i="25"/>
  <c r="CK279" i="25" s="1"/>
  <c r="CL279" i="25" s="1"/>
  <c r="CP279" i="25" s="1"/>
  <c r="CQ279" i="25" s="1"/>
  <c r="CT279" i="25" s="1"/>
  <c r="CJ384" i="25"/>
  <c r="CI379" i="25"/>
  <c r="CJ270" i="25"/>
  <c r="CJ334" i="25"/>
  <c r="CI356" i="25"/>
  <c r="CK356" i="25" s="1"/>
  <c r="CJ250" i="25"/>
  <c r="CJ232" i="25"/>
  <c r="CI397" i="25"/>
  <c r="CK397" i="25" s="1"/>
  <c r="CI241" i="25"/>
  <c r="CK241" i="25" s="1"/>
  <c r="CL241" i="25" s="1"/>
  <c r="CP241" i="25" s="1"/>
  <c r="CQ241" i="25" s="1"/>
  <c r="CT241" i="25" s="1"/>
  <c r="CI346" i="25"/>
  <c r="CI341" i="25"/>
  <c r="CK341" i="25" s="1"/>
  <c r="CI349" i="25"/>
  <c r="CK349" i="25" s="1"/>
  <c r="CI231" i="25"/>
  <c r="CK231" i="25" s="1"/>
  <c r="CI236" i="25"/>
  <c r="CK236" i="25" s="1"/>
  <c r="DJ337" i="25"/>
  <c r="DK337" i="25" s="1"/>
  <c r="DL337" i="25" s="1"/>
  <c r="DM337" i="25" s="1"/>
  <c r="CI212" i="25"/>
  <c r="CK212" i="25" s="1"/>
  <c r="DT378" i="25"/>
  <c r="CB262" i="25"/>
  <c r="CB216" i="25"/>
  <c r="CB299" i="25"/>
  <c r="CB401" i="25"/>
  <c r="CB226" i="25"/>
  <c r="CB351" i="25"/>
  <c r="CJ383" i="25"/>
  <c r="CJ375" i="25"/>
  <c r="CI371" i="25"/>
  <c r="CJ247" i="25"/>
  <c r="CI364" i="25"/>
  <c r="CK364" i="25" s="1"/>
  <c r="CJ326" i="25"/>
  <c r="CJ221" i="25"/>
  <c r="CI249" i="25"/>
  <c r="CK249" i="25" s="1"/>
  <c r="CL249" i="25" s="1"/>
  <c r="CP249" i="25" s="1"/>
  <c r="CQ249" i="25" s="1"/>
  <c r="CT249" i="25" s="1"/>
  <c r="CI255" i="25"/>
  <c r="CK255" i="25" s="1"/>
  <c r="CI402" i="25"/>
  <c r="CK402" i="25" s="1"/>
  <c r="CI305" i="25"/>
  <c r="CI245" i="25"/>
  <c r="CK245" i="25" s="1"/>
  <c r="CI218" i="25"/>
  <c r="CK218" i="25" s="1"/>
  <c r="CI365" i="25"/>
  <c r="CK365" i="25" s="1"/>
  <c r="CI296" i="25"/>
  <c r="CK296" i="25" s="1"/>
  <c r="CI358" i="25"/>
  <c r="CK358" i="25" s="1"/>
  <c r="CJ211" i="25"/>
  <c r="CJ332" i="25"/>
  <c r="CJ303" i="25"/>
  <c r="CI312" i="25"/>
  <c r="CK312" i="25" s="1"/>
  <c r="CJ328" i="25"/>
  <c r="CI304" i="25"/>
  <c r="CK304" i="25" s="1"/>
  <c r="CI342" i="25"/>
  <c r="CK342" i="25" s="1"/>
  <c r="DR230" i="25"/>
  <c r="DT292" i="25"/>
  <c r="DR216" i="25"/>
  <c r="DR363" i="25"/>
  <c r="DR263" i="25"/>
  <c r="DJ309" i="25"/>
  <c r="DK309" i="25" s="1"/>
  <c r="DL309" i="25" s="1"/>
  <c r="DM309" i="25" s="1"/>
  <c r="CJ313" i="25"/>
  <c r="CJ283" i="25"/>
  <c r="CJ379" i="25"/>
  <c r="CJ240" i="25"/>
  <c r="CJ249" i="25"/>
  <c r="CJ346" i="25"/>
  <c r="CJ218" i="25"/>
  <c r="CJ238" i="25"/>
  <c r="CJ264" i="25"/>
  <c r="CI303" i="25"/>
  <c r="CK303" i="25" s="1"/>
  <c r="CI308" i="25"/>
  <c r="CK308" i="25" s="1"/>
  <c r="CL308" i="25" s="1"/>
  <c r="CP308" i="25" s="1"/>
  <c r="CQ308" i="25" s="1"/>
  <c r="CT308" i="25" s="1"/>
  <c r="CI385" i="25"/>
  <c r="CK385" i="25" s="1"/>
  <c r="CL385" i="25" s="1"/>
  <c r="CP385" i="25" s="1"/>
  <c r="CQ385" i="25" s="1"/>
  <c r="CT385" i="25" s="1"/>
  <c r="CI270" i="25"/>
  <c r="CK270" i="25" s="1"/>
  <c r="DR215" i="25"/>
  <c r="DR226" i="25"/>
  <c r="DR389" i="25"/>
  <c r="DJ313" i="25"/>
  <c r="DK313" i="25" s="1"/>
  <c r="DL313" i="25" s="1"/>
  <c r="DM313" i="25" s="1"/>
  <c r="DJ278" i="25"/>
  <c r="DK278" i="25" s="1"/>
  <c r="DL278" i="25" s="1"/>
  <c r="DM278" i="25" s="1"/>
  <c r="DJ299" i="25"/>
  <c r="DK299" i="25" s="1"/>
  <c r="DL299" i="25" s="1"/>
  <c r="DM299" i="25" s="1"/>
  <c r="DJ401" i="25"/>
  <c r="DK401" i="25" s="1"/>
  <c r="DL401" i="25" s="1"/>
  <c r="DM401" i="25" s="1"/>
  <c r="DJ226" i="25"/>
  <c r="DK226" i="25" s="1"/>
  <c r="DL226" i="25" s="1"/>
  <c r="DM226" i="25" s="1"/>
  <c r="DJ351" i="25"/>
  <c r="DK351" i="25" s="1"/>
  <c r="DL351" i="25" s="1"/>
  <c r="DM351" i="25" s="1"/>
  <c r="DJ263" i="25"/>
  <c r="DK263" i="25" s="1"/>
  <c r="DL263" i="25" s="1"/>
  <c r="DM263" i="25" s="1"/>
  <c r="DJ389" i="25"/>
  <c r="DK389" i="25" s="1"/>
  <c r="DL389" i="25" s="1"/>
  <c r="DM389" i="25" s="1"/>
  <c r="DJ388" i="25"/>
  <c r="DK388" i="25" s="1"/>
  <c r="DL388" i="25" s="1"/>
  <c r="DM388" i="25" s="1"/>
  <c r="CJ301" i="25"/>
  <c r="CJ342" i="25"/>
  <c r="CJ275" i="25"/>
  <c r="CJ397" i="25"/>
  <c r="CJ305" i="25"/>
  <c r="CJ214" i="25"/>
  <c r="CJ266" i="25"/>
  <c r="CI247" i="25"/>
  <c r="CK247" i="25" s="1"/>
  <c r="CI233" i="25"/>
  <c r="CK233" i="25" s="1"/>
  <c r="CI208" i="25"/>
  <c r="CK208" i="25" s="1"/>
  <c r="CB280" i="25"/>
  <c r="CB288" i="25"/>
  <c r="CB395" i="25"/>
  <c r="CB302" i="25"/>
  <c r="CB286" i="25"/>
  <c r="CB207" i="25"/>
  <c r="CB277" i="25"/>
  <c r="CB337" i="25"/>
  <c r="DR362" i="25"/>
  <c r="CJ278" i="25"/>
  <c r="CJ255" i="25"/>
  <c r="CJ393" i="25"/>
  <c r="CJ365" i="25"/>
  <c r="CJ282" i="25"/>
  <c r="CI375" i="25"/>
  <c r="CK375" i="25" s="1"/>
  <c r="CI353" i="25"/>
  <c r="CK353" i="25" s="1"/>
  <c r="CI250" i="25"/>
  <c r="CK250" i="25" s="1"/>
  <c r="CI277" i="25"/>
  <c r="CK277" i="25" s="1"/>
  <c r="DR299" i="25"/>
  <c r="DR351" i="25"/>
  <c r="DR210" i="25"/>
  <c r="CJ367" i="25"/>
  <c r="CJ302" i="25"/>
  <c r="CJ343" i="25"/>
  <c r="CJ358" i="25"/>
  <c r="CI355" i="25"/>
  <c r="CK355" i="25" s="1"/>
  <c r="CI334" i="25"/>
  <c r="CK334" i="25" s="1"/>
  <c r="CI221" i="25"/>
  <c r="CK221" i="25" s="1"/>
  <c r="CL221" i="25" s="1"/>
  <c r="CP221" i="25" s="1"/>
  <c r="CQ221" i="25" s="1"/>
  <c r="CT221" i="25" s="1"/>
  <c r="CI332" i="25"/>
  <c r="CK332" i="25" s="1"/>
  <c r="CB331" i="25"/>
  <c r="CB308" i="25"/>
  <c r="CB283" i="25"/>
  <c r="CB300" i="25"/>
  <c r="CB217" i="25"/>
  <c r="CB343" i="25"/>
  <c r="DR368" i="25"/>
  <c r="DR344" i="25"/>
  <c r="DJ271" i="25"/>
  <c r="DK271" i="25" s="1"/>
  <c r="DL271" i="25" s="1"/>
  <c r="DM271" i="25" s="1"/>
  <c r="DJ274" i="25"/>
  <c r="DK274" i="25" s="1"/>
  <c r="DL274" i="25" s="1"/>
  <c r="DM274" i="25" s="1"/>
  <c r="DJ378" i="25"/>
  <c r="DK378" i="25" s="1"/>
  <c r="DL378" i="25" s="1"/>
  <c r="DM378" i="25" s="1"/>
  <c r="DJ349" i="25"/>
  <c r="DK349" i="25" s="1"/>
  <c r="DL349" i="25" s="1"/>
  <c r="DM349" i="25" s="1"/>
  <c r="DJ370" i="25"/>
  <c r="DK370" i="25" s="1"/>
  <c r="DL370" i="25" s="1"/>
  <c r="DM370" i="25" s="1"/>
  <c r="DJ231" i="25"/>
  <c r="DK231" i="25" s="1"/>
  <c r="DL231" i="25" s="1"/>
  <c r="DM231" i="25" s="1"/>
  <c r="DJ369" i="25"/>
  <c r="DK369" i="25" s="1"/>
  <c r="DL369" i="25" s="1"/>
  <c r="DM369" i="25" s="1"/>
  <c r="DJ394" i="25"/>
  <c r="DK394" i="25" s="1"/>
  <c r="DL394" i="25" s="1"/>
  <c r="DM394" i="25" s="1"/>
  <c r="DJ246" i="25"/>
  <c r="DK246" i="25" s="1"/>
  <c r="DL246" i="25" s="1"/>
  <c r="DM246" i="25" s="1"/>
  <c r="DJ225" i="25"/>
  <c r="DK225" i="25" s="1"/>
  <c r="DL225" i="25" s="1"/>
  <c r="DM225" i="25" s="1"/>
  <c r="DJ281" i="25"/>
  <c r="DK281" i="25" s="1"/>
  <c r="DL281" i="25" s="1"/>
  <c r="DM281" i="25" s="1"/>
  <c r="DJ374" i="25"/>
  <c r="DK374" i="25" s="1"/>
  <c r="DL374" i="25" s="1"/>
  <c r="DM374" i="25" s="1"/>
  <c r="CJ241" i="25"/>
  <c r="CJ245" i="25"/>
  <c r="CJ286" i="25"/>
  <c r="CJ357" i="25"/>
  <c r="CI284" i="25"/>
  <c r="CK284" i="25" s="1"/>
  <c r="CI259" i="25"/>
  <c r="CK259" i="25" s="1"/>
  <c r="DR262" i="25"/>
  <c r="DR401" i="25"/>
  <c r="DR224" i="25"/>
  <c r="DR388" i="25"/>
  <c r="DJ315" i="25"/>
  <c r="DK315" i="25" s="1"/>
  <c r="DL315" i="25" s="1"/>
  <c r="DM315" i="25" s="1"/>
  <c r="DJ258" i="25"/>
  <c r="DK258" i="25" s="1"/>
  <c r="DL258" i="25" s="1"/>
  <c r="DM258" i="25" s="1"/>
  <c r="DJ335" i="25"/>
  <c r="DK335" i="25" s="1"/>
  <c r="DL335" i="25" s="1"/>
  <c r="DM335" i="25" s="1"/>
  <c r="DJ237" i="25"/>
  <c r="DK237" i="25" s="1"/>
  <c r="DL237" i="25" s="1"/>
  <c r="DM237" i="25" s="1"/>
  <c r="DJ251" i="25"/>
  <c r="DK251" i="25" s="1"/>
  <c r="DL251" i="25" s="1"/>
  <c r="DM251" i="25" s="1"/>
  <c r="DJ403" i="25"/>
  <c r="DK403" i="25" s="1"/>
  <c r="DL403" i="25" s="1"/>
  <c r="DM403" i="25" s="1"/>
  <c r="DJ368" i="25"/>
  <c r="DK368" i="25" s="1"/>
  <c r="DL368" i="25" s="1"/>
  <c r="DM368" i="25" s="1"/>
  <c r="DJ363" i="25"/>
  <c r="DK363" i="25" s="1"/>
  <c r="DL363" i="25" s="1"/>
  <c r="DM363" i="25" s="1"/>
  <c r="DJ224" i="25"/>
  <c r="DK224" i="25" s="1"/>
  <c r="DL224" i="25" s="1"/>
  <c r="DM224" i="25" s="1"/>
  <c r="CJ402" i="25"/>
  <c r="CJ300" i="25"/>
  <c r="CJ296" i="25"/>
  <c r="CJ269" i="25"/>
  <c r="CI232" i="25"/>
  <c r="CK232" i="25" s="1"/>
  <c r="DR248" i="25"/>
  <c r="CJ348" i="25"/>
  <c r="CJ213" i="25"/>
  <c r="CJ209" i="25"/>
  <c r="DR329" i="25"/>
  <c r="DJ400" i="25"/>
  <c r="DK400" i="25" s="1"/>
  <c r="DL400" i="25" s="1"/>
  <c r="DM400" i="25" s="1"/>
  <c r="DJ347" i="25"/>
  <c r="DK347" i="25" s="1"/>
  <c r="DL347" i="25" s="1"/>
  <c r="DM347" i="25" s="1"/>
  <c r="CB211" i="25"/>
  <c r="CB332" i="25"/>
  <c r="DT287" i="25"/>
  <c r="DJ345" i="25"/>
  <c r="DK345" i="25" s="1"/>
  <c r="DL345" i="25" s="1"/>
  <c r="DM345" i="25" s="1"/>
  <c r="DJ219" i="25"/>
  <c r="DK219" i="25" s="1"/>
  <c r="DL219" i="25" s="1"/>
  <c r="DM219" i="25" s="1"/>
  <c r="DJ297" i="25"/>
  <c r="DK297" i="25" s="1"/>
  <c r="DL297" i="25" s="1"/>
  <c r="DM297" i="25" s="1"/>
  <c r="DJ248" i="25"/>
  <c r="DK248" i="25" s="1"/>
  <c r="DL248" i="25" s="1"/>
  <c r="DM248" i="25" s="1"/>
  <c r="DJ360" i="25"/>
  <c r="DK360" i="25" s="1"/>
  <c r="DL360" i="25" s="1"/>
  <c r="DM360" i="25" s="1"/>
  <c r="DJ285" i="25"/>
  <c r="DK285" i="25" s="1"/>
  <c r="DL285" i="25" s="1"/>
  <c r="DM285" i="25" s="1"/>
  <c r="DJ386" i="25"/>
  <c r="DK386" i="25" s="1"/>
  <c r="DL386" i="25" s="1"/>
  <c r="DM386" i="25" s="1"/>
  <c r="DJ359" i="25"/>
  <c r="DK359" i="25" s="1"/>
  <c r="DL359" i="25" s="1"/>
  <c r="DM359" i="25" s="1"/>
  <c r="DJ242" i="25"/>
  <c r="DK242" i="25" s="1"/>
  <c r="DL242" i="25" s="1"/>
  <c r="DM242" i="25" s="1"/>
  <c r="DJ340" i="25"/>
  <c r="DK340" i="25" s="1"/>
  <c r="DL340" i="25" s="1"/>
  <c r="DM340" i="25" s="1"/>
  <c r="CI339" i="25"/>
  <c r="CK339" i="25" s="1"/>
  <c r="CI220" i="25"/>
  <c r="CK220" i="25" s="1"/>
  <c r="CI229" i="25"/>
  <c r="CK229" i="25" s="1"/>
  <c r="CI298" i="25"/>
  <c r="CK298" i="25" s="1"/>
  <c r="CI400" i="25"/>
  <c r="CK400" i="25" s="1"/>
  <c r="CI361" i="25"/>
  <c r="CK361" i="25" s="1"/>
  <c r="CI347" i="25"/>
  <c r="CK347" i="25" s="1"/>
  <c r="CI261" i="25"/>
  <c r="CK261" i="25" s="1"/>
  <c r="CI256" i="25"/>
  <c r="CK256" i="25" s="1"/>
  <c r="CI387" i="25"/>
  <c r="CK387" i="25" s="1"/>
  <c r="CJ292" i="25"/>
  <c r="CJ310" i="25"/>
  <c r="CJ315" i="25"/>
  <c r="CJ289" i="25"/>
  <c r="CJ258" i="25"/>
  <c r="CJ341" i="25"/>
  <c r="CJ271" i="25"/>
  <c r="CJ274" i="25"/>
  <c r="CJ378" i="25"/>
  <c r="CJ349" i="25"/>
  <c r="CJ370" i="25"/>
  <c r="CJ231" i="25"/>
  <c r="DJ238" i="25"/>
  <c r="DK238" i="25" s="1"/>
  <c r="DL238" i="25" s="1"/>
  <c r="DM238" i="25" s="1"/>
  <c r="DJ269" i="25"/>
  <c r="DK269" i="25" s="1"/>
  <c r="DL269" i="25" s="1"/>
  <c r="DM269" i="25" s="1"/>
  <c r="DJ207" i="25"/>
  <c r="DK207" i="25" s="1"/>
  <c r="DL207" i="25" s="1"/>
  <c r="DM207" i="25" s="1"/>
  <c r="DJ277" i="25"/>
  <c r="DK277" i="25" s="1"/>
  <c r="DL277" i="25" s="1"/>
  <c r="DM277" i="25" s="1"/>
  <c r="CI317" i="25"/>
  <c r="CK317" i="25" s="1"/>
  <c r="CL317" i="25" s="1"/>
  <c r="CP317" i="25" s="1"/>
  <c r="CQ317" i="25" s="1"/>
  <c r="CT317" i="25" s="1"/>
  <c r="CI306" i="25"/>
  <c r="CK306" i="25" s="1"/>
  <c r="CL306" i="25" s="1"/>
  <c r="CP306" i="25" s="1"/>
  <c r="CQ306" i="25" s="1"/>
  <c r="CT306" i="25" s="1"/>
  <c r="CI319" i="25"/>
  <c r="CK319" i="25" s="1"/>
  <c r="CL319" i="25" s="1"/>
  <c r="CP319" i="25" s="1"/>
  <c r="CQ319" i="25" s="1"/>
  <c r="CT319" i="25" s="1"/>
  <c r="CI293" i="25"/>
  <c r="CI316" i="25"/>
  <c r="CK316" i="25" s="1"/>
  <c r="CL316" i="25" s="1"/>
  <c r="CP316" i="25" s="1"/>
  <c r="CQ316" i="25" s="1"/>
  <c r="CT316" i="25" s="1"/>
  <c r="CI381" i="25"/>
  <c r="CK381" i="25" s="1"/>
  <c r="CL381" i="25" s="1"/>
  <c r="CP381" i="25" s="1"/>
  <c r="CQ381" i="25" s="1"/>
  <c r="CT381" i="25" s="1"/>
  <c r="CI373" i="25"/>
  <c r="CK373" i="25" s="1"/>
  <c r="CL373" i="25" s="1"/>
  <c r="CP373" i="25" s="1"/>
  <c r="CQ373" i="25" s="1"/>
  <c r="CT373" i="25" s="1"/>
  <c r="CI223" i="25"/>
  <c r="CK223" i="25" s="1"/>
  <c r="CL223" i="25" s="1"/>
  <c r="CP223" i="25" s="1"/>
  <c r="CQ223" i="25" s="1"/>
  <c r="CT223" i="25" s="1"/>
  <c r="CI338" i="25"/>
  <c r="CK338" i="25" s="1"/>
  <c r="CI244" i="25"/>
  <c r="CK244" i="25" s="1"/>
  <c r="CI398" i="25"/>
  <c r="CK398" i="25" s="1"/>
  <c r="CI228" i="25"/>
  <c r="CK228" i="25" s="1"/>
  <c r="CI222" i="25"/>
  <c r="CK222" i="25" s="1"/>
  <c r="DR345" i="25"/>
  <c r="DR297" i="25"/>
  <c r="DR360" i="25"/>
  <c r="DR285" i="25"/>
  <c r="DR386" i="25"/>
  <c r="DT273" i="25"/>
  <c r="DR218" i="25"/>
  <c r="DR296" i="25"/>
  <c r="DR358" i="25"/>
  <c r="DR211" i="25"/>
  <c r="DJ296" i="25"/>
  <c r="DK296" i="25" s="1"/>
  <c r="DL296" i="25" s="1"/>
  <c r="DM296" i="25" s="1"/>
  <c r="DJ236" i="25"/>
  <c r="DK236" i="25" s="1"/>
  <c r="DL236" i="25" s="1"/>
  <c r="DM236" i="25" s="1"/>
  <c r="DJ358" i="25"/>
  <c r="DK358" i="25" s="1"/>
  <c r="DL358" i="25" s="1"/>
  <c r="DM358" i="25" s="1"/>
  <c r="DJ212" i="25"/>
  <c r="DK212" i="25" s="1"/>
  <c r="DL212" i="25" s="1"/>
  <c r="DM212" i="25" s="1"/>
  <c r="DJ211" i="25"/>
  <c r="DK211" i="25" s="1"/>
  <c r="DL211" i="25" s="1"/>
  <c r="DM211" i="25" s="1"/>
  <c r="DJ332" i="25"/>
  <c r="DK332" i="25" s="1"/>
  <c r="DL332" i="25" s="1"/>
  <c r="DM332" i="25" s="1"/>
  <c r="CI337" i="25"/>
  <c r="DT281" i="25"/>
  <c r="DR227" i="25"/>
  <c r="DR276" i="25"/>
  <c r="DR294" i="25"/>
  <c r="DR246" i="25"/>
  <c r="DR333" i="25"/>
  <c r="DR225" i="25"/>
  <c r="DR243" i="25"/>
  <c r="DR374" i="25"/>
  <c r="CI292" i="25"/>
  <c r="CK292" i="25" s="1"/>
  <c r="CI315" i="25"/>
  <c r="CK315" i="25" s="1"/>
  <c r="CI258" i="25"/>
  <c r="CK258" i="25" s="1"/>
  <c r="CI271" i="25"/>
  <c r="CK271" i="25" s="1"/>
  <c r="CI378" i="25"/>
  <c r="CK378" i="25" s="1"/>
  <c r="CI370" i="25"/>
  <c r="CK370" i="25" s="1"/>
  <c r="DT220" i="25"/>
  <c r="DR213" i="25"/>
  <c r="DR214" i="25"/>
  <c r="DR286" i="25"/>
  <c r="DR282" i="25"/>
  <c r="DR269" i="25"/>
  <c r="DR207" i="25"/>
  <c r="DR277" i="25"/>
  <c r="DR337" i="25"/>
  <c r="CJ306" i="25"/>
  <c r="CJ293" i="25"/>
  <c r="CJ381" i="25"/>
  <c r="CJ223" i="25"/>
  <c r="CJ338" i="25"/>
  <c r="CJ398" i="25"/>
  <c r="CJ222" i="25"/>
  <c r="CJ339" i="25"/>
  <c r="CJ229" i="25"/>
  <c r="CJ400" i="25"/>
  <c r="CJ347" i="25"/>
  <c r="CJ256" i="25"/>
  <c r="DR300" i="25"/>
  <c r="DR217" i="25"/>
  <c r="DR343" i="25"/>
  <c r="DR209" i="25"/>
  <c r="DR266" i="25"/>
  <c r="DR357" i="25"/>
  <c r="DR264" i="25"/>
  <c r="DR208" i="25"/>
  <c r="DR259" i="25"/>
  <c r="DJ290" i="25"/>
  <c r="DK290" i="25" s="1"/>
  <c r="DL290" i="25" s="1"/>
  <c r="DM290" i="25" s="1"/>
  <c r="DJ280" i="25"/>
  <c r="DK280" i="25" s="1"/>
  <c r="DL280" i="25" s="1"/>
  <c r="DM280" i="25" s="1"/>
  <c r="DJ314" i="25"/>
  <c r="DK314" i="25" s="1"/>
  <c r="DL314" i="25" s="1"/>
  <c r="DM314" i="25" s="1"/>
  <c r="DJ288" i="25"/>
  <c r="DK288" i="25" s="1"/>
  <c r="DL288" i="25" s="1"/>
  <c r="DM288" i="25" s="1"/>
  <c r="DJ377" i="25"/>
  <c r="DK377" i="25" s="1"/>
  <c r="DL377" i="25" s="1"/>
  <c r="DM377" i="25" s="1"/>
  <c r="DJ354" i="25"/>
  <c r="DK354" i="25" s="1"/>
  <c r="DL354" i="25" s="1"/>
  <c r="DM354" i="25" s="1"/>
  <c r="DJ323" i="25"/>
  <c r="DK323" i="25" s="1"/>
  <c r="DL323" i="25" s="1"/>
  <c r="DM323" i="25" s="1"/>
  <c r="CJ321" i="25"/>
  <c r="CI321" i="25"/>
  <c r="CK321" i="25" s="1"/>
  <c r="CJ330" i="25"/>
  <c r="CI330" i="25"/>
  <c r="CK330" i="25" s="1"/>
  <c r="CL330" i="25" s="1"/>
  <c r="CP330" i="25" s="1"/>
  <c r="CQ330" i="25" s="1"/>
  <c r="CT330" i="25" s="1"/>
  <c r="CJ320" i="25"/>
  <c r="CI320" i="25"/>
  <c r="CK320" i="25" s="1"/>
  <c r="CJ295" i="25"/>
  <c r="CI295" i="25"/>
  <c r="CK295" i="25" s="1"/>
  <c r="CL295" i="25" s="1"/>
  <c r="CP295" i="25" s="1"/>
  <c r="CQ295" i="25" s="1"/>
  <c r="CT295" i="25" s="1"/>
  <c r="CJ324" i="25"/>
  <c r="CI324" i="25"/>
  <c r="CK324" i="25" s="1"/>
  <c r="CJ382" i="25"/>
  <c r="CI382" i="25"/>
  <c r="CK382" i="25" s="1"/>
  <c r="CJ372" i="25"/>
  <c r="CI372" i="25"/>
  <c r="CK372" i="25" s="1"/>
  <c r="CL372" i="25" s="1"/>
  <c r="CP372" i="25" s="1"/>
  <c r="CQ372" i="25" s="1"/>
  <c r="CT372" i="25" s="1"/>
  <c r="CJ268" i="25"/>
  <c r="CI268" i="25"/>
  <c r="CK268" i="25" s="1"/>
  <c r="CL268" i="25" s="1"/>
  <c r="CP268" i="25" s="1"/>
  <c r="CQ268" i="25" s="1"/>
  <c r="CT268" i="25" s="1"/>
  <c r="CJ260" i="25"/>
  <c r="CI260" i="25"/>
  <c r="CK260" i="25" s="1"/>
  <c r="CJ239" i="25"/>
  <c r="CI239" i="25"/>
  <c r="CK239" i="25" s="1"/>
  <c r="CJ325" i="25"/>
  <c r="CI325" i="25"/>
  <c r="CK325" i="25" s="1"/>
  <c r="CJ252" i="25"/>
  <c r="CI252" i="25"/>
  <c r="CK252" i="25" s="1"/>
  <c r="CJ235" i="25"/>
  <c r="CI235" i="25"/>
  <c r="CK235" i="25" s="1"/>
  <c r="CJ253" i="25"/>
  <c r="CI253" i="25"/>
  <c r="CK253" i="25" s="1"/>
  <c r="CJ272" i="25"/>
  <c r="CI272" i="25"/>
  <c r="CK272" i="25" s="1"/>
  <c r="CL272" i="25" s="1"/>
  <c r="CP272" i="25" s="1"/>
  <c r="CQ272" i="25" s="1"/>
  <c r="CT272" i="25" s="1"/>
  <c r="CJ392" i="25"/>
  <c r="CI392" i="25"/>
  <c r="CK392" i="25" s="1"/>
  <c r="CL392" i="25" s="1"/>
  <c r="CP392" i="25" s="1"/>
  <c r="CQ392" i="25" s="1"/>
  <c r="CT392" i="25" s="1"/>
  <c r="CJ262" i="25"/>
  <c r="CI262" i="25"/>
  <c r="CK262" i="25" s="1"/>
  <c r="CJ216" i="25"/>
  <c r="CI216" i="25"/>
  <c r="CJ299" i="25"/>
  <c r="CI299" i="25"/>
  <c r="CK299" i="25" s="1"/>
  <c r="CJ401" i="25"/>
  <c r="CI401" i="25"/>
  <c r="CK401" i="25" s="1"/>
  <c r="CJ226" i="25"/>
  <c r="CI226" i="25"/>
  <c r="CK226" i="25" s="1"/>
  <c r="CJ351" i="25"/>
  <c r="CI351" i="25"/>
  <c r="CK351" i="25" s="1"/>
  <c r="CJ263" i="25"/>
  <c r="CI263" i="25"/>
  <c r="CK263" i="25" s="1"/>
  <c r="CJ389" i="25"/>
  <c r="CI389" i="25"/>
  <c r="CK389" i="25" s="1"/>
  <c r="CJ388" i="25"/>
  <c r="CI388" i="25"/>
  <c r="CK388" i="25" s="1"/>
  <c r="CJ369" i="25"/>
  <c r="CI369" i="25"/>
  <c r="CK369" i="25" s="1"/>
  <c r="CJ399" i="25"/>
  <c r="CI399" i="25"/>
  <c r="CK399" i="25" s="1"/>
  <c r="CJ311" i="25"/>
  <c r="CI311" i="25"/>
  <c r="CK311" i="25" s="1"/>
  <c r="CJ366" i="25"/>
  <c r="CI366" i="25"/>
  <c r="CK366" i="25" s="1"/>
  <c r="CJ345" i="25"/>
  <c r="CI345" i="25"/>
  <c r="CK345" i="25" s="1"/>
  <c r="CJ219" i="25"/>
  <c r="CI219" i="25"/>
  <c r="CK219" i="25" s="1"/>
  <c r="CJ297" i="25"/>
  <c r="CI297" i="25"/>
  <c r="CK297" i="25" s="1"/>
  <c r="CJ248" i="25"/>
  <c r="CI248" i="25"/>
  <c r="CK248" i="25" s="1"/>
  <c r="CJ360" i="25"/>
  <c r="CI360" i="25"/>
  <c r="CK360" i="25" s="1"/>
  <c r="CJ344" i="25"/>
  <c r="CI344" i="25"/>
  <c r="CK344" i="25" s="1"/>
  <c r="CJ285" i="25"/>
  <c r="CI285" i="25"/>
  <c r="CK285" i="25" s="1"/>
  <c r="CJ362" i="25"/>
  <c r="CI362" i="25"/>
  <c r="CK362" i="25" s="1"/>
  <c r="CJ386" i="25"/>
  <c r="CI386" i="25"/>
  <c r="CK386" i="25" s="1"/>
  <c r="CJ290" i="25"/>
  <c r="CI290" i="25"/>
  <c r="CK290" i="25" s="1"/>
  <c r="CJ280" i="25"/>
  <c r="CI280" i="25"/>
  <c r="CK280" i="25" s="1"/>
  <c r="CJ314" i="25"/>
  <c r="CI314" i="25"/>
  <c r="CK314" i="25" s="1"/>
  <c r="CJ288" i="25"/>
  <c r="CI288" i="25"/>
  <c r="CK288" i="25" s="1"/>
  <c r="CJ377" i="25"/>
  <c r="CI377" i="25"/>
  <c r="CK377" i="25" s="1"/>
  <c r="CJ354" i="25"/>
  <c r="CI354" i="25"/>
  <c r="CK354" i="25" s="1"/>
  <c r="CJ352" i="25"/>
  <c r="CI352" i="25"/>
  <c r="CK352" i="25" s="1"/>
  <c r="CJ323" i="25"/>
  <c r="CI323" i="25"/>
  <c r="CK323" i="25" s="1"/>
  <c r="CJ335" i="25"/>
  <c r="CI335" i="25"/>
  <c r="CK335" i="25" s="1"/>
  <c r="CJ237" i="25"/>
  <c r="CI237" i="25"/>
  <c r="CK237" i="25" s="1"/>
  <c r="CJ251" i="25"/>
  <c r="CI251" i="25"/>
  <c r="CK251" i="25" s="1"/>
  <c r="CJ265" i="25"/>
  <c r="CI265" i="25"/>
  <c r="CK265" i="25" s="1"/>
  <c r="CJ403" i="25"/>
  <c r="CI403" i="25"/>
  <c r="CK403" i="25" s="1"/>
  <c r="CJ394" i="25"/>
  <c r="CI394" i="25"/>
  <c r="CK394" i="25" s="1"/>
  <c r="CJ391" i="25"/>
  <c r="CI391" i="25"/>
  <c r="CK391" i="25" s="1"/>
  <c r="CJ227" i="25"/>
  <c r="CI227" i="25"/>
  <c r="CK227" i="25" s="1"/>
  <c r="CJ276" i="25"/>
  <c r="CI276" i="25"/>
  <c r="CK276" i="25" s="1"/>
  <c r="CJ294" i="25"/>
  <c r="CI294" i="25"/>
  <c r="CK294" i="25" s="1"/>
  <c r="CJ246" i="25"/>
  <c r="CI246" i="25"/>
  <c r="CK246" i="25" s="1"/>
  <c r="CJ333" i="25"/>
  <c r="CI333" i="25"/>
  <c r="CK333" i="25" s="1"/>
  <c r="CJ225" i="25"/>
  <c r="CI225" i="25"/>
  <c r="CK225" i="25" s="1"/>
  <c r="CJ243" i="25"/>
  <c r="CI243" i="25"/>
  <c r="CK243" i="25" s="1"/>
  <c r="CJ281" i="25"/>
  <c r="CI281" i="25"/>
  <c r="CK281" i="25" s="1"/>
  <c r="CJ374" i="25"/>
  <c r="CI374" i="25"/>
  <c r="CK374" i="25" s="1"/>
  <c r="CJ318" i="25"/>
  <c r="CI318" i="25"/>
  <c r="CK318" i="25" s="1"/>
  <c r="CJ329" i="25"/>
  <c r="CI329" i="25"/>
  <c r="CK329" i="25" s="1"/>
  <c r="CL329" i="25" s="1"/>
  <c r="CP329" i="25" s="1"/>
  <c r="CQ329" i="25" s="1"/>
  <c r="CT329" i="25" s="1"/>
  <c r="CJ309" i="25"/>
  <c r="CI309" i="25"/>
  <c r="CK309" i="25" s="1"/>
  <c r="CL309" i="25" s="1"/>
  <c r="CP309" i="25" s="1"/>
  <c r="CQ309" i="25" s="1"/>
  <c r="CT309" i="25" s="1"/>
  <c r="CJ287" i="25"/>
  <c r="CI287" i="25"/>
  <c r="CK287" i="25" s="1"/>
  <c r="CJ254" i="25"/>
  <c r="CI254" i="25"/>
  <c r="CK254" i="25" s="1"/>
  <c r="CJ376" i="25"/>
  <c r="CI376" i="25"/>
  <c r="CK376" i="25" s="1"/>
  <c r="CJ350" i="25"/>
  <c r="CI350" i="25"/>
  <c r="CK350" i="25" s="1"/>
  <c r="CJ380" i="25"/>
  <c r="CI380" i="25"/>
  <c r="CK380" i="25" s="1"/>
  <c r="CJ322" i="25"/>
  <c r="CI322" i="25"/>
  <c r="CK322" i="25" s="1"/>
  <c r="CJ327" i="25"/>
  <c r="CI327" i="25"/>
  <c r="CK327" i="25" s="1"/>
  <c r="CJ234" i="25"/>
  <c r="CI234" i="25"/>
  <c r="CK234" i="25" s="1"/>
  <c r="CJ273" i="25"/>
  <c r="CI273" i="25"/>
  <c r="CK273" i="25" s="1"/>
  <c r="CJ267" i="25"/>
  <c r="CI267" i="25"/>
  <c r="CK267" i="25" s="1"/>
  <c r="CJ396" i="25"/>
  <c r="CI396" i="25"/>
  <c r="CK396" i="25" s="1"/>
  <c r="CJ291" i="25"/>
  <c r="CI291" i="25"/>
  <c r="CK291" i="25" s="1"/>
  <c r="CJ390" i="25"/>
  <c r="CI390" i="25"/>
  <c r="CK390" i="25" s="1"/>
  <c r="CJ336" i="25"/>
  <c r="CI336" i="25"/>
  <c r="CK336" i="25" s="1"/>
  <c r="CJ215" i="25"/>
  <c r="CI215" i="25"/>
  <c r="CK215" i="25" s="1"/>
  <c r="CJ368" i="25"/>
  <c r="CI368" i="25"/>
  <c r="CK368" i="25" s="1"/>
  <c r="CJ363" i="25"/>
  <c r="CI363" i="25"/>
  <c r="CK363" i="25" s="1"/>
  <c r="CJ359" i="25"/>
  <c r="CI359" i="25"/>
  <c r="CK359" i="25" s="1"/>
  <c r="CJ224" i="25"/>
  <c r="CI224" i="25"/>
  <c r="CK224" i="25" s="1"/>
  <c r="CJ242" i="25"/>
  <c r="CI242" i="25"/>
  <c r="CK242" i="25" s="1"/>
  <c r="CJ210" i="25"/>
  <c r="CI210" i="25"/>
  <c r="CK210" i="25" s="1"/>
  <c r="CJ340" i="25"/>
  <c r="CI340" i="25"/>
  <c r="CK340" i="25" s="1"/>
  <c r="DR229" i="25"/>
  <c r="DR298" i="25"/>
  <c r="DR400" i="25"/>
  <c r="DR361" i="25"/>
  <c r="DR347" i="25"/>
  <c r="DR261" i="25"/>
  <c r="DR387" i="25"/>
  <c r="CJ317" i="25"/>
  <c r="CJ319" i="25"/>
  <c r="CJ316" i="25"/>
  <c r="CJ373" i="25"/>
  <c r="CJ244" i="25"/>
  <c r="CJ228" i="25"/>
  <c r="CJ220" i="25"/>
  <c r="CJ298" i="25"/>
  <c r="CJ361" i="25"/>
  <c r="CJ261" i="25"/>
  <c r="CJ387" i="25"/>
  <c r="CB355" i="25"/>
  <c r="CB230" i="25"/>
  <c r="CB348" i="25"/>
  <c r="DJ220" i="25"/>
  <c r="DK220" i="25" s="1"/>
  <c r="DL220" i="25" s="1"/>
  <c r="DM220" i="25" s="1"/>
  <c r="DT370" i="25"/>
  <c r="DT310" i="25"/>
  <c r="DT311" i="25"/>
  <c r="DT366" i="25"/>
  <c r="DT349" i="25"/>
  <c r="DT341" i="25"/>
  <c r="DT399" i="25"/>
  <c r="DT367" i="25"/>
  <c r="DR307" i="25"/>
  <c r="DT240" i="25"/>
  <c r="DR279" i="25"/>
  <c r="DR353" i="25"/>
  <c r="DT278" i="25"/>
  <c r="DT233" i="25"/>
  <c r="DR380" i="25"/>
  <c r="DT322" i="25"/>
  <c r="DT249" i="25"/>
  <c r="DT258" i="25"/>
  <c r="DT291" i="25"/>
  <c r="DR396" i="25"/>
  <c r="DT318" i="25"/>
  <c r="DT254" i="25"/>
  <c r="DT356" i="25"/>
  <c r="DT267" i="25"/>
  <c r="DT391" i="25"/>
  <c r="DR376" i="25"/>
  <c r="DR350" i="25"/>
  <c r="DT241" i="25"/>
  <c r="DT309" i="25"/>
  <c r="DT304" i="25"/>
  <c r="DT371" i="25"/>
  <c r="DT326" i="25"/>
  <c r="DT390" i="25"/>
  <c r="DT301" i="25"/>
  <c r="DT221" i="25"/>
  <c r="DT308" i="25"/>
  <c r="DT369" i="25"/>
  <c r="DT402" i="25"/>
  <c r="DT283" i="25"/>
  <c r="DT270" i="25"/>
  <c r="DT247" i="25"/>
  <c r="DT395" i="25"/>
  <c r="DT319" i="25"/>
  <c r="DR338" i="25"/>
  <c r="DT303" i="25"/>
  <c r="DT232" i="25"/>
  <c r="DT328" i="25"/>
  <c r="DT342" i="25"/>
  <c r="DT355" i="25"/>
  <c r="DT393" i="25"/>
  <c r="DR313" i="25"/>
  <c r="DT379" i="25"/>
  <c r="DT334" i="25"/>
  <c r="DR306" i="25"/>
  <c r="DT315" i="25"/>
  <c r="DT373" i="25"/>
  <c r="DT250" i="25"/>
  <c r="DT397" i="25"/>
  <c r="DT348" i="25"/>
  <c r="DT312" i="25"/>
  <c r="DT385" i="25"/>
  <c r="DT271" i="25"/>
  <c r="DT244" i="25"/>
  <c r="DT346" i="25"/>
  <c r="DR284" i="25"/>
  <c r="DT384" i="25"/>
  <c r="DT331" i="25"/>
  <c r="DT289" i="25"/>
  <c r="DT383" i="25"/>
  <c r="DT274" i="25"/>
  <c r="DT364" i="25"/>
  <c r="DT231" i="25"/>
  <c r="DT255" i="25"/>
  <c r="DR293" i="25"/>
  <c r="DR398" i="25"/>
  <c r="DT381" i="25"/>
  <c r="DT222" i="25"/>
  <c r="DR316" i="25"/>
  <c r="DR275" i="25"/>
  <c r="DR228" i="25"/>
  <c r="DR305" i="25"/>
  <c r="DR223" i="25"/>
  <c r="DT317" i="25"/>
  <c r="DR339" i="25"/>
  <c r="DR392" i="25"/>
  <c r="DR321" i="25"/>
  <c r="DR330" i="25"/>
  <c r="DR320" i="25"/>
  <c r="DR295" i="25"/>
  <c r="DR324" i="25"/>
  <c r="DR382" i="25"/>
  <c r="DR372" i="25"/>
  <c r="DR268" i="25"/>
  <c r="DR260" i="25"/>
  <c r="DR239" i="25"/>
  <c r="DR325" i="25"/>
  <c r="DR252" i="25"/>
  <c r="DR235" i="25"/>
  <c r="DR253" i="25"/>
  <c r="DR272" i="25"/>
  <c r="DR290" i="25"/>
  <c r="DR280" i="25"/>
  <c r="DR314" i="25"/>
  <c r="DR288" i="25"/>
  <c r="DR377" i="25"/>
  <c r="DR354" i="25"/>
  <c r="DR352" i="25"/>
  <c r="DR323" i="25"/>
  <c r="DR335" i="25"/>
  <c r="DR237" i="25"/>
  <c r="DR251" i="25"/>
  <c r="DR265" i="25"/>
  <c r="DR403" i="25"/>
  <c r="DT394" i="25"/>
  <c r="DT302" i="25"/>
  <c r="CB382" i="25"/>
  <c r="CB392" i="25"/>
  <c r="DJ367" i="25"/>
  <c r="DK367" i="25" s="1"/>
  <c r="DL367" i="25" s="1"/>
  <c r="DM367" i="25" s="1"/>
  <c r="DJ214" i="25"/>
  <c r="DK214" i="25" s="1"/>
  <c r="DL214" i="25" s="1"/>
  <c r="DM214" i="25" s="1"/>
  <c r="DJ385" i="25"/>
  <c r="DK385" i="25" s="1"/>
  <c r="DL385" i="25" s="1"/>
  <c r="DM385" i="25" s="1"/>
  <c r="DJ284" i="25"/>
  <c r="DK284" i="25" s="1"/>
  <c r="DL284" i="25" s="1"/>
  <c r="DM284" i="25" s="1"/>
  <c r="DJ230" i="25"/>
  <c r="DK230" i="25" s="1"/>
  <c r="DL230" i="25" s="1"/>
  <c r="DM230" i="25" s="1"/>
  <c r="DJ213" i="25"/>
  <c r="DK213" i="25" s="1"/>
  <c r="DL213" i="25" s="1"/>
  <c r="DM213" i="25" s="1"/>
  <c r="DN337" i="25"/>
  <c r="CB306" i="25"/>
  <c r="CB319" i="25"/>
  <c r="DJ376" i="25"/>
  <c r="DK376" i="25" s="1"/>
  <c r="DL376" i="25" s="1"/>
  <c r="DM376" i="25" s="1"/>
  <c r="DJ301" i="25"/>
  <c r="DK301" i="25" s="1"/>
  <c r="DL301" i="25" s="1"/>
  <c r="DM301" i="25" s="1"/>
  <c r="DJ275" i="25"/>
  <c r="DK275" i="25" s="1"/>
  <c r="DL275" i="25" s="1"/>
  <c r="DM275" i="25" s="1"/>
  <c r="DJ366" i="25"/>
  <c r="DK366" i="25" s="1"/>
  <c r="DL366" i="25" s="1"/>
  <c r="DM366" i="25" s="1"/>
  <c r="CB297" i="25"/>
  <c r="DJ254" i="25"/>
  <c r="DK254" i="25" s="1"/>
  <c r="DL254" i="25" s="1"/>
  <c r="DM254" i="25" s="1"/>
  <c r="DJ327" i="25"/>
  <c r="DK327" i="25" s="1"/>
  <c r="DL327" i="25" s="1"/>
  <c r="DM327" i="25" s="1"/>
  <c r="DJ291" i="25"/>
  <c r="DK291" i="25" s="1"/>
  <c r="DL291" i="25" s="1"/>
  <c r="DM291" i="25" s="1"/>
  <c r="DJ391" i="25"/>
  <c r="DK391" i="25" s="1"/>
  <c r="DL391" i="25" s="1"/>
  <c r="DM391" i="25" s="1"/>
  <c r="CB294" i="25"/>
  <c r="CB301" i="25"/>
  <c r="CB383" i="25"/>
  <c r="CB371" i="25"/>
  <c r="CB221" i="25"/>
  <c r="CB249" i="25"/>
  <c r="CB368" i="25"/>
  <c r="CB307" i="25"/>
  <c r="DJ260" i="25"/>
  <c r="DK260" i="25" s="1"/>
  <c r="DL260" i="25" s="1"/>
  <c r="DM260" i="25" s="1"/>
  <c r="DJ253" i="25"/>
  <c r="DK253" i="25" s="1"/>
  <c r="DL253" i="25" s="1"/>
  <c r="DM253" i="25" s="1"/>
  <c r="DJ279" i="25"/>
  <c r="DK279" i="25" s="1"/>
  <c r="DL279" i="25" s="1"/>
  <c r="DM279" i="25" s="1"/>
  <c r="DJ268" i="25"/>
  <c r="DK268" i="25" s="1"/>
  <c r="DL268" i="25" s="1"/>
  <c r="DM268" i="25" s="1"/>
  <c r="CB313" i="25"/>
  <c r="CB278" i="25"/>
  <c r="CB279" i="25"/>
  <c r="CB385" i="25"/>
  <c r="CB275" i="25"/>
  <c r="CB353" i="25"/>
  <c r="CB240" i="25"/>
  <c r="CB233" i="25"/>
  <c r="CB284" i="25"/>
  <c r="CB367" i="25"/>
  <c r="CB305" i="25"/>
  <c r="CB213" i="25"/>
  <c r="CB214" i="25"/>
  <c r="CB238" i="25"/>
  <c r="CB282" i="25"/>
  <c r="CB269" i="25"/>
  <c r="DJ329" i="25"/>
  <c r="DK329" i="25" s="1"/>
  <c r="DL329" i="25" s="1"/>
  <c r="DM329" i="25" s="1"/>
  <c r="DJ287" i="25"/>
  <c r="DK287" i="25" s="1"/>
  <c r="DL287" i="25" s="1"/>
  <c r="DM287" i="25" s="1"/>
  <c r="DJ234" i="25"/>
  <c r="DK234" i="25" s="1"/>
  <c r="DL234" i="25" s="1"/>
  <c r="DM234" i="25" s="1"/>
  <c r="DJ273" i="25"/>
  <c r="DK273" i="25" s="1"/>
  <c r="DL273" i="25" s="1"/>
  <c r="DM273" i="25" s="1"/>
  <c r="DJ227" i="25"/>
  <c r="DK227" i="25" s="1"/>
  <c r="DL227" i="25" s="1"/>
  <c r="DM227" i="25" s="1"/>
  <c r="DJ276" i="25"/>
  <c r="DK276" i="25" s="1"/>
  <c r="DL276" i="25" s="1"/>
  <c r="DM276" i="25" s="1"/>
  <c r="CB314" i="25"/>
  <c r="CB335" i="25"/>
  <c r="CB237" i="25"/>
  <c r="CB219" i="25"/>
  <c r="DN225" i="25"/>
  <c r="DJ352" i="25"/>
  <c r="DK352" i="25" s="1"/>
  <c r="DL352" i="25" s="1"/>
  <c r="DM352" i="25" s="1"/>
  <c r="DJ267" i="25"/>
  <c r="DK267" i="25" s="1"/>
  <c r="DL267" i="25" s="1"/>
  <c r="DM267" i="25" s="1"/>
  <c r="DN273" i="25"/>
  <c r="DJ283" i="25"/>
  <c r="DK283" i="25" s="1"/>
  <c r="DL283" i="25" s="1"/>
  <c r="DM283" i="25" s="1"/>
  <c r="DJ289" i="25"/>
  <c r="DK289" i="25" s="1"/>
  <c r="DL289" i="25" s="1"/>
  <c r="DM289" i="25" s="1"/>
  <c r="DJ399" i="25"/>
  <c r="DK399" i="25" s="1"/>
  <c r="DL399" i="25" s="1"/>
  <c r="DM399" i="25" s="1"/>
  <c r="DJ311" i="25"/>
  <c r="DK311" i="25" s="1"/>
  <c r="DL311" i="25" s="1"/>
  <c r="DM311" i="25" s="1"/>
  <c r="DJ375" i="25"/>
  <c r="DK375" i="25" s="1"/>
  <c r="DL375" i="25" s="1"/>
  <c r="DM375" i="25" s="1"/>
  <c r="DJ318" i="25"/>
  <c r="DK318" i="25" s="1"/>
  <c r="DL318" i="25" s="1"/>
  <c r="DM318" i="25" s="1"/>
  <c r="DJ395" i="25"/>
  <c r="DK395" i="25" s="1"/>
  <c r="DL395" i="25" s="1"/>
  <c r="DM395" i="25" s="1"/>
  <c r="CB309" i="25"/>
  <c r="CB234" i="25"/>
  <c r="DJ331" i="25"/>
  <c r="DK331" i="25" s="1"/>
  <c r="DL331" i="25" s="1"/>
  <c r="DM331" i="25" s="1"/>
  <c r="DJ308" i="25"/>
  <c r="DK308" i="25" s="1"/>
  <c r="DL308" i="25" s="1"/>
  <c r="DM308" i="25" s="1"/>
  <c r="DJ383" i="25"/>
  <c r="DK383" i="25" s="1"/>
  <c r="DL383" i="25" s="1"/>
  <c r="DM383" i="25" s="1"/>
  <c r="DJ371" i="25"/>
  <c r="DK371" i="25" s="1"/>
  <c r="DL371" i="25" s="1"/>
  <c r="DM371" i="25" s="1"/>
  <c r="DJ247" i="25"/>
  <c r="DK247" i="25" s="1"/>
  <c r="DL247" i="25" s="1"/>
  <c r="DM247" i="25" s="1"/>
  <c r="DJ364" i="25"/>
  <c r="DK364" i="25" s="1"/>
  <c r="DL364" i="25" s="1"/>
  <c r="DM364" i="25" s="1"/>
  <c r="DJ326" i="25"/>
  <c r="DK326" i="25" s="1"/>
  <c r="DL326" i="25" s="1"/>
  <c r="DM326" i="25" s="1"/>
  <c r="DJ221" i="25"/>
  <c r="DK221" i="25" s="1"/>
  <c r="DL221" i="25" s="1"/>
  <c r="DM221" i="25" s="1"/>
  <c r="DJ249" i="25"/>
  <c r="DK249" i="25" s="1"/>
  <c r="DL249" i="25" s="1"/>
  <c r="DM249" i="25" s="1"/>
  <c r="DJ255" i="25"/>
  <c r="DK255" i="25" s="1"/>
  <c r="DL255" i="25" s="1"/>
  <c r="DM255" i="25" s="1"/>
  <c r="DJ402" i="25"/>
  <c r="DK402" i="25" s="1"/>
  <c r="DL402" i="25" s="1"/>
  <c r="DM402" i="25" s="1"/>
  <c r="DJ390" i="25"/>
  <c r="DK390" i="25" s="1"/>
  <c r="DL390" i="25" s="1"/>
  <c r="DM390" i="25" s="1"/>
  <c r="DJ336" i="25"/>
  <c r="DK336" i="25" s="1"/>
  <c r="DL336" i="25" s="1"/>
  <c r="DM336" i="25" s="1"/>
  <c r="DJ215" i="25"/>
  <c r="DK215" i="25" s="1"/>
  <c r="DL215" i="25" s="1"/>
  <c r="DM215" i="25" s="1"/>
  <c r="DJ380" i="25"/>
  <c r="DK380" i="25" s="1"/>
  <c r="DL380" i="25" s="1"/>
  <c r="DM380" i="25" s="1"/>
  <c r="DJ396" i="25"/>
  <c r="DK396" i="25" s="1"/>
  <c r="DL396" i="25" s="1"/>
  <c r="DM396" i="25" s="1"/>
  <c r="CB290" i="25"/>
  <c r="CB318" i="25"/>
  <c r="CB329" i="25"/>
  <c r="CB287" i="25"/>
  <c r="CB254" i="25"/>
  <c r="CB376" i="25"/>
  <c r="CB350" i="25"/>
  <c r="CB380" i="25"/>
  <c r="CB322" i="25"/>
  <c r="CB327" i="25"/>
  <c r="CB273" i="25"/>
  <c r="CB267" i="25"/>
  <c r="CB396" i="25"/>
  <c r="CB291" i="25"/>
  <c r="CB391" i="25"/>
  <c r="CB227" i="25"/>
  <c r="CB276" i="25"/>
  <c r="CB246" i="25"/>
  <c r="CB333" i="25"/>
  <c r="CB225" i="25"/>
  <c r="DJ307" i="25"/>
  <c r="DK307" i="25" s="1"/>
  <c r="DL307" i="25" s="1"/>
  <c r="DM307" i="25" s="1"/>
  <c r="DJ353" i="25"/>
  <c r="DK353" i="25" s="1"/>
  <c r="DL353" i="25" s="1"/>
  <c r="DM353" i="25" s="1"/>
  <c r="DJ233" i="25"/>
  <c r="DK233" i="25" s="1"/>
  <c r="DL233" i="25" s="1"/>
  <c r="DM233" i="25" s="1"/>
  <c r="DJ348" i="25"/>
  <c r="DK348" i="25" s="1"/>
  <c r="DL348" i="25" s="1"/>
  <c r="DM348" i="25" s="1"/>
  <c r="DJ305" i="25"/>
  <c r="DK305" i="25" s="1"/>
  <c r="DL305" i="25" s="1"/>
  <c r="DM305" i="25" s="1"/>
  <c r="DJ302" i="25"/>
  <c r="DK302" i="25" s="1"/>
  <c r="DL302" i="25" s="1"/>
  <c r="DM302" i="25" s="1"/>
  <c r="DJ320" i="25"/>
  <c r="DK320" i="25" s="1"/>
  <c r="DL320" i="25" s="1"/>
  <c r="DM320" i="25" s="1"/>
  <c r="DJ295" i="25"/>
  <c r="DK295" i="25" s="1"/>
  <c r="DL295" i="25" s="1"/>
  <c r="DM295" i="25" s="1"/>
  <c r="DJ382" i="25"/>
  <c r="DK382" i="25" s="1"/>
  <c r="DL382" i="25" s="1"/>
  <c r="DM382" i="25" s="1"/>
  <c r="DJ372" i="25"/>
  <c r="DK372" i="25" s="1"/>
  <c r="DL372" i="25" s="1"/>
  <c r="DM372" i="25" s="1"/>
  <c r="DJ239" i="25"/>
  <c r="DK239" i="25" s="1"/>
  <c r="DL239" i="25" s="1"/>
  <c r="DM239" i="25" s="1"/>
  <c r="DJ325" i="25"/>
  <c r="DK325" i="25" s="1"/>
  <c r="DL325" i="25" s="1"/>
  <c r="DM325" i="25" s="1"/>
  <c r="DJ252" i="25"/>
  <c r="DK252" i="25" s="1"/>
  <c r="DL252" i="25" s="1"/>
  <c r="DM252" i="25" s="1"/>
  <c r="DJ235" i="25"/>
  <c r="DK235" i="25" s="1"/>
  <c r="DL235" i="25" s="1"/>
  <c r="DM235" i="25" s="1"/>
  <c r="DJ392" i="25"/>
  <c r="DK392" i="25" s="1"/>
  <c r="DL392" i="25" s="1"/>
  <c r="DM392" i="25" s="1"/>
  <c r="DJ300" i="25"/>
  <c r="DK300" i="25" s="1"/>
  <c r="DL300" i="25" s="1"/>
  <c r="DM300" i="25" s="1"/>
  <c r="DJ317" i="25"/>
  <c r="DK317" i="25" s="1"/>
  <c r="DL317" i="25" s="1"/>
  <c r="DM317" i="25" s="1"/>
  <c r="DJ306" i="25"/>
  <c r="DK306" i="25" s="1"/>
  <c r="DL306" i="25" s="1"/>
  <c r="DM306" i="25" s="1"/>
  <c r="DJ319" i="25"/>
  <c r="DK319" i="25" s="1"/>
  <c r="DL319" i="25" s="1"/>
  <c r="DM319" i="25" s="1"/>
  <c r="DJ293" i="25"/>
  <c r="DK293" i="25" s="1"/>
  <c r="DL293" i="25" s="1"/>
  <c r="DM293" i="25" s="1"/>
  <c r="DJ381" i="25"/>
  <c r="DK381" i="25" s="1"/>
  <c r="DL381" i="25" s="1"/>
  <c r="DM381" i="25" s="1"/>
  <c r="DJ373" i="25"/>
  <c r="DK373" i="25" s="1"/>
  <c r="DL373" i="25" s="1"/>
  <c r="DM373" i="25" s="1"/>
  <c r="DJ223" i="25"/>
  <c r="DK223" i="25" s="1"/>
  <c r="DL223" i="25" s="1"/>
  <c r="DM223" i="25" s="1"/>
  <c r="DJ338" i="25"/>
  <c r="DK338" i="25" s="1"/>
  <c r="DL338" i="25" s="1"/>
  <c r="DM338" i="25" s="1"/>
  <c r="DJ244" i="25"/>
  <c r="DK244" i="25" s="1"/>
  <c r="DL244" i="25" s="1"/>
  <c r="DM244" i="25" s="1"/>
  <c r="DJ398" i="25"/>
  <c r="DK398" i="25" s="1"/>
  <c r="DL398" i="25" s="1"/>
  <c r="DM398" i="25" s="1"/>
  <c r="DJ228" i="25"/>
  <c r="DK228" i="25" s="1"/>
  <c r="DL228" i="25" s="1"/>
  <c r="DM228" i="25" s="1"/>
  <c r="DJ222" i="25"/>
  <c r="DK222" i="25" s="1"/>
  <c r="DL222" i="25" s="1"/>
  <c r="DM222" i="25" s="1"/>
  <c r="DJ339" i="25"/>
  <c r="DK339" i="25" s="1"/>
  <c r="DL339" i="25" s="1"/>
  <c r="DM339" i="25" s="1"/>
  <c r="DJ262" i="25"/>
  <c r="DK262" i="25" s="1"/>
  <c r="DL262" i="25" s="1"/>
  <c r="DM262" i="25" s="1"/>
  <c r="DJ216" i="25"/>
  <c r="DK216" i="25" s="1"/>
  <c r="DL216" i="25" s="1"/>
  <c r="DM216" i="25" s="1"/>
  <c r="DN326" i="25"/>
  <c r="DN390" i="25"/>
  <c r="DN210" i="25"/>
  <c r="DJ341" i="25"/>
  <c r="DK341" i="25" s="1"/>
  <c r="DL341" i="25" s="1"/>
  <c r="DM341" i="25" s="1"/>
  <c r="DJ229" i="25"/>
  <c r="DK229" i="25" s="1"/>
  <c r="DL229" i="25" s="1"/>
  <c r="DM229" i="25" s="1"/>
  <c r="DJ265" i="25"/>
  <c r="DK265" i="25" s="1"/>
  <c r="DL265" i="25" s="1"/>
  <c r="DM265" i="25" s="1"/>
  <c r="DJ324" i="25"/>
  <c r="DK324" i="25" s="1"/>
  <c r="DL324" i="25" s="1"/>
  <c r="DM324" i="25" s="1"/>
  <c r="DJ316" i="25"/>
  <c r="DK316" i="25" s="1"/>
  <c r="DL316" i="25" s="1"/>
  <c r="DM316" i="25" s="1"/>
  <c r="DJ321" i="25"/>
  <c r="DK321" i="25" s="1"/>
  <c r="DL321" i="25" s="1"/>
  <c r="DM321" i="25" s="1"/>
  <c r="DJ330" i="25"/>
  <c r="DK330" i="25" s="1"/>
  <c r="DL330" i="25" s="1"/>
  <c r="DM330" i="25" s="1"/>
  <c r="DJ217" i="25"/>
  <c r="DK217" i="25" s="1"/>
  <c r="DL217" i="25" s="1"/>
  <c r="DM217" i="25" s="1"/>
  <c r="DJ343" i="25"/>
  <c r="DK343" i="25" s="1"/>
  <c r="DL343" i="25" s="1"/>
  <c r="DM343" i="25" s="1"/>
  <c r="DJ292" i="25"/>
  <c r="DK292" i="25" s="1"/>
  <c r="DL292" i="25" s="1"/>
  <c r="DM292" i="25" s="1"/>
  <c r="DJ310" i="25"/>
  <c r="DK310" i="25" s="1"/>
  <c r="DL310" i="25" s="1"/>
  <c r="DM310" i="25" s="1"/>
  <c r="CB303" i="25"/>
  <c r="CB312" i="25"/>
  <c r="CB328" i="25"/>
  <c r="CB304" i="25"/>
  <c r="CB342" i="25"/>
  <c r="CB384" i="25"/>
  <c r="CB379" i="25"/>
  <c r="CB270" i="25"/>
  <c r="CB334" i="25"/>
  <c r="CB356" i="25"/>
  <c r="CB250" i="25"/>
  <c r="CB232" i="25"/>
  <c r="CB397" i="25"/>
  <c r="CB241" i="25"/>
  <c r="CB346" i="25"/>
  <c r="CB393" i="25"/>
  <c r="CB245" i="25"/>
  <c r="CB218" i="25"/>
  <c r="CB365" i="25"/>
  <c r="CB296" i="25"/>
  <c r="CB236" i="25"/>
  <c r="CB358" i="25"/>
  <c r="CB212" i="25"/>
  <c r="CB209" i="25"/>
  <c r="CB266" i="25"/>
  <c r="CB357" i="25"/>
  <c r="CB264" i="25"/>
  <c r="DJ303" i="25"/>
  <c r="DK303" i="25" s="1"/>
  <c r="DL303" i="25" s="1"/>
  <c r="DM303" i="25" s="1"/>
  <c r="DJ312" i="25"/>
  <c r="DK312" i="25" s="1"/>
  <c r="DL312" i="25" s="1"/>
  <c r="DM312" i="25" s="1"/>
  <c r="DJ304" i="25"/>
  <c r="DK304" i="25" s="1"/>
  <c r="DL304" i="25" s="1"/>
  <c r="DM304" i="25" s="1"/>
  <c r="DJ342" i="25"/>
  <c r="DK342" i="25" s="1"/>
  <c r="DL342" i="25" s="1"/>
  <c r="DM342" i="25" s="1"/>
  <c r="DJ384" i="25"/>
  <c r="DK384" i="25" s="1"/>
  <c r="DL384" i="25" s="1"/>
  <c r="DM384" i="25" s="1"/>
  <c r="DJ379" i="25"/>
  <c r="DK379" i="25" s="1"/>
  <c r="DL379" i="25" s="1"/>
  <c r="DM379" i="25" s="1"/>
  <c r="DJ270" i="25"/>
  <c r="DK270" i="25" s="1"/>
  <c r="DL270" i="25" s="1"/>
  <c r="DM270" i="25" s="1"/>
  <c r="DJ334" i="25"/>
  <c r="DK334" i="25" s="1"/>
  <c r="DL334" i="25" s="1"/>
  <c r="DM334" i="25" s="1"/>
  <c r="DJ356" i="25"/>
  <c r="DK356" i="25" s="1"/>
  <c r="DL356" i="25" s="1"/>
  <c r="DM356" i="25" s="1"/>
  <c r="DJ250" i="25"/>
  <c r="DK250" i="25" s="1"/>
  <c r="DL250" i="25" s="1"/>
  <c r="DM250" i="25" s="1"/>
  <c r="DJ232" i="25"/>
  <c r="DK232" i="25" s="1"/>
  <c r="DL232" i="25" s="1"/>
  <c r="DM232" i="25" s="1"/>
  <c r="DJ397" i="25"/>
  <c r="DK397" i="25" s="1"/>
  <c r="DL397" i="25" s="1"/>
  <c r="DM397" i="25" s="1"/>
  <c r="DJ241" i="25"/>
  <c r="DK241" i="25" s="1"/>
  <c r="DL241" i="25" s="1"/>
  <c r="DM241" i="25" s="1"/>
  <c r="DJ346" i="25"/>
  <c r="DK346" i="25" s="1"/>
  <c r="DL346" i="25" s="1"/>
  <c r="DM346" i="25" s="1"/>
  <c r="DJ393" i="25"/>
  <c r="DK393" i="25" s="1"/>
  <c r="DL393" i="25" s="1"/>
  <c r="DM393" i="25" s="1"/>
  <c r="DJ245" i="25"/>
  <c r="DK245" i="25" s="1"/>
  <c r="DL245" i="25" s="1"/>
  <c r="DM245" i="25" s="1"/>
  <c r="DJ218" i="25"/>
  <c r="DK218" i="25" s="1"/>
  <c r="DL218" i="25" s="1"/>
  <c r="DM218" i="25" s="1"/>
  <c r="DJ365" i="25"/>
  <c r="DK365" i="25" s="1"/>
  <c r="DL365" i="25" s="1"/>
  <c r="DM365" i="25" s="1"/>
  <c r="DJ328" i="25"/>
  <c r="DK328" i="25" s="1"/>
  <c r="DL328" i="25" s="1"/>
  <c r="DM328" i="25" s="1"/>
  <c r="CX303" i="25"/>
  <c r="CW303" i="25" s="1"/>
  <c r="DE303" i="25" s="1"/>
  <c r="CZ303" i="25"/>
  <c r="DB303" i="25" s="1"/>
  <c r="DX303" i="25" s="1"/>
  <c r="CY303" i="25"/>
  <c r="DC303" i="25"/>
  <c r="DD303" i="25" s="1"/>
  <c r="CY342" i="25"/>
  <c r="CX342" i="25"/>
  <c r="CW342" i="25" s="1"/>
  <c r="DE342" i="25" s="1"/>
  <c r="CZ342" i="25"/>
  <c r="DB342" i="25" s="1"/>
  <c r="DX342" i="25" s="1"/>
  <c r="DC342" i="25"/>
  <c r="DD342" i="25" s="1"/>
  <c r="CX334" i="25"/>
  <c r="CW334" i="25" s="1"/>
  <c r="DE334" i="25" s="1"/>
  <c r="CY334" i="25"/>
  <c r="CZ334" i="25"/>
  <c r="DB334" i="25" s="1"/>
  <c r="DX334" i="25" s="1"/>
  <c r="DC334" i="25"/>
  <c r="DD334" i="25" s="1"/>
  <c r="CZ241" i="25"/>
  <c r="DB241" i="25" s="1"/>
  <c r="DX241" i="25" s="1"/>
  <c r="CX241" i="25"/>
  <c r="CW241" i="25" s="1"/>
  <c r="DE241" i="25" s="1"/>
  <c r="DC241" i="25"/>
  <c r="DD241" i="25" s="1"/>
  <c r="CY241" i="25"/>
  <c r="CX211" i="25"/>
  <c r="CW211" i="25" s="1"/>
  <c r="DE211" i="25" s="1"/>
  <c r="CY211" i="25"/>
  <c r="DC211" i="25"/>
  <c r="DD211" i="25" s="1"/>
  <c r="CZ211" i="25"/>
  <c r="DB211" i="25" s="1"/>
  <c r="DX211" i="25" s="1"/>
  <c r="CX321" i="25"/>
  <c r="CW321" i="25" s="1"/>
  <c r="DE321" i="25" s="1"/>
  <c r="CY321" i="25"/>
  <c r="CZ321" i="25"/>
  <c r="DB321" i="25" s="1"/>
  <c r="DX321" i="25" s="1"/>
  <c r="DC321" i="25"/>
  <c r="DD321" i="25" s="1"/>
  <c r="CX330" i="25"/>
  <c r="CW330" i="25" s="1"/>
  <c r="DE330" i="25" s="1"/>
  <c r="CY330" i="25"/>
  <c r="CZ330" i="25"/>
  <c r="DB330" i="25" s="1"/>
  <c r="DX330" i="25" s="1"/>
  <c r="DC330" i="25"/>
  <c r="DD330" i="25" s="1"/>
  <c r="CX320" i="25"/>
  <c r="CW320" i="25" s="1"/>
  <c r="DE320" i="25" s="1"/>
  <c r="CY320" i="25"/>
  <c r="CZ320" i="25"/>
  <c r="DB320" i="25" s="1"/>
  <c r="DX320" i="25" s="1"/>
  <c r="DC320" i="25"/>
  <c r="DD320" i="25" s="1"/>
  <c r="CX295" i="25"/>
  <c r="CW295" i="25" s="1"/>
  <c r="DE295" i="25" s="1"/>
  <c r="CY295" i="25"/>
  <c r="CZ295" i="25"/>
  <c r="DB295" i="25" s="1"/>
  <c r="DX295" i="25" s="1"/>
  <c r="DC295" i="25"/>
  <c r="DD295" i="25" s="1"/>
  <c r="CX324" i="25"/>
  <c r="CW324" i="25" s="1"/>
  <c r="DE324" i="25" s="1"/>
  <c r="CY324" i="25"/>
  <c r="CZ324" i="25"/>
  <c r="DB324" i="25" s="1"/>
  <c r="DX324" i="25" s="1"/>
  <c r="DC324" i="25"/>
  <c r="DD324" i="25" s="1"/>
  <c r="CX382" i="25"/>
  <c r="CW382" i="25" s="1"/>
  <c r="DE382" i="25" s="1"/>
  <c r="CY382" i="25"/>
  <c r="CZ382" i="25"/>
  <c r="DB382" i="25" s="1"/>
  <c r="DX382" i="25" s="1"/>
  <c r="DC382" i="25"/>
  <c r="DD382" i="25" s="1"/>
  <c r="CX372" i="25"/>
  <c r="CW372" i="25" s="1"/>
  <c r="DE372" i="25" s="1"/>
  <c r="CY372" i="25"/>
  <c r="CZ372" i="25"/>
  <c r="DB372" i="25" s="1"/>
  <c r="DX372" i="25" s="1"/>
  <c r="DC372" i="25"/>
  <c r="DD372" i="25" s="1"/>
  <c r="CX268" i="25"/>
  <c r="CW268" i="25" s="1"/>
  <c r="DE268" i="25" s="1"/>
  <c r="CY268" i="25"/>
  <c r="CZ268" i="25"/>
  <c r="DB268" i="25" s="1"/>
  <c r="DX268" i="25" s="1"/>
  <c r="DC268" i="25"/>
  <c r="DD268" i="25" s="1"/>
  <c r="CX260" i="25"/>
  <c r="CW260" i="25" s="1"/>
  <c r="DE260" i="25" s="1"/>
  <c r="CY260" i="25"/>
  <c r="CZ260" i="25"/>
  <c r="DB260" i="25" s="1"/>
  <c r="DX260" i="25" s="1"/>
  <c r="DC260" i="25"/>
  <c r="DD260" i="25" s="1"/>
  <c r="CX239" i="25"/>
  <c r="CW239" i="25" s="1"/>
  <c r="DE239" i="25" s="1"/>
  <c r="CY239" i="25"/>
  <c r="CZ239" i="25"/>
  <c r="DB239" i="25" s="1"/>
  <c r="DX239" i="25" s="1"/>
  <c r="DC239" i="25"/>
  <c r="DD239" i="25" s="1"/>
  <c r="CX325" i="25"/>
  <c r="CW325" i="25" s="1"/>
  <c r="DE325" i="25" s="1"/>
  <c r="CY325" i="25"/>
  <c r="CZ325" i="25"/>
  <c r="DB325" i="25" s="1"/>
  <c r="DX325" i="25" s="1"/>
  <c r="DC325" i="25"/>
  <c r="DD325" i="25" s="1"/>
  <c r="CX252" i="25"/>
  <c r="CW252" i="25" s="1"/>
  <c r="DE252" i="25" s="1"/>
  <c r="CY252" i="25"/>
  <c r="CZ252" i="25"/>
  <c r="DB252" i="25" s="1"/>
  <c r="DX252" i="25" s="1"/>
  <c r="DC252" i="25"/>
  <c r="DD252" i="25" s="1"/>
  <c r="CX235" i="25"/>
  <c r="CW235" i="25" s="1"/>
  <c r="DE235" i="25" s="1"/>
  <c r="CY235" i="25"/>
  <c r="CZ235" i="25"/>
  <c r="DB235" i="25" s="1"/>
  <c r="DX235" i="25" s="1"/>
  <c r="DC235" i="25"/>
  <c r="DD235" i="25" s="1"/>
  <c r="CX253" i="25"/>
  <c r="CW253" i="25" s="1"/>
  <c r="DE253" i="25" s="1"/>
  <c r="CY253" i="25"/>
  <c r="CZ253" i="25"/>
  <c r="DB253" i="25" s="1"/>
  <c r="DX253" i="25" s="1"/>
  <c r="DC253" i="25"/>
  <c r="DD253" i="25" s="1"/>
  <c r="CX272" i="25"/>
  <c r="CW272" i="25" s="1"/>
  <c r="DE272" i="25" s="1"/>
  <c r="CY272" i="25"/>
  <c r="CZ272" i="25"/>
  <c r="DB272" i="25" s="1"/>
  <c r="DX272" i="25" s="1"/>
  <c r="DC272" i="25"/>
  <c r="DD272" i="25" s="1"/>
  <c r="CX392" i="25"/>
  <c r="CW392" i="25" s="1"/>
  <c r="DE392" i="25" s="1"/>
  <c r="CY392" i="25"/>
  <c r="CZ392" i="25"/>
  <c r="DB392" i="25" s="1"/>
  <c r="DX392" i="25" s="1"/>
  <c r="DC392" i="25"/>
  <c r="DD392" i="25" s="1"/>
  <c r="CX300" i="25"/>
  <c r="CW300" i="25" s="1"/>
  <c r="DE300" i="25" s="1"/>
  <c r="CY300" i="25"/>
  <c r="CZ300" i="25"/>
  <c r="DB300" i="25" s="1"/>
  <c r="DX300" i="25" s="1"/>
  <c r="DC300" i="25"/>
  <c r="DD300" i="25" s="1"/>
  <c r="CX217" i="25"/>
  <c r="CW217" i="25" s="1"/>
  <c r="DE217" i="25" s="1"/>
  <c r="CY217" i="25"/>
  <c r="CZ217" i="25"/>
  <c r="DB217" i="25" s="1"/>
  <c r="DX217" i="25" s="1"/>
  <c r="DC217" i="25"/>
  <c r="DD217" i="25" s="1"/>
  <c r="CX343" i="25"/>
  <c r="CW343" i="25" s="1"/>
  <c r="DE343" i="25" s="1"/>
  <c r="CY343" i="25"/>
  <c r="CZ343" i="25"/>
  <c r="DB343" i="25" s="1"/>
  <c r="DX343" i="25" s="1"/>
  <c r="DC343" i="25"/>
  <c r="DD343" i="25" s="1"/>
  <c r="CY209" i="25"/>
  <c r="CZ209" i="25"/>
  <c r="DB209" i="25" s="1"/>
  <c r="DX209" i="25" s="1"/>
  <c r="CX209" i="25"/>
  <c r="CW209" i="25" s="1"/>
  <c r="DE209" i="25" s="1"/>
  <c r="DC209" i="25"/>
  <c r="DD209" i="25" s="1"/>
  <c r="CX266" i="25"/>
  <c r="CW266" i="25" s="1"/>
  <c r="DE266" i="25" s="1"/>
  <c r="CY266" i="25"/>
  <c r="CZ266" i="25"/>
  <c r="DB266" i="25" s="1"/>
  <c r="DX266" i="25" s="1"/>
  <c r="DC266" i="25"/>
  <c r="DD266" i="25" s="1"/>
  <c r="CX357" i="25"/>
  <c r="CW357" i="25" s="1"/>
  <c r="DE357" i="25" s="1"/>
  <c r="CY357" i="25"/>
  <c r="CZ357" i="25"/>
  <c r="DB357" i="25" s="1"/>
  <c r="DX357" i="25" s="1"/>
  <c r="DC357" i="25"/>
  <c r="DD357" i="25" s="1"/>
  <c r="CX264" i="25"/>
  <c r="CW264" i="25" s="1"/>
  <c r="DE264" i="25" s="1"/>
  <c r="CY264" i="25"/>
  <c r="CZ264" i="25"/>
  <c r="DB264" i="25" s="1"/>
  <c r="DX264" i="25" s="1"/>
  <c r="DC264" i="25"/>
  <c r="DD264" i="25" s="1"/>
  <c r="CX208" i="25"/>
  <c r="CW208" i="25" s="1"/>
  <c r="DE208" i="25" s="1"/>
  <c r="CY208" i="25"/>
  <c r="CZ208" i="25"/>
  <c r="DB208" i="25" s="1"/>
  <c r="DX208" i="25" s="1"/>
  <c r="DC208" i="25"/>
  <c r="DD208" i="25" s="1"/>
  <c r="CX259" i="25"/>
  <c r="CW259" i="25" s="1"/>
  <c r="DE259" i="25" s="1"/>
  <c r="CY259" i="25"/>
  <c r="CZ259" i="25"/>
  <c r="DB259" i="25" s="1"/>
  <c r="DX259" i="25" s="1"/>
  <c r="DC259" i="25"/>
  <c r="DD259" i="25" s="1"/>
  <c r="CZ312" i="25"/>
  <c r="DB312" i="25" s="1"/>
  <c r="DX312" i="25" s="1"/>
  <c r="CY312" i="25"/>
  <c r="CX312" i="25"/>
  <c r="CW312" i="25" s="1"/>
  <c r="DE312" i="25" s="1"/>
  <c r="DC312" i="25"/>
  <c r="DD312" i="25" s="1"/>
  <c r="CZ384" i="25"/>
  <c r="DB384" i="25" s="1"/>
  <c r="DX384" i="25" s="1"/>
  <c r="CX384" i="25"/>
  <c r="CW384" i="25" s="1"/>
  <c r="DE384" i="25" s="1"/>
  <c r="CY384" i="25"/>
  <c r="DC384" i="25"/>
  <c r="DD384" i="25" s="1"/>
  <c r="CZ356" i="25"/>
  <c r="DB356" i="25" s="1"/>
  <c r="DX356" i="25" s="1"/>
  <c r="CX356" i="25"/>
  <c r="CW356" i="25" s="1"/>
  <c r="DE356" i="25" s="1"/>
  <c r="CY356" i="25"/>
  <c r="DC356" i="25"/>
  <c r="DD356" i="25" s="1"/>
  <c r="CY397" i="25"/>
  <c r="CX397" i="25"/>
  <c r="CW397" i="25" s="1"/>
  <c r="DE397" i="25" s="1"/>
  <c r="CZ397" i="25"/>
  <c r="DB397" i="25" s="1"/>
  <c r="DX397" i="25" s="1"/>
  <c r="DC397" i="25"/>
  <c r="DD397" i="25" s="1"/>
  <c r="CX245" i="25"/>
  <c r="CW245" i="25" s="1"/>
  <c r="DE245" i="25" s="1"/>
  <c r="CZ245" i="25"/>
  <c r="DB245" i="25" s="1"/>
  <c r="DX245" i="25" s="1"/>
  <c r="CY245" i="25"/>
  <c r="DC245" i="25"/>
  <c r="DD245" i="25" s="1"/>
  <c r="CX358" i="25"/>
  <c r="CW358" i="25" s="1"/>
  <c r="DE358" i="25" s="1"/>
  <c r="DC358" i="25"/>
  <c r="DD358" i="25" s="1"/>
  <c r="CZ358" i="25"/>
  <c r="DB358" i="25" s="1"/>
  <c r="DX358" i="25" s="1"/>
  <c r="CY358" i="25"/>
  <c r="CX212" i="25"/>
  <c r="CW212" i="25" s="1"/>
  <c r="DE212" i="25" s="1"/>
  <c r="DC212" i="25"/>
  <c r="DD212" i="25" s="1"/>
  <c r="CY212" i="25"/>
  <c r="CZ212" i="25"/>
  <c r="DB212" i="25" s="1"/>
  <c r="DX212" i="25" s="1"/>
  <c r="CX332" i="25"/>
  <c r="CW332" i="25" s="1"/>
  <c r="DE332" i="25" s="1"/>
  <c r="CZ332" i="25"/>
  <c r="DB332" i="25" s="1"/>
  <c r="DX332" i="25" s="1"/>
  <c r="CY332" i="25"/>
  <c r="DC332" i="25"/>
  <c r="DD332" i="25" s="1"/>
  <c r="CZ328" i="25"/>
  <c r="DB328" i="25" s="1"/>
  <c r="DX328" i="25" s="1"/>
  <c r="CY328" i="25"/>
  <c r="DC328" i="25"/>
  <c r="DD328" i="25" s="1"/>
  <c r="CX328" i="25"/>
  <c r="CW328" i="25" s="1"/>
  <c r="DE328" i="25" s="1"/>
  <c r="CK379" i="25"/>
  <c r="CL379" i="25" s="1"/>
  <c r="CP379" i="25" s="1"/>
  <c r="CQ379" i="25" s="1"/>
  <c r="CT379" i="25" s="1"/>
  <c r="CX379" i="25"/>
  <c r="CW379" i="25" s="1"/>
  <c r="DE379" i="25" s="1"/>
  <c r="CY379" i="25"/>
  <c r="CZ379" i="25"/>
  <c r="DB379" i="25" s="1"/>
  <c r="DX379" i="25" s="1"/>
  <c r="DC379" i="25"/>
  <c r="DD379" i="25" s="1"/>
  <c r="CY232" i="25"/>
  <c r="CX232" i="25"/>
  <c r="CW232" i="25" s="1"/>
  <c r="DE232" i="25" s="1"/>
  <c r="CZ232" i="25"/>
  <c r="DB232" i="25" s="1"/>
  <c r="DX232" i="25" s="1"/>
  <c r="DC232" i="25"/>
  <c r="DD232" i="25" s="1"/>
  <c r="CK393" i="25"/>
  <c r="CX393" i="25"/>
  <c r="CW393" i="25" s="1"/>
  <c r="DE393" i="25" s="1"/>
  <c r="CY393" i="25"/>
  <c r="CZ393" i="25"/>
  <c r="DB393" i="25" s="1"/>
  <c r="DX393" i="25" s="1"/>
  <c r="DC393" i="25"/>
  <c r="DD393" i="25" s="1"/>
  <c r="CZ365" i="25"/>
  <c r="DB365" i="25" s="1"/>
  <c r="DX365" i="25" s="1"/>
  <c r="CY365" i="25"/>
  <c r="DC365" i="25"/>
  <c r="DD365" i="25" s="1"/>
  <c r="CX365" i="25"/>
  <c r="CW365" i="25" s="1"/>
  <c r="DE365" i="25" s="1"/>
  <c r="CX236" i="25"/>
  <c r="CW236" i="25" s="1"/>
  <c r="DE236" i="25" s="1"/>
  <c r="CZ236" i="25"/>
  <c r="DB236" i="25" s="1"/>
  <c r="DX236" i="25" s="1"/>
  <c r="CY236" i="25"/>
  <c r="DC236" i="25"/>
  <c r="DD236" i="25" s="1"/>
  <c r="CX292" i="25"/>
  <c r="CW292" i="25" s="1"/>
  <c r="DE292" i="25" s="1"/>
  <c r="CZ292" i="25"/>
  <c r="DB292" i="25" s="1"/>
  <c r="DX292" i="25" s="1"/>
  <c r="DC292" i="25"/>
  <c r="DD292" i="25" s="1"/>
  <c r="CY292" i="25"/>
  <c r="CX310" i="25"/>
  <c r="CW310" i="25" s="1"/>
  <c r="DE310" i="25" s="1"/>
  <c r="CY310" i="25"/>
  <c r="DC310" i="25"/>
  <c r="DD310" i="25" s="1"/>
  <c r="CZ310" i="25"/>
  <c r="DB310" i="25" s="1"/>
  <c r="DX310" i="25" s="1"/>
  <c r="CX315" i="25"/>
  <c r="CW315" i="25" s="1"/>
  <c r="DE315" i="25" s="1"/>
  <c r="CZ315" i="25"/>
  <c r="DB315" i="25" s="1"/>
  <c r="DX315" i="25" s="1"/>
  <c r="DC315" i="25"/>
  <c r="DD315" i="25" s="1"/>
  <c r="CY315" i="25"/>
  <c r="CX289" i="25"/>
  <c r="CW289" i="25" s="1"/>
  <c r="DE289" i="25" s="1"/>
  <c r="CY289" i="25"/>
  <c r="DC289" i="25"/>
  <c r="DD289" i="25" s="1"/>
  <c r="CZ289" i="25"/>
  <c r="DB289" i="25" s="1"/>
  <c r="DX289" i="25" s="1"/>
  <c r="CX258" i="25"/>
  <c r="CW258" i="25" s="1"/>
  <c r="DE258" i="25" s="1"/>
  <c r="CY258" i="25"/>
  <c r="CZ258" i="25"/>
  <c r="DB258" i="25" s="1"/>
  <c r="DX258" i="25" s="1"/>
  <c r="DC258" i="25"/>
  <c r="DD258" i="25" s="1"/>
  <c r="CX341" i="25"/>
  <c r="CW341" i="25" s="1"/>
  <c r="DE341" i="25" s="1"/>
  <c r="CZ341" i="25"/>
  <c r="DB341" i="25" s="1"/>
  <c r="DX341" i="25" s="1"/>
  <c r="DC341" i="25"/>
  <c r="DD341" i="25" s="1"/>
  <c r="CY341" i="25"/>
  <c r="CX271" i="25"/>
  <c r="CW271" i="25" s="1"/>
  <c r="DE271" i="25" s="1"/>
  <c r="CY271" i="25"/>
  <c r="DC271" i="25"/>
  <c r="DD271" i="25" s="1"/>
  <c r="CZ271" i="25"/>
  <c r="DB271" i="25" s="1"/>
  <c r="DX271" i="25" s="1"/>
  <c r="CX274" i="25"/>
  <c r="CW274" i="25" s="1"/>
  <c r="DE274" i="25" s="1"/>
  <c r="CY274" i="25"/>
  <c r="CZ274" i="25"/>
  <c r="DB274" i="25" s="1"/>
  <c r="DX274" i="25" s="1"/>
  <c r="DC274" i="25"/>
  <c r="DD274" i="25" s="1"/>
  <c r="CX378" i="25"/>
  <c r="CW378" i="25" s="1"/>
  <c r="DE378" i="25" s="1"/>
  <c r="DC378" i="25"/>
  <c r="DD378" i="25" s="1"/>
  <c r="CY378" i="25"/>
  <c r="CZ378" i="25"/>
  <c r="DB378" i="25" s="1"/>
  <c r="DX378" i="25" s="1"/>
  <c r="CX349" i="25"/>
  <c r="CW349" i="25" s="1"/>
  <c r="DE349" i="25" s="1"/>
  <c r="DC349" i="25"/>
  <c r="DD349" i="25" s="1"/>
  <c r="CZ349" i="25"/>
  <c r="DB349" i="25" s="1"/>
  <c r="DX349" i="25" s="1"/>
  <c r="CY349" i="25"/>
  <c r="CX370" i="25"/>
  <c r="CW370" i="25" s="1"/>
  <c r="DE370" i="25" s="1"/>
  <c r="CZ370" i="25"/>
  <c r="DB370" i="25" s="1"/>
  <c r="DX370" i="25" s="1"/>
  <c r="CY370" i="25"/>
  <c r="DC370" i="25"/>
  <c r="DD370" i="25" s="1"/>
  <c r="CX231" i="25"/>
  <c r="CW231" i="25" s="1"/>
  <c r="DE231" i="25" s="1"/>
  <c r="CY231" i="25"/>
  <c r="DC231" i="25"/>
  <c r="DD231" i="25" s="1"/>
  <c r="CZ231" i="25"/>
  <c r="DB231" i="25" s="1"/>
  <c r="DX231" i="25" s="1"/>
  <c r="CX369" i="25"/>
  <c r="CW369" i="25" s="1"/>
  <c r="DE369" i="25" s="1"/>
  <c r="CZ369" i="25"/>
  <c r="DB369" i="25" s="1"/>
  <c r="DX369" i="25" s="1"/>
  <c r="DC369" i="25"/>
  <c r="DD369" i="25" s="1"/>
  <c r="CY369" i="25"/>
  <c r="CX399" i="25"/>
  <c r="CW399" i="25" s="1"/>
  <c r="DE399" i="25" s="1"/>
  <c r="CZ399" i="25"/>
  <c r="DB399" i="25" s="1"/>
  <c r="DX399" i="25" s="1"/>
  <c r="DC399" i="25"/>
  <c r="DD399" i="25" s="1"/>
  <c r="CY399" i="25"/>
  <c r="CX311" i="25"/>
  <c r="CW311" i="25" s="1"/>
  <c r="DE311" i="25" s="1"/>
  <c r="CY311" i="25"/>
  <c r="DC311" i="25"/>
  <c r="DD311" i="25" s="1"/>
  <c r="CZ311" i="25"/>
  <c r="DB311" i="25" s="1"/>
  <c r="DX311" i="25" s="1"/>
  <c r="CX366" i="25"/>
  <c r="CW366" i="25" s="1"/>
  <c r="DE366" i="25" s="1"/>
  <c r="CY366" i="25"/>
  <c r="CZ366" i="25"/>
  <c r="DB366" i="25" s="1"/>
  <c r="DX366" i="25" s="1"/>
  <c r="DC366" i="25"/>
  <c r="DD366" i="25" s="1"/>
  <c r="CX220" i="25"/>
  <c r="CW220" i="25" s="1"/>
  <c r="DE220" i="25" s="1"/>
  <c r="CY220" i="25"/>
  <c r="DC220" i="25"/>
  <c r="DD220" i="25" s="1"/>
  <c r="CZ220" i="25"/>
  <c r="DB220" i="25" s="1"/>
  <c r="DX220" i="25" s="1"/>
  <c r="CX229" i="25"/>
  <c r="CW229" i="25" s="1"/>
  <c r="DE229" i="25" s="1"/>
  <c r="CY229" i="25"/>
  <c r="DC229" i="25"/>
  <c r="DD229" i="25" s="1"/>
  <c r="CZ229" i="25"/>
  <c r="DB229" i="25" s="1"/>
  <c r="DX229" i="25" s="1"/>
  <c r="CX298" i="25"/>
  <c r="CW298" i="25" s="1"/>
  <c r="DE298" i="25" s="1"/>
  <c r="CY298" i="25"/>
  <c r="CZ298" i="25"/>
  <c r="DB298" i="25" s="1"/>
  <c r="DX298" i="25" s="1"/>
  <c r="DC298" i="25"/>
  <c r="DD298" i="25" s="1"/>
  <c r="CY400" i="25"/>
  <c r="CX400" i="25"/>
  <c r="CW400" i="25" s="1"/>
  <c r="DE400" i="25" s="1"/>
  <c r="DC400" i="25"/>
  <c r="DD400" i="25" s="1"/>
  <c r="CZ400" i="25"/>
  <c r="DB400" i="25" s="1"/>
  <c r="DX400" i="25" s="1"/>
  <c r="CY361" i="25"/>
  <c r="CX361" i="25"/>
  <c r="CW361" i="25" s="1"/>
  <c r="DE361" i="25" s="1"/>
  <c r="CZ361" i="25"/>
  <c r="DB361" i="25" s="1"/>
  <c r="DX361" i="25" s="1"/>
  <c r="DC361" i="25"/>
  <c r="DD361" i="25" s="1"/>
  <c r="CY347" i="25"/>
  <c r="CZ347" i="25"/>
  <c r="DB347" i="25" s="1"/>
  <c r="DX347" i="25" s="1"/>
  <c r="CX347" i="25"/>
  <c r="CW347" i="25" s="1"/>
  <c r="DE347" i="25" s="1"/>
  <c r="DC347" i="25"/>
  <c r="DD347" i="25" s="1"/>
  <c r="CX261" i="25"/>
  <c r="CW261" i="25" s="1"/>
  <c r="DE261" i="25" s="1"/>
  <c r="CY261" i="25"/>
  <c r="CZ261" i="25"/>
  <c r="DB261" i="25" s="1"/>
  <c r="DX261" i="25" s="1"/>
  <c r="DC261" i="25"/>
  <c r="DD261" i="25" s="1"/>
  <c r="CX256" i="25"/>
  <c r="CW256" i="25" s="1"/>
  <c r="DE256" i="25" s="1"/>
  <c r="CY256" i="25"/>
  <c r="DC256" i="25"/>
  <c r="DD256" i="25" s="1"/>
  <c r="CZ256" i="25"/>
  <c r="DB256" i="25" s="1"/>
  <c r="DX256" i="25" s="1"/>
  <c r="CX387" i="25"/>
  <c r="CW387" i="25" s="1"/>
  <c r="DE387" i="25" s="1"/>
  <c r="CY387" i="25"/>
  <c r="DC387" i="25"/>
  <c r="DD387" i="25" s="1"/>
  <c r="CZ387" i="25"/>
  <c r="DB387" i="25" s="1"/>
  <c r="DX387" i="25" s="1"/>
  <c r="CX290" i="25"/>
  <c r="CW290" i="25" s="1"/>
  <c r="DE290" i="25" s="1"/>
  <c r="CY290" i="25"/>
  <c r="CZ290" i="25"/>
  <c r="DB290" i="25" s="1"/>
  <c r="DX290" i="25" s="1"/>
  <c r="DC290" i="25"/>
  <c r="DD290" i="25" s="1"/>
  <c r="CX280" i="25"/>
  <c r="CW280" i="25" s="1"/>
  <c r="DE280" i="25" s="1"/>
  <c r="CY280" i="25"/>
  <c r="CZ280" i="25"/>
  <c r="DB280" i="25" s="1"/>
  <c r="DX280" i="25" s="1"/>
  <c r="DC280" i="25"/>
  <c r="DD280" i="25" s="1"/>
  <c r="CX314" i="25"/>
  <c r="CW314" i="25" s="1"/>
  <c r="DE314" i="25" s="1"/>
  <c r="CY314" i="25"/>
  <c r="CZ314" i="25"/>
  <c r="DB314" i="25" s="1"/>
  <c r="DX314" i="25" s="1"/>
  <c r="DC314" i="25"/>
  <c r="DD314" i="25" s="1"/>
  <c r="CX288" i="25"/>
  <c r="CW288" i="25" s="1"/>
  <c r="DE288" i="25" s="1"/>
  <c r="CY288" i="25"/>
  <c r="CZ288" i="25"/>
  <c r="DB288" i="25" s="1"/>
  <c r="DX288" i="25" s="1"/>
  <c r="DC288" i="25"/>
  <c r="DD288" i="25" s="1"/>
  <c r="CX377" i="25"/>
  <c r="CW377" i="25" s="1"/>
  <c r="DE377" i="25" s="1"/>
  <c r="CY377" i="25"/>
  <c r="CZ377" i="25"/>
  <c r="DB377" i="25" s="1"/>
  <c r="DX377" i="25" s="1"/>
  <c r="DC377" i="25"/>
  <c r="DD377" i="25" s="1"/>
  <c r="CX354" i="25"/>
  <c r="CW354" i="25" s="1"/>
  <c r="DE354" i="25" s="1"/>
  <c r="CY354" i="25"/>
  <c r="CZ354" i="25"/>
  <c r="DB354" i="25" s="1"/>
  <c r="DX354" i="25" s="1"/>
  <c r="DC354" i="25"/>
  <c r="DD354" i="25" s="1"/>
  <c r="CX352" i="25"/>
  <c r="CW352" i="25" s="1"/>
  <c r="DE352" i="25" s="1"/>
  <c r="CY352" i="25"/>
  <c r="CZ352" i="25"/>
  <c r="DB352" i="25" s="1"/>
  <c r="DX352" i="25" s="1"/>
  <c r="DC352" i="25"/>
  <c r="DD352" i="25" s="1"/>
  <c r="CX323" i="25"/>
  <c r="CW323" i="25" s="1"/>
  <c r="DE323" i="25" s="1"/>
  <c r="CY323" i="25"/>
  <c r="CZ323" i="25"/>
  <c r="DB323" i="25" s="1"/>
  <c r="DX323" i="25" s="1"/>
  <c r="DC323" i="25"/>
  <c r="DD323" i="25" s="1"/>
  <c r="CX335" i="25"/>
  <c r="CW335" i="25" s="1"/>
  <c r="DE335" i="25" s="1"/>
  <c r="CY335" i="25"/>
  <c r="CZ335" i="25"/>
  <c r="DB335" i="25" s="1"/>
  <c r="DX335" i="25" s="1"/>
  <c r="DC335" i="25"/>
  <c r="DD335" i="25" s="1"/>
  <c r="CX237" i="25"/>
  <c r="CW237" i="25" s="1"/>
  <c r="DE237" i="25" s="1"/>
  <c r="CY237" i="25"/>
  <c r="CZ237" i="25"/>
  <c r="DB237" i="25" s="1"/>
  <c r="DX237" i="25" s="1"/>
  <c r="DC237" i="25"/>
  <c r="DD237" i="25" s="1"/>
  <c r="CX251" i="25"/>
  <c r="CW251" i="25" s="1"/>
  <c r="DE251" i="25" s="1"/>
  <c r="CY251" i="25"/>
  <c r="CZ251" i="25"/>
  <c r="DB251" i="25" s="1"/>
  <c r="DX251" i="25" s="1"/>
  <c r="DC251" i="25"/>
  <c r="DD251" i="25" s="1"/>
  <c r="CX265" i="25"/>
  <c r="CW265" i="25" s="1"/>
  <c r="DE265" i="25" s="1"/>
  <c r="CY265" i="25"/>
  <c r="CZ265" i="25"/>
  <c r="DB265" i="25" s="1"/>
  <c r="DX265" i="25" s="1"/>
  <c r="DC265" i="25"/>
  <c r="DD265" i="25" s="1"/>
  <c r="CX403" i="25"/>
  <c r="CW403" i="25" s="1"/>
  <c r="DE403" i="25" s="1"/>
  <c r="CY403" i="25"/>
  <c r="CZ403" i="25"/>
  <c r="DB403" i="25" s="1"/>
  <c r="DX403" i="25" s="1"/>
  <c r="DC403" i="25"/>
  <c r="DD403" i="25" s="1"/>
  <c r="CX394" i="25"/>
  <c r="CW394" i="25" s="1"/>
  <c r="DE394" i="25" s="1"/>
  <c r="CY394" i="25"/>
  <c r="CZ394" i="25"/>
  <c r="DB394" i="25" s="1"/>
  <c r="DX394" i="25" s="1"/>
  <c r="DC394" i="25"/>
  <c r="DD394" i="25" s="1"/>
  <c r="CX345" i="25"/>
  <c r="CW345" i="25" s="1"/>
  <c r="DE345" i="25" s="1"/>
  <c r="CY345" i="25"/>
  <c r="CZ345" i="25"/>
  <c r="DB345" i="25" s="1"/>
  <c r="DX345" i="25" s="1"/>
  <c r="DC345" i="25"/>
  <c r="DD345" i="25" s="1"/>
  <c r="CX219" i="25"/>
  <c r="CW219" i="25" s="1"/>
  <c r="DE219" i="25" s="1"/>
  <c r="CY219" i="25"/>
  <c r="CZ219" i="25"/>
  <c r="DB219" i="25" s="1"/>
  <c r="DX219" i="25" s="1"/>
  <c r="DC219" i="25"/>
  <c r="DD219" i="25" s="1"/>
  <c r="CX297" i="25"/>
  <c r="CW297" i="25" s="1"/>
  <c r="DE297" i="25" s="1"/>
  <c r="CY297" i="25"/>
  <c r="CZ297" i="25"/>
  <c r="DB297" i="25" s="1"/>
  <c r="DX297" i="25" s="1"/>
  <c r="DC297" i="25"/>
  <c r="DD297" i="25" s="1"/>
  <c r="CY248" i="25"/>
  <c r="CZ248" i="25"/>
  <c r="DB248" i="25" s="1"/>
  <c r="DX248" i="25" s="1"/>
  <c r="CX248" i="25"/>
  <c r="CW248" i="25" s="1"/>
  <c r="DE248" i="25" s="1"/>
  <c r="DC248" i="25"/>
  <c r="DD248" i="25" s="1"/>
  <c r="CY360" i="25"/>
  <c r="CZ360" i="25"/>
  <c r="DB360" i="25" s="1"/>
  <c r="DX360" i="25" s="1"/>
  <c r="CX360" i="25"/>
  <c r="CW360" i="25" s="1"/>
  <c r="DE360" i="25" s="1"/>
  <c r="DC360" i="25"/>
  <c r="DD360" i="25" s="1"/>
  <c r="CY344" i="25"/>
  <c r="CZ344" i="25"/>
  <c r="DB344" i="25" s="1"/>
  <c r="DX344" i="25" s="1"/>
  <c r="CX344" i="25"/>
  <c r="CW344" i="25" s="1"/>
  <c r="DE344" i="25" s="1"/>
  <c r="DC344" i="25"/>
  <c r="DD344" i="25" s="1"/>
  <c r="CY285" i="25"/>
  <c r="CZ285" i="25"/>
  <c r="DB285" i="25" s="1"/>
  <c r="DX285" i="25" s="1"/>
  <c r="CX285" i="25"/>
  <c r="CW285" i="25" s="1"/>
  <c r="DE285" i="25" s="1"/>
  <c r="DC285" i="25"/>
  <c r="DD285" i="25" s="1"/>
  <c r="CX362" i="25"/>
  <c r="CW362" i="25" s="1"/>
  <c r="DE362" i="25" s="1"/>
  <c r="CY362" i="25"/>
  <c r="CZ362" i="25"/>
  <c r="DB362" i="25" s="1"/>
  <c r="DX362" i="25" s="1"/>
  <c r="DC362" i="25"/>
  <c r="DD362" i="25" s="1"/>
  <c r="CX386" i="25"/>
  <c r="CW386" i="25" s="1"/>
  <c r="DE386" i="25" s="1"/>
  <c r="CY386" i="25"/>
  <c r="CZ386" i="25"/>
  <c r="DB386" i="25" s="1"/>
  <c r="DX386" i="25" s="1"/>
  <c r="DC386" i="25"/>
  <c r="DD386" i="25" s="1"/>
  <c r="CX318" i="25"/>
  <c r="CW318" i="25" s="1"/>
  <c r="DE318" i="25" s="1"/>
  <c r="CY318" i="25"/>
  <c r="DC318" i="25"/>
  <c r="DD318" i="25" s="1"/>
  <c r="CZ318" i="25"/>
  <c r="DB318" i="25" s="1"/>
  <c r="DX318" i="25" s="1"/>
  <c r="CX329" i="25"/>
  <c r="CW329" i="25" s="1"/>
  <c r="DE329" i="25" s="1"/>
  <c r="CY329" i="25"/>
  <c r="DC329" i="25"/>
  <c r="DD329" i="25" s="1"/>
  <c r="CZ329" i="25"/>
  <c r="DB329" i="25" s="1"/>
  <c r="DX329" i="25" s="1"/>
  <c r="CX309" i="25"/>
  <c r="CW309" i="25" s="1"/>
  <c r="DE309" i="25" s="1"/>
  <c r="CY309" i="25"/>
  <c r="DC309" i="25"/>
  <c r="DD309" i="25" s="1"/>
  <c r="CZ309" i="25"/>
  <c r="DB309" i="25" s="1"/>
  <c r="DX309" i="25" s="1"/>
  <c r="CX287" i="25"/>
  <c r="CW287" i="25" s="1"/>
  <c r="DE287" i="25" s="1"/>
  <c r="CY287" i="25"/>
  <c r="DC287" i="25"/>
  <c r="DD287" i="25" s="1"/>
  <c r="CZ287" i="25"/>
  <c r="DB287" i="25" s="1"/>
  <c r="DX287" i="25" s="1"/>
  <c r="CX254" i="25"/>
  <c r="CW254" i="25" s="1"/>
  <c r="DE254" i="25" s="1"/>
  <c r="CY254" i="25"/>
  <c r="CZ254" i="25"/>
  <c r="DB254" i="25" s="1"/>
  <c r="DX254" i="25" s="1"/>
  <c r="DC254" i="25"/>
  <c r="DD254" i="25" s="1"/>
  <c r="CX376" i="25"/>
  <c r="CW376" i="25" s="1"/>
  <c r="DE376" i="25" s="1"/>
  <c r="CY376" i="25"/>
  <c r="CZ376" i="25"/>
  <c r="DB376" i="25" s="1"/>
  <c r="DX376" i="25" s="1"/>
  <c r="DC376" i="25"/>
  <c r="DD376" i="25" s="1"/>
  <c r="CX350" i="25"/>
  <c r="CW350" i="25" s="1"/>
  <c r="DE350" i="25" s="1"/>
  <c r="CY350" i="25"/>
  <c r="CZ350" i="25"/>
  <c r="DB350" i="25" s="1"/>
  <c r="DX350" i="25" s="1"/>
  <c r="DC350" i="25"/>
  <c r="DD350" i="25" s="1"/>
  <c r="CX380" i="25"/>
  <c r="CW380" i="25" s="1"/>
  <c r="DE380" i="25" s="1"/>
  <c r="CY380" i="25"/>
  <c r="CZ380" i="25"/>
  <c r="DB380" i="25" s="1"/>
  <c r="DX380" i="25" s="1"/>
  <c r="DC380" i="25"/>
  <c r="DD380" i="25" s="1"/>
  <c r="CX322" i="25"/>
  <c r="CW322" i="25" s="1"/>
  <c r="DE322" i="25" s="1"/>
  <c r="CY322" i="25"/>
  <c r="CZ322" i="25"/>
  <c r="DB322" i="25" s="1"/>
  <c r="DX322" i="25" s="1"/>
  <c r="DC322" i="25"/>
  <c r="DD322" i="25" s="1"/>
  <c r="CX327" i="25"/>
  <c r="CW327" i="25" s="1"/>
  <c r="DE327" i="25" s="1"/>
  <c r="CY327" i="25"/>
  <c r="CZ327" i="25"/>
  <c r="DB327" i="25" s="1"/>
  <c r="DX327" i="25" s="1"/>
  <c r="DC327" i="25"/>
  <c r="DD327" i="25" s="1"/>
  <c r="CX234" i="25"/>
  <c r="CW234" i="25" s="1"/>
  <c r="DE234" i="25" s="1"/>
  <c r="CY234" i="25"/>
  <c r="CZ234" i="25"/>
  <c r="DB234" i="25" s="1"/>
  <c r="DX234" i="25" s="1"/>
  <c r="DC234" i="25"/>
  <c r="DD234" i="25" s="1"/>
  <c r="CX273" i="25"/>
  <c r="CW273" i="25" s="1"/>
  <c r="DE273" i="25" s="1"/>
  <c r="CY273" i="25"/>
  <c r="CZ273" i="25"/>
  <c r="DB273" i="25" s="1"/>
  <c r="DX273" i="25" s="1"/>
  <c r="DC273" i="25"/>
  <c r="DD273" i="25" s="1"/>
  <c r="CX267" i="25"/>
  <c r="CW267" i="25" s="1"/>
  <c r="DE267" i="25" s="1"/>
  <c r="CY267" i="25"/>
  <c r="CZ267" i="25"/>
  <c r="DB267" i="25" s="1"/>
  <c r="DX267" i="25" s="1"/>
  <c r="DC267" i="25"/>
  <c r="DD267" i="25" s="1"/>
  <c r="CX396" i="25"/>
  <c r="CW396" i="25" s="1"/>
  <c r="DE396" i="25" s="1"/>
  <c r="CY396" i="25"/>
  <c r="CZ396" i="25"/>
  <c r="DB396" i="25" s="1"/>
  <c r="DX396" i="25" s="1"/>
  <c r="DC396" i="25"/>
  <c r="DD396" i="25" s="1"/>
  <c r="CX291" i="25"/>
  <c r="CW291" i="25" s="1"/>
  <c r="DE291" i="25" s="1"/>
  <c r="CY291" i="25"/>
  <c r="CZ291" i="25"/>
  <c r="DB291" i="25" s="1"/>
  <c r="DX291" i="25" s="1"/>
  <c r="DC291" i="25"/>
  <c r="DD291" i="25" s="1"/>
  <c r="CX391" i="25"/>
  <c r="CW391" i="25" s="1"/>
  <c r="DE391" i="25" s="1"/>
  <c r="CY391" i="25"/>
  <c r="CZ391" i="25"/>
  <c r="DB391" i="25" s="1"/>
  <c r="DX391" i="25" s="1"/>
  <c r="DC391" i="25"/>
  <c r="DD391" i="25" s="1"/>
  <c r="CX227" i="25"/>
  <c r="CW227" i="25" s="1"/>
  <c r="DE227" i="25" s="1"/>
  <c r="CY227" i="25"/>
  <c r="CZ227" i="25"/>
  <c r="DB227" i="25" s="1"/>
  <c r="DX227" i="25" s="1"/>
  <c r="DC227" i="25"/>
  <c r="DD227" i="25" s="1"/>
  <c r="CX276" i="25"/>
  <c r="CW276" i="25" s="1"/>
  <c r="DE276" i="25" s="1"/>
  <c r="CY276" i="25"/>
  <c r="CZ276" i="25"/>
  <c r="DB276" i="25" s="1"/>
  <c r="DX276" i="25" s="1"/>
  <c r="DC276" i="25"/>
  <c r="DD276" i="25" s="1"/>
  <c r="CX294" i="25"/>
  <c r="CW294" i="25" s="1"/>
  <c r="DE294" i="25" s="1"/>
  <c r="CY294" i="25"/>
  <c r="CZ294" i="25"/>
  <c r="DB294" i="25" s="1"/>
  <c r="DX294" i="25" s="1"/>
  <c r="DC294" i="25"/>
  <c r="DD294" i="25" s="1"/>
  <c r="CY246" i="25"/>
  <c r="CZ246" i="25"/>
  <c r="DB246" i="25" s="1"/>
  <c r="DX246" i="25" s="1"/>
  <c r="CX246" i="25"/>
  <c r="CW246" i="25" s="1"/>
  <c r="DE246" i="25" s="1"/>
  <c r="DC246" i="25"/>
  <c r="DD246" i="25" s="1"/>
  <c r="CY333" i="25"/>
  <c r="CZ333" i="25"/>
  <c r="DB333" i="25" s="1"/>
  <c r="DX333" i="25" s="1"/>
  <c r="CX333" i="25"/>
  <c r="CW333" i="25" s="1"/>
  <c r="DE333" i="25" s="1"/>
  <c r="DC333" i="25"/>
  <c r="DD333" i="25" s="1"/>
  <c r="CY225" i="25"/>
  <c r="CZ225" i="25"/>
  <c r="DB225" i="25" s="1"/>
  <c r="DX225" i="25" s="1"/>
  <c r="CX225" i="25"/>
  <c r="CW225" i="25" s="1"/>
  <c r="DE225" i="25" s="1"/>
  <c r="DC225" i="25"/>
  <c r="DD225" i="25" s="1"/>
  <c r="CY243" i="25"/>
  <c r="CZ243" i="25"/>
  <c r="DB243" i="25" s="1"/>
  <c r="DX243" i="25" s="1"/>
  <c r="CX243" i="25"/>
  <c r="CW243" i="25" s="1"/>
  <c r="DE243" i="25" s="1"/>
  <c r="DC243" i="25"/>
  <c r="DD243" i="25" s="1"/>
  <c r="CY281" i="25"/>
  <c r="CZ281" i="25"/>
  <c r="DB281" i="25" s="1"/>
  <c r="DX281" i="25" s="1"/>
  <c r="CX281" i="25"/>
  <c r="CW281" i="25" s="1"/>
  <c r="DE281" i="25" s="1"/>
  <c r="DC281" i="25"/>
  <c r="DD281" i="25" s="1"/>
  <c r="CX374" i="25"/>
  <c r="CW374" i="25" s="1"/>
  <c r="DE374" i="25" s="1"/>
  <c r="CY374" i="25"/>
  <c r="CZ374" i="25"/>
  <c r="DB374" i="25" s="1"/>
  <c r="DX374" i="25" s="1"/>
  <c r="DC374" i="25"/>
  <c r="DD374" i="25" s="1"/>
  <c r="CX331" i="25"/>
  <c r="CW331" i="25" s="1"/>
  <c r="DE331" i="25" s="1"/>
  <c r="CY331" i="25"/>
  <c r="CZ331" i="25"/>
  <c r="DB331" i="25" s="1"/>
  <c r="DX331" i="25" s="1"/>
  <c r="DC331" i="25"/>
  <c r="DD331" i="25" s="1"/>
  <c r="CX301" i="25"/>
  <c r="CW301" i="25" s="1"/>
  <c r="DE301" i="25" s="1"/>
  <c r="CY301" i="25"/>
  <c r="CZ301" i="25"/>
  <c r="DB301" i="25" s="1"/>
  <c r="DX301" i="25" s="1"/>
  <c r="DC301" i="25"/>
  <c r="DD301" i="25" s="1"/>
  <c r="CX308" i="25"/>
  <c r="CW308" i="25" s="1"/>
  <c r="DE308" i="25" s="1"/>
  <c r="CY308" i="25"/>
  <c r="CZ308" i="25"/>
  <c r="DB308" i="25" s="1"/>
  <c r="DX308" i="25" s="1"/>
  <c r="DC308" i="25"/>
  <c r="DD308" i="25" s="1"/>
  <c r="CX283" i="25"/>
  <c r="CW283" i="25" s="1"/>
  <c r="DE283" i="25" s="1"/>
  <c r="CY283" i="25"/>
  <c r="CZ283" i="25"/>
  <c r="DB283" i="25" s="1"/>
  <c r="DX283" i="25" s="1"/>
  <c r="DC283" i="25"/>
  <c r="DD283" i="25" s="1"/>
  <c r="CX383" i="25"/>
  <c r="CW383" i="25" s="1"/>
  <c r="DE383" i="25" s="1"/>
  <c r="CY383" i="25"/>
  <c r="CZ383" i="25"/>
  <c r="DB383" i="25" s="1"/>
  <c r="DX383" i="25" s="1"/>
  <c r="DC383" i="25"/>
  <c r="DD383" i="25" s="1"/>
  <c r="CX375" i="25"/>
  <c r="CW375" i="25" s="1"/>
  <c r="DE375" i="25" s="1"/>
  <c r="CY375" i="25"/>
  <c r="CZ375" i="25"/>
  <c r="DB375" i="25" s="1"/>
  <c r="DX375" i="25" s="1"/>
  <c r="DC375" i="25"/>
  <c r="DD375" i="25" s="1"/>
  <c r="CK371" i="25"/>
  <c r="CX371" i="25"/>
  <c r="CW371" i="25" s="1"/>
  <c r="DE371" i="25" s="1"/>
  <c r="CY371" i="25"/>
  <c r="CZ371" i="25"/>
  <c r="DB371" i="25" s="1"/>
  <c r="DX371" i="25" s="1"/>
  <c r="DC371" i="25"/>
  <c r="DD371" i="25" s="1"/>
  <c r="CX247" i="25"/>
  <c r="CW247" i="25" s="1"/>
  <c r="DE247" i="25" s="1"/>
  <c r="CY247" i="25"/>
  <c r="CZ247" i="25"/>
  <c r="DB247" i="25" s="1"/>
  <c r="DX247" i="25" s="1"/>
  <c r="DC247" i="25"/>
  <c r="DD247" i="25" s="1"/>
  <c r="CX364" i="25"/>
  <c r="CW364" i="25" s="1"/>
  <c r="DE364" i="25" s="1"/>
  <c r="CY364" i="25"/>
  <c r="CZ364" i="25"/>
  <c r="DB364" i="25" s="1"/>
  <c r="DX364" i="25" s="1"/>
  <c r="DC364" i="25"/>
  <c r="DD364" i="25" s="1"/>
  <c r="CX326" i="25"/>
  <c r="CW326" i="25" s="1"/>
  <c r="DE326" i="25" s="1"/>
  <c r="CY326" i="25"/>
  <c r="CZ326" i="25"/>
  <c r="DB326" i="25" s="1"/>
  <c r="DX326" i="25" s="1"/>
  <c r="DC326" i="25"/>
  <c r="DD326" i="25" s="1"/>
  <c r="CX221" i="25"/>
  <c r="CW221" i="25" s="1"/>
  <c r="DE221" i="25" s="1"/>
  <c r="CY221" i="25"/>
  <c r="CZ221" i="25"/>
  <c r="DB221" i="25" s="1"/>
  <c r="DX221" i="25" s="1"/>
  <c r="DC221" i="25"/>
  <c r="DD221" i="25" s="1"/>
  <c r="CX249" i="25"/>
  <c r="CW249" i="25" s="1"/>
  <c r="DE249" i="25" s="1"/>
  <c r="CY249" i="25"/>
  <c r="CZ249" i="25"/>
  <c r="DB249" i="25" s="1"/>
  <c r="DX249" i="25" s="1"/>
  <c r="DC249" i="25"/>
  <c r="DD249" i="25" s="1"/>
  <c r="CX255" i="25"/>
  <c r="CW255" i="25" s="1"/>
  <c r="DE255" i="25" s="1"/>
  <c r="CY255" i="25"/>
  <c r="CZ255" i="25"/>
  <c r="DB255" i="25" s="1"/>
  <c r="DX255" i="25" s="1"/>
  <c r="DC255" i="25"/>
  <c r="DD255" i="25" s="1"/>
  <c r="CX402" i="25"/>
  <c r="CW402" i="25" s="1"/>
  <c r="DE402" i="25" s="1"/>
  <c r="CY402" i="25"/>
  <c r="CZ402" i="25"/>
  <c r="DB402" i="25" s="1"/>
  <c r="DX402" i="25" s="1"/>
  <c r="DC402" i="25"/>
  <c r="DD402" i="25" s="1"/>
  <c r="CX395" i="25"/>
  <c r="CW395" i="25" s="1"/>
  <c r="DE395" i="25" s="1"/>
  <c r="CY395" i="25"/>
  <c r="CZ395" i="25"/>
  <c r="DB395" i="25" s="1"/>
  <c r="DX395" i="25" s="1"/>
  <c r="DC395" i="25"/>
  <c r="DD395" i="25" s="1"/>
  <c r="CX390" i="25"/>
  <c r="CW390" i="25" s="1"/>
  <c r="DE390" i="25" s="1"/>
  <c r="CY390" i="25"/>
  <c r="CZ390" i="25"/>
  <c r="DB390" i="25" s="1"/>
  <c r="DX390" i="25" s="1"/>
  <c r="DC390" i="25"/>
  <c r="DD390" i="25" s="1"/>
  <c r="CX336" i="25"/>
  <c r="CW336" i="25" s="1"/>
  <c r="DE336" i="25" s="1"/>
  <c r="CY336" i="25"/>
  <c r="CZ336" i="25"/>
  <c r="DB336" i="25" s="1"/>
  <c r="DX336" i="25" s="1"/>
  <c r="DC336" i="25"/>
  <c r="DD336" i="25" s="1"/>
  <c r="CX215" i="25"/>
  <c r="CW215" i="25" s="1"/>
  <c r="DE215" i="25" s="1"/>
  <c r="CY215" i="25"/>
  <c r="CZ215" i="25"/>
  <c r="DB215" i="25" s="1"/>
  <c r="DX215" i="25" s="1"/>
  <c r="DC215" i="25"/>
  <c r="DD215" i="25" s="1"/>
  <c r="CX368" i="25"/>
  <c r="CW368" i="25" s="1"/>
  <c r="DE368" i="25" s="1"/>
  <c r="CY368" i="25"/>
  <c r="CZ368" i="25"/>
  <c r="DB368" i="25" s="1"/>
  <c r="DX368" i="25" s="1"/>
  <c r="DC368" i="25"/>
  <c r="DD368" i="25" s="1"/>
  <c r="CY363" i="25"/>
  <c r="CZ363" i="25"/>
  <c r="DB363" i="25" s="1"/>
  <c r="DX363" i="25" s="1"/>
  <c r="CX363" i="25"/>
  <c r="CW363" i="25" s="1"/>
  <c r="DE363" i="25" s="1"/>
  <c r="DC363" i="25"/>
  <c r="DD363" i="25" s="1"/>
  <c r="CY359" i="25"/>
  <c r="CZ359" i="25"/>
  <c r="DB359" i="25" s="1"/>
  <c r="DX359" i="25" s="1"/>
  <c r="CX359" i="25"/>
  <c r="CW359" i="25" s="1"/>
  <c r="DE359" i="25" s="1"/>
  <c r="DC359" i="25"/>
  <c r="DD359" i="25" s="1"/>
  <c r="CY224" i="25"/>
  <c r="CZ224" i="25"/>
  <c r="DB224" i="25" s="1"/>
  <c r="DX224" i="25" s="1"/>
  <c r="CX224" i="25"/>
  <c r="CW224" i="25" s="1"/>
  <c r="DE224" i="25" s="1"/>
  <c r="DC224" i="25"/>
  <c r="DD224" i="25" s="1"/>
  <c r="CY242" i="25"/>
  <c r="CZ242" i="25"/>
  <c r="DB242" i="25" s="1"/>
  <c r="DX242" i="25" s="1"/>
  <c r="CX242" i="25"/>
  <c r="CW242" i="25" s="1"/>
  <c r="DE242" i="25" s="1"/>
  <c r="DC242" i="25"/>
  <c r="DD242" i="25" s="1"/>
  <c r="CY210" i="25"/>
  <c r="CZ210" i="25"/>
  <c r="DB210" i="25" s="1"/>
  <c r="DX210" i="25" s="1"/>
  <c r="CX210" i="25"/>
  <c r="CW210" i="25" s="1"/>
  <c r="DE210" i="25" s="1"/>
  <c r="DC210" i="25"/>
  <c r="DD210" i="25" s="1"/>
  <c r="CX340" i="25"/>
  <c r="CW340" i="25" s="1"/>
  <c r="DE340" i="25" s="1"/>
  <c r="CY340" i="25"/>
  <c r="CZ340" i="25"/>
  <c r="DB340" i="25" s="1"/>
  <c r="DX340" i="25" s="1"/>
  <c r="DC340" i="25"/>
  <c r="DD340" i="25" s="1"/>
  <c r="CZ304" i="25"/>
  <c r="DB304" i="25" s="1"/>
  <c r="DX304" i="25" s="1"/>
  <c r="CY304" i="25"/>
  <c r="CX304" i="25"/>
  <c r="CW304" i="25" s="1"/>
  <c r="DE304" i="25" s="1"/>
  <c r="DC304" i="25"/>
  <c r="DD304" i="25" s="1"/>
  <c r="CX270" i="25"/>
  <c r="CW270" i="25" s="1"/>
  <c r="DE270" i="25" s="1"/>
  <c r="CY270" i="25"/>
  <c r="CZ270" i="25"/>
  <c r="DB270" i="25" s="1"/>
  <c r="DX270" i="25" s="1"/>
  <c r="DC270" i="25"/>
  <c r="DD270" i="25" s="1"/>
  <c r="CZ250" i="25"/>
  <c r="DB250" i="25" s="1"/>
  <c r="DX250" i="25" s="1"/>
  <c r="CY250" i="25"/>
  <c r="DC250" i="25"/>
  <c r="DD250" i="25" s="1"/>
  <c r="CX250" i="25"/>
  <c r="CW250" i="25" s="1"/>
  <c r="DE250" i="25" s="1"/>
  <c r="CK346" i="25"/>
  <c r="CL346" i="25" s="1"/>
  <c r="CP346" i="25" s="1"/>
  <c r="CQ346" i="25" s="1"/>
  <c r="CT346" i="25" s="1"/>
  <c r="CX346" i="25"/>
  <c r="CW346" i="25" s="1"/>
  <c r="DE346" i="25" s="1"/>
  <c r="CY346" i="25"/>
  <c r="DC346" i="25"/>
  <c r="DD346" i="25" s="1"/>
  <c r="CZ346" i="25"/>
  <c r="DB346" i="25" s="1"/>
  <c r="DX346" i="25" s="1"/>
  <c r="CY218" i="25"/>
  <c r="CZ218" i="25"/>
  <c r="DB218" i="25" s="1"/>
  <c r="DX218" i="25" s="1"/>
  <c r="CX218" i="25"/>
  <c r="CW218" i="25" s="1"/>
  <c r="DE218" i="25" s="1"/>
  <c r="DC218" i="25"/>
  <c r="DD218" i="25" s="1"/>
  <c r="CX296" i="25"/>
  <c r="CW296" i="25" s="1"/>
  <c r="DE296" i="25" s="1"/>
  <c r="CZ296" i="25"/>
  <c r="DB296" i="25" s="1"/>
  <c r="DX296" i="25" s="1"/>
  <c r="CY296" i="25"/>
  <c r="DC296" i="25"/>
  <c r="DD296" i="25" s="1"/>
  <c r="CX313" i="25"/>
  <c r="CW313" i="25" s="1"/>
  <c r="DE313" i="25" s="1"/>
  <c r="CZ313" i="25"/>
  <c r="DB313" i="25" s="1"/>
  <c r="DX313" i="25" s="1"/>
  <c r="CY313" i="25"/>
  <c r="DC313" i="25"/>
  <c r="DD313" i="25" s="1"/>
  <c r="CX278" i="25"/>
  <c r="CW278" i="25" s="1"/>
  <c r="DE278" i="25" s="1"/>
  <c r="CY278" i="25"/>
  <c r="CZ278" i="25"/>
  <c r="DB278" i="25" s="1"/>
  <c r="DX278" i="25" s="1"/>
  <c r="DC278" i="25"/>
  <c r="DD278" i="25" s="1"/>
  <c r="CX307" i="25"/>
  <c r="CW307" i="25" s="1"/>
  <c r="DE307" i="25" s="1"/>
  <c r="CZ307" i="25"/>
  <c r="DB307" i="25" s="1"/>
  <c r="DX307" i="25" s="1"/>
  <c r="CY307" i="25"/>
  <c r="DC307" i="25"/>
  <c r="DD307" i="25" s="1"/>
  <c r="CX279" i="25"/>
  <c r="CW279" i="25" s="1"/>
  <c r="DE279" i="25" s="1"/>
  <c r="CY279" i="25"/>
  <c r="CZ279" i="25"/>
  <c r="DB279" i="25" s="1"/>
  <c r="DX279" i="25" s="1"/>
  <c r="DC279" i="25"/>
  <c r="DD279" i="25" s="1"/>
  <c r="CX385" i="25"/>
  <c r="CW385" i="25" s="1"/>
  <c r="DE385" i="25" s="1"/>
  <c r="CZ385" i="25"/>
  <c r="DB385" i="25" s="1"/>
  <c r="DX385" i="25" s="1"/>
  <c r="CY385" i="25"/>
  <c r="DC385" i="25"/>
  <c r="DD385" i="25" s="1"/>
  <c r="CX355" i="25"/>
  <c r="CW355" i="25" s="1"/>
  <c r="DE355" i="25" s="1"/>
  <c r="CY355" i="25"/>
  <c r="CZ355" i="25"/>
  <c r="DB355" i="25" s="1"/>
  <c r="DX355" i="25" s="1"/>
  <c r="DC355" i="25"/>
  <c r="DD355" i="25" s="1"/>
  <c r="CX275" i="25"/>
  <c r="CW275" i="25" s="1"/>
  <c r="DE275" i="25" s="1"/>
  <c r="CY275" i="25"/>
  <c r="CZ275" i="25"/>
  <c r="DB275" i="25" s="1"/>
  <c r="DX275" i="25" s="1"/>
  <c r="DC275" i="25"/>
  <c r="DD275" i="25" s="1"/>
  <c r="CX353" i="25"/>
  <c r="CW353" i="25" s="1"/>
  <c r="DE353" i="25" s="1"/>
  <c r="CY353" i="25"/>
  <c r="CZ353" i="25"/>
  <c r="DB353" i="25" s="1"/>
  <c r="DX353" i="25" s="1"/>
  <c r="DC353" i="25"/>
  <c r="DD353" i="25" s="1"/>
  <c r="CX240" i="25"/>
  <c r="CW240" i="25" s="1"/>
  <c r="DE240" i="25" s="1"/>
  <c r="CY240" i="25"/>
  <c r="DC240" i="25"/>
  <c r="DD240" i="25" s="1"/>
  <c r="CX233" i="25"/>
  <c r="CW233" i="25" s="1"/>
  <c r="DE233" i="25" s="1"/>
  <c r="CY233" i="25"/>
  <c r="CZ233" i="25"/>
  <c r="DB233" i="25" s="1"/>
  <c r="DX233" i="25" s="1"/>
  <c r="DC233" i="25"/>
  <c r="DD233" i="25" s="1"/>
  <c r="CX284" i="25"/>
  <c r="CW284" i="25" s="1"/>
  <c r="DE284" i="25" s="1"/>
  <c r="CY284" i="25"/>
  <c r="CZ284" i="25"/>
  <c r="DB284" i="25" s="1"/>
  <c r="DX284" i="25" s="1"/>
  <c r="DC284" i="25"/>
  <c r="DD284" i="25" s="1"/>
  <c r="CX230" i="25"/>
  <c r="CW230" i="25" s="1"/>
  <c r="DE230" i="25" s="1"/>
  <c r="CY230" i="25"/>
  <c r="CZ230" i="25"/>
  <c r="DB230" i="25" s="1"/>
  <c r="DX230" i="25" s="1"/>
  <c r="DC230" i="25"/>
  <c r="DD230" i="25" s="1"/>
  <c r="CX367" i="25"/>
  <c r="CW367" i="25" s="1"/>
  <c r="DE367" i="25" s="1"/>
  <c r="CY367" i="25"/>
  <c r="CZ367" i="25"/>
  <c r="DB367" i="25" s="1"/>
  <c r="DX367" i="25" s="1"/>
  <c r="DC367" i="25"/>
  <c r="DD367" i="25" s="1"/>
  <c r="CX348" i="25"/>
  <c r="CW348" i="25" s="1"/>
  <c r="DE348" i="25" s="1"/>
  <c r="CY348" i="25"/>
  <c r="CZ348" i="25"/>
  <c r="DB348" i="25" s="1"/>
  <c r="DX348" i="25" s="1"/>
  <c r="DC348" i="25"/>
  <c r="DD348" i="25" s="1"/>
  <c r="CK305" i="25"/>
  <c r="CX305" i="25"/>
  <c r="CW305" i="25" s="1"/>
  <c r="DE305" i="25" s="1"/>
  <c r="CY305" i="25"/>
  <c r="CZ305" i="25"/>
  <c r="DB305" i="25" s="1"/>
  <c r="DX305" i="25" s="1"/>
  <c r="DC305" i="25"/>
  <c r="DD305" i="25" s="1"/>
  <c r="CX302" i="25"/>
  <c r="CW302" i="25" s="1"/>
  <c r="DE302" i="25" s="1"/>
  <c r="CY302" i="25"/>
  <c r="CZ302" i="25"/>
  <c r="DB302" i="25" s="1"/>
  <c r="DX302" i="25" s="1"/>
  <c r="DC302" i="25"/>
  <c r="DD302" i="25" s="1"/>
  <c r="CX213" i="25"/>
  <c r="CW213" i="25" s="1"/>
  <c r="DE213" i="25" s="1"/>
  <c r="CY213" i="25"/>
  <c r="DC213" i="25"/>
  <c r="DD213" i="25" s="1"/>
  <c r="CX214" i="25"/>
  <c r="CW214" i="25" s="1"/>
  <c r="DE214" i="25" s="1"/>
  <c r="CY214" i="25"/>
  <c r="CZ214" i="25"/>
  <c r="DB214" i="25" s="1"/>
  <c r="DX214" i="25" s="1"/>
  <c r="DC214" i="25"/>
  <c r="DD214" i="25" s="1"/>
  <c r="CX286" i="25"/>
  <c r="CW286" i="25" s="1"/>
  <c r="DE286" i="25" s="1"/>
  <c r="CY286" i="25"/>
  <c r="CZ286" i="25"/>
  <c r="DB286" i="25" s="1"/>
  <c r="DX286" i="25" s="1"/>
  <c r="DC286" i="25"/>
  <c r="DD286" i="25" s="1"/>
  <c r="CY238" i="25"/>
  <c r="CX238" i="25"/>
  <c r="CW238" i="25" s="1"/>
  <c r="DE238" i="25" s="1"/>
  <c r="DC238" i="25"/>
  <c r="DD238" i="25" s="1"/>
  <c r="CZ238" i="25"/>
  <c r="DB238" i="25" s="1"/>
  <c r="DX238" i="25" s="1"/>
  <c r="CY282" i="25"/>
  <c r="CX282" i="25"/>
  <c r="CW282" i="25" s="1"/>
  <c r="DE282" i="25" s="1"/>
  <c r="DC282" i="25"/>
  <c r="DD282" i="25" s="1"/>
  <c r="CZ282" i="25"/>
  <c r="DB282" i="25" s="1"/>
  <c r="DX282" i="25" s="1"/>
  <c r="CY269" i="25"/>
  <c r="CX269" i="25"/>
  <c r="CW269" i="25" s="1"/>
  <c r="DE269" i="25" s="1"/>
  <c r="DC269" i="25"/>
  <c r="DD269" i="25" s="1"/>
  <c r="CZ269" i="25"/>
  <c r="DB269" i="25" s="1"/>
  <c r="DX269" i="25" s="1"/>
  <c r="CK207" i="25"/>
  <c r="CL207" i="25" s="1"/>
  <c r="CP207" i="25" s="1"/>
  <c r="CQ207" i="25" s="1"/>
  <c r="CT207" i="25" s="1"/>
  <c r="CY207" i="25"/>
  <c r="CX207" i="25"/>
  <c r="CW207" i="25" s="1"/>
  <c r="DE207" i="25" s="1"/>
  <c r="DC207" i="25"/>
  <c r="DD207" i="25" s="1"/>
  <c r="CZ207" i="25"/>
  <c r="DB207" i="25" s="1"/>
  <c r="DX207" i="25" s="1"/>
  <c r="CY277" i="25"/>
  <c r="CX277" i="25"/>
  <c r="CW277" i="25" s="1"/>
  <c r="DE277" i="25" s="1"/>
  <c r="CZ277" i="25"/>
  <c r="DB277" i="25" s="1"/>
  <c r="DX277" i="25" s="1"/>
  <c r="DC277" i="25"/>
  <c r="DD277" i="25" s="1"/>
  <c r="CK337" i="25"/>
  <c r="CY337" i="25"/>
  <c r="CX337" i="25"/>
  <c r="CW337" i="25" s="1"/>
  <c r="DE337" i="25" s="1"/>
  <c r="DC337" i="25"/>
  <c r="DD337" i="25" s="1"/>
  <c r="CZ337" i="25"/>
  <c r="DB337" i="25" s="1"/>
  <c r="DX337" i="25" s="1"/>
  <c r="CX317" i="25"/>
  <c r="CW317" i="25" s="1"/>
  <c r="DE317" i="25" s="1"/>
  <c r="CY317" i="25"/>
  <c r="CZ317" i="25"/>
  <c r="DB317" i="25" s="1"/>
  <c r="DX317" i="25" s="1"/>
  <c r="CX306" i="25"/>
  <c r="CW306" i="25" s="1"/>
  <c r="DE306" i="25" s="1"/>
  <c r="CY306" i="25"/>
  <c r="CZ306" i="25"/>
  <c r="DB306" i="25" s="1"/>
  <c r="DX306" i="25" s="1"/>
  <c r="DC306" i="25"/>
  <c r="DD306" i="25" s="1"/>
  <c r="CX319" i="25"/>
  <c r="CW319" i="25" s="1"/>
  <c r="DE319" i="25" s="1"/>
  <c r="CY319" i="25"/>
  <c r="CZ319" i="25"/>
  <c r="DB319" i="25" s="1"/>
  <c r="DX319" i="25" s="1"/>
  <c r="DC319" i="25"/>
  <c r="DD319" i="25" s="1"/>
  <c r="CK293" i="25"/>
  <c r="CL293" i="25" s="1"/>
  <c r="CP293" i="25" s="1"/>
  <c r="CQ293" i="25" s="1"/>
  <c r="CT293" i="25" s="1"/>
  <c r="CX293" i="25"/>
  <c r="CW293" i="25" s="1"/>
  <c r="DE293" i="25" s="1"/>
  <c r="CY293" i="25"/>
  <c r="CZ293" i="25"/>
  <c r="DB293" i="25" s="1"/>
  <c r="DX293" i="25" s="1"/>
  <c r="DC293" i="25"/>
  <c r="DD293" i="25" s="1"/>
  <c r="CX316" i="25"/>
  <c r="CW316" i="25" s="1"/>
  <c r="DE316" i="25" s="1"/>
  <c r="CY316" i="25"/>
  <c r="CZ316" i="25"/>
  <c r="DB316" i="25" s="1"/>
  <c r="DX316" i="25" s="1"/>
  <c r="DC316" i="25"/>
  <c r="DD316" i="25" s="1"/>
  <c r="CX381" i="25"/>
  <c r="CW381" i="25" s="1"/>
  <c r="DE381" i="25" s="1"/>
  <c r="CY381" i="25"/>
  <c r="CZ381" i="25"/>
  <c r="DB381" i="25" s="1"/>
  <c r="DX381" i="25" s="1"/>
  <c r="DC381" i="25"/>
  <c r="DD381" i="25" s="1"/>
  <c r="CX373" i="25"/>
  <c r="CW373" i="25" s="1"/>
  <c r="DE373" i="25" s="1"/>
  <c r="CY373" i="25"/>
  <c r="CZ373" i="25"/>
  <c r="DB373" i="25" s="1"/>
  <c r="DX373" i="25" s="1"/>
  <c r="DC373" i="25"/>
  <c r="DD373" i="25" s="1"/>
  <c r="CX223" i="25"/>
  <c r="CW223" i="25" s="1"/>
  <c r="DE223" i="25" s="1"/>
  <c r="CY223" i="25"/>
  <c r="CZ223" i="25"/>
  <c r="DB223" i="25" s="1"/>
  <c r="DX223" i="25" s="1"/>
  <c r="DC223" i="25"/>
  <c r="DD223" i="25" s="1"/>
  <c r="CX338" i="25"/>
  <c r="CW338" i="25" s="1"/>
  <c r="DE338" i="25" s="1"/>
  <c r="CY338" i="25"/>
  <c r="CZ338" i="25"/>
  <c r="DB338" i="25" s="1"/>
  <c r="DX338" i="25" s="1"/>
  <c r="DC338" i="25"/>
  <c r="DD338" i="25" s="1"/>
  <c r="CX244" i="25"/>
  <c r="CW244" i="25" s="1"/>
  <c r="DE244" i="25" s="1"/>
  <c r="CY244" i="25"/>
  <c r="CZ244" i="25"/>
  <c r="DB244" i="25" s="1"/>
  <c r="DX244" i="25" s="1"/>
  <c r="DC244" i="25"/>
  <c r="DD244" i="25" s="1"/>
  <c r="CX398" i="25"/>
  <c r="CW398" i="25" s="1"/>
  <c r="DE398" i="25" s="1"/>
  <c r="CY398" i="25"/>
  <c r="CZ398" i="25"/>
  <c r="DB398" i="25" s="1"/>
  <c r="DX398" i="25" s="1"/>
  <c r="DC398" i="25"/>
  <c r="DD398" i="25" s="1"/>
  <c r="CX228" i="25"/>
  <c r="CW228" i="25" s="1"/>
  <c r="DE228" i="25" s="1"/>
  <c r="CY228" i="25"/>
  <c r="CZ228" i="25"/>
  <c r="DB228" i="25" s="1"/>
  <c r="DX228" i="25" s="1"/>
  <c r="DC228" i="25"/>
  <c r="DD228" i="25" s="1"/>
  <c r="CX222" i="25"/>
  <c r="CW222" i="25" s="1"/>
  <c r="DE222" i="25" s="1"/>
  <c r="CY222" i="25"/>
  <c r="CZ222" i="25"/>
  <c r="DB222" i="25" s="1"/>
  <c r="DX222" i="25" s="1"/>
  <c r="DC222" i="25"/>
  <c r="DD222" i="25" s="1"/>
  <c r="CX339" i="25"/>
  <c r="CW339" i="25" s="1"/>
  <c r="DE339" i="25" s="1"/>
  <c r="CY339" i="25"/>
  <c r="CZ339" i="25"/>
  <c r="DB339" i="25" s="1"/>
  <c r="DX339" i="25" s="1"/>
  <c r="DC339" i="25"/>
  <c r="DD339" i="25" s="1"/>
  <c r="CX262" i="25"/>
  <c r="CW262" i="25" s="1"/>
  <c r="DE262" i="25" s="1"/>
  <c r="CY262" i="25"/>
  <c r="CZ262" i="25"/>
  <c r="DB262" i="25" s="1"/>
  <c r="DX262" i="25" s="1"/>
  <c r="DC262" i="25"/>
  <c r="DD262" i="25" s="1"/>
  <c r="CK216" i="25"/>
  <c r="CX216" i="25"/>
  <c r="CW216" i="25" s="1"/>
  <c r="DE216" i="25" s="1"/>
  <c r="CY216" i="25"/>
  <c r="CZ216" i="25"/>
  <c r="DB216" i="25" s="1"/>
  <c r="DX216" i="25" s="1"/>
  <c r="DC216" i="25"/>
  <c r="DD216" i="25" s="1"/>
  <c r="CX299" i="25"/>
  <c r="CW299" i="25" s="1"/>
  <c r="DE299" i="25" s="1"/>
  <c r="CY299" i="25"/>
  <c r="CZ299" i="25"/>
  <c r="DB299" i="25" s="1"/>
  <c r="DX299" i="25" s="1"/>
  <c r="DC299" i="25"/>
  <c r="DD299" i="25" s="1"/>
  <c r="CY401" i="25"/>
  <c r="CZ401" i="25"/>
  <c r="DB401" i="25" s="1"/>
  <c r="DX401" i="25" s="1"/>
  <c r="DC401" i="25"/>
  <c r="DD401" i="25" s="1"/>
  <c r="CX401" i="25"/>
  <c r="CW401" i="25" s="1"/>
  <c r="DE401" i="25" s="1"/>
  <c r="CY226" i="25"/>
  <c r="CZ226" i="25"/>
  <c r="DB226" i="25" s="1"/>
  <c r="DX226" i="25" s="1"/>
  <c r="DC226" i="25"/>
  <c r="DD226" i="25" s="1"/>
  <c r="CX226" i="25"/>
  <c r="CW226" i="25" s="1"/>
  <c r="DE226" i="25" s="1"/>
  <c r="CX351" i="25"/>
  <c r="CW351" i="25" s="1"/>
  <c r="DE351" i="25" s="1"/>
  <c r="CY351" i="25"/>
  <c r="CZ351" i="25"/>
  <c r="DB351" i="25" s="1"/>
  <c r="DX351" i="25" s="1"/>
  <c r="DC351" i="25"/>
  <c r="DD351" i="25" s="1"/>
  <c r="CX263" i="25"/>
  <c r="CW263" i="25" s="1"/>
  <c r="DE263" i="25" s="1"/>
  <c r="CY263" i="25"/>
  <c r="CZ263" i="25"/>
  <c r="DB263" i="25" s="1"/>
  <c r="DX263" i="25" s="1"/>
  <c r="DC263" i="25"/>
  <c r="DD263" i="25" s="1"/>
  <c r="CX389" i="25"/>
  <c r="CW389" i="25" s="1"/>
  <c r="DE389" i="25" s="1"/>
  <c r="CY389" i="25"/>
  <c r="CZ389" i="25"/>
  <c r="DB389" i="25" s="1"/>
  <c r="DX389" i="25" s="1"/>
  <c r="DC389" i="25"/>
  <c r="DD389" i="25" s="1"/>
  <c r="CX388" i="25"/>
  <c r="CW388" i="25" s="1"/>
  <c r="DE388" i="25" s="1"/>
  <c r="CY388" i="25"/>
  <c r="CZ388" i="25"/>
  <c r="DB388" i="25" s="1"/>
  <c r="DX388" i="25" s="1"/>
  <c r="DC388" i="25"/>
  <c r="DD388" i="25" s="1"/>
  <c r="CZ240" i="25"/>
  <c r="DB240" i="25" s="1"/>
  <c r="DX240" i="25" s="1"/>
  <c r="I245" i="92"/>
  <c r="H245" i="92"/>
  <c r="L248" i="92"/>
  <c r="CO295" i="25" l="1"/>
  <c r="CR295" i="25" s="1"/>
  <c r="CS295" i="25" s="1"/>
  <c r="CO309" i="25"/>
  <c r="CR309" i="25" s="1"/>
  <c r="CS309" i="25" s="1"/>
  <c r="CL320" i="25"/>
  <c r="CP320" i="25" s="1"/>
  <c r="CQ320" i="25" s="1"/>
  <c r="CT320" i="25" s="1"/>
  <c r="CO320" i="25"/>
  <c r="CR320" i="25" s="1"/>
  <c r="CS320" i="25" s="1"/>
  <c r="CO367" i="25"/>
  <c r="CR367" i="25" s="1"/>
  <c r="CS367" i="25" s="1"/>
  <c r="CO379" i="25"/>
  <c r="CR379" i="25" s="1"/>
  <c r="CS379" i="25" s="1"/>
  <c r="CO384" i="25"/>
  <c r="CR384" i="25" s="1"/>
  <c r="CS384" i="25" s="1"/>
  <c r="CO330" i="25"/>
  <c r="CR330" i="25" s="1"/>
  <c r="CS330" i="25" s="1"/>
  <c r="CO329" i="25"/>
  <c r="CR329" i="25" s="1"/>
  <c r="CS329" i="25" s="1"/>
  <c r="CO385" i="25"/>
  <c r="CR385" i="25" s="1"/>
  <c r="CS385" i="25" s="1"/>
  <c r="CO307" i="25"/>
  <c r="CR307" i="25" s="1"/>
  <c r="CS307" i="25" s="1"/>
  <c r="CO249" i="25"/>
  <c r="CR249" i="25" s="1"/>
  <c r="CS249" i="25" s="1"/>
  <c r="CO319" i="25"/>
  <c r="CR319" i="25" s="1"/>
  <c r="CS319" i="25" s="1"/>
  <c r="CO283" i="25"/>
  <c r="CR283" i="25" s="1"/>
  <c r="CS283" i="25" s="1"/>
  <c r="CO317" i="25"/>
  <c r="CR317" i="25" s="1"/>
  <c r="CS317" i="25" s="1"/>
  <c r="CO207" i="25"/>
  <c r="CR207" i="25" s="1"/>
  <c r="CS207" i="25" s="1"/>
  <c r="CO230" i="25"/>
  <c r="CR230" i="25" s="1"/>
  <c r="CS230" i="25" s="1"/>
  <c r="CO381" i="25"/>
  <c r="CR381" i="25" s="1"/>
  <c r="CS381" i="25" s="1"/>
  <c r="CO392" i="25"/>
  <c r="CR392" i="25" s="1"/>
  <c r="CS392" i="25" s="1"/>
  <c r="CO346" i="25"/>
  <c r="CR346" i="25" s="1"/>
  <c r="CS346" i="25" s="1"/>
  <c r="CO223" i="25"/>
  <c r="CR223" i="25" s="1"/>
  <c r="CS223" i="25" s="1"/>
  <c r="CO268" i="25"/>
  <c r="CR268" i="25" s="1"/>
  <c r="CS268" i="25" s="1"/>
  <c r="CO316" i="25"/>
  <c r="CR316" i="25" s="1"/>
  <c r="CS316" i="25" s="1"/>
  <c r="CO308" i="25"/>
  <c r="CR308" i="25" s="1"/>
  <c r="CS308" i="25" s="1"/>
  <c r="CO306" i="25"/>
  <c r="CR306" i="25" s="1"/>
  <c r="CS306" i="25" s="1"/>
  <c r="CO279" i="25"/>
  <c r="CR279" i="25" s="1"/>
  <c r="CS279" i="25" s="1"/>
  <c r="CO221" i="25"/>
  <c r="CR221" i="25" s="1"/>
  <c r="CS221" i="25" s="1"/>
  <c r="CO286" i="25"/>
  <c r="CR286" i="25" s="1"/>
  <c r="CS286" i="25" s="1"/>
  <c r="CO313" i="25"/>
  <c r="CR313" i="25" s="1"/>
  <c r="CS313" i="25" s="1"/>
  <c r="CO373" i="25"/>
  <c r="CR373" i="25" s="1"/>
  <c r="CS373" i="25" s="1"/>
  <c r="CL263" i="25"/>
  <c r="CP263" i="25" s="1"/>
  <c r="CQ263" i="25" s="1"/>
  <c r="CT263" i="25" s="1"/>
  <c r="CO263" i="25"/>
  <c r="CR263" i="25" s="1"/>
  <c r="CS263" i="25" s="1"/>
  <c r="CL348" i="25"/>
  <c r="CP348" i="25" s="1"/>
  <c r="CQ348" i="25" s="1"/>
  <c r="CT348" i="25" s="1"/>
  <c r="CO348" i="25"/>
  <c r="CR348" i="25" s="1"/>
  <c r="CS348" i="25" s="1"/>
  <c r="CL240" i="25"/>
  <c r="CP240" i="25" s="1"/>
  <c r="CQ240" i="25" s="1"/>
  <c r="CT240" i="25" s="1"/>
  <c r="CO240" i="25"/>
  <c r="CR240" i="25" s="1"/>
  <c r="CS240" i="25" s="1"/>
  <c r="CL210" i="25"/>
  <c r="CP210" i="25" s="1"/>
  <c r="CQ210" i="25" s="1"/>
  <c r="CT210" i="25" s="1"/>
  <c r="CO210" i="25"/>
  <c r="CR210" i="25" s="1"/>
  <c r="CS210" i="25" s="1"/>
  <c r="CL390" i="25"/>
  <c r="CP390" i="25" s="1"/>
  <c r="CQ390" i="25" s="1"/>
  <c r="CT390" i="25" s="1"/>
  <c r="CO390" i="25"/>
  <c r="CR390" i="25" s="1"/>
  <c r="CS390" i="25" s="1"/>
  <c r="CL247" i="25"/>
  <c r="CP247" i="25" s="1"/>
  <c r="CQ247" i="25" s="1"/>
  <c r="CT247" i="25" s="1"/>
  <c r="CO247" i="25"/>
  <c r="CR247" i="25" s="1"/>
  <c r="CS247" i="25" s="1"/>
  <c r="CL374" i="25"/>
  <c r="CP374" i="25" s="1"/>
  <c r="CQ374" i="25" s="1"/>
  <c r="CT374" i="25" s="1"/>
  <c r="CO374" i="25"/>
  <c r="CR374" i="25" s="1"/>
  <c r="CS374" i="25" s="1"/>
  <c r="CL227" i="25"/>
  <c r="CP227" i="25" s="1"/>
  <c r="CQ227" i="25" s="1"/>
  <c r="CT227" i="25" s="1"/>
  <c r="CO227" i="25"/>
  <c r="CR227" i="25" s="1"/>
  <c r="CS227" i="25" s="1"/>
  <c r="CL322" i="25"/>
  <c r="CP322" i="25" s="1"/>
  <c r="CQ322" i="25" s="1"/>
  <c r="CT322" i="25" s="1"/>
  <c r="CO322" i="25"/>
  <c r="CR322" i="25" s="1"/>
  <c r="CS322" i="25" s="1"/>
  <c r="CL318" i="25"/>
  <c r="CP318" i="25" s="1"/>
  <c r="CQ318" i="25" s="1"/>
  <c r="CT318" i="25" s="1"/>
  <c r="CO318" i="25"/>
  <c r="CR318" i="25" s="1"/>
  <c r="CS318" i="25" s="1"/>
  <c r="CL219" i="25"/>
  <c r="CP219" i="25" s="1"/>
  <c r="CQ219" i="25" s="1"/>
  <c r="CT219" i="25" s="1"/>
  <c r="CO219" i="25"/>
  <c r="CR219" i="25" s="1"/>
  <c r="CS219" i="25" s="1"/>
  <c r="CL335" i="25"/>
  <c r="CP335" i="25" s="1"/>
  <c r="CQ335" i="25" s="1"/>
  <c r="CT335" i="25" s="1"/>
  <c r="CO335" i="25"/>
  <c r="CR335" i="25" s="1"/>
  <c r="CS335" i="25" s="1"/>
  <c r="CL280" i="25"/>
  <c r="CP280" i="25" s="1"/>
  <c r="CQ280" i="25" s="1"/>
  <c r="CT280" i="25" s="1"/>
  <c r="CO280" i="25"/>
  <c r="CR280" i="25" s="1"/>
  <c r="CS280" i="25" s="1"/>
  <c r="CL298" i="25"/>
  <c r="CP298" i="25" s="1"/>
  <c r="CQ298" i="25" s="1"/>
  <c r="CT298" i="25" s="1"/>
  <c r="CO298" i="25"/>
  <c r="CR298" i="25" s="1"/>
  <c r="CS298" i="25" s="1"/>
  <c r="CL370" i="25"/>
  <c r="CP370" i="25" s="1"/>
  <c r="CQ370" i="25" s="1"/>
  <c r="CT370" i="25" s="1"/>
  <c r="CO370" i="25"/>
  <c r="CR370" i="25" s="1"/>
  <c r="CS370" i="25" s="1"/>
  <c r="CL315" i="25"/>
  <c r="CP315" i="25" s="1"/>
  <c r="CQ315" i="25" s="1"/>
  <c r="CT315" i="25" s="1"/>
  <c r="CO315" i="25"/>
  <c r="CR315" i="25" s="1"/>
  <c r="CS315" i="25" s="1"/>
  <c r="CL328" i="25"/>
  <c r="CP328" i="25" s="1"/>
  <c r="CQ328" i="25" s="1"/>
  <c r="CT328" i="25" s="1"/>
  <c r="CO328" i="25"/>
  <c r="CR328" i="25" s="1"/>
  <c r="CS328" i="25" s="1"/>
  <c r="CL312" i="25"/>
  <c r="CP312" i="25" s="1"/>
  <c r="CQ312" i="25" s="1"/>
  <c r="CT312" i="25" s="1"/>
  <c r="CO312" i="25"/>
  <c r="CR312" i="25" s="1"/>
  <c r="CS312" i="25" s="1"/>
  <c r="CL217" i="25"/>
  <c r="CP217" i="25" s="1"/>
  <c r="CQ217" i="25" s="1"/>
  <c r="CT217" i="25" s="1"/>
  <c r="CO217" i="25"/>
  <c r="CR217" i="25" s="1"/>
  <c r="CS217" i="25" s="1"/>
  <c r="CL239" i="25"/>
  <c r="CP239" i="25" s="1"/>
  <c r="CQ239" i="25" s="1"/>
  <c r="CT239" i="25" s="1"/>
  <c r="CO239" i="25"/>
  <c r="CR239" i="25" s="1"/>
  <c r="CS239" i="25" s="1"/>
  <c r="CL398" i="25"/>
  <c r="CP398" i="25" s="1"/>
  <c r="CQ398" i="25" s="1"/>
  <c r="CT398" i="25" s="1"/>
  <c r="CO398" i="25"/>
  <c r="CR398" i="25" s="1"/>
  <c r="CS398" i="25" s="1"/>
  <c r="CL225" i="25"/>
  <c r="CP225" i="25" s="1"/>
  <c r="CQ225" i="25" s="1"/>
  <c r="CT225" i="25" s="1"/>
  <c r="CO225" i="25"/>
  <c r="CR225" i="25" s="1"/>
  <c r="CS225" i="25" s="1"/>
  <c r="CL274" i="25"/>
  <c r="CP274" i="25" s="1"/>
  <c r="CQ274" i="25" s="1"/>
  <c r="CT274" i="25" s="1"/>
  <c r="CO274" i="25"/>
  <c r="CR274" i="25" s="1"/>
  <c r="CS274" i="25" s="1"/>
  <c r="CL264" i="25"/>
  <c r="CP264" i="25" s="1"/>
  <c r="CQ264" i="25" s="1"/>
  <c r="CT264" i="25" s="1"/>
  <c r="CO264" i="25"/>
  <c r="CR264" i="25" s="1"/>
  <c r="CS264" i="25" s="1"/>
  <c r="CO241" i="25"/>
  <c r="CR241" i="25" s="1"/>
  <c r="CS241" i="25" s="1"/>
  <c r="CL216" i="25"/>
  <c r="CP216" i="25" s="1"/>
  <c r="CQ216" i="25" s="1"/>
  <c r="CT216" i="25" s="1"/>
  <c r="CO216" i="25"/>
  <c r="CR216" i="25" s="1"/>
  <c r="CS216" i="25" s="1"/>
  <c r="CL338" i="25"/>
  <c r="CP338" i="25" s="1"/>
  <c r="CQ338" i="25" s="1"/>
  <c r="CT338" i="25" s="1"/>
  <c r="CO338" i="25"/>
  <c r="CR338" i="25" s="1"/>
  <c r="CS338" i="25" s="1"/>
  <c r="CL269" i="25"/>
  <c r="CP269" i="25" s="1"/>
  <c r="CQ269" i="25" s="1"/>
  <c r="CT269" i="25" s="1"/>
  <c r="CO269" i="25"/>
  <c r="CR269" i="25" s="1"/>
  <c r="CS269" i="25" s="1"/>
  <c r="CL213" i="25"/>
  <c r="CP213" i="25" s="1"/>
  <c r="CQ213" i="25" s="1"/>
  <c r="CT213" i="25" s="1"/>
  <c r="CO213" i="25"/>
  <c r="CR213" i="25" s="1"/>
  <c r="CS213" i="25" s="1"/>
  <c r="CL270" i="25"/>
  <c r="CP270" i="25" s="1"/>
  <c r="CQ270" i="25" s="1"/>
  <c r="CT270" i="25" s="1"/>
  <c r="CO270" i="25"/>
  <c r="CR270" i="25" s="1"/>
  <c r="CS270" i="25" s="1"/>
  <c r="CL368" i="25"/>
  <c r="CP368" i="25" s="1"/>
  <c r="CQ368" i="25" s="1"/>
  <c r="CT368" i="25" s="1"/>
  <c r="CO368" i="25"/>
  <c r="CR368" i="25" s="1"/>
  <c r="CS368" i="25" s="1"/>
  <c r="CL246" i="25"/>
  <c r="CP246" i="25" s="1"/>
  <c r="CQ246" i="25" s="1"/>
  <c r="CT246" i="25" s="1"/>
  <c r="CO246" i="25"/>
  <c r="CR246" i="25" s="1"/>
  <c r="CS246" i="25" s="1"/>
  <c r="CL273" i="25"/>
  <c r="CP273" i="25" s="1"/>
  <c r="CQ273" i="25" s="1"/>
  <c r="CT273" i="25" s="1"/>
  <c r="CO273" i="25"/>
  <c r="CR273" i="25" s="1"/>
  <c r="CS273" i="25" s="1"/>
  <c r="CL287" i="25"/>
  <c r="CP287" i="25" s="1"/>
  <c r="CQ287" i="25" s="1"/>
  <c r="CT287" i="25" s="1"/>
  <c r="CO287" i="25"/>
  <c r="CR287" i="25" s="1"/>
  <c r="CS287" i="25" s="1"/>
  <c r="CL360" i="25"/>
  <c r="CP360" i="25" s="1"/>
  <c r="CQ360" i="25" s="1"/>
  <c r="CT360" i="25" s="1"/>
  <c r="CO360" i="25"/>
  <c r="CR360" i="25" s="1"/>
  <c r="CS360" i="25" s="1"/>
  <c r="CL265" i="25"/>
  <c r="CP265" i="25" s="1"/>
  <c r="CQ265" i="25" s="1"/>
  <c r="CT265" i="25" s="1"/>
  <c r="CO265" i="25"/>
  <c r="CR265" i="25" s="1"/>
  <c r="CS265" i="25" s="1"/>
  <c r="CL347" i="25"/>
  <c r="CP347" i="25" s="1"/>
  <c r="CQ347" i="25" s="1"/>
  <c r="CT347" i="25" s="1"/>
  <c r="CO347" i="25"/>
  <c r="CR347" i="25" s="1"/>
  <c r="CS347" i="25" s="1"/>
  <c r="CL399" i="25"/>
  <c r="CP399" i="25" s="1"/>
  <c r="CQ399" i="25" s="1"/>
  <c r="CT399" i="25" s="1"/>
  <c r="CO399" i="25"/>
  <c r="CR399" i="25" s="1"/>
  <c r="CS399" i="25" s="1"/>
  <c r="CL341" i="25"/>
  <c r="CP341" i="25" s="1"/>
  <c r="CQ341" i="25" s="1"/>
  <c r="CT341" i="25" s="1"/>
  <c r="CO341" i="25"/>
  <c r="CR341" i="25" s="1"/>
  <c r="CS341" i="25" s="1"/>
  <c r="CL393" i="25"/>
  <c r="CP393" i="25" s="1"/>
  <c r="CQ393" i="25" s="1"/>
  <c r="CT393" i="25" s="1"/>
  <c r="CO393" i="25"/>
  <c r="CR393" i="25" s="1"/>
  <c r="CS393" i="25" s="1"/>
  <c r="CL397" i="25"/>
  <c r="CP397" i="25" s="1"/>
  <c r="CQ397" i="25" s="1"/>
  <c r="CT397" i="25" s="1"/>
  <c r="CO397" i="25"/>
  <c r="CR397" i="25" s="1"/>
  <c r="CS397" i="25" s="1"/>
  <c r="CL266" i="25"/>
  <c r="CP266" i="25" s="1"/>
  <c r="CQ266" i="25" s="1"/>
  <c r="CT266" i="25" s="1"/>
  <c r="CO266" i="25"/>
  <c r="CR266" i="25" s="1"/>
  <c r="CS266" i="25" s="1"/>
  <c r="CL235" i="25"/>
  <c r="CP235" i="25" s="1"/>
  <c r="CQ235" i="25" s="1"/>
  <c r="CT235" i="25" s="1"/>
  <c r="CO235" i="25"/>
  <c r="CR235" i="25" s="1"/>
  <c r="CS235" i="25" s="1"/>
  <c r="CL324" i="25"/>
  <c r="CP324" i="25" s="1"/>
  <c r="CQ324" i="25" s="1"/>
  <c r="CT324" i="25" s="1"/>
  <c r="CO324" i="25"/>
  <c r="CR324" i="25" s="1"/>
  <c r="CS324" i="25" s="1"/>
  <c r="CL342" i="25"/>
  <c r="CP342" i="25" s="1"/>
  <c r="CQ342" i="25" s="1"/>
  <c r="CT342" i="25" s="1"/>
  <c r="CO342" i="25"/>
  <c r="CR342" i="25" s="1"/>
  <c r="CS342" i="25" s="1"/>
  <c r="CO293" i="25"/>
  <c r="CR293" i="25" s="1"/>
  <c r="CS293" i="25" s="1"/>
  <c r="CL226" i="25"/>
  <c r="CP226" i="25" s="1"/>
  <c r="CQ226" i="25" s="1"/>
  <c r="CT226" i="25" s="1"/>
  <c r="CO226" i="25"/>
  <c r="CR226" i="25" s="1"/>
  <c r="CS226" i="25" s="1"/>
  <c r="CL228" i="25"/>
  <c r="CP228" i="25" s="1"/>
  <c r="CQ228" i="25" s="1"/>
  <c r="CT228" i="25" s="1"/>
  <c r="CO228" i="25"/>
  <c r="CR228" i="25" s="1"/>
  <c r="CS228" i="25" s="1"/>
  <c r="CL337" i="25"/>
  <c r="CP337" i="25" s="1"/>
  <c r="CQ337" i="25" s="1"/>
  <c r="CT337" i="25" s="1"/>
  <c r="CO337" i="25"/>
  <c r="CR337" i="25" s="1"/>
  <c r="CS337" i="25" s="1"/>
  <c r="CL275" i="25"/>
  <c r="CP275" i="25" s="1"/>
  <c r="CQ275" i="25" s="1"/>
  <c r="CT275" i="25" s="1"/>
  <c r="CO275" i="25"/>
  <c r="CR275" i="25" s="1"/>
  <c r="CS275" i="25" s="1"/>
  <c r="CL218" i="25"/>
  <c r="CP218" i="25" s="1"/>
  <c r="CQ218" i="25" s="1"/>
  <c r="CT218" i="25" s="1"/>
  <c r="CO218" i="25"/>
  <c r="CR218" i="25" s="1"/>
  <c r="CS218" i="25" s="1"/>
  <c r="CL224" i="25"/>
  <c r="CP224" i="25" s="1"/>
  <c r="CQ224" i="25" s="1"/>
  <c r="CT224" i="25" s="1"/>
  <c r="CO224" i="25"/>
  <c r="CR224" i="25" s="1"/>
  <c r="CS224" i="25" s="1"/>
  <c r="CL402" i="25"/>
  <c r="CP402" i="25" s="1"/>
  <c r="CQ402" i="25" s="1"/>
  <c r="CT402" i="25" s="1"/>
  <c r="CO402" i="25"/>
  <c r="CR402" i="25" s="1"/>
  <c r="CS402" i="25" s="1"/>
  <c r="CL375" i="25"/>
  <c r="CP375" i="25" s="1"/>
  <c r="CQ375" i="25" s="1"/>
  <c r="CT375" i="25" s="1"/>
  <c r="CO375" i="25"/>
  <c r="CR375" i="25" s="1"/>
  <c r="CS375" i="25" s="1"/>
  <c r="CL243" i="25"/>
  <c r="CP243" i="25" s="1"/>
  <c r="CQ243" i="25" s="1"/>
  <c r="CT243" i="25" s="1"/>
  <c r="CO243" i="25"/>
  <c r="CR243" i="25" s="1"/>
  <c r="CS243" i="25" s="1"/>
  <c r="CL291" i="25"/>
  <c r="CP291" i="25" s="1"/>
  <c r="CQ291" i="25" s="1"/>
  <c r="CT291" i="25" s="1"/>
  <c r="CO291" i="25"/>
  <c r="CR291" i="25" s="1"/>
  <c r="CS291" i="25" s="1"/>
  <c r="CL350" i="25"/>
  <c r="CP350" i="25" s="1"/>
  <c r="CQ350" i="25" s="1"/>
  <c r="CT350" i="25" s="1"/>
  <c r="CO350" i="25"/>
  <c r="CR350" i="25" s="1"/>
  <c r="CS350" i="25" s="1"/>
  <c r="CL362" i="25"/>
  <c r="CP362" i="25" s="1"/>
  <c r="CQ362" i="25" s="1"/>
  <c r="CT362" i="25" s="1"/>
  <c r="CO362" i="25"/>
  <c r="CR362" i="25" s="1"/>
  <c r="CS362" i="25" s="1"/>
  <c r="CL352" i="25"/>
  <c r="CP352" i="25" s="1"/>
  <c r="CQ352" i="25" s="1"/>
  <c r="CT352" i="25" s="1"/>
  <c r="CO352" i="25"/>
  <c r="CR352" i="25" s="1"/>
  <c r="CS352" i="25" s="1"/>
  <c r="CL387" i="25"/>
  <c r="CP387" i="25" s="1"/>
  <c r="CQ387" i="25" s="1"/>
  <c r="CT387" i="25" s="1"/>
  <c r="CO387" i="25"/>
  <c r="CR387" i="25" s="1"/>
  <c r="CS387" i="25" s="1"/>
  <c r="CL220" i="25"/>
  <c r="CP220" i="25" s="1"/>
  <c r="CQ220" i="25" s="1"/>
  <c r="CT220" i="25" s="1"/>
  <c r="CO220" i="25"/>
  <c r="CR220" i="25" s="1"/>
  <c r="CS220" i="25" s="1"/>
  <c r="CL378" i="25"/>
  <c r="CP378" i="25" s="1"/>
  <c r="CQ378" i="25" s="1"/>
  <c r="CT378" i="25" s="1"/>
  <c r="CO378" i="25"/>
  <c r="CR378" i="25" s="1"/>
  <c r="CS378" i="25" s="1"/>
  <c r="CL292" i="25"/>
  <c r="CP292" i="25" s="1"/>
  <c r="CQ292" i="25" s="1"/>
  <c r="CT292" i="25" s="1"/>
  <c r="CO292" i="25"/>
  <c r="CR292" i="25" s="1"/>
  <c r="CS292" i="25" s="1"/>
  <c r="CO212" i="25"/>
  <c r="CR212" i="25" s="1"/>
  <c r="CS212" i="25" s="1"/>
  <c r="CL212" i="25"/>
  <c r="CP212" i="25" s="1"/>
  <c r="CQ212" i="25" s="1"/>
  <c r="CT212" i="25" s="1"/>
  <c r="CL208" i="25"/>
  <c r="CP208" i="25" s="1"/>
  <c r="CQ208" i="25" s="1"/>
  <c r="CT208" i="25" s="1"/>
  <c r="CO208" i="25"/>
  <c r="CR208" i="25" s="1"/>
  <c r="CS208" i="25" s="1"/>
  <c r="CL211" i="25"/>
  <c r="CP211" i="25" s="1"/>
  <c r="CQ211" i="25" s="1"/>
  <c r="CT211" i="25" s="1"/>
  <c r="CO211" i="25"/>
  <c r="CR211" i="25" s="1"/>
  <c r="CS211" i="25" s="1"/>
  <c r="CL255" i="25"/>
  <c r="CP255" i="25" s="1"/>
  <c r="CQ255" i="25" s="1"/>
  <c r="CT255" i="25" s="1"/>
  <c r="CO255" i="25"/>
  <c r="CR255" i="25" s="1"/>
  <c r="CS255" i="25" s="1"/>
  <c r="CL354" i="25"/>
  <c r="CP354" i="25" s="1"/>
  <c r="CQ354" i="25" s="1"/>
  <c r="CT354" i="25" s="1"/>
  <c r="CO354" i="25"/>
  <c r="CR354" i="25" s="1"/>
  <c r="CS354" i="25" s="1"/>
  <c r="CL389" i="25"/>
  <c r="CP389" i="25" s="1"/>
  <c r="CQ389" i="25" s="1"/>
  <c r="CT389" i="25" s="1"/>
  <c r="CO389" i="25"/>
  <c r="CR389" i="25" s="1"/>
  <c r="CS389" i="25" s="1"/>
  <c r="CL339" i="25"/>
  <c r="CP339" i="25" s="1"/>
  <c r="CQ339" i="25" s="1"/>
  <c r="CT339" i="25" s="1"/>
  <c r="CO339" i="25"/>
  <c r="CR339" i="25" s="1"/>
  <c r="CS339" i="25" s="1"/>
  <c r="CO238" i="25"/>
  <c r="CR238" i="25" s="1"/>
  <c r="CS238" i="25" s="1"/>
  <c r="CL238" i="25"/>
  <c r="CP238" i="25" s="1"/>
  <c r="CQ238" i="25" s="1"/>
  <c r="CT238" i="25" s="1"/>
  <c r="CL305" i="25"/>
  <c r="CP305" i="25" s="1"/>
  <c r="CQ305" i="25" s="1"/>
  <c r="CT305" i="25" s="1"/>
  <c r="CO305" i="25"/>
  <c r="CR305" i="25" s="1"/>
  <c r="CS305" i="25" s="1"/>
  <c r="CL278" i="25"/>
  <c r="CP278" i="25" s="1"/>
  <c r="CQ278" i="25" s="1"/>
  <c r="CT278" i="25" s="1"/>
  <c r="CO278" i="25"/>
  <c r="CR278" i="25" s="1"/>
  <c r="CS278" i="25" s="1"/>
  <c r="CL340" i="25"/>
  <c r="CP340" i="25" s="1"/>
  <c r="CQ340" i="25" s="1"/>
  <c r="CT340" i="25" s="1"/>
  <c r="CO340" i="25"/>
  <c r="CR340" i="25" s="1"/>
  <c r="CS340" i="25" s="1"/>
  <c r="CL336" i="25"/>
  <c r="CP336" i="25" s="1"/>
  <c r="CQ336" i="25" s="1"/>
  <c r="CT336" i="25" s="1"/>
  <c r="CO336" i="25"/>
  <c r="CR336" i="25" s="1"/>
  <c r="CS336" i="25" s="1"/>
  <c r="CL364" i="25"/>
  <c r="CP364" i="25" s="1"/>
  <c r="CQ364" i="25" s="1"/>
  <c r="CT364" i="25" s="1"/>
  <c r="CO364" i="25"/>
  <c r="CR364" i="25" s="1"/>
  <c r="CS364" i="25" s="1"/>
  <c r="CL331" i="25"/>
  <c r="CP331" i="25" s="1"/>
  <c r="CQ331" i="25" s="1"/>
  <c r="CT331" i="25" s="1"/>
  <c r="CO331" i="25"/>
  <c r="CR331" i="25" s="1"/>
  <c r="CS331" i="25" s="1"/>
  <c r="CL276" i="25"/>
  <c r="CP276" i="25" s="1"/>
  <c r="CQ276" i="25" s="1"/>
  <c r="CT276" i="25" s="1"/>
  <c r="CO276" i="25"/>
  <c r="CR276" i="25" s="1"/>
  <c r="CS276" i="25" s="1"/>
  <c r="CL327" i="25"/>
  <c r="CP327" i="25" s="1"/>
  <c r="CQ327" i="25" s="1"/>
  <c r="CT327" i="25" s="1"/>
  <c r="CO327" i="25"/>
  <c r="CR327" i="25" s="1"/>
  <c r="CS327" i="25" s="1"/>
  <c r="CL297" i="25"/>
  <c r="CP297" i="25" s="1"/>
  <c r="CQ297" i="25" s="1"/>
  <c r="CT297" i="25" s="1"/>
  <c r="CO297" i="25"/>
  <c r="CR297" i="25" s="1"/>
  <c r="CS297" i="25" s="1"/>
  <c r="CL237" i="25"/>
  <c r="CP237" i="25" s="1"/>
  <c r="CQ237" i="25" s="1"/>
  <c r="CT237" i="25" s="1"/>
  <c r="CO237" i="25"/>
  <c r="CR237" i="25" s="1"/>
  <c r="CS237" i="25" s="1"/>
  <c r="CL314" i="25"/>
  <c r="CP314" i="25" s="1"/>
  <c r="CQ314" i="25" s="1"/>
  <c r="CT314" i="25" s="1"/>
  <c r="CO314" i="25"/>
  <c r="CR314" i="25" s="1"/>
  <c r="CS314" i="25" s="1"/>
  <c r="CL400" i="25"/>
  <c r="CP400" i="25" s="1"/>
  <c r="CQ400" i="25" s="1"/>
  <c r="CT400" i="25" s="1"/>
  <c r="CO400" i="25"/>
  <c r="CR400" i="25" s="1"/>
  <c r="CS400" i="25" s="1"/>
  <c r="CL231" i="25"/>
  <c r="CP231" i="25" s="1"/>
  <c r="CQ231" i="25" s="1"/>
  <c r="CT231" i="25" s="1"/>
  <c r="CO231" i="25"/>
  <c r="CR231" i="25" s="1"/>
  <c r="CS231" i="25" s="1"/>
  <c r="CL289" i="25"/>
  <c r="CP289" i="25" s="1"/>
  <c r="CQ289" i="25" s="1"/>
  <c r="CT289" i="25" s="1"/>
  <c r="CO289" i="25"/>
  <c r="CR289" i="25" s="1"/>
  <c r="CS289" i="25" s="1"/>
  <c r="CL343" i="25"/>
  <c r="CP343" i="25" s="1"/>
  <c r="CQ343" i="25" s="1"/>
  <c r="CT343" i="25" s="1"/>
  <c r="CO343" i="25"/>
  <c r="CR343" i="25" s="1"/>
  <c r="CS343" i="25" s="1"/>
  <c r="CL325" i="25"/>
  <c r="CP325" i="25" s="1"/>
  <c r="CQ325" i="25" s="1"/>
  <c r="CT325" i="25" s="1"/>
  <c r="CO325" i="25"/>
  <c r="CR325" i="25" s="1"/>
  <c r="CS325" i="25" s="1"/>
  <c r="CL376" i="25"/>
  <c r="CP376" i="25" s="1"/>
  <c r="CQ376" i="25" s="1"/>
  <c r="CT376" i="25" s="1"/>
  <c r="CO376" i="25"/>
  <c r="CR376" i="25" s="1"/>
  <c r="CS376" i="25" s="1"/>
  <c r="CO272" i="25"/>
  <c r="CR272" i="25" s="1"/>
  <c r="CS272" i="25" s="1"/>
  <c r="CL299" i="25"/>
  <c r="CP299" i="25" s="1"/>
  <c r="CQ299" i="25" s="1"/>
  <c r="CT299" i="25" s="1"/>
  <c r="CO299" i="25"/>
  <c r="CR299" i="25" s="1"/>
  <c r="CS299" i="25" s="1"/>
  <c r="CL244" i="25"/>
  <c r="CP244" i="25" s="1"/>
  <c r="CQ244" i="25" s="1"/>
  <c r="CT244" i="25" s="1"/>
  <c r="CO244" i="25"/>
  <c r="CR244" i="25" s="1"/>
  <c r="CS244" i="25" s="1"/>
  <c r="CL233" i="25"/>
  <c r="CP233" i="25" s="1"/>
  <c r="CQ233" i="25" s="1"/>
  <c r="CT233" i="25" s="1"/>
  <c r="CO233" i="25"/>
  <c r="CR233" i="25" s="1"/>
  <c r="CS233" i="25" s="1"/>
  <c r="CL250" i="25"/>
  <c r="CP250" i="25" s="1"/>
  <c r="CQ250" i="25" s="1"/>
  <c r="CT250" i="25" s="1"/>
  <c r="CO250" i="25"/>
  <c r="CR250" i="25" s="1"/>
  <c r="CS250" i="25" s="1"/>
  <c r="CL363" i="25"/>
  <c r="CP363" i="25" s="1"/>
  <c r="CQ363" i="25" s="1"/>
  <c r="CT363" i="25" s="1"/>
  <c r="CO363" i="25"/>
  <c r="CR363" i="25" s="1"/>
  <c r="CS363" i="25" s="1"/>
  <c r="CL333" i="25"/>
  <c r="CP333" i="25" s="1"/>
  <c r="CQ333" i="25" s="1"/>
  <c r="CT333" i="25" s="1"/>
  <c r="CO333" i="25"/>
  <c r="CR333" i="25" s="1"/>
  <c r="CS333" i="25" s="1"/>
  <c r="CL267" i="25"/>
  <c r="CP267" i="25" s="1"/>
  <c r="CQ267" i="25" s="1"/>
  <c r="CT267" i="25" s="1"/>
  <c r="CO267" i="25"/>
  <c r="CR267" i="25" s="1"/>
  <c r="CS267" i="25" s="1"/>
  <c r="CL254" i="25"/>
  <c r="CP254" i="25" s="1"/>
  <c r="CQ254" i="25" s="1"/>
  <c r="CT254" i="25" s="1"/>
  <c r="CO254" i="25"/>
  <c r="CR254" i="25" s="1"/>
  <c r="CS254" i="25" s="1"/>
  <c r="CL344" i="25"/>
  <c r="CP344" i="25" s="1"/>
  <c r="CQ344" i="25" s="1"/>
  <c r="CT344" i="25" s="1"/>
  <c r="CO344" i="25"/>
  <c r="CR344" i="25" s="1"/>
  <c r="CS344" i="25" s="1"/>
  <c r="CL403" i="25"/>
  <c r="CP403" i="25" s="1"/>
  <c r="CQ403" i="25" s="1"/>
  <c r="CT403" i="25" s="1"/>
  <c r="CO403" i="25"/>
  <c r="CR403" i="25" s="1"/>
  <c r="CS403" i="25" s="1"/>
  <c r="CL377" i="25"/>
  <c r="CP377" i="25" s="1"/>
  <c r="CQ377" i="25" s="1"/>
  <c r="CT377" i="25" s="1"/>
  <c r="CO377" i="25"/>
  <c r="CR377" i="25" s="1"/>
  <c r="CS377" i="25" s="1"/>
  <c r="CL261" i="25"/>
  <c r="CP261" i="25" s="1"/>
  <c r="CQ261" i="25" s="1"/>
  <c r="CT261" i="25" s="1"/>
  <c r="CO261" i="25"/>
  <c r="CR261" i="25" s="1"/>
  <c r="CS261" i="25" s="1"/>
  <c r="CL311" i="25"/>
  <c r="CP311" i="25" s="1"/>
  <c r="CQ311" i="25" s="1"/>
  <c r="CT311" i="25" s="1"/>
  <c r="CO311" i="25"/>
  <c r="CR311" i="25" s="1"/>
  <c r="CS311" i="25" s="1"/>
  <c r="CL271" i="25"/>
  <c r="CP271" i="25" s="1"/>
  <c r="CQ271" i="25" s="1"/>
  <c r="CT271" i="25" s="1"/>
  <c r="CO271" i="25"/>
  <c r="CR271" i="25" s="1"/>
  <c r="CS271" i="25" s="1"/>
  <c r="CO365" i="25"/>
  <c r="CR365" i="25" s="1"/>
  <c r="CS365" i="25" s="1"/>
  <c r="CL365" i="25"/>
  <c r="CP365" i="25" s="1"/>
  <c r="CQ365" i="25" s="1"/>
  <c r="CT365" i="25" s="1"/>
  <c r="CL245" i="25"/>
  <c r="CP245" i="25" s="1"/>
  <c r="CQ245" i="25" s="1"/>
  <c r="CT245" i="25" s="1"/>
  <c r="CO245" i="25"/>
  <c r="CR245" i="25" s="1"/>
  <c r="CS245" i="25" s="1"/>
  <c r="CL357" i="25"/>
  <c r="CP357" i="25" s="1"/>
  <c r="CQ357" i="25" s="1"/>
  <c r="CT357" i="25" s="1"/>
  <c r="CO357" i="25"/>
  <c r="CR357" i="25" s="1"/>
  <c r="CS357" i="25" s="1"/>
  <c r="CL253" i="25"/>
  <c r="CP253" i="25" s="1"/>
  <c r="CQ253" i="25" s="1"/>
  <c r="CT253" i="25" s="1"/>
  <c r="CO253" i="25"/>
  <c r="CR253" i="25" s="1"/>
  <c r="CS253" i="25" s="1"/>
  <c r="CL382" i="25"/>
  <c r="CP382" i="25" s="1"/>
  <c r="CQ382" i="25" s="1"/>
  <c r="CT382" i="25" s="1"/>
  <c r="CO382" i="25"/>
  <c r="CR382" i="25" s="1"/>
  <c r="CS382" i="25" s="1"/>
  <c r="CL334" i="25"/>
  <c r="CP334" i="25" s="1"/>
  <c r="CQ334" i="25" s="1"/>
  <c r="CT334" i="25" s="1"/>
  <c r="CO334" i="25"/>
  <c r="CR334" i="25" s="1"/>
  <c r="CS334" i="25" s="1"/>
  <c r="CL277" i="25"/>
  <c r="CP277" i="25" s="1"/>
  <c r="CQ277" i="25" s="1"/>
  <c r="CT277" i="25" s="1"/>
  <c r="CO277" i="25"/>
  <c r="CR277" i="25" s="1"/>
  <c r="CS277" i="25" s="1"/>
  <c r="CL284" i="25"/>
  <c r="CP284" i="25" s="1"/>
  <c r="CQ284" i="25" s="1"/>
  <c r="CT284" i="25" s="1"/>
  <c r="CO284" i="25"/>
  <c r="CR284" i="25" s="1"/>
  <c r="CS284" i="25" s="1"/>
  <c r="CL355" i="25"/>
  <c r="CP355" i="25" s="1"/>
  <c r="CQ355" i="25" s="1"/>
  <c r="CT355" i="25" s="1"/>
  <c r="CO355" i="25"/>
  <c r="CR355" i="25" s="1"/>
  <c r="CS355" i="25" s="1"/>
  <c r="CL359" i="25"/>
  <c r="CP359" i="25" s="1"/>
  <c r="CQ359" i="25" s="1"/>
  <c r="CT359" i="25" s="1"/>
  <c r="CO359" i="25"/>
  <c r="CR359" i="25" s="1"/>
  <c r="CS359" i="25" s="1"/>
  <c r="CO383" i="25"/>
  <c r="CR383" i="25" s="1"/>
  <c r="CS383" i="25" s="1"/>
  <c r="CL383" i="25"/>
  <c r="CP383" i="25" s="1"/>
  <c r="CQ383" i="25" s="1"/>
  <c r="CT383" i="25" s="1"/>
  <c r="CL396" i="25"/>
  <c r="CP396" i="25" s="1"/>
  <c r="CQ396" i="25" s="1"/>
  <c r="CT396" i="25" s="1"/>
  <c r="CO396" i="25"/>
  <c r="CR396" i="25" s="1"/>
  <c r="CS396" i="25" s="1"/>
  <c r="CL285" i="25"/>
  <c r="CP285" i="25" s="1"/>
  <c r="CQ285" i="25" s="1"/>
  <c r="CT285" i="25" s="1"/>
  <c r="CO285" i="25"/>
  <c r="CR285" i="25" s="1"/>
  <c r="CS285" i="25" s="1"/>
  <c r="CL366" i="25"/>
  <c r="CP366" i="25" s="1"/>
  <c r="CQ366" i="25" s="1"/>
  <c r="CT366" i="25" s="1"/>
  <c r="CO366" i="25"/>
  <c r="CR366" i="25" s="1"/>
  <c r="CS366" i="25" s="1"/>
  <c r="CL236" i="25"/>
  <c r="CP236" i="25" s="1"/>
  <c r="CQ236" i="25" s="1"/>
  <c r="CT236" i="25" s="1"/>
  <c r="CO236" i="25"/>
  <c r="CR236" i="25" s="1"/>
  <c r="CS236" i="25" s="1"/>
  <c r="CL358" i="25"/>
  <c r="CP358" i="25" s="1"/>
  <c r="CQ358" i="25" s="1"/>
  <c r="CT358" i="25" s="1"/>
  <c r="CO358" i="25"/>
  <c r="CR358" i="25" s="1"/>
  <c r="CS358" i="25" s="1"/>
  <c r="CL351" i="25"/>
  <c r="CP351" i="25" s="1"/>
  <c r="CQ351" i="25" s="1"/>
  <c r="CT351" i="25" s="1"/>
  <c r="CO351" i="25"/>
  <c r="CR351" i="25" s="1"/>
  <c r="CS351" i="25" s="1"/>
  <c r="CL222" i="25"/>
  <c r="CP222" i="25" s="1"/>
  <c r="CQ222" i="25" s="1"/>
  <c r="CT222" i="25" s="1"/>
  <c r="CO222" i="25"/>
  <c r="CR222" i="25" s="1"/>
  <c r="CS222" i="25" s="1"/>
  <c r="CL214" i="25"/>
  <c r="CP214" i="25" s="1"/>
  <c r="CQ214" i="25" s="1"/>
  <c r="CT214" i="25" s="1"/>
  <c r="CO214" i="25"/>
  <c r="CR214" i="25" s="1"/>
  <c r="CS214" i="25" s="1"/>
  <c r="CO353" i="25"/>
  <c r="CR353" i="25" s="1"/>
  <c r="CS353" i="25" s="1"/>
  <c r="CL353" i="25"/>
  <c r="CP353" i="25" s="1"/>
  <c r="CQ353" i="25" s="1"/>
  <c r="CT353" i="25" s="1"/>
  <c r="CL296" i="25"/>
  <c r="CP296" i="25" s="1"/>
  <c r="CQ296" i="25" s="1"/>
  <c r="CT296" i="25" s="1"/>
  <c r="CO296" i="25"/>
  <c r="CR296" i="25" s="1"/>
  <c r="CS296" i="25" s="1"/>
  <c r="CL242" i="25"/>
  <c r="CP242" i="25" s="1"/>
  <c r="CQ242" i="25" s="1"/>
  <c r="CT242" i="25" s="1"/>
  <c r="CO242" i="25"/>
  <c r="CR242" i="25" s="1"/>
  <c r="CS242" i="25" s="1"/>
  <c r="CL395" i="25"/>
  <c r="CP395" i="25" s="1"/>
  <c r="CQ395" i="25" s="1"/>
  <c r="CT395" i="25" s="1"/>
  <c r="CO395" i="25"/>
  <c r="CR395" i="25" s="1"/>
  <c r="CS395" i="25" s="1"/>
  <c r="CL371" i="25"/>
  <c r="CP371" i="25" s="1"/>
  <c r="CQ371" i="25" s="1"/>
  <c r="CT371" i="25" s="1"/>
  <c r="CO371" i="25"/>
  <c r="CR371" i="25" s="1"/>
  <c r="CS371" i="25" s="1"/>
  <c r="CL281" i="25"/>
  <c r="CP281" i="25" s="1"/>
  <c r="CQ281" i="25" s="1"/>
  <c r="CT281" i="25" s="1"/>
  <c r="CO281" i="25"/>
  <c r="CR281" i="25" s="1"/>
  <c r="CS281" i="25" s="1"/>
  <c r="CL391" i="25"/>
  <c r="CP391" i="25" s="1"/>
  <c r="CQ391" i="25" s="1"/>
  <c r="CT391" i="25" s="1"/>
  <c r="CO391" i="25"/>
  <c r="CR391" i="25" s="1"/>
  <c r="CS391" i="25" s="1"/>
  <c r="CL380" i="25"/>
  <c r="CP380" i="25" s="1"/>
  <c r="CQ380" i="25" s="1"/>
  <c r="CT380" i="25" s="1"/>
  <c r="CO380" i="25"/>
  <c r="CR380" i="25" s="1"/>
  <c r="CS380" i="25" s="1"/>
  <c r="CL386" i="25"/>
  <c r="CP386" i="25" s="1"/>
  <c r="CQ386" i="25" s="1"/>
  <c r="CT386" i="25" s="1"/>
  <c r="CO386" i="25"/>
  <c r="CR386" i="25" s="1"/>
  <c r="CS386" i="25" s="1"/>
  <c r="CL345" i="25"/>
  <c r="CP345" i="25" s="1"/>
  <c r="CQ345" i="25" s="1"/>
  <c r="CT345" i="25" s="1"/>
  <c r="CO345" i="25"/>
  <c r="CR345" i="25" s="1"/>
  <c r="CS345" i="25" s="1"/>
  <c r="CL323" i="25"/>
  <c r="CP323" i="25" s="1"/>
  <c r="CQ323" i="25" s="1"/>
  <c r="CT323" i="25" s="1"/>
  <c r="CO323" i="25"/>
  <c r="CR323" i="25" s="1"/>
  <c r="CS323" i="25" s="1"/>
  <c r="CL290" i="25"/>
  <c r="CP290" i="25" s="1"/>
  <c r="CQ290" i="25" s="1"/>
  <c r="CT290" i="25" s="1"/>
  <c r="CO290" i="25"/>
  <c r="CR290" i="25" s="1"/>
  <c r="CS290" i="25" s="1"/>
  <c r="CL229" i="25"/>
  <c r="CP229" i="25" s="1"/>
  <c r="CQ229" i="25" s="1"/>
  <c r="CT229" i="25" s="1"/>
  <c r="CO229" i="25"/>
  <c r="CR229" i="25" s="1"/>
  <c r="CS229" i="25" s="1"/>
  <c r="CL349" i="25"/>
  <c r="CP349" i="25" s="1"/>
  <c r="CQ349" i="25" s="1"/>
  <c r="CT349" i="25" s="1"/>
  <c r="CO349" i="25"/>
  <c r="CR349" i="25" s="1"/>
  <c r="CS349" i="25" s="1"/>
  <c r="CL310" i="25"/>
  <c r="CP310" i="25" s="1"/>
  <c r="CQ310" i="25" s="1"/>
  <c r="CT310" i="25" s="1"/>
  <c r="CO310" i="25"/>
  <c r="CR310" i="25" s="1"/>
  <c r="CS310" i="25" s="1"/>
  <c r="CL332" i="25"/>
  <c r="CP332" i="25" s="1"/>
  <c r="CQ332" i="25" s="1"/>
  <c r="CT332" i="25" s="1"/>
  <c r="CO332" i="25"/>
  <c r="CR332" i="25" s="1"/>
  <c r="CS332" i="25" s="1"/>
  <c r="CL259" i="25"/>
  <c r="CP259" i="25" s="1"/>
  <c r="CQ259" i="25" s="1"/>
  <c r="CT259" i="25" s="1"/>
  <c r="CO259" i="25"/>
  <c r="CR259" i="25" s="1"/>
  <c r="CS259" i="25" s="1"/>
  <c r="CL300" i="25"/>
  <c r="CP300" i="25" s="1"/>
  <c r="CQ300" i="25" s="1"/>
  <c r="CT300" i="25" s="1"/>
  <c r="CO300" i="25"/>
  <c r="CR300" i="25" s="1"/>
  <c r="CS300" i="25" s="1"/>
  <c r="CL260" i="25"/>
  <c r="CP260" i="25" s="1"/>
  <c r="CQ260" i="25" s="1"/>
  <c r="CT260" i="25" s="1"/>
  <c r="CO260" i="25"/>
  <c r="CR260" i="25" s="1"/>
  <c r="CS260" i="25" s="1"/>
  <c r="CL321" i="25"/>
  <c r="CP321" i="25" s="1"/>
  <c r="CQ321" i="25" s="1"/>
  <c r="CT321" i="25" s="1"/>
  <c r="CO321" i="25"/>
  <c r="CR321" i="25" s="1"/>
  <c r="CS321" i="25" s="1"/>
  <c r="CL401" i="25"/>
  <c r="CP401" i="25" s="1"/>
  <c r="CQ401" i="25" s="1"/>
  <c r="CT401" i="25" s="1"/>
  <c r="CO401" i="25"/>
  <c r="CR401" i="25" s="1"/>
  <c r="CS401" i="25" s="1"/>
  <c r="CL394" i="25"/>
  <c r="CP394" i="25" s="1"/>
  <c r="CQ394" i="25" s="1"/>
  <c r="CT394" i="25" s="1"/>
  <c r="CO394" i="25"/>
  <c r="CR394" i="25" s="1"/>
  <c r="CS394" i="25" s="1"/>
  <c r="CL256" i="25"/>
  <c r="CP256" i="25" s="1"/>
  <c r="CQ256" i="25" s="1"/>
  <c r="CT256" i="25" s="1"/>
  <c r="CO256" i="25"/>
  <c r="CR256" i="25" s="1"/>
  <c r="CS256" i="25" s="1"/>
  <c r="CO372" i="25"/>
  <c r="CR372" i="25" s="1"/>
  <c r="CS372" i="25" s="1"/>
  <c r="CL388" i="25"/>
  <c r="CP388" i="25" s="1"/>
  <c r="CQ388" i="25" s="1"/>
  <c r="CT388" i="25" s="1"/>
  <c r="CO388" i="25"/>
  <c r="CR388" i="25" s="1"/>
  <c r="CS388" i="25" s="1"/>
  <c r="CL262" i="25"/>
  <c r="CP262" i="25" s="1"/>
  <c r="CQ262" i="25" s="1"/>
  <c r="CT262" i="25" s="1"/>
  <c r="CO262" i="25"/>
  <c r="CR262" i="25" s="1"/>
  <c r="CS262" i="25" s="1"/>
  <c r="CL282" i="25"/>
  <c r="CP282" i="25" s="1"/>
  <c r="CQ282" i="25" s="1"/>
  <c r="CT282" i="25" s="1"/>
  <c r="CO282" i="25"/>
  <c r="CR282" i="25" s="1"/>
  <c r="CS282" i="25" s="1"/>
  <c r="CL302" i="25"/>
  <c r="CP302" i="25" s="1"/>
  <c r="CQ302" i="25" s="1"/>
  <c r="CT302" i="25" s="1"/>
  <c r="CO302" i="25"/>
  <c r="CR302" i="25" s="1"/>
  <c r="CS302" i="25" s="1"/>
  <c r="CL304" i="25"/>
  <c r="CP304" i="25" s="1"/>
  <c r="CQ304" i="25" s="1"/>
  <c r="CT304" i="25" s="1"/>
  <c r="CO304" i="25"/>
  <c r="CR304" i="25" s="1"/>
  <c r="CS304" i="25" s="1"/>
  <c r="CL215" i="25"/>
  <c r="CP215" i="25" s="1"/>
  <c r="CQ215" i="25" s="1"/>
  <c r="CT215" i="25" s="1"/>
  <c r="CO215" i="25"/>
  <c r="CR215" i="25" s="1"/>
  <c r="CS215" i="25" s="1"/>
  <c r="CL326" i="25"/>
  <c r="CP326" i="25" s="1"/>
  <c r="CQ326" i="25" s="1"/>
  <c r="CT326" i="25" s="1"/>
  <c r="CO326" i="25"/>
  <c r="CR326" i="25" s="1"/>
  <c r="CS326" i="25" s="1"/>
  <c r="CL301" i="25"/>
  <c r="CP301" i="25" s="1"/>
  <c r="CQ301" i="25" s="1"/>
  <c r="CT301" i="25" s="1"/>
  <c r="CO301" i="25"/>
  <c r="CR301" i="25" s="1"/>
  <c r="CS301" i="25" s="1"/>
  <c r="CL294" i="25"/>
  <c r="CP294" i="25" s="1"/>
  <c r="CQ294" i="25" s="1"/>
  <c r="CT294" i="25" s="1"/>
  <c r="CO294" i="25"/>
  <c r="CR294" i="25" s="1"/>
  <c r="CS294" i="25" s="1"/>
  <c r="CL234" i="25"/>
  <c r="CP234" i="25" s="1"/>
  <c r="CQ234" i="25" s="1"/>
  <c r="CT234" i="25" s="1"/>
  <c r="CO234" i="25"/>
  <c r="CR234" i="25" s="1"/>
  <c r="CS234" i="25" s="1"/>
  <c r="CL248" i="25"/>
  <c r="CP248" i="25" s="1"/>
  <c r="CQ248" i="25" s="1"/>
  <c r="CT248" i="25" s="1"/>
  <c r="CO248" i="25"/>
  <c r="CR248" i="25" s="1"/>
  <c r="CS248" i="25" s="1"/>
  <c r="CL251" i="25"/>
  <c r="CP251" i="25" s="1"/>
  <c r="CQ251" i="25" s="1"/>
  <c r="CT251" i="25" s="1"/>
  <c r="CO251" i="25"/>
  <c r="CR251" i="25" s="1"/>
  <c r="CS251" i="25" s="1"/>
  <c r="CL288" i="25"/>
  <c r="CP288" i="25" s="1"/>
  <c r="CQ288" i="25" s="1"/>
  <c r="CT288" i="25" s="1"/>
  <c r="CO288" i="25"/>
  <c r="CR288" i="25" s="1"/>
  <c r="CS288" i="25" s="1"/>
  <c r="CL361" i="25"/>
  <c r="CP361" i="25" s="1"/>
  <c r="CQ361" i="25" s="1"/>
  <c r="CT361" i="25" s="1"/>
  <c r="CO361" i="25"/>
  <c r="CR361" i="25" s="1"/>
  <c r="CS361" i="25" s="1"/>
  <c r="CL369" i="25"/>
  <c r="CP369" i="25" s="1"/>
  <c r="CQ369" i="25" s="1"/>
  <c r="CT369" i="25" s="1"/>
  <c r="CO369" i="25"/>
  <c r="CR369" i="25" s="1"/>
  <c r="CS369" i="25" s="1"/>
  <c r="CL258" i="25"/>
  <c r="CP258" i="25" s="1"/>
  <c r="CQ258" i="25" s="1"/>
  <c r="CT258" i="25" s="1"/>
  <c r="CO258" i="25"/>
  <c r="CR258" i="25" s="1"/>
  <c r="CS258" i="25" s="1"/>
  <c r="CL232" i="25"/>
  <c r="CP232" i="25" s="1"/>
  <c r="CQ232" i="25" s="1"/>
  <c r="CT232" i="25" s="1"/>
  <c r="CO232" i="25"/>
  <c r="CR232" i="25" s="1"/>
  <c r="CS232" i="25" s="1"/>
  <c r="CL356" i="25"/>
  <c r="CP356" i="25" s="1"/>
  <c r="CQ356" i="25" s="1"/>
  <c r="CT356" i="25" s="1"/>
  <c r="CO356" i="25"/>
  <c r="CR356" i="25" s="1"/>
  <c r="CS356" i="25" s="1"/>
  <c r="CL209" i="25"/>
  <c r="CP209" i="25" s="1"/>
  <c r="CQ209" i="25" s="1"/>
  <c r="CT209" i="25" s="1"/>
  <c r="CO209" i="25"/>
  <c r="CR209" i="25" s="1"/>
  <c r="CS209" i="25" s="1"/>
  <c r="CL252" i="25"/>
  <c r="CP252" i="25" s="1"/>
  <c r="CQ252" i="25" s="1"/>
  <c r="CT252" i="25" s="1"/>
  <c r="CO252" i="25"/>
  <c r="CR252" i="25" s="1"/>
  <c r="CS252" i="25" s="1"/>
  <c r="CL303" i="25"/>
  <c r="CP303" i="25" s="1"/>
  <c r="CQ303" i="25" s="1"/>
  <c r="CT303" i="25" s="1"/>
  <c r="CO303" i="25"/>
  <c r="CR303" i="25" s="1"/>
  <c r="CS303" i="25" s="1"/>
  <c r="H249" i="92"/>
  <c r="H248" i="92"/>
  <c r="I248" i="92" l="1"/>
  <c r="DV140" i="25" l="1"/>
  <c r="DV143" i="25"/>
  <c r="DV154" i="25"/>
  <c r="DV189" i="25"/>
  <c r="DV190" i="25"/>
  <c r="DV191" i="25"/>
  <c r="DV76" i="25"/>
  <c r="DV135" i="25"/>
  <c r="DV77" i="25"/>
  <c r="DV55" i="25"/>
  <c r="DV81" i="25"/>
  <c r="DV165" i="25"/>
  <c r="DV56" i="25"/>
  <c r="DV192" i="25"/>
  <c r="DV8" i="25"/>
  <c r="DV160" i="25"/>
  <c r="DV7" i="25"/>
  <c r="DV161" i="25"/>
  <c r="DV162" i="25"/>
  <c r="DV85" i="25"/>
  <c r="DV163" i="25"/>
  <c r="DV164" i="25"/>
  <c r="DV166" i="25"/>
  <c r="DV12" i="25"/>
  <c r="DV11" i="25"/>
  <c r="DV167" i="25"/>
  <c r="DV10" i="25"/>
  <c r="DV168" i="25"/>
  <c r="DV169" i="25"/>
  <c r="DV60" i="25"/>
  <c r="DV62" i="25"/>
  <c r="DV170" i="25"/>
  <c r="DV82" i="25"/>
  <c r="DV172" i="25"/>
  <c r="DV136" i="25"/>
  <c r="DV173" i="25"/>
  <c r="DV63" i="25"/>
  <c r="DV26" i="25"/>
  <c r="DV65" i="25"/>
  <c r="DV84" i="25"/>
  <c r="DV23" i="25"/>
  <c r="DV147" i="25"/>
  <c r="DV175" i="25"/>
  <c r="DV176" i="25"/>
  <c r="DV203" i="25"/>
  <c r="DV204" i="25"/>
  <c r="DV9" i="25"/>
  <c r="DV96" i="25"/>
  <c r="DV86" i="25"/>
  <c r="DV171" i="25"/>
  <c r="DV94" i="25"/>
  <c r="DV97" i="25"/>
  <c r="DV98" i="25"/>
  <c r="DV99" i="25"/>
  <c r="DV146" i="25"/>
  <c r="DV150" i="25"/>
  <c r="DV14" i="25"/>
  <c r="DV57" i="25"/>
  <c r="DV58" i="25"/>
  <c r="DV59" i="25"/>
  <c r="DV91" i="25"/>
  <c r="DV16" i="25"/>
  <c r="DV17" i="25"/>
  <c r="DV15" i="25"/>
  <c r="DV13" i="25"/>
  <c r="DV139" i="25"/>
  <c r="DV19" i="25"/>
  <c r="DV148" i="25"/>
  <c r="DV18" i="25"/>
  <c r="DV61" i="25"/>
  <c r="DV100" i="25"/>
  <c r="DV174" i="25"/>
  <c r="DV103" i="25"/>
  <c r="DV193" i="25"/>
  <c r="DV194" i="25"/>
  <c r="DV101" i="25"/>
  <c r="DV177" i="25"/>
  <c r="DV142" i="25"/>
  <c r="DV195" i="25"/>
  <c r="DV196" i="25"/>
  <c r="DV197" i="25"/>
  <c r="DV198" i="25"/>
  <c r="DV29" i="25"/>
  <c r="DV106" i="25"/>
  <c r="DV112" i="25"/>
  <c r="DV120" i="25"/>
  <c r="DV71" i="25"/>
  <c r="DV149" i="25"/>
  <c r="DV151" i="25"/>
  <c r="DV205" i="25"/>
  <c r="DV199" i="25"/>
  <c r="DV206" i="25"/>
  <c r="DV202" i="25"/>
  <c r="DV22" i="25"/>
  <c r="DV64" i="25"/>
  <c r="DV144" i="25"/>
  <c r="DV68" i="25"/>
  <c r="DV24" i="25"/>
  <c r="DV66" i="25"/>
  <c r="DV25" i="25"/>
  <c r="DV181" i="25"/>
  <c r="DV20" i="25"/>
  <c r="DV27" i="25"/>
  <c r="DV200" i="25"/>
  <c r="DV30" i="25"/>
  <c r="DV67" i="25"/>
  <c r="DV178" i="25"/>
  <c r="DV69" i="25"/>
  <c r="DV31" i="25"/>
  <c r="DV201" i="25"/>
  <c r="DV70" i="25"/>
  <c r="DV32" i="25"/>
  <c r="DV36" i="25"/>
  <c r="DV21" i="25"/>
  <c r="DV34" i="25"/>
  <c r="DV37" i="25"/>
  <c r="DV42" i="25"/>
  <c r="DV28" i="25"/>
  <c r="DV72" i="25"/>
  <c r="DV35" i="25"/>
  <c r="DV33" i="25"/>
  <c r="DV179" i="25"/>
  <c r="DV38" i="25"/>
  <c r="DV180" i="25"/>
  <c r="DV41" i="25"/>
  <c r="DV141" i="25"/>
  <c r="DV39" i="25"/>
  <c r="DV159" i="25"/>
  <c r="DV40" i="25"/>
  <c r="DV45" i="25"/>
  <c r="DV124" i="25"/>
  <c r="DV125" i="25"/>
  <c r="DV43" i="25"/>
  <c r="DV74" i="25"/>
  <c r="DV44" i="25"/>
  <c r="DV137" i="25"/>
  <c r="DV156" i="25"/>
  <c r="DV47" i="25"/>
  <c r="DV51" i="25"/>
  <c r="DV155" i="25"/>
  <c r="DV73" i="25"/>
  <c r="DV138" i="25"/>
  <c r="DV182" i="25"/>
  <c r="DV46" i="25"/>
  <c r="DV75" i="25"/>
  <c r="DV185" i="25"/>
  <c r="DV183" i="25"/>
  <c r="DV157" i="25"/>
  <c r="DV48" i="25"/>
  <c r="DV49" i="25"/>
  <c r="DV184" i="25"/>
  <c r="DV50" i="25"/>
  <c r="DV158" i="25"/>
  <c r="DV53" i="25"/>
  <c r="DV186" i="25"/>
  <c r="DV127" i="25"/>
  <c r="DV152" i="25"/>
  <c r="DV52" i="25"/>
  <c r="DV128" i="25"/>
  <c r="DV187" i="25"/>
  <c r="DV188" i="25"/>
  <c r="DV129" i="25"/>
  <c r="DV54" i="25"/>
  <c r="DV130" i="25"/>
  <c r="DV153" i="25"/>
  <c r="DV117" i="25"/>
  <c r="DV126" i="25"/>
  <c r="DV145" i="25"/>
  <c r="DV79" i="25"/>
  <c r="DV83" i="25"/>
  <c r="DV87" i="25"/>
  <c r="DV88" i="25"/>
  <c r="DV89" i="25"/>
  <c r="DV93" i="25"/>
  <c r="DV95" i="25"/>
  <c r="DV105" i="25"/>
  <c r="DV108" i="25"/>
  <c r="DV109" i="25"/>
  <c r="DV110" i="25"/>
  <c r="DV115" i="25"/>
  <c r="DV116" i="25"/>
  <c r="DV121" i="25"/>
  <c r="DV122" i="25"/>
  <c r="DV131" i="25"/>
  <c r="DV78" i="25"/>
  <c r="DV102" i="25"/>
  <c r="DV132" i="25"/>
  <c r="DV80" i="25"/>
  <c r="DV111" i="25"/>
  <c r="DV107" i="25"/>
  <c r="DV133" i="25"/>
  <c r="DV113" i="25"/>
  <c r="DV114" i="25"/>
  <c r="DV134" i="25"/>
  <c r="DV119" i="25"/>
  <c r="DV90" i="25"/>
  <c r="DV92" i="25"/>
  <c r="DV118" i="25"/>
  <c r="DV123" i="25"/>
  <c r="DV104" i="25"/>
  <c r="I189" i="25"/>
  <c r="L245" i="92"/>
  <c r="M245" i="92"/>
  <c r="M248" i="92" l="1"/>
  <c r="D418" i="92"/>
  <c r="G386" i="92"/>
  <c r="Z62" i="92"/>
  <c r="H385" i="92"/>
  <c r="G385" i="92"/>
  <c r="AA62" i="92"/>
  <c r="AA61" i="92"/>
  <c r="Z61" i="92"/>
  <c r="H386" i="92"/>
  <c r="I47" i="89" l="1"/>
  <c r="F47" i="89"/>
  <c r="E47" i="89"/>
  <c r="I44" i="89"/>
  <c r="F44" i="89"/>
  <c r="E44" i="89"/>
  <c r="S70" i="89"/>
  <c r="S71" i="89"/>
  <c r="F32" i="89"/>
  <c r="E32" i="89"/>
  <c r="I26" i="89"/>
  <c r="S72" i="89" s="1"/>
  <c r="E26" i="89"/>
  <c r="J46" i="89"/>
  <c r="N46" i="89" s="1"/>
  <c r="J42" i="89"/>
  <c r="N23" i="89"/>
  <c r="O23" i="89"/>
  <c r="P23" i="89"/>
  <c r="Q23" i="89"/>
  <c r="R23" i="89"/>
  <c r="N29" i="89"/>
  <c r="O29" i="89"/>
  <c r="P29" i="89"/>
  <c r="Q29" i="89"/>
  <c r="R29" i="89"/>
  <c r="N35" i="89"/>
  <c r="O35" i="89"/>
  <c r="P35" i="89"/>
  <c r="Q35" i="89"/>
  <c r="R35" i="89"/>
  <c r="O46" i="89"/>
  <c r="J30" i="89"/>
  <c r="J24" i="89"/>
  <c r="G43" i="89"/>
  <c r="L46" i="89" l="1"/>
  <c r="M46" i="89" s="1"/>
  <c r="S46" i="89"/>
  <c r="R46" i="89"/>
  <c r="Q46" i="89"/>
  <c r="L42" i="89"/>
  <c r="M42" i="89" s="1"/>
  <c r="S42" i="89"/>
  <c r="O36" i="89"/>
  <c r="S36" i="89"/>
  <c r="P30" i="89"/>
  <c r="S30" i="89"/>
  <c r="O24" i="89"/>
  <c r="S24" i="89"/>
  <c r="P46" i="89"/>
  <c r="L24" i="89"/>
  <c r="M24" i="89" s="1"/>
  <c r="R24" i="89"/>
  <c r="Q24" i="89"/>
  <c r="P24" i="89"/>
  <c r="N24" i="89"/>
  <c r="G44" i="89"/>
  <c r="R36" i="89"/>
  <c r="P36" i="89"/>
  <c r="L36" i="89"/>
  <c r="M36" i="89" s="1"/>
  <c r="N36" i="89"/>
  <c r="R30" i="89"/>
  <c r="L30" i="89"/>
  <c r="M30" i="89" s="1"/>
  <c r="Q36" i="89"/>
  <c r="Q30" i="89"/>
  <c r="O30" i="89"/>
  <c r="N30" i="89"/>
  <c r="P42" i="89"/>
  <c r="O42" i="89"/>
  <c r="N42" i="89"/>
  <c r="R42" i="89"/>
  <c r="Q42" i="89"/>
  <c r="E69" i="89" l="1"/>
  <c r="AC69" i="89" s="1"/>
  <c r="G47" i="89" l="1"/>
  <c r="J43" i="89"/>
  <c r="S43" i="89" s="1"/>
  <c r="J41" i="89"/>
  <c r="S41" i="89" s="1"/>
  <c r="J40" i="89"/>
  <c r="J39" i="89"/>
  <c r="S39" i="89" s="1"/>
  <c r="J45" i="89"/>
  <c r="S45" i="89" s="1"/>
  <c r="J52" i="89" l="1"/>
  <c r="S52" i="89" s="1"/>
  <c r="E86" i="89"/>
  <c r="S40" i="89"/>
  <c r="E85" i="89"/>
  <c r="G85" i="89" s="1"/>
  <c r="J47" i="89"/>
  <c r="S47" i="89" s="1"/>
  <c r="E68" i="89"/>
  <c r="AC68" i="89" s="1"/>
  <c r="J44" i="89"/>
  <c r="Q39" i="89"/>
  <c r="R39" i="89"/>
  <c r="O39" i="89"/>
  <c r="P39" i="89"/>
  <c r="N39" i="89"/>
  <c r="R43" i="89"/>
  <c r="N43" i="89"/>
  <c r="Q43" i="89"/>
  <c r="O43" i="89"/>
  <c r="P43" i="89"/>
  <c r="P40" i="89"/>
  <c r="R40" i="89"/>
  <c r="N40" i="89"/>
  <c r="O40" i="89"/>
  <c r="Q40" i="89"/>
  <c r="N45" i="89"/>
  <c r="O45" i="89"/>
  <c r="P45" i="89"/>
  <c r="Q45" i="89"/>
  <c r="R45" i="89"/>
  <c r="O41" i="89"/>
  <c r="P41" i="89"/>
  <c r="Q41" i="89"/>
  <c r="R41" i="89"/>
  <c r="N41" i="89"/>
  <c r="AD24" i="25"/>
  <c r="AD52" i="25"/>
  <c r="J49" i="89" l="1"/>
  <c r="J53" i="89" s="1"/>
  <c r="G53" i="89"/>
  <c r="N44" i="89"/>
  <c r="S44" i="89"/>
  <c r="N47" i="89"/>
  <c r="L47" i="89"/>
  <c r="M47" i="89" s="1"/>
  <c r="R47" i="89"/>
  <c r="Q47" i="89"/>
  <c r="P47" i="89"/>
  <c r="O47" i="89"/>
  <c r="R44" i="89"/>
  <c r="Q44" i="89"/>
  <c r="O44" i="89"/>
  <c r="L44" i="89"/>
  <c r="M44" i="89" s="1"/>
  <c r="P44" i="89"/>
  <c r="BZ37" i="25"/>
  <c r="CA37" i="25"/>
  <c r="CC37" i="25"/>
  <c r="CD37" i="25"/>
  <c r="CE37" i="25"/>
  <c r="CF37" i="25"/>
  <c r="CG37" i="25"/>
  <c r="CH37" i="25"/>
  <c r="CM37" i="25"/>
  <c r="CU37" i="25"/>
  <c r="CV37" i="25"/>
  <c r="DA37" i="25"/>
  <c r="DF37" i="25"/>
  <c r="DG37" i="25"/>
  <c r="DN37" i="25" s="1"/>
  <c r="DH37" i="25"/>
  <c r="DI37" i="25"/>
  <c r="DP37" i="25"/>
  <c r="DQ37" i="25"/>
  <c r="DR37" i="25" s="1"/>
  <c r="DS37" i="25"/>
  <c r="DU37" i="25"/>
  <c r="DW37" i="25"/>
  <c r="DY37" i="25"/>
  <c r="DZ37" i="25"/>
  <c r="EA37" i="25"/>
  <c r="CY37" i="25" s="1"/>
  <c r="EB37" i="25"/>
  <c r="EC37" i="25"/>
  <c r="DO37" i="25" s="1"/>
  <c r="ED37" i="25"/>
  <c r="EE37" i="25"/>
  <c r="EF37" i="25"/>
  <c r="EG37" i="25"/>
  <c r="EH37" i="25"/>
  <c r="BZ47" i="25"/>
  <c r="CA47" i="25"/>
  <c r="CC47" i="25"/>
  <c r="CD47" i="25"/>
  <c r="CE47" i="25"/>
  <c r="CF47" i="25"/>
  <c r="CG47" i="25"/>
  <c r="CH47" i="25"/>
  <c r="CM47" i="25"/>
  <c r="CN47" i="25" s="1"/>
  <c r="CU47" i="25"/>
  <c r="CV47" i="25"/>
  <c r="DA47" i="25"/>
  <c r="DF47" i="25"/>
  <c r="DG47" i="25"/>
  <c r="DN47" i="25" s="1"/>
  <c r="DH47" i="25"/>
  <c r="DI47" i="25"/>
  <c r="DP47" i="25"/>
  <c r="DQ47" i="25"/>
  <c r="DT47" i="25" s="1"/>
  <c r="DS47" i="25"/>
  <c r="DU47" i="25"/>
  <c r="DW47" i="25"/>
  <c r="DY47" i="25"/>
  <c r="DZ47" i="25"/>
  <c r="EA47" i="25"/>
  <c r="CY47" i="25" s="1"/>
  <c r="EB47" i="25"/>
  <c r="EC47" i="25"/>
  <c r="DO47" i="25" s="1"/>
  <c r="ED47" i="25"/>
  <c r="EE47" i="25"/>
  <c r="EF47" i="25"/>
  <c r="EG47" i="25"/>
  <c r="EH47" i="25"/>
  <c r="BZ13" i="25"/>
  <c r="CA13" i="25"/>
  <c r="CC13" i="25"/>
  <c r="CD13" i="25"/>
  <c r="CE13" i="25"/>
  <c r="CF13" i="25"/>
  <c r="CG13" i="25"/>
  <c r="CH13" i="25"/>
  <c r="CM13" i="25"/>
  <c r="CN13" i="25" s="1"/>
  <c r="CU13" i="25"/>
  <c r="CV13" i="25"/>
  <c r="DA13" i="25"/>
  <c r="DF13" i="25"/>
  <c r="DG13" i="25"/>
  <c r="DN13" i="25" s="1"/>
  <c r="DH13" i="25"/>
  <c r="DI13" i="25"/>
  <c r="DP13" i="25"/>
  <c r="DQ13" i="25"/>
  <c r="DR13" i="25" s="1"/>
  <c r="DS13" i="25"/>
  <c r="DU13" i="25"/>
  <c r="DW13" i="25"/>
  <c r="DY13" i="25"/>
  <c r="DZ13" i="25"/>
  <c r="EA13" i="25"/>
  <c r="CY13" i="25" s="1"/>
  <c r="EB13" i="25"/>
  <c r="EC13" i="25"/>
  <c r="DO13" i="25" s="1"/>
  <c r="ED13" i="25"/>
  <c r="EE13" i="25"/>
  <c r="EF13" i="25"/>
  <c r="EG13" i="25"/>
  <c r="EH13" i="25"/>
  <c r="G8" i="25"/>
  <c r="BZ8" i="25"/>
  <c r="CA8" i="25"/>
  <c r="CC8" i="25"/>
  <c r="CD8" i="25"/>
  <c r="CE8" i="25"/>
  <c r="CF8" i="25"/>
  <c r="CG8" i="25"/>
  <c r="CH8" i="25"/>
  <c r="CM8" i="25"/>
  <c r="CN8" i="25" s="1"/>
  <c r="CU8" i="25"/>
  <c r="CV8" i="25"/>
  <c r="DA8" i="25"/>
  <c r="DF8" i="25"/>
  <c r="DG8" i="25"/>
  <c r="DN8" i="25" s="1"/>
  <c r="DH8" i="25"/>
  <c r="DI8" i="25"/>
  <c r="DP8" i="25"/>
  <c r="DQ8" i="25"/>
  <c r="DT8" i="25" s="1"/>
  <c r="DS8" i="25"/>
  <c r="DU8" i="25"/>
  <c r="DW8" i="25"/>
  <c r="DY8" i="25"/>
  <c r="DZ8" i="25"/>
  <c r="EA8" i="25"/>
  <c r="CY8" i="25" s="1"/>
  <c r="EB8" i="25"/>
  <c r="EC8" i="25"/>
  <c r="DO8" i="25" s="1"/>
  <c r="ED8" i="25"/>
  <c r="EE8" i="25"/>
  <c r="EF8" i="25"/>
  <c r="EG8" i="25"/>
  <c r="EH8" i="25"/>
  <c r="G7" i="25"/>
  <c r="BZ7" i="25"/>
  <c r="CA7" i="25"/>
  <c r="CC7" i="25"/>
  <c r="CD7" i="25"/>
  <c r="CE7" i="25"/>
  <c r="CF7" i="25"/>
  <c r="CG7" i="25"/>
  <c r="CH7" i="25"/>
  <c r="CM7" i="25"/>
  <c r="CN7" i="25" s="1"/>
  <c r="CU7" i="25"/>
  <c r="CV7" i="25"/>
  <c r="DA7" i="25"/>
  <c r="DF7" i="25"/>
  <c r="DG7" i="25"/>
  <c r="DN7" i="25" s="1"/>
  <c r="DH7" i="25"/>
  <c r="DI7" i="25"/>
  <c r="DP7" i="25"/>
  <c r="DQ7" i="25"/>
  <c r="DR7" i="25" s="1"/>
  <c r="DS7" i="25"/>
  <c r="DU7" i="25"/>
  <c r="DW7" i="25"/>
  <c r="DY7" i="25"/>
  <c r="DZ7" i="25"/>
  <c r="EA7" i="25"/>
  <c r="CY7" i="25" s="1"/>
  <c r="EB7" i="25"/>
  <c r="EC7" i="25"/>
  <c r="DO7" i="25" s="1"/>
  <c r="ED7" i="25"/>
  <c r="EE7" i="25"/>
  <c r="EF7" i="25"/>
  <c r="EG7" i="25"/>
  <c r="EH7" i="25"/>
  <c r="Q53" i="89" l="1"/>
  <c r="S53" i="89"/>
  <c r="P53" i="89"/>
  <c r="R53" i="89"/>
  <c r="N53" i="89"/>
  <c r="O53" i="89"/>
  <c r="L53" i="89"/>
  <c r="M53" i="89" s="1"/>
  <c r="CJ7" i="25"/>
  <c r="CI7" i="25"/>
  <c r="CK7" i="25" s="1"/>
  <c r="CO7" i="25" s="1"/>
  <c r="CR7" i="25" s="1"/>
  <c r="CS7" i="25" s="1"/>
  <c r="CX7" i="25"/>
  <c r="CW7" i="25" s="1"/>
  <c r="DE7" i="25" s="1"/>
  <c r="CI8" i="25"/>
  <c r="CK8" i="25" s="1"/>
  <c r="CB47" i="25"/>
  <c r="CB37" i="25"/>
  <c r="CI37" i="25"/>
  <c r="CK37" i="25" s="1"/>
  <c r="CL37" i="25" s="1"/>
  <c r="CJ8" i="25"/>
  <c r="DJ47" i="25"/>
  <c r="DK47" i="25" s="1"/>
  <c r="DL47" i="25" s="1"/>
  <c r="CI47" i="25"/>
  <c r="CK47" i="25" s="1"/>
  <c r="CJ47" i="25"/>
  <c r="CB13" i="25"/>
  <c r="CX37" i="25"/>
  <c r="CW37" i="25" s="1"/>
  <c r="DE37" i="25" s="1"/>
  <c r="CX8" i="25"/>
  <c r="CW8" i="25" s="1"/>
  <c r="DE8" i="25" s="1"/>
  <c r="CX47" i="25"/>
  <c r="CW47" i="25" s="1"/>
  <c r="DE47" i="25" s="1"/>
  <c r="CJ37" i="25"/>
  <c r="DT37" i="25"/>
  <c r="DJ37" i="25"/>
  <c r="DK37" i="25" s="1"/>
  <c r="DL37" i="25" s="1"/>
  <c r="DC37" i="25"/>
  <c r="CN37" i="25"/>
  <c r="CZ37" i="25"/>
  <c r="DB37" i="25" s="1"/>
  <c r="DX37" i="25" s="1"/>
  <c r="DR47" i="25"/>
  <c r="DC47" i="25"/>
  <c r="CZ47" i="25"/>
  <c r="DB47" i="25" s="1"/>
  <c r="DX47" i="25" s="1"/>
  <c r="CI13" i="25"/>
  <c r="CK13" i="25" s="1"/>
  <c r="DJ13" i="25"/>
  <c r="DK13" i="25" s="1"/>
  <c r="DL13" i="25" s="1"/>
  <c r="CX13" i="25"/>
  <c r="CW13" i="25" s="1"/>
  <c r="DE13" i="25" s="1"/>
  <c r="CJ13" i="25"/>
  <c r="DT13" i="25"/>
  <c r="DC13" i="25"/>
  <c r="CZ13" i="25"/>
  <c r="DB13" i="25" s="1"/>
  <c r="DX13" i="25" s="1"/>
  <c r="CB8" i="25"/>
  <c r="DJ7" i="25"/>
  <c r="DK7" i="25" s="1"/>
  <c r="DL7" i="25" s="1"/>
  <c r="DJ8" i="25"/>
  <c r="DK8" i="25" s="1"/>
  <c r="DL8" i="25" s="1"/>
  <c r="CB7" i="25"/>
  <c r="DR8" i="25"/>
  <c r="CZ7" i="25"/>
  <c r="DB7" i="25" s="1"/>
  <c r="DX7" i="25" s="1"/>
  <c r="DC8" i="25"/>
  <c r="DT7" i="25"/>
  <c r="CZ8" i="25"/>
  <c r="DB8" i="25" s="1"/>
  <c r="DX8" i="25" s="1"/>
  <c r="DC7" i="25"/>
  <c r="DM37" i="25" l="1"/>
  <c r="DM7" i="25"/>
  <c r="DM47" i="25"/>
  <c r="DM8" i="25"/>
  <c r="DM13" i="25"/>
  <c r="DD7" i="25"/>
  <c r="DD47" i="25"/>
  <c r="DD8" i="25"/>
  <c r="DD13" i="25"/>
  <c r="DD37" i="25"/>
  <c r="CP37" i="25"/>
  <c r="CQ37" i="25" s="1"/>
  <c r="CT37" i="25" s="1"/>
  <c r="CO37" i="25"/>
  <c r="CR37" i="25" s="1"/>
  <c r="CS37" i="25" s="1"/>
  <c r="CO47" i="25"/>
  <c r="CR47" i="25" s="1"/>
  <c r="CS47" i="25" s="1"/>
  <c r="CL47" i="25"/>
  <c r="CP47" i="25" s="1"/>
  <c r="CQ47" i="25" s="1"/>
  <c r="CT47" i="25" s="1"/>
  <c r="CO13" i="25"/>
  <c r="CR13" i="25" s="1"/>
  <c r="CS13" i="25" s="1"/>
  <c r="CL13" i="25"/>
  <c r="CP13" i="25" s="1"/>
  <c r="CQ13" i="25" s="1"/>
  <c r="CT13" i="25" s="1"/>
  <c r="CO8" i="25"/>
  <c r="CR8" i="25" s="1"/>
  <c r="CS8" i="25" s="1"/>
  <c r="CL8" i="25"/>
  <c r="CP8" i="25" s="1"/>
  <c r="CQ8" i="25" s="1"/>
  <c r="CT8" i="25" s="1"/>
  <c r="CL7" i="25"/>
  <c r="CP7" i="25" s="1"/>
  <c r="CQ7" i="25" s="1"/>
  <c r="CT7" i="25" s="1"/>
  <c r="L41" i="89" l="1"/>
  <c r="M41" i="89" s="1"/>
  <c r="L35" i="89"/>
  <c r="M35" i="89" s="1"/>
  <c r="L29" i="89"/>
  <c r="M29" i="89" s="1"/>
  <c r="L23" i="89"/>
  <c r="M23" i="89" s="1"/>
  <c r="AB69" i="89"/>
  <c r="AD69" i="89" s="1"/>
  <c r="AB71" i="89"/>
  <c r="AB72" i="89"/>
  <c r="AB68" i="89"/>
  <c r="AD68" i="89" s="1"/>
  <c r="T69" i="89"/>
  <c r="T68" i="89"/>
  <c r="F69" i="89"/>
  <c r="F68" i="89"/>
  <c r="R70" i="89"/>
  <c r="AB70" i="89" s="1"/>
  <c r="L39" i="89"/>
  <c r="M39" i="89" s="1"/>
  <c r="DW140" i="25"/>
  <c r="DW143" i="25"/>
  <c r="DW154" i="25"/>
  <c r="DW190" i="25"/>
  <c r="DW189" i="25"/>
  <c r="DW191" i="25"/>
  <c r="DW76" i="25"/>
  <c r="DW135" i="25"/>
  <c r="DW77" i="25"/>
  <c r="DW71" i="25"/>
  <c r="DW81" i="25"/>
  <c r="DW82" i="25"/>
  <c r="DW73" i="25"/>
  <c r="DW193" i="25"/>
  <c r="DW84" i="25"/>
  <c r="DW160" i="25"/>
  <c r="DW9" i="25"/>
  <c r="DW161" i="25"/>
  <c r="DW162" i="25"/>
  <c r="DW85" i="25"/>
  <c r="DW60" i="25"/>
  <c r="DW163" i="25"/>
  <c r="DW164" i="25"/>
  <c r="DW165" i="25"/>
  <c r="DW166" i="25"/>
  <c r="DW167" i="25"/>
  <c r="DW10" i="25"/>
  <c r="DW11" i="25"/>
  <c r="DW168" i="25"/>
  <c r="DW169" i="25"/>
  <c r="DW62" i="25"/>
  <c r="DW63" i="25"/>
  <c r="DW171" i="25"/>
  <c r="DW68" i="25"/>
  <c r="DW136" i="25"/>
  <c r="DW170" i="25"/>
  <c r="DW172" i="25"/>
  <c r="DW173" i="25"/>
  <c r="DW65" i="25"/>
  <c r="DW174" i="25"/>
  <c r="DW12" i="25"/>
  <c r="DW147" i="25"/>
  <c r="DW175" i="25"/>
  <c r="DW176" i="25"/>
  <c r="DW203" i="25"/>
  <c r="DW204" i="25"/>
  <c r="DW14" i="25"/>
  <c r="DW74" i="25"/>
  <c r="DW86" i="25"/>
  <c r="DW91" i="25"/>
  <c r="DW94" i="25"/>
  <c r="DW96" i="25"/>
  <c r="DW97" i="25"/>
  <c r="DW98" i="25"/>
  <c r="DW146" i="25"/>
  <c r="DW150" i="25"/>
  <c r="DW15" i="25"/>
  <c r="DW61" i="25"/>
  <c r="DW66" i="25"/>
  <c r="DW75" i="25"/>
  <c r="DW16" i="25"/>
  <c r="DW17" i="25"/>
  <c r="DW18" i="25"/>
  <c r="DW19" i="25"/>
  <c r="DW139" i="25"/>
  <c r="DW20" i="25"/>
  <c r="DW148" i="25"/>
  <c r="DW21" i="25"/>
  <c r="DW56" i="25"/>
  <c r="DW99" i="25"/>
  <c r="DW58" i="25"/>
  <c r="DW100" i="25"/>
  <c r="DW192" i="25"/>
  <c r="DW194" i="25"/>
  <c r="DW101" i="25"/>
  <c r="DW103" i="25"/>
  <c r="DW142" i="25"/>
  <c r="DW195" i="25"/>
  <c r="DW196" i="25"/>
  <c r="DW197" i="25"/>
  <c r="DW198" i="25"/>
  <c r="DW199" i="25"/>
  <c r="DW106" i="25"/>
  <c r="DW200" i="25"/>
  <c r="DW112" i="25"/>
  <c r="DW120" i="25"/>
  <c r="DW149" i="25"/>
  <c r="DW151" i="25"/>
  <c r="DW205" i="25"/>
  <c r="DW201" i="25"/>
  <c r="DW206" i="25"/>
  <c r="DW202" i="25"/>
  <c r="DW22" i="25"/>
  <c r="DW23" i="25"/>
  <c r="DW144" i="25"/>
  <c r="DW177" i="25"/>
  <c r="DW24" i="25"/>
  <c r="DW57" i="25"/>
  <c r="DW25" i="25"/>
  <c r="DW26" i="25"/>
  <c r="DW27" i="25"/>
  <c r="DW28" i="25"/>
  <c r="DW29" i="25"/>
  <c r="DW30" i="25"/>
  <c r="DW59" i="25"/>
  <c r="DW178" i="25"/>
  <c r="DW67" i="25"/>
  <c r="DW31" i="25"/>
  <c r="DW69" i="25"/>
  <c r="DW70" i="25"/>
  <c r="DW32" i="25"/>
  <c r="DW179" i="25"/>
  <c r="DW33" i="25"/>
  <c r="DW34" i="25"/>
  <c r="DW180" i="25"/>
  <c r="DW181" i="25"/>
  <c r="DW35" i="25"/>
  <c r="DW36" i="25"/>
  <c r="DW54" i="25"/>
  <c r="DW38" i="25"/>
  <c r="DW141" i="25"/>
  <c r="DW39" i="25"/>
  <c r="DW159" i="25"/>
  <c r="DW40" i="25"/>
  <c r="DW41" i="25"/>
  <c r="DW124" i="25"/>
  <c r="DW125" i="25"/>
  <c r="DW42" i="25"/>
  <c r="DW43" i="25"/>
  <c r="DW44" i="25"/>
  <c r="DW137" i="25"/>
  <c r="DW156" i="25"/>
  <c r="DW55" i="25"/>
  <c r="DW45" i="25"/>
  <c r="DW155" i="25"/>
  <c r="DW64" i="25"/>
  <c r="DW138" i="25"/>
  <c r="DW182" i="25"/>
  <c r="DW46" i="25"/>
  <c r="DW72" i="25"/>
  <c r="DW127" i="25"/>
  <c r="DW183" i="25"/>
  <c r="DW157" i="25"/>
  <c r="DW48" i="25"/>
  <c r="DW49" i="25"/>
  <c r="DW184" i="25"/>
  <c r="DW50" i="25"/>
  <c r="DW158" i="25"/>
  <c r="DW185" i="25"/>
  <c r="DW51" i="25"/>
  <c r="DW186" i="25"/>
  <c r="DW152" i="25"/>
  <c r="DW52" i="25"/>
  <c r="DW53" i="25"/>
  <c r="DW187" i="25"/>
  <c r="DW188" i="25"/>
  <c r="DW128" i="25"/>
  <c r="DW129" i="25"/>
  <c r="DW130" i="25"/>
  <c r="DW153" i="25"/>
  <c r="DW78" i="25"/>
  <c r="DW79" i="25"/>
  <c r="DW80" i="25"/>
  <c r="DW83" i="25"/>
  <c r="DW87" i="25"/>
  <c r="DW88" i="25"/>
  <c r="DW89" i="25"/>
  <c r="DW145" i="25"/>
  <c r="DW90" i="25"/>
  <c r="DW92" i="25"/>
  <c r="DW93" i="25"/>
  <c r="DW95" i="25"/>
  <c r="DW102" i="25"/>
  <c r="DW132" i="25"/>
  <c r="DW105" i="25"/>
  <c r="DW107" i="25"/>
  <c r="DW108" i="25"/>
  <c r="DW109" i="25"/>
  <c r="DW110" i="25"/>
  <c r="DW111" i="25"/>
  <c r="DW133" i="25"/>
  <c r="DW113" i="25"/>
  <c r="DW114" i="25"/>
  <c r="DW134" i="25"/>
  <c r="DW115" i="25"/>
  <c r="DW116" i="25"/>
  <c r="DW117" i="25"/>
  <c r="DW118" i="25"/>
  <c r="DW119" i="25"/>
  <c r="DW121" i="25"/>
  <c r="DW122" i="25"/>
  <c r="DW126" i="25"/>
  <c r="DW131" i="25"/>
  <c r="DW104" i="25"/>
  <c r="DW123" i="25"/>
  <c r="DI140" i="25"/>
  <c r="DI143" i="25"/>
  <c r="DI154" i="25"/>
  <c r="DI190" i="25"/>
  <c r="DI189" i="25"/>
  <c r="DI191" i="25"/>
  <c r="DI76" i="25"/>
  <c r="DI135" i="25"/>
  <c r="DI77" i="25"/>
  <c r="DI71" i="25"/>
  <c r="DI81" i="25"/>
  <c r="DI82" i="25"/>
  <c r="DI73" i="25"/>
  <c r="DI193" i="25"/>
  <c r="DI84" i="25"/>
  <c r="DI160" i="25"/>
  <c r="DI9" i="25"/>
  <c r="DI161" i="25"/>
  <c r="DI162" i="25"/>
  <c r="DI85" i="25"/>
  <c r="DI60" i="25"/>
  <c r="DI163" i="25"/>
  <c r="DI164" i="25"/>
  <c r="DI165" i="25"/>
  <c r="DI166" i="25"/>
  <c r="DI167" i="25"/>
  <c r="DI10" i="25"/>
  <c r="DI11" i="25"/>
  <c r="DI168" i="25"/>
  <c r="DI169" i="25"/>
  <c r="DI62" i="25"/>
  <c r="DI63" i="25"/>
  <c r="DI171" i="25"/>
  <c r="DI68" i="25"/>
  <c r="DI136" i="25"/>
  <c r="DI170" i="25"/>
  <c r="DI172" i="25"/>
  <c r="DI173" i="25"/>
  <c r="DI65" i="25"/>
  <c r="DI174" i="25"/>
  <c r="DI12" i="25"/>
  <c r="DI147" i="25"/>
  <c r="DI175" i="25"/>
  <c r="DI176" i="25"/>
  <c r="DI203" i="25"/>
  <c r="DI204" i="25"/>
  <c r="DI14" i="25"/>
  <c r="DI74" i="25"/>
  <c r="DI86" i="25"/>
  <c r="DI91" i="25"/>
  <c r="DI94" i="25"/>
  <c r="DI96" i="25"/>
  <c r="DI97" i="25"/>
  <c r="DI98" i="25"/>
  <c r="DI146" i="25"/>
  <c r="DI150" i="25"/>
  <c r="DI15" i="25"/>
  <c r="DI61" i="25"/>
  <c r="DI66" i="25"/>
  <c r="DI75" i="25"/>
  <c r="DI16" i="25"/>
  <c r="DI17" i="25"/>
  <c r="DI18" i="25"/>
  <c r="DI19" i="25"/>
  <c r="DI139" i="25"/>
  <c r="DI20" i="25"/>
  <c r="DI148" i="25"/>
  <c r="DI21" i="25"/>
  <c r="DI56" i="25"/>
  <c r="DI99" i="25"/>
  <c r="DI58" i="25"/>
  <c r="DI100" i="25"/>
  <c r="DI192" i="25"/>
  <c r="DI194" i="25"/>
  <c r="DI101" i="25"/>
  <c r="DI103" i="25"/>
  <c r="DI142" i="25"/>
  <c r="DI195" i="25"/>
  <c r="DI196" i="25"/>
  <c r="DI197" i="25"/>
  <c r="DI198" i="25"/>
  <c r="DI199" i="25"/>
  <c r="DI106" i="25"/>
  <c r="DI200" i="25"/>
  <c r="DI112" i="25"/>
  <c r="DI120" i="25"/>
  <c r="DI149" i="25"/>
  <c r="DI151" i="25"/>
  <c r="DI205" i="25"/>
  <c r="DI201" i="25"/>
  <c r="DI206" i="25"/>
  <c r="DI202" i="25"/>
  <c r="DI22" i="25"/>
  <c r="DI23" i="25"/>
  <c r="DI144" i="25"/>
  <c r="DI177" i="25"/>
  <c r="DI24" i="25"/>
  <c r="DI57" i="25"/>
  <c r="DI25" i="25"/>
  <c r="DI26" i="25"/>
  <c r="DI27" i="25"/>
  <c r="DI28" i="25"/>
  <c r="DI29" i="25"/>
  <c r="DI30" i="25"/>
  <c r="DI59" i="25"/>
  <c r="DI178" i="25"/>
  <c r="DI67" i="25"/>
  <c r="DI31" i="25"/>
  <c r="DI69" i="25"/>
  <c r="DI70" i="25"/>
  <c r="DI32" i="25"/>
  <c r="DI179" i="25"/>
  <c r="DI33" i="25"/>
  <c r="DI34" i="25"/>
  <c r="DI180" i="25"/>
  <c r="DI181" i="25"/>
  <c r="DI35" i="25"/>
  <c r="DI36" i="25"/>
  <c r="DI54" i="25"/>
  <c r="DI38" i="25"/>
  <c r="DI141" i="25"/>
  <c r="DI39" i="25"/>
  <c r="DI159" i="25"/>
  <c r="DI40" i="25"/>
  <c r="DI41" i="25"/>
  <c r="DI124" i="25"/>
  <c r="DI125" i="25"/>
  <c r="DI42" i="25"/>
  <c r="DI43" i="25"/>
  <c r="DI44" i="25"/>
  <c r="DI137" i="25"/>
  <c r="DI156" i="25"/>
  <c r="DI55" i="25"/>
  <c r="DI45" i="25"/>
  <c r="DI155" i="25"/>
  <c r="DI64" i="25"/>
  <c r="DI138" i="25"/>
  <c r="DI182" i="25"/>
  <c r="DI46" i="25"/>
  <c r="DI72" i="25"/>
  <c r="DI127" i="25"/>
  <c r="DI183" i="25"/>
  <c r="DI157" i="25"/>
  <c r="DI48" i="25"/>
  <c r="DI49" i="25"/>
  <c r="DI184" i="25"/>
  <c r="DI50" i="25"/>
  <c r="DI158" i="25"/>
  <c r="DI185" i="25"/>
  <c r="DI51" i="25"/>
  <c r="DI186" i="25"/>
  <c r="DI152" i="25"/>
  <c r="DI52" i="25"/>
  <c r="DI53" i="25"/>
  <c r="DI187" i="25"/>
  <c r="DI188" i="25"/>
  <c r="DI128" i="25"/>
  <c r="DI129" i="25"/>
  <c r="DI130" i="25"/>
  <c r="DI153" i="25"/>
  <c r="DI78" i="25"/>
  <c r="DI79" i="25"/>
  <c r="DI80" i="25"/>
  <c r="DI83" i="25"/>
  <c r="DI87" i="25"/>
  <c r="DI88" i="25"/>
  <c r="DI89" i="25"/>
  <c r="DI145" i="25"/>
  <c r="DI90" i="25"/>
  <c r="DI92" i="25"/>
  <c r="DI93" i="25"/>
  <c r="DI95" i="25"/>
  <c r="DI102" i="25"/>
  <c r="DI132" i="25"/>
  <c r="DI105" i="25"/>
  <c r="DI107" i="25"/>
  <c r="DI108" i="25"/>
  <c r="DI109" i="25"/>
  <c r="DI110" i="25"/>
  <c r="DI111" i="25"/>
  <c r="DI133" i="25"/>
  <c r="DI113" i="25"/>
  <c r="DI114" i="25"/>
  <c r="DI134" i="25"/>
  <c r="DI115" i="25"/>
  <c r="DI116" i="25"/>
  <c r="DI117" i="25"/>
  <c r="DI118" i="25"/>
  <c r="DI119" i="25"/>
  <c r="DI121" i="25"/>
  <c r="DI122" i="25"/>
  <c r="DI126" i="25"/>
  <c r="DI131" i="25"/>
  <c r="DI104" i="25"/>
  <c r="DI123" i="25"/>
  <c r="M61" i="92"/>
  <c r="L61" i="92"/>
  <c r="M62" i="92"/>
  <c r="L62" i="92"/>
  <c r="J34" i="89" l="1"/>
  <c r="J37" i="89"/>
  <c r="G32" i="89"/>
  <c r="E71" i="89" s="1"/>
  <c r="G38" i="89"/>
  <c r="E70" i="89" s="1"/>
  <c r="E100" i="89"/>
  <c r="F100" i="89" s="1"/>
  <c r="L45" i="89"/>
  <c r="M45" i="89" s="1"/>
  <c r="L43" i="89"/>
  <c r="M43" i="89" s="1"/>
  <c r="F86" i="89"/>
  <c r="L40" i="89"/>
  <c r="M40" i="89" s="1"/>
  <c r="J28" i="89"/>
  <c r="J22" i="89"/>
  <c r="E89" i="89" l="1"/>
  <c r="S22" i="89"/>
  <c r="E88" i="89"/>
  <c r="S28" i="89"/>
  <c r="E87" i="89"/>
  <c r="S34" i="89"/>
  <c r="J26" i="89"/>
  <c r="Q34" i="89"/>
  <c r="R34" i="89"/>
  <c r="P34" i="89"/>
  <c r="N34" i="89"/>
  <c r="O34" i="89"/>
  <c r="N28" i="89"/>
  <c r="O28" i="89"/>
  <c r="P28" i="89"/>
  <c r="R28" i="89"/>
  <c r="Q28" i="89"/>
  <c r="L34" i="89"/>
  <c r="M34" i="89" s="1"/>
  <c r="L28" i="89"/>
  <c r="M28" i="89" s="1"/>
  <c r="R22" i="89"/>
  <c r="Q22" i="89"/>
  <c r="P22" i="89"/>
  <c r="O22" i="89"/>
  <c r="N22" i="89"/>
  <c r="L22" i="89"/>
  <c r="M22" i="89" s="1"/>
  <c r="L26" i="89" l="1"/>
  <c r="M26" i="89" s="1"/>
  <c r="S26" i="89"/>
  <c r="DA140" i="25"/>
  <c r="DA143" i="25"/>
  <c r="DA154" i="25"/>
  <c r="DA190" i="25"/>
  <c r="DA189" i="25"/>
  <c r="DA191" i="25"/>
  <c r="DA76" i="25"/>
  <c r="DA135" i="25"/>
  <c r="DA77" i="25"/>
  <c r="DA71" i="25"/>
  <c r="DA81" i="25"/>
  <c r="DA82" i="25"/>
  <c r="DA73" i="25"/>
  <c r="DA193" i="25"/>
  <c r="DA84" i="25"/>
  <c r="DA160" i="25"/>
  <c r="DA9" i="25"/>
  <c r="DA161" i="25"/>
  <c r="DA162" i="25"/>
  <c r="DA85" i="25"/>
  <c r="DA60" i="25"/>
  <c r="DA163" i="25"/>
  <c r="DA164" i="25"/>
  <c r="DA165" i="25"/>
  <c r="DA166" i="25"/>
  <c r="DA167" i="25"/>
  <c r="DA10" i="25"/>
  <c r="DA11" i="25"/>
  <c r="DA168" i="25"/>
  <c r="DA169" i="25"/>
  <c r="DA62" i="25"/>
  <c r="DA63" i="25"/>
  <c r="DA171" i="25"/>
  <c r="DA68" i="25"/>
  <c r="DA136" i="25"/>
  <c r="DA170" i="25"/>
  <c r="DA172" i="25"/>
  <c r="DA173" i="25"/>
  <c r="DA65" i="25"/>
  <c r="DA174" i="25"/>
  <c r="DA12" i="25"/>
  <c r="DA147" i="25"/>
  <c r="DA175" i="25"/>
  <c r="DA176" i="25"/>
  <c r="DA203" i="25"/>
  <c r="DA204" i="25"/>
  <c r="DA14" i="25"/>
  <c r="DA74" i="25"/>
  <c r="DA86" i="25"/>
  <c r="DA91" i="25"/>
  <c r="DA94" i="25"/>
  <c r="DA96" i="25"/>
  <c r="DA97" i="25"/>
  <c r="DA98" i="25"/>
  <c r="DA146" i="25"/>
  <c r="DA150" i="25"/>
  <c r="DA15" i="25"/>
  <c r="DA61" i="25"/>
  <c r="DA66" i="25"/>
  <c r="DA75" i="25"/>
  <c r="DA16" i="25"/>
  <c r="DA17" i="25"/>
  <c r="DA18" i="25"/>
  <c r="DA19" i="25"/>
  <c r="DA139" i="25"/>
  <c r="DA20" i="25"/>
  <c r="DA148" i="25"/>
  <c r="DA21" i="25"/>
  <c r="DA56" i="25"/>
  <c r="DA99" i="25"/>
  <c r="DA58" i="25"/>
  <c r="DA100" i="25"/>
  <c r="DA192" i="25"/>
  <c r="DA194" i="25"/>
  <c r="DA101" i="25"/>
  <c r="DA103" i="25"/>
  <c r="DA142" i="25"/>
  <c r="DA195" i="25"/>
  <c r="DA196" i="25"/>
  <c r="DA197" i="25"/>
  <c r="DA198" i="25"/>
  <c r="DA199" i="25"/>
  <c r="DA106" i="25"/>
  <c r="DA200" i="25"/>
  <c r="DA112" i="25"/>
  <c r="DA120" i="25"/>
  <c r="DA149" i="25"/>
  <c r="DA151" i="25"/>
  <c r="DA205" i="25"/>
  <c r="DA201" i="25"/>
  <c r="DA206" i="25"/>
  <c r="DA202" i="25"/>
  <c r="DA22" i="25"/>
  <c r="DA23" i="25"/>
  <c r="DA144" i="25"/>
  <c r="DA177" i="25"/>
  <c r="DA24" i="25"/>
  <c r="DA57" i="25"/>
  <c r="DA25" i="25"/>
  <c r="DA26" i="25"/>
  <c r="DA27" i="25"/>
  <c r="DA28" i="25"/>
  <c r="DA29" i="25"/>
  <c r="DA30" i="25"/>
  <c r="DA59" i="25"/>
  <c r="DA178" i="25"/>
  <c r="DA67" i="25"/>
  <c r="DA31" i="25"/>
  <c r="DA69" i="25"/>
  <c r="DA70" i="25"/>
  <c r="DA32" i="25"/>
  <c r="DA179" i="25"/>
  <c r="DA33" i="25"/>
  <c r="DA34" i="25"/>
  <c r="DA180" i="25"/>
  <c r="DA181" i="25"/>
  <c r="DA35" i="25"/>
  <c r="DA36" i="25"/>
  <c r="DA54" i="25"/>
  <c r="DA38" i="25"/>
  <c r="DA141" i="25"/>
  <c r="DA39" i="25"/>
  <c r="DA159" i="25"/>
  <c r="DA40" i="25"/>
  <c r="DA41" i="25"/>
  <c r="DA124" i="25"/>
  <c r="DA125" i="25"/>
  <c r="DA42" i="25"/>
  <c r="DA43" i="25"/>
  <c r="DA44" i="25"/>
  <c r="DA137" i="25"/>
  <c r="DA156" i="25"/>
  <c r="DA55" i="25"/>
  <c r="DA45" i="25"/>
  <c r="DA155" i="25"/>
  <c r="DA64" i="25"/>
  <c r="DA138" i="25"/>
  <c r="DA182" i="25"/>
  <c r="DA46" i="25"/>
  <c r="DA72" i="25"/>
  <c r="DA127" i="25"/>
  <c r="DA183" i="25"/>
  <c r="DA157" i="25"/>
  <c r="DA48" i="25"/>
  <c r="DA49" i="25"/>
  <c r="DA184" i="25"/>
  <c r="DA50" i="25"/>
  <c r="DA158" i="25"/>
  <c r="DA185" i="25"/>
  <c r="DA51" i="25"/>
  <c r="DA186" i="25"/>
  <c r="DA152" i="25"/>
  <c r="DA52" i="25"/>
  <c r="DA53" i="25"/>
  <c r="DA187" i="25"/>
  <c r="DA188" i="25"/>
  <c r="DA128" i="25"/>
  <c r="DA129" i="25"/>
  <c r="DA130" i="25"/>
  <c r="DA153" i="25"/>
  <c r="DA78" i="25"/>
  <c r="DA79" i="25"/>
  <c r="DA80" i="25"/>
  <c r="DA83" i="25"/>
  <c r="DA87" i="25"/>
  <c r="DA88" i="25"/>
  <c r="DA89" i="25"/>
  <c r="DA145" i="25"/>
  <c r="DA90" i="25"/>
  <c r="DA92" i="25"/>
  <c r="DA93" i="25"/>
  <c r="DA95" i="25"/>
  <c r="DA102" i="25"/>
  <c r="DA132" i="25"/>
  <c r="DA105" i="25"/>
  <c r="DA107" i="25"/>
  <c r="DA108" i="25"/>
  <c r="DA109" i="25"/>
  <c r="DA110" i="25"/>
  <c r="DA111" i="25"/>
  <c r="DA133" i="25"/>
  <c r="DA113" i="25"/>
  <c r="DA114" i="25"/>
  <c r="DA134" i="25"/>
  <c r="DA115" i="25"/>
  <c r="DA116" i="25"/>
  <c r="DA117" i="25"/>
  <c r="DA118" i="25"/>
  <c r="DA119" i="25"/>
  <c r="DA121" i="25"/>
  <c r="DA122" i="25"/>
  <c r="DA126" i="25"/>
  <c r="DA131" i="25"/>
  <c r="DA104" i="25"/>
  <c r="DA123" i="25"/>
  <c r="CH140" i="25"/>
  <c r="CH143" i="25"/>
  <c r="CH154" i="25"/>
  <c r="CH190" i="25"/>
  <c r="CH189" i="25"/>
  <c r="CH191" i="25"/>
  <c r="CH76" i="25"/>
  <c r="CH135" i="25"/>
  <c r="CH77" i="25"/>
  <c r="CH71" i="25"/>
  <c r="CH81" i="25"/>
  <c r="CH82" i="25"/>
  <c r="CH73" i="25"/>
  <c r="CH193" i="25"/>
  <c r="CH84" i="25"/>
  <c r="CH160" i="25"/>
  <c r="CH9" i="25"/>
  <c r="CH161" i="25"/>
  <c r="CH162" i="25"/>
  <c r="CH85" i="25"/>
  <c r="CH60" i="25"/>
  <c r="CH163" i="25"/>
  <c r="CH164" i="25"/>
  <c r="CH165" i="25"/>
  <c r="CH166" i="25"/>
  <c r="CH167" i="25"/>
  <c r="CH10" i="25"/>
  <c r="CH11" i="25"/>
  <c r="CH168" i="25"/>
  <c r="CH169" i="25"/>
  <c r="CH62" i="25"/>
  <c r="CH63" i="25"/>
  <c r="CH171" i="25"/>
  <c r="CH68" i="25"/>
  <c r="CH136" i="25"/>
  <c r="CH170" i="25"/>
  <c r="CH172" i="25"/>
  <c r="CH173" i="25"/>
  <c r="CH65" i="25"/>
  <c r="CH174" i="25"/>
  <c r="CH12" i="25"/>
  <c r="CH147" i="25"/>
  <c r="CH175" i="25"/>
  <c r="CH176" i="25"/>
  <c r="CH203" i="25"/>
  <c r="CH204" i="25"/>
  <c r="CH14" i="25"/>
  <c r="CH74" i="25"/>
  <c r="CH86" i="25"/>
  <c r="CH91" i="25"/>
  <c r="CH94" i="25"/>
  <c r="CH96" i="25"/>
  <c r="CH97" i="25"/>
  <c r="CH98" i="25"/>
  <c r="CH146" i="25"/>
  <c r="CH150" i="25"/>
  <c r="CH15" i="25"/>
  <c r="CH61" i="25"/>
  <c r="CH66" i="25"/>
  <c r="CH75" i="25"/>
  <c r="CH16" i="25"/>
  <c r="CH17" i="25"/>
  <c r="CH18" i="25"/>
  <c r="CH19" i="25"/>
  <c r="CH139" i="25"/>
  <c r="CH20" i="25"/>
  <c r="CH148" i="25"/>
  <c r="CH21" i="25"/>
  <c r="CH56" i="25"/>
  <c r="CH99" i="25"/>
  <c r="CH58" i="25"/>
  <c r="CH100" i="25"/>
  <c r="CH192" i="25"/>
  <c r="CH194" i="25"/>
  <c r="CH101" i="25"/>
  <c r="CH103" i="25"/>
  <c r="CH142" i="25"/>
  <c r="CH195" i="25"/>
  <c r="CH196" i="25"/>
  <c r="CH197" i="25"/>
  <c r="CH198" i="25"/>
  <c r="CH199" i="25"/>
  <c r="CH106" i="25"/>
  <c r="CH200" i="25"/>
  <c r="CH112" i="25"/>
  <c r="CH120" i="25"/>
  <c r="CH149" i="25"/>
  <c r="CH151" i="25"/>
  <c r="CH205" i="25"/>
  <c r="CH201" i="25"/>
  <c r="CH206" i="25"/>
  <c r="CH202" i="25"/>
  <c r="CH22" i="25"/>
  <c r="CH23" i="25"/>
  <c r="CH144" i="25"/>
  <c r="CH177" i="25"/>
  <c r="CH24" i="25"/>
  <c r="CH57" i="25"/>
  <c r="CH25" i="25"/>
  <c r="CH26" i="25"/>
  <c r="CH27" i="25"/>
  <c r="CH28" i="25"/>
  <c r="CH29" i="25"/>
  <c r="CH30" i="25"/>
  <c r="CH59" i="25"/>
  <c r="CH178" i="25"/>
  <c r="CH67" i="25"/>
  <c r="CH31" i="25"/>
  <c r="CH69" i="25"/>
  <c r="CH70" i="25"/>
  <c r="CH32" i="25"/>
  <c r="CH179" i="25"/>
  <c r="CH33" i="25"/>
  <c r="CH34" i="25"/>
  <c r="CH180" i="25"/>
  <c r="CH181" i="25"/>
  <c r="CH35" i="25"/>
  <c r="CH36" i="25"/>
  <c r="CH54" i="25"/>
  <c r="CH38" i="25"/>
  <c r="CH141" i="25"/>
  <c r="CH39" i="25"/>
  <c r="CH159" i="25"/>
  <c r="CH40" i="25"/>
  <c r="CH41" i="25"/>
  <c r="CH124" i="25"/>
  <c r="CH125" i="25"/>
  <c r="CH42" i="25"/>
  <c r="CH43" i="25"/>
  <c r="CH44" i="25"/>
  <c r="CH137" i="25"/>
  <c r="CH156" i="25"/>
  <c r="CH55" i="25"/>
  <c r="CH45" i="25"/>
  <c r="CH155" i="25"/>
  <c r="CH64" i="25"/>
  <c r="CH138" i="25"/>
  <c r="CH182" i="25"/>
  <c r="CH46" i="25"/>
  <c r="CH72" i="25"/>
  <c r="CH127" i="25"/>
  <c r="CH183" i="25"/>
  <c r="CH157" i="25"/>
  <c r="CH48" i="25"/>
  <c r="CH49" i="25"/>
  <c r="CH184" i="25"/>
  <c r="CH50" i="25"/>
  <c r="CH158" i="25"/>
  <c r="CH185" i="25"/>
  <c r="CH51" i="25"/>
  <c r="CH186" i="25"/>
  <c r="CH152" i="25"/>
  <c r="CH52" i="25"/>
  <c r="CH53" i="25"/>
  <c r="CH187" i="25"/>
  <c r="CH188" i="25"/>
  <c r="CH128" i="25"/>
  <c r="CH129" i="25"/>
  <c r="CH130" i="25"/>
  <c r="CH153" i="25"/>
  <c r="CH78" i="25"/>
  <c r="CH79" i="25"/>
  <c r="CH80" i="25"/>
  <c r="CH83" i="25"/>
  <c r="CH87" i="25"/>
  <c r="CH88" i="25"/>
  <c r="CH89" i="25"/>
  <c r="CH145" i="25"/>
  <c r="CH90" i="25"/>
  <c r="CH92" i="25"/>
  <c r="CH93" i="25"/>
  <c r="CH95" i="25"/>
  <c r="CH102" i="25"/>
  <c r="CH132" i="25"/>
  <c r="CH105" i="25"/>
  <c r="CH107" i="25"/>
  <c r="CH108" i="25"/>
  <c r="CH109" i="25"/>
  <c r="CH110" i="25"/>
  <c r="CH111" i="25"/>
  <c r="CH133" i="25"/>
  <c r="CH113" i="25"/>
  <c r="CH114" i="25"/>
  <c r="CH134" i="25"/>
  <c r="CH115" i="25"/>
  <c r="CH116" i="25"/>
  <c r="CH117" i="25"/>
  <c r="CH118" i="25"/>
  <c r="CH119" i="25"/>
  <c r="CH121" i="25"/>
  <c r="CH122" i="25"/>
  <c r="CH126" i="25"/>
  <c r="CH131" i="25"/>
  <c r="CH104" i="25"/>
  <c r="CH123" i="25"/>
  <c r="CG140" i="25" l="1"/>
  <c r="CG143" i="25"/>
  <c r="CG154" i="25"/>
  <c r="CG190" i="25"/>
  <c r="CG189" i="25"/>
  <c r="CG191" i="25"/>
  <c r="CG76" i="25"/>
  <c r="CG135" i="25"/>
  <c r="CG77" i="25"/>
  <c r="CG71" i="25"/>
  <c r="CG81" i="25"/>
  <c r="CG82" i="25"/>
  <c r="CG73" i="25"/>
  <c r="CG193" i="25"/>
  <c r="CG84" i="25"/>
  <c r="CG160" i="25"/>
  <c r="CG9" i="25"/>
  <c r="CG161" i="25"/>
  <c r="CG162" i="25"/>
  <c r="CG85" i="25"/>
  <c r="CG60" i="25"/>
  <c r="CG163" i="25"/>
  <c r="CG164" i="25"/>
  <c r="CG165" i="25"/>
  <c r="CG166" i="25"/>
  <c r="CG167" i="25"/>
  <c r="CG10" i="25"/>
  <c r="CG11" i="25"/>
  <c r="CG168" i="25"/>
  <c r="CG169" i="25"/>
  <c r="CG62" i="25"/>
  <c r="CG63" i="25"/>
  <c r="CG171" i="25"/>
  <c r="CG68" i="25"/>
  <c r="CG136" i="25"/>
  <c r="CG170" i="25"/>
  <c r="CG172" i="25"/>
  <c r="CG173" i="25"/>
  <c r="CG65" i="25"/>
  <c r="CG174" i="25"/>
  <c r="CG12" i="25"/>
  <c r="CG147" i="25"/>
  <c r="CG175" i="25"/>
  <c r="CG176" i="25"/>
  <c r="CG203" i="25"/>
  <c r="CG204" i="25"/>
  <c r="CG14" i="25"/>
  <c r="CG74" i="25"/>
  <c r="CG86" i="25"/>
  <c r="CG91" i="25"/>
  <c r="CG94" i="25"/>
  <c r="CG96" i="25"/>
  <c r="CG97" i="25"/>
  <c r="CG98" i="25"/>
  <c r="CG146" i="25"/>
  <c r="CG150" i="25"/>
  <c r="CG15" i="25"/>
  <c r="CG61" i="25"/>
  <c r="CG66" i="25"/>
  <c r="CG75" i="25"/>
  <c r="CG16" i="25"/>
  <c r="CG17" i="25"/>
  <c r="CG18" i="25"/>
  <c r="CG19" i="25"/>
  <c r="CG139" i="25"/>
  <c r="CG20" i="25"/>
  <c r="CG148" i="25"/>
  <c r="CG21" i="25"/>
  <c r="CG56" i="25"/>
  <c r="CG99" i="25"/>
  <c r="CG58" i="25"/>
  <c r="CG100" i="25"/>
  <c r="CG192" i="25"/>
  <c r="CG194" i="25"/>
  <c r="CG101" i="25"/>
  <c r="CG103" i="25"/>
  <c r="CG142" i="25"/>
  <c r="CG195" i="25"/>
  <c r="CG196" i="25"/>
  <c r="CG197" i="25"/>
  <c r="CG198" i="25"/>
  <c r="CG199" i="25"/>
  <c r="CG106" i="25"/>
  <c r="CG200" i="25"/>
  <c r="CG112" i="25"/>
  <c r="CG120" i="25"/>
  <c r="CG149" i="25"/>
  <c r="CG151" i="25"/>
  <c r="CG205" i="25"/>
  <c r="CG201" i="25"/>
  <c r="CG206" i="25"/>
  <c r="CG202" i="25"/>
  <c r="CG22" i="25"/>
  <c r="CG23" i="25"/>
  <c r="CG144" i="25"/>
  <c r="CG177" i="25"/>
  <c r="CG24" i="25"/>
  <c r="CG57" i="25"/>
  <c r="CG25" i="25"/>
  <c r="CG26" i="25"/>
  <c r="CG27" i="25"/>
  <c r="CG28" i="25"/>
  <c r="CG29" i="25"/>
  <c r="CG30" i="25"/>
  <c r="CG59" i="25"/>
  <c r="CG178" i="25"/>
  <c r="CG67" i="25"/>
  <c r="CG31" i="25"/>
  <c r="CG69" i="25"/>
  <c r="CG70" i="25"/>
  <c r="CG32" i="25"/>
  <c r="CG179" i="25"/>
  <c r="CG33" i="25"/>
  <c r="CG34" i="25"/>
  <c r="CG180" i="25"/>
  <c r="CG181" i="25"/>
  <c r="CG35" i="25"/>
  <c r="CG36" i="25"/>
  <c r="CG54" i="25"/>
  <c r="CG38" i="25"/>
  <c r="CG141" i="25"/>
  <c r="CG39" i="25"/>
  <c r="CG159" i="25"/>
  <c r="CG40" i="25"/>
  <c r="CG41" i="25"/>
  <c r="CG124" i="25"/>
  <c r="CG125" i="25"/>
  <c r="CG42" i="25"/>
  <c r="CG43" i="25"/>
  <c r="CG44" i="25"/>
  <c r="CG137" i="25"/>
  <c r="CG156" i="25"/>
  <c r="CG55" i="25"/>
  <c r="CG45" i="25"/>
  <c r="CG155" i="25"/>
  <c r="CG64" i="25"/>
  <c r="CG138" i="25"/>
  <c r="CG182" i="25"/>
  <c r="CG46" i="25"/>
  <c r="CG72" i="25"/>
  <c r="CG127" i="25"/>
  <c r="CG183" i="25"/>
  <c r="CG157" i="25"/>
  <c r="CG48" i="25"/>
  <c r="CG49" i="25"/>
  <c r="CG184" i="25"/>
  <c r="CG50" i="25"/>
  <c r="CG158" i="25"/>
  <c r="CG185" i="25"/>
  <c r="CG51" i="25"/>
  <c r="CG186" i="25"/>
  <c r="CG152" i="25"/>
  <c r="CG52" i="25"/>
  <c r="CG53" i="25"/>
  <c r="CG187" i="25"/>
  <c r="CG188" i="25"/>
  <c r="CG128" i="25"/>
  <c r="CG129" i="25"/>
  <c r="CG130" i="25"/>
  <c r="CG153" i="25"/>
  <c r="CG78" i="25"/>
  <c r="CG79" i="25"/>
  <c r="CG80" i="25"/>
  <c r="CG83" i="25"/>
  <c r="CG87" i="25"/>
  <c r="CG88" i="25"/>
  <c r="CG89" i="25"/>
  <c r="CG145" i="25"/>
  <c r="CG90" i="25"/>
  <c r="CG92" i="25"/>
  <c r="CG93" i="25"/>
  <c r="CG95" i="25"/>
  <c r="CG102" i="25"/>
  <c r="CG132" i="25"/>
  <c r="CG105" i="25"/>
  <c r="CG107" i="25"/>
  <c r="CG108" i="25"/>
  <c r="CG109" i="25"/>
  <c r="CG110" i="25"/>
  <c r="CG111" i="25"/>
  <c r="CG133" i="25"/>
  <c r="CG113" i="25"/>
  <c r="CG114" i="25"/>
  <c r="CG134" i="25"/>
  <c r="CG115" i="25"/>
  <c r="CG116" i="25"/>
  <c r="CG117" i="25"/>
  <c r="CG118" i="25"/>
  <c r="CG119" i="25"/>
  <c r="CG121" i="25"/>
  <c r="CG122" i="25"/>
  <c r="CG126" i="25"/>
  <c r="CG131" i="25"/>
  <c r="CG104" i="25"/>
  <c r="CG123" i="25"/>
  <c r="CF140" i="25"/>
  <c r="CF143" i="25"/>
  <c r="CF154" i="25"/>
  <c r="CF190" i="25"/>
  <c r="CF189" i="25"/>
  <c r="CF191" i="25"/>
  <c r="CF76" i="25"/>
  <c r="CF135" i="25"/>
  <c r="CF77" i="25"/>
  <c r="CF71" i="25"/>
  <c r="CF81" i="25"/>
  <c r="CF82" i="25"/>
  <c r="CF73" i="25"/>
  <c r="CF193" i="25"/>
  <c r="CF84" i="25"/>
  <c r="CF160" i="25"/>
  <c r="CF9" i="25"/>
  <c r="CF161" i="25"/>
  <c r="CF162" i="25"/>
  <c r="CF85" i="25"/>
  <c r="CF60" i="25"/>
  <c r="CF163" i="25"/>
  <c r="CF164" i="25"/>
  <c r="CF165" i="25"/>
  <c r="CF166" i="25"/>
  <c r="CF167" i="25"/>
  <c r="CF10" i="25"/>
  <c r="CF11" i="25"/>
  <c r="CF168" i="25"/>
  <c r="CF169" i="25"/>
  <c r="CF62" i="25"/>
  <c r="CF63" i="25"/>
  <c r="CF171" i="25"/>
  <c r="CF68" i="25"/>
  <c r="CF136" i="25"/>
  <c r="CF170" i="25"/>
  <c r="CF172" i="25"/>
  <c r="CF173" i="25"/>
  <c r="CF65" i="25"/>
  <c r="CF174" i="25"/>
  <c r="CF12" i="25"/>
  <c r="CF147" i="25"/>
  <c r="CF175" i="25"/>
  <c r="CF176" i="25"/>
  <c r="CF203" i="25"/>
  <c r="CF204" i="25"/>
  <c r="CF14" i="25"/>
  <c r="CF74" i="25"/>
  <c r="CF86" i="25"/>
  <c r="CF91" i="25"/>
  <c r="CF94" i="25"/>
  <c r="CF96" i="25"/>
  <c r="CF97" i="25"/>
  <c r="CF98" i="25"/>
  <c r="CF146" i="25"/>
  <c r="CF150" i="25"/>
  <c r="CF15" i="25"/>
  <c r="CF61" i="25"/>
  <c r="CF66" i="25"/>
  <c r="CF75" i="25"/>
  <c r="CF16" i="25"/>
  <c r="CF17" i="25"/>
  <c r="CF18" i="25"/>
  <c r="CF19" i="25"/>
  <c r="CF139" i="25"/>
  <c r="CF20" i="25"/>
  <c r="CF148" i="25"/>
  <c r="CF21" i="25"/>
  <c r="CF56" i="25"/>
  <c r="CF99" i="25"/>
  <c r="CF58" i="25"/>
  <c r="CF100" i="25"/>
  <c r="CF192" i="25"/>
  <c r="CF194" i="25"/>
  <c r="CF101" i="25"/>
  <c r="CF103" i="25"/>
  <c r="CF142" i="25"/>
  <c r="CF195" i="25"/>
  <c r="CF196" i="25"/>
  <c r="CF197" i="25"/>
  <c r="CF198" i="25"/>
  <c r="CF199" i="25"/>
  <c r="CF106" i="25"/>
  <c r="CF200" i="25"/>
  <c r="CF112" i="25"/>
  <c r="CF120" i="25"/>
  <c r="CF149" i="25"/>
  <c r="CF151" i="25"/>
  <c r="CF205" i="25"/>
  <c r="CF201" i="25"/>
  <c r="CF206" i="25"/>
  <c r="CF202" i="25"/>
  <c r="CF22" i="25"/>
  <c r="CF23" i="25"/>
  <c r="CF144" i="25"/>
  <c r="CF177" i="25"/>
  <c r="CF24" i="25"/>
  <c r="CF57" i="25"/>
  <c r="CF25" i="25"/>
  <c r="CF26" i="25"/>
  <c r="CF27" i="25"/>
  <c r="CF28" i="25"/>
  <c r="CF29" i="25"/>
  <c r="CF30" i="25"/>
  <c r="CF59" i="25"/>
  <c r="CF178" i="25"/>
  <c r="CF67" i="25"/>
  <c r="CF31" i="25"/>
  <c r="CF69" i="25"/>
  <c r="CF70" i="25"/>
  <c r="CF32" i="25"/>
  <c r="CF179" i="25"/>
  <c r="CF33" i="25"/>
  <c r="CF34" i="25"/>
  <c r="CF180" i="25"/>
  <c r="CF181" i="25"/>
  <c r="CF35" i="25"/>
  <c r="CF36" i="25"/>
  <c r="CF54" i="25"/>
  <c r="CF38" i="25"/>
  <c r="CF141" i="25"/>
  <c r="CF39" i="25"/>
  <c r="CF159" i="25"/>
  <c r="CF40" i="25"/>
  <c r="CF41" i="25"/>
  <c r="CF124" i="25"/>
  <c r="CF125" i="25"/>
  <c r="CF42" i="25"/>
  <c r="CF43" i="25"/>
  <c r="CF44" i="25"/>
  <c r="CF137" i="25"/>
  <c r="CF156" i="25"/>
  <c r="CF55" i="25"/>
  <c r="CF45" i="25"/>
  <c r="CF155" i="25"/>
  <c r="CF64" i="25"/>
  <c r="CF138" i="25"/>
  <c r="CF182" i="25"/>
  <c r="CF46" i="25"/>
  <c r="CF72" i="25"/>
  <c r="CF127" i="25"/>
  <c r="CF183" i="25"/>
  <c r="CF157" i="25"/>
  <c r="CF48" i="25"/>
  <c r="CF49" i="25"/>
  <c r="CF184" i="25"/>
  <c r="CF50" i="25"/>
  <c r="CF158" i="25"/>
  <c r="CF185" i="25"/>
  <c r="CF51" i="25"/>
  <c r="CF186" i="25"/>
  <c r="CF152" i="25"/>
  <c r="CF52" i="25"/>
  <c r="CF53" i="25"/>
  <c r="CF187" i="25"/>
  <c r="CF188" i="25"/>
  <c r="CF128" i="25"/>
  <c r="CF129" i="25"/>
  <c r="CF130" i="25"/>
  <c r="CF153" i="25"/>
  <c r="CF78" i="25"/>
  <c r="CF79" i="25"/>
  <c r="CF80" i="25"/>
  <c r="CF83" i="25"/>
  <c r="CF87" i="25"/>
  <c r="CF88" i="25"/>
  <c r="CF89" i="25"/>
  <c r="CF145" i="25"/>
  <c r="CF90" i="25"/>
  <c r="CF92" i="25"/>
  <c r="CF93" i="25"/>
  <c r="CF95" i="25"/>
  <c r="CF102" i="25"/>
  <c r="CF132" i="25"/>
  <c r="CF105" i="25"/>
  <c r="CF107" i="25"/>
  <c r="CF108" i="25"/>
  <c r="CF109" i="25"/>
  <c r="CF110" i="25"/>
  <c r="CF111" i="25"/>
  <c r="CF133" i="25"/>
  <c r="CF113" i="25"/>
  <c r="CF114" i="25"/>
  <c r="CF134" i="25"/>
  <c r="CF115" i="25"/>
  <c r="CF116" i="25"/>
  <c r="CF117" i="25"/>
  <c r="CF118" i="25"/>
  <c r="CF119" i="25"/>
  <c r="CF121" i="25"/>
  <c r="CF122" i="25"/>
  <c r="CF126" i="25"/>
  <c r="CF131" i="25"/>
  <c r="CF104" i="25"/>
  <c r="CF123" i="25"/>
  <c r="K28" i="92" l="1"/>
  <c r="M249" i="92" l="1"/>
  <c r="I249" i="92"/>
  <c r="E433" i="92"/>
  <c r="E418" i="92"/>
  <c r="H35" i="113"/>
  <c r="H34" i="113"/>
  <c r="H32" i="113"/>
  <c r="H31" i="113"/>
  <c r="H28" i="113"/>
  <c r="L24" i="113"/>
  <c r="H23" i="113"/>
  <c r="L21" i="113"/>
  <c r="H21" i="113"/>
  <c r="H19" i="113"/>
  <c r="L17" i="113"/>
  <c r="L15" i="113"/>
  <c r="H15" i="113"/>
  <c r="L13" i="113"/>
  <c r="L12" i="113"/>
  <c r="H12" i="113"/>
  <c r="L9" i="113"/>
  <c r="H9" i="113"/>
  <c r="L8" i="113"/>
  <c r="L6" i="113"/>
  <c r="H6" i="113"/>
  <c r="W72" i="89"/>
  <c r="P58" i="89"/>
  <c r="N58" i="89"/>
  <c r="L58" i="89"/>
  <c r="H58" i="89"/>
  <c r="F58" i="89"/>
  <c r="D58" i="89"/>
  <c r="P57" i="89"/>
  <c r="N57" i="89"/>
  <c r="L57" i="89"/>
  <c r="H57" i="89"/>
  <c r="F57" i="89"/>
  <c r="D57" i="89"/>
  <c r="P56" i="89"/>
  <c r="N56" i="89"/>
  <c r="L56" i="89"/>
  <c r="H56" i="89"/>
  <c r="F56" i="89"/>
  <c r="D56" i="89"/>
  <c r="O500" i="91"/>
  <c r="EE428" i="25" s="1"/>
  <c r="N500" i="91"/>
  <c r="ED428" i="25" s="1"/>
  <c r="O497" i="91"/>
  <c r="EE472" i="25" s="1"/>
  <c r="N497" i="91"/>
  <c r="O492" i="91"/>
  <c r="N492" i="91"/>
  <c r="EH123" i="25"/>
  <c r="EG123" i="25"/>
  <c r="EF123" i="25"/>
  <c r="EE123" i="25"/>
  <c r="ED123" i="25"/>
  <c r="EC123" i="25"/>
  <c r="DO123" i="25" s="1"/>
  <c r="EB123" i="25"/>
  <c r="EA123" i="25"/>
  <c r="DZ123" i="25"/>
  <c r="DY123" i="25"/>
  <c r="DU123" i="25"/>
  <c r="DS123" i="25"/>
  <c r="DQ123" i="25"/>
  <c r="DR123" i="25" s="1"/>
  <c r="DP123" i="25"/>
  <c r="DH123" i="25"/>
  <c r="DG123" i="25"/>
  <c r="DN123" i="25" s="1"/>
  <c r="DF123" i="25"/>
  <c r="CV123" i="25"/>
  <c r="CU123" i="25"/>
  <c r="CM123" i="25"/>
  <c r="CN123" i="25" s="1"/>
  <c r="CE123" i="25"/>
  <c r="CD123" i="25"/>
  <c r="CC123" i="25"/>
  <c r="CA123" i="25"/>
  <c r="BZ123" i="25"/>
  <c r="EG104" i="25"/>
  <c r="EF104" i="25"/>
  <c r="EE104" i="25"/>
  <c r="ED104" i="25"/>
  <c r="EC104" i="25"/>
  <c r="DO104" i="25" s="1"/>
  <c r="EB104" i="25"/>
  <c r="EA104" i="25"/>
  <c r="DZ104" i="25"/>
  <c r="DY104" i="25"/>
  <c r="DU104" i="25"/>
  <c r="DS104" i="25"/>
  <c r="DQ104" i="25"/>
  <c r="DT104" i="25" s="1"/>
  <c r="DP104" i="25"/>
  <c r="DH104" i="25"/>
  <c r="DG104" i="25"/>
  <c r="DN104" i="25" s="1"/>
  <c r="DF104" i="25"/>
  <c r="CV104" i="25"/>
  <c r="CU104" i="25"/>
  <c r="CM104" i="25"/>
  <c r="CE104" i="25"/>
  <c r="CD104" i="25"/>
  <c r="CC104" i="25"/>
  <c r="CA104" i="25"/>
  <c r="BZ104" i="25"/>
  <c r="EH131" i="25"/>
  <c r="EG131" i="25"/>
  <c r="EF131" i="25"/>
  <c r="EE131" i="25"/>
  <c r="ED131" i="25"/>
  <c r="EC131" i="25"/>
  <c r="DO131" i="25" s="1"/>
  <c r="EB131" i="25"/>
  <c r="EA131" i="25"/>
  <c r="DZ131" i="25"/>
  <c r="DY131" i="25"/>
  <c r="DU131" i="25"/>
  <c r="DS131" i="25"/>
  <c r="DQ131" i="25"/>
  <c r="DP131" i="25"/>
  <c r="DH131" i="25"/>
  <c r="DG131" i="25"/>
  <c r="DN131" i="25" s="1"/>
  <c r="DF131" i="25"/>
  <c r="CV131" i="25"/>
  <c r="CU131" i="25"/>
  <c r="CM131" i="25"/>
  <c r="CE131" i="25"/>
  <c r="CD131" i="25"/>
  <c r="CC131" i="25"/>
  <c r="CA131" i="25"/>
  <c r="BZ131" i="25"/>
  <c r="EH126" i="25"/>
  <c r="EG126" i="25"/>
  <c r="EF126" i="25"/>
  <c r="EE126" i="25"/>
  <c r="ED126" i="25"/>
  <c r="EC126" i="25"/>
  <c r="DO126" i="25" s="1"/>
  <c r="EB126" i="25"/>
  <c r="EA126" i="25"/>
  <c r="DZ126" i="25"/>
  <c r="DY126" i="25"/>
  <c r="DU126" i="25"/>
  <c r="DS126" i="25"/>
  <c r="DQ126" i="25"/>
  <c r="DP126" i="25"/>
  <c r="DH126" i="25"/>
  <c r="DG126" i="25"/>
  <c r="DF126" i="25"/>
  <c r="CV126" i="25"/>
  <c r="CU126" i="25"/>
  <c r="CM126" i="25"/>
  <c r="CN126" i="25" s="1"/>
  <c r="CE126" i="25"/>
  <c r="CD126" i="25"/>
  <c r="CC126" i="25"/>
  <c r="CA126" i="25"/>
  <c r="BZ126" i="25"/>
  <c r="EH122" i="25"/>
  <c r="EG122" i="25"/>
  <c r="EF122" i="25"/>
  <c r="EE122" i="25"/>
  <c r="ED122" i="25"/>
  <c r="EC122" i="25"/>
  <c r="DO122" i="25" s="1"/>
  <c r="EB122" i="25"/>
  <c r="EA122" i="25"/>
  <c r="DZ122" i="25"/>
  <c r="DY122" i="25"/>
  <c r="DU122" i="25"/>
  <c r="DS122" i="25"/>
  <c r="DQ122" i="25"/>
  <c r="DR122" i="25" s="1"/>
  <c r="DP122" i="25"/>
  <c r="DH122" i="25"/>
  <c r="DG122" i="25"/>
  <c r="DN122" i="25" s="1"/>
  <c r="DF122" i="25"/>
  <c r="CV122" i="25"/>
  <c r="CU122" i="25"/>
  <c r="CM122" i="25"/>
  <c r="CN122" i="25" s="1"/>
  <c r="CE122" i="25"/>
  <c r="CD122" i="25"/>
  <c r="CC122" i="25"/>
  <c r="CA122" i="25"/>
  <c r="BZ122" i="25"/>
  <c r="EH121" i="25"/>
  <c r="EG121" i="25"/>
  <c r="EF121" i="25"/>
  <c r="EE121" i="25"/>
  <c r="ED121" i="25"/>
  <c r="EC121" i="25"/>
  <c r="DO121" i="25" s="1"/>
  <c r="EB121" i="25"/>
  <c r="EA121" i="25"/>
  <c r="DZ121" i="25"/>
  <c r="DY121" i="25"/>
  <c r="DU121" i="25"/>
  <c r="DS121" i="25"/>
  <c r="DQ121" i="25"/>
  <c r="DT121" i="25" s="1"/>
  <c r="DP121" i="25"/>
  <c r="DH121" i="25"/>
  <c r="DG121" i="25"/>
  <c r="DN121" i="25" s="1"/>
  <c r="DF121" i="25"/>
  <c r="CV121" i="25"/>
  <c r="CU121" i="25"/>
  <c r="CM121" i="25"/>
  <c r="CN121" i="25" s="1"/>
  <c r="CE121" i="25"/>
  <c r="CD121" i="25"/>
  <c r="CC121" i="25"/>
  <c r="CA121" i="25"/>
  <c r="BZ121" i="25"/>
  <c r="EH119" i="25"/>
  <c r="EG119" i="25"/>
  <c r="EF119" i="25"/>
  <c r="EE119" i="25"/>
  <c r="ED119" i="25"/>
  <c r="EC119" i="25"/>
  <c r="DO119" i="25" s="1"/>
  <c r="EB119" i="25"/>
  <c r="EA119" i="25"/>
  <c r="DZ119" i="25"/>
  <c r="DY119" i="25"/>
  <c r="DU119" i="25"/>
  <c r="DS119" i="25"/>
  <c r="DQ119" i="25"/>
  <c r="DT119" i="25" s="1"/>
  <c r="DP119" i="25"/>
  <c r="DH119" i="25"/>
  <c r="DG119" i="25"/>
  <c r="DN119" i="25" s="1"/>
  <c r="DF119" i="25"/>
  <c r="CV119" i="25"/>
  <c r="CU119" i="25"/>
  <c r="CM119" i="25"/>
  <c r="CN119" i="25" s="1"/>
  <c r="CE119" i="25"/>
  <c r="CD119" i="25"/>
  <c r="CC119" i="25"/>
  <c r="CA119" i="25"/>
  <c r="BZ119" i="25"/>
  <c r="EH118" i="25"/>
  <c r="EG118" i="25"/>
  <c r="EF118" i="25"/>
  <c r="EE118" i="25"/>
  <c r="ED118" i="25"/>
  <c r="EC118" i="25"/>
  <c r="DO118" i="25" s="1"/>
  <c r="EB118" i="25"/>
  <c r="EA118" i="25"/>
  <c r="DZ118" i="25"/>
  <c r="DY118" i="25"/>
  <c r="DU118" i="25"/>
  <c r="DS118" i="25"/>
  <c r="DQ118" i="25"/>
  <c r="DT118" i="25" s="1"/>
  <c r="DP118" i="25"/>
  <c r="DH118" i="25"/>
  <c r="DG118" i="25"/>
  <c r="DN118" i="25" s="1"/>
  <c r="DF118" i="25"/>
  <c r="CV118" i="25"/>
  <c r="CU118" i="25"/>
  <c r="CM118" i="25"/>
  <c r="CN118" i="25" s="1"/>
  <c r="CE118" i="25"/>
  <c r="CD118" i="25"/>
  <c r="CC118" i="25"/>
  <c r="CA118" i="25"/>
  <c r="BZ118" i="25"/>
  <c r="EH117" i="25"/>
  <c r="EG117" i="25"/>
  <c r="EF117" i="25"/>
  <c r="EE117" i="25"/>
  <c r="ED117" i="25"/>
  <c r="EC117" i="25"/>
  <c r="DO117" i="25" s="1"/>
  <c r="EB117" i="25"/>
  <c r="EA117" i="25"/>
  <c r="DZ117" i="25"/>
  <c r="DY117" i="25"/>
  <c r="DU117" i="25"/>
  <c r="DS117" i="25"/>
  <c r="DQ117" i="25"/>
  <c r="DT117" i="25" s="1"/>
  <c r="DP117" i="25"/>
  <c r="DH117" i="25"/>
  <c r="DG117" i="25"/>
  <c r="DN117" i="25" s="1"/>
  <c r="DF117" i="25"/>
  <c r="CV117" i="25"/>
  <c r="CU117" i="25"/>
  <c r="CM117" i="25"/>
  <c r="CN117" i="25" s="1"/>
  <c r="CE117" i="25"/>
  <c r="CD117" i="25"/>
  <c r="CC117" i="25"/>
  <c r="CA117" i="25"/>
  <c r="BZ117" i="25"/>
  <c r="EH116" i="25"/>
  <c r="EG116" i="25"/>
  <c r="EF116" i="25"/>
  <c r="EE116" i="25"/>
  <c r="ED116" i="25"/>
  <c r="EC116" i="25"/>
  <c r="DO116" i="25" s="1"/>
  <c r="EB116" i="25"/>
  <c r="EA116" i="25"/>
  <c r="DZ116" i="25"/>
  <c r="DY116" i="25"/>
  <c r="DU116" i="25"/>
  <c r="DS116" i="25"/>
  <c r="DQ116" i="25"/>
  <c r="DT116" i="25" s="1"/>
  <c r="DP116" i="25"/>
  <c r="DH116" i="25"/>
  <c r="DG116" i="25"/>
  <c r="DN116" i="25" s="1"/>
  <c r="DF116" i="25"/>
  <c r="CV116" i="25"/>
  <c r="CU116" i="25"/>
  <c r="CM116" i="25"/>
  <c r="CN116" i="25" s="1"/>
  <c r="CE116" i="25"/>
  <c r="CD116" i="25"/>
  <c r="CC116" i="25"/>
  <c r="CA116" i="25"/>
  <c r="BZ116" i="25"/>
  <c r="EH115" i="25"/>
  <c r="EG115" i="25"/>
  <c r="EF115" i="25"/>
  <c r="EE115" i="25"/>
  <c r="ED115" i="25"/>
  <c r="EC115" i="25"/>
  <c r="DO115" i="25" s="1"/>
  <c r="EB115" i="25"/>
  <c r="EA115" i="25"/>
  <c r="DZ115" i="25"/>
  <c r="DY115" i="25"/>
  <c r="DU115" i="25"/>
  <c r="DS115" i="25"/>
  <c r="DQ115" i="25"/>
  <c r="DT115" i="25" s="1"/>
  <c r="DP115" i="25"/>
  <c r="DH115" i="25"/>
  <c r="DG115" i="25"/>
  <c r="DN115" i="25" s="1"/>
  <c r="DF115" i="25"/>
  <c r="CV115" i="25"/>
  <c r="CU115" i="25"/>
  <c r="CM115" i="25"/>
  <c r="CN115" i="25" s="1"/>
  <c r="CE115" i="25"/>
  <c r="CD115" i="25"/>
  <c r="CC115" i="25"/>
  <c r="CA115" i="25"/>
  <c r="BZ115" i="25"/>
  <c r="EH134" i="25"/>
  <c r="EG134" i="25"/>
  <c r="EF134" i="25"/>
  <c r="EE134" i="25"/>
  <c r="ED134" i="25"/>
  <c r="EC134" i="25"/>
  <c r="DO134" i="25" s="1"/>
  <c r="EB134" i="25"/>
  <c r="EA134" i="25"/>
  <c r="DZ134" i="25"/>
  <c r="DY134" i="25"/>
  <c r="DU134" i="25"/>
  <c r="DS134" i="25"/>
  <c r="DQ134" i="25"/>
  <c r="DT134" i="25" s="1"/>
  <c r="DP134" i="25"/>
  <c r="DH134" i="25"/>
  <c r="DG134" i="25"/>
  <c r="DN134" i="25" s="1"/>
  <c r="DF134" i="25"/>
  <c r="CV134" i="25"/>
  <c r="CU134" i="25"/>
  <c r="CM134" i="25"/>
  <c r="CN134" i="25" s="1"/>
  <c r="CE134" i="25"/>
  <c r="CD134" i="25"/>
  <c r="CC134" i="25"/>
  <c r="CA134" i="25"/>
  <c r="BZ134" i="25"/>
  <c r="EH114" i="25"/>
  <c r="EG114" i="25"/>
  <c r="EF114" i="25"/>
  <c r="EE114" i="25"/>
  <c r="ED114" i="25"/>
  <c r="EC114" i="25"/>
  <c r="DO114" i="25" s="1"/>
  <c r="EB114" i="25"/>
  <c r="EA114" i="25"/>
  <c r="DZ114" i="25"/>
  <c r="DY114" i="25"/>
  <c r="DU114" i="25"/>
  <c r="DS114" i="25"/>
  <c r="DQ114" i="25"/>
  <c r="DT114" i="25" s="1"/>
  <c r="DP114" i="25"/>
  <c r="DH114" i="25"/>
  <c r="DG114" i="25"/>
  <c r="DN114" i="25" s="1"/>
  <c r="DF114" i="25"/>
  <c r="CV114" i="25"/>
  <c r="CU114" i="25"/>
  <c r="CM114" i="25"/>
  <c r="CN114" i="25" s="1"/>
  <c r="CE114" i="25"/>
  <c r="CD114" i="25"/>
  <c r="CC114" i="25"/>
  <c r="CA114" i="25"/>
  <c r="BZ114" i="25"/>
  <c r="EH113" i="25"/>
  <c r="EG113" i="25"/>
  <c r="EF113" i="25"/>
  <c r="EE113" i="25"/>
  <c r="ED113" i="25"/>
  <c r="EC113" i="25"/>
  <c r="DO113" i="25" s="1"/>
  <c r="EB113" i="25"/>
  <c r="EA113" i="25"/>
  <c r="DZ113" i="25"/>
  <c r="DY113" i="25"/>
  <c r="DU113" i="25"/>
  <c r="DS113" i="25"/>
  <c r="DQ113" i="25"/>
  <c r="DT113" i="25" s="1"/>
  <c r="DP113" i="25"/>
  <c r="DH113" i="25"/>
  <c r="DG113" i="25"/>
  <c r="DN113" i="25" s="1"/>
  <c r="DF113" i="25"/>
  <c r="CV113" i="25"/>
  <c r="CU113" i="25"/>
  <c r="CM113" i="25"/>
  <c r="CN113" i="25" s="1"/>
  <c r="CE113" i="25"/>
  <c r="CD113" i="25"/>
  <c r="CC113" i="25"/>
  <c r="CA113" i="25"/>
  <c r="BZ113" i="25"/>
  <c r="EH133" i="25"/>
  <c r="EG133" i="25"/>
  <c r="EF133" i="25"/>
  <c r="EE133" i="25"/>
  <c r="ED133" i="25"/>
  <c r="EC133" i="25"/>
  <c r="DO133" i="25" s="1"/>
  <c r="EB133" i="25"/>
  <c r="EA133" i="25"/>
  <c r="DZ133" i="25"/>
  <c r="DY133" i="25"/>
  <c r="DU133" i="25"/>
  <c r="DS133" i="25"/>
  <c r="DQ133" i="25"/>
  <c r="DT133" i="25" s="1"/>
  <c r="DP133" i="25"/>
  <c r="DH133" i="25"/>
  <c r="DG133" i="25"/>
  <c r="DN133" i="25" s="1"/>
  <c r="DF133" i="25"/>
  <c r="CV133" i="25"/>
  <c r="CU133" i="25"/>
  <c r="CM133" i="25"/>
  <c r="CN133" i="25" s="1"/>
  <c r="CE133" i="25"/>
  <c r="CD133" i="25"/>
  <c r="CC133" i="25"/>
  <c r="CA133" i="25"/>
  <c r="BZ133" i="25"/>
  <c r="EH111" i="25"/>
  <c r="EG111" i="25"/>
  <c r="EF111" i="25"/>
  <c r="EE111" i="25"/>
  <c r="ED111" i="25"/>
  <c r="EC111" i="25"/>
  <c r="DO111" i="25" s="1"/>
  <c r="EB111" i="25"/>
  <c r="EA111" i="25"/>
  <c r="DZ111" i="25"/>
  <c r="DY111" i="25"/>
  <c r="DU111" i="25"/>
  <c r="DS111" i="25"/>
  <c r="DQ111" i="25"/>
  <c r="DT111" i="25" s="1"/>
  <c r="DP111" i="25"/>
  <c r="DH111" i="25"/>
  <c r="DG111" i="25"/>
  <c r="DN111" i="25" s="1"/>
  <c r="DF111" i="25"/>
  <c r="CV111" i="25"/>
  <c r="CU111" i="25"/>
  <c r="CM111" i="25"/>
  <c r="CN111" i="25" s="1"/>
  <c r="CE111" i="25"/>
  <c r="CD111" i="25"/>
  <c r="CC111" i="25"/>
  <c r="CA111" i="25"/>
  <c r="BZ111" i="25"/>
  <c r="EH110" i="25"/>
  <c r="EG110" i="25"/>
  <c r="EF110" i="25"/>
  <c r="EE110" i="25"/>
  <c r="ED110" i="25"/>
  <c r="EC110" i="25"/>
  <c r="DO110" i="25" s="1"/>
  <c r="EB110" i="25"/>
  <c r="EA110" i="25"/>
  <c r="DZ110" i="25"/>
  <c r="DY110" i="25"/>
  <c r="DU110" i="25"/>
  <c r="DS110" i="25"/>
  <c r="DQ110" i="25"/>
  <c r="DT110" i="25" s="1"/>
  <c r="DP110" i="25"/>
  <c r="DH110" i="25"/>
  <c r="DG110" i="25"/>
  <c r="DN110" i="25" s="1"/>
  <c r="DF110" i="25"/>
  <c r="CV110" i="25"/>
  <c r="CU110" i="25"/>
  <c r="CM110" i="25"/>
  <c r="CN110" i="25" s="1"/>
  <c r="CE110" i="25"/>
  <c r="CD110" i="25"/>
  <c r="CC110" i="25"/>
  <c r="CA110" i="25"/>
  <c r="BZ110" i="25"/>
  <c r="EH109" i="25"/>
  <c r="EG109" i="25"/>
  <c r="EF109" i="25"/>
  <c r="EE109" i="25"/>
  <c r="ED109" i="25"/>
  <c r="EC109" i="25"/>
  <c r="DO109" i="25" s="1"/>
  <c r="EB109" i="25"/>
  <c r="EA109" i="25"/>
  <c r="DZ109" i="25"/>
  <c r="DY109" i="25"/>
  <c r="DU109" i="25"/>
  <c r="DS109" i="25"/>
  <c r="DQ109" i="25"/>
  <c r="DT109" i="25" s="1"/>
  <c r="DP109" i="25"/>
  <c r="DH109" i="25"/>
  <c r="DG109" i="25"/>
  <c r="DF109" i="25"/>
  <c r="CV109" i="25"/>
  <c r="CU109" i="25"/>
  <c r="CM109" i="25"/>
  <c r="CN109" i="25" s="1"/>
  <c r="CE109" i="25"/>
  <c r="CD109" i="25"/>
  <c r="CC109" i="25"/>
  <c r="CA109" i="25"/>
  <c r="BZ109" i="25"/>
  <c r="EH108" i="25"/>
  <c r="EG108" i="25"/>
  <c r="EF108" i="25"/>
  <c r="EE108" i="25"/>
  <c r="ED108" i="25"/>
  <c r="EC108" i="25"/>
  <c r="DO108" i="25" s="1"/>
  <c r="EB108" i="25"/>
  <c r="EA108" i="25"/>
  <c r="DZ108" i="25"/>
  <c r="DY108" i="25"/>
  <c r="DU108" i="25"/>
  <c r="DS108" i="25"/>
  <c r="DQ108" i="25"/>
  <c r="DT108" i="25" s="1"/>
  <c r="DP108" i="25"/>
  <c r="DH108" i="25"/>
  <c r="DG108" i="25"/>
  <c r="DF108" i="25"/>
  <c r="CV108" i="25"/>
  <c r="CU108" i="25"/>
  <c r="CM108" i="25"/>
  <c r="CN108" i="25" s="1"/>
  <c r="CE108" i="25"/>
  <c r="CD108" i="25"/>
  <c r="CC108" i="25"/>
  <c r="CA108" i="25"/>
  <c r="BZ108" i="25"/>
  <c r="EH107" i="25"/>
  <c r="EG107" i="25"/>
  <c r="EF107" i="25"/>
  <c r="EE107" i="25"/>
  <c r="ED107" i="25"/>
  <c r="EC107" i="25"/>
  <c r="DO107" i="25" s="1"/>
  <c r="EB107" i="25"/>
  <c r="EA107" i="25"/>
  <c r="DZ107" i="25"/>
  <c r="DY107" i="25"/>
  <c r="DU107" i="25"/>
  <c r="DS107" i="25"/>
  <c r="DQ107" i="25"/>
  <c r="DT107" i="25" s="1"/>
  <c r="DP107" i="25"/>
  <c r="DH107" i="25"/>
  <c r="DG107" i="25"/>
  <c r="DF107" i="25"/>
  <c r="CV107" i="25"/>
  <c r="CU107" i="25"/>
  <c r="CM107" i="25"/>
  <c r="CN107" i="25" s="1"/>
  <c r="CE107" i="25"/>
  <c r="CD107" i="25"/>
  <c r="CC107" i="25"/>
  <c r="CA107" i="25"/>
  <c r="BZ107" i="25"/>
  <c r="EH105" i="25"/>
  <c r="EG105" i="25"/>
  <c r="EF105" i="25"/>
  <c r="EE105" i="25"/>
  <c r="ED105" i="25"/>
  <c r="EC105" i="25"/>
  <c r="DO105" i="25" s="1"/>
  <c r="EB105" i="25"/>
  <c r="EA105" i="25"/>
  <c r="DZ105" i="25"/>
  <c r="DY105" i="25"/>
  <c r="DU105" i="25"/>
  <c r="DS105" i="25"/>
  <c r="DQ105" i="25"/>
  <c r="DT105" i="25" s="1"/>
  <c r="DP105" i="25"/>
  <c r="DH105" i="25"/>
  <c r="DG105" i="25"/>
  <c r="DF105" i="25"/>
  <c r="CV105" i="25"/>
  <c r="CU105" i="25"/>
  <c r="CM105" i="25"/>
  <c r="CN105" i="25" s="1"/>
  <c r="CE105" i="25"/>
  <c r="CD105" i="25"/>
  <c r="CC105" i="25"/>
  <c r="CA105" i="25"/>
  <c r="BZ105" i="25"/>
  <c r="EH132" i="25"/>
  <c r="EG132" i="25"/>
  <c r="EF132" i="25"/>
  <c r="EE132" i="25"/>
  <c r="ED132" i="25"/>
  <c r="EC132" i="25"/>
  <c r="DO132" i="25" s="1"/>
  <c r="EB132" i="25"/>
  <c r="EA132" i="25"/>
  <c r="DZ132" i="25"/>
  <c r="DY132" i="25"/>
  <c r="DU132" i="25"/>
  <c r="DS132" i="25"/>
  <c r="DQ132" i="25"/>
  <c r="DT132" i="25" s="1"/>
  <c r="DP132" i="25"/>
  <c r="DH132" i="25"/>
  <c r="DG132" i="25"/>
  <c r="DN132" i="25" s="1"/>
  <c r="DF132" i="25"/>
  <c r="CV132" i="25"/>
  <c r="CU132" i="25"/>
  <c r="CM132" i="25"/>
  <c r="CN132" i="25" s="1"/>
  <c r="CE132" i="25"/>
  <c r="CD132" i="25"/>
  <c r="CC132" i="25"/>
  <c r="CA132" i="25"/>
  <c r="BZ132" i="25"/>
  <c r="EH102" i="25"/>
  <c r="EG102" i="25"/>
  <c r="EF102" i="25"/>
  <c r="EE102" i="25"/>
  <c r="ED102" i="25"/>
  <c r="EC102" i="25"/>
  <c r="DO102" i="25" s="1"/>
  <c r="EB102" i="25"/>
  <c r="EA102" i="25"/>
  <c r="DZ102" i="25"/>
  <c r="DY102" i="25"/>
  <c r="DU102" i="25"/>
  <c r="DS102" i="25"/>
  <c r="DQ102" i="25"/>
  <c r="DP102" i="25"/>
  <c r="DH102" i="25"/>
  <c r="DG102" i="25"/>
  <c r="DN102" i="25" s="1"/>
  <c r="DF102" i="25"/>
  <c r="CV102" i="25"/>
  <c r="CU102" i="25"/>
  <c r="CM102" i="25"/>
  <c r="CN102" i="25" s="1"/>
  <c r="CE102" i="25"/>
  <c r="CD102" i="25"/>
  <c r="CC102" i="25"/>
  <c r="CA102" i="25"/>
  <c r="BZ102" i="25"/>
  <c r="EH95" i="25"/>
  <c r="EG95" i="25"/>
  <c r="EF95" i="25"/>
  <c r="EE95" i="25"/>
  <c r="ED95" i="25"/>
  <c r="EC95" i="25"/>
  <c r="DO95" i="25" s="1"/>
  <c r="EB95" i="25"/>
  <c r="EA95" i="25"/>
  <c r="DZ95" i="25"/>
  <c r="DY95" i="25"/>
  <c r="DU95" i="25"/>
  <c r="DS95" i="25"/>
  <c r="DQ95" i="25"/>
  <c r="DP95" i="25"/>
  <c r="DH95" i="25"/>
  <c r="DG95" i="25"/>
  <c r="DN95" i="25" s="1"/>
  <c r="DF95" i="25"/>
  <c r="CV95" i="25"/>
  <c r="CU95" i="25"/>
  <c r="CM95" i="25"/>
  <c r="CN95" i="25" s="1"/>
  <c r="CE95" i="25"/>
  <c r="CD95" i="25"/>
  <c r="CC95" i="25"/>
  <c r="CA95" i="25"/>
  <c r="BZ95" i="25"/>
  <c r="EH93" i="25"/>
  <c r="EG93" i="25"/>
  <c r="EF93" i="25"/>
  <c r="EE93" i="25"/>
  <c r="ED93" i="25"/>
  <c r="EC93" i="25"/>
  <c r="DO93" i="25" s="1"/>
  <c r="EB93" i="25"/>
  <c r="EA93" i="25"/>
  <c r="DZ93" i="25"/>
  <c r="DY93" i="25"/>
  <c r="DU93" i="25"/>
  <c r="DS93" i="25"/>
  <c r="DQ93" i="25"/>
  <c r="DT93" i="25" s="1"/>
  <c r="DP93" i="25"/>
  <c r="DH93" i="25"/>
  <c r="DG93" i="25"/>
  <c r="DN93" i="25" s="1"/>
  <c r="DF93" i="25"/>
  <c r="CV93" i="25"/>
  <c r="CU93" i="25"/>
  <c r="CM93" i="25"/>
  <c r="CN93" i="25" s="1"/>
  <c r="CE93" i="25"/>
  <c r="CD93" i="25"/>
  <c r="CC93" i="25"/>
  <c r="CA93" i="25"/>
  <c r="BZ93" i="25"/>
  <c r="EH92" i="25"/>
  <c r="EG92" i="25"/>
  <c r="EF92" i="25"/>
  <c r="EE92" i="25"/>
  <c r="ED92" i="25"/>
  <c r="EC92" i="25"/>
  <c r="DO92" i="25" s="1"/>
  <c r="EB92" i="25"/>
  <c r="EA92" i="25"/>
  <c r="DZ92" i="25"/>
  <c r="DY92" i="25"/>
  <c r="DU92" i="25"/>
  <c r="DS92" i="25"/>
  <c r="DQ92" i="25"/>
  <c r="DT92" i="25" s="1"/>
  <c r="DP92" i="25"/>
  <c r="DH92" i="25"/>
  <c r="DG92" i="25"/>
  <c r="DN92" i="25" s="1"/>
  <c r="DF92" i="25"/>
  <c r="CV92" i="25"/>
  <c r="CU92" i="25"/>
  <c r="CM92" i="25"/>
  <c r="CN92" i="25" s="1"/>
  <c r="CE92" i="25"/>
  <c r="CD92" i="25"/>
  <c r="CC92" i="25"/>
  <c r="CA92" i="25"/>
  <c r="BZ92" i="25"/>
  <c r="EH90" i="25"/>
  <c r="EG90" i="25"/>
  <c r="EF90" i="25"/>
  <c r="EE90" i="25"/>
  <c r="ED90" i="25"/>
  <c r="EC90" i="25"/>
  <c r="DO90" i="25" s="1"/>
  <c r="EB90" i="25"/>
  <c r="EA90" i="25"/>
  <c r="DZ90" i="25"/>
  <c r="DY90" i="25"/>
  <c r="DU90" i="25"/>
  <c r="DS90" i="25"/>
  <c r="DQ90" i="25"/>
  <c r="DP90" i="25"/>
  <c r="DH90" i="25"/>
  <c r="DG90" i="25"/>
  <c r="DN90" i="25" s="1"/>
  <c r="DF90" i="25"/>
  <c r="CV90" i="25"/>
  <c r="CU90" i="25"/>
  <c r="CM90" i="25"/>
  <c r="CN90" i="25" s="1"/>
  <c r="CE90" i="25"/>
  <c r="CD90" i="25"/>
  <c r="CC90" i="25"/>
  <c r="CA90" i="25"/>
  <c r="BZ90" i="25"/>
  <c r="EH145" i="25"/>
  <c r="EG145" i="25"/>
  <c r="EF145" i="25"/>
  <c r="EE145" i="25"/>
  <c r="ED145" i="25"/>
  <c r="EC145" i="25"/>
  <c r="DO145" i="25" s="1"/>
  <c r="EB145" i="25"/>
  <c r="EA145" i="25"/>
  <c r="DZ145" i="25"/>
  <c r="DY145" i="25"/>
  <c r="DU145" i="25"/>
  <c r="DS145" i="25"/>
  <c r="DQ145" i="25"/>
  <c r="DP145" i="25"/>
  <c r="DH145" i="25"/>
  <c r="DG145" i="25"/>
  <c r="DN145" i="25" s="1"/>
  <c r="DF145" i="25"/>
  <c r="CV145" i="25"/>
  <c r="CU145" i="25"/>
  <c r="CM145" i="25"/>
  <c r="CN145" i="25" s="1"/>
  <c r="CE145" i="25"/>
  <c r="CD145" i="25"/>
  <c r="CC145" i="25"/>
  <c r="CA145" i="25"/>
  <c r="BZ145" i="25"/>
  <c r="EH89" i="25"/>
  <c r="EG89" i="25"/>
  <c r="EF89" i="25"/>
  <c r="EE89" i="25"/>
  <c r="ED89" i="25"/>
  <c r="EC89" i="25"/>
  <c r="DO89" i="25" s="1"/>
  <c r="EB89" i="25"/>
  <c r="EA89" i="25"/>
  <c r="DZ89" i="25"/>
  <c r="DY89" i="25"/>
  <c r="DU89" i="25"/>
  <c r="DS89" i="25"/>
  <c r="DQ89" i="25"/>
  <c r="DP89" i="25"/>
  <c r="DH89" i="25"/>
  <c r="DG89" i="25"/>
  <c r="DN89" i="25" s="1"/>
  <c r="DF89" i="25"/>
  <c r="CV89" i="25"/>
  <c r="CU89" i="25"/>
  <c r="CM89" i="25"/>
  <c r="CE89" i="25"/>
  <c r="CD89" i="25"/>
  <c r="CC89" i="25"/>
  <c r="CA89" i="25"/>
  <c r="BZ89" i="25"/>
  <c r="EH88" i="25"/>
  <c r="EG88" i="25"/>
  <c r="EF88" i="25"/>
  <c r="EE88" i="25"/>
  <c r="ED88" i="25"/>
  <c r="EC88" i="25"/>
  <c r="DO88" i="25" s="1"/>
  <c r="EB88" i="25"/>
  <c r="EA88" i="25"/>
  <c r="DZ88" i="25"/>
  <c r="DY88" i="25"/>
  <c r="DU88" i="25"/>
  <c r="DS88" i="25"/>
  <c r="DQ88" i="25"/>
  <c r="DT88" i="25" s="1"/>
  <c r="DP88" i="25"/>
  <c r="DH88" i="25"/>
  <c r="DG88" i="25"/>
  <c r="DN88" i="25" s="1"/>
  <c r="DF88" i="25"/>
  <c r="CV88" i="25"/>
  <c r="CU88" i="25"/>
  <c r="CM88" i="25"/>
  <c r="CN88" i="25" s="1"/>
  <c r="CE88" i="25"/>
  <c r="CD88" i="25"/>
  <c r="CC88" i="25"/>
  <c r="CA88" i="25"/>
  <c r="BZ88" i="25"/>
  <c r="EH87" i="25"/>
  <c r="EG87" i="25"/>
  <c r="EF87" i="25"/>
  <c r="EE87" i="25"/>
  <c r="ED87" i="25"/>
  <c r="EC87" i="25"/>
  <c r="DO87" i="25" s="1"/>
  <c r="EB87" i="25"/>
  <c r="EA87" i="25"/>
  <c r="DZ87" i="25"/>
  <c r="DY87" i="25"/>
  <c r="DU87" i="25"/>
  <c r="DS87" i="25"/>
  <c r="DQ87" i="25"/>
  <c r="DT87" i="25" s="1"/>
  <c r="DP87" i="25"/>
  <c r="DH87" i="25"/>
  <c r="DG87" i="25"/>
  <c r="DN87" i="25" s="1"/>
  <c r="DF87" i="25"/>
  <c r="CV87" i="25"/>
  <c r="CU87" i="25"/>
  <c r="CM87" i="25"/>
  <c r="CN87" i="25" s="1"/>
  <c r="CE87" i="25"/>
  <c r="CD87" i="25"/>
  <c r="CC87" i="25"/>
  <c r="CA87" i="25"/>
  <c r="BZ87" i="25"/>
  <c r="EH83" i="25"/>
  <c r="EG83" i="25"/>
  <c r="EF83" i="25"/>
  <c r="EE83" i="25"/>
  <c r="ED83" i="25"/>
  <c r="EC83" i="25"/>
  <c r="DO83" i="25" s="1"/>
  <c r="EB83" i="25"/>
  <c r="EA83" i="25"/>
  <c r="DZ83" i="25"/>
  <c r="DY83" i="25"/>
  <c r="DU83" i="25"/>
  <c r="DS83" i="25"/>
  <c r="DQ83" i="25"/>
  <c r="DT83" i="25" s="1"/>
  <c r="DP83" i="25"/>
  <c r="DH83" i="25"/>
  <c r="DG83" i="25"/>
  <c r="DN83" i="25" s="1"/>
  <c r="DF83" i="25"/>
  <c r="CV83" i="25"/>
  <c r="CU83" i="25"/>
  <c r="CM83" i="25"/>
  <c r="CN83" i="25" s="1"/>
  <c r="CE83" i="25"/>
  <c r="CD83" i="25"/>
  <c r="CC83" i="25"/>
  <c r="CA83" i="25"/>
  <c r="BZ83" i="25"/>
  <c r="EH80" i="25"/>
  <c r="EG80" i="25"/>
  <c r="EF80" i="25"/>
  <c r="EE80" i="25"/>
  <c r="ED80" i="25"/>
  <c r="EC80" i="25"/>
  <c r="DO80" i="25" s="1"/>
  <c r="EB80" i="25"/>
  <c r="EA80" i="25"/>
  <c r="DZ80" i="25"/>
  <c r="DY80" i="25"/>
  <c r="DU80" i="25"/>
  <c r="DS80" i="25"/>
  <c r="DQ80" i="25"/>
  <c r="DT80" i="25" s="1"/>
  <c r="DP80" i="25"/>
  <c r="DH80" i="25"/>
  <c r="DG80" i="25"/>
  <c r="DN80" i="25" s="1"/>
  <c r="DF80" i="25"/>
  <c r="CV80" i="25"/>
  <c r="CU80" i="25"/>
  <c r="CM80" i="25"/>
  <c r="CN80" i="25" s="1"/>
  <c r="CE80" i="25"/>
  <c r="CD80" i="25"/>
  <c r="CC80" i="25"/>
  <c r="CA80" i="25"/>
  <c r="BZ80" i="25"/>
  <c r="EH79" i="25"/>
  <c r="EG79" i="25"/>
  <c r="EF79" i="25"/>
  <c r="EE79" i="25"/>
  <c r="ED79" i="25"/>
  <c r="EC79" i="25"/>
  <c r="DO79" i="25" s="1"/>
  <c r="EB79" i="25"/>
  <c r="EA79" i="25"/>
  <c r="DZ79" i="25"/>
  <c r="DY79" i="25"/>
  <c r="DU79" i="25"/>
  <c r="DS79" i="25"/>
  <c r="DQ79" i="25"/>
  <c r="DT79" i="25" s="1"/>
  <c r="DP79" i="25"/>
  <c r="DH79" i="25"/>
  <c r="DG79" i="25"/>
  <c r="DF79" i="25"/>
  <c r="CV79" i="25"/>
  <c r="CU79" i="25"/>
  <c r="CM79" i="25"/>
  <c r="CN79" i="25" s="1"/>
  <c r="CE79" i="25"/>
  <c r="CD79" i="25"/>
  <c r="CC79" i="25"/>
  <c r="CA79" i="25"/>
  <c r="BZ79" i="25"/>
  <c r="EG78" i="25"/>
  <c r="EF78" i="25"/>
  <c r="EE78" i="25"/>
  <c r="ED78" i="25"/>
  <c r="EC78" i="25"/>
  <c r="DO78" i="25" s="1"/>
  <c r="EB78" i="25"/>
  <c r="EA78" i="25"/>
  <c r="DZ78" i="25"/>
  <c r="DY78" i="25"/>
  <c r="DU78" i="25"/>
  <c r="DS78" i="25"/>
  <c r="DQ78" i="25"/>
  <c r="DR78" i="25" s="1"/>
  <c r="DP78" i="25"/>
  <c r="DH78" i="25"/>
  <c r="DG78" i="25"/>
  <c r="DF78" i="25"/>
  <c r="CV78" i="25"/>
  <c r="CU78" i="25"/>
  <c r="CM78" i="25"/>
  <c r="CN78" i="25" s="1"/>
  <c r="CE78" i="25"/>
  <c r="CD78" i="25"/>
  <c r="CC78" i="25"/>
  <c r="CA78" i="25"/>
  <c r="BZ78" i="25"/>
  <c r="EH153" i="25"/>
  <c r="EG153" i="25"/>
  <c r="EF153" i="25"/>
  <c r="EE153" i="25"/>
  <c r="ED153" i="25"/>
  <c r="EC153" i="25"/>
  <c r="DO153" i="25" s="1"/>
  <c r="EB153" i="25"/>
  <c r="EA153" i="25"/>
  <c r="DZ153" i="25"/>
  <c r="DY153" i="25"/>
  <c r="DU153" i="25"/>
  <c r="DS153" i="25"/>
  <c r="DQ153" i="25"/>
  <c r="DR153" i="25" s="1"/>
  <c r="DP153" i="25"/>
  <c r="DH153" i="25"/>
  <c r="DG153" i="25"/>
  <c r="DN153" i="25" s="1"/>
  <c r="DF153" i="25"/>
  <c r="CV153" i="25"/>
  <c r="CU153" i="25"/>
  <c r="CM153" i="25"/>
  <c r="CE153" i="25"/>
  <c r="CD153" i="25"/>
  <c r="CC153" i="25"/>
  <c r="CA153" i="25"/>
  <c r="BZ153" i="25"/>
  <c r="EH130" i="25"/>
  <c r="EG130" i="25"/>
  <c r="EF130" i="25"/>
  <c r="EE130" i="25"/>
  <c r="ED130" i="25"/>
  <c r="EC130" i="25"/>
  <c r="DO130" i="25" s="1"/>
  <c r="EB130" i="25"/>
  <c r="EA130" i="25"/>
  <c r="DZ130" i="25"/>
  <c r="DY130" i="25"/>
  <c r="DU130" i="25"/>
  <c r="DS130" i="25"/>
  <c r="DQ130" i="25"/>
  <c r="DR130" i="25" s="1"/>
  <c r="DP130" i="25"/>
  <c r="DH130" i="25"/>
  <c r="DG130" i="25"/>
  <c r="DN130" i="25" s="1"/>
  <c r="DF130" i="25"/>
  <c r="CV130" i="25"/>
  <c r="CU130" i="25"/>
  <c r="CM130" i="25"/>
  <c r="CE130" i="25"/>
  <c r="CD130" i="25"/>
  <c r="CC130" i="25"/>
  <c r="CA130" i="25"/>
  <c r="BZ130" i="25"/>
  <c r="EH129" i="25"/>
  <c r="EG129" i="25"/>
  <c r="EF129" i="25"/>
  <c r="EE129" i="25"/>
  <c r="ED129" i="25"/>
  <c r="EC129" i="25"/>
  <c r="DO129" i="25" s="1"/>
  <c r="EB129" i="25"/>
  <c r="EA129" i="25"/>
  <c r="DZ129" i="25"/>
  <c r="DY129" i="25"/>
  <c r="DU129" i="25"/>
  <c r="DS129" i="25"/>
  <c r="DQ129" i="25"/>
  <c r="DT129" i="25" s="1"/>
  <c r="DP129" i="25"/>
  <c r="DH129" i="25"/>
  <c r="DG129" i="25"/>
  <c r="DF129" i="25"/>
  <c r="CV129" i="25"/>
  <c r="CU129" i="25"/>
  <c r="CM129" i="25"/>
  <c r="CN129" i="25" s="1"/>
  <c r="CE129" i="25"/>
  <c r="CD129" i="25"/>
  <c r="CC129" i="25"/>
  <c r="CA129" i="25"/>
  <c r="BZ129" i="25"/>
  <c r="EH128" i="25"/>
  <c r="EG128" i="25"/>
  <c r="EF128" i="25"/>
  <c r="EE128" i="25"/>
  <c r="ED128" i="25"/>
  <c r="EC128" i="25"/>
  <c r="DO128" i="25" s="1"/>
  <c r="EB128" i="25"/>
  <c r="EA128" i="25"/>
  <c r="DZ128" i="25"/>
  <c r="DY128" i="25"/>
  <c r="DU128" i="25"/>
  <c r="DS128" i="25"/>
  <c r="DQ128" i="25"/>
  <c r="DT128" i="25" s="1"/>
  <c r="DP128" i="25"/>
  <c r="DH128" i="25"/>
  <c r="DG128" i="25"/>
  <c r="DN128" i="25" s="1"/>
  <c r="DF128" i="25"/>
  <c r="CV128" i="25"/>
  <c r="CU128" i="25"/>
  <c r="CM128" i="25"/>
  <c r="CE128" i="25"/>
  <c r="CD128" i="25"/>
  <c r="CC128" i="25"/>
  <c r="CA128" i="25"/>
  <c r="BZ128" i="25"/>
  <c r="EH188" i="25"/>
  <c r="EG188" i="25"/>
  <c r="EF188" i="25"/>
  <c r="EE188" i="25"/>
  <c r="ED188" i="25"/>
  <c r="EC188" i="25"/>
  <c r="DO188" i="25" s="1"/>
  <c r="EB188" i="25"/>
  <c r="EA188" i="25"/>
  <c r="DZ188" i="25"/>
  <c r="DY188" i="25"/>
  <c r="DU188" i="25"/>
  <c r="DS188" i="25"/>
  <c r="DQ188" i="25"/>
  <c r="DT188" i="25" s="1"/>
  <c r="DP188" i="25"/>
  <c r="DH188" i="25"/>
  <c r="DG188" i="25"/>
  <c r="DN188" i="25" s="1"/>
  <c r="DF188" i="25"/>
  <c r="CV188" i="25"/>
  <c r="CU188" i="25"/>
  <c r="CM188" i="25"/>
  <c r="CE188" i="25"/>
  <c r="CD188" i="25"/>
  <c r="CC188" i="25"/>
  <c r="CA188" i="25"/>
  <c r="BZ188" i="25"/>
  <c r="EH187" i="25"/>
  <c r="EG187" i="25"/>
  <c r="EF187" i="25"/>
  <c r="EE187" i="25"/>
  <c r="ED187" i="25"/>
  <c r="EC187" i="25"/>
  <c r="DO187" i="25" s="1"/>
  <c r="EB187" i="25"/>
  <c r="EA187" i="25"/>
  <c r="DZ187" i="25"/>
  <c r="DY187" i="25"/>
  <c r="DU187" i="25"/>
  <c r="DS187" i="25"/>
  <c r="DQ187" i="25"/>
  <c r="DT187" i="25" s="1"/>
  <c r="DP187" i="25"/>
  <c r="DH187" i="25"/>
  <c r="DG187" i="25"/>
  <c r="DN187" i="25" s="1"/>
  <c r="DF187" i="25"/>
  <c r="CV187" i="25"/>
  <c r="CU187" i="25"/>
  <c r="CM187" i="25"/>
  <c r="CE187" i="25"/>
  <c r="CD187" i="25"/>
  <c r="CC187" i="25"/>
  <c r="CA187" i="25"/>
  <c r="BZ187" i="25"/>
  <c r="EH53" i="25"/>
  <c r="EG53" i="25"/>
  <c r="EF53" i="25"/>
  <c r="EE53" i="25"/>
  <c r="ED53" i="25"/>
  <c r="EC53" i="25"/>
  <c r="DO53" i="25" s="1"/>
  <c r="EB53" i="25"/>
  <c r="EA53" i="25"/>
  <c r="DZ53" i="25"/>
  <c r="DY53" i="25"/>
  <c r="DU53" i="25"/>
  <c r="DS53" i="25"/>
  <c r="DQ53" i="25"/>
  <c r="DT53" i="25" s="1"/>
  <c r="DP53" i="25"/>
  <c r="DH53" i="25"/>
  <c r="DG53" i="25"/>
  <c r="DN53" i="25" s="1"/>
  <c r="DF53" i="25"/>
  <c r="CV53" i="25"/>
  <c r="CU53" i="25"/>
  <c r="CM53" i="25"/>
  <c r="CN53" i="25" s="1"/>
  <c r="CE53" i="25"/>
  <c r="CD53" i="25"/>
  <c r="CC53" i="25"/>
  <c r="CA53" i="25"/>
  <c r="BZ53" i="25"/>
  <c r="EH52" i="25"/>
  <c r="EG52" i="25"/>
  <c r="EF52" i="25"/>
  <c r="EE52" i="25"/>
  <c r="ED52" i="25"/>
  <c r="EC52" i="25"/>
  <c r="DO52" i="25" s="1"/>
  <c r="EB52" i="25"/>
  <c r="EA52" i="25"/>
  <c r="DZ52" i="25"/>
  <c r="DY52" i="25"/>
  <c r="DU52" i="25"/>
  <c r="DS52" i="25"/>
  <c r="DQ52" i="25"/>
  <c r="DT52" i="25" s="1"/>
  <c r="DP52" i="25"/>
  <c r="DH52" i="25"/>
  <c r="DG52" i="25"/>
  <c r="DN52" i="25" s="1"/>
  <c r="DF52" i="25"/>
  <c r="CV52" i="25"/>
  <c r="CU52" i="25"/>
  <c r="CM52" i="25"/>
  <c r="CN52" i="25" s="1"/>
  <c r="CE52" i="25"/>
  <c r="CD52" i="25"/>
  <c r="CC52" i="25"/>
  <c r="CA52" i="25"/>
  <c r="BZ52" i="25"/>
  <c r="EH152" i="25"/>
  <c r="EG152" i="25"/>
  <c r="EF152" i="25"/>
  <c r="EE152" i="25"/>
  <c r="ED152" i="25"/>
  <c r="EC152" i="25"/>
  <c r="DO152" i="25" s="1"/>
  <c r="EB152" i="25"/>
  <c r="EA152" i="25"/>
  <c r="DZ152" i="25"/>
  <c r="DY152" i="25"/>
  <c r="DU152" i="25"/>
  <c r="DS152" i="25"/>
  <c r="DQ152" i="25"/>
  <c r="DP152" i="25"/>
  <c r="DH152" i="25"/>
  <c r="DG152" i="25"/>
  <c r="DN152" i="25" s="1"/>
  <c r="DF152" i="25"/>
  <c r="CV152" i="25"/>
  <c r="CU152" i="25"/>
  <c r="CM152" i="25"/>
  <c r="CN152" i="25" s="1"/>
  <c r="CE152" i="25"/>
  <c r="CD152" i="25"/>
  <c r="CC152" i="25"/>
  <c r="CA152" i="25"/>
  <c r="BZ152" i="25"/>
  <c r="EH186" i="25"/>
  <c r="EG186" i="25"/>
  <c r="EF186" i="25"/>
  <c r="EE186" i="25"/>
  <c r="ED186" i="25"/>
  <c r="EC186" i="25"/>
  <c r="DO186" i="25" s="1"/>
  <c r="EB186" i="25"/>
  <c r="EA186" i="25"/>
  <c r="DZ186" i="25"/>
  <c r="DY186" i="25"/>
  <c r="DU186" i="25"/>
  <c r="DS186" i="25"/>
  <c r="DQ186" i="25"/>
  <c r="DP186" i="25"/>
  <c r="DH186" i="25"/>
  <c r="DG186" i="25"/>
  <c r="DF186" i="25"/>
  <c r="CV186" i="25"/>
  <c r="CU186" i="25"/>
  <c r="CM186" i="25"/>
  <c r="CN186" i="25" s="1"/>
  <c r="CE186" i="25"/>
  <c r="CD186" i="25"/>
  <c r="CC186" i="25"/>
  <c r="CA186" i="25"/>
  <c r="BZ186" i="25"/>
  <c r="EH51" i="25"/>
  <c r="EG51" i="25"/>
  <c r="EF51" i="25"/>
  <c r="EE51" i="25"/>
  <c r="ED51" i="25"/>
  <c r="EC51" i="25"/>
  <c r="DO51" i="25" s="1"/>
  <c r="EB51" i="25"/>
  <c r="EA51" i="25"/>
  <c r="DZ51" i="25"/>
  <c r="DY51" i="25"/>
  <c r="DU51" i="25"/>
  <c r="DS51" i="25"/>
  <c r="DQ51" i="25"/>
  <c r="DP51" i="25"/>
  <c r="DH51" i="25"/>
  <c r="DG51" i="25"/>
  <c r="DF51" i="25"/>
  <c r="CV51" i="25"/>
  <c r="CU51" i="25"/>
  <c r="CM51" i="25"/>
  <c r="CN51" i="25" s="1"/>
  <c r="CE51" i="25"/>
  <c r="CD51" i="25"/>
  <c r="CC51" i="25"/>
  <c r="CA51" i="25"/>
  <c r="BZ51" i="25"/>
  <c r="EH185" i="25"/>
  <c r="EG185" i="25"/>
  <c r="EF185" i="25"/>
  <c r="EE185" i="25"/>
  <c r="ED185" i="25"/>
  <c r="EC185" i="25"/>
  <c r="DO185" i="25" s="1"/>
  <c r="EB185" i="25"/>
  <c r="EA185" i="25"/>
  <c r="DZ185" i="25"/>
  <c r="DY185" i="25"/>
  <c r="DU185" i="25"/>
  <c r="DS185" i="25"/>
  <c r="DQ185" i="25"/>
  <c r="DP185" i="25"/>
  <c r="DH185" i="25"/>
  <c r="DG185" i="25"/>
  <c r="DF185" i="25"/>
  <c r="CV185" i="25"/>
  <c r="CU185" i="25"/>
  <c r="CM185" i="25"/>
  <c r="CN185" i="25" s="1"/>
  <c r="CE185" i="25"/>
  <c r="CD185" i="25"/>
  <c r="CC185" i="25"/>
  <c r="CA185" i="25"/>
  <c r="BZ185" i="25"/>
  <c r="EH158" i="25"/>
  <c r="EG158" i="25"/>
  <c r="EF158" i="25"/>
  <c r="EE158" i="25"/>
  <c r="ED158" i="25"/>
  <c r="EC158" i="25"/>
  <c r="DO158" i="25" s="1"/>
  <c r="EB158" i="25"/>
  <c r="EA158" i="25"/>
  <c r="DZ158" i="25"/>
  <c r="DY158" i="25"/>
  <c r="DU158" i="25"/>
  <c r="DS158" i="25"/>
  <c r="DQ158" i="25"/>
  <c r="DP158" i="25"/>
  <c r="DH158" i="25"/>
  <c r="DG158" i="25"/>
  <c r="DF158" i="25"/>
  <c r="CV158" i="25"/>
  <c r="CU158" i="25"/>
  <c r="CM158" i="25"/>
  <c r="CN158" i="25" s="1"/>
  <c r="CE158" i="25"/>
  <c r="CD158" i="25"/>
  <c r="CC158" i="25"/>
  <c r="CA158" i="25"/>
  <c r="BZ158" i="25"/>
  <c r="EH50" i="25"/>
  <c r="EG50" i="25"/>
  <c r="EF50" i="25"/>
  <c r="EE50" i="25"/>
  <c r="ED50" i="25"/>
  <c r="EC50" i="25"/>
  <c r="DO50" i="25" s="1"/>
  <c r="EB50" i="25"/>
  <c r="EA50" i="25"/>
  <c r="DZ50" i="25"/>
  <c r="DY50" i="25"/>
  <c r="DU50" i="25"/>
  <c r="DS50" i="25"/>
  <c r="DQ50" i="25"/>
  <c r="DP50" i="25"/>
  <c r="DH50" i="25"/>
  <c r="DG50" i="25"/>
  <c r="DF50" i="25"/>
  <c r="CV50" i="25"/>
  <c r="CU50" i="25"/>
  <c r="CM50" i="25"/>
  <c r="CN50" i="25" s="1"/>
  <c r="CE50" i="25"/>
  <c r="CD50" i="25"/>
  <c r="CC50" i="25"/>
  <c r="CA50" i="25"/>
  <c r="BZ50" i="25"/>
  <c r="EH184" i="25"/>
  <c r="EG184" i="25"/>
  <c r="EF184" i="25"/>
  <c r="EE184" i="25"/>
  <c r="ED184" i="25"/>
  <c r="EC184" i="25"/>
  <c r="DO184" i="25" s="1"/>
  <c r="EB184" i="25"/>
  <c r="EA184" i="25"/>
  <c r="DZ184" i="25"/>
  <c r="DY184" i="25"/>
  <c r="DU184" i="25"/>
  <c r="DS184" i="25"/>
  <c r="DQ184" i="25"/>
  <c r="DP184" i="25"/>
  <c r="DH184" i="25"/>
  <c r="DG184" i="25"/>
  <c r="DN184" i="25" s="1"/>
  <c r="DF184" i="25"/>
  <c r="CV184" i="25"/>
  <c r="CU184" i="25"/>
  <c r="CM184" i="25"/>
  <c r="CN184" i="25" s="1"/>
  <c r="CE184" i="25"/>
  <c r="CD184" i="25"/>
  <c r="CC184" i="25"/>
  <c r="CA184" i="25"/>
  <c r="BZ184" i="25"/>
  <c r="EH49" i="25"/>
  <c r="EG49" i="25"/>
  <c r="EF49" i="25"/>
  <c r="EE49" i="25"/>
  <c r="ED49" i="25"/>
  <c r="EC49" i="25"/>
  <c r="DO49" i="25" s="1"/>
  <c r="EB49" i="25"/>
  <c r="EA49" i="25"/>
  <c r="DZ49" i="25"/>
  <c r="DY49" i="25"/>
  <c r="DU49" i="25"/>
  <c r="DS49" i="25"/>
  <c r="DQ49" i="25"/>
  <c r="DR49" i="25" s="1"/>
  <c r="DP49" i="25"/>
  <c r="DH49" i="25"/>
  <c r="DG49" i="25"/>
  <c r="DN49" i="25" s="1"/>
  <c r="DF49" i="25"/>
  <c r="CV49" i="25"/>
  <c r="CU49" i="25"/>
  <c r="CM49" i="25"/>
  <c r="CN49" i="25" s="1"/>
  <c r="CE49" i="25"/>
  <c r="CD49" i="25"/>
  <c r="CC49" i="25"/>
  <c r="CA49" i="25"/>
  <c r="BZ49" i="25"/>
  <c r="EH48" i="25"/>
  <c r="EG48" i="25"/>
  <c r="EF48" i="25"/>
  <c r="EE48" i="25"/>
  <c r="ED48" i="25"/>
  <c r="EC48" i="25"/>
  <c r="DO48" i="25" s="1"/>
  <c r="EB48" i="25"/>
  <c r="EA48" i="25"/>
  <c r="DZ48" i="25"/>
  <c r="DY48" i="25"/>
  <c r="DU48" i="25"/>
  <c r="DS48" i="25"/>
  <c r="DQ48" i="25"/>
  <c r="DP48" i="25"/>
  <c r="DH48" i="25"/>
  <c r="DG48" i="25"/>
  <c r="DN48" i="25" s="1"/>
  <c r="DF48" i="25"/>
  <c r="CV48" i="25"/>
  <c r="CU48" i="25"/>
  <c r="CM48" i="25"/>
  <c r="CE48" i="25"/>
  <c r="CD48" i="25"/>
  <c r="CC48" i="25"/>
  <c r="CA48" i="25"/>
  <c r="BZ48" i="25"/>
  <c r="EH157" i="25"/>
  <c r="EG157" i="25"/>
  <c r="EF157" i="25"/>
  <c r="EE157" i="25"/>
  <c r="ED157" i="25"/>
  <c r="EC157" i="25"/>
  <c r="DO157" i="25" s="1"/>
  <c r="EB157" i="25"/>
  <c r="EA157" i="25"/>
  <c r="DZ157" i="25"/>
  <c r="DY157" i="25"/>
  <c r="DU157" i="25"/>
  <c r="DS157" i="25"/>
  <c r="DQ157" i="25"/>
  <c r="DR157" i="25" s="1"/>
  <c r="DP157" i="25"/>
  <c r="DH157" i="25"/>
  <c r="DG157" i="25"/>
  <c r="DN157" i="25" s="1"/>
  <c r="DF157" i="25"/>
  <c r="CV157" i="25"/>
  <c r="CU157" i="25"/>
  <c r="CM157" i="25"/>
  <c r="CE157" i="25"/>
  <c r="CD157" i="25"/>
  <c r="CC157" i="25"/>
  <c r="CA157" i="25"/>
  <c r="BZ157" i="25"/>
  <c r="EH183" i="25"/>
  <c r="EG183" i="25"/>
  <c r="EF183" i="25"/>
  <c r="EE183" i="25"/>
  <c r="ED183" i="25"/>
  <c r="EC183" i="25"/>
  <c r="DO183" i="25" s="1"/>
  <c r="EB183" i="25"/>
  <c r="EA183" i="25"/>
  <c r="DZ183" i="25"/>
  <c r="DY183" i="25"/>
  <c r="DU183" i="25"/>
  <c r="DS183" i="25"/>
  <c r="DQ183" i="25"/>
  <c r="DR183" i="25" s="1"/>
  <c r="DP183" i="25"/>
  <c r="DH183" i="25"/>
  <c r="DG183" i="25"/>
  <c r="DN183" i="25" s="1"/>
  <c r="DF183" i="25"/>
  <c r="CV183" i="25"/>
  <c r="CU183" i="25"/>
  <c r="CM183" i="25"/>
  <c r="CE183" i="25"/>
  <c r="CD183" i="25"/>
  <c r="CC183" i="25"/>
  <c r="CA183" i="25"/>
  <c r="BZ183" i="25"/>
  <c r="EH127" i="25"/>
  <c r="EG127" i="25"/>
  <c r="EF127" i="25"/>
  <c r="EE127" i="25"/>
  <c r="ED127" i="25"/>
  <c r="EC127" i="25"/>
  <c r="DO127" i="25" s="1"/>
  <c r="EB127" i="25"/>
  <c r="EA127" i="25"/>
  <c r="DZ127" i="25"/>
  <c r="DY127" i="25"/>
  <c r="DU127" i="25"/>
  <c r="DS127" i="25"/>
  <c r="DQ127" i="25"/>
  <c r="DR127" i="25" s="1"/>
  <c r="DP127" i="25"/>
  <c r="DH127" i="25"/>
  <c r="DG127" i="25"/>
  <c r="DN127" i="25" s="1"/>
  <c r="DF127" i="25"/>
  <c r="CV127" i="25"/>
  <c r="CU127" i="25"/>
  <c r="CM127" i="25"/>
  <c r="CE127" i="25"/>
  <c r="CD127" i="25"/>
  <c r="CC127" i="25"/>
  <c r="CA127" i="25"/>
  <c r="BZ127" i="25"/>
  <c r="EH75" i="25"/>
  <c r="EG75" i="25"/>
  <c r="EF75" i="25"/>
  <c r="EE75" i="25"/>
  <c r="ED75" i="25"/>
  <c r="EC75" i="25"/>
  <c r="DO75" i="25" s="1"/>
  <c r="EB75" i="25"/>
  <c r="EA75" i="25"/>
  <c r="DZ75" i="25"/>
  <c r="DY75" i="25"/>
  <c r="DU75" i="25"/>
  <c r="DS75" i="25"/>
  <c r="DQ75" i="25"/>
  <c r="DR75" i="25" s="1"/>
  <c r="DP75" i="25"/>
  <c r="DH75" i="25"/>
  <c r="DG75" i="25"/>
  <c r="DN75" i="25" s="1"/>
  <c r="DF75" i="25"/>
  <c r="CV75" i="25"/>
  <c r="CU75" i="25"/>
  <c r="CM75" i="25"/>
  <c r="CE75" i="25"/>
  <c r="CD75" i="25"/>
  <c r="CC75" i="25"/>
  <c r="CA75" i="25"/>
  <c r="BZ75" i="25"/>
  <c r="EH46" i="25"/>
  <c r="EG46" i="25"/>
  <c r="EF46" i="25"/>
  <c r="EE46" i="25"/>
  <c r="ED46" i="25"/>
  <c r="EC46" i="25"/>
  <c r="DO46" i="25" s="1"/>
  <c r="EB46" i="25"/>
  <c r="EA46" i="25"/>
  <c r="DZ46" i="25"/>
  <c r="DY46" i="25"/>
  <c r="DU46" i="25"/>
  <c r="DS46" i="25"/>
  <c r="DQ46" i="25"/>
  <c r="DR46" i="25" s="1"/>
  <c r="DP46" i="25"/>
  <c r="DH46" i="25"/>
  <c r="DG46" i="25"/>
  <c r="DN46" i="25" s="1"/>
  <c r="DF46" i="25"/>
  <c r="CV46" i="25"/>
  <c r="CU46" i="25"/>
  <c r="CM46" i="25"/>
  <c r="CE46" i="25"/>
  <c r="CD46" i="25"/>
  <c r="CC46" i="25"/>
  <c r="CA46" i="25"/>
  <c r="BZ46" i="25"/>
  <c r="EH182" i="25"/>
  <c r="EG182" i="25"/>
  <c r="EF182" i="25"/>
  <c r="EE182" i="25"/>
  <c r="ED182" i="25"/>
  <c r="EC182" i="25"/>
  <c r="DO182" i="25" s="1"/>
  <c r="EB182" i="25"/>
  <c r="EA182" i="25"/>
  <c r="DZ182" i="25"/>
  <c r="DY182" i="25"/>
  <c r="DU182" i="25"/>
  <c r="DS182" i="25"/>
  <c r="DQ182" i="25"/>
  <c r="DR182" i="25" s="1"/>
  <c r="DP182" i="25"/>
  <c r="DH182" i="25"/>
  <c r="DG182" i="25"/>
  <c r="DF182" i="25"/>
  <c r="CV182" i="25"/>
  <c r="CU182" i="25"/>
  <c r="CM182" i="25"/>
  <c r="CE182" i="25"/>
  <c r="CD182" i="25"/>
  <c r="CC182" i="25"/>
  <c r="CA182" i="25"/>
  <c r="BZ182" i="25"/>
  <c r="EH138" i="25"/>
  <c r="EG138" i="25"/>
  <c r="EF138" i="25"/>
  <c r="EE138" i="25"/>
  <c r="ED138" i="25"/>
  <c r="EC138" i="25"/>
  <c r="DO138" i="25" s="1"/>
  <c r="EB138" i="25"/>
  <c r="EA138" i="25"/>
  <c r="DZ138" i="25"/>
  <c r="DY138" i="25"/>
  <c r="DU138" i="25"/>
  <c r="DS138" i="25"/>
  <c r="DQ138" i="25"/>
  <c r="DR138" i="25" s="1"/>
  <c r="DP138" i="25"/>
  <c r="DH138" i="25"/>
  <c r="DG138" i="25"/>
  <c r="DF138" i="25"/>
  <c r="CV138" i="25"/>
  <c r="CU138" i="25"/>
  <c r="CM138" i="25"/>
  <c r="CE138" i="25"/>
  <c r="CD138" i="25"/>
  <c r="CC138" i="25"/>
  <c r="CA138" i="25"/>
  <c r="BZ138" i="25"/>
  <c r="EH74" i="25"/>
  <c r="EG74" i="25"/>
  <c r="EF74" i="25"/>
  <c r="EE74" i="25"/>
  <c r="ED74" i="25"/>
  <c r="EC74" i="25"/>
  <c r="DO74" i="25" s="1"/>
  <c r="EB74" i="25"/>
  <c r="EA74" i="25"/>
  <c r="DZ74" i="25"/>
  <c r="DY74" i="25"/>
  <c r="DU74" i="25"/>
  <c r="DS74" i="25"/>
  <c r="DQ74" i="25"/>
  <c r="DR74" i="25" s="1"/>
  <c r="DP74" i="25"/>
  <c r="DH74" i="25"/>
  <c r="DG74" i="25"/>
  <c r="DF74" i="25"/>
  <c r="CV74" i="25"/>
  <c r="CU74" i="25"/>
  <c r="CM74" i="25"/>
  <c r="CE74" i="25"/>
  <c r="CD74" i="25"/>
  <c r="CC74" i="25"/>
  <c r="CA74" i="25"/>
  <c r="BZ74" i="25"/>
  <c r="EH155" i="25"/>
  <c r="EG155" i="25"/>
  <c r="EF155" i="25"/>
  <c r="EE155" i="25"/>
  <c r="ED155" i="25"/>
  <c r="EC155" i="25"/>
  <c r="DO155" i="25" s="1"/>
  <c r="EB155" i="25"/>
  <c r="EA155" i="25"/>
  <c r="DZ155" i="25"/>
  <c r="DY155" i="25"/>
  <c r="DU155" i="25"/>
  <c r="DS155" i="25"/>
  <c r="DQ155" i="25"/>
  <c r="DR155" i="25" s="1"/>
  <c r="DP155" i="25"/>
  <c r="DH155" i="25"/>
  <c r="DG155" i="25"/>
  <c r="DF155" i="25"/>
  <c r="CV155" i="25"/>
  <c r="CU155" i="25"/>
  <c r="CM155" i="25"/>
  <c r="CE155" i="25"/>
  <c r="CD155" i="25"/>
  <c r="CC155" i="25"/>
  <c r="CA155" i="25"/>
  <c r="BZ155" i="25"/>
  <c r="EH45" i="25"/>
  <c r="EG45" i="25"/>
  <c r="EF45" i="25"/>
  <c r="EE45" i="25"/>
  <c r="ED45" i="25"/>
  <c r="EC45" i="25"/>
  <c r="DO45" i="25" s="1"/>
  <c r="EB45" i="25"/>
  <c r="EA45" i="25"/>
  <c r="DZ45" i="25"/>
  <c r="DY45" i="25"/>
  <c r="DU45" i="25"/>
  <c r="DS45" i="25"/>
  <c r="DQ45" i="25"/>
  <c r="DR45" i="25" s="1"/>
  <c r="DP45" i="25"/>
  <c r="DH45" i="25"/>
  <c r="DG45" i="25"/>
  <c r="DF45" i="25"/>
  <c r="CV45" i="25"/>
  <c r="CU45" i="25"/>
  <c r="CM45" i="25"/>
  <c r="CE45" i="25"/>
  <c r="CD45" i="25"/>
  <c r="CC45" i="25"/>
  <c r="CA45" i="25"/>
  <c r="BZ45" i="25"/>
  <c r="EH73" i="25"/>
  <c r="EG73" i="25"/>
  <c r="EF73" i="25"/>
  <c r="EE73" i="25"/>
  <c r="ED73" i="25"/>
  <c r="EC73" i="25"/>
  <c r="DO73" i="25" s="1"/>
  <c r="EB73" i="25"/>
  <c r="EA73" i="25"/>
  <c r="DZ73" i="25"/>
  <c r="DY73" i="25"/>
  <c r="DU73" i="25"/>
  <c r="DS73" i="25"/>
  <c r="DQ73" i="25"/>
  <c r="DP73" i="25"/>
  <c r="DH73" i="25"/>
  <c r="DG73" i="25"/>
  <c r="DN73" i="25" s="1"/>
  <c r="DF73" i="25"/>
  <c r="CV73" i="25"/>
  <c r="CU73" i="25"/>
  <c r="CM73" i="25"/>
  <c r="CE73" i="25"/>
  <c r="CD73" i="25"/>
  <c r="CC73" i="25"/>
  <c r="CA73" i="25"/>
  <c r="BZ73" i="25"/>
  <c r="EH156" i="25"/>
  <c r="EG156" i="25"/>
  <c r="EF156" i="25"/>
  <c r="EE156" i="25"/>
  <c r="ED156" i="25"/>
  <c r="EC156" i="25"/>
  <c r="DO156" i="25" s="1"/>
  <c r="EB156" i="25"/>
  <c r="EA156" i="25"/>
  <c r="DZ156" i="25"/>
  <c r="DY156" i="25"/>
  <c r="DU156" i="25"/>
  <c r="DS156" i="25"/>
  <c r="DQ156" i="25"/>
  <c r="DT156" i="25" s="1"/>
  <c r="DP156" i="25"/>
  <c r="DH156" i="25"/>
  <c r="DG156" i="25"/>
  <c r="DN156" i="25" s="1"/>
  <c r="DF156" i="25"/>
  <c r="CV156" i="25"/>
  <c r="CU156" i="25"/>
  <c r="CM156" i="25"/>
  <c r="CN156" i="25" s="1"/>
  <c r="CE156" i="25"/>
  <c r="CD156" i="25"/>
  <c r="CC156" i="25"/>
  <c r="CA156" i="25"/>
  <c r="BZ156" i="25"/>
  <c r="EH137" i="25"/>
  <c r="EG137" i="25"/>
  <c r="EF137" i="25"/>
  <c r="EE137" i="25"/>
  <c r="ED137" i="25"/>
  <c r="EC137" i="25"/>
  <c r="DO137" i="25" s="1"/>
  <c r="EB137" i="25"/>
  <c r="EA137" i="25"/>
  <c r="DZ137" i="25"/>
  <c r="DY137" i="25"/>
  <c r="DU137" i="25"/>
  <c r="DS137" i="25"/>
  <c r="DQ137" i="25"/>
  <c r="DT137" i="25" s="1"/>
  <c r="DP137" i="25"/>
  <c r="DH137" i="25"/>
  <c r="DG137" i="25"/>
  <c r="DN137" i="25" s="1"/>
  <c r="DF137" i="25"/>
  <c r="CV137" i="25"/>
  <c r="CU137" i="25"/>
  <c r="CM137" i="25"/>
  <c r="CN137" i="25" s="1"/>
  <c r="CE137" i="25"/>
  <c r="CD137" i="25"/>
  <c r="CC137" i="25"/>
  <c r="CA137" i="25"/>
  <c r="BZ137" i="25"/>
  <c r="EH44" i="25"/>
  <c r="EG44" i="25"/>
  <c r="EF44" i="25"/>
  <c r="EE44" i="25"/>
  <c r="ED44" i="25"/>
  <c r="EC44" i="25"/>
  <c r="DO44" i="25" s="1"/>
  <c r="EB44" i="25"/>
  <c r="EA44" i="25"/>
  <c r="DZ44" i="25"/>
  <c r="DY44" i="25"/>
  <c r="DU44" i="25"/>
  <c r="DS44" i="25"/>
  <c r="DQ44" i="25"/>
  <c r="DP44" i="25"/>
  <c r="DH44" i="25"/>
  <c r="DG44" i="25"/>
  <c r="DN44" i="25" s="1"/>
  <c r="DF44" i="25"/>
  <c r="CV44" i="25"/>
  <c r="CU44" i="25"/>
  <c r="CM44" i="25"/>
  <c r="CN44" i="25" s="1"/>
  <c r="CE44" i="25"/>
  <c r="CD44" i="25"/>
  <c r="CC44" i="25"/>
  <c r="CA44" i="25"/>
  <c r="BZ44" i="25"/>
  <c r="EH43" i="25"/>
  <c r="EG43" i="25"/>
  <c r="EF43" i="25"/>
  <c r="EE43" i="25"/>
  <c r="ED43" i="25"/>
  <c r="EC43" i="25"/>
  <c r="DO43" i="25" s="1"/>
  <c r="EB43" i="25"/>
  <c r="EA43" i="25"/>
  <c r="DZ43" i="25"/>
  <c r="DY43" i="25"/>
  <c r="DU43" i="25"/>
  <c r="DS43" i="25"/>
  <c r="DQ43" i="25"/>
  <c r="DT43" i="25" s="1"/>
  <c r="DP43" i="25"/>
  <c r="DH43" i="25"/>
  <c r="DG43" i="25"/>
  <c r="DF43" i="25"/>
  <c r="CV43" i="25"/>
  <c r="CU43" i="25"/>
  <c r="CM43" i="25"/>
  <c r="CE43" i="25"/>
  <c r="CD43" i="25"/>
  <c r="CC43" i="25"/>
  <c r="CA43" i="25"/>
  <c r="BZ43" i="25"/>
  <c r="EH42" i="25"/>
  <c r="EG42" i="25"/>
  <c r="EF42" i="25"/>
  <c r="EE42" i="25"/>
  <c r="ED42" i="25"/>
  <c r="EC42" i="25"/>
  <c r="DO42" i="25" s="1"/>
  <c r="EB42" i="25"/>
  <c r="EA42" i="25"/>
  <c r="DZ42" i="25"/>
  <c r="DY42" i="25"/>
  <c r="DU42" i="25"/>
  <c r="DS42" i="25"/>
  <c r="DQ42" i="25"/>
  <c r="DR42" i="25" s="1"/>
  <c r="DP42" i="25"/>
  <c r="DH42" i="25"/>
  <c r="DG42" i="25"/>
  <c r="DN42" i="25" s="1"/>
  <c r="DF42" i="25"/>
  <c r="CV42" i="25"/>
  <c r="CU42" i="25"/>
  <c r="CM42" i="25"/>
  <c r="CE42" i="25"/>
  <c r="CD42" i="25"/>
  <c r="CC42" i="25"/>
  <c r="CA42" i="25"/>
  <c r="BZ42" i="25"/>
  <c r="EH125" i="25"/>
  <c r="EG125" i="25"/>
  <c r="EF125" i="25"/>
  <c r="EE125" i="25"/>
  <c r="ED125" i="25"/>
  <c r="EC125" i="25"/>
  <c r="DO125" i="25" s="1"/>
  <c r="EB125" i="25"/>
  <c r="EA125" i="25"/>
  <c r="DZ125" i="25"/>
  <c r="DY125" i="25"/>
  <c r="DU125" i="25"/>
  <c r="DS125" i="25"/>
  <c r="DQ125" i="25"/>
  <c r="DR125" i="25" s="1"/>
  <c r="DP125" i="25"/>
  <c r="DH125" i="25"/>
  <c r="DG125" i="25"/>
  <c r="DN125" i="25" s="1"/>
  <c r="DF125" i="25"/>
  <c r="CV125" i="25"/>
  <c r="CU125" i="25"/>
  <c r="CM125" i="25"/>
  <c r="CE125" i="25"/>
  <c r="CD125" i="25"/>
  <c r="CC125" i="25"/>
  <c r="CA125" i="25"/>
  <c r="BZ125" i="25"/>
  <c r="EH124" i="25"/>
  <c r="EG124" i="25"/>
  <c r="EF124" i="25"/>
  <c r="EE124" i="25"/>
  <c r="ED124" i="25"/>
  <c r="EC124" i="25"/>
  <c r="DO124" i="25" s="1"/>
  <c r="EB124" i="25"/>
  <c r="EA124" i="25"/>
  <c r="DZ124" i="25"/>
  <c r="DY124" i="25"/>
  <c r="DU124" i="25"/>
  <c r="DS124" i="25"/>
  <c r="DQ124" i="25"/>
  <c r="DR124" i="25" s="1"/>
  <c r="DP124" i="25"/>
  <c r="DH124" i="25"/>
  <c r="DG124" i="25"/>
  <c r="DN124" i="25" s="1"/>
  <c r="DF124" i="25"/>
  <c r="CV124" i="25"/>
  <c r="CU124" i="25"/>
  <c r="CM124" i="25"/>
  <c r="CE124" i="25"/>
  <c r="CD124" i="25"/>
  <c r="CC124" i="25"/>
  <c r="CA124" i="25"/>
  <c r="BZ124" i="25"/>
  <c r="EH41" i="25"/>
  <c r="EG41" i="25"/>
  <c r="EF41" i="25"/>
  <c r="EE41" i="25"/>
  <c r="ED41" i="25"/>
  <c r="EC41" i="25"/>
  <c r="DO41" i="25" s="1"/>
  <c r="EB41" i="25"/>
  <c r="EA41" i="25"/>
  <c r="DZ41" i="25"/>
  <c r="DY41" i="25"/>
  <c r="DU41" i="25"/>
  <c r="DS41" i="25"/>
  <c r="DQ41" i="25"/>
  <c r="DR41" i="25" s="1"/>
  <c r="DP41" i="25"/>
  <c r="DH41" i="25"/>
  <c r="DG41" i="25"/>
  <c r="DF41" i="25"/>
  <c r="CV41" i="25"/>
  <c r="CU41" i="25"/>
  <c r="CM41" i="25"/>
  <c r="CE41" i="25"/>
  <c r="CD41" i="25"/>
  <c r="CC41" i="25"/>
  <c r="CA41" i="25"/>
  <c r="BZ41" i="25"/>
  <c r="EH40" i="25"/>
  <c r="EG40" i="25"/>
  <c r="EF40" i="25"/>
  <c r="EE40" i="25"/>
  <c r="ED40" i="25"/>
  <c r="EC40" i="25"/>
  <c r="DO40" i="25" s="1"/>
  <c r="EB40" i="25"/>
  <c r="EA40" i="25"/>
  <c r="DZ40" i="25"/>
  <c r="DY40" i="25"/>
  <c r="DU40" i="25"/>
  <c r="DS40" i="25"/>
  <c r="DQ40" i="25"/>
  <c r="DR40" i="25" s="1"/>
  <c r="DP40" i="25"/>
  <c r="DH40" i="25"/>
  <c r="DG40" i="25"/>
  <c r="DF40" i="25"/>
  <c r="CV40" i="25"/>
  <c r="CU40" i="25"/>
  <c r="CM40" i="25"/>
  <c r="CE40" i="25"/>
  <c r="CD40" i="25"/>
  <c r="CC40" i="25"/>
  <c r="CA40" i="25"/>
  <c r="BZ40" i="25"/>
  <c r="EH159" i="25"/>
  <c r="EG159" i="25"/>
  <c r="EF159" i="25"/>
  <c r="EE159" i="25"/>
  <c r="ED159" i="25"/>
  <c r="EC159" i="25"/>
  <c r="DO159" i="25" s="1"/>
  <c r="EB159" i="25"/>
  <c r="EA159" i="25"/>
  <c r="DZ159" i="25"/>
  <c r="DY159" i="25"/>
  <c r="DU159" i="25"/>
  <c r="DS159" i="25"/>
  <c r="DQ159" i="25"/>
  <c r="DT159" i="25" s="1"/>
  <c r="DP159" i="25"/>
  <c r="DH159" i="25"/>
  <c r="DG159" i="25"/>
  <c r="DF159" i="25"/>
  <c r="CV159" i="25"/>
  <c r="CU159" i="25"/>
  <c r="CM159" i="25"/>
  <c r="CE159" i="25"/>
  <c r="CD159" i="25"/>
  <c r="CC159" i="25"/>
  <c r="CA159" i="25"/>
  <c r="BZ159" i="25"/>
  <c r="EH39" i="25"/>
  <c r="EG39" i="25"/>
  <c r="EF39" i="25"/>
  <c r="EE39" i="25"/>
  <c r="ED39" i="25"/>
  <c r="EC39" i="25"/>
  <c r="DO39" i="25" s="1"/>
  <c r="EB39" i="25"/>
  <c r="EA39" i="25"/>
  <c r="DZ39" i="25"/>
  <c r="DY39" i="25"/>
  <c r="DU39" i="25"/>
  <c r="DS39" i="25"/>
  <c r="DQ39" i="25"/>
  <c r="DT39" i="25" s="1"/>
  <c r="DP39" i="25"/>
  <c r="DH39" i="25"/>
  <c r="DG39" i="25"/>
  <c r="DF39" i="25"/>
  <c r="CV39" i="25"/>
  <c r="CU39" i="25"/>
  <c r="CM39" i="25"/>
  <c r="CN39" i="25" s="1"/>
  <c r="CE39" i="25"/>
  <c r="CD39" i="25"/>
  <c r="CC39" i="25"/>
  <c r="CA39" i="25"/>
  <c r="BZ39" i="25"/>
  <c r="EH141" i="25"/>
  <c r="EG141" i="25"/>
  <c r="EF141" i="25"/>
  <c r="EE141" i="25"/>
  <c r="ED141" i="25"/>
  <c r="EC141" i="25"/>
  <c r="DO141" i="25" s="1"/>
  <c r="EB141" i="25"/>
  <c r="EA141" i="25"/>
  <c r="DZ141" i="25"/>
  <c r="DY141" i="25"/>
  <c r="DU141" i="25"/>
  <c r="DS141" i="25"/>
  <c r="DQ141" i="25"/>
  <c r="DT141" i="25" s="1"/>
  <c r="DP141" i="25"/>
  <c r="DH141" i="25"/>
  <c r="DG141" i="25"/>
  <c r="DN141" i="25" s="1"/>
  <c r="DF141" i="25"/>
  <c r="CV141" i="25"/>
  <c r="CU141" i="25"/>
  <c r="CM141" i="25"/>
  <c r="CE141" i="25"/>
  <c r="CD141" i="25"/>
  <c r="CC141" i="25"/>
  <c r="CA141" i="25"/>
  <c r="BZ141" i="25"/>
  <c r="EH38" i="25"/>
  <c r="EG38" i="25"/>
  <c r="EF38" i="25"/>
  <c r="EE38" i="25"/>
  <c r="ED38" i="25"/>
  <c r="EC38" i="25"/>
  <c r="DO38" i="25" s="1"/>
  <c r="EB38" i="25"/>
  <c r="EA38" i="25"/>
  <c r="DZ38" i="25"/>
  <c r="DY38" i="25"/>
  <c r="DU38" i="25"/>
  <c r="DS38" i="25"/>
  <c r="DQ38" i="25"/>
  <c r="DT38" i="25" s="1"/>
  <c r="DP38" i="25"/>
  <c r="DH38" i="25"/>
  <c r="DG38" i="25"/>
  <c r="DN38" i="25" s="1"/>
  <c r="DF38" i="25"/>
  <c r="CV38" i="25"/>
  <c r="CU38" i="25"/>
  <c r="CM38" i="25"/>
  <c r="CE38" i="25"/>
  <c r="CD38" i="25"/>
  <c r="CC38" i="25"/>
  <c r="CA38" i="25"/>
  <c r="BZ38" i="25"/>
  <c r="EH54" i="25"/>
  <c r="EG54" i="25"/>
  <c r="EF54" i="25"/>
  <c r="EE54" i="25"/>
  <c r="ED54" i="25"/>
  <c r="EC54" i="25"/>
  <c r="DO54" i="25" s="1"/>
  <c r="EB54" i="25"/>
  <c r="EA54" i="25"/>
  <c r="DZ54" i="25"/>
  <c r="DY54" i="25"/>
  <c r="DU54" i="25"/>
  <c r="DS54" i="25"/>
  <c r="DQ54" i="25"/>
  <c r="DT54" i="25" s="1"/>
  <c r="DP54" i="25"/>
  <c r="DH54" i="25"/>
  <c r="DG54" i="25"/>
  <c r="DN54" i="25" s="1"/>
  <c r="DF54" i="25"/>
  <c r="CV54" i="25"/>
  <c r="CU54" i="25"/>
  <c r="CM54" i="25"/>
  <c r="CN54" i="25" s="1"/>
  <c r="CE54" i="25"/>
  <c r="CD54" i="25"/>
  <c r="CC54" i="25"/>
  <c r="CA54" i="25"/>
  <c r="BZ54" i="25"/>
  <c r="EH36" i="25"/>
  <c r="EG36" i="25"/>
  <c r="EF36" i="25"/>
  <c r="EE36" i="25"/>
  <c r="ED36" i="25"/>
  <c r="EC36" i="25"/>
  <c r="DO36" i="25" s="1"/>
  <c r="EB36" i="25"/>
  <c r="EA36" i="25"/>
  <c r="DZ36" i="25"/>
  <c r="DY36" i="25"/>
  <c r="DU36" i="25"/>
  <c r="DS36" i="25"/>
  <c r="DQ36" i="25"/>
  <c r="DT36" i="25" s="1"/>
  <c r="DP36" i="25"/>
  <c r="DH36" i="25"/>
  <c r="DG36" i="25"/>
  <c r="DF36" i="25"/>
  <c r="CV36" i="25"/>
  <c r="CU36" i="25"/>
  <c r="CM36" i="25"/>
  <c r="CE36" i="25"/>
  <c r="CD36" i="25"/>
  <c r="CC36" i="25"/>
  <c r="CA36" i="25"/>
  <c r="BZ36" i="25"/>
  <c r="EH35" i="25"/>
  <c r="EG35" i="25"/>
  <c r="EF35" i="25"/>
  <c r="EE35" i="25"/>
  <c r="ED35" i="25"/>
  <c r="EC35" i="25"/>
  <c r="DO35" i="25" s="1"/>
  <c r="EB35" i="25"/>
  <c r="EA35" i="25"/>
  <c r="DZ35" i="25"/>
  <c r="DY35" i="25"/>
  <c r="DU35" i="25"/>
  <c r="DS35" i="25"/>
  <c r="DQ35" i="25"/>
  <c r="DT35" i="25" s="1"/>
  <c r="DP35" i="25"/>
  <c r="DH35" i="25"/>
  <c r="DG35" i="25"/>
  <c r="DN35" i="25" s="1"/>
  <c r="DF35" i="25"/>
  <c r="CV35" i="25"/>
  <c r="CU35" i="25"/>
  <c r="CM35" i="25"/>
  <c r="CN35" i="25" s="1"/>
  <c r="CE35" i="25"/>
  <c r="CD35" i="25"/>
  <c r="CC35" i="25"/>
  <c r="CA35" i="25"/>
  <c r="BZ35" i="25"/>
  <c r="EH181" i="25"/>
  <c r="EG181" i="25"/>
  <c r="EF181" i="25"/>
  <c r="EE181" i="25"/>
  <c r="ED181" i="25"/>
  <c r="EC181" i="25"/>
  <c r="DO181" i="25" s="1"/>
  <c r="EB181" i="25"/>
  <c r="EA181" i="25"/>
  <c r="DZ181" i="25"/>
  <c r="DY181" i="25"/>
  <c r="DU181" i="25"/>
  <c r="DS181" i="25"/>
  <c r="DQ181" i="25"/>
  <c r="DT181" i="25" s="1"/>
  <c r="DP181" i="25"/>
  <c r="DH181" i="25"/>
  <c r="DG181" i="25"/>
  <c r="DN181" i="25" s="1"/>
  <c r="DF181" i="25"/>
  <c r="CV181" i="25"/>
  <c r="CU181" i="25"/>
  <c r="CM181" i="25"/>
  <c r="CN181" i="25" s="1"/>
  <c r="CE181" i="25"/>
  <c r="CD181" i="25"/>
  <c r="CC181" i="25"/>
  <c r="CA181" i="25"/>
  <c r="BZ181" i="25"/>
  <c r="EH180" i="25"/>
  <c r="EG180" i="25"/>
  <c r="EF180" i="25"/>
  <c r="EE180" i="25"/>
  <c r="ED180" i="25"/>
  <c r="EC180" i="25"/>
  <c r="DO180" i="25" s="1"/>
  <c r="EB180" i="25"/>
  <c r="EA180" i="25"/>
  <c r="DZ180" i="25"/>
  <c r="DY180" i="25"/>
  <c r="DU180" i="25"/>
  <c r="DS180" i="25"/>
  <c r="DQ180" i="25"/>
  <c r="DR180" i="25" s="1"/>
  <c r="DP180" i="25"/>
  <c r="DH180" i="25"/>
  <c r="DG180" i="25"/>
  <c r="DF180" i="25"/>
  <c r="CV180" i="25"/>
  <c r="CU180" i="25"/>
  <c r="CM180" i="25"/>
  <c r="CN180" i="25" s="1"/>
  <c r="CE180" i="25"/>
  <c r="CD180" i="25"/>
  <c r="CC180" i="25"/>
  <c r="CA180" i="25"/>
  <c r="BZ180" i="25"/>
  <c r="EH34" i="25"/>
  <c r="EG34" i="25"/>
  <c r="EF34" i="25"/>
  <c r="EE34" i="25"/>
  <c r="ED34" i="25"/>
  <c r="EC34" i="25"/>
  <c r="DO34" i="25" s="1"/>
  <c r="EB34" i="25"/>
  <c r="EA34" i="25"/>
  <c r="DZ34" i="25"/>
  <c r="DY34" i="25"/>
  <c r="DU34" i="25"/>
  <c r="DS34" i="25"/>
  <c r="DQ34" i="25"/>
  <c r="DR34" i="25" s="1"/>
  <c r="DP34" i="25"/>
  <c r="DH34" i="25"/>
  <c r="DG34" i="25"/>
  <c r="DF34" i="25"/>
  <c r="CV34" i="25"/>
  <c r="CU34" i="25"/>
  <c r="CM34" i="25"/>
  <c r="CN34" i="25" s="1"/>
  <c r="CE34" i="25"/>
  <c r="CD34" i="25"/>
  <c r="CC34" i="25"/>
  <c r="CA34" i="25"/>
  <c r="BZ34" i="25"/>
  <c r="EH33" i="25"/>
  <c r="EG33" i="25"/>
  <c r="EF33" i="25"/>
  <c r="EE33" i="25"/>
  <c r="ED33" i="25"/>
  <c r="EC33" i="25"/>
  <c r="DO33" i="25" s="1"/>
  <c r="EB33" i="25"/>
  <c r="EA33" i="25"/>
  <c r="DZ33" i="25"/>
  <c r="DY33" i="25"/>
  <c r="DU33" i="25"/>
  <c r="DS33" i="25"/>
  <c r="DQ33" i="25"/>
  <c r="DR33" i="25" s="1"/>
  <c r="DP33" i="25"/>
  <c r="DH33" i="25"/>
  <c r="DG33" i="25"/>
  <c r="DF33" i="25"/>
  <c r="CV33" i="25"/>
  <c r="CU33" i="25"/>
  <c r="CM33" i="25"/>
  <c r="CN33" i="25" s="1"/>
  <c r="CE33" i="25"/>
  <c r="CD33" i="25"/>
  <c r="CC33" i="25"/>
  <c r="CA33" i="25"/>
  <c r="BZ33" i="25"/>
  <c r="EH179" i="25"/>
  <c r="EG179" i="25"/>
  <c r="EF179" i="25"/>
  <c r="EE179" i="25"/>
  <c r="ED179" i="25"/>
  <c r="EC179" i="25"/>
  <c r="DO179" i="25" s="1"/>
  <c r="EB179" i="25"/>
  <c r="EA179" i="25"/>
  <c r="DZ179" i="25"/>
  <c r="DY179" i="25"/>
  <c r="DU179" i="25"/>
  <c r="DS179" i="25"/>
  <c r="DQ179" i="25"/>
  <c r="DR179" i="25" s="1"/>
  <c r="DP179" i="25"/>
  <c r="DH179" i="25"/>
  <c r="DG179" i="25"/>
  <c r="DF179" i="25"/>
  <c r="CV179" i="25"/>
  <c r="CU179" i="25"/>
  <c r="CM179" i="25"/>
  <c r="CN179" i="25" s="1"/>
  <c r="CE179" i="25"/>
  <c r="CD179" i="25"/>
  <c r="CC179" i="25"/>
  <c r="CA179" i="25"/>
  <c r="BZ179" i="25"/>
  <c r="EH32" i="25"/>
  <c r="EG32" i="25"/>
  <c r="EF32" i="25"/>
  <c r="EE32" i="25"/>
  <c r="ED32" i="25"/>
  <c r="EC32" i="25"/>
  <c r="DO32" i="25" s="1"/>
  <c r="EB32" i="25"/>
  <c r="EA32" i="25"/>
  <c r="DZ32" i="25"/>
  <c r="DY32" i="25"/>
  <c r="DU32" i="25"/>
  <c r="DS32" i="25"/>
  <c r="DQ32" i="25"/>
  <c r="DR32" i="25" s="1"/>
  <c r="DP32" i="25"/>
  <c r="DH32" i="25"/>
  <c r="DG32" i="25"/>
  <c r="DF32" i="25"/>
  <c r="CV32" i="25"/>
  <c r="CU32" i="25"/>
  <c r="CM32" i="25"/>
  <c r="CN32" i="25" s="1"/>
  <c r="CE32" i="25"/>
  <c r="CD32" i="25"/>
  <c r="CC32" i="25"/>
  <c r="CA32" i="25"/>
  <c r="BZ32" i="25"/>
  <c r="EH70" i="25"/>
  <c r="EG70" i="25"/>
  <c r="EF70" i="25"/>
  <c r="EE70" i="25"/>
  <c r="ED70" i="25"/>
  <c r="EC70" i="25"/>
  <c r="DO70" i="25" s="1"/>
  <c r="EB70" i="25"/>
  <c r="EA70" i="25"/>
  <c r="DZ70" i="25"/>
  <c r="DY70" i="25"/>
  <c r="DU70" i="25"/>
  <c r="DS70" i="25"/>
  <c r="DQ70" i="25"/>
  <c r="DR70" i="25" s="1"/>
  <c r="DP70" i="25"/>
  <c r="DH70" i="25"/>
  <c r="DG70" i="25"/>
  <c r="DF70" i="25"/>
  <c r="CV70" i="25"/>
  <c r="CU70" i="25"/>
  <c r="CM70" i="25"/>
  <c r="CN70" i="25" s="1"/>
  <c r="CE70" i="25"/>
  <c r="CD70" i="25"/>
  <c r="CC70" i="25"/>
  <c r="CA70" i="25"/>
  <c r="BZ70" i="25"/>
  <c r="EH72" i="25"/>
  <c r="EG72" i="25"/>
  <c r="EF72" i="25"/>
  <c r="EE72" i="25"/>
  <c r="ED72" i="25"/>
  <c r="EC72" i="25"/>
  <c r="DO72" i="25" s="1"/>
  <c r="EB72" i="25"/>
  <c r="EA72" i="25"/>
  <c r="DZ72" i="25"/>
  <c r="DY72" i="25"/>
  <c r="DU72" i="25"/>
  <c r="DS72" i="25"/>
  <c r="DQ72" i="25"/>
  <c r="DP72" i="25"/>
  <c r="DH72" i="25"/>
  <c r="DG72" i="25"/>
  <c r="DF72" i="25"/>
  <c r="CV72" i="25"/>
  <c r="CU72" i="25"/>
  <c r="CM72" i="25"/>
  <c r="CN72" i="25" s="1"/>
  <c r="CE72" i="25"/>
  <c r="CD72" i="25"/>
  <c r="CC72" i="25"/>
  <c r="CA72" i="25"/>
  <c r="BZ72" i="25"/>
  <c r="EH31" i="25"/>
  <c r="EG31" i="25"/>
  <c r="EF31" i="25"/>
  <c r="EC31" i="25"/>
  <c r="DO31" i="25" s="1"/>
  <c r="EB31" i="25"/>
  <c r="EA31" i="25"/>
  <c r="DZ31" i="25"/>
  <c r="DY31" i="25"/>
  <c r="DU31" i="25"/>
  <c r="DS31" i="25"/>
  <c r="DQ31" i="25"/>
  <c r="DP31" i="25"/>
  <c r="DH31" i="25"/>
  <c r="DG31" i="25"/>
  <c r="DF31" i="25"/>
  <c r="CV31" i="25"/>
  <c r="CU31" i="25"/>
  <c r="CM31" i="25"/>
  <c r="CN31" i="25" s="1"/>
  <c r="CE31" i="25"/>
  <c r="CD31" i="25"/>
  <c r="CC31" i="25"/>
  <c r="CA31" i="25"/>
  <c r="BZ31" i="25"/>
  <c r="EH71" i="25"/>
  <c r="EG71" i="25"/>
  <c r="EF71" i="25"/>
  <c r="EE71" i="25"/>
  <c r="ED71" i="25"/>
  <c r="EC71" i="25"/>
  <c r="DO71" i="25" s="1"/>
  <c r="EB71" i="25"/>
  <c r="EA71" i="25"/>
  <c r="DZ71" i="25"/>
  <c r="DY71" i="25"/>
  <c r="DU71" i="25"/>
  <c r="DS71" i="25"/>
  <c r="DQ71" i="25"/>
  <c r="DT71" i="25" s="1"/>
  <c r="DP71" i="25"/>
  <c r="DH71" i="25"/>
  <c r="DG71" i="25"/>
  <c r="DN71" i="25" s="1"/>
  <c r="DF71" i="25"/>
  <c r="CV71" i="25"/>
  <c r="CU71" i="25"/>
  <c r="CM71" i="25"/>
  <c r="CE71" i="25"/>
  <c r="CD71" i="25"/>
  <c r="CC71" i="25"/>
  <c r="CA71" i="25"/>
  <c r="BZ71" i="25"/>
  <c r="EH178" i="25"/>
  <c r="EG178" i="25"/>
  <c r="EF178" i="25"/>
  <c r="EE178" i="25"/>
  <c r="ED178" i="25"/>
  <c r="EC178" i="25"/>
  <c r="DO178" i="25" s="1"/>
  <c r="EB178" i="25"/>
  <c r="EA178" i="25"/>
  <c r="DZ178" i="25"/>
  <c r="DY178" i="25"/>
  <c r="DU178" i="25"/>
  <c r="DS178" i="25"/>
  <c r="DQ178" i="25"/>
  <c r="DT178" i="25" s="1"/>
  <c r="DP178" i="25"/>
  <c r="DH178" i="25"/>
  <c r="DG178" i="25"/>
  <c r="DF178" i="25"/>
  <c r="CV178" i="25"/>
  <c r="CU178" i="25"/>
  <c r="CM178" i="25"/>
  <c r="CN178" i="25" s="1"/>
  <c r="CE178" i="25"/>
  <c r="CD178" i="25"/>
  <c r="CC178" i="25"/>
  <c r="CA178" i="25"/>
  <c r="BZ178" i="25"/>
  <c r="EH69" i="25"/>
  <c r="EG69" i="25"/>
  <c r="EF69" i="25"/>
  <c r="EE69" i="25"/>
  <c r="ED69" i="25"/>
  <c r="EC69" i="25"/>
  <c r="DO69" i="25" s="1"/>
  <c r="EB69" i="25"/>
  <c r="EA69" i="25"/>
  <c r="DZ69" i="25"/>
  <c r="DY69" i="25"/>
  <c r="DU69" i="25"/>
  <c r="DS69" i="25"/>
  <c r="DQ69" i="25"/>
  <c r="DT69" i="25" s="1"/>
  <c r="DP69" i="25"/>
  <c r="DH69" i="25"/>
  <c r="DG69" i="25"/>
  <c r="DF69" i="25"/>
  <c r="CV69" i="25"/>
  <c r="CU69" i="25"/>
  <c r="CM69" i="25"/>
  <c r="CN69" i="25" s="1"/>
  <c r="CE69" i="25"/>
  <c r="CD69" i="25"/>
  <c r="CC69" i="25"/>
  <c r="CA69" i="25"/>
  <c r="BZ69" i="25"/>
  <c r="EG30" i="25"/>
  <c r="EF30" i="25"/>
  <c r="EE30" i="25"/>
  <c r="ED30" i="25"/>
  <c r="EC30" i="25"/>
  <c r="DO30" i="25" s="1"/>
  <c r="EB30" i="25"/>
  <c r="EA30" i="25"/>
  <c r="DZ30" i="25"/>
  <c r="DY30" i="25"/>
  <c r="DU30" i="25"/>
  <c r="DS30" i="25"/>
  <c r="DQ30" i="25"/>
  <c r="DT30" i="25" s="1"/>
  <c r="DP30" i="25"/>
  <c r="DH30" i="25"/>
  <c r="DG30" i="25"/>
  <c r="DN30" i="25" s="1"/>
  <c r="DF30" i="25"/>
  <c r="CV30" i="25"/>
  <c r="CU30" i="25"/>
  <c r="CM30" i="25"/>
  <c r="CE30" i="25"/>
  <c r="CD30" i="25"/>
  <c r="CC30" i="25"/>
  <c r="CA30" i="25"/>
  <c r="BZ30" i="25"/>
  <c r="EG29" i="25"/>
  <c r="EF29" i="25"/>
  <c r="EE29" i="25"/>
  <c r="ED29" i="25"/>
  <c r="EC29" i="25"/>
  <c r="DO29" i="25" s="1"/>
  <c r="EB29" i="25"/>
  <c r="EA29" i="25"/>
  <c r="DZ29" i="25"/>
  <c r="DY29" i="25"/>
  <c r="DU29" i="25"/>
  <c r="DS29" i="25"/>
  <c r="DQ29" i="25"/>
  <c r="DT29" i="25" s="1"/>
  <c r="DP29" i="25"/>
  <c r="DH29" i="25"/>
  <c r="DG29" i="25"/>
  <c r="DN29" i="25" s="1"/>
  <c r="DF29" i="25"/>
  <c r="CV29" i="25"/>
  <c r="CU29" i="25"/>
  <c r="CM29" i="25"/>
  <c r="CN29" i="25" s="1"/>
  <c r="CE29" i="25"/>
  <c r="CD29" i="25"/>
  <c r="CC29" i="25"/>
  <c r="CA29" i="25"/>
  <c r="BZ29" i="25"/>
  <c r="EH28" i="25"/>
  <c r="EG28" i="25"/>
  <c r="EF28" i="25"/>
  <c r="EE28" i="25"/>
  <c r="ED28" i="25"/>
  <c r="EC28" i="25"/>
  <c r="DO28" i="25" s="1"/>
  <c r="EB28" i="25"/>
  <c r="EA28" i="25"/>
  <c r="DZ28" i="25"/>
  <c r="DY28" i="25"/>
  <c r="DU28" i="25"/>
  <c r="DS28" i="25"/>
  <c r="DQ28" i="25"/>
  <c r="DT28" i="25" s="1"/>
  <c r="DP28" i="25"/>
  <c r="DH28" i="25"/>
  <c r="DG28" i="25"/>
  <c r="DN28" i="25" s="1"/>
  <c r="DF28" i="25"/>
  <c r="CV28" i="25"/>
  <c r="CU28" i="25"/>
  <c r="CM28" i="25"/>
  <c r="CN28" i="25" s="1"/>
  <c r="CE28" i="25"/>
  <c r="CD28" i="25"/>
  <c r="CC28" i="25"/>
  <c r="CA28" i="25"/>
  <c r="BZ28" i="25"/>
  <c r="EH27" i="25"/>
  <c r="EG27" i="25"/>
  <c r="EF27" i="25"/>
  <c r="EE27" i="25"/>
  <c r="ED27" i="25"/>
  <c r="EC27" i="25"/>
  <c r="DO27" i="25" s="1"/>
  <c r="EB27" i="25"/>
  <c r="EA27" i="25"/>
  <c r="DZ27" i="25"/>
  <c r="DY27" i="25"/>
  <c r="DU27" i="25"/>
  <c r="DS27" i="25"/>
  <c r="DQ27" i="25"/>
  <c r="DT27" i="25" s="1"/>
  <c r="DP27" i="25"/>
  <c r="DH27" i="25"/>
  <c r="DG27" i="25"/>
  <c r="DF27" i="25"/>
  <c r="CV27" i="25"/>
  <c r="CU27" i="25"/>
  <c r="CM27" i="25"/>
  <c r="CN27" i="25" s="1"/>
  <c r="CE27" i="25"/>
  <c r="CD27" i="25"/>
  <c r="CC27" i="25"/>
  <c r="CA27" i="25"/>
  <c r="BZ27" i="25"/>
  <c r="EH26" i="25"/>
  <c r="EG26" i="25"/>
  <c r="EF26" i="25"/>
  <c r="EE26" i="25"/>
  <c r="ED26" i="25"/>
  <c r="EC26" i="25"/>
  <c r="DO26" i="25" s="1"/>
  <c r="EB26" i="25"/>
  <c r="EA26" i="25"/>
  <c r="DZ26" i="25"/>
  <c r="DY26" i="25"/>
  <c r="DU26" i="25"/>
  <c r="DS26" i="25"/>
  <c r="DQ26" i="25"/>
  <c r="DR26" i="25" s="1"/>
  <c r="DP26" i="25"/>
  <c r="DH26" i="25"/>
  <c r="DG26" i="25"/>
  <c r="DN26" i="25" s="1"/>
  <c r="DF26" i="25"/>
  <c r="CV26" i="25"/>
  <c r="CU26" i="25"/>
  <c r="CM26" i="25"/>
  <c r="CN26" i="25" s="1"/>
  <c r="CE26" i="25"/>
  <c r="CD26" i="25"/>
  <c r="CC26" i="25"/>
  <c r="CA26" i="25"/>
  <c r="BZ26" i="25"/>
  <c r="EH25" i="25"/>
  <c r="EG25" i="25"/>
  <c r="EF25" i="25"/>
  <c r="EE25" i="25"/>
  <c r="ED25" i="25"/>
  <c r="EC25" i="25"/>
  <c r="DO25" i="25" s="1"/>
  <c r="EB25" i="25"/>
  <c r="EA25" i="25"/>
  <c r="DZ25" i="25"/>
  <c r="DY25" i="25"/>
  <c r="DU25" i="25"/>
  <c r="DS25" i="25"/>
  <c r="DQ25" i="25"/>
  <c r="DR25" i="25" s="1"/>
  <c r="DP25" i="25"/>
  <c r="DH25" i="25"/>
  <c r="DG25" i="25"/>
  <c r="DN25" i="25" s="1"/>
  <c r="DF25" i="25"/>
  <c r="CV25" i="25"/>
  <c r="CU25" i="25"/>
  <c r="CM25" i="25"/>
  <c r="CN25" i="25" s="1"/>
  <c r="CE25" i="25"/>
  <c r="CD25" i="25"/>
  <c r="CC25" i="25"/>
  <c r="CA25" i="25"/>
  <c r="BZ25" i="25"/>
  <c r="EH68" i="25"/>
  <c r="EG68" i="25"/>
  <c r="EF68" i="25"/>
  <c r="EE68" i="25"/>
  <c r="ED68" i="25"/>
  <c r="EC68" i="25"/>
  <c r="DO68" i="25" s="1"/>
  <c r="EB68" i="25"/>
  <c r="EA68" i="25"/>
  <c r="DZ68" i="25"/>
  <c r="DY68" i="25"/>
  <c r="DU68" i="25"/>
  <c r="DS68" i="25"/>
  <c r="DQ68" i="25"/>
  <c r="DP68" i="25"/>
  <c r="DH68" i="25"/>
  <c r="DG68" i="25"/>
  <c r="DN68" i="25" s="1"/>
  <c r="DF68" i="25"/>
  <c r="CV68" i="25"/>
  <c r="CU68" i="25"/>
  <c r="CM68" i="25"/>
  <c r="CE68" i="25"/>
  <c r="CD68" i="25"/>
  <c r="CC68" i="25"/>
  <c r="CA68" i="25"/>
  <c r="BZ68" i="25"/>
  <c r="EH24" i="25"/>
  <c r="EG24" i="25"/>
  <c r="EF24" i="25"/>
  <c r="EE24" i="25"/>
  <c r="ED24" i="25"/>
  <c r="EC24" i="25"/>
  <c r="DO24" i="25" s="1"/>
  <c r="EB24" i="25"/>
  <c r="EA24" i="25"/>
  <c r="DZ24" i="25"/>
  <c r="DY24" i="25"/>
  <c r="DU24" i="25"/>
  <c r="DS24" i="25"/>
  <c r="DQ24" i="25"/>
  <c r="DP24" i="25"/>
  <c r="DH24" i="25"/>
  <c r="DG24" i="25"/>
  <c r="DN24" i="25" s="1"/>
  <c r="DF24" i="25"/>
  <c r="CV24" i="25"/>
  <c r="CU24" i="25"/>
  <c r="CM24" i="25"/>
  <c r="CE24" i="25"/>
  <c r="CD24" i="25"/>
  <c r="CC24" i="25"/>
  <c r="CA24" i="25"/>
  <c r="BZ24" i="25"/>
  <c r="EH177" i="25"/>
  <c r="EG177" i="25"/>
  <c r="EF177" i="25"/>
  <c r="EE177" i="25"/>
  <c r="ED177" i="25"/>
  <c r="EC177" i="25"/>
  <c r="DO177" i="25" s="1"/>
  <c r="EB177" i="25"/>
  <c r="EA177" i="25"/>
  <c r="DZ177" i="25"/>
  <c r="DY177" i="25"/>
  <c r="DU177" i="25"/>
  <c r="DS177" i="25"/>
  <c r="DQ177" i="25"/>
  <c r="DP177" i="25"/>
  <c r="DH177" i="25"/>
  <c r="DG177" i="25"/>
  <c r="DN177" i="25" s="1"/>
  <c r="DF177" i="25"/>
  <c r="CV177" i="25"/>
  <c r="CU177" i="25"/>
  <c r="CM177" i="25"/>
  <c r="CE177" i="25"/>
  <c r="CD177" i="25"/>
  <c r="CC177" i="25"/>
  <c r="CA177" i="25"/>
  <c r="BZ177" i="25"/>
  <c r="EH144" i="25"/>
  <c r="EG144" i="25"/>
  <c r="EF144" i="25"/>
  <c r="EE144" i="25"/>
  <c r="ED144" i="25"/>
  <c r="EC144" i="25"/>
  <c r="DO144" i="25" s="1"/>
  <c r="EB144" i="25"/>
  <c r="EA144" i="25"/>
  <c r="DZ144" i="25"/>
  <c r="DY144" i="25"/>
  <c r="DU144" i="25"/>
  <c r="DS144" i="25"/>
  <c r="DQ144" i="25"/>
  <c r="DP144" i="25"/>
  <c r="DH144" i="25"/>
  <c r="DG144" i="25"/>
  <c r="DN144" i="25" s="1"/>
  <c r="DF144" i="25"/>
  <c r="CV144" i="25"/>
  <c r="CU144" i="25"/>
  <c r="CM144" i="25"/>
  <c r="CE144" i="25"/>
  <c r="CD144" i="25"/>
  <c r="CC144" i="25"/>
  <c r="CA144" i="25"/>
  <c r="BZ144" i="25"/>
  <c r="EH23" i="25"/>
  <c r="EG23" i="25"/>
  <c r="EF23" i="25"/>
  <c r="EE23" i="25"/>
  <c r="ED23" i="25"/>
  <c r="EC23" i="25"/>
  <c r="DO23" i="25" s="1"/>
  <c r="EB23" i="25"/>
  <c r="EA23" i="25"/>
  <c r="DZ23" i="25"/>
  <c r="DY23" i="25"/>
  <c r="DU23" i="25"/>
  <c r="DS23" i="25"/>
  <c r="DQ23" i="25"/>
  <c r="DR23" i="25" s="1"/>
  <c r="DP23" i="25"/>
  <c r="DH23" i="25"/>
  <c r="DG23" i="25"/>
  <c r="DN23" i="25" s="1"/>
  <c r="DF23" i="25"/>
  <c r="CV23" i="25"/>
  <c r="CU23" i="25"/>
  <c r="CM23" i="25"/>
  <c r="CN23" i="25" s="1"/>
  <c r="CE23" i="25"/>
  <c r="CD23" i="25"/>
  <c r="CC23" i="25"/>
  <c r="CA23" i="25"/>
  <c r="BZ23" i="25"/>
  <c r="EH22" i="25"/>
  <c r="EG22" i="25"/>
  <c r="EF22" i="25"/>
  <c r="EE22" i="25"/>
  <c r="ED22" i="25"/>
  <c r="EC22" i="25"/>
  <c r="DO22" i="25" s="1"/>
  <c r="EB22" i="25"/>
  <c r="EA22" i="25"/>
  <c r="DZ22" i="25"/>
  <c r="DY22" i="25"/>
  <c r="DU22" i="25"/>
  <c r="DS22" i="25"/>
  <c r="DQ22" i="25"/>
  <c r="DR22" i="25" s="1"/>
  <c r="DP22" i="25"/>
  <c r="DH22" i="25"/>
  <c r="DG22" i="25"/>
  <c r="DN22" i="25" s="1"/>
  <c r="DF22" i="25"/>
  <c r="CV22" i="25"/>
  <c r="CU22" i="25"/>
  <c r="CM22" i="25"/>
  <c r="CN22" i="25" s="1"/>
  <c r="CE22" i="25"/>
  <c r="CD22" i="25"/>
  <c r="CC22" i="25"/>
  <c r="CA22" i="25"/>
  <c r="BZ22" i="25"/>
  <c r="EH202" i="25"/>
  <c r="EG202" i="25"/>
  <c r="EF202" i="25"/>
  <c r="EE202" i="25"/>
  <c r="ED202" i="25"/>
  <c r="EC202" i="25"/>
  <c r="DO202" i="25" s="1"/>
  <c r="EB202" i="25"/>
  <c r="EA202" i="25"/>
  <c r="DZ202" i="25"/>
  <c r="DY202" i="25"/>
  <c r="DU202" i="25"/>
  <c r="DS202" i="25"/>
  <c r="DQ202" i="25"/>
  <c r="DR202" i="25" s="1"/>
  <c r="DP202" i="25"/>
  <c r="DH202" i="25"/>
  <c r="DG202" i="25"/>
  <c r="DF202" i="25"/>
  <c r="CV202" i="25"/>
  <c r="CU202" i="25"/>
  <c r="CM202" i="25"/>
  <c r="CE202" i="25"/>
  <c r="CD202" i="25"/>
  <c r="CC202" i="25"/>
  <c r="CA202" i="25"/>
  <c r="BZ202" i="25"/>
  <c r="EH206" i="25"/>
  <c r="EG206" i="25"/>
  <c r="EF206" i="25"/>
  <c r="EE206" i="25"/>
  <c r="ED206" i="25"/>
  <c r="EC206" i="25"/>
  <c r="DO206" i="25" s="1"/>
  <c r="EB206" i="25"/>
  <c r="EA206" i="25"/>
  <c r="DZ206" i="25"/>
  <c r="DY206" i="25"/>
  <c r="DU206" i="25"/>
  <c r="DS206" i="25"/>
  <c r="DQ206" i="25"/>
  <c r="DR206" i="25" s="1"/>
  <c r="DP206" i="25"/>
  <c r="DH206" i="25"/>
  <c r="DG206" i="25"/>
  <c r="DN206" i="25" s="1"/>
  <c r="DF206" i="25"/>
  <c r="CV206" i="25"/>
  <c r="CU206" i="25"/>
  <c r="CM206" i="25"/>
  <c r="CE206" i="25"/>
  <c r="CD206" i="25"/>
  <c r="CC206" i="25"/>
  <c r="CA206" i="25"/>
  <c r="BZ206" i="25"/>
  <c r="EH201" i="25"/>
  <c r="EG201" i="25"/>
  <c r="EF201" i="25"/>
  <c r="EE201" i="25"/>
  <c r="ED201" i="25"/>
  <c r="EC201" i="25"/>
  <c r="DO201" i="25" s="1"/>
  <c r="EB201" i="25"/>
  <c r="EA201" i="25"/>
  <c r="DZ201" i="25"/>
  <c r="DY201" i="25"/>
  <c r="DU201" i="25"/>
  <c r="DS201" i="25"/>
  <c r="DQ201" i="25"/>
  <c r="DT201" i="25" s="1"/>
  <c r="DP201" i="25"/>
  <c r="DH201" i="25"/>
  <c r="DG201" i="25"/>
  <c r="DN201" i="25" s="1"/>
  <c r="DF201" i="25"/>
  <c r="CV201" i="25"/>
  <c r="CU201" i="25"/>
  <c r="CM201" i="25"/>
  <c r="CN201" i="25" s="1"/>
  <c r="CE201" i="25"/>
  <c r="CD201" i="25"/>
  <c r="CC201" i="25"/>
  <c r="CA201" i="25"/>
  <c r="BZ201" i="25"/>
  <c r="EH205" i="25"/>
  <c r="EG205" i="25"/>
  <c r="EF205" i="25"/>
  <c r="EE205" i="25"/>
  <c r="ED205" i="25"/>
  <c r="EC205" i="25"/>
  <c r="DO205" i="25" s="1"/>
  <c r="EB205" i="25"/>
  <c r="EA205" i="25"/>
  <c r="DZ205" i="25"/>
  <c r="DY205" i="25"/>
  <c r="DU205" i="25"/>
  <c r="DS205" i="25"/>
  <c r="DQ205" i="25"/>
  <c r="DR205" i="25" s="1"/>
  <c r="DP205" i="25"/>
  <c r="DH205" i="25"/>
  <c r="DG205" i="25"/>
  <c r="DN205" i="25" s="1"/>
  <c r="DF205" i="25"/>
  <c r="CV205" i="25"/>
  <c r="CU205" i="25"/>
  <c r="CM205" i="25"/>
  <c r="CN205" i="25" s="1"/>
  <c r="CE205" i="25"/>
  <c r="CD205" i="25"/>
  <c r="CC205" i="25"/>
  <c r="CA205" i="25"/>
  <c r="BZ205" i="25"/>
  <c r="EH151" i="25"/>
  <c r="EG151" i="25"/>
  <c r="EF151" i="25"/>
  <c r="EE151" i="25"/>
  <c r="ED151" i="25"/>
  <c r="EC151" i="25"/>
  <c r="DO151" i="25" s="1"/>
  <c r="EB151" i="25"/>
  <c r="EA151" i="25"/>
  <c r="DZ151" i="25"/>
  <c r="DY151" i="25"/>
  <c r="DU151" i="25"/>
  <c r="DS151" i="25"/>
  <c r="DQ151" i="25"/>
  <c r="DR151" i="25" s="1"/>
  <c r="DP151" i="25"/>
  <c r="DH151" i="25"/>
  <c r="DG151" i="25"/>
  <c r="DF151" i="25"/>
  <c r="CV151" i="25"/>
  <c r="CU151" i="25"/>
  <c r="CM151" i="25"/>
  <c r="CN151" i="25" s="1"/>
  <c r="CE151" i="25"/>
  <c r="CD151" i="25"/>
  <c r="CC151" i="25"/>
  <c r="CA151" i="25"/>
  <c r="BZ151" i="25"/>
  <c r="EH149" i="25"/>
  <c r="EG149" i="25"/>
  <c r="EF149" i="25"/>
  <c r="EE149" i="25"/>
  <c r="ED149" i="25"/>
  <c r="EC149" i="25"/>
  <c r="DO149" i="25" s="1"/>
  <c r="EB149" i="25"/>
  <c r="EA149" i="25"/>
  <c r="DZ149" i="25"/>
  <c r="DY149" i="25"/>
  <c r="DU149" i="25"/>
  <c r="DS149" i="25"/>
  <c r="DQ149" i="25"/>
  <c r="DR149" i="25" s="1"/>
  <c r="DP149" i="25"/>
  <c r="DH149" i="25"/>
  <c r="DG149" i="25"/>
  <c r="DF149" i="25"/>
  <c r="CV149" i="25"/>
  <c r="CU149" i="25"/>
  <c r="CM149" i="25"/>
  <c r="CN149" i="25" s="1"/>
  <c r="CE149" i="25"/>
  <c r="CD149" i="25"/>
  <c r="CC149" i="25"/>
  <c r="CA149" i="25"/>
  <c r="BZ149" i="25"/>
  <c r="EH120" i="25"/>
  <c r="EG120" i="25"/>
  <c r="EF120" i="25"/>
  <c r="EE120" i="25"/>
  <c r="ED120" i="25"/>
  <c r="EC120" i="25"/>
  <c r="DO120" i="25" s="1"/>
  <c r="EB120" i="25"/>
  <c r="EA120" i="25"/>
  <c r="DZ120" i="25"/>
  <c r="DY120" i="25"/>
  <c r="DU120" i="25"/>
  <c r="DS120" i="25"/>
  <c r="DQ120" i="25"/>
  <c r="DT120" i="25" s="1"/>
  <c r="DP120" i="25"/>
  <c r="DH120" i="25"/>
  <c r="DG120" i="25"/>
  <c r="DF120" i="25"/>
  <c r="CV120" i="25"/>
  <c r="CU120" i="25"/>
  <c r="CM120" i="25"/>
  <c r="CN120" i="25" s="1"/>
  <c r="CE120" i="25"/>
  <c r="CD120" i="25"/>
  <c r="CC120" i="25"/>
  <c r="CA120" i="25"/>
  <c r="BZ120" i="25"/>
  <c r="EH112" i="25"/>
  <c r="EG112" i="25"/>
  <c r="EF112" i="25"/>
  <c r="EE112" i="25"/>
  <c r="ED112" i="25"/>
  <c r="EC112" i="25"/>
  <c r="DO112" i="25" s="1"/>
  <c r="EB112" i="25"/>
  <c r="EA112" i="25"/>
  <c r="DZ112" i="25"/>
  <c r="DY112" i="25"/>
  <c r="DU112" i="25"/>
  <c r="DS112" i="25"/>
  <c r="DQ112" i="25"/>
  <c r="DT112" i="25" s="1"/>
  <c r="DP112" i="25"/>
  <c r="DH112" i="25"/>
  <c r="DG112" i="25"/>
  <c r="DF112" i="25"/>
  <c r="CV112" i="25"/>
  <c r="CU112" i="25"/>
  <c r="CM112" i="25"/>
  <c r="CN112" i="25" s="1"/>
  <c r="CE112" i="25"/>
  <c r="CD112" i="25"/>
  <c r="CC112" i="25"/>
  <c r="CA112" i="25"/>
  <c r="BZ112" i="25"/>
  <c r="EH200" i="25"/>
  <c r="EG200" i="25"/>
  <c r="EF200" i="25"/>
  <c r="EE200" i="25"/>
  <c r="ED200" i="25"/>
  <c r="EC200" i="25"/>
  <c r="DO200" i="25" s="1"/>
  <c r="EB200" i="25"/>
  <c r="EA200" i="25"/>
  <c r="DZ200" i="25"/>
  <c r="DY200" i="25"/>
  <c r="DU200" i="25"/>
  <c r="DS200" i="25"/>
  <c r="DQ200" i="25"/>
  <c r="DR200" i="25" s="1"/>
  <c r="DP200" i="25"/>
  <c r="DH200" i="25"/>
  <c r="DG200" i="25"/>
  <c r="DF200" i="25"/>
  <c r="CV200" i="25"/>
  <c r="CU200" i="25"/>
  <c r="CM200" i="25"/>
  <c r="CN200" i="25" s="1"/>
  <c r="CE200" i="25"/>
  <c r="CD200" i="25"/>
  <c r="CC200" i="25"/>
  <c r="CA200" i="25"/>
  <c r="BZ200" i="25"/>
  <c r="EH106" i="25"/>
  <c r="EG106" i="25"/>
  <c r="EF106" i="25"/>
  <c r="EE106" i="25"/>
  <c r="ED106" i="25"/>
  <c r="EC106" i="25"/>
  <c r="DO106" i="25" s="1"/>
  <c r="EB106" i="25"/>
  <c r="EA106" i="25"/>
  <c r="DZ106" i="25"/>
  <c r="DY106" i="25"/>
  <c r="DU106" i="25"/>
  <c r="DS106" i="25"/>
  <c r="DQ106" i="25"/>
  <c r="DR106" i="25" s="1"/>
  <c r="DP106" i="25"/>
  <c r="DH106" i="25"/>
  <c r="DG106" i="25"/>
  <c r="DF106" i="25"/>
  <c r="CV106" i="25"/>
  <c r="CU106" i="25"/>
  <c r="CM106" i="25"/>
  <c r="CN106" i="25" s="1"/>
  <c r="CE106" i="25"/>
  <c r="CD106" i="25"/>
  <c r="CC106" i="25"/>
  <c r="CA106" i="25"/>
  <c r="BZ106" i="25"/>
  <c r="EH199" i="25"/>
  <c r="EG199" i="25"/>
  <c r="EF199" i="25"/>
  <c r="EE199" i="25"/>
  <c r="ED199" i="25"/>
  <c r="EC199" i="25"/>
  <c r="DO199" i="25" s="1"/>
  <c r="EB199" i="25"/>
  <c r="EA199" i="25"/>
  <c r="DZ199" i="25"/>
  <c r="DY199" i="25"/>
  <c r="DU199" i="25"/>
  <c r="DS199" i="25"/>
  <c r="DQ199" i="25"/>
  <c r="DT199" i="25" s="1"/>
  <c r="DP199" i="25"/>
  <c r="DH199" i="25"/>
  <c r="DG199" i="25"/>
  <c r="DF199" i="25"/>
  <c r="CV199" i="25"/>
  <c r="CU199" i="25"/>
  <c r="CM199" i="25"/>
  <c r="CN199" i="25" s="1"/>
  <c r="CE199" i="25"/>
  <c r="CD199" i="25"/>
  <c r="CC199" i="25"/>
  <c r="CA199" i="25"/>
  <c r="BZ199" i="25"/>
  <c r="EH198" i="25"/>
  <c r="EG198" i="25"/>
  <c r="EF198" i="25"/>
  <c r="EE198" i="25"/>
  <c r="ED198" i="25"/>
  <c r="EC198" i="25"/>
  <c r="DO198" i="25" s="1"/>
  <c r="EB198" i="25"/>
  <c r="EA198" i="25"/>
  <c r="DZ198" i="25"/>
  <c r="DY198" i="25"/>
  <c r="DU198" i="25"/>
  <c r="DS198" i="25"/>
  <c r="DQ198" i="25"/>
  <c r="DT198" i="25" s="1"/>
  <c r="DP198" i="25"/>
  <c r="DH198" i="25"/>
  <c r="DG198" i="25"/>
  <c r="DF198" i="25"/>
  <c r="CV198" i="25"/>
  <c r="CU198" i="25"/>
  <c r="CM198" i="25"/>
  <c r="CN198" i="25" s="1"/>
  <c r="CE198" i="25"/>
  <c r="CD198" i="25"/>
  <c r="CC198" i="25"/>
  <c r="CA198" i="25"/>
  <c r="BZ198" i="25"/>
  <c r="EH197" i="25"/>
  <c r="EG197" i="25"/>
  <c r="EF197" i="25"/>
  <c r="EE197" i="25"/>
  <c r="ED197" i="25"/>
  <c r="EC197" i="25"/>
  <c r="DO197" i="25" s="1"/>
  <c r="EB197" i="25"/>
  <c r="EA197" i="25"/>
  <c r="DZ197" i="25"/>
  <c r="DY197" i="25"/>
  <c r="DU197" i="25"/>
  <c r="DS197" i="25"/>
  <c r="DQ197" i="25"/>
  <c r="DR197" i="25" s="1"/>
  <c r="DP197" i="25"/>
  <c r="DH197" i="25"/>
  <c r="DG197" i="25"/>
  <c r="DF197" i="25"/>
  <c r="CV197" i="25"/>
  <c r="CU197" i="25"/>
  <c r="CM197" i="25"/>
  <c r="CN197" i="25" s="1"/>
  <c r="CE197" i="25"/>
  <c r="CD197" i="25"/>
  <c r="CC197" i="25"/>
  <c r="CA197" i="25"/>
  <c r="BZ197" i="25"/>
  <c r="EH196" i="25"/>
  <c r="EG196" i="25"/>
  <c r="EF196" i="25"/>
  <c r="EE196" i="25"/>
  <c r="ED196" i="25"/>
  <c r="EC196" i="25"/>
  <c r="DO196" i="25" s="1"/>
  <c r="EB196" i="25"/>
  <c r="EA196" i="25"/>
  <c r="DZ196" i="25"/>
  <c r="DY196" i="25"/>
  <c r="DU196" i="25"/>
  <c r="DS196" i="25"/>
  <c r="DQ196" i="25"/>
  <c r="DR196" i="25" s="1"/>
  <c r="DP196" i="25"/>
  <c r="DH196" i="25"/>
  <c r="DG196" i="25"/>
  <c r="DF196" i="25"/>
  <c r="CV196" i="25"/>
  <c r="CU196" i="25"/>
  <c r="CM196" i="25"/>
  <c r="CN196" i="25" s="1"/>
  <c r="CE196" i="25"/>
  <c r="CD196" i="25"/>
  <c r="CC196" i="25"/>
  <c r="CA196" i="25"/>
  <c r="BZ196" i="25"/>
  <c r="EH195" i="25"/>
  <c r="EG195" i="25"/>
  <c r="EF195" i="25"/>
  <c r="EE195" i="25"/>
  <c r="ED195" i="25"/>
  <c r="EC195" i="25"/>
  <c r="DO195" i="25" s="1"/>
  <c r="EB195" i="25"/>
  <c r="EA195" i="25"/>
  <c r="DZ195" i="25"/>
  <c r="DY195" i="25"/>
  <c r="DU195" i="25"/>
  <c r="DS195" i="25"/>
  <c r="DQ195" i="25"/>
  <c r="DR195" i="25" s="1"/>
  <c r="DP195" i="25"/>
  <c r="DH195" i="25"/>
  <c r="DG195" i="25"/>
  <c r="DF195" i="25"/>
  <c r="CV195" i="25"/>
  <c r="CU195" i="25"/>
  <c r="CM195" i="25"/>
  <c r="CN195" i="25" s="1"/>
  <c r="CE195" i="25"/>
  <c r="CD195" i="25"/>
  <c r="CC195" i="25"/>
  <c r="CA195" i="25"/>
  <c r="BZ195" i="25"/>
  <c r="EH142" i="25"/>
  <c r="EG142" i="25"/>
  <c r="EF142" i="25"/>
  <c r="EE142" i="25"/>
  <c r="ED142" i="25"/>
  <c r="EC142" i="25"/>
  <c r="DO142" i="25" s="1"/>
  <c r="EB142" i="25"/>
  <c r="EA142" i="25"/>
  <c r="DZ142" i="25"/>
  <c r="DY142" i="25"/>
  <c r="DU142" i="25"/>
  <c r="DS142" i="25"/>
  <c r="DQ142" i="25"/>
  <c r="DR142" i="25" s="1"/>
  <c r="DP142" i="25"/>
  <c r="DH142" i="25"/>
  <c r="DG142" i="25"/>
  <c r="DF142" i="25"/>
  <c r="CV142" i="25"/>
  <c r="CU142" i="25"/>
  <c r="CM142" i="25"/>
  <c r="CN142" i="25" s="1"/>
  <c r="CE142" i="25"/>
  <c r="CD142" i="25"/>
  <c r="CC142" i="25"/>
  <c r="CA142" i="25"/>
  <c r="BZ142" i="25"/>
  <c r="EH103" i="25"/>
  <c r="EG103" i="25"/>
  <c r="EF103" i="25"/>
  <c r="EE103" i="25"/>
  <c r="ED103" i="25"/>
  <c r="EC103" i="25"/>
  <c r="DO103" i="25" s="1"/>
  <c r="EB103" i="25"/>
  <c r="EA103" i="25"/>
  <c r="DZ103" i="25"/>
  <c r="DY103" i="25"/>
  <c r="DU103" i="25"/>
  <c r="DS103" i="25"/>
  <c r="DQ103" i="25"/>
  <c r="DT103" i="25" s="1"/>
  <c r="DP103" i="25"/>
  <c r="DH103" i="25"/>
  <c r="DG103" i="25"/>
  <c r="DF103" i="25"/>
  <c r="CV103" i="25"/>
  <c r="CU103" i="25"/>
  <c r="CM103" i="25"/>
  <c r="CN103" i="25" s="1"/>
  <c r="CE103" i="25"/>
  <c r="CD103" i="25"/>
  <c r="CC103" i="25"/>
  <c r="CA103" i="25"/>
  <c r="BZ103" i="25"/>
  <c r="EH101" i="25"/>
  <c r="EG101" i="25"/>
  <c r="EF101" i="25"/>
  <c r="EE101" i="25"/>
  <c r="ED101" i="25"/>
  <c r="EC101" i="25"/>
  <c r="DO101" i="25" s="1"/>
  <c r="EB101" i="25"/>
  <c r="EA101" i="25"/>
  <c r="DZ101" i="25"/>
  <c r="DY101" i="25"/>
  <c r="DU101" i="25"/>
  <c r="DS101" i="25"/>
  <c r="DQ101" i="25"/>
  <c r="DR101" i="25" s="1"/>
  <c r="DP101" i="25"/>
  <c r="DH101" i="25"/>
  <c r="DG101" i="25"/>
  <c r="DF101" i="25"/>
  <c r="CV101" i="25"/>
  <c r="CU101" i="25"/>
  <c r="CM101" i="25"/>
  <c r="CN101" i="25" s="1"/>
  <c r="CE101" i="25"/>
  <c r="CD101" i="25"/>
  <c r="CC101" i="25"/>
  <c r="CA101" i="25"/>
  <c r="BZ101" i="25"/>
  <c r="EH194" i="25"/>
  <c r="EG194" i="25"/>
  <c r="EF194" i="25"/>
  <c r="EE194" i="25"/>
  <c r="ED194" i="25"/>
  <c r="EC194" i="25"/>
  <c r="DO194" i="25" s="1"/>
  <c r="EB194" i="25"/>
  <c r="EA194" i="25"/>
  <c r="DZ194" i="25"/>
  <c r="DY194" i="25"/>
  <c r="DU194" i="25"/>
  <c r="DS194" i="25"/>
  <c r="DQ194" i="25"/>
  <c r="DR194" i="25" s="1"/>
  <c r="DP194" i="25"/>
  <c r="DH194" i="25"/>
  <c r="DG194" i="25"/>
  <c r="DF194" i="25"/>
  <c r="CV194" i="25"/>
  <c r="CU194" i="25"/>
  <c r="CM194" i="25"/>
  <c r="CN194" i="25" s="1"/>
  <c r="CE194" i="25"/>
  <c r="CD194" i="25"/>
  <c r="CC194" i="25"/>
  <c r="CA194" i="25"/>
  <c r="BZ194" i="25"/>
  <c r="EG192" i="25"/>
  <c r="EF192" i="25"/>
  <c r="EE192" i="25"/>
  <c r="ED192" i="25"/>
  <c r="EC192" i="25"/>
  <c r="DO192" i="25" s="1"/>
  <c r="EB192" i="25"/>
  <c r="EA192" i="25"/>
  <c r="DZ192" i="25"/>
  <c r="DY192" i="25"/>
  <c r="DU192" i="25"/>
  <c r="DS192" i="25"/>
  <c r="DQ192" i="25"/>
  <c r="DR192" i="25" s="1"/>
  <c r="DP192" i="25"/>
  <c r="DH192" i="25"/>
  <c r="DG192" i="25"/>
  <c r="DF192" i="25"/>
  <c r="CV192" i="25"/>
  <c r="CU192" i="25"/>
  <c r="CM192" i="25"/>
  <c r="CN192" i="25" s="1"/>
  <c r="CE192" i="25"/>
  <c r="CD192" i="25"/>
  <c r="CC192" i="25"/>
  <c r="CA192" i="25"/>
  <c r="BZ192" i="25"/>
  <c r="EH100" i="25"/>
  <c r="EG100" i="25"/>
  <c r="EF100" i="25"/>
  <c r="EE100" i="25"/>
  <c r="ED100" i="25"/>
  <c r="EC100" i="25"/>
  <c r="DO100" i="25" s="1"/>
  <c r="EB100" i="25"/>
  <c r="EA100" i="25"/>
  <c r="DZ100" i="25"/>
  <c r="DY100" i="25"/>
  <c r="DU100" i="25"/>
  <c r="DS100" i="25"/>
  <c r="DQ100" i="25"/>
  <c r="DR100" i="25" s="1"/>
  <c r="DP100" i="25"/>
  <c r="DH100" i="25"/>
  <c r="DG100" i="25"/>
  <c r="DN100" i="25" s="1"/>
  <c r="DF100" i="25"/>
  <c r="CV100" i="25"/>
  <c r="CU100" i="25"/>
  <c r="CM100" i="25"/>
  <c r="CN100" i="25" s="1"/>
  <c r="CE100" i="25"/>
  <c r="CD100" i="25"/>
  <c r="CC100" i="25"/>
  <c r="CA100" i="25"/>
  <c r="BZ100" i="25"/>
  <c r="EH67" i="25"/>
  <c r="EG67" i="25"/>
  <c r="EF67" i="25"/>
  <c r="EE67" i="25"/>
  <c r="ED67" i="25"/>
  <c r="EC67" i="25"/>
  <c r="DO67" i="25" s="1"/>
  <c r="EB67" i="25"/>
  <c r="EA67" i="25"/>
  <c r="DZ67" i="25"/>
  <c r="DY67" i="25"/>
  <c r="DU67" i="25"/>
  <c r="DS67" i="25"/>
  <c r="DQ67" i="25"/>
  <c r="DR67" i="25" s="1"/>
  <c r="DP67" i="25"/>
  <c r="DH67" i="25"/>
  <c r="DG67" i="25"/>
  <c r="DF67" i="25"/>
  <c r="CV67" i="25"/>
  <c r="CU67" i="25"/>
  <c r="CM67" i="25"/>
  <c r="CN67" i="25" s="1"/>
  <c r="CE67" i="25"/>
  <c r="CD67" i="25"/>
  <c r="CC67" i="25"/>
  <c r="CA67" i="25"/>
  <c r="BZ67" i="25"/>
  <c r="EH99" i="25"/>
  <c r="EG99" i="25"/>
  <c r="EF99" i="25"/>
  <c r="EE99" i="25"/>
  <c r="ED99" i="25"/>
  <c r="EC99" i="25"/>
  <c r="DO99" i="25" s="1"/>
  <c r="EB99" i="25"/>
  <c r="EA99" i="25"/>
  <c r="DZ99" i="25"/>
  <c r="DY99" i="25"/>
  <c r="DU99" i="25"/>
  <c r="DS99" i="25"/>
  <c r="DQ99" i="25"/>
  <c r="DP99" i="25"/>
  <c r="DH99" i="25"/>
  <c r="DG99" i="25"/>
  <c r="DF99" i="25"/>
  <c r="CV99" i="25"/>
  <c r="CU99" i="25"/>
  <c r="CM99" i="25"/>
  <c r="CN99" i="25" s="1"/>
  <c r="CE99" i="25"/>
  <c r="CD99" i="25"/>
  <c r="CC99" i="25"/>
  <c r="CA99" i="25"/>
  <c r="BZ99" i="25"/>
  <c r="EH66" i="25"/>
  <c r="EG66" i="25"/>
  <c r="EF66" i="25"/>
  <c r="EC66" i="25"/>
  <c r="DO66" i="25" s="1"/>
  <c r="EB66" i="25"/>
  <c r="EA66" i="25"/>
  <c r="DZ66" i="25"/>
  <c r="DY66" i="25"/>
  <c r="DU66" i="25"/>
  <c r="DS66" i="25"/>
  <c r="DQ66" i="25"/>
  <c r="DP66" i="25"/>
  <c r="DH66" i="25"/>
  <c r="DG66" i="25"/>
  <c r="DN66" i="25" s="1"/>
  <c r="DF66" i="25"/>
  <c r="CV66" i="25"/>
  <c r="CU66" i="25"/>
  <c r="CM66" i="25"/>
  <c r="CE66" i="25"/>
  <c r="CD66" i="25"/>
  <c r="CC66" i="25"/>
  <c r="CA66" i="25"/>
  <c r="BZ66" i="25"/>
  <c r="EH21" i="25"/>
  <c r="EG21" i="25"/>
  <c r="EF21" i="25"/>
  <c r="EE21" i="25"/>
  <c r="ED21" i="25"/>
  <c r="EC21" i="25"/>
  <c r="DO21" i="25" s="1"/>
  <c r="EB21" i="25"/>
  <c r="EA21" i="25"/>
  <c r="DZ21" i="25"/>
  <c r="DY21" i="25"/>
  <c r="DU21" i="25"/>
  <c r="DS21" i="25"/>
  <c r="DQ21" i="25"/>
  <c r="DP21" i="25"/>
  <c r="DH21" i="25"/>
  <c r="DG21" i="25"/>
  <c r="DN21" i="25" s="1"/>
  <c r="DF21" i="25"/>
  <c r="CV21" i="25"/>
  <c r="CU21" i="25"/>
  <c r="CM21" i="25"/>
  <c r="CN21" i="25" s="1"/>
  <c r="CE21" i="25"/>
  <c r="CD21" i="25"/>
  <c r="CC21" i="25"/>
  <c r="CA21" i="25"/>
  <c r="BZ21" i="25"/>
  <c r="EH148" i="25"/>
  <c r="EG148" i="25"/>
  <c r="EF148" i="25"/>
  <c r="EE148" i="25"/>
  <c r="ED148" i="25"/>
  <c r="EC148" i="25"/>
  <c r="DO148" i="25" s="1"/>
  <c r="EB148" i="25"/>
  <c r="EA148" i="25"/>
  <c r="DZ148" i="25"/>
  <c r="DY148" i="25"/>
  <c r="DU148" i="25"/>
  <c r="DS148" i="25"/>
  <c r="DQ148" i="25"/>
  <c r="DP148" i="25"/>
  <c r="DH148" i="25"/>
  <c r="DG148" i="25"/>
  <c r="DF148" i="25"/>
  <c r="CV148" i="25"/>
  <c r="CU148" i="25"/>
  <c r="CM148" i="25"/>
  <c r="CN148" i="25" s="1"/>
  <c r="CE148" i="25"/>
  <c r="CD148" i="25"/>
  <c r="CC148" i="25"/>
  <c r="CA148" i="25"/>
  <c r="BZ148" i="25"/>
  <c r="EH20" i="25"/>
  <c r="EG20" i="25"/>
  <c r="EF20" i="25"/>
  <c r="EE20" i="25"/>
  <c r="ED20" i="25"/>
  <c r="EC20" i="25"/>
  <c r="DO20" i="25" s="1"/>
  <c r="EB20" i="25"/>
  <c r="EA20" i="25"/>
  <c r="DZ20" i="25"/>
  <c r="DY20" i="25"/>
  <c r="DU20" i="25"/>
  <c r="DS20" i="25"/>
  <c r="DQ20" i="25"/>
  <c r="DP20" i="25"/>
  <c r="DH20" i="25"/>
  <c r="DG20" i="25"/>
  <c r="DF20" i="25"/>
  <c r="CV20" i="25"/>
  <c r="CU20" i="25"/>
  <c r="CM20" i="25"/>
  <c r="CN20" i="25" s="1"/>
  <c r="CE20" i="25"/>
  <c r="CD20" i="25"/>
  <c r="CC20" i="25"/>
  <c r="CA20" i="25"/>
  <c r="BZ20" i="25"/>
  <c r="EH139" i="25"/>
  <c r="EG139" i="25"/>
  <c r="EF139" i="25"/>
  <c r="EE139" i="25"/>
  <c r="ED139" i="25"/>
  <c r="EC139" i="25"/>
  <c r="DO139" i="25" s="1"/>
  <c r="EB139" i="25"/>
  <c r="EA139" i="25"/>
  <c r="DZ139" i="25"/>
  <c r="DY139" i="25"/>
  <c r="DU139" i="25"/>
  <c r="DS139" i="25"/>
  <c r="DQ139" i="25"/>
  <c r="DP139" i="25"/>
  <c r="DH139" i="25"/>
  <c r="DG139" i="25"/>
  <c r="DF139" i="25"/>
  <c r="CV139" i="25"/>
  <c r="CU139" i="25"/>
  <c r="CM139" i="25"/>
  <c r="CN139" i="25" s="1"/>
  <c r="CE139" i="25"/>
  <c r="CD139" i="25"/>
  <c r="CC139" i="25"/>
  <c r="CA139" i="25"/>
  <c r="BZ139" i="25"/>
  <c r="EH19" i="25"/>
  <c r="EG19" i="25"/>
  <c r="EF19" i="25"/>
  <c r="EE19" i="25"/>
  <c r="ED19" i="25"/>
  <c r="EC19" i="25"/>
  <c r="DO19" i="25" s="1"/>
  <c r="EB19" i="25"/>
  <c r="EA19" i="25"/>
  <c r="DZ19" i="25"/>
  <c r="DY19" i="25"/>
  <c r="DU19" i="25"/>
  <c r="DS19" i="25"/>
  <c r="DQ19" i="25"/>
  <c r="DP19" i="25"/>
  <c r="DH19" i="25"/>
  <c r="DG19" i="25"/>
  <c r="DF19" i="25"/>
  <c r="CV19" i="25"/>
  <c r="CU19" i="25"/>
  <c r="CM19" i="25"/>
  <c r="CN19" i="25" s="1"/>
  <c r="CE19" i="25"/>
  <c r="CD19" i="25"/>
  <c r="CC19" i="25"/>
  <c r="CA19" i="25"/>
  <c r="BZ19" i="25"/>
  <c r="EG18" i="25"/>
  <c r="EF18" i="25"/>
  <c r="EE18" i="25"/>
  <c r="ED18" i="25"/>
  <c r="EC18" i="25"/>
  <c r="DO18" i="25" s="1"/>
  <c r="EB18" i="25"/>
  <c r="EA18" i="25"/>
  <c r="DZ18" i="25"/>
  <c r="DY18" i="25"/>
  <c r="DU18" i="25"/>
  <c r="DS18" i="25"/>
  <c r="DQ18" i="25"/>
  <c r="DP18" i="25"/>
  <c r="DH18" i="25"/>
  <c r="DG18" i="25"/>
  <c r="DN18" i="25" s="1"/>
  <c r="DF18" i="25"/>
  <c r="CV18" i="25"/>
  <c r="CU18" i="25"/>
  <c r="CM18" i="25"/>
  <c r="CN18" i="25" s="1"/>
  <c r="CE18" i="25"/>
  <c r="CD18" i="25"/>
  <c r="CC18" i="25"/>
  <c r="CA18" i="25"/>
  <c r="BZ18" i="25"/>
  <c r="EH17" i="25"/>
  <c r="EG17" i="25"/>
  <c r="EF17" i="25"/>
  <c r="EE17" i="25"/>
  <c r="ED17" i="25"/>
  <c r="EC17" i="25"/>
  <c r="DO17" i="25" s="1"/>
  <c r="EB17" i="25"/>
  <c r="EA17" i="25"/>
  <c r="DZ17" i="25"/>
  <c r="DY17" i="25"/>
  <c r="DU17" i="25"/>
  <c r="DS17" i="25"/>
  <c r="DQ17" i="25"/>
  <c r="DP17" i="25"/>
  <c r="DH17" i="25"/>
  <c r="DG17" i="25"/>
  <c r="DN17" i="25" s="1"/>
  <c r="DF17" i="25"/>
  <c r="CV17" i="25"/>
  <c r="CU17" i="25"/>
  <c r="CM17" i="25"/>
  <c r="CN17" i="25" s="1"/>
  <c r="CE17" i="25"/>
  <c r="CD17" i="25"/>
  <c r="CC17" i="25"/>
  <c r="CA17" i="25"/>
  <c r="BZ17" i="25"/>
  <c r="EH16" i="25"/>
  <c r="EG16" i="25"/>
  <c r="EF16" i="25"/>
  <c r="EE16" i="25"/>
  <c r="ED16" i="25"/>
  <c r="EC16" i="25"/>
  <c r="DO16" i="25" s="1"/>
  <c r="EB16" i="25"/>
  <c r="EA16" i="25"/>
  <c r="DZ16" i="25"/>
  <c r="DY16" i="25"/>
  <c r="DU16" i="25"/>
  <c r="DS16" i="25"/>
  <c r="DQ16" i="25"/>
  <c r="DT16" i="25" s="1"/>
  <c r="DP16" i="25"/>
  <c r="DH16" i="25"/>
  <c r="DG16" i="25"/>
  <c r="DN16" i="25" s="1"/>
  <c r="DF16" i="25"/>
  <c r="CV16" i="25"/>
  <c r="CU16" i="25"/>
  <c r="CM16" i="25"/>
  <c r="CN16" i="25" s="1"/>
  <c r="CE16" i="25"/>
  <c r="CD16" i="25"/>
  <c r="CC16" i="25"/>
  <c r="CA16" i="25"/>
  <c r="BZ16" i="25"/>
  <c r="EH65" i="25"/>
  <c r="EG65" i="25"/>
  <c r="EF65" i="25"/>
  <c r="EE65" i="25"/>
  <c r="ED65" i="25"/>
  <c r="EC65" i="25"/>
  <c r="DO65" i="25" s="1"/>
  <c r="EB65" i="25"/>
  <c r="EA65" i="25"/>
  <c r="DZ65" i="25"/>
  <c r="DY65" i="25"/>
  <c r="DU65" i="25"/>
  <c r="DS65" i="25"/>
  <c r="DQ65" i="25"/>
  <c r="DT65" i="25" s="1"/>
  <c r="DP65" i="25"/>
  <c r="DH65" i="25"/>
  <c r="DG65" i="25"/>
  <c r="DN65" i="25" s="1"/>
  <c r="DF65" i="25"/>
  <c r="CV65" i="25"/>
  <c r="CU65" i="25"/>
  <c r="CM65" i="25"/>
  <c r="CN65" i="25" s="1"/>
  <c r="CE65" i="25"/>
  <c r="CD65" i="25"/>
  <c r="CC65" i="25"/>
  <c r="CA65" i="25"/>
  <c r="BZ65" i="25"/>
  <c r="EH64" i="25"/>
  <c r="EG64" i="25"/>
  <c r="EF64" i="25"/>
  <c r="EE64" i="25"/>
  <c r="ED64" i="25"/>
  <c r="EC64" i="25"/>
  <c r="DO64" i="25" s="1"/>
  <c r="EB64" i="25"/>
  <c r="EA64" i="25"/>
  <c r="DZ64" i="25"/>
  <c r="DY64" i="25"/>
  <c r="DU64" i="25"/>
  <c r="DS64" i="25"/>
  <c r="DQ64" i="25"/>
  <c r="DT64" i="25" s="1"/>
  <c r="DP64" i="25"/>
  <c r="DH64" i="25"/>
  <c r="DG64" i="25"/>
  <c r="DN64" i="25" s="1"/>
  <c r="DF64" i="25"/>
  <c r="CV64" i="25"/>
  <c r="CU64" i="25"/>
  <c r="CM64" i="25"/>
  <c r="CN64" i="25" s="1"/>
  <c r="CE64" i="25"/>
  <c r="CD64" i="25"/>
  <c r="CC64" i="25"/>
  <c r="CA64" i="25"/>
  <c r="BZ64" i="25"/>
  <c r="EG63" i="25"/>
  <c r="EF63" i="25"/>
  <c r="EE63" i="25"/>
  <c r="ED63" i="25"/>
  <c r="EC63" i="25"/>
  <c r="DO63" i="25" s="1"/>
  <c r="EB63" i="25"/>
  <c r="EA63" i="25"/>
  <c r="DZ63" i="25"/>
  <c r="DY63" i="25"/>
  <c r="DU63" i="25"/>
  <c r="DS63" i="25"/>
  <c r="DQ63" i="25"/>
  <c r="DT63" i="25" s="1"/>
  <c r="DP63" i="25"/>
  <c r="DH63" i="25"/>
  <c r="DG63" i="25"/>
  <c r="DF63" i="25"/>
  <c r="CV63" i="25"/>
  <c r="CU63" i="25"/>
  <c r="CM63" i="25"/>
  <c r="CN63" i="25" s="1"/>
  <c r="CE63" i="25"/>
  <c r="CD63" i="25"/>
  <c r="CC63" i="25"/>
  <c r="CA63" i="25"/>
  <c r="BZ63" i="25"/>
  <c r="EH15" i="25"/>
  <c r="EG15" i="25"/>
  <c r="EF15" i="25"/>
  <c r="EE15" i="25"/>
  <c r="ED15" i="25"/>
  <c r="EC15" i="25"/>
  <c r="DO15" i="25" s="1"/>
  <c r="EB15" i="25"/>
  <c r="EA15" i="25"/>
  <c r="DZ15" i="25"/>
  <c r="DY15" i="25"/>
  <c r="DU15" i="25"/>
  <c r="DS15" i="25"/>
  <c r="DQ15" i="25"/>
  <c r="DT15" i="25" s="1"/>
  <c r="DP15" i="25"/>
  <c r="DH15" i="25"/>
  <c r="DG15" i="25"/>
  <c r="DF15" i="25"/>
  <c r="CV15" i="25"/>
  <c r="CU15" i="25"/>
  <c r="CM15" i="25"/>
  <c r="CN15" i="25" s="1"/>
  <c r="CE15" i="25"/>
  <c r="CD15" i="25"/>
  <c r="CC15" i="25"/>
  <c r="CA15" i="25"/>
  <c r="BZ15" i="25"/>
  <c r="EH150" i="25"/>
  <c r="EG150" i="25"/>
  <c r="EF150" i="25"/>
  <c r="EE150" i="25"/>
  <c r="ED150" i="25"/>
  <c r="EC150" i="25"/>
  <c r="DO150" i="25" s="1"/>
  <c r="EB150" i="25"/>
  <c r="EA150" i="25"/>
  <c r="DZ150" i="25"/>
  <c r="DY150" i="25"/>
  <c r="DU150" i="25"/>
  <c r="DS150" i="25"/>
  <c r="DQ150" i="25"/>
  <c r="DT150" i="25" s="1"/>
  <c r="DP150" i="25"/>
  <c r="DH150" i="25"/>
  <c r="DG150" i="25"/>
  <c r="DF150" i="25"/>
  <c r="CV150" i="25"/>
  <c r="CU150" i="25"/>
  <c r="CM150" i="25"/>
  <c r="CN150" i="25" s="1"/>
  <c r="CE150" i="25"/>
  <c r="CD150" i="25"/>
  <c r="CC150" i="25"/>
  <c r="CA150" i="25"/>
  <c r="BZ150" i="25"/>
  <c r="EH146" i="25"/>
  <c r="EG146" i="25"/>
  <c r="EF146" i="25"/>
  <c r="EE146" i="25"/>
  <c r="ED146" i="25"/>
  <c r="EC146" i="25"/>
  <c r="DO146" i="25" s="1"/>
  <c r="EB146" i="25"/>
  <c r="EA146" i="25"/>
  <c r="DZ146" i="25"/>
  <c r="DY146" i="25"/>
  <c r="DU146" i="25"/>
  <c r="DS146" i="25"/>
  <c r="DQ146" i="25"/>
  <c r="DT146" i="25" s="1"/>
  <c r="DP146" i="25"/>
  <c r="DH146" i="25"/>
  <c r="DG146" i="25"/>
  <c r="DF146" i="25"/>
  <c r="CV146" i="25"/>
  <c r="CU146" i="25"/>
  <c r="CM146" i="25"/>
  <c r="CN146" i="25" s="1"/>
  <c r="CE146" i="25"/>
  <c r="CD146" i="25"/>
  <c r="CC146" i="25"/>
  <c r="CA146" i="25"/>
  <c r="BZ146" i="25"/>
  <c r="EH98" i="25"/>
  <c r="EG98" i="25"/>
  <c r="EF98" i="25"/>
  <c r="EE98" i="25"/>
  <c r="ED98" i="25"/>
  <c r="EC98" i="25"/>
  <c r="DO98" i="25" s="1"/>
  <c r="EB98" i="25"/>
  <c r="EA98" i="25"/>
  <c r="DZ98" i="25"/>
  <c r="DY98" i="25"/>
  <c r="DU98" i="25"/>
  <c r="DS98" i="25"/>
  <c r="DQ98" i="25"/>
  <c r="DT98" i="25" s="1"/>
  <c r="DP98" i="25"/>
  <c r="DH98" i="25"/>
  <c r="DG98" i="25"/>
  <c r="DF98" i="25"/>
  <c r="CV98" i="25"/>
  <c r="CU98" i="25"/>
  <c r="CM98" i="25"/>
  <c r="CN98" i="25" s="1"/>
  <c r="CE98" i="25"/>
  <c r="CD98" i="25"/>
  <c r="CC98" i="25"/>
  <c r="CA98" i="25"/>
  <c r="BZ98" i="25"/>
  <c r="EH97" i="25"/>
  <c r="EG97" i="25"/>
  <c r="EF97" i="25"/>
  <c r="EE97" i="25"/>
  <c r="ED97" i="25"/>
  <c r="EC97" i="25"/>
  <c r="DO97" i="25" s="1"/>
  <c r="EB97" i="25"/>
  <c r="EA97" i="25"/>
  <c r="DZ97" i="25"/>
  <c r="DY97" i="25"/>
  <c r="DU97" i="25"/>
  <c r="DS97" i="25"/>
  <c r="DQ97" i="25"/>
  <c r="DT97" i="25" s="1"/>
  <c r="DP97" i="25"/>
  <c r="DH97" i="25"/>
  <c r="DG97" i="25"/>
  <c r="DF97" i="25"/>
  <c r="CV97" i="25"/>
  <c r="CU97" i="25"/>
  <c r="CM97" i="25"/>
  <c r="CN97" i="25" s="1"/>
  <c r="CE97" i="25"/>
  <c r="CD97" i="25"/>
  <c r="CC97" i="25"/>
  <c r="CA97" i="25"/>
  <c r="BZ97" i="25"/>
  <c r="EH96" i="25"/>
  <c r="EG96" i="25"/>
  <c r="EF96" i="25"/>
  <c r="EE96" i="25"/>
  <c r="ED96" i="25"/>
  <c r="EC96" i="25"/>
  <c r="DO96" i="25" s="1"/>
  <c r="EB96" i="25"/>
  <c r="EA96" i="25"/>
  <c r="DZ96" i="25"/>
  <c r="DY96" i="25"/>
  <c r="DU96" i="25"/>
  <c r="DS96" i="25"/>
  <c r="DQ96" i="25"/>
  <c r="DT96" i="25" s="1"/>
  <c r="DP96" i="25"/>
  <c r="DH96" i="25"/>
  <c r="DG96" i="25"/>
  <c r="DF96" i="25"/>
  <c r="CV96" i="25"/>
  <c r="CU96" i="25"/>
  <c r="CM96" i="25"/>
  <c r="CN96" i="25" s="1"/>
  <c r="CE96" i="25"/>
  <c r="CD96" i="25"/>
  <c r="CC96" i="25"/>
  <c r="CA96" i="25"/>
  <c r="BZ96" i="25"/>
  <c r="EH94" i="25"/>
  <c r="EG94" i="25"/>
  <c r="EF94" i="25"/>
  <c r="EE94" i="25"/>
  <c r="ED94" i="25"/>
  <c r="EC94" i="25"/>
  <c r="DO94" i="25" s="1"/>
  <c r="EB94" i="25"/>
  <c r="EA94" i="25"/>
  <c r="DZ94" i="25"/>
  <c r="DY94" i="25"/>
  <c r="DU94" i="25"/>
  <c r="DS94" i="25"/>
  <c r="DQ94" i="25"/>
  <c r="DT94" i="25" s="1"/>
  <c r="DP94" i="25"/>
  <c r="DH94" i="25"/>
  <c r="DG94" i="25"/>
  <c r="DF94" i="25"/>
  <c r="CV94" i="25"/>
  <c r="CU94" i="25"/>
  <c r="CM94" i="25"/>
  <c r="CN94" i="25" s="1"/>
  <c r="CE94" i="25"/>
  <c r="CD94" i="25"/>
  <c r="CC94" i="25"/>
  <c r="CA94" i="25"/>
  <c r="BZ94" i="25"/>
  <c r="EH91" i="25"/>
  <c r="EG91" i="25"/>
  <c r="EF91" i="25"/>
  <c r="EE91" i="25"/>
  <c r="ED91" i="25"/>
  <c r="EC91" i="25"/>
  <c r="DO91" i="25" s="1"/>
  <c r="EB91" i="25"/>
  <c r="EA91" i="25"/>
  <c r="DZ91" i="25"/>
  <c r="DY91" i="25"/>
  <c r="DU91" i="25"/>
  <c r="DS91" i="25"/>
  <c r="DQ91" i="25"/>
  <c r="DT91" i="25" s="1"/>
  <c r="DP91" i="25"/>
  <c r="DH91" i="25"/>
  <c r="DG91" i="25"/>
  <c r="DF91" i="25"/>
  <c r="CV91" i="25"/>
  <c r="CU91" i="25"/>
  <c r="CM91" i="25"/>
  <c r="CN91" i="25" s="1"/>
  <c r="CE91" i="25"/>
  <c r="CD91" i="25"/>
  <c r="CC91" i="25"/>
  <c r="CA91" i="25"/>
  <c r="BZ91" i="25"/>
  <c r="EH86" i="25"/>
  <c r="EG86" i="25"/>
  <c r="EF86" i="25"/>
  <c r="EE86" i="25"/>
  <c r="ED86" i="25"/>
  <c r="EC86" i="25"/>
  <c r="DO86" i="25" s="1"/>
  <c r="EB86" i="25"/>
  <c r="EA86" i="25"/>
  <c r="DZ86" i="25"/>
  <c r="DY86" i="25"/>
  <c r="DU86" i="25"/>
  <c r="DS86" i="25"/>
  <c r="DQ86" i="25"/>
  <c r="DT86" i="25" s="1"/>
  <c r="DP86" i="25"/>
  <c r="DH86" i="25"/>
  <c r="DG86" i="25"/>
  <c r="DF86" i="25"/>
  <c r="CV86" i="25"/>
  <c r="CU86" i="25"/>
  <c r="CM86" i="25"/>
  <c r="CN86" i="25" s="1"/>
  <c r="CE86" i="25"/>
  <c r="CD86" i="25"/>
  <c r="CC86" i="25"/>
  <c r="CA86" i="25"/>
  <c r="BZ86" i="25"/>
  <c r="EH62" i="25"/>
  <c r="EG62" i="25"/>
  <c r="EF62" i="25"/>
  <c r="EE62" i="25"/>
  <c r="ED62" i="25"/>
  <c r="EC62" i="25"/>
  <c r="DO62" i="25" s="1"/>
  <c r="EB62" i="25"/>
  <c r="EA62" i="25"/>
  <c r="DZ62" i="25"/>
  <c r="DY62" i="25"/>
  <c r="DU62" i="25"/>
  <c r="DS62" i="25"/>
  <c r="DQ62" i="25"/>
  <c r="DT62" i="25" s="1"/>
  <c r="DP62" i="25"/>
  <c r="DH62" i="25"/>
  <c r="DG62" i="25"/>
  <c r="DN62" i="25" s="1"/>
  <c r="DF62" i="25"/>
  <c r="CV62" i="25"/>
  <c r="CU62" i="25"/>
  <c r="CM62" i="25"/>
  <c r="CE62" i="25"/>
  <c r="CD62" i="25"/>
  <c r="CC62" i="25"/>
  <c r="CA62" i="25"/>
  <c r="BZ62" i="25"/>
  <c r="EH14" i="25"/>
  <c r="EG14" i="25"/>
  <c r="EF14" i="25"/>
  <c r="EE14" i="25"/>
  <c r="ED14" i="25"/>
  <c r="EC14" i="25"/>
  <c r="DO14" i="25" s="1"/>
  <c r="EB14" i="25"/>
  <c r="EA14" i="25"/>
  <c r="DZ14" i="25"/>
  <c r="DY14" i="25"/>
  <c r="DU14" i="25"/>
  <c r="DS14" i="25"/>
  <c r="DQ14" i="25"/>
  <c r="DT14" i="25" s="1"/>
  <c r="DP14" i="25"/>
  <c r="DH14" i="25"/>
  <c r="DG14" i="25"/>
  <c r="DN14" i="25" s="1"/>
  <c r="DF14" i="25"/>
  <c r="CV14" i="25"/>
  <c r="CU14" i="25"/>
  <c r="CM14" i="25"/>
  <c r="CE14" i="25"/>
  <c r="CD14" i="25"/>
  <c r="CC14" i="25"/>
  <c r="CA14" i="25"/>
  <c r="BZ14" i="25"/>
  <c r="EH204" i="25"/>
  <c r="EG204" i="25"/>
  <c r="EF204" i="25"/>
  <c r="EE204" i="25"/>
  <c r="ED204" i="25"/>
  <c r="EC204" i="25"/>
  <c r="DO204" i="25" s="1"/>
  <c r="EB204" i="25"/>
  <c r="EA204" i="25"/>
  <c r="DZ204" i="25"/>
  <c r="DY204" i="25"/>
  <c r="DU204" i="25"/>
  <c r="DS204" i="25"/>
  <c r="DQ204" i="25"/>
  <c r="DT204" i="25" s="1"/>
  <c r="DP204" i="25"/>
  <c r="DH204" i="25"/>
  <c r="DG204" i="25"/>
  <c r="DN204" i="25" s="1"/>
  <c r="DF204" i="25"/>
  <c r="CV204" i="25"/>
  <c r="CU204" i="25"/>
  <c r="CM204" i="25"/>
  <c r="CN204" i="25" s="1"/>
  <c r="CE204" i="25"/>
  <c r="CD204" i="25"/>
  <c r="CC204" i="25"/>
  <c r="CA204" i="25"/>
  <c r="BZ204" i="25"/>
  <c r="EH203" i="25"/>
  <c r="EG203" i="25"/>
  <c r="EF203" i="25"/>
  <c r="EE203" i="25"/>
  <c r="ED203" i="25"/>
  <c r="EC203" i="25"/>
  <c r="DO203" i="25" s="1"/>
  <c r="EB203" i="25"/>
  <c r="EA203" i="25"/>
  <c r="DZ203" i="25"/>
  <c r="DY203" i="25"/>
  <c r="DU203" i="25"/>
  <c r="DS203" i="25"/>
  <c r="DQ203" i="25"/>
  <c r="DR203" i="25" s="1"/>
  <c r="DP203" i="25"/>
  <c r="DH203" i="25"/>
  <c r="DG203" i="25"/>
  <c r="DN203" i="25" s="1"/>
  <c r="DF203" i="25"/>
  <c r="CV203" i="25"/>
  <c r="CU203" i="25"/>
  <c r="CM203" i="25"/>
  <c r="CN203" i="25" s="1"/>
  <c r="CE203" i="25"/>
  <c r="CD203" i="25"/>
  <c r="CC203" i="25"/>
  <c r="CA203" i="25"/>
  <c r="BZ203" i="25"/>
  <c r="EH176" i="25"/>
  <c r="EG176" i="25"/>
  <c r="EF176" i="25"/>
  <c r="EE176" i="25"/>
  <c r="ED176" i="25"/>
  <c r="EC176" i="25"/>
  <c r="DO176" i="25" s="1"/>
  <c r="EB176" i="25"/>
  <c r="EA176" i="25"/>
  <c r="DZ176" i="25"/>
  <c r="DY176" i="25"/>
  <c r="DU176" i="25"/>
  <c r="DS176" i="25"/>
  <c r="DQ176" i="25"/>
  <c r="DT176" i="25" s="1"/>
  <c r="DP176" i="25"/>
  <c r="DH176" i="25"/>
  <c r="DG176" i="25"/>
  <c r="DN176" i="25" s="1"/>
  <c r="DF176" i="25"/>
  <c r="CV176" i="25"/>
  <c r="CU176" i="25"/>
  <c r="CM176" i="25"/>
  <c r="CN176" i="25" s="1"/>
  <c r="CE176" i="25"/>
  <c r="CD176" i="25"/>
  <c r="CC176" i="25"/>
  <c r="CA176" i="25"/>
  <c r="BZ176" i="25"/>
  <c r="EH175" i="25"/>
  <c r="EG175" i="25"/>
  <c r="EF175" i="25"/>
  <c r="EE175" i="25"/>
  <c r="ED175" i="25"/>
  <c r="EC175" i="25"/>
  <c r="DO175" i="25" s="1"/>
  <c r="EB175" i="25"/>
  <c r="EA175" i="25"/>
  <c r="DZ175" i="25"/>
  <c r="DY175" i="25"/>
  <c r="DU175" i="25"/>
  <c r="DS175" i="25"/>
  <c r="DQ175" i="25"/>
  <c r="DT175" i="25" s="1"/>
  <c r="DP175" i="25"/>
  <c r="DH175" i="25"/>
  <c r="DG175" i="25"/>
  <c r="DN175" i="25" s="1"/>
  <c r="DF175" i="25"/>
  <c r="CV175" i="25"/>
  <c r="CU175" i="25"/>
  <c r="CM175" i="25"/>
  <c r="CN175" i="25" s="1"/>
  <c r="CE175" i="25"/>
  <c r="CD175" i="25"/>
  <c r="CC175" i="25"/>
  <c r="CA175" i="25"/>
  <c r="BZ175" i="25"/>
  <c r="EH147" i="25"/>
  <c r="EG147" i="25"/>
  <c r="EF147" i="25"/>
  <c r="EE147" i="25"/>
  <c r="ED147" i="25"/>
  <c r="EC147" i="25"/>
  <c r="DO147" i="25" s="1"/>
  <c r="EB147" i="25"/>
  <c r="EA147" i="25"/>
  <c r="DZ147" i="25"/>
  <c r="DY147" i="25"/>
  <c r="DU147" i="25"/>
  <c r="DS147" i="25"/>
  <c r="DQ147" i="25"/>
  <c r="DT147" i="25" s="1"/>
  <c r="DP147" i="25"/>
  <c r="DH147" i="25"/>
  <c r="DG147" i="25"/>
  <c r="DN147" i="25" s="1"/>
  <c r="DF147" i="25"/>
  <c r="CV147" i="25"/>
  <c r="CU147" i="25"/>
  <c r="CM147" i="25"/>
  <c r="CN147" i="25" s="1"/>
  <c r="CE147" i="25"/>
  <c r="CD147" i="25"/>
  <c r="CC147" i="25"/>
  <c r="CA147" i="25"/>
  <c r="BZ147" i="25"/>
  <c r="EH12" i="25"/>
  <c r="EG12" i="25"/>
  <c r="EF12" i="25"/>
  <c r="EE12" i="25"/>
  <c r="ED12" i="25"/>
  <c r="EC12" i="25"/>
  <c r="DO12" i="25" s="1"/>
  <c r="EB12" i="25"/>
  <c r="EA12" i="25"/>
  <c r="DZ12" i="25"/>
  <c r="DY12" i="25"/>
  <c r="DU12" i="25"/>
  <c r="DS12" i="25"/>
  <c r="DQ12" i="25"/>
  <c r="DT12" i="25" s="1"/>
  <c r="DP12" i="25"/>
  <c r="DH12" i="25"/>
  <c r="DG12" i="25"/>
  <c r="DN12" i="25" s="1"/>
  <c r="DF12" i="25"/>
  <c r="CV12" i="25"/>
  <c r="CU12" i="25"/>
  <c r="CM12" i="25"/>
  <c r="CN12" i="25" s="1"/>
  <c r="CE12" i="25"/>
  <c r="CD12" i="25"/>
  <c r="CC12" i="25"/>
  <c r="CA12" i="25"/>
  <c r="BZ12" i="25"/>
  <c r="EH174" i="25"/>
  <c r="EG174" i="25"/>
  <c r="EF174" i="25"/>
  <c r="EE174" i="25"/>
  <c r="ED174" i="25"/>
  <c r="EC174" i="25"/>
  <c r="DO174" i="25" s="1"/>
  <c r="EB174" i="25"/>
  <c r="EA174" i="25"/>
  <c r="DZ174" i="25"/>
  <c r="DY174" i="25"/>
  <c r="DU174" i="25"/>
  <c r="DS174" i="25"/>
  <c r="DQ174" i="25"/>
  <c r="DT174" i="25" s="1"/>
  <c r="DP174" i="25"/>
  <c r="DH174" i="25"/>
  <c r="DG174" i="25"/>
  <c r="DN174" i="25" s="1"/>
  <c r="DF174" i="25"/>
  <c r="CV174" i="25"/>
  <c r="CU174" i="25"/>
  <c r="CM174" i="25"/>
  <c r="CN174" i="25" s="1"/>
  <c r="CE174" i="25"/>
  <c r="CD174" i="25"/>
  <c r="CC174" i="25"/>
  <c r="CA174" i="25"/>
  <c r="BZ174" i="25"/>
  <c r="EH61" i="25"/>
  <c r="EG61" i="25"/>
  <c r="EF61" i="25"/>
  <c r="EE61" i="25"/>
  <c r="ED61" i="25"/>
  <c r="EC61" i="25"/>
  <c r="DO61" i="25" s="1"/>
  <c r="EB61" i="25"/>
  <c r="EA61" i="25"/>
  <c r="DZ61" i="25"/>
  <c r="DY61" i="25"/>
  <c r="DU61" i="25"/>
  <c r="DS61" i="25"/>
  <c r="DQ61" i="25"/>
  <c r="DR61" i="25" s="1"/>
  <c r="DP61" i="25"/>
  <c r="DH61" i="25"/>
  <c r="DG61" i="25"/>
  <c r="DN61" i="25" s="1"/>
  <c r="DF61" i="25"/>
  <c r="CV61" i="25"/>
  <c r="CU61" i="25"/>
  <c r="CM61" i="25"/>
  <c r="CE61" i="25"/>
  <c r="CD61" i="25"/>
  <c r="CC61" i="25"/>
  <c r="CA61" i="25"/>
  <c r="BZ61" i="25"/>
  <c r="EH173" i="25"/>
  <c r="EG173" i="25"/>
  <c r="EF173" i="25"/>
  <c r="EE173" i="25"/>
  <c r="ED173" i="25"/>
  <c r="EC173" i="25"/>
  <c r="DO173" i="25" s="1"/>
  <c r="EB173" i="25"/>
  <c r="EA173" i="25"/>
  <c r="DZ173" i="25"/>
  <c r="DY173" i="25"/>
  <c r="DU173" i="25"/>
  <c r="DS173" i="25"/>
  <c r="DQ173" i="25"/>
  <c r="DR173" i="25" s="1"/>
  <c r="DP173" i="25"/>
  <c r="DH173" i="25"/>
  <c r="DG173" i="25"/>
  <c r="DN173" i="25" s="1"/>
  <c r="DF173" i="25"/>
  <c r="CV173" i="25"/>
  <c r="CU173" i="25"/>
  <c r="CM173" i="25"/>
  <c r="CE173" i="25"/>
  <c r="CD173" i="25"/>
  <c r="CC173" i="25"/>
  <c r="CA173" i="25"/>
  <c r="BZ173" i="25"/>
  <c r="EH172" i="25"/>
  <c r="EG172" i="25"/>
  <c r="EF172" i="25"/>
  <c r="EE172" i="25"/>
  <c r="ED172" i="25"/>
  <c r="EC172" i="25"/>
  <c r="DO172" i="25" s="1"/>
  <c r="EB172" i="25"/>
  <c r="EA172" i="25"/>
  <c r="DZ172" i="25"/>
  <c r="DY172" i="25"/>
  <c r="DU172" i="25"/>
  <c r="DS172" i="25"/>
  <c r="DQ172" i="25"/>
  <c r="DR172" i="25" s="1"/>
  <c r="DP172" i="25"/>
  <c r="DH172" i="25"/>
  <c r="DG172" i="25"/>
  <c r="DN172" i="25" s="1"/>
  <c r="DF172" i="25"/>
  <c r="CV172" i="25"/>
  <c r="CU172" i="25"/>
  <c r="CM172" i="25"/>
  <c r="CE172" i="25"/>
  <c r="CD172" i="25"/>
  <c r="CC172" i="25"/>
  <c r="CA172" i="25"/>
  <c r="BZ172" i="25"/>
  <c r="EH170" i="25"/>
  <c r="EG170" i="25"/>
  <c r="EF170" i="25"/>
  <c r="EE170" i="25"/>
  <c r="ED170" i="25"/>
  <c r="EC170" i="25"/>
  <c r="DO170" i="25" s="1"/>
  <c r="EB170" i="25"/>
  <c r="EA170" i="25"/>
  <c r="DZ170" i="25"/>
  <c r="DY170" i="25"/>
  <c r="DU170" i="25"/>
  <c r="DS170" i="25"/>
  <c r="DQ170" i="25"/>
  <c r="DR170" i="25" s="1"/>
  <c r="DP170" i="25"/>
  <c r="DH170" i="25"/>
  <c r="DG170" i="25"/>
  <c r="DN170" i="25" s="1"/>
  <c r="DF170" i="25"/>
  <c r="CV170" i="25"/>
  <c r="CU170" i="25"/>
  <c r="CM170" i="25"/>
  <c r="CE170" i="25"/>
  <c r="CD170" i="25"/>
  <c r="CC170" i="25"/>
  <c r="CA170" i="25"/>
  <c r="BZ170" i="25"/>
  <c r="EH136" i="25"/>
  <c r="EG136" i="25"/>
  <c r="EF136" i="25"/>
  <c r="EE136" i="25"/>
  <c r="ED136" i="25"/>
  <c r="EC136" i="25"/>
  <c r="DO136" i="25" s="1"/>
  <c r="EB136" i="25"/>
  <c r="EA136" i="25"/>
  <c r="DZ136" i="25"/>
  <c r="DY136" i="25"/>
  <c r="DU136" i="25"/>
  <c r="DS136" i="25"/>
  <c r="DQ136" i="25"/>
  <c r="DR136" i="25" s="1"/>
  <c r="DP136" i="25"/>
  <c r="DH136" i="25"/>
  <c r="DG136" i="25"/>
  <c r="DN136" i="25" s="1"/>
  <c r="DF136" i="25"/>
  <c r="CV136" i="25"/>
  <c r="CU136" i="25"/>
  <c r="CM136" i="25"/>
  <c r="CN136" i="25" s="1"/>
  <c r="CE136" i="25"/>
  <c r="CD136" i="25"/>
  <c r="CC136" i="25"/>
  <c r="CA136" i="25"/>
  <c r="BZ136" i="25"/>
  <c r="EH60" i="25"/>
  <c r="EG60" i="25"/>
  <c r="EF60" i="25"/>
  <c r="EE60" i="25"/>
  <c r="ED60" i="25"/>
  <c r="EC60" i="25"/>
  <c r="DO60" i="25" s="1"/>
  <c r="EB60" i="25"/>
  <c r="EA60" i="25"/>
  <c r="DZ60" i="25"/>
  <c r="DY60" i="25"/>
  <c r="DU60" i="25"/>
  <c r="DS60" i="25"/>
  <c r="DQ60" i="25"/>
  <c r="DR60" i="25" s="1"/>
  <c r="DP60" i="25"/>
  <c r="DH60" i="25"/>
  <c r="DG60" i="25"/>
  <c r="DN60" i="25" s="1"/>
  <c r="DF60" i="25"/>
  <c r="CV60" i="25"/>
  <c r="CU60" i="25"/>
  <c r="CM60" i="25"/>
  <c r="CE60" i="25"/>
  <c r="CD60" i="25"/>
  <c r="CC60" i="25"/>
  <c r="CA60" i="25"/>
  <c r="BZ60" i="25"/>
  <c r="EH171" i="25"/>
  <c r="EG171" i="25"/>
  <c r="EF171" i="25"/>
  <c r="EE171" i="25"/>
  <c r="ED171" i="25"/>
  <c r="EC171" i="25"/>
  <c r="DO171" i="25" s="1"/>
  <c r="EB171" i="25"/>
  <c r="EA171" i="25"/>
  <c r="DZ171" i="25"/>
  <c r="DY171" i="25"/>
  <c r="DU171" i="25"/>
  <c r="DS171" i="25"/>
  <c r="DQ171" i="25"/>
  <c r="DR171" i="25" s="1"/>
  <c r="DP171" i="25"/>
  <c r="DH171" i="25"/>
  <c r="DG171" i="25"/>
  <c r="DN171" i="25" s="1"/>
  <c r="DF171" i="25"/>
  <c r="CV171" i="25"/>
  <c r="CU171" i="25"/>
  <c r="CM171" i="25"/>
  <c r="CE171" i="25"/>
  <c r="CD171" i="25"/>
  <c r="CC171" i="25"/>
  <c r="CA171" i="25"/>
  <c r="BZ171" i="25"/>
  <c r="EH59" i="25"/>
  <c r="EG59" i="25"/>
  <c r="EF59" i="25"/>
  <c r="EE59" i="25"/>
  <c r="ED59" i="25"/>
  <c r="EC59" i="25"/>
  <c r="DO59" i="25" s="1"/>
  <c r="EB59" i="25"/>
  <c r="EA59" i="25"/>
  <c r="DZ59" i="25"/>
  <c r="DY59" i="25"/>
  <c r="DU59" i="25"/>
  <c r="DS59" i="25"/>
  <c r="DQ59" i="25"/>
  <c r="DT59" i="25" s="1"/>
  <c r="DP59" i="25"/>
  <c r="DH59" i="25"/>
  <c r="DG59" i="25"/>
  <c r="DN59" i="25" s="1"/>
  <c r="DF59" i="25"/>
  <c r="CV59" i="25"/>
  <c r="CU59" i="25"/>
  <c r="CM59" i="25"/>
  <c r="CE59" i="25"/>
  <c r="CD59" i="25"/>
  <c r="CC59" i="25"/>
  <c r="CA59" i="25"/>
  <c r="BZ59" i="25"/>
  <c r="EH58" i="25"/>
  <c r="EG58" i="25"/>
  <c r="EF58" i="25"/>
  <c r="EE58" i="25"/>
  <c r="ED58" i="25"/>
  <c r="EC58" i="25"/>
  <c r="DO58" i="25" s="1"/>
  <c r="EB58" i="25"/>
  <c r="EA58" i="25"/>
  <c r="DZ58" i="25"/>
  <c r="DY58" i="25"/>
  <c r="DU58" i="25"/>
  <c r="DS58" i="25"/>
  <c r="DQ58" i="25"/>
  <c r="DT58" i="25" s="1"/>
  <c r="DP58" i="25"/>
  <c r="DH58" i="25"/>
  <c r="DG58" i="25"/>
  <c r="DN58" i="25" s="1"/>
  <c r="DF58" i="25"/>
  <c r="CV58" i="25"/>
  <c r="CU58" i="25"/>
  <c r="CM58" i="25"/>
  <c r="CE58" i="25"/>
  <c r="CD58" i="25"/>
  <c r="CC58" i="25"/>
  <c r="CA58" i="25"/>
  <c r="BZ58" i="25"/>
  <c r="EH169" i="25"/>
  <c r="EG169" i="25"/>
  <c r="EF169" i="25"/>
  <c r="EE169" i="25"/>
  <c r="ED169" i="25"/>
  <c r="EC169" i="25"/>
  <c r="DO169" i="25" s="1"/>
  <c r="EB169" i="25"/>
  <c r="EA169" i="25"/>
  <c r="DZ169" i="25"/>
  <c r="DY169" i="25"/>
  <c r="DU169" i="25"/>
  <c r="DS169" i="25"/>
  <c r="DQ169" i="25"/>
  <c r="DT169" i="25" s="1"/>
  <c r="DP169" i="25"/>
  <c r="DH169" i="25"/>
  <c r="DG169" i="25"/>
  <c r="DN169" i="25" s="1"/>
  <c r="DF169" i="25"/>
  <c r="CV169" i="25"/>
  <c r="CU169" i="25"/>
  <c r="CM169" i="25"/>
  <c r="CE169" i="25"/>
  <c r="CD169" i="25"/>
  <c r="CC169" i="25"/>
  <c r="CA169" i="25"/>
  <c r="BZ169" i="25"/>
  <c r="EH168" i="25"/>
  <c r="EG168" i="25"/>
  <c r="EF168" i="25"/>
  <c r="EE168" i="25"/>
  <c r="ED168" i="25"/>
  <c r="EC168" i="25"/>
  <c r="DO168" i="25" s="1"/>
  <c r="EB168" i="25"/>
  <c r="EA168" i="25"/>
  <c r="DZ168" i="25"/>
  <c r="DY168" i="25"/>
  <c r="DU168" i="25"/>
  <c r="DS168" i="25"/>
  <c r="DQ168" i="25"/>
  <c r="DT168" i="25" s="1"/>
  <c r="DP168" i="25"/>
  <c r="DH168" i="25"/>
  <c r="DG168" i="25"/>
  <c r="DN168" i="25" s="1"/>
  <c r="DF168" i="25"/>
  <c r="CV168" i="25"/>
  <c r="CU168" i="25"/>
  <c r="CM168" i="25"/>
  <c r="CE168" i="25"/>
  <c r="CD168" i="25"/>
  <c r="CC168" i="25"/>
  <c r="CA168" i="25"/>
  <c r="BZ168" i="25"/>
  <c r="EH11" i="25"/>
  <c r="EG11" i="25"/>
  <c r="EF11" i="25"/>
  <c r="EE11" i="25"/>
  <c r="ED11" i="25"/>
  <c r="EC11" i="25"/>
  <c r="DO11" i="25" s="1"/>
  <c r="EB11" i="25"/>
  <c r="EA11" i="25"/>
  <c r="DZ11" i="25"/>
  <c r="DY11" i="25"/>
  <c r="DU11" i="25"/>
  <c r="DS11" i="25"/>
  <c r="DQ11" i="25"/>
  <c r="DT11" i="25" s="1"/>
  <c r="DP11" i="25"/>
  <c r="DH11" i="25"/>
  <c r="DG11" i="25"/>
  <c r="DF11" i="25"/>
  <c r="CV11" i="25"/>
  <c r="CU11" i="25"/>
  <c r="CM11" i="25"/>
  <c r="CN11" i="25" s="1"/>
  <c r="CE11" i="25"/>
  <c r="CD11" i="25"/>
  <c r="CC11" i="25"/>
  <c r="CA11" i="25"/>
  <c r="BZ11" i="25"/>
  <c r="EH10" i="25"/>
  <c r="EG10" i="25"/>
  <c r="EF10" i="25"/>
  <c r="EE10" i="25"/>
  <c r="ED10" i="25"/>
  <c r="EC10" i="25"/>
  <c r="DO10" i="25" s="1"/>
  <c r="EB10" i="25"/>
  <c r="EA10" i="25"/>
  <c r="DZ10" i="25"/>
  <c r="DY10" i="25"/>
  <c r="DU10" i="25"/>
  <c r="DS10" i="25"/>
  <c r="DQ10" i="25"/>
  <c r="DT10" i="25" s="1"/>
  <c r="DP10" i="25"/>
  <c r="DH10" i="25"/>
  <c r="DG10" i="25"/>
  <c r="DN10" i="25" s="1"/>
  <c r="DF10" i="25"/>
  <c r="CV10" i="25"/>
  <c r="CU10" i="25"/>
  <c r="CM10" i="25"/>
  <c r="CE10" i="25"/>
  <c r="CD10" i="25"/>
  <c r="CC10" i="25"/>
  <c r="CA10" i="25"/>
  <c r="BZ10" i="25"/>
  <c r="EH167" i="25"/>
  <c r="EG167" i="25"/>
  <c r="EF167" i="25"/>
  <c r="EE167" i="25"/>
  <c r="ED167" i="25"/>
  <c r="EC167" i="25"/>
  <c r="DO167" i="25" s="1"/>
  <c r="EB167" i="25"/>
  <c r="EA167" i="25"/>
  <c r="DZ167" i="25"/>
  <c r="DY167" i="25"/>
  <c r="DU167" i="25"/>
  <c r="DS167" i="25"/>
  <c r="DQ167" i="25"/>
  <c r="DT167" i="25" s="1"/>
  <c r="DP167" i="25"/>
  <c r="DH167" i="25"/>
  <c r="DG167" i="25"/>
  <c r="DN167" i="25" s="1"/>
  <c r="DF167" i="25"/>
  <c r="CV167" i="25"/>
  <c r="CU167" i="25"/>
  <c r="CM167" i="25"/>
  <c r="CN167" i="25" s="1"/>
  <c r="CE167" i="25"/>
  <c r="CD167" i="25"/>
  <c r="CC167" i="25"/>
  <c r="CA167" i="25"/>
  <c r="BZ167" i="25"/>
  <c r="EH166" i="25"/>
  <c r="EG166" i="25"/>
  <c r="EF166" i="25"/>
  <c r="EE166" i="25"/>
  <c r="ED166" i="25"/>
  <c r="EC166" i="25"/>
  <c r="DO166" i="25" s="1"/>
  <c r="EB166" i="25"/>
  <c r="EA166" i="25"/>
  <c r="DZ166" i="25"/>
  <c r="DY166" i="25"/>
  <c r="DU166" i="25"/>
  <c r="DS166" i="25"/>
  <c r="DQ166" i="25"/>
  <c r="DT166" i="25" s="1"/>
  <c r="DP166" i="25"/>
  <c r="DH166" i="25"/>
  <c r="DG166" i="25"/>
  <c r="DN166" i="25" s="1"/>
  <c r="DF166" i="25"/>
  <c r="CV166" i="25"/>
  <c r="CU166" i="25"/>
  <c r="CM166" i="25"/>
  <c r="CN166" i="25" s="1"/>
  <c r="CE166" i="25"/>
  <c r="CD166" i="25"/>
  <c r="CC166" i="25"/>
  <c r="CA166" i="25"/>
  <c r="BZ166" i="25"/>
  <c r="EH165" i="25"/>
  <c r="EG165" i="25"/>
  <c r="EF165" i="25"/>
  <c r="EE165" i="25"/>
  <c r="ED165" i="25"/>
  <c r="EC165" i="25"/>
  <c r="DO165" i="25" s="1"/>
  <c r="EB165" i="25"/>
  <c r="EA165" i="25"/>
  <c r="DZ165" i="25"/>
  <c r="DY165" i="25"/>
  <c r="DU165" i="25"/>
  <c r="DS165" i="25"/>
  <c r="DQ165" i="25"/>
  <c r="DP165" i="25"/>
  <c r="DH165" i="25"/>
  <c r="DG165" i="25"/>
  <c r="DN165" i="25" s="1"/>
  <c r="DF165" i="25"/>
  <c r="CV165" i="25"/>
  <c r="CU165" i="25"/>
  <c r="CM165" i="25"/>
  <c r="CN165" i="25" s="1"/>
  <c r="CE165" i="25"/>
  <c r="CD165" i="25"/>
  <c r="CC165" i="25"/>
  <c r="CA165" i="25"/>
  <c r="BZ165" i="25"/>
  <c r="EH164" i="25"/>
  <c r="EG164" i="25"/>
  <c r="EF164" i="25"/>
  <c r="EE164" i="25"/>
  <c r="ED164" i="25"/>
  <c r="EC164" i="25"/>
  <c r="DO164" i="25" s="1"/>
  <c r="EB164" i="25"/>
  <c r="EA164" i="25"/>
  <c r="DZ164" i="25"/>
  <c r="DY164" i="25"/>
  <c r="DU164" i="25"/>
  <c r="DS164" i="25"/>
  <c r="DQ164" i="25"/>
  <c r="DT164" i="25" s="1"/>
  <c r="DP164" i="25"/>
  <c r="DH164" i="25"/>
  <c r="DG164" i="25"/>
  <c r="DN164" i="25" s="1"/>
  <c r="DF164" i="25"/>
  <c r="CV164" i="25"/>
  <c r="CU164" i="25"/>
  <c r="CM164" i="25"/>
  <c r="CN164" i="25" s="1"/>
  <c r="CE164" i="25"/>
  <c r="CD164" i="25"/>
  <c r="CC164" i="25"/>
  <c r="CA164" i="25"/>
  <c r="BZ164" i="25"/>
  <c r="EH163" i="25"/>
  <c r="EG163" i="25"/>
  <c r="EF163" i="25"/>
  <c r="EE163" i="25"/>
  <c r="ED163" i="25"/>
  <c r="EC163" i="25"/>
  <c r="DO163" i="25" s="1"/>
  <c r="EB163" i="25"/>
  <c r="EA163" i="25"/>
  <c r="DZ163" i="25"/>
  <c r="DY163" i="25"/>
  <c r="DU163" i="25"/>
  <c r="DS163" i="25"/>
  <c r="DQ163" i="25"/>
  <c r="DT163" i="25" s="1"/>
  <c r="DP163" i="25"/>
  <c r="DH163" i="25"/>
  <c r="DG163" i="25"/>
  <c r="DF163" i="25"/>
  <c r="CV163" i="25"/>
  <c r="CU163" i="25"/>
  <c r="CM163" i="25"/>
  <c r="CE163" i="25"/>
  <c r="CD163" i="25"/>
  <c r="CC163" i="25"/>
  <c r="CA163" i="25"/>
  <c r="BZ163" i="25"/>
  <c r="EH57" i="25"/>
  <c r="EG57" i="25"/>
  <c r="EF57" i="25"/>
  <c r="EE57" i="25"/>
  <c r="ED57" i="25"/>
  <c r="EC57" i="25"/>
  <c r="DO57" i="25" s="1"/>
  <c r="EB57" i="25"/>
  <c r="EA57" i="25"/>
  <c r="DZ57" i="25"/>
  <c r="DY57" i="25"/>
  <c r="DU57" i="25"/>
  <c r="DS57" i="25"/>
  <c r="DQ57" i="25"/>
  <c r="DR57" i="25" s="1"/>
  <c r="DP57" i="25"/>
  <c r="DH57" i="25"/>
  <c r="DG57" i="25"/>
  <c r="DN57" i="25" s="1"/>
  <c r="DF57" i="25"/>
  <c r="CV57" i="25"/>
  <c r="CU57" i="25"/>
  <c r="CM57" i="25"/>
  <c r="CN57" i="25" s="1"/>
  <c r="CE57" i="25"/>
  <c r="CD57" i="25"/>
  <c r="CC57" i="25"/>
  <c r="CA57" i="25"/>
  <c r="BZ57" i="25"/>
  <c r="EH85" i="25"/>
  <c r="EG85" i="25"/>
  <c r="EF85" i="25"/>
  <c r="EE85" i="25"/>
  <c r="ED85" i="25"/>
  <c r="EC85" i="25"/>
  <c r="DO85" i="25" s="1"/>
  <c r="EB85" i="25"/>
  <c r="EA85" i="25"/>
  <c r="DZ85" i="25"/>
  <c r="DY85" i="25"/>
  <c r="DU85" i="25"/>
  <c r="DS85" i="25"/>
  <c r="DQ85" i="25"/>
  <c r="DR85" i="25" s="1"/>
  <c r="DP85" i="25"/>
  <c r="DH85" i="25"/>
  <c r="DG85" i="25"/>
  <c r="DF85" i="25"/>
  <c r="CV85" i="25"/>
  <c r="CU85" i="25"/>
  <c r="CM85" i="25"/>
  <c r="CN85" i="25" s="1"/>
  <c r="CE85" i="25"/>
  <c r="CD85" i="25"/>
  <c r="CC85" i="25"/>
  <c r="CA85" i="25"/>
  <c r="BZ85" i="25"/>
  <c r="EH162" i="25"/>
  <c r="EG162" i="25"/>
  <c r="EF162" i="25"/>
  <c r="EE162" i="25"/>
  <c r="ED162" i="25"/>
  <c r="EC162" i="25"/>
  <c r="DO162" i="25" s="1"/>
  <c r="EB162" i="25"/>
  <c r="EA162" i="25"/>
  <c r="DZ162" i="25"/>
  <c r="DY162" i="25"/>
  <c r="DU162" i="25"/>
  <c r="DS162" i="25"/>
  <c r="DQ162" i="25"/>
  <c r="DR162" i="25" s="1"/>
  <c r="DP162" i="25"/>
  <c r="DH162" i="25"/>
  <c r="DG162" i="25"/>
  <c r="DN162" i="25" s="1"/>
  <c r="DF162" i="25"/>
  <c r="CV162" i="25"/>
  <c r="CU162" i="25"/>
  <c r="CM162" i="25"/>
  <c r="CN162" i="25" s="1"/>
  <c r="CE162" i="25"/>
  <c r="CD162" i="25"/>
  <c r="CC162" i="25"/>
  <c r="CA162" i="25"/>
  <c r="BZ162" i="25"/>
  <c r="EH161" i="25"/>
  <c r="EG161" i="25"/>
  <c r="EF161" i="25"/>
  <c r="EE161" i="25"/>
  <c r="ED161" i="25"/>
  <c r="EC161" i="25"/>
  <c r="DO161" i="25" s="1"/>
  <c r="EB161" i="25"/>
  <c r="EA161" i="25"/>
  <c r="DZ161" i="25"/>
  <c r="DY161" i="25"/>
  <c r="DU161" i="25"/>
  <c r="DS161" i="25"/>
  <c r="DQ161" i="25"/>
  <c r="DP161" i="25"/>
  <c r="DH161" i="25"/>
  <c r="DG161" i="25"/>
  <c r="DN161" i="25" s="1"/>
  <c r="DF161" i="25"/>
  <c r="CV161" i="25"/>
  <c r="CU161" i="25"/>
  <c r="CM161" i="25"/>
  <c r="CN161" i="25" s="1"/>
  <c r="CE161" i="25"/>
  <c r="CD161" i="25"/>
  <c r="CC161" i="25"/>
  <c r="CA161" i="25"/>
  <c r="BZ161" i="25"/>
  <c r="EH9" i="25"/>
  <c r="EG9" i="25"/>
  <c r="EF9" i="25"/>
  <c r="EE9" i="25"/>
  <c r="ED9" i="25"/>
  <c r="EC9" i="25"/>
  <c r="DO9" i="25" s="1"/>
  <c r="EB9" i="25"/>
  <c r="EA9" i="25"/>
  <c r="DZ9" i="25"/>
  <c r="DY9" i="25"/>
  <c r="DU9" i="25"/>
  <c r="DS9" i="25"/>
  <c r="DQ9" i="25"/>
  <c r="DP9" i="25"/>
  <c r="DH9" i="25"/>
  <c r="DG9" i="25"/>
  <c r="DN9" i="25" s="1"/>
  <c r="DF9" i="25"/>
  <c r="CV9" i="25"/>
  <c r="CU9" i="25"/>
  <c r="CM9" i="25"/>
  <c r="CN9" i="25" s="1"/>
  <c r="CE9" i="25"/>
  <c r="CD9" i="25"/>
  <c r="CC9" i="25"/>
  <c r="CA9" i="25"/>
  <c r="BZ9" i="25"/>
  <c r="EH160" i="25"/>
  <c r="EG160" i="25"/>
  <c r="EF160" i="25"/>
  <c r="EE160" i="25"/>
  <c r="ED160" i="25"/>
  <c r="EC160" i="25"/>
  <c r="DO160" i="25" s="1"/>
  <c r="EB160" i="25"/>
  <c r="EA160" i="25"/>
  <c r="DZ160" i="25"/>
  <c r="DY160" i="25"/>
  <c r="DU160" i="25"/>
  <c r="DS160" i="25"/>
  <c r="DQ160" i="25"/>
  <c r="DP160" i="25"/>
  <c r="DH160" i="25"/>
  <c r="DG160" i="25"/>
  <c r="DN160" i="25" s="1"/>
  <c r="DF160" i="25"/>
  <c r="CV160" i="25"/>
  <c r="CU160" i="25"/>
  <c r="CM160" i="25"/>
  <c r="CN160" i="25" s="1"/>
  <c r="CE160" i="25"/>
  <c r="CD160" i="25"/>
  <c r="CC160" i="25"/>
  <c r="CA160" i="25"/>
  <c r="BZ160" i="25"/>
  <c r="EH84" i="25"/>
  <c r="EG84" i="25"/>
  <c r="EF84" i="25"/>
  <c r="EE84" i="25"/>
  <c r="ED84" i="25"/>
  <c r="EC84" i="25"/>
  <c r="DO84" i="25" s="1"/>
  <c r="EB84" i="25"/>
  <c r="EA84" i="25"/>
  <c r="DZ84" i="25"/>
  <c r="DY84" i="25"/>
  <c r="DU84" i="25"/>
  <c r="DS84" i="25"/>
  <c r="DQ84" i="25"/>
  <c r="DP84" i="25"/>
  <c r="DH84" i="25"/>
  <c r="DG84" i="25"/>
  <c r="DN84" i="25" s="1"/>
  <c r="DF84" i="25"/>
  <c r="CV84" i="25"/>
  <c r="CU84" i="25"/>
  <c r="CM84" i="25"/>
  <c r="CN84" i="25" s="1"/>
  <c r="CE84" i="25"/>
  <c r="CD84" i="25"/>
  <c r="CC84" i="25"/>
  <c r="CA84" i="25"/>
  <c r="BZ84" i="25"/>
  <c r="EH193" i="25"/>
  <c r="EG193" i="25"/>
  <c r="EF193" i="25"/>
  <c r="EE193" i="25"/>
  <c r="ED193" i="25"/>
  <c r="EC193" i="25"/>
  <c r="DO193" i="25" s="1"/>
  <c r="EB193" i="25"/>
  <c r="EA193" i="25"/>
  <c r="DZ193" i="25"/>
  <c r="DY193" i="25"/>
  <c r="DU193" i="25"/>
  <c r="DS193" i="25"/>
  <c r="DQ193" i="25"/>
  <c r="DR193" i="25" s="1"/>
  <c r="DP193" i="25"/>
  <c r="DH193" i="25"/>
  <c r="DG193" i="25"/>
  <c r="DF193" i="25"/>
  <c r="CV193" i="25"/>
  <c r="CU193" i="25"/>
  <c r="CM193" i="25"/>
  <c r="CN193" i="25" s="1"/>
  <c r="CE193" i="25"/>
  <c r="CD193" i="25"/>
  <c r="CC193" i="25"/>
  <c r="CA193" i="25"/>
  <c r="BZ193" i="25"/>
  <c r="EH56" i="25"/>
  <c r="EG56" i="25"/>
  <c r="EF56" i="25"/>
  <c r="EE56" i="25"/>
  <c r="ED56" i="25"/>
  <c r="EC56" i="25"/>
  <c r="DO56" i="25" s="1"/>
  <c r="EB56" i="25"/>
  <c r="EA56" i="25"/>
  <c r="DZ56" i="25"/>
  <c r="DY56" i="25"/>
  <c r="DU56" i="25"/>
  <c r="DS56" i="25"/>
  <c r="DQ56" i="25"/>
  <c r="DR56" i="25" s="1"/>
  <c r="DP56" i="25"/>
  <c r="DH56" i="25"/>
  <c r="DG56" i="25"/>
  <c r="DN56" i="25" s="1"/>
  <c r="DF56" i="25"/>
  <c r="CV56" i="25"/>
  <c r="CU56" i="25"/>
  <c r="CM56" i="25"/>
  <c r="CN56" i="25" s="1"/>
  <c r="CE56" i="25"/>
  <c r="CD56" i="25"/>
  <c r="CC56" i="25"/>
  <c r="CA56" i="25"/>
  <c r="BZ56" i="25"/>
  <c r="EH82" i="25"/>
  <c r="EG82" i="25"/>
  <c r="EF82" i="25"/>
  <c r="EE82" i="25"/>
  <c r="ED82" i="25"/>
  <c r="EC82" i="25"/>
  <c r="DO82" i="25" s="1"/>
  <c r="EB82" i="25"/>
  <c r="EA82" i="25"/>
  <c r="DZ82" i="25"/>
  <c r="DY82" i="25"/>
  <c r="DU82" i="25"/>
  <c r="DS82" i="25"/>
  <c r="DQ82" i="25"/>
  <c r="DT82" i="25" s="1"/>
  <c r="DP82" i="25"/>
  <c r="DH82" i="25"/>
  <c r="DG82" i="25"/>
  <c r="DN82" i="25" s="1"/>
  <c r="DF82" i="25"/>
  <c r="CV82" i="25"/>
  <c r="CU82" i="25"/>
  <c r="CM82" i="25"/>
  <c r="CN82" i="25" s="1"/>
  <c r="CE82" i="25"/>
  <c r="CD82" i="25"/>
  <c r="CC82" i="25"/>
  <c r="CA82" i="25"/>
  <c r="BZ82" i="25"/>
  <c r="EH81" i="25"/>
  <c r="EG81" i="25"/>
  <c r="EF81" i="25"/>
  <c r="EE81" i="25"/>
  <c r="ED81" i="25"/>
  <c r="EC81" i="25"/>
  <c r="DO81" i="25" s="1"/>
  <c r="EB81" i="25"/>
  <c r="EA81" i="25"/>
  <c r="DZ81" i="25"/>
  <c r="DY81" i="25"/>
  <c r="DU81" i="25"/>
  <c r="DS81" i="25"/>
  <c r="DQ81" i="25"/>
  <c r="DP81" i="25"/>
  <c r="DH81" i="25"/>
  <c r="DG81" i="25"/>
  <c r="DN81" i="25" s="1"/>
  <c r="DF81" i="25"/>
  <c r="CV81" i="25"/>
  <c r="CU81" i="25"/>
  <c r="CM81" i="25"/>
  <c r="CN81" i="25" s="1"/>
  <c r="CE81" i="25"/>
  <c r="CD81" i="25"/>
  <c r="CC81" i="25"/>
  <c r="CA81" i="25"/>
  <c r="BZ81" i="25"/>
  <c r="EH55" i="25"/>
  <c r="EG55" i="25"/>
  <c r="EF55" i="25"/>
  <c r="EE55" i="25"/>
  <c r="ED55" i="25"/>
  <c r="EC55" i="25"/>
  <c r="DO55" i="25" s="1"/>
  <c r="EB55" i="25"/>
  <c r="EA55" i="25"/>
  <c r="DZ55" i="25"/>
  <c r="DY55" i="25"/>
  <c r="DU55" i="25"/>
  <c r="DS55" i="25"/>
  <c r="DQ55" i="25"/>
  <c r="DT55" i="25" s="1"/>
  <c r="DP55" i="25"/>
  <c r="DH55" i="25"/>
  <c r="DG55" i="25"/>
  <c r="DN55" i="25" s="1"/>
  <c r="DF55" i="25"/>
  <c r="CV55" i="25"/>
  <c r="CU55" i="25"/>
  <c r="CM55" i="25"/>
  <c r="CE55" i="25"/>
  <c r="CD55" i="25"/>
  <c r="CC55" i="25"/>
  <c r="CA55" i="25"/>
  <c r="BZ55" i="25"/>
  <c r="EH77" i="25"/>
  <c r="EG77" i="25"/>
  <c r="EF77" i="25"/>
  <c r="EE77" i="25"/>
  <c r="ED77" i="25"/>
  <c r="EC77" i="25"/>
  <c r="DO77" i="25" s="1"/>
  <c r="EB77" i="25"/>
  <c r="EA77" i="25"/>
  <c r="DZ77" i="25"/>
  <c r="DY77" i="25"/>
  <c r="DU77" i="25"/>
  <c r="DS77" i="25"/>
  <c r="DQ77" i="25"/>
  <c r="DT77" i="25" s="1"/>
  <c r="DP77" i="25"/>
  <c r="DH77" i="25"/>
  <c r="DG77" i="25"/>
  <c r="DN77" i="25" s="1"/>
  <c r="DF77" i="25"/>
  <c r="CV77" i="25"/>
  <c r="CU77" i="25"/>
  <c r="CM77" i="25"/>
  <c r="CN77" i="25" s="1"/>
  <c r="CE77" i="25"/>
  <c r="CD77" i="25"/>
  <c r="CC77" i="25"/>
  <c r="CA77" i="25"/>
  <c r="BZ77" i="25"/>
  <c r="EH135" i="25"/>
  <c r="EG135" i="25"/>
  <c r="EF135" i="25"/>
  <c r="EE135" i="25"/>
  <c r="ED135" i="25"/>
  <c r="EC135" i="25"/>
  <c r="DO135" i="25" s="1"/>
  <c r="EB135" i="25"/>
  <c r="EA135" i="25"/>
  <c r="DZ135" i="25"/>
  <c r="DY135" i="25"/>
  <c r="DU135" i="25"/>
  <c r="DS135" i="25"/>
  <c r="DQ135" i="25"/>
  <c r="DR135" i="25" s="1"/>
  <c r="DP135" i="25"/>
  <c r="DH135" i="25"/>
  <c r="DG135" i="25"/>
  <c r="DN135" i="25" s="1"/>
  <c r="DF135" i="25"/>
  <c r="CV135" i="25"/>
  <c r="CU135" i="25"/>
  <c r="CM135" i="25"/>
  <c r="CE135" i="25"/>
  <c r="CD135" i="25"/>
  <c r="CC135" i="25"/>
  <c r="CA135" i="25"/>
  <c r="BZ135" i="25"/>
  <c r="EH76" i="25"/>
  <c r="EG76" i="25"/>
  <c r="EF76" i="25"/>
  <c r="EE76" i="25"/>
  <c r="ED76" i="25"/>
  <c r="EC76" i="25"/>
  <c r="DO76" i="25" s="1"/>
  <c r="EB76" i="25"/>
  <c r="EA76" i="25"/>
  <c r="DZ76" i="25"/>
  <c r="DY76" i="25"/>
  <c r="DU76" i="25"/>
  <c r="DS76" i="25"/>
  <c r="DQ76" i="25"/>
  <c r="DT76" i="25" s="1"/>
  <c r="DP76" i="25"/>
  <c r="DH76" i="25"/>
  <c r="DG76" i="25"/>
  <c r="DN76" i="25" s="1"/>
  <c r="DF76" i="25"/>
  <c r="CV76" i="25"/>
  <c r="CU76" i="25"/>
  <c r="CM76" i="25"/>
  <c r="CE76" i="25"/>
  <c r="CD76" i="25"/>
  <c r="CC76" i="25"/>
  <c r="CA76" i="25"/>
  <c r="BZ76" i="25"/>
  <c r="EH191" i="25"/>
  <c r="EG191" i="25"/>
  <c r="EF191" i="25"/>
  <c r="EE191" i="25"/>
  <c r="ED191" i="25"/>
  <c r="EC191" i="25"/>
  <c r="DO191" i="25" s="1"/>
  <c r="EB191" i="25"/>
  <c r="EA191" i="25"/>
  <c r="DZ191" i="25"/>
  <c r="DY191" i="25"/>
  <c r="DU191" i="25"/>
  <c r="DS191" i="25"/>
  <c r="DQ191" i="25"/>
  <c r="DP191" i="25"/>
  <c r="DH191" i="25"/>
  <c r="DG191" i="25"/>
  <c r="DN191" i="25" s="1"/>
  <c r="DF191" i="25"/>
  <c r="CV191" i="25"/>
  <c r="CU191" i="25"/>
  <c r="CM191" i="25"/>
  <c r="CE191" i="25"/>
  <c r="CD191" i="25"/>
  <c r="CC191" i="25"/>
  <c r="CA191" i="25"/>
  <c r="BZ191" i="25"/>
  <c r="EG189" i="25"/>
  <c r="EF189" i="25"/>
  <c r="EE189" i="25"/>
  <c r="ED189" i="25"/>
  <c r="EC189" i="25"/>
  <c r="DO189" i="25" s="1"/>
  <c r="EB189" i="25"/>
  <c r="EA189" i="25"/>
  <c r="DZ189" i="25"/>
  <c r="DY189" i="25"/>
  <c r="DU189" i="25"/>
  <c r="DS189" i="25"/>
  <c r="DQ189" i="25"/>
  <c r="DT189" i="25" s="1"/>
  <c r="DP189" i="25"/>
  <c r="DH189" i="25"/>
  <c r="DG189" i="25"/>
  <c r="DN189" i="25" s="1"/>
  <c r="DF189" i="25"/>
  <c r="CV189" i="25"/>
  <c r="CU189" i="25"/>
  <c r="CM189" i="25"/>
  <c r="CN189" i="25" s="1"/>
  <c r="CE189" i="25"/>
  <c r="CD189" i="25"/>
  <c r="CC189" i="25"/>
  <c r="CA189" i="25"/>
  <c r="BZ189" i="25"/>
  <c r="EH190" i="25"/>
  <c r="EG190" i="25"/>
  <c r="EF190" i="25"/>
  <c r="EE190" i="25"/>
  <c r="ED190" i="25"/>
  <c r="EC190" i="25"/>
  <c r="DO190" i="25" s="1"/>
  <c r="EB190" i="25"/>
  <c r="EA190" i="25"/>
  <c r="DZ190" i="25"/>
  <c r="DY190" i="25"/>
  <c r="DU190" i="25"/>
  <c r="DS190" i="25"/>
  <c r="DQ190" i="25"/>
  <c r="DT190" i="25" s="1"/>
  <c r="DP190" i="25"/>
  <c r="DH190" i="25"/>
  <c r="DG190" i="25"/>
  <c r="DN190" i="25" s="1"/>
  <c r="DF190" i="25"/>
  <c r="CV190" i="25"/>
  <c r="CU190" i="25"/>
  <c r="CM190" i="25"/>
  <c r="CN190" i="25" s="1"/>
  <c r="CE190" i="25"/>
  <c r="CD190" i="25"/>
  <c r="CC190" i="25"/>
  <c r="CA190" i="25"/>
  <c r="BZ190" i="25"/>
  <c r="EH154" i="25"/>
  <c r="EG154" i="25"/>
  <c r="EF154" i="25"/>
  <c r="EE154" i="25"/>
  <c r="ED154" i="25"/>
  <c r="EC154" i="25"/>
  <c r="DO154" i="25" s="1"/>
  <c r="EB154" i="25"/>
  <c r="EA154" i="25"/>
  <c r="DZ154" i="25"/>
  <c r="DY154" i="25"/>
  <c r="DU154" i="25"/>
  <c r="DS154" i="25"/>
  <c r="DQ154" i="25"/>
  <c r="DT154" i="25" s="1"/>
  <c r="DP154" i="25"/>
  <c r="DH154" i="25"/>
  <c r="DG154" i="25"/>
  <c r="DN154" i="25" s="1"/>
  <c r="DF154" i="25"/>
  <c r="CV154" i="25"/>
  <c r="CU154" i="25"/>
  <c r="CM154" i="25"/>
  <c r="CN154" i="25" s="1"/>
  <c r="CE154" i="25"/>
  <c r="CD154" i="25"/>
  <c r="CC154" i="25"/>
  <c r="CA154" i="25"/>
  <c r="BZ154" i="25"/>
  <c r="EH143" i="25"/>
  <c r="EG143" i="25"/>
  <c r="EF143" i="25"/>
  <c r="EE143" i="25"/>
  <c r="ED143" i="25"/>
  <c r="EC143" i="25"/>
  <c r="DO143" i="25" s="1"/>
  <c r="EB143" i="25"/>
  <c r="EA143" i="25"/>
  <c r="DZ143" i="25"/>
  <c r="DY143" i="25"/>
  <c r="DU143" i="25"/>
  <c r="DS143" i="25"/>
  <c r="DQ143" i="25"/>
  <c r="DR143" i="25" s="1"/>
  <c r="DP143" i="25"/>
  <c r="DH143" i="25"/>
  <c r="DG143" i="25"/>
  <c r="DN143" i="25" s="1"/>
  <c r="DF143" i="25"/>
  <c r="CV143" i="25"/>
  <c r="CU143" i="25"/>
  <c r="CM143" i="25"/>
  <c r="CN143" i="25" s="1"/>
  <c r="CE143" i="25"/>
  <c r="CD143" i="25"/>
  <c r="CC143" i="25"/>
  <c r="CA143" i="25"/>
  <c r="BZ143" i="25"/>
  <c r="EH140" i="25"/>
  <c r="EG140" i="25"/>
  <c r="EF140" i="25"/>
  <c r="EE140" i="25"/>
  <c r="ED140" i="25"/>
  <c r="EC140" i="25"/>
  <c r="DO140" i="25" s="1"/>
  <c r="EB140" i="25"/>
  <c r="EA140" i="25"/>
  <c r="DZ140" i="25"/>
  <c r="DY140" i="25"/>
  <c r="DU140" i="25"/>
  <c r="DS140" i="25"/>
  <c r="DQ140" i="25"/>
  <c r="DR140" i="25" s="1"/>
  <c r="DP140" i="25"/>
  <c r="DH140" i="25"/>
  <c r="DG140" i="25"/>
  <c r="DF140" i="25"/>
  <c r="CV140" i="25"/>
  <c r="CU140" i="25"/>
  <c r="CM140" i="25"/>
  <c r="CN140" i="25" s="1"/>
  <c r="CE140" i="25"/>
  <c r="CD140" i="25"/>
  <c r="CC140" i="25"/>
  <c r="CA140" i="25"/>
  <c r="BZ140" i="25"/>
  <c r="M26" i="122"/>
  <c r="M24" i="122"/>
  <c r="M23" i="122"/>
  <c r="M22" i="122"/>
  <c r="M21" i="122"/>
  <c r="M20" i="122"/>
  <c r="M19" i="122"/>
  <c r="M18" i="122"/>
  <c r="M17" i="122"/>
  <c r="M16" i="122"/>
  <c r="M15" i="122"/>
  <c r="M14" i="122"/>
  <c r="M13" i="122"/>
  <c r="M12" i="122"/>
  <c r="M11" i="122"/>
  <c r="M10" i="122"/>
  <c r="M9" i="122"/>
  <c r="M8" i="122"/>
  <c r="M7" i="122"/>
  <c r="M6" i="122"/>
  <c r="F170" i="92"/>
  <c r="E186" i="92"/>
  <c r="E184" i="92"/>
  <c r="K140" i="92"/>
  <c r="K139" i="92"/>
  <c r="C140" i="92"/>
  <c r="K141" i="92"/>
  <c r="D168" i="92"/>
  <c r="D140" i="92"/>
  <c r="D141" i="92"/>
  <c r="D170" i="92"/>
  <c r="D431" i="92"/>
  <c r="C186" i="92"/>
  <c r="F386" i="92"/>
  <c r="E385" i="92"/>
  <c r="K143" i="92"/>
  <c r="D386" i="92"/>
  <c r="C139" i="92"/>
  <c r="K145" i="92"/>
  <c r="D186" i="92"/>
  <c r="D385" i="92"/>
  <c r="C168" i="92"/>
  <c r="C184" i="92"/>
  <c r="G138" i="92"/>
  <c r="D415" i="92"/>
  <c r="C229" i="92"/>
  <c r="C143" i="92"/>
  <c r="K142" i="92"/>
  <c r="D145" i="92"/>
  <c r="C170" i="92"/>
  <c r="E168" i="92"/>
  <c r="K144" i="92"/>
  <c r="D430" i="92"/>
  <c r="C226" i="92"/>
  <c r="D139" i="92"/>
  <c r="E170" i="92"/>
  <c r="G139" i="92"/>
  <c r="D184" i="92"/>
  <c r="C141" i="92"/>
  <c r="E386" i="92"/>
  <c r="F385" i="92"/>
  <c r="C142" i="92"/>
  <c r="C144" i="92"/>
  <c r="D143" i="92"/>
  <c r="C145" i="92"/>
  <c r="C230" i="92"/>
  <c r="D417" i="92"/>
  <c r="D432" i="92"/>
  <c r="D144" i="92"/>
  <c r="D416" i="92"/>
  <c r="F168" i="92"/>
  <c r="ED267" i="25" l="1"/>
  <c r="ED472" i="25"/>
  <c r="ED262" i="25"/>
  <c r="ED464" i="25"/>
  <c r="EE262" i="25"/>
  <c r="EE464" i="25"/>
  <c r="ED66" i="25"/>
  <c r="EE66" i="25"/>
  <c r="EE267" i="25"/>
  <c r="ED31" i="25"/>
  <c r="ED231" i="25"/>
  <c r="EE31" i="25"/>
  <c r="EE231" i="25"/>
  <c r="CX73" i="25"/>
  <c r="CX23" i="25"/>
  <c r="CX25" i="25"/>
  <c r="CX180" i="25"/>
  <c r="CX159" i="25"/>
  <c r="CX137" i="25"/>
  <c r="CX74" i="25"/>
  <c r="CX127" i="25"/>
  <c r="CX185" i="25"/>
  <c r="CX128" i="25"/>
  <c r="CX79" i="25"/>
  <c r="CX145" i="25"/>
  <c r="CX92" i="25"/>
  <c r="CX150" i="25"/>
  <c r="CX142" i="25"/>
  <c r="CX112" i="25"/>
  <c r="CX201" i="25"/>
  <c r="CX167" i="25"/>
  <c r="CX56" i="25"/>
  <c r="CX170" i="25"/>
  <c r="CX12" i="25"/>
  <c r="CX62" i="25"/>
  <c r="CX57" i="25"/>
  <c r="CX168" i="25"/>
  <c r="CX176" i="25"/>
  <c r="CX94" i="25"/>
  <c r="CX16" i="25"/>
  <c r="CX19" i="25"/>
  <c r="CX197" i="25"/>
  <c r="CX151" i="25"/>
  <c r="CX154" i="25"/>
  <c r="CX191" i="25"/>
  <c r="CX81" i="25"/>
  <c r="CX160" i="25"/>
  <c r="CX204" i="25"/>
  <c r="CX177" i="25"/>
  <c r="CX27" i="25"/>
  <c r="CX30" i="25"/>
  <c r="CX35" i="25"/>
  <c r="CX41" i="25"/>
  <c r="CX182" i="25"/>
  <c r="CX157" i="25"/>
  <c r="CX186" i="25"/>
  <c r="CX130" i="25"/>
  <c r="CX78" i="25"/>
  <c r="CX95" i="25"/>
  <c r="CX133" i="25"/>
  <c r="CX119" i="25"/>
  <c r="CI57" i="25"/>
  <c r="CK57" i="25" s="1"/>
  <c r="CI167" i="25"/>
  <c r="CK167" i="25" s="1"/>
  <c r="CL167" i="25" s="1"/>
  <c r="CP167" i="25" s="1"/>
  <c r="CQ167" i="25" s="1"/>
  <c r="CT167" i="25" s="1"/>
  <c r="CI170" i="25"/>
  <c r="CK170" i="25" s="1"/>
  <c r="CL170" i="25" s="1"/>
  <c r="CX140" i="25"/>
  <c r="CX193" i="25"/>
  <c r="CX10" i="25"/>
  <c r="CX172" i="25"/>
  <c r="CX147" i="25"/>
  <c r="CX86" i="25"/>
  <c r="CX15" i="25"/>
  <c r="CX99" i="25"/>
  <c r="CX195" i="25"/>
  <c r="CX120" i="25"/>
  <c r="CX202" i="25"/>
  <c r="CX33" i="25"/>
  <c r="CX141" i="25"/>
  <c r="CX43" i="25"/>
  <c r="CX45" i="25"/>
  <c r="CX50" i="25"/>
  <c r="CX187" i="25"/>
  <c r="CX189" i="25"/>
  <c r="CX135" i="25"/>
  <c r="CX161" i="25"/>
  <c r="CX164" i="25"/>
  <c r="CX58" i="25"/>
  <c r="CX97" i="25"/>
  <c r="CX18" i="25"/>
  <c r="CX20" i="25"/>
  <c r="CX194" i="25"/>
  <c r="CX199" i="25"/>
  <c r="CI12" i="25"/>
  <c r="CK12" i="25" s="1"/>
  <c r="CL12" i="25" s="1"/>
  <c r="CP12" i="25" s="1"/>
  <c r="CQ12" i="25" s="1"/>
  <c r="CT12" i="25" s="1"/>
  <c r="CI204" i="25"/>
  <c r="CK204" i="25" s="1"/>
  <c r="CL204" i="25" s="1"/>
  <c r="CP204" i="25" s="1"/>
  <c r="CQ204" i="25" s="1"/>
  <c r="CT204" i="25" s="1"/>
  <c r="CI150" i="25"/>
  <c r="CK150" i="25" s="1"/>
  <c r="CI66" i="25"/>
  <c r="CK66" i="25" s="1"/>
  <c r="CL66" i="25" s="1"/>
  <c r="CI142" i="25"/>
  <c r="CK142" i="25" s="1"/>
  <c r="CX179" i="25"/>
  <c r="CX38" i="25"/>
  <c r="CI42" i="25"/>
  <c r="CX42" i="25"/>
  <c r="CI184" i="25"/>
  <c r="CK184" i="25" s="1"/>
  <c r="CL184" i="25" s="1"/>
  <c r="CP184" i="25" s="1"/>
  <c r="CQ184" i="25" s="1"/>
  <c r="CT184" i="25" s="1"/>
  <c r="CX184" i="25"/>
  <c r="CI53" i="25"/>
  <c r="CK53" i="25" s="1"/>
  <c r="CO53" i="25" s="1"/>
  <c r="CR53" i="25" s="1"/>
  <c r="CS53" i="25" s="1"/>
  <c r="CX53" i="25"/>
  <c r="CI87" i="25"/>
  <c r="CX87" i="25"/>
  <c r="CI134" i="25"/>
  <c r="CK134" i="25" s="1"/>
  <c r="CX134" i="25"/>
  <c r="CX104" i="25"/>
  <c r="CX77" i="25"/>
  <c r="CX162" i="25"/>
  <c r="CX165" i="25"/>
  <c r="CX98" i="25"/>
  <c r="CX148" i="25"/>
  <c r="CX100" i="25"/>
  <c r="CX101" i="25"/>
  <c r="CX106" i="25"/>
  <c r="CX24" i="25"/>
  <c r="CX28" i="25"/>
  <c r="CX70" i="25"/>
  <c r="CX36" i="25"/>
  <c r="CW36" i="25" s="1"/>
  <c r="DE36" i="25" s="1"/>
  <c r="CX124" i="25"/>
  <c r="CX46" i="25"/>
  <c r="CX48" i="25"/>
  <c r="CX152" i="25"/>
  <c r="CX153" i="25"/>
  <c r="CX83" i="25"/>
  <c r="CX102" i="25"/>
  <c r="CX105" i="25"/>
  <c r="CW105" i="25" s="1"/>
  <c r="DE105" i="25" s="1"/>
  <c r="CX113" i="25"/>
  <c r="CX121" i="25"/>
  <c r="CW121" i="25" s="1"/>
  <c r="DE121" i="25" s="1"/>
  <c r="CX126" i="25"/>
  <c r="CX88" i="25"/>
  <c r="CX108" i="25"/>
  <c r="CX115" i="25"/>
  <c r="CI55" i="25"/>
  <c r="CK55" i="25" s="1"/>
  <c r="CL55" i="25" s="1"/>
  <c r="CX85" i="25"/>
  <c r="CX166" i="25"/>
  <c r="CX136" i="25"/>
  <c r="CX174" i="25"/>
  <c r="CX146" i="25"/>
  <c r="CX21" i="25"/>
  <c r="CX192" i="25"/>
  <c r="CX103" i="25"/>
  <c r="CX200" i="25"/>
  <c r="CX29" i="25"/>
  <c r="CX178" i="25"/>
  <c r="CX32" i="25"/>
  <c r="CX54" i="25"/>
  <c r="CX125" i="25"/>
  <c r="CX49" i="25"/>
  <c r="CX52" i="25"/>
  <c r="CX132" i="25"/>
  <c r="CX107" i="25"/>
  <c r="CX114" i="25"/>
  <c r="CX122" i="25"/>
  <c r="CX131" i="25"/>
  <c r="CW131" i="25" s="1"/>
  <c r="DE131" i="25" s="1"/>
  <c r="CX59" i="25"/>
  <c r="CX55" i="25"/>
  <c r="CX65" i="25"/>
  <c r="CX68" i="25"/>
  <c r="CX75" i="25"/>
  <c r="CX71" i="25"/>
  <c r="CX110" i="25"/>
  <c r="CX117" i="25"/>
  <c r="CI77" i="25"/>
  <c r="CK77" i="25" s="1"/>
  <c r="CL77" i="25" s="1"/>
  <c r="CP77" i="25" s="1"/>
  <c r="CQ77" i="25" s="1"/>
  <c r="CT77" i="25" s="1"/>
  <c r="CI162" i="25"/>
  <c r="CK162" i="25" s="1"/>
  <c r="CI165" i="25"/>
  <c r="CK165" i="25" s="1"/>
  <c r="CI59" i="25"/>
  <c r="CK59" i="25" s="1"/>
  <c r="CL59" i="25" s="1"/>
  <c r="CX60" i="25"/>
  <c r="CX61" i="25"/>
  <c r="CI98" i="25"/>
  <c r="CK98" i="25" s="1"/>
  <c r="CX64" i="25"/>
  <c r="CI148" i="25"/>
  <c r="CK148" i="25" s="1"/>
  <c r="CI100" i="25"/>
  <c r="CK100" i="25" s="1"/>
  <c r="CI101" i="25"/>
  <c r="CK101" i="25" s="1"/>
  <c r="CI106" i="25"/>
  <c r="CK106" i="25" s="1"/>
  <c r="CI24" i="25"/>
  <c r="CK24" i="25" s="1"/>
  <c r="CL24" i="25" s="1"/>
  <c r="CI28" i="25"/>
  <c r="CK28" i="25" s="1"/>
  <c r="CX69" i="25"/>
  <c r="CI70" i="25"/>
  <c r="CK70" i="25" s="1"/>
  <c r="CI36" i="25"/>
  <c r="CK36" i="25" s="1"/>
  <c r="CL36" i="25" s="1"/>
  <c r="CI124" i="25"/>
  <c r="CK124" i="25" s="1"/>
  <c r="CL124" i="25" s="1"/>
  <c r="CI46" i="25"/>
  <c r="CK46" i="25" s="1"/>
  <c r="CI48" i="25"/>
  <c r="CK48" i="25" s="1"/>
  <c r="CL48" i="25" s="1"/>
  <c r="CI152" i="25"/>
  <c r="CK152" i="25" s="1"/>
  <c r="CO152" i="25" s="1"/>
  <c r="CR152" i="25" s="1"/>
  <c r="CS152" i="25" s="1"/>
  <c r="CI153" i="25"/>
  <c r="CK153" i="25" s="1"/>
  <c r="CL153" i="25" s="1"/>
  <c r="CI83" i="25"/>
  <c r="CK83" i="25" s="1"/>
  <c r="CI102" i="25"/>
  <c r="CK102" i="25" s="1"/>
  <c r="CI105" i="25"/>
  <c r="CK105" i="25" s="1"/>
  <c r="CI113" i="25"/>
  <c r="CK113" i="25" s="1"/>
  <c r="CI121" i="25"/>
  <c r="CK121" i="25" s="1"/>
  <c r="CO121" i="25" s="1"/>
  <c r="CR121" i="25" s="1"/>
  <c r="CS121" i="25" s="1"/>
  <c r="CI126" i="25"/>
  <c r="CK126" i="25" s="1"/>
  <c r="CL126" i="25" s="1"/>
  <c r="CP126" i="25" s="1"/>
  <c r="CQ126" i="25" s="1"/>
  <c r="CT126" i="25" s="1"/>
  <c r="CI190" i="25"/>
  <c r="CK190" i="25" s="1"/>
  <c r="CX190" i="25"/>
  <c r="CI76" i="25"/>
  <c r="CK76" i="25" s="1"/>
  <c r="CL76" i="25" s="1"/>
  <c r="CX76" i="25"/>
  <c r="CI82" i="25"/>
  <c r="CK82" i="25" s="1"/>
  <c r="CL82" i="25" s="1"/>
  <c r="CP82" i="25" s="1"/>
  <c r="CQ82" i="25" s="1"/>
  <c r="CT82" i="25" s="1"/>
  <c r="CX82" i="25"/>
  <c r="CI9" i="25"/>
  <c r="CK9" i="25" s="1"/>
  <c r="CL9" i="25" s="1"/>
  <c r="CP9" i="25" s="1"/>
  <c r="CQ9" i="25" s="1"/>
  <c r="CT9" i="25" s="1"/>
  <c r="CX9" i="25"/>
  <c r="CI163" i="25"/>
  <c r="CK163" i="25" s="1"/>
  <c r="CL163" i="25" s="1"/>
  <c r="CX163" i="25"/>
  <c r="CI169" i="25"/>
  <c r="CK169" i="25" s="1"/>
  <c r="CL169" i="25" s="1"/>
  <c r="CX169" i="25"/>
  <c r="CI203" i="25"/>
  <c r="CK203" i="25" s="1"/>
  <c r="CO203" i="25" s="1"/>
  <c r="CR203" i="25" s="1"/>
  <c r="CS203" i="25" s="1"/>
  <c r="CI14" i="25"/>
  <c r="CK14" i="25" s="1"/>
  <c r="CL14" i="25" s="1"/>
  <c r="CX14" i="25"/>
  <c r="CI96" i="25"/>
  <c r="CK96" i="25" s="1"/>
  <c r="CX96" i="25"/>
  <c r="CI17" i="25"/>
  <c r="CK17" i="25" s="1"/>
  <c r="CX17" i="25"/>
  <c r="CI139" i="25"/>
  <c r="CK139" i="25" s="1"/>
  <c r="CX139" i="25"/>
  <c r="CI198" i="25"/>
  <c r="CK198" i="25" s="1"/>
  <c r="CX198" i="25"/>
  <c r="CI205" i="25"/>
  <c r="CK205" i="25" s="1"/>
  <c r="CX206" i="25"/>
  <c r="CI144" i="25"/>
  <c r="CK144" i="25" s="1"/>
  <c r="CL144" i="25" s="1"/>
  <c r="CX144" i="25"/>
  <c r="CW144" i="25" s="1"/>
  <c r="DE144" i="25" s="1"/>
  <c r="CI26" i="25"/>
  <c r="CK26" i="25" s="1"/>
  <c r="CX26" i="25"/>
  <c r="CI31" i="25"/>
  <c r="CK31" i="25" s="1"/>
  <c r="CL31" i="25" s="1"/>
  <c r="CP31" i="25" s="1"/>
  <c r="CQ31" i="25" s="1"/>
  <c r="CT31" i="25" s="1"/>
  <c r="CX31" i="25"/>
  <c r="CI181" i="25"/>
  <c r="CK181" i="25" s="1"/>
  <c r="CL181" i="25" s="1"/>
  <c r="CP181" i="25" s="1"/>
  <c r="CQ181" i="25" s="1"/>
  <c r="CT181" i="25" s="1"/>
  <c r="CX181" i="25"/>
  <c r="CI40" i="25"/>
  <c r="CK40" i="25" s="1"/>
  <c r="CX40" i="25"/>
  <c r="CI156" i="25"/>
  <c r="CK156" i="25" s="1"/>
  <c r="CX156" i="25"/>
  <c r="CI138" i="25"/>
  <c r="CK138" i="25" s="1"/>
  <c r="CL138" i="25" s="1"/>
  <c r="CX138" i="25"/>
  <c r="CI183" i="25"/>
  <c r="CK183" i="25" s="1"/>
  <c r="CL183" i="25" s="1"/>
  <c r="CX183" i="25"/>
  <c r="CI51" i="25"/>
  <c r="CK51" i="25" s="1"/>
  <c r="CL51" i="25" s="1"/>
  <c r="CP51" i="25" s="1"/>
  <c r="CQ51" i="25" s="1"/>
  <c r="CT51" i="25" s="1"/>
  <c r="CX51" i="25"/>
  <c r="CI129" i="25"/>
  <c r="CK129" i="25" s="1"/>
  <c r="CL129" i="25" s="1"/>
  <c r="CP129" i="25" s="1"/>
  <c r="CQ129" i="25" s="1"/>
  <c r="CT129" i="25" s="1"/>
  <c r="CX129" i="25"/>
  <c r="CI80" i="25"/>
  <c r="CK80" i="25" s="1"/>
  <c r="CX80" i="25"/>
  <c r="CI90" i="25"/>
  <c r="CK90" i="25" s="1"/>
  <c r="CX90" i="25"/>
  <c r="CI93" i="25"/>
  <c r="CK93" i="25" s="1"/>
  <c r="CX93" i="25"/>
  <c r="CI111" i="25"/>
  <c r="CK111" i="25" s="1"/>
  <c r="CX111" i="25"/>
  <c r="CI118" i="25"/>
  <c r="CK118" i="25" s="1"/>
  <c r="CX118" i="25"/>
  <c r="CX203" i="25"/>
  <c r="CX205" i="25"/>
  <c r="CX84" i="25"/>
  <c r="CX175" i="25"/>
  <c r="CX196" i="25"/>
  <c r="CX149" i="25"/>
  <c r="CX22" i="25"/>
  <c r="CX34" i="25"/>
  <c r="CX39" i="25"/>
  <c r="CX44" i="25"/>
  <c r="CX155" i="25"/>
  <c r="CX158" i="25"/>
  <c r="CX188" i="25"/>
  <c r="CX89" i="25"/>
  <c r="CX109" i="25"/>
  <c r="CW109" i="25" s="1"/>
  <c r="DE109" i="25" s="1"/>
  <c r="CX116" i="25"/>
  <c r="CX143" i="25"/>
  <c r="CX11" i="25"/>
  <c r="CX171" i="25"/>
  <c r="CX173" i="25"/>
  <c r="CX91" i="25"/>
  <c r="CX63" i="25"/>
  <c r="CX67" i="25"/>
  <c r="CX72" i="25"/>
  <c r="CX123" i="25"/>
  <c r="CX66" i="25"/>
  <c r="CI140" i="25"/>
  <c r="CK140" i="25" s="1"/>
  <c r="CI193" i="25"/>
  <c r="CK193" i="25" s="1"/>
  <c r="CO193" i="25" s="1"/>
  <c r="CR193" i="25" s="1"/>
  <c r="CS193" i="25" s="1"/>
  <c r="CI10" i="25"/>
  <c r="CK10" i="25" s="1"/>
  <c r="CL10" i="25" s="1"/>
  <c r="CI172" i="25"/>
  <c r="CK172" i="25" s="1"/>
  <c r="CL172" i="25" s="1"/>
  <c r="CI147" i="25"/>
  <c r="CK147" i="25" s="1"/>
  <c r="CL147" i="25" s="1"/>
  <c r="CP147" i="25" s="1"/>
  <c r="CQ147" i="25" s="1"/>
  <c r="CT147" i="25" s="1"/>
  <c r="CI86" i="25"/>
  <c r="CK86" i="25" s="1"/>
  <c r="CI15" i="25"/>
  <c r="CK15" i="25" s="1"/>
  <c r="CI99" i="25"/>
  <c r="CK99" i="25" s="1"/>
  <c r="CI195" i="25"/>
  <c r="CK195" i="25" s="1"/>
  <c r="CI120" i="25"/>
  <c r="CK120" i="25" s="1"/>
  <c r="CI206" i="25"/>
  <c r="CK206" i="25" s="1"/>
  <c r="CL206" i="25" s="1"/>
  <c r="CI202" i="25"/>
  <c r="CK202" i="25" s="1"/>
  <c r="CL202" i="25" s="1"/>
  <c r="CI33" i="25"/>
  <c r="CK33" i="25" s="1"/>
  <c r="CI141" i="25"/>
  <c r="CK141" i="25" s="1"/>
  <c r="CL141" i="25" s="1"/>
  <c r="CI43" i="25"/>
  <c r="CK43" i="25" s="1"/>
  <c r="CL43" i="25" s="1"/>
  <c r="CI45" i="25"/>
  <c r="CK45" i="25" s="1"/>
  <c r="CL45" i="25" s="1"/>
  <c r="CI50" i="25"/>
  <c r="CK50" i="25" s="1"/>
  <c r="CI187" i="25"/>
  <c r="CK187" i="25" s="1"/>
  <c r="CL187" i="25" s="1"/>
  <c r="CI88" i="25"/>
  <c r="CK88" i="25" s="1"/>
  <c r="CO88" i="25" s="1"/>
  <c r="CR88" i="25" s="1"/>
  <c r="CS88" i="25" s="1"/>
  <c r="CI108" i="25"/>
  <c r="CK108" i="25" s="1"/>
  <c r="CI115" i="25"/>
  <c r="CK115" i="25" s="1"/>
  <c r="CI85" i="25"/>
  <c r="CK85" i="25" s="1"/>
  <c r="CI166" i="25"/>
  <c r="CK166" i="25" s="1"/>
  <c r="CI136" i="25"/>
  <c r="CK136" i="25" s="1"/>
  <c r="CI174" i="25"/>
  <c r="CK174" i="25" s="1"/>
  <c r="CO174" i="25" s="1"/>
  <c r="CR174" i="25" s="1"/>
  <c r="CS174" i="25" s="1"/>
  <c r="CI146" i="25"/>
  <c r="CK146" i="25" s="1"/>
  <c r="CI65" i="25"/>
  <c r="CK65" i="25" s="1"/>
  <c r="CL65" i="25" s="1"/>
  <c r="CP65" i="25" s="1"/>
  <c r="CQ65" i="25" s="1"/>
  <c r="CT65" i="25" s="1"/>
  <c r="CI21" i="25"/>
  <c r="CK21" i="25" s="1"/>
  <c r="CI192" i="25"/>
  <c r="CK192" i="25" s="1"/>
  <c r="CI103" i="25"/>
  <c r="CK103" i="25" s="1"/>
  <c r="CI200" i="25"/>
  <c r="CK200" i="25" s="1"/>
  <c r="CI68" i="25"/>
  <c r="CK68" i="25" s="1"/>
  <c r="CL68" i="25" s="1"/>
  <c r="CI29" i="25"/>
  <c r="CK29" i="25" s="1"/>
  <c r="CI178" i="25"/>
  <c r="CK178" i="25" s="1"/>
  <c r="CI32" i="25"/>
  <c r="CK32" i="25" s="1"/>
  <c r="CI54" i="25"/>
  <c r="CK54" i="25" s="1"/>
  <c r="CI125" i="25"/>
  <c r="CK125" i="25" s="1"/>
  <c r="CL125" i="25" s="1"/>
  <c r="CI75" i="25"/>
  <c r="CK75" i="25" s="1"/>
  <c r="CL75" i="25" s="1"/>
  <c r="CI49" i="25"/>
  <c r="CK49" i="25" s="1"/>
  <c r="CL49" i="25" s="1"/>
  <c r="CP49" i="25" s="1"/>
  <c r="CQ49" i="25" s="1"/>
  <c r="CT49" i="25" s="1"/>
  <c r="CI52" i="25"/>
  <c r="CK52" i="25" s="1"/>
  <c r="CO52" i="25" s="1"/>
  <c r="CR52" i="25" s="1"/>
  <c r="CS52" i="25" s="1"/>
  <c r="CI132" i="25"/>
  <c r="CK132" i="25" s="1"/>
  <c r="CI107" i="25"/>
  <c r="CK107" i="25" s="1"/>
  <c r="CI114" i="25"/>
  <c r="CK114" i="25" s="1"/>
  <c r="CI122" i="25"/>
  <c r="CK122" i="25" s="1"/>
  <c r="CO122" i="25" s="1"/>
  <c r="CR122" i="25" s="1"/>
  <c r="CS122" i="25" s="1"/>
  <c r="CI131" i="25"/>
  <c r="CK131" i="25" s="1"/>
  <c r="CL131" i="25" s="1"/>
  <c r="CI143" i="25"/>
  <c r="CK143" i="25" s="1"/>
  <c r="CI84" i="25"/>
  <c r="CK84" i="25" s="1"/>
  <c r="CI11" i="25"/>
  <c r="CK11" i="25" s="1"/>
  <c r="CL11" i="25" s="1"/>
  <c r="CP11" i="25" s="1"/>
  <c r="CQ11" i="25" s="1"/>
  <c r="CT11" i="25" s="1"/>
  <c r="CI171" i="25"/>
  <c r="CK171" i="25" s="1"/>
  <c r="CL171" i="25" s="1"/>
  <c r="CI173" i="25"/>
  <c r="CK173" i="25" s="1"/>
  <c r="CL173" i="25" s="1"/>
  <c r="CI175" i="25"/>
  <c r="CK175" i="25" s="1"/>
  <c r="CO175" i="25" s="1"/>
  <c r="CR175" i="25" s="1"/>
  <c r="CS175" i="25" s="1"/>
  <c r="CI63" i="25"/>
  <c r="CK63" i="25" s="1"/>
  <c r="CI196" i="25"/>
  <c r="CK196" i="25" s="1"/>
  <c r="CI149" i="25"/>
  <c r="CK149" i="25" s="1"/>
  <c r="CI22" i="25"/>
  <c r="CK22" i="25" s="1"/>
  <c r="CI72" i="25"/>
  <c r="CK72" i="25" s="1"/>
  <c r="CI34" i="25"/>
  <c r="CK34" i="25" s="1"/>
  <c r="CI39" i="25"/>
  <c r="CK39" i="25" s="1"/>
  <c r="CI44" i="25"/>
  <c r="CK44" i="25" s="1"/>
  <c r="CI155" i="25"/>
  <c r="CK155" i="25" s="1"/>
  <c r="CL155" i="25" s="1"/>
  <c r="CI158" i="25"/>
  <c r="CK158" i="25" s="1"/>
  <c r="CI188" i="25"/>
  <c r="CK188" i="25" s="1"/>
  <c r="CL188" i="25" s="1"/>
  <c r="CI89" i="25"/>
  <c r="CK89" i="25" s="1"/>
  <c r="CL89" i="25" s="1"/>
  <c r="CI109" i="25"/>
  <c r="CK109" i="25" s="1"/>
  <c r="CI116" i="25"/>
  <c r="CK116" i="25" s="1"/>
  <c r="CI91" i="25"/>
  <c r="CK91" i="25" s="1"/>
  <c r="CI67" i="25"/>
  <c r="CK67" i="25" s="1"/>
  <c r="CI189" i="25"/>
  <c r="CK189" i="25" s="1"/>
  <c r="CI135" i="25"/>
  <c r="CK135" i="25" s="1"/>
  <c r="CI56" i="25"/>
  <c r="CK56" i="25" s="1"/>
  <c r="CL56" i="25" s="1"/>
  <c r="CP56" i="25" s="1"/>
  <c r="CQ56" i="25" s="1"/>
  <c r="CT56" i="25" s="1"/>
  <c r="CI161" i="25"/>
  <c r="CK161" i="25" s="1"/>
  <c r="CI164" i="25"/>
  <c r="CK164" i="25" s="1"/>
  <c r="CI58" i="25"/>
  <c r="CK58" i="25" s="1"/>
  <c r="CL58" i="25" s="1"/>
  <c r="CI62" i="25"/>
  <c r="CK62" i="25" s="1"/>
  <c r="CL62" i="25" s="1"/>
  <c r="CI97" i="25"/>
  <c r="CK97" i="25" s="1"/>
  <c r="CI18" i="25"/>
  <c r="CK18" i="25" s="1"/>
  <c r="CI20" i="25"/>
  <c r="CK20" i="25" s="1"/>
  <c r="CI194" i="25"/>
  <c r="CK194" i="25" s="1"/>
  <c r="CI199" i="25"/>
  <c r="CK199" i="25" s="1"/>
  <c r="CI177" i="25"/>
  <c r="CK177" i="25" s="1"/>
  <c r="CL177" i="25" s="1"/>
  <c r="CI27" i="25"/>
  <c r="CK27" i="25" s="1"/>
  <c r="CL27" i="25" s="1"/>
  <c r="CP27" i="25" s="1"/>
  <c r="CQ27" i="25" s="1"/>
  <c r="CT27" i="25" s="1"/>
  <c r="CI30" i="25"/>
  <c r="CK30" i="25" s="1"/>
  <c r="CL30" i="25" s="1"/>
  <c r="CI35" i="25"/>
  <c r="CK35" i="25" s="1"/>
  <c r="CI41" i="25"/>
  <c r="CK41" i="25" s="1"/>
  <c r="CI73" i="25"/>
  <c r="CK73" i="25" s="1"/>
  <c r="CL73" i="25" s="1"/>
  <c r="CI182" i="25"/>
  <c r="CK182" i="25" s="1"/>
  <c r="CI157" i="25"/>
  <c r="CK157" i="25" s="1"/>
  <c r="CL157" i="25" s="1"/>
  <c r="CI186" i="25"/>
  <c r="CK186" i="25" s="1"/>
  <c r="CL186" i="25" s="1"/>
  <c r="CP186" i="25" s="1"/>
  <c r="CQ186" i="25" s="1"/>
  <c r="CT186" i="25" s="1"/>
  <c r="CI130" i="25"/>
  <c r="CK130" i="25" s="1"/>
  <c r="CL130" i="25" s="1"/>
  <c r="CI78" i="25"/>
  <c r="CK78" i="25" s="1"/>
  <c r="CI95" i="25"/>
  <c r="CK95" i="25" s="1"/>
  <c r="CI133" i="25"/>
  <c r="CK133" i="25" s="1"/>
  <c r="CI119" i="25"/>
  <c r="CK119" i="25" s="1"/>
  <c r="CI123" i="25"/>
  <c r="CK123" i="25" s="1"/>
  <c r="CI112" i="25"/>
  <c r="CK112" i="25" s="1"/>
  <c r="CI201" i="25"/>
  <c r="CK201" i="25" s="1"/>
  <c r="CL201" i="25" s="1"/>
  <c r="CP201" i="25" s="1"/>
  <c r="CQ201" i="25" s="1"/>
  <c r="CT201" i="25" s="1"/>
  <c r="CI71" i="25"/>
  <c r="CK71" i="25" s="1"/>
  <c r="CL71" i="25" s="1"/>
  <c r="CI179" i="25"/>
  <c r="CK179" i="25" s="1"/>
  <c r="CI38" i="25"/>
  <c r="CK38" i="25" s="1"/>
  <c r="CI104" i="25"/>
  <c r="CK104" i="25" s="1"/>
  <c r="CL104" i="25" s="1"/>
  <c r="CI154" i="25"/>
  <c r="CK154" i="25" s="1"/>
  <c r="CI191" i="25"/>
  <c r="CK191" i="25" s="1"/>
  <c r="CL191" i="25" s="1"/>
  <c r="CI81" i="25"/>
  <c r="CK81" i="25" s="1"/>
  <c r="CI160" i="25"/>
  <c r="CK160" i="25" s="1"/>
  <c r="CI168" i="25"/>
  <c r="CK168" i="25" s="1"/>
  <c r="CL168" i="25" s="1"/>
  <c r="CI60" i="25"/>
  <c r="CK60" i="25" s="1"/>
  <c r="CL60" i="25" s="1"/>
  <c r="CI61" i="25"/>
  <c r="CK61" i="25" s="1"/>
  <c r="CL61" i="25" s="1"/>
  <c r="CI176" i="25"/>
  <c r="CK176" i="25" s="1"/>
  <c r="CO176" i="25" s="1"/>
  <c r="CR176" i="25" s="1"/>
  <c r="CS176" i="25" s="1"/>
  <c r="CI94" i="25"/>
  <c r="CK94" i="25" s="1"/>
  <c r="CI64" i="25"/>
  <c r="CK64" i="25" s="1"/>
  <c r="CL64" i="25" s="1"/>
  <c r="CP64" i="25" s="1"/>
  <c r="CQ64" i="25" s="1"/>
  <c r="CT64" i="25" s="1"/>
  <c r="CI16" i="25"/>
  <c r="CK16" i="25" s="1"/>
  <c r="CI19" i="25"/>
  <c r="CK19" i="25" s="1"/>
  <c r="CI197" i="25"/>
  <c r="CK197" i="25" s="1"/>
  <c r="CI151" i="25"/>
  <c r="CK151" i="25" s="1"/>
  <c r="CI23" i="25"/>
  <c r="CK23" i="25" s="1"/>
  <c r="CL23" i="25" s="1"/>
  <c r="CP23" i="25" s="1"/>
  <c r="CQ23" i="25" s="1"/>
  <c r="CT23" i="25" s="1"/>
  <c r="CI25" i="25"/>
  <c r="CK25" i="25" s="1"/>
  <c r="CI69" i="25"/>
  <c r="CK69" i="25" s="1"/>
  <c r="CI180" i="25"/>
  <c r="CK180" i="25" s="1"/>
  <c r="CI159" i="25"/>
  <c r="CK159" i="25" s="1"/>
  <c r="CL159" i="25" s="1"/>
  <c r="CI137" i="25"/>
  <c r="CK137" i="25" s="1"/>
  <c r="CI74" i="25"/>
  <c r="CK74" i="25" s="1"/>
  <c r="CL74" i="25" s="1"/>
  <c r="CI127" i="25"/>
  <c r="CK127" i="25" s="1"/>
  <c r="CL127" i="25" s="1"/>
  <c r="CI185" i="25"/>
  <c r="CK185" i="25" s="1"/>
  <c r="CI128" i="25"/>
  <c r="CK128" i="25" s="1"/>
  <c r="CL128" i="25" s="1"/>
  <c r="CI79" i="25"/>
  <c r="CK79" i="25" s="1"/>
  <c r="CI145" i="25"/>
  <c r="CK145" i="25" s="1"/>
  <c r="CI92" i="25"/>
  <c r="CK92" i="25" s="1"/>
  <c r="CI110" i="25"/>
  <c r="CK110" i="25" s="1"/>
  <c r="CI117" i="25"/>
  <c r="CK117" i="25" s="1"/>
  <c r="DC143" i="25"/>
  <c r="DC136" i="25"/>
  <c r="DC62" i="25"/>
  <c r="DC50" i="25"/>
  <c r="DC52" i="25"/>
  <c r="DC126" i="25"/>
  <c r="DC104" i="25"/>
  <c r="DC85" i="25"/>
  <c r="DC61" i="25"/>
  <c r="DC21" i="25"/>
  <c r="DC99" i="25"/>
  <c r="DC194" i="25"/>
  <c r="DC107" i="25"/>
  <c r="DC163" i="25"/>
  <c r="DC167" i="25"/>
  <c r="DC65" i="25"/>
  <c r="DC17" i="25"/>
  <c r="DC31" i="25"/>
  <c r="DC70" i="25"/>
  <c r="DC36" i="25"/>
  <c r="DC38" i="25"/>
  <c r="DC77" i="25"/>
  <c r="DC14" i="25"/>
  <c r="DC79" i="25"/>
  <c r="DC154" i="25"/>
  <c r="DC81" i="25"/>
  <c r="DC60" i="25"/>
  <c r="DC170" i="25"/>
  <c r="DC48" i="25"/>
  <c r="DC188" i="25"/>
  <c r="DC131" i="25"/>
  <c r="DD131" i="25" s="1"/>
  <c r="DC9" i="25"/>
  <c r="DC162" i="25"/>
  <c r="DC139" i="25"/>
  <c r="DC24" i="25"/>
  <c r="DC105" i="25"/>
  <c r="DC109" i="25"/>
  <c r="DC121" i="25"/>
  <c r="DC57" i="25"/>
  <c r="DC164" i="25"/>
  <c r="DC10" i="25"/>
  <c r="DC58" i="25"/>
  <c r="DC18" i="25"/>
  <c r="DC192" i="25"/>
  <c r="DC25" i="25"/>
  <c r="DC27" i="25"/>
  <c r="DC72" i="25"/>
  <c r="DC32" i="25"/>
  <c r="DC54" i="25"/>
  <c r="DC141" i="25"/>
  <c r="DC159" i="25"/>
  <c r="DC137" i="25"/>
  <c r="DC191" i="25"/>
  <c r="DC171" i="25"/>
  <c r="DC138" i="25"/>
  <c r="DC46" i="25"/>
  <c r="DC80" i="25"/>
  <c r="DC83" i="25"/>
  <c r="DC87" i="25"/>
  <c r="CJ85" i="25"/>
  <c r="CJ65" i="25"/>
  <c r="CJ19" i="25"/>
  <c r="CJ20" i="25"/>
  <c r="CJ21" i="25"/>
  <c r="CJ99" i="25"/>
  <c r="CJ194" i="25"/>
  <c r="CJ103" i="25"/>
  <c r="CJ195" i="25"/>
  <c r="CJ197" i="25"/>
  <c r="CJ199" i="25"/>
  <c r="CJ200" i="25"/>
  <c r="CJ120" i="25"/>
  <c r="CJ151" i="25"/>
  <c r="CJ202" i="25"/>
  <c r="CJ23" i="25"/>
  <c r="CJ177" i="25"/>
  <c r="CJ68" i="25"/>
  <c r="CJ30" i="25"/>
  <c r="CJ178" i="25"/>
  <c r="CJ107" i="25"/>
  <c r="CJ108" i="25"/>
  <c r="CJ110" i="25"/>
  <c r="CJ133" i="25"/>
  <c r="CJ114" i="25"/>
  <c r="CJ115" i="25"/>
  <c r="CJ117" i="25"/>
  <c r="CJ119" i="25"/>
  <c r="CJ122" i="25"/>
  <c r="CJ123" i="25"/>
  <c r="CJ193" i="25"/>
  <c r="CJ160" i="25"/>
  <c r="CJ161" i="25"/>
  <c r="CJ12" i="25"/>
  <c r="CJ175" i="25"/>
  <c r="CJ203" i="25"/>
  <c r="CJ163" i="25"/>
  <c r="CJ165" i="25"/>
  <c r="CJ167" i="25"/>
  <c r="CJ11" i="25"/>
  <c r="CJ169" i="25"/>
  <c r="CJ59" i="25"/>
  <c r="CJ17" i="25"/>
  <c r="CJ100" i="25"/>
  <c r="CJ201" i="25"/>
  <c r="CJ26" i="25"/>
  <c r="CJ28" i="25"/>
  <c r="CJ31" i="25"/>
  <c r="CJ70" i="25"/>
  <c r="CJ179" i="25"/>
  <c r="CJ34" i="25"/>
  <c r="CJ181" i="25"/>
  <c r="CJ36" i="25"/>
  <c r="CJ38" i="25"/>
  <c r="CJ39" i="25"/>
  <c r="CJ40" i="25"/>
  <c r="CJ124" i="25"/>
  <c r="CJ42" i="25"/>
  <c r="CJ44" i="25"/>
  <c r="CJ156" i="25"/>
  <c r="CJ93" i="25"/>
  <c r="CJ102" i="25"/>
  <c r="CJ76" i="25"/>
  <c r="CJ77" i="25"/>
  <c r="CJ60" i="25"/>
  <c r="CJ14" i="25"/>
  <c r="CJ45" i="25"/>
  <c r="CJ74" i="25"/>
  <c r="CJ182" i="25"/>
  <c r="CJ75" i="25"/>
  <c r="CJ79" i="25"/>
  <c r="CJ88" i="25"/>
  <c r="CJ145" i="25"/>
  <c r="CJ140" i="25"/>
  <c r="CJ154" i="25"/>
  <c r="CJ189" i="25"/>
  <c r="CJ81" i="25"/>
  <c r="CJ56" i="25"/>
  <c r="CJ170" i="25"/>
  <c r="CJ173" i="25"/>
  <c r="CJ86" i="25"/>
  <c r="CJ94" i="25"/>
  <c r="CJ97" i="25"/>
  <c r="CJ146" i="25"/>
  <c r="CJ15" i="25"/>
  <c r="CJ64" i="25"/>
  <c r="CJ69" i="25"/>
  <c r="CJ183" i="25"/>
  <c r="CJ48" i="25"/>
  <c r="CJ184" i="25"/>
  <c r="CJ158" i="25"/>
  <c r="CJ51" i="25"/>
  <c r="CJ152" i="25"/>
  <c r="CJ53" i="25"/>
  <c r="CJ188" i="25"/>
  <c r="CJ129" i="25"/>
  <c r="CJ153" i="25"/>
  <c r="CJ131" i="25"/>
  <c r="CJ84" i="25"/>
  <c r="CJ9" i="25"/>
  <c r="CJ162" i="25"/>
  <c r="CJ57" i="25"/>
  <c r="CJ174" i="25"/>
  <c r="CJ147" i="25"/>
  <c r="CJ176" i="25"/>
  <c r="CJ139" i="25"/>
  <c r="CJ148" i="25"/>
  <c r="CJ66" i="25"/>
  <c r="CJ67" i="25"/>
  <c r="CJ101" i="25"/>
  <c r="CJ142" i="25"/>
  <c r="CJ196" i="25"/>
  <c r="CJ198" i="25"/>
  <c r="CJ106" i="25"/>
  <c r="CJ112" i="25"/>
  <c r="CJ149" i="25"/>
  <c r="CJ205" i="25"/>
  <c r="CJ22" i="25"/>
  <c r="CJ144" i="25"/>
  <c r="CJ24" i="25"/>
  <c r="CJ71" i="25"/>
  <c r="CJ72" i="25"/>
  <c r="CJ105" i="25"/>
  <c r="CJ109" i="25"/>
  <c r="CJ111" i="25"/>
  <c r="CJ113" i="25"/>
  <c r="CJ134" i="25"/>
  <c r="CJ116" i="25"/>
  <c r="CJ118" i="25"/>
  <c r="CJ121" i="25"/>
  <c r="CJ164" i="25"/>
  <c r="CJ166" i="25"/>
  <c r="CJ10" i="25"/>
  <c r="CJ168" i="25"/>
  <c r="CJ58" i="25"/>
  <c r="CJ204" i="25"/>
  <c r="CJ16" i="25"/>
  <c r="CJ18" i="25"/>
  <c r="CJ192" i="25"/>
  <c r="CJ206" i="25"/>
  <c r="CJ25" i="25"/>
  <c r="CJ27" i="25"/>
  <c r="CJ29" i="25"/>
  <c r="CJ32" i="25"/>
  <c r="CJ33" i="25"/>
  <c r="CJ180" i="25"/>
  <c r="CJ35" i="25"/>
  <c r="CJ54" i="25"/>
  <c r="CJ141" i="25"/>
  <c r="CJ159" i="25"/>
  <c r="CJ41" i="25"/>
  <c r="CJ125" i="25"/>
  <c r="CJ43" i="25"/>
  <c r="CJ137" i="25"/>
  <c r="CJ73" i="25"/>
  <c r="CJ92" i="25"/>
  <c r="CJ95" i="25"/>
  <c r="CJ132" i="25"/>
  <c r="CJ191" i="25"/>
  <c r="CJ135" i="25"/>
  <c r="CJ55" i="25"/>
  <c r="CJ171" i="25"/>
  <c r="CJ62" i="25"/>
  <c r="CJ155" i="25"/>
  <c r="CJ138" i="25"/>
  <c r="CJ46" i="25"/>
  <c r="CJ80" i="25"/>
  <c r="CJ83" i="25"/>
  <c r="CJ87" i="25"/>
  <c r="CJ89" i="25"/>
  <c r="CJ90" i="25"/>
  <c r="CJ143" i="25"/>
  <c r="CJ190" i="25"/>
  <c r="CJ82" i="25"/>
  <c r="CJ136" i="25"/>
  <c r="CJ172" i="25"/>
  <c r="CJ61" i="25"/>
  <c r="CJ91" i="25"/>
  <c r="CJ96" i="25"/>
  <c r="CJ98" i="25"/>
  <c r="CJ150" i="25"/>
  <c r="CJ63" i="25"/>
  <c r="CJ127" i="25"/>
  <c r="CJ157" i="25"/>
  <c r="CJ49" i="25"/>
  <c r="CJ50" i="25"/>
  <c r="CJ185" i="25"/>
  <c r="CJ186" i="25"/>
  <c r="CJ52" i="25"/>
  <c r="CJ187" i="25"/>
  <c r="CJ128" i="25"/>
  <c r="CJ130" i="25"/>
  <c r="CJ78" i="25"/>
  <c r="CJ126" i="25"/>
  <c r="CJ104" i="25"/>
  <c r="CY165" i="25"/>
  <c r="DC165" i="25"/>
  <c r="DC11" i="25"/>
  <c r="DC172" i="25"/>
  <c r="DC94" i="25"/>
  <c r="DC146" i="25"/>
  <c r="CZ100" i="25"/>
  <c r="DB100" i="25" s="1"/>
  <c r="DX100" i="25" s="1"/>
  <c r="DC100" i="25"/>
  <c r="CY68" i="25"/>
  <c r="DC68" i="25"/>
  <c r="CZ28" i="25"/>
  <c r="DB28" i="25" s="1"/>
  <c r="DX28" i="25" s="1"/>
  <c r="DC28" i="25"/>
  <c r="CZ34" i="25"/>
  <c r="DB34" i="25" s="1"/>
  <c r="DX34" i="25" s="1"/>
  <c r="DC34" i="25"/>
  <c r="DC39" i="25"/>
  <c r="DC124" i="25"/>
  <c r="DC44" i="25"/>
  <c r="CZ157" i="25"/>
  <c r="DB157" i="25" s="1"/>
  <c r="DX157" i="25" s="1"/>
  <c r="DC157" i="25"/>
  <c r="CZ186" i="25"/>
  <c r="DB186" i="25" s="1"/>
  <c r="DX186" i="25" s="1"/>
  <c r="DC186" i="25"/>
  <c r="DC187" i="25"/>
  <c r="CY130" i="25"/>
  <c r="DC130" i="25"/>
  <c r="DC78" i="25"/>
  <c r="DC102" i="25"/>
  <c r="CZ84" i="25"/>
  <c r="DB84" i="25" s="1"/>
  <c r="DX84" i="25" s="1"/>
  <c r="DC84" i="25"/>
  <c r="CY59" i="25"/>
  <c r="DC59" i="25"/>
  <c r="CY12" i="25"/>
  <c r="DC12" i="25"/>
  <c r="DC204" i="25"/>
  <c r="CZ64" i="25"/>
  <c r="DB64" i="25" s="1"/>
  <c r="DX64" i="25" s="1"/>
  <c r="DC64" i="25"/>
  <c r="CY148" i="25"/>
  <c r="DC148" i="25"/>
  <c r="DC101" i="25"/>
  <c r="DC196" i="25"/>
  <c r="DC106" i="25"/>
  <c r="DC149" i="25"/>
  <c r="CZ22" i="25"/>
  <c r="DB22" i="25" s="1"/>
  <c r="DX22" i="25" s="1"/>
  <c r="DC22" i="25"/>
  <c r="CZ69" i="25"/>
  <c r="DB69" i="25" s="1"/>
  <c r="DX69" i="25" s="1"/>
  <c r="DC69" i="25"/>
  <c r="CY45" i="25"/>
  <c r="DC45" i="25"/>
  <c r="CY182" i="25"/>
  <c r="DC182" i="25"/>
  <c r="CY88" i="25"/>
  <c r="DC88" i="25"/>
  <c r="DC113" i="25"/>
  <c r="CY116" i="25"/>
  <c r="DC116" i="25"/>
  <c r="DC55" i="25"/>
  <c r="CY203" i="25"/>
  <c r="DC203" i="25"/>
  <c r="DC91" i="25"/>
  <c r="DC98" i="25"/>
  <c r="DC67" i="25"/>
  <c r="CZ33" i="25"/>
  <c r="DB33" i="25" s="1"/>
  <c r="DX33" i="25" s="1"/>
  <c r="DC33" i="25"/>
  <c r="CZ35" i="25"/>
  <c r="DB35" i="25" s="1"/>
  <c r="DX35" i="25" s="1"/>
  <c r="DC35" i="25"/>
  <c r="DC41" i="25"/>
  <c r="DC43" i="25"/>
  <c r="CZ183" i="25"/>
  <c r="DB183" i="25" s="1"/>
  <c r="DX183" i="25" s="1"/>
  <c r="DC183" i="25"/>
  <c r="CZ184" i="25"/>
  <c r="DB184" i="25" s="1"/>
  <c r="DX184" i="25" s="1"/>
  <c r="DC184" i="25"/>
  <c r="CZ51" i="25"/>
  <c r="DB51" i="25" s="1"/>
  <c r="DX51" i="25" s="1"/>
  <c r="DC51" i="25"/>
  <c r="CY53" i="25"/>
  <c r="DC53" i="25"/>
  <c r="CY129" i="25"/>
  <c r="DC129" i="25"/>
  <c r="CY95" i="25"/>
  <c r="DC95" i="25"/>
  <c r="CZ193" i="25"/>
  <c r="DB193" i="25" s="1"/>
  <c r="DX193" i="25" s="1"/>
  <c r="DC193" i="25"/>
  <c r="CZ161" i="25"/>
  <c r="DB161" i="25" s="1"/>
  <c r="DX161" i="25" s="1"/>
  <c r="DC161" i="25"/>
  <c r="CY174" i="25"/>
  <c r="DC174" i="25"/>
  <c r="CY176" i="25"/>
  <c r="DC176" i="25"/>
  <c r="DC63" i="25"/>
  <c r="CY20" i="25"/>
  <c r="DC20" i="25"/>
  <c r="DC195" i="25"/>
  <c r="DC199" i="25"/>
  <c r="DC120" i="25"/>
  <c r="CZ206" i="25"/>
  <c r="DB206" i="25" s="1"/>
  <c r="DX206" i="25" s="1"/>
  <c r="DC206" i="25"/>
  <c r="CZ202" i="25"/>
  <c r="DB202" i="25" s="1"/>
  <c r="DX202" i="25" s="1"/>
  <c r="DC202" i="25"/>
  <c r="CY177" i="25"/>
  <c r="DC177" i="25"/>
  <c r="DC30" i="25"/>
  <c r="CZ73" i="25"/>
  <c r="DB73" i="25" s="1"/>
  <c r="DX73" i="25" s="1"/>
  <c r="DC73" i="25"/>
  <c r="CZ90" i="25"/>
  <c r="DB90" i="25" s="1"/>
  <c r="DX90" i="25" s="1"/>
  <c r="DC90" i="25"/>
  <c r="DC108" i="25"/>
  <c r="DC133" i="25"/>
  <c r="CZ115" i="25"/>
  <c r="DB115" i="25" s="1"/>
  <c r="DX115" i="25" s="1"/>
  <c r="DC115" i="25"/>
  <c r="CY119" i="25"/>
  <c r="DC119" i="25"/>
  <c r="CZ123" i="25"/>
  <c r="DB123" i="25" s="1"/>
  <c r="DX123" i="25" s="1"/>
  <c r="DC123" i="25"/>
  <c r="DC140" i="25"/>
  <c r="CY189" i="25"/>
  <c r="DC189" i="25"/>
  <c r="CY169" i="25"/>
  <c r="DC169" i="25"/>
  <c r="DC86" i="25"/>
  <c r="DC97" i="25"/>
  <c r="DC15" i="25"/>
  <c r="CY201" i="25"/>
  <c r="DC201" i="25"/>
  <c r="CZ26" i="25"/>
  <c r="DB26" i="25" s="1"/>
  <c r="DX26" i="25" s="1"/>
  <c r="DC26" i="25"/>
  <c r="CZ179" i="25"/>
  <c r="DB179" i="25" s="1"/>
  <c r="DX179" i="25" s="1"/>
  <c r="DC179" i="25"/>
  <c r="CZ181" i="25"/>
  <c r="DB181" i="25" s="1"/>
  <c r="DX181" i="25" s="1"/>
  <c r="DC181" i="25"/>
  <c r="DC40" i="25"/>
  <c r="DC42" i="25"/>
  <c r="CZ156" i="25"/>
  <c r="DB156" i="25" s="1"/>
  <c r="DX156" i="25" s="1"/>
  <c r="DC156" i="25"/>
  <c r="DC127" i="25"/>
  <c r="CZ49" i="25"/>
  <c r="DB49" i="25" s="1"/>
  <c r="DX49" i="25" s="1"/>
  <c r="DC49" i="25"/>
  <c r="DC185" i="25"/>
  <c r="DC128" i="25"/>
  <c r="CY93" i="25"/>
  <c r="DC93" i="25"/>
  <c r="DC135" i="25"/>
  <c r="DC56" i="25"/>
  <c r="CZ175" i="25"/>
  <c r="DB175" i="25" s="1"/>
  <c r="DX175" i="25" s="1"/>
  <c r="DC175" i="25"/>
  <c r="DC142" i="25"/>
  <c r="DC198" i="25"/>
  <c r="DC112" i="25"/>
  <c r="CY144" i="25"/>
  <c r="DC144" i="25"/>
  <c r="DC74" i="25"/>
  <c r="CZ145" i="25"/>
  <c r="DB145" i="25" s="1"/>
  <c r="DX145" i="25" s="1"/>
  <c r="DC145" i="25"/>
  <c r="DC111" i="25"/>
  <c r="DC134" i="25"/>
  <c r="DC118" i="25"/>
  <c r="CY190" i="25"/>
  <c r="DC190" i="25"/>
  <c r="CY82" i="25"/>
  <c r="DC82" i="25"/>
  <c r="DC166" i="25"/>
  <c r="DC168" i="25"/>
  <c r="DC173" i="25"/>
  <c r="DC96" i="25"/>
  <c r="DC150" i="25"/>
  <c r="CZ16" i="25"/>
  <c r="DB16" i="25" s="1"/>
  <c r="DX16" i="25" s="1"/>
  <c r="DC16" i="25"/>
  <c r="CY66" i="25"/>
  <c r="DC66" i="25"/>
  <c r="DC205" i="25"/>
  <c r="CZ29" i="25"/>
  <c r="DB29" i="25" s="1"/>
  <c r="DX29" i="25" s="1"/>
  <c r="DC29" i="25"/>
  <c r="CZ71" i="25"/>
  <c r="DB71" i="25" s="1"/>
  <c r="DX71" i="25" s="1"/>
  <c r="DC71" i="25"/>
  <c r="CZ180" i="25"/>
  <c r="DB180" i="25" s="1"/>
  <c r="DX180" i="25" s="1"/>
  <c r="DC180" i="25"/>
  <c r="DC125" i="25"/>
  <c r="DC75" i="25"/>
  <c r="DC158" i="25"/>
  <c r="CZ152" i="25"/>
  <c r="DB152" i="25" s="1"/>
  <c r="DX152" i="25" s="1"/>
  <c r="DC152" i="25"/>
  <c r="CY153" i="25"/>
  <c r="DC153" i="25"/>
  <c r="CZ92" i="25"/>
  <c r="DB92" i="25" s="1"/>
  <c r="DX92" i="25" s="1"/>
  <c r="DC92" i="25"/>
  <c r="DC132" i="25"/>
  <c r="DC76" i="25"/>
  <c r="CZ160" i="25"/>
  <c r="DB160" i="25" s="1"/>
  <c r="DX160" i="25" s="1"/>
  <c r="DC160" i="25"/>
  <c r="CZ147" i="25"/>
  <c r="DB147" i="25" s="1"/>
  <c r="DX147" i="25" s="1"/>
  <c r="DC147" i="25"/>
  <c r="CY19" i="25"/>
  <c r="DC19" i="25"/>
  <c r="DC103" i="25"/>
  <c r="DC197" i="25"/>
  <c r="DC200" i="25"/>
  <c r="DC151" i="25"/>
  <c r="CZ23" i="25"/>
  <c r="DB23" i="25" s="1"/>
  <c r="DX23" i="25" s="1"/>
  <c r="DC23" i="25"/>
  <c r="CZ178" i="25"/>
  <c r="DB178" i="25" s="1"/>
  <c r="DX178" i="25" s="1"/>
  <c r="DC178" i="25"/>
  <c r="DC155" i="25"/>
  <c r="CZ89" i="25"/>
  <c r="DB89" i="25" s="1"/>
  <c r="DX89" i="25" s="1"/>
  <c r="DC89" i="25"/>
  <c r="DC110" i="25"/>
  <c r="DC114" i="25"/>
  <c r="CY117" i="25"/>
  <c r="DC117" i="25"/>
  <c r="CZ122" i="25"/>
  <c r="DB122" i="25" s="1"/>
  <c r="DX122" i="25" s="1"/>
  <c r="DC122" i="25"/>
  <c r="CY131" i="25"/>
  <c r="CZ153" i="25"/>
  <c r="DB153" i="25" s="1"/>
  <c r="DX153" i="25" s="1"/>
  <c r="DJ29" i="25"/>
  <c r="DK29" i="25" s="1"/>
  <c r="DL29" i="25" s="1"/>
  <c r="DJ55" i="25"/>
  <c r="DK55" i="25" s="1"/>
  <c r="DL55" i="25" s="1"/>
  <c r="DJ163" i="25"/>
  <c r="DK163" i="25" s="1"/>
  <c r="DL163" i="25" s="1"/>
  <c r="DJ136" i="25"/>
  <c r="DK136" i="25" s="1"/>
  <c r="DL136" i="25" s="1"/>
  <c r="DT140" i="25"/>
  <c r="DJ137" i="25"/>
  <c r="DK137" i="25" s="1"/>
  <c r="DL137" i="25" s="1"/>
  <c r="DT157" i="25"/>
  <c r="DJ119" i="25"/>
  <c r="DK119" i="25" s="1"/>
  <c r="DL119" i="25" s="1"/>
  <c r="DR82" i="25"/>
  <c r="CZ166" i="25"/>
  <c r="DB166" i="25" s="1"/>
  <c r="DX166" i="25" s="1"/>
  <c r="DR112" i="25"/>
  <c r="CZ59" i="25"/>
  <c r="DB59" i="25" s="1"/>
  <c r="DX59" i="25" s="1"/>
  <c r="DJ175" i="25"/>
  <c r="DK175" i="25" s="1"/>
  <c r="DL175" i="25" s="1"/>
  <c r="DJ167" i="25"/>
  <c r="DK167" i="25" s="1"/>
  <c r="DL167" i="25" s="1"/>
  <c r="DR11" i="25"/>
  <c r="DT60" i="25"/>
  <c r="DT136" i="25"/>
  <c r="CY204" i="25"/>
  <c r="DT34" i="25"/>
  <c r="CB36" i="25"/>
  <c r="DR159" i="25"/>
  <c r="CB125" i="25"/>
  <c r="CY184" i="25"/>
  <c r="DJ17" i="25"/>
  <c r="DK17" i="25" s="1"/>
  <c r="DL17" i="25" s="1"/>
  <c r="DJ180" i="25"/>
  <c r="DK180" i="25" s="1"/>
  <c r="DL180" i="25" s="1"/>
  <c r="DJ153" i="25"/>
  <c r="DK153" i="25" s="1"/>
  <c r="DL153" i="25" s="1"/>
  <c r="CB191" i="25"/>
  <c r="CB15" i="25"/>
  <c r="CB67" i="25"/>
  <c r="CB87" i="25"/>
  <c r="DJ117" i="25"/>
  <c r="DK117" i="25" s="1"/>
  <c r="DL117" i="25" s="1"/>
  <c r="DJ82" i="25"/>
  <c r="DK82" i="25" s="1"/>
  <c r="DL82" i="25" s="1"/>
  <c r="DJ57" i="25"/>
  <c r="DK57" i="25" s="1"/>
  <c r="DL57" i="25" s="1"/>
  <c r="CB170" i="25"/>
  <c r="DJ173" i="25"/>
  <c r="DK173" i="25" s="1"/>
  <c r="DL173" i="25" s="1"/>
  <c r="DJ112" i="25"/>
  <c r="DK112" i="25" s="1"/>
  <c r="DL112" i="25" s="1"/>
  <c r="DT67" i="25"/>
  <c r="CB136" i="25"/>
  <c r="DR16" i="25"/>
  <c r="DJ52" i="25"/>
  <c r="DK52" i="25" s="1"/>
  <c r="DL52" i="25" s="1"/>
  <c r="CB33" i="25"/>
  <c r="DJ191" i="25"/>
  <c r="DK191" i="25" s="1"/>
  <c r="DL191" i="25" s="1"/>
  <c r="DT194" i="25"/>
  <c r="DT106" i="25"/>
  <c r="DJ188" i="25"/>
  <c r="DK188" i="25" s="1"/>
  <c r="DL188" i="25" s="1"/>
  <c r="CZ119" i="25"/>
  <c r="DB119" i="25" s="1"/>
  <c r="DX119" i="25" s="1"/>
  <c r="CB161" i="25"/>
  <c r="CZ165" i="25"/>
  <c r="DB165" i="25" s="1"/>
  <c r="DX165" i="25" s="1"/>
  <c r="CB176" i="25"/>
  <c r="DT195" i="25"/>
  <c r="DJ159" i="25"/>
  <c r="DK159" i="25" s="1"/>
  <c r="DL159" i="25" s="1"/>
  <c r="CB45" i="25"/>
  <c r="CB118" i="25"/>
  <c r="CZ169" i="25"/>
  <c r="DB169" i="25" s="1"/>
  <c r="DX169" i="25" s="1"/>
  <c r="CY178" i="25"/>
  <c r="DJ56" i="25"/>
  <c r="DK56" i="25" s="1"/>
  <c r="DL56" i="25" s="1"/>
  <c r="DJ71" i="25"/>
  <c r="DK71" i="25" s="1"/>
  <c r="DL71" i="25" s="1"/>
  <c r="CB70" i="25"/>
  <c r="CB122" i="25"/>
  <c r="CB61" i="25"/>
  <c r="CZ12" i="25"/>
  <c r="DB12" i="25" s="1"/>
  <c r="DX12" i="25" s="1"/>
  <c r="CB30" i="25"/>
  <c r="CB127" i="25"/>
  <c r="CY186" i="25"/>
  <c r="DJ92" i="25"/>
  <c r="DK92" i="25" s="1"/>
  <c r="DL92" i="25" s="1"/>
  <c r="DJ81" i="25"/>
  <c r="DK81" i="25" s="1"/>
  <c r="DL81" i="25" s="1"/>
  <c r="DT203" i="25"/>
  <c r="CZ17" i="25"/>
  <c r="DB17" i="25" s="1"/>
  <c r="DX17" i="25" s="1"/>
  <c r="DR175" i="25"/>
  <c r="CY100" i="25"/>
  <c r="DT26" i="25"/>
  <c r="CY71" i="25"/>
  <c r="CB179" i="25"/>
  <c r="CB46" i="25"/>
  <c r="CY75" i="25"/>
  <c r="CB184" i="25"/>
  <c r="CB188" i="25"/>
  <c r="CB135" i="25"/>
  <c r="DJ168" i="25"/>
  <c r="DK168" i="25" s="1"/>
  <c r="DL168" i="25" s="1"/>
  <c r="CY206" i="25"/>
  <c r="CB23" i="25"/>
  <c r="CB32" i="25"/>
  <c r="DJ116" i="25"/>
  <c r="DK116" i="25" s="1"/>
  <c r="DL116" i="25" s="1"/>
  <c r="DR103" i="25"/>
  <c r="CB142" i="25"/>
  <c r="CB199" i="25"/>
  <c r="DR199" i="25"/>
  <c r="CY23" i="25"/>
  <c r="CY187" i="25"/>
  <c r="DT153" i="25"/>
  <c r="CY132" i="25"/>
  <c r="CB57" i="25"/>
  <c r="DR198" i="25"/>
  <c r="DT151" i="25"/>
  <c r="DR28" i="25"/>
  <c r="CB116" i="25"/>
  <c r="DT101" i="25"/>
  <c r="CY121" i="25"/>
  <c r="CB162" i="25"/>
  <c r="DJ164" i="25"/>
  <c r="DK164" i="25" s="1"/>
  <c r="DL164" i="25" s="1"/>
  <c r="DJ174" i="25"/>
  <c r="DK174" i="25" s="1"/>
  <c r="DL174" i="25" s="1"/>
  <c r="DJ12" i="25"/>
  <c r="DK12" i="25" s="1"/>
  <c r="DL12" i="25" s="1"/>
  <c r="CB94" i="25"/>
  <c r="CB146" i="25"/>
  <c r="CB120" i="25"/>
  <c r="DR120" i="25"/>
  <c r="DJ44" i="25"/>
  <c r="DK44" i="25" s="1"/>
  <c r="DL44" i="25" s="1"/>
  <c r="CB74" i="25"/>
  <c r="CB105" i="25"/>
  <c r="DR105" i="25"/>
  <c r="DR115" i="25"/>
  <c r="DR116" i="25"/>
  <c r="CZ118" i="25"/>
  <c r="DB118" i="25" s="1"/>
  <c r="DX118" i="25" s="1"/>
  <c r="CZ58" i="25"/>
  <c r="DB58" i="25" s="1"/>
  <c r="DX58" i="25" s="1"/>
  <c r="CY163" i="25"/>
  <c r="CZ163" i="25"/>
  <c r="DB163" i="25" s="1"/>
  <c r="DX163" i="25" s="1"/>
  <c r="CZ191" i="25"/>
  <c r="DB191" i="25" s="1"/>
  <c r="DX191" i="25" s="1"/>
  <c r="CY191" i="25"/>
  <c r="CB82" i="25"/>
  <c r="CZ10" i="25"/>
  <c r="DB10" i="25" s="1"/>
  <c r="DX10" i="25" s="1"/>
  <c r="DJ135" i="25"/>
  <c r="DK135" i="25" s="1"/>
  <c r="DL135" i="25" s="1"/>
  <c r="DT81" i="25"/>
  <c r="DR81" i="25"/>
  <c r="CY167" i="25"/>
  <c r="CB77" i="25"/>
  <c r="DR167" i="25"/>
  <c r="CY11" i="25"/>
  <c r="DR59" i="25"/>
  <c r="DJ147" i="25"/>
  <c r="DK147" i="25" s="1"/>
  <c r="DL147" i="25" s="1"/>
  <c r="DJ64" i="25"/>
  <c r="DK64" i="25" s="1"/>
  <c r="DL64" i="25" s="1"/>
  <c r="DJ16" i="25"/>
  <c r="DK16" i="25" s="1"/>
  <c r="DL16" i="25" s="1"/>
  <c r="DJ99" i="25"/>
  <c r="DK99" i="25" s="1"/>
  <c r="DL99" i="25" s="1"/>
  <c r="DJ198" i="25"/>
  <c r="DK198" i="25" s="1"/>
  <c r="DL198" i="25" s="1"/>
  <c r="DJ178" i="25"/>
  <c r="DK178" i="25" s="1"/>
  <c r="DL178" i="25" s="1"/>
  <c r="CB72" i="25"/>
  <c r="DT32" i="25"/>
  <c r="CB40" i="25"/>
  <c r="DJ124" i="25"/>
  <c r="DK124" i="25" s="1"/>
  <c r="DL124" i="25" s="1"/>
  <c r="CY43" i="25"/>
  <c r="CB73" i="25"/>
  <c r="DT130" i="25"/>
  <c r="DJ90" i="25"/>
  <c r="DK90" i="25" s="1"/>
  <c r="DL90" i="25" s="1"/>
  <c r="CB143" i="25"/>
  <c r="CZ11" i="25"/>
  <c r="DB11" i="25" s="1"/>
  <c r="DX11" i="25" s="1"/>
  <c r="DT171" i="25"/>
  <c r="CB12" i="25"/>
  <c r="CB14" i="25"/>
  <c r="DT149" i="25"/>
  <c r="CB180" i="25"/>
  <c r="CZ36" i="25"/>
  <c r="DB36" i="25" s="1"/>
  <c r="DX36" i="25" s="1"/>
  <c r="DT46" i="25"/>
  <c r="CB50" i="25"/>
  <c r="CB152" i="25"/>
  <c r="DJ130" i="25"/>
  <c r="DK130" i="25" s="1"/>
  <c r="DL130" i="25" s="1"/>
  <c r="DT78" i="25"/>
  <c r="CB126" i="25"/>
  <c r="CB131" i="25"/>
  <c r="CZ76" i="25"/>
  <c r="DB76" i="25" s="1"/>
  <c r="DX76" i="25" s="1"/>
  <c r="DT123" i="25"/>
  <c r="CY140" i="25"/>
  <c r="CB160" i="25"/>
  <c r="DJ60" i="25"/>
  <c r="DK60" i="25" s="1"/>
  <c r="DL60" i="25" s="1"/>
  <c r="CB173" i="25"/>
  <c r="CZ176" i="25"/>
  <c r="DB176" i="25" s="1"/>
  <c r="DX176" i="25" s="1"/>
  <c r="CB64" i="25"/>
  <c r="CB101" i="25"/>
  <c r="DT142" i="25"/>
  <c r="DT200" i="25"/>
  <c r="DT206" i="25"/>
  <c r="DJ177" i="25"/>
  <c r="DK177" i="25" s="1"/>
  <c r="DL177" i="25" s="1"/>
  <c r="CB68" i="25"/>
  <c r="DR69" i="25"/>
  <c r="DJ46" i="25"/>
  <c r="DK46" i="25" s="1"/>
  <c r="DL46" i="25" s="1"/>
  <c r="CB49" i="25"/>
  <c r="CB90" i="25"/>
  <c r="CB115" i="25"/>
  <c r="DJ58" i="25"/>
  <c r="DK58" i="25" s="1"/>
  <c r="DL58" i="25" s="1"/>
  <c r="CB172" i="25"/>
  <c r="CB192" i="25"/>
  <c r="DJ206" i="25"/>
  <c r="DK206" i="25" s="1"/>
  <c r="DL206" i="25" s="1"/>
  <c r="CY90" i="25"/>
  <c r="CB109" i="25"/>
  <c r="CB113" i="25"/>
  <c r="CB114" i="25"/>
  <c r="CB10" i="25"/>
  <c r="DJ169" i="25"/>
  <c r="DK169" i="25" s="1"/>
  <c r="DL169" i="25" s="1"/>
  <c r="CB205" i="25"/>
  <c r="CY29" i="25"/>
  <c r="DJ69" i="25"/>
  <c r="DK69" i="25" s="1"/>
  <c r="DL69" i="25" s="1"/>
  <c r="CB43" i="25"/>
  <c r="CB183" i="25"/>
  <c r="CZ130" i="25"/>
  <c r="DB130" i="25" s="1"/>
  <c r="DX130" i="25" s="1"/>
  <c r="CB153" i="25"/>
  <c r="CY102" i="25"/>
  <c r="CZ132" i="25"/>
  <c r="DB132" i="25" s="1"/>
  <c r="DX132" i="25" s="1"/>
  <c r="CB133" i="25"/>
  <c r="DR113" i="25"/>
  <c r="CB121" i="25"/>
  <c r="DT197" i="25"/>
  <c r="CY155" i="25"/>
  <c r="DT191" i="25"/>
  <c r="DR191" i="25"/>
  <c r="CY154" i="25"/>
  <c r="DJ77" i="25"/>
  <c r="DK77" i="25" s="1"/>
  <c r="DL77" i="25" s="1"/>
  <c r="CY164" i="25"/>
  <c r="CZ164" i="25"/>
  <c r="DB164" i="25" s="1"/>
  <c r="DX164" i="25" s="1"/>
  <c r="DJ154" i="25"/>
  <c r="DK154" i="25" s="1"/>
  <c r="DL154" i="25" s="1"/>
  <c r="CB76" i="25"/>
  <c r="DT84" i="25"/>
  <c r="DR84" i="25"/>
  <c r="DR176" i="25"/>
  <c r="CZ57" i="25"/>
  <c r="DB57" i="25" s="1"/>
  <c r="DX57" i="25" s="1"/>
  <c r="CB140" i="25"/>
  <c r="CB190" i="25"/>
  <c r="CY76" i="25"/>
  <c r="CB55" i="25"/>
  <c r="CZ9" i="25"/>
  <c r="DB9" i="25" s="1"/>
  <c r="DX9" i="25" s="1"/>
  <c r="CB85" i="25"/>
  <c r="DT165" i="25"/>
  <c r="DR165" i="25"/>
  <c r="DJ11" i="25"/>
  <c r="DK11" i="25" s="1"/>
  <c r="DL11" i="25" s="1"/>
  <c r="CZ135" i="25"/>
  <c r="DB135" i="25" s="1"/>
  <c r="DX135" i="25" s="1"/>
  <c r="CY57" i="25"/>
  <c r="CY61" i="25"/>
  <c r="CY55" i="25"/>
  <c r="CB81" i="25"/>
  <c r="CZ167" i="25"/>
  <c r="DB167" i="25" s="1"/>
  <c r="DX167" i="25" s="1"/>
  <c r="CZ168" i="25"/>
  <c r="DB168" i="25" s="1"/>
  <c r="DX168" i="25" s="1"/>
  <c r="CY168" i="25"/>
  <c r="CY147" i="25"/>
  <c r="CZ55" i="25"/>
  <c r="DB55" i="25" s="1"/>
  <c r="DX55" i="25" s="1"/>
  <c r="CY56" i="25"/>
  <c r="CZ56" i="25"/>
  <c r="DB56" i="25" s="1"/>
  <c r="DX56" i="25" s="1"/>
  <c r="CB9" i="25"/>
  <c r="DJ165" i="25"/>
  <c r="DK165" i="25" s="1"/>
  <c r="DL165" i="25" s="1"/>
  <c r="CB147" i="25"/>
  <c r="CZ82" i="25"/>
  <c r="DB82" i="25" s="1"/>
  <c r="DX82" i="25" s="1"/>
  <c r="CZ203" i="25"/>
  <c r="DB203" i="25" s="1"/>
  <c r="DX203" i="25" s="1"/>
  <c r="CB193" i="25"/>
  <c r="DJ10" i="25"/>
  <c r="DK10" i="25" s="1"/>
  <c r="DL10" i="25" s="1"/>
  <c r="CZ174" i="25"/>
  <c r="DB174" i="25" s="1"/>
  <c r="DX174" i="25" s="1"/>
  <c r="CB203" i="25"/>
  <c r="DJ204" i="25"/>
  <c r="DK204" i="25" s="1"/>
  <c r="DL204" i="25" s="1"/>
  <c r="DJ65" i="25"/>
  <c r="DK65" i="25" s="1"/>
  <c r="DL65" i="25" s="1"/>
  <c r="DJ142" i="25"/>
  <c r="DK142" i="25" s="1"/>
  <c r="DL142" i="25" s="1"/>
  <c r="CZ205" i="25"/>
  <c r="DB205" i="25" s="1"/>
  <c r="DX205" i="25" s="1"/>
  <c r="DJ27" i="25"/>
  <c r="DK27" i="25" s="1"/>
  <c r="DL27" i="25" s="1"/>
  <c r="DJ30" i="25"/>
  <c r="DK30" i="25" s="1"/>
  <c r="DL30" i="25" s="1"/>
  <c r="CB34" i="25"/>
  <c r="CB38" i="25"/>
  <c r="CB141" i="25"/>
  <c r="CB39" i="25"/>
  <c r="DJ73" i="25"/>
  <c r="DK73" i="25" s="1"/>
  <c r="DL73" i="25" s="1"/>
  <c r="CB155" i="25"/>
  <c r="DT182" i="25"/>
  <c r="DT127" i="25"/>
  <c r="CB185" i="25"/>
  <c r="CB186" i="25"/>
  <c r="CB52" i="25"/>
  <c r="CB187" i="25"/>
  <c r="DJ129" i="25"/>
  <c r="DK129" i="25" s="1"/>
  <c r="DL129" i="25" s="1"/>
  <c r="DJ78" i="25"/>
  <c r="DK78" i="25" s="1"/>
  <c r="DL78" i="25" s="1"/>
  <c r="CB83" i="25"/>
  <c r="CB89" i="25"/>
  <c r="CB110" i="25"/>
  <c r="DR133" i="25"/>
  <c r="CB134" i="25"/>
  <c r="DJ115" i="25"/>
  <c r="DK115" i="25" s="1"/>
  <c r="DL115" i="25" s="1"/>
  <c r="DJ118" i="25"/>
  <c r="DK118" i="25" s="1"/>
  <c r="DL118" i="25" s="1"/>
  <c r="CZ121" i="25"/>
  <c r="DB121" i="25" s="1"/>
  <c r="DX121" i="25" s="1"/>
  <c r="CB91" i="25"/>
  <c r="CB98" i="25"/>
  <c r="CY188" i="25"/>
  <c r="CZ117" i="25"/>
  <c r="DB117" i="25" s="1"/>
  <c r="DX117" i="25" s="1"/>
  <c r="CB104" i="25"/>
  <c r="CB123" i="25"/>
  <c r="DJ192" i="25"/>
  <c r="DK192" i="25" s="1"/>
  <c r="DL192" i="25" s="1"/>
  <c r="DR201" i="25"/>
  <c r="CB206" i="25"/>
  <c r="DR38" i="25"/>
  <c r="DR141" i="25"/>
  <c r="CY51" i="25"/>
  <c r="CZ53" i="25"/>
  <c r="DB53" i="25" s="1"/>
  <c r="DX53" i="25" s="1"/>
  <c r="CB80" i="25"/>
  <c r="DR108" i="25"/>
  <c r="CB163" i="25"/>
  <c r="CB175" i="25"/>
  <c r="CB62" i="25"/>
  <c r="CB86" i="25"/>
  <c r="CB97" i="25"/>
  <c r="CB63" i="25"/>
  <c r="DJ18" i="25"/>
  <c r="DK18" i="25" s="1"/>
  <c r="DL18" i="25" s="1"/>
  <c r="CB139" i="25"/>
  <c r="CB100" i="25"/>
  <c r="CB202" i="25"/>
  <c r="CB26" i="25"/>
  <c r="DT179" i="25"/>
  <c r="DT180" i="25"/>
  <c r="DR36" i="25"/>
  <c r="CY73" i="25"/>
  <c r="CY74" i="25"/>
  <c r="CY152" i="25"/>
  <c r="CY128" i="25"/>
  <c r="CB129" i="25"/>
  <c r="CB79" i="25"/>
  <c r="CB92" i="25"/>
  <c r="CB93" i="25"/>
  <c r="CB102" i="25"/>
  <c r="CB132" i="25"/>
  <c r="DJ132" i="25"/>
  <c r="DK132" i="25" s="1"/>
  <c r="DL132" i="25" s="1"/>
  <c r="DJ111" i="25"/>
  <c r="DK111" i="25" s="1"/>
  <c r="DL111" i="25" s="1"/>
  <c r="DJ133" i="25"/>
  <c r="DK133" i="25" s="1"/>
  <c r="DL133" i="25" s="1"/>
  <c r="DR134" i="25"/>
  <c r="CY118" i="25"/>
  <c r="CB119" i="25"/>
  <c r="CY67" i="25"/>
  <c r="DJ201" i="25"/>
  <c r="DK201" i="25" s="1"/>
  <c r="DL201" i="25" s="1"/>
  <c r="DJ23" i="25"/>
  <c r="DK23" i="25" s="1"/>
  <c r="DL23" i="25" s="1"/>
  <c r="DT25" i="25"/>
  <c r="CB31" i="25"/>
  <c r="DJ32" i="25"/>
  <c r="DK32" i="25" s="1"/>
  <c r="DL32" i="25" s="1"/>
  <c r="DJ34" i="25"/>
  <c r="DK34" i="25" s="1"/>
  <c r="DL34" i="25" s="1"/>
  <c r="DJ35" i="25"/>
  <c r="DK35" i="25" s="1"/>
  <c r="DL35" i="25" s="1"/>
  <c r="CB44" i="25"/>
  <c r="CB157" i="25"/>
  <c r="DJ185" i="25"/>
  <c r="DK185" i="25" s="1"/>
  <c r="DL185" i="25" s="1"/>
  <c r="CZ128" i="25"/>
  <c r="DB128" i="25" s="1"/>
  <c r="DX128" i="25" s="1"/>
  <c r="DJ83" i="25"/>
  <c r="DK83" i="25" s="1"/>
  <c r="DL83" i="25" s="1"/>
  <c r="DJ88" i="25"/>
  <c r="DK88" i="25" s="1"/>
  <c r="DL88" i="25" s="1"/>
  <c r="DJ121" i="25"/>
  <c r="DK121" i="25" s="1"/>
  <c r="DL121" i="25" s="1"/>
  <c r="DJ166" i="25"/>
  <c r="DK166" i="25" s="1"/>
  <c r="DL166" i="25" s="1"/>
  <c r="DJ59" i="25"/>
  <c r="DK59" i="25" s="1"/>
  <c r="DL59" i="25" s="1"/>
  <c r="DJ170" i="25"/>
  <c r="DK170" i="25" s="1"/>
  <c r="DL170" i="25" s="1"/>
  <c r="CB174" i="25"/>
  <c r="DJ176" i="25"/>
  <c r="DK176" i="25" s="1"/>
  <c r="DL176" i="25" s="1"/>
  <c r="CB96" i="25"/>
  <c r="CB150" i="25"/>
  <c r="DR64" i="25"/>
  <c r="DR65" i="25"/>
  <c r="CB195" i="25"/>
  <c r="CB196" i="25"/>
  <c r="CB198" i="25"/>
  <c r="CB106" i="25"/>
  <c r="CB112" i="25"/>
  <c r="CB149" i="25"/>
  <c r="CZ30" i="25"/>
  <c r="DB30" i="25" s="1"/>
  <c r="DX30" i="25" s="1"/>
  <c r="DJ179" i="25"/>
  <c r="DK179" i="25" s="1"/>
  <c r="DL179" i="25" s="1"/>
  <c r="CZ78" i="25"/>
  <c r="DB78" i="25" s="1"/>
  <c r="DX78" i="25" s="1"/>
  <c r="CB88" i="25"/>
  <c r="CB145" i="25"/>
  <c r="DJ108" i="25"/>
  <c r="DK108" i="25" s="1"/>
  <c r="DL108" i="25" s="1"/>
  <c r="DJ114" i="25"/>
  <c r="DK114" i="25" s="1"/>
  <c r="DL114" i="25" s="1"/>
  <c r="CB117" i="25"/>
  <c r="DJ85" i="25"/>
  <c r="DK85" i="25" s="1"/>
  <c r="DL85" i="25" s="1"/>
  <c r="CB166" i="25"/>
  <c r="CB18" i="25"/>
  <c r="DT196" i="25"/>
  <c r="CB201" i="25"/>
  <c r="CB144" i="25"/>
  <c r="DJ25" i="25"/>
  <c r="DK25" i="25" s="1"/>
  <c r="DL25" i="25" s="1"/>
  <c r="DJ36" i="25"/>
  <c r="DK36" i="25" s="1"/>
  <c r="DL36" i="25" s="1"/>
  <c r="DJ54" i="25"/>
  <c r="DK54" i="25" s="1"/>
  <c r="DL54" i="25" s="1"/>
  <c r="DJ45" i="25"/>
  <c r="DK45" i="25" s="1"/>
  <c r="DL45" i="25" s="1"/>
  <c r="DJ158" i="25"/>
  <c r="DK158" i="25" s="1"/>
  <c r="DL158" i="25" s="1"/>
  <c r="CB51" i="25"/>
  <c r="DJ51" i="25"/>
  <c r="DK51" i="25" s="1"/>
  <c r="DL51" i="25" s="1"/>
  <c r="DJ107" i="25"/>
  <c r="DK107" i="25" s="1"/>
  <c r="DL107" i="25" s="1"/>
  <c r="DJ109" i="25"/>
  <c r="DK109" i="25" s="1"/>
  <c r="DL109" i="25" s="1"/>
  <c r="CB111" i="25"/>
  <c r="CY143" i="25"/>
  <c r="DJ140" i="25"/>
  <c r="DK140" i="25" s="1"/>
  <c r="DL140" i="25" s="1"/>
  <c r="DJ143" i="25"/>
  <c r="DK143" i="25" s="1"/>
  <c r="DL143" i="25" s="1"/>
  <c r="DJ76" i="25"/>
  <c r="DK76" i="25" s="1"/>
  <c r="DL76" i="25" s="1"/>
  <c r="DT135" i="25"/>
  <c r="CB56" i="25"/>
  <c r="DJ162" i="25"/>
  <c r="DK162" i="25" s="1"/>
  <c r="DL162" i="25" s="1"/>
  <c r="DR163" i="25"/>
  <c r="CY166" i="25"/>
  <c r="DR168" i="25"/>
  <c r="DR58" i="25"/>
  <c r="DJ171" i="25"/>
  <c r="DK171" i="25" s="1"/>
  <c r="DL171" i="25" s="1"/>
  <c r="DT172" i="25"/>
  <c r="DR174" i="25"/>
  <c r="DR12" i="25"/>
  <c r="DR147" i="25"/>
  <c r="DJ203" i="25"/>
  <c r="DK203" i="25" s="1"/>
  <c r="DL203" i="25" s="1"/>
  <c r="CY65" i="25"/>
  <c r="DR76" i="25"/>
  <c r="DT56" i="25"/>
  <c r="CB84" i="25"/>
  <c r="DJ84" i="25"/>
  <c r="DK84" i="25" s="1"/>
  <c r="DL84" i="25" s="1"/>
  <c r="CY10" i="25"/>
  <c r="CB168" i="25"/>
  <c r="DT61" i="25"/>
  <c r="DJ62" i="25"/>
  <c r="DK62" i="25" s="1"/>
  <c r="DL62" i="25" s="1"/>
  <c r="CZ65" i="25"/>
  <c r="DB65" i="25" s="1"/>
  <c r="DX65" i="25" s="1"/>
  <c r="CB165" i="25"/>
  <c r="CB167" i="25"/>
  <c r="CB58" i="25"/>
  <c r="CB171" i="25"/>
  <c r="DJ172" i="25"/>
  <c r="DK172" i="25" s="1"/>
  <c r="DL172" i="25" s="1"/>
  <c r="DJ61" i="25"/>
  <c r="DK61" i="25" s="1"/>
  <c r="DL61" i="25" s="1"/>
  <c r="DJ14" i="25"/>
  <c r="DK14" i="25" s="1"/>
  <c r="DL14" i="25" s="1"/>
  <c r="DJ86" i="25"/>
  <c r="DK86" i="25" s="1"/>
  <c r="DL86" i="25" s="1"/>
  <c r="DJ91" i="25"/>
  <c r="DK91" i="25" s="1"/>
  <c r="DL91" i="25" s="1"/>
  <c r="DJ94" i="25"/>
  <c r="DK94" i="25" s="1"/>
  <c r="DL94" i="25" s="1"/>
  <c r="DJ96" i="25"/>
  <c r="DK96" i="25" s="1"/>
  <c r="DL96" i="25" s="1"/>
  <c r="DJ97" i="25"/>
  <c r="DK97" i="25" s="1"/>
  <c r="DL97" i="25" s="1"/>
  <c r="DJ98" i="25"/>
  <c r="DK98" i="25" s="1"/>
  <c r="DL98" i="25" s="1"/>
  <c r="DJ146" i="25"/>
  <c r="DK146" i="25" s="1"/>
  <c r="DL146" i="25" s="1"/>
  <c r="DJ150" i="25"/>
  <c r="DK150" i="25" s="1"/>
  <c r="DL150" i="25" s="1"/>
  <c r="DJ63" i="25"/>
  <c r="DK63" i="25" s="1"/>
  <c r="DL63" i="25" s="1"/>
  <c r="CY14" i="25"/>
  <c r="CY62" i="25"/>
  <c r="DT99" i="25"/>
  <c r="DR99" i="25"/>
  <c r="CY192" i="25"/>
  <c r="CZ192" i="25"/>
  <c r="DB192" i="25" s="1"/>
  <c r="DX192" i="25" s="1"/>
  <c r="CB154" i="25"/>
  <c r="DJ190" i="25"/>
  <c r="DK190" i="25" s="1"/>
  <c r="DL190" i="25" s="1"/>
  <c r="DT193" i="25"/>
  <c r="DN163" i="25"/>
  <c r="DR164" i="25"/>
  <c r="DR166" i="25"/>
  <c r="CB11" i="25"/>
  <c r="DR169" i="25"/>
  <c r="CY58" i="25"/>
  <c r="CB60" i="25"/>
  <c r="DT173" i="25"/>
  <c r="CZ204" i="25"/>
  <c r="DB204" i="25" s="1"/>
  <c r="DX204" i="25" s="1"/>
  <c r="DN85" i="25"/>
  <c r="CY171" i="25"/>
  <c r="DT170" i="25"/>
  <c r="CY175" i="25"/>
  <c r="DR204" i="25"/>
  <c r="CY64" i="25"/>
  <c r="DT18" i="25"/>
  <c r="DR18" i="25"/>
  <c r="CB189" i="25"/>
  <c r="DJ189" i="25"/>
  <c r="DK189" i="25" s="1"/>
  <c r="DL189" i="25" s="1"/>
  <c r="DR55" i="25"/>
  <c r="DJ193" i="25"/>
  <c r="DK193" i="25" s="1"/>
  <c r="DL193" i="25" s="1"/>
  <c r="CB164" i="25"/>
  <c r="DR10" i="25"/>
  <c r="CB169" i="25"/>
  <c r="CB59" i="25"/>
  <c r="CY60" i="25"/>
  <c r="CB204" i="25"/>
  <c r="DR17" i="25"/>
  <c r="DT17" i="25"/>
  <c r="DN11" i="25"/>
  <c r="CY31" i="25"/>
  <c r="CY72" i="25"/>
  <c r="DT44" i="25"/>
  <c r="DR44" i="25"/>
  <c r="CZ48" i="25"/>
  <c r="DB48" i="25" s="1"/>
  <c r="DX48" i="25" s="1"/>
  <c r="CZ67" i="25"/>
  <c r="DB67" i="25" s="1"/>
  <c r="DX67" i="25" s="1"/>
  <c r="CB103" i="25"/>
  <c r="CB197" i="25"/>
  <c r="CB200" i="25"/>
  <c r="CB151" i="25"/>
  <c r="CB25" i="25"/>
  <c r="DT33" i="25"/>
  <c r="DR181" i="25"/>
  <c r="DR39" i="25"/>
  <c r="DR137" i="25"/>
  <c r="DT73" i="25"/>
  <c r="DR73" i="25"/>
  <c r="DJ20" i="25"/>
  <c r="DK20" i="25" s="1"/>
  <c r="DL20" i="25" s="1"/>
  <c r="DJ148" i="25"/>
  <c r="DK148" i="25" s="1"/>
  <c r="DL148" i="25" s="1"/>
  <c r="CB66" i="25"/>
  <c r="CB99" i="25"/>
  <c r="DJ100" i="25"/>
  <c r="DK100" i="25" s="1"/>
  <c r="DL100" i="25" s="1"/>
  <c r="DJ194" i="25"/>
  <c r="DK194" i="25" s="1"/>
  <c r="DL194" i="25" s="1"/>
  <c r="DJ195" i="25"/>
  <c r="DK195" i="25" s="1"/>
  <c r="DL195" i="25" s="1"/>
  <c r="DJ199" i="25"/>
  <c r="DK199" i="25" s="1"/>
  <c r="DL199" i="25" s="1"/>
  <c r="DJ120" i="25"/>
  <c r="DK120" i="25" s="1"/>
  <c r="DL120" i="25" s="1"/>
  <c r="DJ205" i="25"/>
  <c r="DK205" i="25" s="1"/>
  <c r="DL205" i="25" s="1"/>
  <c r="DJ144" i="25"/>
  <c r="DK144" i="25" s="1"/>
  <c r="DL144" i="25" s="1"/>
  <c r="DJ24" i="25"/>
  <c r="DK24" i="25" s="1"/>
  <c r="DL24" i="25" s="1"/>
  <c r="DJ28" i="25"/>
  <c r="DK28" i="25" s="1"/>
  <c r="DL28" i="25" s="1"/>
  <c r="DT70" i="25"/>
  <c r="CY35" i="25"/>
  <c r="DN43" i="25"/>
  <c r="CZ127" i="25"/>
  <c r="DB127" i="25" s="1"/>
  <c r="DX127" i="25" s="1"/>
  <c r="DJ68" i="25"/>
  <c r="DK68" i="25" s="1"/>
  <c r="DL68" i="25" s="1"/>
  <c r="CB28" i="25"/>
  <c r="CB69" i="25"/>
  <c r="DJ31" i="25"/>
  <c r="DK31" i="25" s="1"/>
  <c r="DL31" i="25" s="1"/>
  <c r="DJ33" i="25"/>
  <c r="DK33" i="25" s="1"/>
  <c r="DL33" i="25" s="1"/>
  <c r="CB181" i="25"/>
  <c r="DJ181" i="25"/>
  <c r="DK181" i="25" s="1"/>
  <c r="DL181" i="25" s="1"/>
  <c r="CB54" i="25"/>
  <c r="DR48" i="25"/>
  <c r="DT48" i="25"/>
  <c r="CY63" i="25"/>
  <c r="CB20" i="25"/>
  <c r="CB148" i="25"/>
  <c r="CB21" i="25"/>
  <c r="DJ67" i="25"/>
  <c r="DK67" i="25" s="1"/>
  <c r="DL67" i="25" s="1"/>
  <c r="DJ101" i="25"/>
  <c r="DK101" i="25" s="1"/>
  <c r="DL101" i="25" s="1"/>
  <c r="DJ196" i="25"/>
  <c r="DK196" i="25" s="1"/>
  <c r="DL196" i="25" s="1"/>
  <c r="DJ106" i="25"/>
  <c r="DK106" i="25" s="1"/>
  <c r="DL106" i="25" s="1"/>
  <c r="DJ149" i="25"/>
  <c r="DK149" i="25" s="1"/>
  <c r="DL149" i="25" s="1"/>
  <c r="CB22" i="25"/>
  <c r="CB177" i="25"/>
  <c r="CB24" i="25"/>
  <c r="DN69" i="25"/>
  <c r="DJ70" i="25"/>
  <c r="DK70" i="25" s="1"/>
  <c r="DL70" i="25" s="1"/>
  <c r="DJ39" i="25"/>
  <c r="DK39" i="25" s="1"/>
  <c r="DL39" i="25" s="1"/>
  <c r="DJ125" i="25"/>
  <c r="DK125" i="25" s="1"/>
  <c r="DL125" i="25" s="1"/>
  <c r="DT75" i="25"/>
  <c r="CY48" i="25"/>
  <c r="CZ44" i="25"/>
  <c r="DB44" i="25" s="1"/>
  <c r="DX44" i="25" s="1"/>
  <c r="CY44" i="25"/>
  <c r="DJ15" i="25"/>
  <c r="DK15" i="25" s="1"/>
  <c r="DL15" i="25" s="1"/>
  <c r="CB65" i="25"/>
  <c r="CB17" i="25"/>
  <c r="CB19" i="25"/>
  <c r="CB194" i="25"/>
  <c r="DJ103" i="25"/>
  <c r="DK103" i="25" s="1"/>
  <c r="DL103" i="25" s="1"/>
  <c r="DJ197" i="25"/>
  <c r="DK197" i="25" s="1"/>
  <c r="DL197" i="25" s="1"/>
  <c r="DJ200" i="25"/>
  <c r="DK200" i="25" s="1"/>
  <c r="DL200" i="25" s="1"/>
  <c r="DJ151" i="25"/>
  <c r="DK151" i="25" s="1"/>
  <c r="DL151" i="25" s="1"/>
  <c r="DR30" i="25"/>
  <c r="CZ137" i="25"/>
  <c r="DB137" i="25" s="1"/>
  <c r="DX137" i="25" s="1"/>
  <c r="CY137" i="25"/>
  <c r="CY138" i="25"/>
  <c r="CZ52" i="25"/>
  <c r="DB52" i="25" s="1"/>
  <c r="DX52" i="25" s="1"/>
  <c r="CY52" i="25"/>
  <c r="DJ26" i="25"/>
  <c r="DK26" i="25" s="1"/>
  <c r="DL26" i="25" s="1"/>
  <c r="CY181" i="25"/>
  <c r="CB35" i="25"/>
  <c r="DR54" i="25"/>
  <c r="CB159" i="25"/>
  <c r="DJ40" i="25"/>
  <c r="DK40" i="25" s="1"/>
  <c r="DL40" i="25" s="1"/>
  <c r="DJ41" i="25"/>
  <c r="DK41" i="25" s="1"/>
  <c r="DL41" i="25" s="1"/>
  <c r="CB42" i="25"/>
  <c r="CB138" i="25"/>
  <c r="CB182" i="25"/>
  <c r="CY46" i="25"/>
  <c r="CY49" i="25"/>
  <c r="CK87" i="25"/>
  <c r="CO87" i="25" s="1"/>
  <c r="CR87" i="25" s="1"/>
  <c r="CS87" i="25" s="1"/>
  <c r="DT122" i="25"/>
  <c r="CB156" i="25"/>
  <c r="DJ138" i="25"/>
  <c r="DK138" i="25" s="1"/>
  <c r="DL138" i="25" s="1"/>
  <c r="DJ127" i="25"/>
  <c r="DK127" i="25" s="1"/>
  <c r="DL127" i="25" s="1"/>
  <c r="DT183" i="25"/>
  <c r="CB48" i="25"/>
  <c r="CB158" i="25"/>
  <c r="CZ188" i="25"/>
  <c r="DB188" i="25" s="1"/>
  <c r="DX188" i="25" s="1"/>
  <c r="CB128" i="25"/>
  <c r="DJ87" i="25"/>
  <c r="DK87" i="25" s="1"/>
  <c r="DL87" i="25" s="1"/>
  <c r="CB108" i="25"/>
  <c r="DR111" i="25"/>
  <c r="DJ113" i="25"/>
  <c r="DK113" i="25" s="1"/>
  <c r="DL113" i="25" s="1"/>
  <c r="DR114" i="25"/>
  <c r="DJ104" i="25"/>
  <c r="DK104" i="25" s="1"/>
  <c r="DL104" i="25" s="1"/>
  <c r="DJ110" i="25"/>
  <c r="DK110" i="25" s="1"/>
  <c r="DL110" i="25" s="1"/>
  <c r="DJ123" i="25"/>
  <c r="DK123" i="25" s="1"/>
  <c r="DL123" i="25" s="1"/>
  <c r="DJ183" i="25"/>
  <c r="DK183" i="25" s="1"/>
  <c r="DL183" i="25" s="1"/>
  <c r="DJ187" i="25"/>
  <c r="DK187" i="25" s="1"/>
  <c r="DL187" i="25" s="1"/>
  <c r="DR129" i="25"/>
  <c r="CB130" i="25"/>
  <c r="DJ93" i="25"/>
  <c r="DK93" i="25" s="1"/>
  <c r="DL93" i="25" s="1"/>
  <c r="CB107" i="25"/>
  <c r="DR107" i="25"/>
  <c r="CZ116" i="25"/>
  <c r="DB116" i="25" s="1"/>
  <c r="DX116" i="25" s="1"/>
  <c r="DR117" i="25"/>
  <c r="DR118" i="25"/>
  <c r="DR119" i="25"/>
  <c r="DR121" i="25"/>
  <c r="DJ38" i="25"/>
  <c r="DK38" i="25" s="1"/>
  <c r="DL38" i="25" s="1"/>
  <c r="DJ141" i="25"/>
  <c r="DK141" i="25" s="1"/>
  <c r="DL141" i="25" s="1"/>
  <c r="CB41" i="25"/>
  <c r="CB124" i="25"/>
  <c r="CB137" i="25"/>
  <c r="DJ155" i="25"/>
  <c r="DK155" i="25" s="1"/>
  <c r="DL155" i="25" s="1"/>
  <c r="DJ75" i="25"/>
  <c r="DK75" i="25" s="1"/>
  <c r="DL75" i="25" s="1"/>
  <c r="DJ157" i="25"/>
  <c r="DK157" i="25" s="1"/>
  <c r="DL157" i="25" s="1"/>
  <c r="DJ49" i="25"/>
  <c r="DK49" i="25" s="1"/>
  <c r="DL49" i="25" s="1"/>
  <c r="CY158" i="25"/>
  <c r="CB53" i="25"/>
  <c r="CZ187" i="25"/>
  <c r="DB187" i="25" s="1"/>
  <c r="DX187" i="25" s="1"/>
  <c r="DJ128" i="25"/>
  <c r="DK128" i="25" s="1"/>
  <c r="DL128" i="25" s="1"/>
  <c r="CB78" i="25"/>
  <c r="DJ79" i="25"/>
  <c r="DK79" i="25" s="1"/>
  <c r="DL79" i="25" s="1"/>
  <c r="DJ80" i="25"/>
  <c r="DK80" i="25" s="1"/>
  <c r="DL80" i="25" s="1"/>
  <c r="DJ95" i="25"/>
  <c r="DK95" i="25" s="1"/>
  <c r="DL95" i="25" s="1"/>
  <c r="DR109" i="25"/>
  <c r="DJ42" i="25"/>
  <c r="DK42" i="25" s="1"/>
  <c r="DL42" i="25" s="1"/>
  <c r="DJ43" i="25"/>
  <c r="DK43" i="25" s="1"/>
  <c r="DL43" i="25" s="1"/>
  <c r="DJ156" i="25"/>
  <c r="DK156" i="25" s="1"/>
  <c r="DL156" i="25" s="1"/>
  <c r="CB75" i="25"/>
  <c r="CY185" i="25"/>
  <c r="DJ53" i="25"/>
  <c r="DK53" i="25" s="1"/>
  <c r="DL53" i="25" s="1"/>
  <c r="CY145" i="25"/>
  <c r="DJ105" i="25"/>
  <c r="DK105" i="25" s="1"/>
  <c r="DL105" i="25" s="1"/>
  <c r="DR110" i="25"/>
  <c r="DJ134" i="25"/>
  <c r="DK134" i="25" s="1"/>
  <c r="DL134" i="25" s="1"/>
  <c r="DN140" i="25"/>
  <c r="DT143" i="25"/>
  <c r="CN169" i="25"/>
  <c r="CZ140" i="25"/>
  <c r="DB140" i="25" s="1"/>
  <c r="DX140" i="25" s="1"/>
  <c r="CZ143" i="25"/>
  <c r="DB143" i="25" s="1"/>
  <c r="DX143" i="25" s="1"/>
  <c r="CZ154" i="25"/>
  <c r="DB154" i="25" s="1"/>
  <c r="DX154" i="25" s="1"/>
  <c r="DR154" i="25"/>
  <c r="CZ190" i="25"/>
  <c r="DB190" i="25" s="1"/>
  <c r="DX190" i="25" s="1"/>
  <c r="DR190" i="25"/>
  <c r="CZ189" i="25"/>
  <c r="DB189" i="25" s="1"/>
  <c r="DX189" i="25" s="1"/>
  <c r="DR189" i="25"/>
  <c r="CN55" i="25"/>
  <c r="DN193" i="25"/>
  <c r="CY160" i="25"/>
  <c r="DJ9" i="25"/>
  <c r="DK9" i="25" s="1"/>
  <c r="DL9" i="25" s="1"/>
  <c r="CY161" i="25"/>
  <c r="CZ162" i="25"/>
  <c r="DB162" i="25" s="1"/>
  <c r="DX162" i="25" s="1"/>
  <c r="CY162" i="25"/>
  <c r="CN163" i="25"/>
  <c r="CY81" i="25"/>
  <c r="CY84" i="25"/>
  <c r="CZ85" i="25"/>
  <c r="DB85" i="25" s="1"/>
  <c r="DX85" i="25" s="1"/>
  <c r="CY85" i="25"/>
  <c r="CN168" i="25"/>
  <c r="CZ81" i="25"/>
  <c r="DB81" i="25" s="1"/>
  <c r="DX81" i="25" s="1"/>
  <c r="DR160" i="25"/>
  <c r="DT160" i="25"/>
  <c r="DR161" i="25"/>
  <c r="DT161" i="25"/>
  <c r="CN191" i="25"/>
  <c r="CN76" i="25"/>
  <c r="CN135" i="25"/>
  <c r="CY77" i="25"/>
  <c r="CN10" i="25"/>
  <c r="CN59" i="25"/>
  <c r="CZ77" i="25"/>
  <c r="DB77" i="25" s="1"/>
  <c r="DX77" i="25" s="1"/>
  <c r="DR77" i="25"/>
  <c r="DJ160" i="25"/>
  <c r="DK160" i="25" s="1"/>
  <c r="DL160" i="25" s="1"/>
  <c r="CY9" i="25"/>
  <c r="DJ161" i="25"/>
  <c r="DK161" i="25" s="1"/>
  <c r="DL161" i="25" s="1"/>
  <c r="CY135" i="25"/>
  <c r="CY193" i="25"/>
  <c r="CN58" i="25"/>
  <c r="DR9" i="25"/>
  <c r="DT9" i="25"/>
  <c r="DT162" i="25"/>
  <c r="DT85" i="25"/>
  <c r="DT57" i="25"/>
  <c r="CZ171" i="25"/>
  <c r="DB171" i="25" s="1"/>
  <c r="DX171" i="25" s="1"/>
  <c r="CZ60" i="25"/>
  <c r="DB60" i="25" s="1"/>
  <c r="DX60" i="25" s="1"/>
  <c r="CY136" i="25"/>
  <c r="CY170" i="25"/>
  <c r="CY172" i="25"/>
  <c r="CY173" i="25"/>
  <c r="CN14" i="25"/>
  <c r="CN62" i="25"/>
  <c r="DT20" i="25"/>
  <c r="DR20" i="25"/>
  <c r="CZ148" i="25"/>
  <c r="DB148" i="25" s="1"/>
  <c r="DX148" i="25" s="1"/>
  <c r="DN99" i="25"/>
  <c r="CZ136" i="25"/>
  <c r="DB136" i="25" s="1"/>
  <c r="DX136" i="25" s="1"/>
  <c r="CZ170" i="25"/>
  <c r="DB170" i="25" s="1"/>
  <c r="DX170" i="25" s="1"/>
  <c r="CZ172" i="25"/>
  <c r="DB172" i="25" s="1"/>
  <c r="DX172" i="25" s="1"/>
  <c r="CZ173" i="25"/>
  <c r="DB173" i="25" s="1"/>
  <c r="DX173" i="25" s="1"/>
  <c r="CZ61" i="25"/>
  <c r="DB61" i="25" s="1"/>
  <c r="DX61" i="25" s="1"/>
  <c r="DN86" i="25"/>
  <c r="DN91" i="25"/>
  <c r="DN94" i="25"/>
  <c r="DN96" i="25"/>
  <c r="DN97" i="25"/>
  <c r="DN98" i="25"/>
  <c r="DN146" i="25"/>
  <c r="DN150" i="25"/>
  <c r="DN15" i="25"/>
  <c r="DN63" i="25"/>
  <c r="DJ139" i="25"/>
  <c r="DK139" i="25" s="1"/>
  <c r="DL139" i="25" s="1"/>
  <c r="DT66" i="25"/>
  <c r="DR66" i="25"/>
  <c r="DT19" i="25"/>
  <c r="DR19" i="25"/>
  <c r="CZ139" i="25"/>
  <c r="DB139" i="25" s="1"/>
  <c r="DX139" i="25" s="1"/>
  <c r="DJ21" i="25"/>
  <c r="DK21" i="25" s="1"/>
  <c r="DL21" i="25" s="1"/>
  <c r="CY16" i="25"/>
  <c r="CZ18" i="25"/>
  <c r="DB18" i="25" s="1"/>
  <c r="DX18" i="25" s="1"/>
  <c r="CY18" i="25"/>
  <c r="DT148" i="25"/>
  <c r="DR148" i="25"/>
  <c r="CZ21" i="25"/>
  <c r="DB21" i="25" s="1"/>
  <c r="DX21" i="25" s="1"/>
  <c r="DN192" i="25"/>
  <c r="CN171" i="25"/>
  <c r="CN60" i="25"/>
  <c r="CZ14" i="25"/>
  <c r="DB14" i="25" s="1"/>
  <c r="DX14" i="25" s="1"/>
  <c r="DR14" i="25"/>
  <c r="CZ62" i="25"/>
  <c r="DB62" i="25" s="1"/>
  <c r="DX62" i="25" s="1"/>
  <c r="DR62" i="25"/>
  <c r="CY86" i="25"/>
  <c r="CY91" i="25"/>
  <c r="CY94" i="25"/>
  <c r="CY96" i="25"/>
  <c r="CY97" i="25"/>
  <c r="CY98" i="25"/>
  <c r="CY146" i="25"/>
  <c r="CY150" i="25"/>
  <c r="CY15" i="25"/>
  <c r="CZ99" i="25"/>
  <c r="DB99" i="25" s="1"/>
  <c r="DX99" i="25" s="1"/>
  <c r="CY99" i="25"/>
  <c r="CN170" i="25"/>
  <c r="CN172" i="25"/>
  <c r="CN173" i="25"/>
  <c r="CN61" i="25"/>
  <c r="CZ86" i="25"/>
  <c r="DB86" i="25" s="1"/>
  <c r="DX86" i="25" s="1"/>
  <c r="DR86" i="25"/>
  <c r="CZ91" i="25"/>
  <c r="DB91" i="25" s="1"/>
  <c r="DX91" i="25" s="1"/>
  <c r="DR91" i="25"/>
  <c r="CZ94" i="25"/>
  <c r="DB94" i="25" s="1"/>
  <c r="DX94" i="25" s="1"/>
  <c r="DR94" i="25"/>
  <c r="CZ96" i="25"/>
  <c r="DB96" i="25" s="1"/>
  <c r="DX96" i="25" s="1"/>
  <c r="DR96" i="25"/>
  <c r="CZ97" i="25"/>
  <c r="DB97" i="25" s="1"/>
  <c r="DX97" i="25" s="1"/>
  <c r="DR97" i="25"/>
  <c r="CZ98" i="25"/>
  <c r="DB98" i="25" s="1"/>
  <c r="DX98" i="25" s="1"/>
  <c r="DR98" i="25"/>
  <c r="CZ146" i="25"/>
  <c r="DB146" i="25" s="1"/>
  <c r="DX146" i="25" s="1"/>
  <c r="DR146" i="25"/>
  <c r="CZ150" i="25"/>
  <c r="DB150" i="25" s="1"/>
  <c r="DX150" i="25" s="1"/>
  <c r="DR150" i="25"/>
  <c r="CZ15" i="25"/>
  <c r="DB15" i="25" s="1"/>
  <c r="DX15" i="25" s="1"/>
  <c r="DR15" i="25"/>
  <c r="CZ63" i="25"/>
  <c r="DB63" i="25" s="1"/>
  <c r="DX63" i="25" s="1"/>
  <c r="DR63" i="25"/>
  <c r="CY17" i="25"/>
  <c r="DN19" i="25"/>
  <c r="DT139" i="25"/>
  <c r="DR139" i="25"/>
  <c r="CZ20" i="25"/>
  <c r="DB20" i="25" s="1"/>
  <c r="DX20" i="25" s="1"/>
  <c r="DJ66" i="25"/>
  <c r="DK66" i="25" s="1"/>
  <c r="DL66" i="25" s="1"/>
  <c r="CB16" i="25"/>
  <c r="DJ19" i="25"/>
  <c r="DK19" i="25" s="1"/>
  <c r="DL19" i="25" s="1"/>
  <c r="CY139" i="25"/>
  <c r="DT21" i="25"/>
  <c r="DR21" i="25"/>
  <c r="CZ19" i="25"/>
  <c r="DB19" i="25" s="1"/>
  <c r="DX19" i="25" s="1"/>
  <c r="CY21" i="25"/>
  <c r="CZ66" i="25"/>
  <c r="DB66" i="25" s="1"/>
  <c r="DX66" i="25" s="1"/>
  <c r="DN67" i="25"/>
  <c r="CZ194" i="25"/>
  <c r="DB194" i="25" s="1"/>
  <c r="DX194" i="25" s="1"/>
  <c r="CY194" i="25"/>
  <c r="DN139" i="25"/>
  <c r="DN20" i="25"/>
  <c r="DN148" i="25"/>
  <c r="CN66" i="25"/>
  <c r="DT100" i="25"/>
  <c r="DT192" i="25"/>
  <c r="CY22" i="25"/>
  <c r="DT23" i="25"/>
  <c r="CZ24" i="25"/>
  <c r="DB24" i="25" s="1"/>
  <c r="DX24" i="25" s="1"/>
  <c r="DN194" i="25"/>
  <c r="DN101" i="25"/>
  <c r="DN103" i="25"/>
  <c r="DN142" i="25"/>
  <c r="DN195" i="25"/>
  <c r="DN196" i="25"/>
  <c r="DN197" i="25"/>
  <c r="DN198" i="25"/>
  <c r="DN199" i="25"/>
  <c r="DN106" i="25"/>
  <c r="DN200" i="25"/>
  <c r="DN112" i="25"/>
  <c r="DN120" i="25"/>
  <c r="DN149" i="25"/>
  <c r="DN151" i="25"/>
  <c r="CZ201" i="25"/>
  <c r="DB201" i="25" s="1"/>
  <c r="DX201" i="25" s="1"/>
  <c r="DN202" i="25"/>
  <c r="DR144" i="25"/>
  <c r="DT144" i="25"/>
  <c r="CN68" i="25"/>
  <c r="CY24" i="25"/>
  <c r="CZ177" i="25"/>
  <c r="DB177" i="25" s="1"/>
  <c r="DX177" i="25" s="1"/>
  <c r="DR24" i="25"/>
  <c r="DT24" i="25"/>
  <c r="CZ25" i="25"/>
  <c r="DB25" i="25" s="1"/>
  <c r="DX25" i="25" s="1"/>
  <c r="CY25" i="25"/>
  <c r="CY101" i="25"/>
  <c r="CY103" i="25"/>
  <c r="CY142" i="25"/>
  <c r="CY195" i="25"/>
  <c r="CY196" i="25"/>
  <c r="CY197" i="25"/>
  <c r="CY198" i="25"/>
  <c r="CY199" i="25"/>
  <c r="CY106" i="25"/>
  <c r="CY200" i="25"/>
  <c r="CY112" i="25"/>
  <c r="CY120" i="25"/>
  <c r="CY149" i="25"/>
  <c r="CY151" i="25"/>
  <c r="CY205" i="25"/>
  <c r="CN206" i="25"/>
  <c r="CN202" i="25"/>
  <c r="DJ202" i="25"/>
  <c r="DK202" i="25" s="1"/>
  <c r="DL202" i="25" s="1"/>
  <c r="CN24" i="25"/>
  <c r="CZ101" i="25"/>
  <c r="DB101" i="25" s="1"/>
  <c r="DX101" i="25" s="1"/>
  <c r="CZ103" i="25"/>
  <c r="DB103" i="25" s="1"/>
  <c r="DX103" i="25" s="1"/>
  <c r="CZ142" i="25"/>
  <c r="DB142" i="25" s="1"/>
  <c r="DX142" i="25" s="1"/>
  <c r="CZ195" i="25"/>
  <c r="DB195" i="25" s="1"/>
  <c r="DX195" i="25" s="1"/>
  <c r="CZ196" i="25"/>
  <c r="DB196" i="25" s="1"/>
  <c r="DX196" i="25" s="1"/>
  <c r="CZ197" i="25"/>
  <c r="DB197" i="25" s="1"/>
  <c r="DX197" i="25" s="1"/>
  <c r="CZ198" i="25"/>
  <c r="DB198" i="25" s="1"/>
  <c r="DX198" i="25" s="1"/>
  <c r="CZ199" i="25"/>
  <c r="DB199" i="25" s="1"/>
  <c r="DX199" i="25" s="1"/>
  <c r="CZ106" i="25"/>
  <c r="DB106" i="25" s="1"/>
  <c r="DX106" i="25" s="1"/>
  <c r="CZ200" i="25"/>
  <c r="DB200" i="25" s="1"/>
  <c r="DX200" i="25" s="1"/>
  <c r="CZ112" i="25"/>
  <c r="DB112" i="25" s="1"/>
  <c r="DX112" i="25" s="1"/>
  <c r="CZ120" i="25"/>
  <c r="DB120" i="25" s="1"/>
  <c r="DX120" i="25" s="1"/>
  <c r="CZ149" i="25"/>
  <c r="DB149" i="25" s="1"/>
  <c r="DX149" i="25" s="1"/>
  <c r="CZ151" i="25"/>
  <c r="DB151" i="25" s="1"/>
  <c r="DX151" i="25" s="1"/>
  <c r="DT205" i="25"/>
  <c r="CZ68" i="25"/>
  <c r="DB68" i="25" s="1"/>
  <c r="DX68" i="25" s="1"/>
  <c r="CY202" i="25"/>
  <c r="DT202" i="25"/>
  <c r="DJ22" i="25"/>
  <c r="DK22" i="25" s="1"/>
  <c r="DL22" i="25" s="1"/>
  <c r="CZ144" i="25"/>
  <c r="DB144" i="25" s="1"/>
  <c r="DX144" i="25" s="1"/>
  <c r="DR177" i="25"/>
  <c r="DT177" i="25"/>
  <c r="DT22" i="25"/>
  <c r="CN144" i="25"/>
  <c r="CN177" i="25"/>
  <c r="DR68" i="25"/>
  <c r="DT68" i="25"/>
  <c r="DR29" i="25"/>
  <c r="CB71" i="25"/>
  <c r="DN31" i="25"/>
  <c r="DJ72" i="25"/>
  <c r="DK72" i="25" s="1"/>
  <c r="DL72" i="25" s="1"/>
  <c r="CZ70" i="25"/>
  <c r="DB70" i="25" s="1"/>
  <c r="DX70" i="25" s="1"/>
  <c r="CY70" i="25"/>
  <c r="DR27" i="25"/>
  <c r="CN30" i="25"/>
  <c r="CB178" i="25"/>
  <c r="DR178" i="25"/>
  <c r="CN71" i="25"/>
  <c r="DN32" i="25"/>
  <c r="DN180" i="25"/>
  <c r="CY27" i="25"/>
  <c r="CZ31" i="25"/>
  <c r="DB31" i="25" s="1"/>
  <c r="DX31" i="25" s="1"/>
  <c r="CZ72" i="25"/>
  <c r="DB72" i="25" s="1"/>
  <c r="DX72" i="25" s="1"/>
  <c r="DN33" i="25"/>
  <c r="CZ27" i="25"/>
  <c r="DB27" i="25" s="1"/>
  <c r="DX27" i="25" s="1"/>
  <c r="CB29" i="25"/>
  <c r="CY30" i="25"/>
  <c r="DR72" i="25"/>
  <c r="DT72" i="25"/>
  <c r="DN70" i="25"/>
  <c r="CZ32" i="25"/>
  <c r="DB32" i="25" s="1"/>
  <c r="DX32" i="25" s="1"/>
  <c r="CY32" i="25"/>
  <c r="CY26" i="25"/>
  <c r="CB27" i="25"/>
  <c r="DN27" i="25"/>
  <c r="CY28" i="25"/>
  <c r="CY69" i="25"/>
  <c r="DN178" i="25"/>
  <c r="DR71" i="25"/>
  <c r="DR31" i="25"/>
  <c r="DT31" i="25"/>
  <c r="DN72" i="25"/>
  <c r="DN179" i="25"/>
  <c r="DN34" i="25"/>
  <c r="CN159" i="25"/>
  <c r="CN42" i="25"/>
  <c r="CZ141" i="25"/>
  <c r="DB141" i="25" s="1"/>
  <c r="DX141" i="25" s="1"/>
  <c r="CY141" i="25"/>
  <c r="CN40" i="25"/>
  <c r="CZ38" i="25"/>
  <c r="DB38" i="25" s="1"/>
  <c r="DX38" i="25" s="1"/>
  <c r="CY38" i="25"/>
  <c r="DN39" i="25"/>
  <c r="CK42" i="25"/>
  <c r="CN36" i="25"/>
  <c r="DN36" i="25"/>
  <c r="CZ54" i="25"/>
  <c r="DB54" i="25" s="1"/>
  <c r="DX54" i="25" s="1"/>
  <c r="CY54" i="25"/>
  <c r="CN141" i="25"/>
  <c r="CN41" i="25"/>
  <c r="CY179" i="25"/>
  <c r="CY33" i="25"/>
  <c r="CY34" i="25"/>
  <c r="CY180" i="25"/>
  <c r="DR35" i="25"/>
  <c r="CY36" i="25"/>
  <c r="CN38" i="25"/>
  <c r="CN124" i="25"/>
  <c r="CN125" i="25"/>
  <c r="DT40" i="25"/>
  <c r="DT41" i="25"/>
  <c r="DT124" i="25"/>
  <c r="DT125" i="25"/>
  <c r="DT42" i="25"/>
  <c r="CN155" i="25"/>
  <c r="DN159" i="25"/>
  <c r="DN40" i="25"/>
  <c r="DN41" i="25"/>
  <c r="CN43" i="25"/>
  <c r="DR156" i="25"/>
  <c r="CN73" i="25"/>
  <c r="DT45" i="25"/>
  <c r="DT138" i="25"/>
  <c r="DJ182" i="25"/>
  <c r="DK182" i="25" s="1"/>
  <c r="DL182" i="25" s="1"/>
  <c r="DT74" i="25"/>
  <c r="CY39" i="25"/>
  <c r="CY159" i="25"/>
  <c r="CY40" i="25"/>
  <c r="CY41" i="25"/>
  <c r="CY124" i="25"/>
  <c r="CY125" i="25"/>
  <c r="CY42" i="25"/>
  <c r="DT155" i="25"/>
  <c r="DJ74" i="25"/>
  <c r="DK74" i="25" s="1"/>
  <c r="DL74" i="25" s="1"/>
  <c r="CZ39" i="25"/>
  <c r="DB39" i="25" s="1"/>
  <c r="DX39" i="25" s="1"/>
  <c r="CZ159" i="25"/>
  <c r="DB159" i="25" s="1"/>
  <c r="DX159" i="25" s="1"/>
  <c r="CZ40" i="25"/>
  <c r="DB40" i="25" s="1"/>
  <c r="DX40" i="25" s="1"/>
  <c r="CZ41" i="25"/>
  <c r="DB41" i="25" s="1"/>
  <c r="DX41" i="25" s="1"/>
  <c r="CZ124" i="25"/>
  <c r="DB124" i="25" s="1"/>
  <c r="DX124" i="25" s="1"/>
  <c r="CZ125" i="25"/>
  <c r="DB125" i="25" s="1"/>
  <c r="DX125" i="25" s="1"/>
  <c r="CZ42" i="25"/>
  <c r="DB42" i="25" s="1"/>
  <c r="DX42" i="25" s="1"/>
  <c r="CZ43" i="25"/>
  <c r="DB43" i="25" s="1"/>
  <c r="DX43" i="25" s="1"/>
  <c r="DR43" i="25"/>
  <c r="CY156" i="25"/>
  <c r="CN45" i="25"/>
  <c r="CZ45" i="25"/>
  <c r="DB45" i="25" s="1"/>
  <c r="DX45" i="25" s="1"/>
  <c r="DN45" i="25"/>
  <c r="DN155" i="25"/>
  <c r="CN74" i="25"/>
  <c r="DN74" i="25"/>
  <c r="CN138" i="25"/>
  <c r="DN138" i="25"/>
  <c r="CN182" i="25"/>
  <c r="DN182" i="25"/>
  <c r="CN46" i="25"/>
  <c r="CN75" i="25"/>
  <c r="DT184" i="25"/>
  <c r="DR184" i="25"/>
  <c r="DJ152" i="25"/>
  <c r="DK152" i="25" s="1"/>
  <c r="DL152" i="25" s="1"/>
  <c r="CN127" i="25"/>
  <c r="CN183" i="25"/>
  <c r="CN157" i="25"/>
  <c r="CN48" i="25"/>
  <c r="DN50" i="25"/>
  <c r="DT186" i="25"/>
  <c r="DR186" i="25"/>
  <c r="DJ48" i="25"/>
  <c r="DK48" i="25" s="1"/>
  <c r="DL48" i="25" s="1"/>
  <c r="DJ184" i="25"/>
  <c r="DK184" i="25" s="1"/>
  <c r="DL184" i="25" s="1"/>
  <c r="DJ50" i="25"/>
  <c r="DK50" i="25" s="1"/>
  <c r="DL50" i="25" s="1"/>
  <c r="DN185" i="25"/>
  <c r="DT158" i="25"/>
  <c r="DR158" i="25"/>
  <c r="CZ155" i="25"/>
  <c r="DB155" i="25" s="1"/>
  <c r="DX155" i="25" s="1"/>
  <c r="CZ74" i="25"/>
  <c r="DB74" i="25" s="1"/>
  <c r="DX74" i="25" s="1"/>
  <c r="CZ138" i="25"/>
  <c r="DB138" i="25" s="1"/>
  <c r="DX138" i="25" s="1"/>
  <c r="CZ182" i="25"/>
  <c r="DB182" i="25" s="1"/>
  <c r="DX182" i="25" s="1"/>
  <c r="CZ46" i="25"/>
  <c r="DB46" i="25" s="1"/>
  <c r="DX46" i="25" s="1"/>
  <c r="CZ75" i="25"/>
  <c r="DB75" i="25" s="1"/>
  <c r="DX75" i="25" s="1"/>
  <c r="CY127" i="25"/>
  <c r="CY183" i="25"/>
  <c r="CY157" i="25"/>
  <c r="CZ50" i="25"/>
  <c r="DB50" i="25" s="1"/>
  <c r="DX50" i="25" s="1"/>
  <c r="DT51" i="25"/>
  <c r="DR51" i="25"/>
  <c r="DN186" i="25"/>
  <c r="DT152" i="25"/>
  <c r="DR152" i="25"/>
  <c r="DT49" i="25"/>
  <c r="DJ186" i="25"/>
  <c r="DK186" i="25" s="1"/>
  <c r="DL186" i="25" s="1"/>
  <c r="CY50" i="25"/>
  <c r="DN158" i="25"/>
  <c r="DT50" i="25"/>
  <c r="DR50" i="25"/>
  <c r="DT185" i="25"/>
  <c r="DR185" i="25"/>
  <c r="DN51" i="25"/>
  <c r="CZ158" i="25"/>
  <c r="DB158" i="25" s="1"/>
  <c r="DX158" i="25" s="1"/>
  <c r="CZ185" i="25"/>
  <c r="DB185" i="25" s="1"/>
  <c r="DX185" i="25" s="1"/>
  <c r="DR52" i="25"/>
  <c r="DR53" i="25"/>
  <c r="DR187" i="25"/>
  <c r="DR188" i="25"/>
  <c r="DR128" i="25"/>
  <c r="CN130" i="25"/>
  <c r="CZ79" i="25"/>
  <c r="DB79" i="25" s="1"/>
  <c r="DX79" i="25" s="1"/>
  <c r="CY79" i="25"/>
  <c r="DN129" i="25"/>
  <c r="CZ80" i="25"/>
  <c r="DB80" i="25" s="1"/>
  <c r="DX80" i="25" s="1"/>
  <c r="CY80" i="25"/>
  <c r="DN78" i="25"/>
  <c r="CN187" i="25"/>
  <c r="CN188" i="25"/>
  <c r="CN128" i="25"/>
  <c r="CZ129" i="25"/>
  <c r="DB129" i="25" s="1"/>
  <c r="DX129" i="25" s="1"/>
  <c r="CN153" i="25"/>
  <c r="DN79" i="25"/>
  <c r="DJ145" i="25"/>
  <c r="DK145" i="25" s="1"/>
  <c r="DL145" i="25" s="1"/>
  <c r="DT95" i="25"/>
  <c r="DR95" i="25"/>
  <c r="DJ102" i="25"/>
  <c r="DK102" i="25" s="1"/>
  <c r="DL102" i="25" s="1"/>
  <c r="CY83" i="25"/>
  <c r="CY87" i="25"/>
  <c r="DT89" i="25"/>
  <c r="DR89" i="25"/>
  <c r="CZ107" i="25"/>
  <c r="DB107" i="25" s="1"/>
  <c r="DX107" i="25" s="1"/>
  <c r="CY107" i="25"/>
  <c r="CY78" i="25"/>
  <c r="DR79" i="25"/>
  <c r="DR80" i="25"/>
  <c r="CZ83" i="25"/>
  <c r="DB83" i="25" s="1"/>
  <c r="DX83" i="25" s="1"/>
  <c r="DR83" i="25"/>
  <c r="CZ87" i="25"/>
  <c r="DB87" i="25" s="1"/>
  <c r="DX87" i="25" s="1"/>
  <c r="DR87" i="25"/>
  <c r="CZ88" i="25"/>
  <c r="DB88" i="25" s="1"/>
  <c r="DX88" i="25" s="1"/>
  <c r="DR88" i="25"/>
  <c r="DJ89" i="25"/>
  <c r="DK89" i="25" s="1"/>
  <c r="DL89" i="25" s="1"/>
  <c r="DR92" i="25"/>
  <c r="DN105" i="25"/>
  <c r="CN89" i="25"/>
  <c r="DN108" i="25"/>
  <c r="CY89" i="25"/>
  <c r="DT90" i="25"/>
  <c r="DR90" i="25"/>
  <c r="CY92" i="25"/>
  <c r="CZ93" i="25"/>
  <c r="DB93" i="25" s="1"/>
  <c r="DX93" i="25" s="1"/>
  <c r="CB95" i="25"/>
  <c r="CZ95" i="25"/>
  <c r="DB95" i="25" s="1"/>
  <c r="DX95" i="25" s="1"/>
  <c r="DT102" i="25"/>
  <c r="DR102" i="25"/>
  <c r="CZ105" i="25"/>
  <c r="DB105" i="25" s="1"/>
  <c r="DX105" i="25" s="1"/>
  <c r="CY105" i="25"/>
  <c r="DN107" i="25"/>
  <c r="DT145" i="25"/>
  <c r="DR145" i="25"/>
  <c r="DR93" i="25"/>
  <c r="DN109" i="25"/>
  <c r="CY108" i="25"/>
  <c r="CY109" i="25"/>
  <c r="CY110" i="25"/>
  <c r="CY111" i="25"/>
  <c r="CY133" i="25"/>
  <c r="CY113" i="25"/>
  <c r="CY114" i="25"/>
  <c r="CY134" i="25"/>
  <c r="CY115" i="25"/>
  <c r="CY122" i="25"/>
  <c r="CZ104" i="25"/>
  <c r="DB104" i="25" s="1"/>
  <c r="DX104" i="25" s="1"/>
  <c r="CY104" i="25"/>
  <c r="CZ108" i="25"/>
  <c r="DB108" i="25" s="1"/>
  <c r="DX108" i="25" s="1"/>
  <c r="CZ109" i="25"/>
  <c r="DB109" i="25" s="1"/>
  <c r="DX109" i="25" s="1"/>
  <c r="CZ110" i="25"/>
  <c r="DB110" i="25" s="1"/>
  <c r="DX110" i="25" s="1"/>
  <c r="CZ111" i="25"/>
  <c r="DB111" i="25" s="1"/>
  <c r="DX111" i="25" s="1"/>
  <c r="CZ133" i="25"/>
  <c r="DB133" i="25" s="1"/>
  <c r="DX133" i="25" s="1"/>
  <c r="CZ113" i="25"/>
  <c r="DB113" i="25" s="1"/>
  <c r="DX113" i="25" s="1"/>
  <c r="CZ114" i="25"/>
  <c r="DB114" i="25" s="1"/>
  <c r="DX114" i="25" s="1"/>
  <c r="CZ134" i="25"/>
  <c r="DB134" i="25" s="1"/>
  <c r="DX134" i="25" s="1"/>
  <c r="CZ126" i="25"/>
  <c r="DB126" i="25" s="1"/>
  <c r="DX126" i="25" s="1"/>
  <c r="DT131" i="25"/>
  <c r="DR131" i="25"/>
  <c r="CZ102" i="25"/>
  <c r="DB102" i="25" s="1"/>
  <c r="DX102" i="25" s="1"/>
  <c r="DR132" i="25"/>
  <c r="CN131" i="25"/>
  <c r="CY126" i="25"/>
  <c r="DT126" i="25"/>
  <c r="DR126" i="25"/>
  <c r="DJ131" i="25"/>
  <c r="DK131" i="25" s="1"/>
  <c r="DL131" i="25" s="1"/>
  <c r="DJ122" i="25"/>
  <c r="DK122" i="25" s="1"/>
  <c r="DL122" i="25" s="1"/>
  <c r="DN126" i="25"/>
  <c r="CZ131" i="25"/>
  <c r="DB131" i="25" s="1"/>
  <c r="DX131" i="25" s="1"/>
  <c r="CN104" i="25"/>
  <c r="DJ126" i="25"/>
  <c r="DK126" i="25" s="1"/>
  <c r="DL126" i="25" s="1"/>
  <c r="DR104" i="25"/>
  <c r="CY123" i="25"/>
  <c r="I64" i="92"/>
  <c r="K61" i="92"/>
  <c r="J64" i="92"/>
  <c r="D142" i="92"/>
  <c r="K62" i="92"/>
  <c r="G141" i="92"/>
  <c r="E430" i="92"/>
  <c r="L64" i="92"/>
  <c r="O137" i="92"/>
  <c r="E415" i="92"/>
  <c r="M64" i="92"/>
  <c r="E431" i="92"/>
  <c r="Y61" i="92"/>
  <c r="E416" i="92"/>
  <c r="D230" i="92"/>
  <c r="D229" i="92"/>
  <c r="E432" i="92"/>
  <c r="Y62" i="92"/>
  <c r="G140" i="92"/>
  <c r="I230" i="92"/>
  <c r="I229" i="92"/>
  <c r="E417" i="92"/>
  <c r="J25" i="89"/>
  <c r="S25" i="89" s="1"/>
  <c r="J31" i="89"/>
  <c r="J27" i="89"/>
  <c r="S27" i="89" s="1"/>
  <c r="S37" i="89"/>
  <c r="T71" i="89"/>
  <c r="S33" i="89"/>
  <c r="T72" i="89"/>
  <c r="O138" i="92"/>
  <c r="S21" i="89" l="1"/>
  <c r="L21" i="89"/>
  <c r="M21" i="89" s="1"/>
  <c r="S31" i="89"/>
  <c r="J32" i="89"/>
  <c r="S32" i="89" s="1"/>
  <c r="S49" i="89"/>
  <c r="J38" i="89"/>
  <c r="S38" i="89" s="1"/>
  <c r="DM161" i="25"/>
  <c r="DM197" i="25"/>
  <c r="DM194" i="25"/>
  <c r="DM14" i="25"/>
  <c r="DM179" i="25"/>
  <c r="DM35" i="25"/>
  <c r="DM165" i="25"/>
  <c r="DM159" i="25"/>
  <c r="DM163" i="25"/>
  <c r="DM128" i="25"/>
  <c r="DM122" i="25"/>
  <c r="DM9" i="25"/>
  <c r="DM43" i="25"/>
  <c r="DM40" i="25"/>
  <c r="DM24" i="25"/>
  <c r="DM172" i="25"/>
  <c r="DM88" i="25"/>
  <c r="DM58" i="25"/>
  <c r="DM135" i="25"/>
  <c r="DM71" i="25"/>
  <c r="DM180" i="25"/>
  <c r="DM144" i="25"/>
  <c r="DM30" i="25"/>
  <c r="DM56" i="25"/>
  <c r="DM82" i="25"/>
  <c r="DM119" i="25"/>
  <c r="DM42" i="25"/>
  <c r="DM97" i="25"/>
  <c r="DM74" i="25"/>
  <c r="DM105" i="25"/>
  <c r="DM104" i="25"/>
  <c r="DM196" i="25"/>
  <c r="DM205" i="25"/>
  <c r="DM96" i="25"/>
  <c r="DM107" i="25"/>
  <c r="DM176" i="25"/>
  <c r="DM27" i="25"/>
  <c r="DM168" i="25"/>
  <c r="DM152" i="25"/>
  <c r="DM162" i="25"/>
  <c r="DM186" i="25"/>
  <c r="DM49" i="25"/>
  <c r="DM93" i="25"/>
  <c r="DM101" i="25"/>
  <c r="DM20" i="25"/>
  <c r="DM51" i="25"/>
  <c r="DM78" i="25"/>
  <c r="DM178" i="25"/>
  <c r="DM167" i="25"/>
  <c r="DM131" i="25"/>
  <c r="DM25" i="25"/>
  <c r="DM102" i="25"/>
  <c r="DM80" i="25"/>
  <c r="DM113" i="25"/>
  <c r="DM15" i="25"/>
  <c r="DM91" i="25"/>
  <c r="DM76" i="25"/>
  <c r="DM201" i="25"/>
  <c r="DM73" i="25"/>
  <c r="DM11" i="25"/>
  <c r="DM46" i="25"/>
  <c r="DM175" i="25"/>
  <c r="DM79" i="25"/>
  <c r="DM75" i="25"/>
  <c r="DM127" i="25"/>
  <c r="DM200" i="25"/>
  <c r="DM143" i="25"/>
  <c r="DM158" i="25"/>
  <c r="DM18" i="25"/>
  <c r="DM206" i="25"/>
  <c r="DM99" i="25"/>
  <c r="DM164" i="25"/>
  <c r="DM112" i="25"/>
  <c r="DM136" i="25"/>
  <c r="DM182" i="25"/>
  <c r="DM66" i="25"/>
  <c r="DM155" i="25"/>
  <c r="DM187" i="25"/>
  <c r="DM138" i="25"/>
  <c r="DM33" i="25"/>
  <c r="DM150" i="25"/>
  <c r="DM62" i="25"/>
  <c r="DM140" i="25"/>
  <c r="DM45" i="25"/>
  <c r="DM166" i="25"/>
  <c r="DM204" i="25"/>
  <c r="DM16" i="25"/>
  <c r="DM44" i="25"/>
  <c r="DM116" i="25"/>
  <c r="DM173" i="25"/>
  <c r="DM145" i="25"/>
  <c r="DM50" i="25"/>
  <c r="DM156" i="25"/>
  <c r="DM183" i="25"/>
  <c r="DM87" i="25"/>
  <c r="DM41" i="25"/>
  <c r="DM103" i="25"/>
  <c r="DM31" i="25"/>
  <c r="DM28" i="25"/>
  <c r="DM100" i="25"/>
  <c r="DM193" i="25"/>
  <c r="DM146" i="25"/>
  <c r="DM61" i="25"/>
  <c r="DM203" i="25"/>
  <c r="DM54" i="25"/>
  <c r="DM85" i="25"/>
  <c r="DM121" i="25"/>
  <c r="DM34" i="25"/>
  <c r="DM169" i="25"/>
  <c r="DM177" i="25"/>
  <c r="DM60" i="25"/>
  <c r="DM130" i="25"/>
  <c r="DM124" i="25"/>
  <c r="DM64" i="25"/>
  <c r="DM81" i="25"/>
  <c r="DM191" i="25"/>
  <c r="DM153" i="25"/>
  <c r="DM55" i="25"/>
  <c r="DM184" i="25"/>
  <c r="DM134" i="25"/>
  <c r="DM123" i="25"/>
  <c r="DM149" i="25"/>
  <c r="DM98" i="25"/>
  <c r="DM36" i="25"/>
  <c r="DM32" i="25"/>
  <c r="DM147" i="25"/>
  <c r="DM92" i="25"/>
  <c r="DM57" i="25"/>
  <c r="DM29" i="25"/>
  <c r="DM22" i="25"/>
  <c r="DM160" i="25"/>
  <c r="DM110" i="25"/>
  <c r="DM125" i="25"/>
  <c r="DM106" i="25"/>
  <c r="DM189" i="25"/>
  <c r="DM109" i="25"/>
  <c r="DM114" i="25"/>
  <c r="DM83" i="25"/>
  <c r="DM133" i="25"/>
  <c r="DM10" i="25"/>
  <c r="DM52" i="25"/>
  <c r="DM17" i="25"/>
  <c r="DM48" i="25"/>
  <c r="DM139" i="25"/>
  <c r="DM141" i="25"/>
  <c r="DM39" i="25"/>
  <c r="DM68" i="25"/>
  <c r="DM148" i="25"/>
  <c r="DM84" i="25"/>
  <c r="DM108" i="25"/>
  <c r="DM111" i="25"/>
  <c r="DM154" i="25"/>
  <c r="DM117" i="25"/>
  <c r="DM126" i="25"/>
  <c r="DM95" i="25"/>
  <c r="DM38" i="25"/>
  <c r="DM70" i="25"/>
  <c r="DM120" i="25"/>
  <c r="DM94" i="25"/>
  <c r="DM185" i="25"/>
  <c r="DM23" i="25"/>
  <c r="DM132" i="25"/>
  <c r="DM90" i="25"/>
  <c r="DM12" i="25"/>
  <c r="DM137" i="25"/>
  <c r="DM89" i="25"/>
  <c r="DM19" i="25"/>
  <c r="DM21" i="25"/>
  <c r="DM53" i="25"/>
  <c r="DM157" i="25"/>
  <c r="DM151" i="25"/>
  <c r="DM67" i="25"/>
  <c r="DM181" i="25"/>
  <c r="DM199" i="25"/>
  <c r="DM171" i="25"/>
  <c r="DM170" i="25"/>
  <c r="DM192" i="25"/>
  <c r="DM118" i="25"/>
  <c r="DM129" i="25"/>
  <c r="DM142" i="25"/>
  <c r="DM69" i="25"/>
  <c r="DM198" i="25"/>
  <c r="DM174" i="25"/>
  <c r="DM188" i="25"/>
  <c r="DM72" i="25"/>
  <c r="DM202" i="25"/>
  <c r="DM26" i="25"/>
  <c r="DM195" i="25"/>
  <c r="DM190" i="25"/>
  <c r="DM63" i="25"/>
  <c r="DM86" i="25"/>
  <c r="DM59" i="25"/>
  <c r="DM115" i="25"/>
  <c r="DM65" i="25"/>
  <c r="DM77" i="25"/>
  <c r="DD23" i="25"/>
  <c r="DD147" i="25"/>
  <c r="DD153" i="25"/>
  <c r="DD16" i="25"/>
  <c r="DD74" i="25"/>
  <c r="DD56" i="25"/>
  <c r="DD127" i="25"/>
  <c r="DD169" i="25"/>
  <c r="DD120" i="25"/>
  <c r="DD174" i="25"/>
  <c r="DD129" i="25"/>
  <c r="DD183" i="25"/>
  <c r="DD67" i="25"/>
  <c r="DD113" i="25"/>
  <c r="DD84" i="25"/>
  <c r="DD28" i="25"/>
  <c r="DD172" i="25"/>
  <c r="DD83" i="25"/>
  <c r="DD141" i="25"/>
  <c r="DD58" i="25"/>
  <c r="DD139" i="25"/>
  <c r="DD81" i="25"/>
  <c r="DD31" i="25"/>
  <c r="DD21" i="25"/>
  <c r="DD136" i="25"/>
  <c r="DD114" i="25"/>
  <c r="DD71" i="25"/>
  <c r="DD190" i="25"/>
  <c r="DD144" i="25"/>
  <c r="DD135" i="25"/>
  <c r="DD156" i="25"/>
  <c r="DD26" i="25"/>
  <c r="DD115" i="25"/>
  <c r="DD30" i="25"/>
  <c r="DD199" i="25"/>
  <c r="DD98" i="25"/>
  <c r="DD88" i="25"/>
  <c r="DD22" i="25"/>
  <c r="DD64" i="25"/>
  <c r="DD157" i="25"/>
  <c r="DD11" i="25"/>
  <c r="DD80" i="25"/>
  <c r="DD54" i="25"/>
  <c r="DD10" i="25"/>
  <c r="DD162" i="25"/>
  <c r="DD154" i="25"/>
  <c r="DD17" i="25"/>
  <c r="DD61" i="25"/>
  <c r="DD143" i="25"/>
  <c r="DD110" i="25"/>
  <c r="DD151" i="25"/>
  <c r="DD160" i="25"/>
  <c r="DD152" i="25"/>
  <c r="DD150" i="25"/>
  <c r="DD93" i="25"/>
  <c r="DD189" i="25"/>
  <c r="DD177" i="25"/>
  <c r="DD195" i="25"/>
  <c r="DD161" i="25"/>
  <c r="DD53" i="25"/>
  <c r="DD43" i="25"/>
  <c r="DD91" i="25"/>
  <c r="DD102" i="25"/>
  <c r="DD68" i="25"/>
  <c r="DD165" i="25"/>
  <c r="DD46" i="25"/>
  <c r="DD32" i="25"/>
  <c r="DD164" i="25"/>
  <c r="DD9" i="25"/>
  <c r="DD79" i="25"/>
  <c r="DD65" i="25"/>
  <c r="DD85" i="25"/>
  <c r="DD89" i="25"/>
  <c r="DD200" i="25"/>
  <c r="DD29" i="25"/>
  <c r="DD96" i="25"/>
  <c r="DD118" i="25"/>
  <c r="DD112" i="25"/>
  <c r="DD42" i="25"/>
  <c r="DD201" i="25"/>
  <c r="DD133" i="25"/>
  <c r="DD20" i="25"/>
  <c r="DD41" i="25"/>
  <c r="DD203" i="25"/>
  <c r="DD182" i="25"/>
  <c r="DD149" i="25"/>
  <c r="DD204" i="25"/>
  <c r="DD78" i="25"/>
  <c r="DD44" i="25"/>
  <c r="DD138" i="25"/>
  <c r="DD72" i="25"/>
  <c r="DD57" i="25"/>
  <c r="DD14" i="25"/>
  <c r="DD167" i="25"/>
  <c r="DD104" i="25"/>
  <c r="DD197" i="25"/>
  <c r="DD76" i="25"/>
  <c r="DD158" i="25"/>
  <c r="DD173" i="25"/>
  <c r="DD134" i="25"/>
  <c r="DD198" i="25"/>
  <c r="DD128" i="25"/>
  <c r="DD40" i="25"/>
  <c r="DD140" i="25"/>
  <c r="DD108" i="25"/>
  <c r="DD202" i="25"/>
  <c r="DD193" i="25"/>
  <c r="DD51" i="25"/>
  <c r="DD35" i="25"/>
  <c r="DD106" i="25"/>
  <c r="DD12" i="25"/>
  <c r="DD130" i="25"/>
  <c r="DD124" i="25"/>
  <c r="DD100" i="25"/>
  <c r="DD171" i="25"/>
  <c r="DD27" i="25"/>
  <c r="DD121" i="25"/>
  <c r="DD188" i="25"/>
  <c r="DD77" i="25"/>
  <c r="DD163" i="25"/>
  <c r="DD126" i="25"/>
  <c r="DD122" i="25"/>
  <c r="DD155" i="25"/>
  <c r="DD103" i="25"/>
  <c r="DD132" i="25"/>
  <c r="DD75" i="25"/>
  <c r="DD205" i="25"/>
  <c r="DD168" i="25"/>
  <c r="DD111" i="25"/>
  <c r="DD142" i="25"/>
  <c r="DD185" i="25"/>
  <c r="DD181" i="25"/>
  <c r="DD15" i="25"/>
  <c r="DD123" i="25"/>
  <c r="DD90" i="25"/>
  <c r="DD63" i="25"/>
  <c r="DD55" i="25"/>
  <c r="DD45" i="25"/>
  <c r="DD196" i="25"/>
  <c r="DD39" i="25"/>
  <c r="DD191" i="25"/>
  <c r="DD25" i="25"/>
  <c r="DD109" i="25"/>
  <c r="DD48" i="25"/>
  <c r="DD38" i="25"/>
  <c r="DD107" i="25"/>
  <c r="DD52" i="25"/>
  <c r="DD178" i="25"/>
  <c r="DD19" i="25"/>
  <c r="DD92" i="25"/>
  <c r="DD125" i="25"/>
  <c r="DD66" i="25"/>
  <c r="DD166" i="25"/>
  <c r="DD145" i="25"/>
  <c r="DD175" i="25"/>
  <c r="DD49" i="25"/>
  <c r="DD97" i="25"/>
  <c r="DD206" i="25"/>
  <c r="DD176" i="25"/>
  <c r="DD95" i="25"/>
  <c r="DD184" i="25"/>
  <c r="DD33" i="25"/>
  <c r="DD116" i="25"/>
  <c r="DD101" i="25"/>
  <c r="DD59" i="25"/>
  <c r="DD187" i="25"/>
  <c r="DD34" i="25"/>
  <c r="DD146" i="25"/>
  <c r="DD137" i="25"/>
  <c r="DD192" i="25"/>
  <c r="DD105" i="25"/>
  <c r="DD170" i="25"/>
  <c r="DD36" i="25"/>
  <c r="DD194" i="25"/>
  <c r="DD50" i="25"/>
  <c r="DD117" i="25"/>
  <c r="DD180" i="25"/>
  <c r="DD82" i="25"/>
  <c r="DD179" i="25"/>
  <c r="DD86" i="25"/>
  <c r="DD119" i="25"/>
  <c r="DD73" i="25"/>
  <c r="DD69" i="25"/>
  <c r="DD148" i="25"/>
  <c r="DD186" i="25"/>
  <c r="DD94" i="25"/>
  <c r="DD87" i="25"/>
  <c r="DD159" i="25"/>
  <c r="DD18" i="25"/>
  <c r="DD24" i="25"/>
  <c r="DD60" i="25"/>
  <c r="DD70" i="25"/>
  <c r="DD99" i="25"/>
  <c r="DD62" i="25"/>
  <c r="E103" i="89"/>
  <c r="F103" i="89" s="1"/>
  <c r="N25" i="89"/>
  <c r="O25" i="89"/>
  <c r="P25" i="89"/>
  <c r="Q25" i="89"/>
  <c r="R25" i="89"/>
  <c r="Q49" i="89"/>
  <c r="O49" i="89"/>
  <c r="N49" i="89"/>
  <c r="R49" i="89"/>
  <c r="P49" i="89"/>
  <c r="N52" i="89"/>
  <c r="O52" i="89"/>
  <c r="R52" i="89"/>
  <c r="P52" i="89"/>
  <c r="Q52" i="89"/>
  <c r="E101" i="89"/>
  <c r="N37" i="89"/>
  <c r="R37" i="89"/>
  <c r="O37" i="89"/>
  <c r="P37" i="89"/>
  <c r="Q37" i="89"/>
  <c r="O27" i="89"/>
  <c r="R27" i="89"/>
  <c r="N27" i="89"/>
  <c r="P27" i="89"/>
  <c r="Q27" i="89"/>
  <c r="E102" i="89"/>
  <c r="F102" i="89" s="1"/>
  <c r="O31" i="89"/>
  <c r="N31" i="89"/>
  <c r="P31" i="89"/>
  <c r="Q31" i="89"/>
  <c r="R31" i="89"/>
  <c r="R33" i="89"/>
  <c r="N33" i="89"/>
  <c r="P33" i="89"/>
  <c r="O33" i="89"/>
  <c r="Q33" i="89"/>
  <c r="CW62" i="25"/>
  <c r="DE62" i="25" s="1"/>
  <c r="CW177" i="25"/>
  <c r="DE177" i="25" s="1"/>
  <c r="CW39" i="25"/>
  <c r="DE39" i="25" s="1"/>
  <c r="CW175" i="25"/>
  <c r="DE175" i="25" s="1"/>
  <c r="CW90" i="25"/>
  <c r="DE90" i="25" s="1"/>
  <c r="CW45" i="25"/>
  <c r="DE45" i="25" s="1"/>
  <c r="CW151" i="25"/>
  <c r="DE151" i="25" s="1"/>
  <c r="CW110" i="25"/>
  <c r="DE110" i="25" s="1"/>
  <c r="CW197" i="25"/>
  <c r="DE197" i="25" s="1"/>
  <c r="CW57" i="25"/>
  <c r="DE57" i="25" s="1"/>
  <c r="CW167" i="25"/>
  <c r="DE167" i="25" s="1"/>
  <c r="CW52" i="25"/>
  <c r="DE52" i="25" s="1"/>
  <c r="CW43" i="25"/>
  <c r="DE43" i="25" s="1"/>
  <c r="CW169" i="25"/>
  <c r="DE169" i="25" s="1"/>
  <c r="CW89" i="25"/>
  <c r="DE89" i="25" s="1"/>
  <c r="CW34" i="25"/>
  <c r="DE34" i="25" s="1"/>
  <c r="CW160" i="25"/>
  <c r="DE160" i="25" s="1"/>
  <c r="CW56" i="25"/>
  <c r="DE56" i="25" s="1"/>
  <c r="CW182" i="25"/>
  <c r="DE182" i="25" s="1"/>
  <c r="CW190" i="25"/>
  <c r="DE190" i="25" s="1"/>
  <c r="CW146" i="25"/>
  <c r="DE146" i="25" s="1"/>
  <c r="CW26" i="25"/>
  <c r="DE26" i="25" s="1"/>
  <c r="CW31" i="25"/>
  <c r="DE31" i="25" s="1"/>
  <c r="CW74" i="25"/>
  <c r="DE74" i="25" s="1"/>
  <c r="CW141" i="25"/>
  <c r="DE141" i="25" s="1"/>
  <c r="CW192" i="25"/>
  <c r="DE192" i="25" s="1"/>
  <c r="CW117" i="25"/>
  <c r="DE117" i="25" s="1"/>
  <c r="CW205" i="25"/>
  <c r="DE205" i="25" s="1"/>
  <c r="CW76" i="25"/>
  <c r="DE76" i="25" s="1"/>
  <c r="CW186" i="25"/>
  <c r="DE186" i="25" s="1"/>
  <c r="CW145" i="25"/>
  <c r="DE145" i="25" s="1"/>
  <c r="CW180" i="25"/>
  <c r="DE180" i="25" s="1"/>
  <c r="CW19" i="25"/>
  <c r="DE19" i="25" s="1"/>
  <c r="CW81" i="25"/>
  <c r="DE81" i="25" s="1"/>
  <c r="CW126" i="25"/>
  <c r="DE126" i="25" s="1"/>
  <c r="CW104" i="25"/>
  <c r="DE104" i="25" s="1"/>
  <c r="CW73" i="25"/>
  <c r="DE73" i="25" s="1"/>
  <c r="CW194" i="25"/>
  <c r="DE194" i="25" s="1"/>
  <c r="CW59" i="25"/>
  <c r="DE59" i="25" s="1"/>
  <c r="CW22" i="25"/>
  <c r="DE22" i="25" s="1"/>
  <c r="CW11" i="25"/>
  <c r="DE11" i="25" s="1"/>
  <c r="CW125" i="25"/>
  <c r="DE125" i="25" s="1"/>
  <c r="CW14" i="25"/>
  <c r="DE14" i="25" s="1"/>
  <c r="CW206" i="25"/>
  <c r="DE206" i="25" s="1"/>
  <c r="CW108" i="25"/>
  <c r="DE108" i="25" s="1"/>
  <c r="CW129" i="25"/>
  <c r="DE129" i="25" s="1"/>
  <c r="CW112" i="25"/>
  <c r="DE112" i="25" s="1"/>
  <c r="CW15" i="25"/>
  <c r="DE15" i="25" s="1"/>
  <c r="CW97" i="25"/>
  <c r="DE97" i="25" s="1"/>
  <c r="CW173" i="25"/>
  <c r="DE173" i="25" s="1"/>
  <c r="CW171" i="25"/>
  <c r="DE171" i="25" s="1"/>
  <c r="CW137" i="25"/>
  <c r="DE137" i="25" s="1"/>
  <c r="CW203" i="25"/>
  <c r="DE203" i="25" s="1"/>
  <c r="CW119" i="25"/>
  <c r="DE119" i="25" s="1"/>
  <c r="CW122" i="25"/>
  <c r="DE122" i="25" s="1"/>
  <c r="CW115" i="25"/>
  <c r="DE115" i="25" s="1"/>
  <c r="CW51" i="25"/>
  <c r="DE51" i="25" s="1"/>
  <c r="CW28" i="25"/>
  <c r="DE28" i="25" s="1"/>
  <c r="CW79" i="25"/>
  <c r="DE79" i="25" s="1"/>
  <c r="CW71" i="25"/>
  <c r="DE71" i="25" s="1"/>
  <c r="CW191" i="25"/>
  <c r="DE191" i="25" s="1"/>
  <c r="CW35" i="25"/>
  <c r="DE35" i="25" s="1"/>
  <c r="CW10" i="25"/>
  <c r="DE10" i="25" s="1"/>
  <c r="CW149" i="25"/>
  <c r="DE149" i="25" s="1"/>
  <c r="CW84" i="25"/>
  <c r="DE84" i="25" s="1"/>
  <c r="CW183" i="25"/>
  <c r="DE183" i="25" s="1"/>
  <c r="CW198" i="25"/>
  <c r="DE198" i="25" s="1"/>
  <c r="CW88" i="25"/>
  <c r="DE88" i="25" s="1"/>
  <c r="CW153" i="25"/>
  <c r="DE153" i="25" s="1"/>
  <c r="CW83" i="25"/>
  <c r="DE83" i="25" s="1"/>
  <c r="CW114" i="25"/>
  <c r="DE114" i="25" s="1"/>
  <c r="CW158" i="25"/>
  <c r="DE158" i="25" s="1"/>
  <c r="CW113" i="25"/>
  <c r="DE113" i="25" s="1"/>
  <c r="CW87" i="25"/>
  <c r="DE87" i="25" s="1"/>
  <c r="CW80" i="25"/>
  <c r="DE80" i="25" s="1"/>
  <c r="CW41" i="25"/>
  <c r="DE41" i="25" s="1"/>
  <c r="CW103" i="25"/>
  <c r="DE103" i="25" s="1"/>
  <c r="CW172" i="25"/>
  <c r="DE172" i="25" s="1"/>
  <c r="CW67" i="25"/>
  <c r="DE67" i="25" s="1"/>
  <c r="CW53" i="25"/>
  <c r="DE53" i="25" s="1"/>
  <c r="CW82" i="25"/>
  <c r="DE82" i="25" s="1"/>
  <c r="CW163" i="25"/>
  <c r="DE163" i="25" s="1"/>
  <c r="CW166" i="25"/>
  <c r="DE166" i="25" s="1"/>
  <c r="CW16" i="25"/>
  <c r="DE16" i="25" s="1"/>
  <c r="CW181" i="25"/>
  <c r="DE181" i="25" s="1"/>
  <c r="CW161" i="25"/>
  <c r="DE161" i="25" s="1"/>
  <c r="CW157" i="25"/>
  <c r="DE157" i="25" s="1"/>
  <c r="CW25" i="25"/>
  <c r="DE25" i="25" s="1"/>
  <c r="CW94" i="25"/>
  <c r="DE94" i="25" s="1"/>
  <c r="CW154" i="25"/>
  <c r="DE154" i="25" s="1"/>
  <c r="CW152" i="25"/>
  <c r="DE152" i="25" s="1"/>
  <c r="CW134" i="25"/>
  <c r="DE134" i="25" s="1"/>
  <c r="CW98" i="25"/>
  <c r="DE98" i="25" s="1"/>
  <c r="CW72" i="25"/>
  <c r="DE72" i="25" s="1"/>
  <c r="CW20" i="25"/>
  <c r="DE20" i="25" s="1"/>
  <c r="CW196" i="25"/>
  <c r="DE196" i="25" s="1"/>
  <c r="CW55" i="25"/>
  <c r="DE55" i="25" s="1"/>
  <c r="CW85" i="25"/>
  <c r="DE85" i="25" s="1"/>
  <c r="CW107" i="25"/>
  <c r="DE107" i="25" s="1"/>
  <c r="CW178" i="25"/>
  <c r="DE178" i="25" s="1"/>
  <c r="CW86" i="25"/>
  <c r="DE86" i="25" s="1"/>
  <c r="CW118" i="25"/>
  <c r="DE118" i="25" s="1"/>
  <c r="CW138" i="25"/>
  <c r="DE138" i="25" s="1"/>
  <c r="CW139" i="25"/>
  <c r="DE139" i="25" s="1"/>
  <c r="CW64" i="25"/>
  <c r="DE64" i="25" s="1"/>
  <c r="CW120" i="25"/>
  <c r="DE120" i="25" s="1"/>
  <c r="CW100" i="25"/>
  <c r="DE100" i="25" s="1"/>
  <c r="CW95" i="25"/>
  <c r="DE95" i="25" s="1"/>
  <c r="CW42" i="25"/>
  <c r="DE42" i="25" s="1"/>
  <c r="CW124" i="25"/>
  <c r="DE124" i="25" s="1"/>
  <c r="CW133" i="25"/>
  <c r="DE133" i="25" s="1"/>
  <c r="CW54" i="25"/>
  <c r="DE54" i="25" s="1"/>
  <c r="CW68" i="25"/>
  <c r="DE68" i="25" s="1"/>
  <c r="CW106" i="25"/>
  <c r="DE106" i="25" s="1"/>
  <c r="CW101" i="25"/>
  <c r="DE101" i="25" s="1"/>
  <c r="CW66" i="25"/>
  <c r="DE66" i="25" s="1"/>
  <c r="CW21" i="25"/>
  <c r="DE21" i="25" s="1"/>
  <c r="CW170" i="25"/>
  <c r="DE170" i="25" s="1"/>
  <c r="CW48" i="25"/>
  <c r="DE48" i="25" s="1"/>
  <c r="CW135" i="25"/>
  <c r="DE135" i="25" s="1"/>
  <c r="CW12" i="25"/>
  <c r="DE12" i="25" s="1"/>
  <c r="CW49" i="25"/>
  <c r="DE49" i="25" s="1"/>
  <c r="CW184" i="25"/>
  <c r="DE184" i="25" s="1"/>
  <c r="CW33" i="25"/>
  <c r="DE33" i="25" s="1"/>
  <c r="CW69" i="25"/>
  <c r="DE69" i="25" s="1"/>
  <c r="CW185" i="25"/>
  <c r="DE185" i="25" s="1"/>
  <c r="CW204" i="25"/>
  <c r="DE204" i="25" s="1"/>
  <c r="CW142" i="25"/>
  <c r="DE142" i="25" s="1"/>
  <c r="CW70" i="25"/>
  <c r="DE70" i="25" s="1"/>
  <c r="CW78" i="25"/>
  <c r="DE78" i="25" s="1"/>
  <c r="CW30" i="25"/>
  <c r="DE30" i="25" s="1"/>
  <c r="CW18" i="25"/>
  <c r="DE18" i="25" s="1"/>
  <c r="CW174" i="25"/>
  <c r="DE174" i="25" s="1"/>
  <c r="CW155" i="25"/>
  <c r="DE155" i="25" s="1"/>
  <c r="CW65" i="25"/>
  <c r="DE65" i="25" s="1"/>
  <c r="CW143" i="25"/>
  <c r="DE143" i="25" s="1"/>
  <c r="CW29" i="25"/>
  <c r="DE29" i="25" s="1"/>
  <c r="CW140" i="25"/>
  <c r="DE140" i="25" s="1"/>
  <c r="CW156" i="25"/>
  <c r="DE156" i="25" s="1"/>
  <c r="CW17" i="25"/>
  <c r="DE17" i="25" s="1"/>
  <c r="CW61" i="25"/>
  <c r="DE61" i="25" s="1"/>
  <c r="CW187" i="25"/>
  <c r="DE187" i="25" s="1"/>
  <c r="CW195" i="25"/>
  <c r="DE195" i="25" s="1"/>
  <c r="CW148" i="25"/>
  <c r="DE148" i="25" s="1"/>
  <c r="CW102" i="25"/>
  <c r="DE102" i="25" s="1"/>
  <c r="CW111" i="25"/>
  <c r="DE111" i="25" s="1"/>
  <c r="CW75" i="25"/>
  <c r="DE75" i="25" s="1"/>
  <c r="CW159" i="25"/>
  <c r="DE159" i="25" s="1"/>
  <c r="CW38" i="25"/>
  <c r="DE38" i="25" s="1"/>
  <c r="CW199" i="25"/>
  <c r="DE199" i="25" s="1"/>
  <c r="CW136" i="25"/>
  <c r="DE136" i="25" s="1"/>
  <c r="CW77" i="25"/>
  <c r="DE77" i="25" s="1"/>
  <c r="CW162" i="25"/>
  <c r="DE162" i="25" s="1"/>
  <c r="CW189" i="25"/>
  <c r="DE189" i="25" s="1"/>
  <c r="CW188" i="25"/>
  <c r="DE188" i="25" s="1"/>
  <c r="CW128" i="25"/>
  <c r="DE128" i="25" s="1"/>
  <c r="CW168" i="25"/>
  <c r="DE168" i="25" s="1"/>
  <c r="CW164" i="25"/>
  <c r="DE164" i="25" s="1"/>
  <c r="CW132" i="25"/>
  <c r="DE132" i="25" s="1"/>
  <c r="CW58" i="25"/>
  <c r="DE58" i="25" s="1"/>
  <c r="CW23" i="25"/>
  <c r="DE23" i="25" s="1"/>
  <c r="CW147" i="25"/>
  <c r="DE147" i="25" s="1"/>
  <c r="CW92" i="25"/>
  <c r="DE92" i="25" s="1"/>
  <c r="CW179" i="25"/>
  <c r="DE179" i="25" s="1"/>
  <c r="CW123" i="25"/>
  <c r="DE123" i="25" s="1"/>
  <c r="CW202" i="25"/>
  <c r="DE202" i="25" s="1"/>
  <c r="CW193" i="25"/>
  <c r="DE193" i="25" s="1"/>
  <c r="CW127" i="25"/>
  <c r="DE127" i="25" s="1"/>
  <c r="CW176" i="25"/>
  <c r="DE176" i="25" s="1"/>
  <c r="CW150" i="25"/>
  <c r="DE150" i="25" s="1"/>
  <c r="CW24" i="25"/>
  <c r="DE24" i="25" s="1"/>
  <c r="CW201" i="25"/>
  <c r="DE201" i="25" s="1"/>
  <c r="CW130" i="25"/>
  <c r="DE130" i="25" s="1"/>
  <c r="CW27" i="25"/>
  <c r="DE27" i="25" s="1"/>
  <c r="CW63" i="25"/>
  <c r="DE63" i="25" s="1"/>
  <c r="CW9" i="25"/>
  <c r="DE9" i="25" s="1"/>
  <c r="CW116" i="25"/>
  <c r="DE116" i="25" s="1"/>
  <c r="CW44" i="25"/>
  <c r="DE44" i="25" s="1"/>
  <c r="CW91" i="25"/>
  <c r="DE91" i="25" s="1"/>
  <c r="CW32" i="25"/>
  <c r="DE32" i="25" s="1"/>
  <c r="CW46" i="25"/>
  <c r="DE46" i="25" s="1"/>
  <c r="CW200" i="25"/>
  <c r="DE200" i="25" s="1"/>
  <c r="CW93" i="25"/>
  <c r="DE93" i="25" s="1"/>
  <c r="CW40" i="25"/>
  <c r="DE40" i="25" s="1"/>
  <c r="CW96" i="25"/>
  <c r="DE96" i="25" s="1"/>
  <c r="CW165" i="25"/>
  <c r="DE165" i="25" s="1"/>
  <c r="CW50" i="25"/>
  <c r="DE50" i="25" s="1"/>
  <c r="CW99" i="25"/>
  <c r="DE99" i="25" s="1"/>
  <c r="CW60" i="25"/>
  <c r="DE60" i="25" s="1"/>
  <c r="CP206" i="25"/>
  <c r="CQ206" i="25" s="1"/>
  <c r="CT206" i="25" s="1"/>
  <c r="L49" i="89"/>
  <c r="M49" i="89" s="1"/>
  <c r="L52" i="89"/>
  <c r="M52" i="89" s="1"/>
  <c r="CP144" i="25"/>
  <c r="CQ144" i="25" s="1"/>
  <c r="CT144" i="25" s="1"/>
  <c r="CO144" i="25"/>
  <c r="CR144" i="25" s="1"/>
  <c r="CS144" i="25" s="1"/>
  <c r="CL203" i="25"/>
  <c r="CP203" i="25" s="1"/>
  <c r="CQ203" i="25" s="1"/>
  <c r="CT203" i="25" s="1"/>
  <c r="K64" i="92"/>
  <c r="CL121" i="25"/>
  <c r="CP121" i="25" s="1"/>
  <c r="CQ121" i="25" s="1"/>
  <c r="CT121" i="25" s="1"/>
  <c r="CP188" i="25"/>
  <c r="CQ188" i="25" s="1"/>
  <c r="CT188" i="25" s="1"/>
  <c r="CO188" i="25"/>
  <c r="CR188" i="25" s="1"/>
  <c r="CS188" i="25" s="1"/>
  <c r="CO206" i="25"/>
  <c r="CR206" i="25" s="1"/>
  <c r="CS206" i="25" s="1"/>
  <c r="CP187" i="25"/>
  <c r="CQ187" i="25" s="1"/>
  <c r="CT187" i="25" s="1"/>
  <c r="CL174" i="25"/>
  <c r="CP174" i="25" s="1"/>
  <c r="CQ174" i="25" s="1"/>
  <c r="CT174" i="25" s="1"/>
  <c r="CO184" i="25"/>
  <c r="CR184" i="25" s="1"/>
  <c r="CS184" i="25" s="1"/>
  <c r="CO187" i="25"/>
  <c r="CR187" i="25" s="1"/>
  <c r="CS187" i="25" s="1"/>
  <c r="CP128" i="25"/>
  <c r="CQ128" i="25" s="1"/>
  <c r="CT128" i="25" s="1"/>
  <c r="CO186" i="25"/>
  <c r="CR186" i="25" s="1"/>
  <c r="CS186" i="25" s="1"/>
  <c r="CL193" i="25"/>
  <c r="CP193" i="25" s="1"/>
  <c r="CQ193" i="25" s="1"/>
  <c r="CT193" i="25" s="1"/>
  <c r="CL87" i="25"/>
  <c r="CP87" i="25" s="1"/>
  <c r="CQ87" i="25" s="1"/>
  <c r="CT87" i="25" s="1"/>
  <c r="CL52" i="25"/>
  <c r="CP52" i="25" s="1"/>
  <c r="CQ52" i="25" s="1"/>
  <c r="CT52" i="25" s="1"/>
  <c r="CL88" i="25"/>
  <c r="CP88" i="25" s="1"/>
  <c r="CQ88" i="25" s="1"/>
  <c r="CT88" i="25" s="1"/>
  <c r="CL176" i="25"/>
  <c r="CP176" i="25" s="1"/>
  <c r="CQ176" i="25" s="1"/>
  <c r="CT176" i="25" s="1"/>
  <c r="CO12" i="25"/>
  <c r="CR12" i="25" s="1"/>
  <c r="CS12" i="25" s="1"/>
  <c r="CO65" i="25"/>
  <c r="CR65" i="25" s="1"/>
  <c r="CS65" i="25" s="1"/>
  <c r="CL152" i="25"/>
  <c r="CP152" i="25" s="1"/>
  <c r="CQ152" i="25" s="1"/>
  <c r="CT152" i="25" s="1"/>
  <c r="CO147" i="25"/>
  <c r="CR147" i="25" s="1"/>
  <c r="CS147" i="25" s="1"/>
  <c r="CO77" i="25"/>
  <c r="CR77" i="25" s="1"/>
  <c r="CS77" i="25" s="1"/>
  <c r="CL175" i="25"/>
  <c r="CP175" i="25" s="1"/>
  <c r="CQ175" i="25" s="1"/>
  <c r="CT175" i="25" s="1"/>
  <c r="CO30" i="25"/>
  <c r="CR30" i="25" s="1"/>
  <c r="CS30" i="25" s="1"/>
  <c r="CP130" i="25"/>
  <c r="CQ130" i="25" s="1"/>
  <c r="CT130" i="25" s="1"/>
  <c r="CL53" i="25"/>
  <c r="CP53" i="25" s="1"/>
  <c r="CQ53" i="25" s="1"/>
  <c r="CT53" i="25" s="1"/>
  <c r="CP30" i="25"/>
  <c r="CQ30" i="25" s="1"/>
  <c r="CT30" i="25" s="1"/>
  <c r="CO130" i="25"/>
  <c r="CR130" i="25" s="1"/>
  <c r="CS130" i="25" s="1"/>
  <c r="CO23" i="25"/>
  <c r="CR23" i="25" s="1"/>
  <c r="CS23" i="25" s="1"/>
  <c r="CP159" i="25"/>
  <c r="CQ159" i="25" s="1"/>
  <c r="CT159" i="25" s="1"/>
  <c r="CP153" i="25"/>
  <c r="CQ153" i="25" s="1"/>
  <c r="CT153" i="25" s="1"/>
  <c r="CP36" i="25"/>
  <c r="CQ36" i="25" s="1"/>
  <c r="CT36" i="25" s="1"/>
  <c r="CP202" i="25"/>
  <c r="CQ202" i="25" s="1"/>
  <c r="CT202" i="25" s="1"/>
  <c r="CO9" i="25"/>
  <c r="CR9" i="25" s="1"/>
  <c r="CS9" i="25" s="1"/>
  <c r="CP157" i="25"/>
  <c r="CQ157" i="25" s="1"/>
  <c r="CT157" i="25" s="1"/>
  <c r="CP155" i="25"/>
  <c r="CQ155" i="25" s="1"/>
  <c r="CT155" i="25" s="1"/>
  <c r="CP68" i="25"/>
  <c r="CQ68" i="25" s="1"/>
  <c r="CT68" i="25" s="1"/>
  <c r="CP14" i="25"/>
  <c r="CQ14" i="25" s="1"/>
  <c r="CT14" i="25" s="1"/>
  <c r="CO51" i="25"/>
  <c r="CR51" i="25" s="1"/>
  <c r="CS51" i="25" s="1"/>
  <c r="CP55" i="25"/>
  <c r="CQ55" i="25" s="1"/>
  <c r="CT55" i="25" s="1"/>
  <c r="CL122" i="25"/>
  <c r="CP122" i="25" s="1"/>
  <c r="CQ122" i="25" s="1"/>
  <c r="CT122" i="25" s="1"/>
  <c r="CP43" i="25"/>
  <c r="CQ43" i="25" s="1"/>
  <c r="CT43" i="25" s="1"/>
  <c r="CO58" i="25"/>
  <c r="CR58" i="25" s="1"/>
  <c r="CS58" i="25" s="1"/>
  <c r="CP131" i="25"/>
  <c r="CQ131" i="25" s="1"/>
  <c r="CT131" i="25" s="1"/>
  <c r="CL156" i="25"/>
  <c r="CP156" i="25" s="1"/>
  <c r="CQ156" i="25" s="1"/>
  <c r="CT156" i="25" s="1"/>
  <c r="CO156" i="25"/>
  <c r="CR156" i="25" s="1"/>
  <c r="CS156" i="25" s="1"/>
  <c r="CP124" i="25"/>
  <c r="CQ124" i="25" s="1"/>
  <c r="CT124" i="25" s="1"/>
  <c r="CP45" i="25"/>
  <c r="CQ45" i="25" s="1"/>
  <c r="CT45" i="25" s="1"/>
  <c r="CP138" i="25"/>
  <c r="CQ138" i="25" s="1"/>
  <c r="CT138" i="25" s="1"/>
  <c r="CP163" i="25"/>
  <c r="CQ163" i="25" s="1"/>
  <c r="CT163" i="25" s="1"/>
  <c r="CO169" i="25"/>
  <c r="CR169" i="25" s="1"/>
  <c r="CS169" i="25" s="1"/>
  <c r="CO183" i="25"/>
  <c r="CR183" i="25" s="1"/>
  <c r="CS183" i="25" s="1"/>
  <c r="CP59" i="25"/>
  <c r="CQ59" i="25" s="1"/>
  <c r="CT59" i="25" s="1"/>
  <c r="CL84" i="25"/>
  <c r="CP84" i="25" s="1"/>
  <c r="CQ84" i="25" s="1"/>
  <c r="CT84" i="25" s="1"/>
  <c r="CO84" i="25"/>
  <c r="CR84" i="25" s="1"/>
  <c r="CS84" i="25" s="1"/>
  <c r="CL135" i="25"/>
  <c r="CP135" i="25" s="1"/>
  <c r="CQ135" i="25" s="1"/>
  <c r="CT135" i="25" s="1"/>
  <c r="CO135" i="25"/>
  <c r="CR135" i="25" s="1"/>
  <c r="CS135" i="25" s="1"/>
  <c r="CP75" i="25"/>
  <c r="CQ75" i="25" s="1"/>
  <c r="CT75" i="25" s="1"/>
  <c r="CP74" i="25"/>
  <c r="CQ74" i="25" s="1"/>
  <c r="CT74" i="25" s="1"/>
  <c r="CP10" i="25"/>
  <c r="CQ10" i="25" s="1"/>
  <c r="CT10" i="25" s="1"/>
  <c r="CO27" i="25"/>
  <c r="CR27" i="25" s="1"/>
  <c r="CS27" i="25" s="1"/>
  <c r="CP127" i="25"/>
  <c r="CQ127" i="25" s="1"/>
  <c r="CT127" i="25" s="1"/>
  <c r="CO31" i="25"/>
  <c r="CR31" i="25" s="1"/>
  <c r="CS31" i="25" s="1"/>
  <c r="CO128" i="25"/>
  <c r="CR128" i="25" s="1"/>
  <c r="CS128" i="25" s="1"/>
  <c r="CO66" i="25"/>
  <c r="CR66" i="25" s="1"/>
  <c r="CS66" i="25" s="1"/>
  <c r="CP168" i="25"/>
  <c r="CQ168" i="25" s="1"/>
  <c r="CT168" i="25" s="1"/>
  <c r="CP125" i="25"/>
  <c r="CQ125" i="25" s="1"/>
  <c r="CT125" i="25" s="1"/>
  <c r="CO177" i="25"/>
  <c r="CR177" i="25" s="1"/>
  <c r="CS177" i="25" s="1"/>
  <c r="CP172" i="25"/>
  <c r="CQ172" i="25" s="1"/>
  <c r="CT172" i="25" s="1"/>
  <c r="CL38" i="25"/>
  <c r="CP38" i="25" s="1"/>
  <c r="CQ38" i="25" s="1"/>
  <c r="CT38" i="25" s="1"/>
  <c r="CO38" i="25"/>
  <c r="CR38" i="25" s="1"/>
  <c r="CS38" i="25" s="1"/>
  <c r="CL81" i="25"/>
  <c r="CP81" i="25" s="1"/>
  <c r="CQ81" i="25" s="1"/>
  <c r="CT81" i="25" s="1"/>
  <c r="CO81" i="25"/>
  <c r="CR81" i="25" s="1"/>
  <c r="CS81" i="25" s="1"/>
  <c r="CO104" i="25"/>
  <c r="CR104" i="25" s="1"/>
  <c r="CS104" i="25" s="1"/>
  <c r="CP62" i="25"/>
  <c r="CQ62" i="25" s="1"/>
  <c r="CT62" i="25" s="1"/>
  <c r="CP169" i="25"/>
  <c r="CQ169" i="25" s="1"/>
  <c r="CT169" i="25" s="1"/>
  <c r="CP48" i="25"/>
  <c r="CQ48" i="25" s="1"/>
  <c r="CT48" i="25" s="1"/>
  <c r="CO74" i="25"/>
  <c r="CR74" i="25" s="1"/>
  <c r="CS74" i="25" s="1"/>
  <c r="CO82" i="25"/>
  <c r="CR82" i="25" s="1"/>
  <c r="CS82" i="25" s="1"/>
  <c r="CO73" i="25"/>
  <c r="CR73" i="25" s="1"/>
  <c r="CS73" i="25" s="1"/>
  <c r="CO173" i="25"/>
  <c r="CR173" i="25" s="1"/>
  <c r="CS173" i="25" s="1"/>
  <c r="CO191" i="25"/>
  <c r="CR191" i="25" s="1"/>
  <c r="CS191" i="25" s="1"/>
  <c r="CO167" i="25"/>
  <c r="CR167" i="25" s="1"/>
  <c r="CS167" i="25" s="1"/>
  <c r="CL107" i="25"/>
  <c r="CP107" i="25" s="1"/>
  <c r="CQ107" i="25" s="1"/>
  <c r="CT107" i="25" s="1"/>
  <c r="CO107" i="25"/>
  <c r="CR107" i="25" s="1"/>
  <c r="CS107" i="25" s="1"/>
  <c r="CL105" i="25"/>
  <c r="CP105" i="25" s="1"/>
  <c r="CQ105" i="25" s="1"/>
  <c r="CT105" i="25" s="1"/>
  <c r="CO105" i="25"/>
  <c r="CR105" i="25" s="1"/>
  <c r="CS105" i="25" s="1"/>
  <c r="CL46" i="25"/>
  <c r="CP46" i="25" s="1"/>
  <c r="CQ46" i="25" s="1"/>
  <c r="CT46" i="25" s="1"/>
  <c r="CO46" i="25"/>
  <c r="CR46" i="25" s="1"/>
  <c r="CS46" i="25" s="1"/>
  <c r="CL179" i="25"/>
  <c r="CP179" i="25" s="1"/>
  <c r="CQ179" i="25" s="1"/>
  <c r="CT179" i="25" s="1"/>
  <c r="CO179" i="25"/>
  <c r="CR179" i="25" s="1"/>
  <c r="CS179" i="25" s="1"/>
  <c r="CL42" i="25"/>
  <c r="CP42" i="25" s="1"/>
  <c r="CQ42" i="25" s="1"/>
  <c r="CT42" i="25" s="1"/>
  <c r="CO42" i="25"/>
  <c r="CR42" i="25" s="1"/>
  <c r="CS42" i="25" s="1"/>
  <c r="CL40" i="25"/>
  <c r="CP40" i="25" s="1"/>
  <c r="CQ40" i="25" s="1"/>
  <c r="CT40" i="25" s="1"/>
  <c r="CO40" i="25"/>
  <c r="CR40" i="25" s="1"/>
  <c r="CS40" i="25" s="1"/>
  <c r="CL32" i="25"/>
  <c r="CP32" i="25" s="1"/>
  <c r="CQ32" i="25" s="1"/>
  <c r="CT32" i="25" s="1"/>
  <c r="CO32" i="25"/>
  <c r="CR32" i="25" s="1"/>
  <c r="CS32" i="25" s="1"/>
  <c r="CL79" i="25"/>
  <c r="CP79" i="25" s="1"/>
  <c r="CQ79" i="25" s="1"/>
  <c r="CT79" i="25" s="1"/>
  <c r="CO79" i="25"/>
  <c r="CR79" i="25" s="1"/>
  <c r="CS79" i="25" s="1"/>
  <c r="CL180" i="25"/>
  <c r="CP180" i="25" s="1"/>
  <c r="CQ180" i="25" s="1"/>
  <c r="CT180" i="25" s="1"/>
  <c r="CO180" i="25"/>
  <c r="CR180" i="25" s="1"/>
  <c r="CS180" i="25" s="1"/>
  <c r="CL70" i="25"/>
  <c r="CP70" i="25" s="1"/>
  <c r="CQ70" i="25" s="1"/>
  <c r="CT70" i="25" s="1"/>
  <c r="CO70" i="25"/>
  <c r="CR70" i="25" s="1"/>
  <c r="CS70" i="25" s="1"/>
  <c r="CL165" i="25"/>
  <c r="CP165" i="25" s="1"/>
  <c r="CQ165" i="25" s="1"/>
  <c r="CT165" i="25" s="1"/>
  <c r="CO165" i="25"/>
  <c r="CR165" i="25" s="1"/>
  <c r="CS165" i="25" s="1"/>
  <c r="CL166" i="25"/>
  <c r="CP166" i="25" s="1"/>
  <c r="CQ166" i="25" s="1"/>
  <c r="CT166" i="25" s="1"/>
  <c r="CO166" i="25"/>
  <c r="CR166" i="25" s="1"/>
  <c r="CS166" i="25" s="1"/>
  <c r="CL182" i="25"/>
  <c r="CP182" i="25" s="1"/>
  <c r="CQ182" i="25" s="1"/>
  <c r="CT182" i="25" s="1"/>
  <c r="CO182" i="25"/>
  <c r="CR182" i="25" s="1"/>
  <c r="CS182" i="25" s="1"/>
  <c r="CL39" i="25"/>
  <c r="CP39" i="25" s="1"/>
  <c r="CQ39" i="25" s="1"/>
  <c r="CT39" i="25" s="1"/>
  <c r="CO39" i="25"/>
  <c r="CR39" i="25" s="1"/>
  <c r="CS39" i="25" s="1"/>
  <c r="CL34" i="25"/>
  <c r="CP34" i="25" s="1"/>
  <c r="CQ34" i="25" s="1"/>
  <c r="CT34" i="25" s="1"/>
  <c r="CO34" i="25"/>
  <c r="CR34" i="25" s="1"/>
  <c r="CS34" i="25" s="1"/>
  <c r="CL41" i="25"/>
  <c r="CP41" i="25" s="1"/>
  <c r="CQ41" i="25" s="1"/>
  <c r="CT41" i="25" s="1"/>
  <c r="CO41" i="25"/>
  <c r="CR41" i="25" s="1"/>
  <c r="CS41" i="25" s="1"/>
  <c r="CO26" i="25"/>
  <c r="CR26" i="25" s="1"/>
  <c r="CS26" i="25" s="1"/>
  <c r="CL26" i="25"/>
  <c r="CP26" i="25" s="1"/>
  <c r="CQ26" i="25" s="1"/>
  <c r="CT26" i="25" s="1"/>
  <c r="CL33" i="25"/>
  <c r="CP33" i="25" s="1"/>
  <c r="CQ33" i="25" s="1"/>
  <c r="CT33" i="25" s="1"/>
  <c r="CO33" i="25"/>
  <c r="CR33" i="25" s="1"/>
  <c r="CS33" i="25" s="1"/>
  <c r="CL160" i="25"/>
  <c r="CP160" i="25" s="1"/>
  <c r="CQ160" i="25" s="1"/>
  <c r="CT160" i="25" s="1"/>
  <c r="CO160" i="25"/>
  <c r="CR160" i="25" s="1"/>
  <c r="CS160" i="25" s="1"/>
  <c r="CO140" i="25"/>
  <c r="CR140" i="25" s="1"/>
  <c r="CS140" i="25" s="1"/>
  <c r="CL140" i="25"/>
  <c r="CP140" i="25" s="1"/>
  <c r="CQ140" i="25" s="1"/>
  <c r="CT140" i="25" s="1"/>
  <c r="CL164" i="25"/>
  <c r="CP164" i="25" s="1"/>
  <c r="CQ164" i="25" s="1"/>
  <c r="CT164" i="25" s="1"/>
  <c r="CO164" i="25"/>
  <c r="CR164" i="25" s="1"/>
  <c r="CS164" i="25" s="1"/>
  <c r="CO110" i="25"/>
  <c r="CR110" i="25" s="1"/>
  <c r="CS110" i="25" s="1"/>
  <c r="CL110" i="25"/>
  <c r="CP110" i="25" s="1"/>
  <c r="CQ110" i="25" s="1"/>
  <c r="CT110" i="25" s="1"/>
  <c r="CL93" i="25"/>
  <c r="CP93" i="25" s="1"/>
  <c r="CQ93" i="25" s="1"/>
  <c r="CT93" i="25" s="1"/>
  <c r="CO93" i="25"/>
  <c r="CR93" i="25" s="1"/>
  <c r="CS93" i="25" s="1"/>
  <c r="CO131" i="25"/>
  <c r="CR131" i="25" s="1"/>
  <c r="CS131" i="25" s="1"/>
  <c r="CL109" i="25"/>
  <c r="CP109" i="25" s="1"/>
  <c r="CQ109" i="25" s="1"/>
  <c r="CT109" i="25" s="1"/>
  <c r="CO109" i="25"/>
  <c r="CR109" i="25" s="1"/>
  <c r="CS109" i="25" s="1"/>
  <c r="CO118" i="25"/>
  <c r="CR118" i="25" s="1"/>
  <c r="CS118" i="25" s="1"/>
  <c r="CL118" i="25"/>
  <c r="CP118" i="25" s="1"/>
  <c r="CQ118" i="25" s="1"/>
  <c r="CT118" i="25" s="1"/>
  <c r="CL78" i="25"/>
  <c r="CP78" i="25" s="1"/>
  <c r="CQ78" i="25" s="1"/>
  <c r="CT78" i="25" s="1"/>
  <c r="CO78" i="25"/>
  <c r="CR78" i="25" s="1"/>
  <c r="CS78" i="25" s="1"/>
  <c r="CO129" i="25"/>
  <c r="CR129" i="25" s="1"/>
  <c r="CS129" i="25" s="1"/>
  <c r="CO49" i="25"/>
  <c r="CR49" i="25" s="1"/>
  <c r="CS49" i="25" s="1"/>
  <c r="CO138" i="25"/>
  <c r="CR138" i="25" s="1"/>
  <c r="CS138" i="25" s="1"/>
  <c r="CO159" i="25"/>
  <c r="CR159" i="25" s="1"/>
  <c r="CS159" i="25" s="1"/>
  <c r="CL178" i="25"/>
  <c r="CP178" i="25" s="1"/>
  <c r="CQ178" i="25" s="1"/>
  <c r="CT178" i="25" s="1"/>
  <c r="CO178" i="25"/>
  <c r="CR178" i="25" s="1"/>
  <c r="CS178" i="25" s="1"/>
  <c r="CL112" i="25"/>
  <c r="CP112" i="25" s="1"/>
  <c r="CQ112" i="25" s="1"/>
  <c r="CT112" i="25" s="1"/>
  <c r="CO112" i="25"/>
  <c r="CR112" i="25" s="1"/>
  <c r="CS112" i="25" s="1"/>
  <c r="CL142" i="25"/>
  <c r="CP142" i="25" s="1"/>
  <c r="CQ142" i="25" s="1"/>
  <c r="CT142" i="25" s="1"/>
  <c r="CO142" i="25"/>
  <c r="CR142" i="25" s="1"/>
  <c r="CS142" i="25" s="1"/>
  <c r="CP177" i="25"/>
  <c r="CQ177" i="25" s="1"/>
  <c r="CT177" i="25" s="1"/>
  <c r="CO68" i="25"/>
  <c r="CR68" i="25" s="1"/>
  <c r="CS68" i="25" s="1"/>
  <c r="CL19" i="25"/>
  <c r="CP19" i="25" s="1"/>
  <c r="CQ19" i="25" s="1"/>
  <c r="CT19" i="25" s="1"/>
  <c r="CO19" i="25"/>
  <c r="CR19" i="25" s="1"/>
  <c r="CS19" i="25" s="1"/>
  <c r="CL97" i="25"/>
  <c r="CP97" i="25" s="1"/>
  <c r="CQ97" i="25" s="1"/>
  <c r="CT97" i="25" s="1"/>
  <c r="CO97" i="25"/>
  <c r="CR97" i="25" s="1"/>
  <c r="CS97" i="25" s="1"/>
  <c r="CP173" i="25"/>
  <c r="CQ173" i="25" s="1"/>
  <c r="CT173" i="25" s="1"/>
  <c r="CO56" i="25"/>
  <c r="CR56" i="25" s="1"/>
  <c r="CS56" i="25" s="1"/>
  <c r="CO204" i="25"/>
  <c r="CR204" i="25" s="1"/>
  <c r="CS204" i="25" s="1"/>
  <c r="CO154" i="25"/>
  <c r="CR154" i="25" s="1"/>
  <c r="CS154" i="25" s="1"/>
  <c r="CL154" i="25"/>
  <c r="CP154" i="25" s="1"/>
  <c r="CQ154" i="25" s="1"/>
  <c r="CT154" i="25" s="1"/>
  <c r="CO170" i="25"/>
  <c r="CR170" i="25" s="1"/>
  <c r="CS170" i="25" s="1"/>
  <c r="CL57" i="25"/>
  <c r="CP57" i="25" s="1"/>
  <c r="CQ57" i="25" s="1"/>
  <c r="CT57" i="25" s="1"/>
  <c r="CO57" i="25"/>
  <c r="CR57" i="25" s="1"/>
  <c r="CS57" i="25" s="1"/>
  <c r="CL123" i="25"/>
  <c r="CP123" i="25" s="1"/>
  <c r="CQ123" i="25" s="1"/>
  <c r="CT123" i="25" s="1"/>
  <c r="CO123" i="25"/>
  <c r="CR123" i="25" s="1"/>
  <c r="CS123" i="25" s="1"/>
  <c r="CO113" i="25"/>
  <c r="CR113" i="25" s="1"/>
  <c r="CS113" i="25" s="1"/>
  <c r="CL113" i="25"/>
  <c r="CP113" i="25" s="1"/>
  <c r="CQ113" i="25" s="1"/>
  <c r="CT113" i="25" s="1"/>
  <c r="CL108" i="25"/>
  <c r="CP108" i="25" s="1"/>
  <c r="CQ108" i="25" s="1"/>
  <c r="CT108" i="25" s="1"/>
  <c r="CO108" i="25"/>
  <c r="CR108" i="25" s="1"/>
  <c r="CS108" i="25" s="1"/>
  <c r="CO80" i="25"/>
  <c r="CR80" i="25" s="1"/>
  <c r="CS80" i="25" s="1"/>
  <c r="CL80" i="25"/>
  <c r="CP80" i="25" s="1"/>
  <c r="CQ80" i="25" s="1"/>
  <c r="CT80" i="25" s="1"/>
  <c r="CO89" i="25"/>
  <c r="CR89" i="25" s="1"/>
  <c r="CS89" i="25" s="1"/>
  <c r="CL185" i="25"/>
  <c r="CP185" i="25" s="1"/>
  <c r="CQ185" i="25" s="1"/>
  <c r="CT185" i="25" s="1"/>
  <c r="CO185" i="25"/>
  <c r="CR185" i="25" s="1"/>
  <c r="CS185" i="25" s="1"/>
  <c r="CO124" i="25"/>
  <c r="CR124" i="25" s="1"/>
  <c r="CS124" i="25" s="1"/>
  <c r="CL35" i="25"/>
  <c r="CP35" i="25" s="1"/>
  <c r="CQ35" i="25" s="1"/>
  <c r="CT35" i="25" s="1"/>
  <c r="CO35" i="25"/>
  <c r="CR35" i="25" s="1"/>
  <c r="CS35" i="25" s="1"/>
  <c r="CL72" i="25"/>
  <c r="CP72" i="25" s="1"/>
  <c r="CQ72" i="25" s="1"/>
  <c r="CT72" i="25" s="1"/>
  <c r="CO72" i="25"/>
  <c r="CR72" i="25" s="1"/>
  <c r="CS72" i="25" s="1"/>
  <c r="CO28" i="25"/>
  <c r="CR28" i="25" s="1"/>
  <c r="CS28" i="25" s="1"/>
  <c r="CL28" i="25"/>
  <c r="CP28" i="25" s="1"/>
  <c r="CQ28" i="25" s="1"/>
  <c r="CT28" i="25" s="1"/>
  <c r="CL200" i="25"/>
  <c r="CP200" i="25" s="1"/>
  <c r="CQ200" i="25" s="1"/>
  <c r="CT200" i="25" s="1"/>
  <c r="CO200" i="25"/>
  <c r="CR200" i="25" s="1"/>
  <c r="CS200" i="25" s="1"/>
  <c r="CL103" i="25"/>
  <c r="CP103" i="25" s="1"/>
  <c r="CQ103" i="25" s="1"/>
  <c r="CT103" i="25" s="1"/>
  <c r="CO103" i="25"/>
  <c r="CR103" i="25" s="1"/>
  <c r="CS103" i="25" s="1"/>
  <c r="CL96" i="25"/>
  <c r="CP96" i="25" s="1"/>
  <c r="CQ96" i="25" s="1"/>
  <c r="CT96" i="25" s="1"/>
  <c r="CO96" i="25"/>
  <c r="CR96" i="25" s="1"/>
  <c r="CS96" i="25" s="1"/>
  <c r="CO64" i="25"/>
  <c r="CR64" i="25" s="1"/>
  <c r="CS64" i="25" s="1"/>
  <c r="CO172" i="25"/>
  <c r="CR172" i="25" s="1"/>
  <c r="CS172" i="25" s="1"/>
  <c r="CO11" i="25"/>
  <c r="CR11" i="25" s="1"/>
  <c r="CS11" i="25" s="1"/>
  <c r="CO60" i="25"/>
  <c r="CR60" i="25" s="1"/>
  <c r="CS60" i="25" s="1"/>
  <c r="CO76" i="25"/>
  <c r="CR76" i="25" s="1"/>
  <c r="CS76" i="25" s="1"/>
  <c r="CO83" i="25"/>
  <c r="CR83" i="25" s="1"/>
  <c r="CS83" i="25" s="1"/>
  <c r="CL83" i="25"/>
  <c r="CP83" i="25" s="1"/>
  <c r="CQ83" i="25" s="1"/>
  <c r="CT83" i="25" s="1"/>
  <c r="CL158" i="25"/>
  <c r="CP158" i="25" s="1"/>
  <c r="CQ158" i="25" s="1"/>
  <c r="CT158" i="25" s="1"/>
  <c r="CO158" i="25"/>
  <c r="CR158" i="25" s="1"/>
  <c r="CS158" i="25" s="1"/>
  <c r="CO153" i="25"/>
  <c r="CR153" i="25" s="1"/>
  <c r="CS153" i="25" s="1"/>
  <c r="CL54" i="25"/>
  <c r="CP54" i="25" s="1"/>
  <c r="CQ54" i="25" s="1"/>
  <c r="CT54" i="25" s="1"/>
  <c r="CO54" i="25"/>
  <c r="CR54" i="25" s="1"/>
  <c r="CS54" i="25" s="1"/>
  <c r="CL106" i="25"/>
  <c r="CP106" i="25" s="1"/>
  <c r="CQ106" i="25" s="1"/>
  <c r="CT106" i="25" s="1"/>
  <c r="CO106" i="25"/>
  <c r="CR106" i="25" s="1"/>
  <c r="CS106" i="25" s="1"/>
  <c r="CL101" i="25"/>
  <c r="CP101" i="25" s="1"/>
  <c r="CQ101" i="25" s="1"/>
  <c r="CT101" i="25" s="1"/>
  <c r="CO101" i="25"/>
  <c r="CR101" i="25" s="1"/>
  <c r="CS101" i="25" s="1"/>
  <c r="CP24" i="25"/>
  <c r="CQ24" i="25" s="1"/>
  <c r="CT24" i="25" s="1"/>
  <c r="CL94" i="25"/>
  <c r="CP94" i="25" s="1"/>
  <c r="CQ94" i="25" s="1"/>
  <c r="CT94" i="25" s="1"/>
  <c r="CO94" i="25"/>
  <c r="CR94" i="25" s="1"/>
  <c r="CS94" i="25" s="1"/>
  <c r="CO189" i="25"/>
  <c r="CR189" i="25" s="1"/>
  <c r="CS189" i="25" s="1"/>
  <c r="CL189" i="25"/>
  <c r="CP189" i="25" s="1"/>
  <c r="CQ189" i="25" s="1"/>
  <c r="CT189" i="25" s="1"/>
  <c r="CO143" i="25"/>
  <c r="CR143" i="25" s="1"/>
  <c r="CS143" i="25" s="1"/>
  <c r="CL143" i="25"/>
  <c r="CP143" i="25" s="1"/>
  <c r="CQ143" i="25" s="1"/>
  <c r="CT143" i="25" s="1"/>
  <c r="CO55" i="25"/>
  <c r="CR55" i="25" s="1"/>
  <c r="CS55" i="25" s="1"/>
  <c r="CP104" i="25"/>
  <c r="CQ104" i="25" s="1"/>
  <c r="CT104" i="25" s="1"/>
  <c r="CO126" i="25"/>
  <c r="CR126" i="25" s="1"/>
  <c r="CS126" i="25" s="1"/>
  <c r="CO133" i="25"/>
  <c r="CR133" i="25" s="1"/>
  <c r="CS133" i="25" s="1"/>
  <c r="CL133" i="25"/>
  <c r="CP133" i="25" s="1"/>
  <c r="CQ133" i="25" s="1"/>
  <c r="CT133" i="25" s="1"/>
  <c r="CL145" i="25"/>
  <c r="CP145" i="25" s="1"/>
  <c r="CQ145" i="25" s="1"/>
  <c r="CT145" i="25" s="1"/>
  <c r="CO145" i="25"/>
  <c r="CR145" i="25" s="1"/>
  <c r="CS145" i="25" s="1"/>
  <c r="CP183" i="25"/>
  <c r="CQ183" i="25" s="1"/>
  <c r="CT183" i="25" s="1"/>
  <c r="CO155" i="25"/>
  <c r="CR155" i="25" s="1"/>
  <c r="CS155" i="25" s="1"/>
  <c r="CO43" i="25"/>
  <c r="CR43" i="25" s="1"/>
  <c r="CS43" i="25" s="1"/>
  <c r="CP71" i="25"/>
  <c r="CQ71" i="25" s="1"/>
  <c r="CT71" i="25" s="1"/>
  <c r="CO71" i="25"/>
  <c r="CR71" i="25" s="1"/>
  <c r="CS71" i="25" s="1"/>
  <c r="CL199" i="25"/>
  <c r="CP199" i="25" s="1"/>
  <c r="CQ199" i="25" s="1"/>
  <c r="CT199" i="25" s="1"/>
  <c r="CO199" i="25"/>
  <c r="CR199" i="25" s="1"/>
  <c r="CS199" i="25" s="1"/>
  <c r="CL67" i="25"/>
  <c r="CP67" i="25" s="1"/>
  <c r="CQ67" i="25" s="1"/>
  <c r="CT67" i="25" s="1"/>
  <c r="CO67" i="25"/>
  <c r="CR67" i="25" s="1"/>
  <c r="CS67" i="25" s="1"/>
  <c r="CO24" i="25"/>
  <c r="CR24" i="25" s="1"/>
  <c r="CS24" i="25" s="1"/>
  <c r="CL194" i="25"/>
  <c r="CP194" i="25" s="1"/>
  <c r="CQ194" i="25" s="1"/>
  <c r="CT194" i="25" s="1"/>
  <c r="CO194" i="25"/>
  <c r="CR194" i="25" s="1"/>
  <c r="CS194" i="25" s="1"/>
  <c r="CP66" i="25"/>
  <c r="CQ66" i="25" s="1"/>
  <c r="CT66" i="25" s="1"/>
  <c r="CL63" i="25"/>
  <c r="CP63" i="25" s="1"/>
  <c r="CQ63" i="25" s="1"/>
  <c r="CT63" i="25" s="1"/>
  <c r="CO63" i="25"/>
  <c r="CR63" i="25" s="1"/>
  <c r="CS63" i="25" s="1"/>
  <c r="CL91" i="25"/>
  <c r="CP91" i="25" s="1"/>
  <c r="CQ91" i="25" s="1"/>
  <c r="CT91" i="25" s="1"/>
  <c r="CO91" i="25"/>
  <c r="CR91" i="25" s="1"/>
  <c r="CS91" i="25" s="1"/>
  <c r="CL99" i="25"/>
  <c r="CP99" i="25" s="1"/>
  <c r="CQ99" i="25" s="1"/>
  <c r="CT99" i="25" s="1"/>
  <c r="CO99" i="25"/>
  <c r="CR99" i="25" s="1"/>
  <c r="CS99" i="25" s="1"/>
  <c r="CL18" i="25"/>
  <c r="CP18" i="25" s="1"/>
  <c r="CQ18" i="25" s="1"/>
  <c r="CT18" i="25" s="1"/>
  <c r="CO18" i="25"/>
  <c r="CR18" i="25" s="1"/>
  <c r="CS18" i="25" s="1"/>
  <c r="CP60" i="25"/>
  <c r="CQ60" i="25" s="1"/>
  <c r="CT60" i="25" s="1"/>
  <c r="CL162" i="25"/>
  <c r="CP162" i="25" s="1"/>
  <c r="CQ162" i="25" s="1"/>
  <c r="CT162" i="25" s="1"/>
  <c r="CO162" i="25"/>
  <c r="CR162" i="25" s="1"/>
  <c r="CS162" i="25" s="1"/>
  <c r="CO59" i="25"/>
  <c r="CR59" i="25" s="1"/>
  <c r="CS59" i="25" s="1"/>
  <c r="CO62" i="25"/>
  <c r="CR62" i="25" s="1"/>
  <c r="CS62" i="25" s="1"/>
  <c r="CO168" i="25"/>
  <c r="CR168" i="25" s="1"/>
  <c r="CS168" i="25" s="1"/>
  <c r="CO117" i="25"/>
  <c r="CR117" i="25" s="1"/>
  <c r="CS117" i="25" s="1"/>
  <c r="CL117" i="25"/>
  <c r="CP117" i="25" s="1"/>
  <c r="CQ117" i="25" s="1"/>
  <c r="CT117" i="25" s="1"/>
  <c r="CO116" i="25"/>
  <c r="CR116" i="25" s="1"/>
  <c r="CS116" i="25" s="1"/>
  <c r="CL116" i="25"/>
  <c r="CP116" i="25" s="1"/>
  <c r="CQ116" i="25" s="1"/>
  <c r="CT116" i="25" s="1"/>
  <c r="CO115" i="25"/>
  <c r="CR115" i="25" s="1"/>
  <c r="CS115" i="25" s="1"/>
  <c r="CL115" i="25"/>
  <c r="CP115" i="25" s="1"/>
  <c r="CQ115" i="25" s="1"/>
  <c r="CT115" i="25" s="1"/>
  <c r="CO92" i="25"/>
  <c r="CR92" i="25" s="1"/>
  <c r="CS92" i="25" s="1"/>
  <c r="CL92" i="25"/>
  <c r="CP92" i="25" s="1"/>
  <c r="CQ92" i="25" s="1"/>
  <c r="CT92" i="25" s="1"/>
  <c r="CO48" i="25"/>
  <c r="CR48" i="25" s="1"/>
  <c r="CS48" i="25" s="1"/>
  <c r="CL29" i="25"/>
  <c r="CP29" i="25" s="1"/>
  <c r="CQ29" i="25" s="1"/>
  <c r="CT29" i="25" s="1"/>
  <c r="CO29" i="25"/>
  <c r="CR29" i="25" s="1"/>
  <c r="CS29" i="25" s="1"/>
  <c r="CO36" i="25"/>
  <c r="CR36" i="25" s="1"/>
  <c r="CS36" i="25" s="1"/>
  <c r="CL205" i="25"/>
  <c r="CP205" i="25" s="1"/>
  <c r="CQ205" i="25" s="1"/>
  <c r="CT205" i="25" s="1"/>
  <c r="CO205" i="25"/>
  <c r="CR205" i="25" s="1"/>
  <c r="CS205" i="25" s="1"/>
  <c r="CL198" i="25"/>
  <c r="CP198" i="25" s="1"/>
  <c r="CQ198" i="25" s="1"/>
  <c r="CT198" i="25" s="1"/>
  <c r="CO198" i="25"/>
  <c r="CR198" i="25" s="1"/>
  <c r="CS198" i="25" s="1"/>
  <c r="CL15" i="25"/>
  <c r="CP15" i="25" s="1"/>
  <c r="CQ15" i="25" s="1"/>
  <c r="CT15" i="25" s="1"/>
  <c r="CO15" i="25"/>
  <c r="CR15" i="25" s="1"/>
  <c r="CS15" i="25" s="1"/>
  <c r="CL86" i="25"/>
  <c r="CP86" i="25" s="1"/>
  <c r="CQ86" i="25" s="1"/>
  <c r="CT86" i="25" s="1"/>
  <c r="CO86" i="25"/>
  <c r="CR86" i="25" s="1"/>
  <c r="CS86" i="25" s="1"/>
  <c r="CL21" i="25"/>
  <c r="CP21" i="25" s="1"/>
  <c r="CQ21" i="25" s="1"/>
  <c r="CT21" i="25" s="1"/>
  <c r="CO21" i="25"/>
  <c r="CR21" i="25" s="1"/>
  <c r="CS21" i="25" s="1"/>
  <c r="CP170" i="25"/>
  <c r="CQ170" i="25" s="1"/>
  <c r="CT170" i="25" s="1"/>
  <c r="CL85" i="25"/>
  <c r="CP85" i="25" s="1"/>
  <c r="CQ85" i="25" s="1"/>
  <c r="CT85" i="25" s="1"/>
  <c r="CO85" i="25"/>
  <c r="CR85" i="25" s="1"/>
  <c r="CS85" i="25" s="1"/>
  <c r="CO171" i="25"/>
  <c r="CR171" i="25" s="1"/>
  <c r="CS171" i="25" s="1"/>
  <c r="CL132" i="25"/>
  <c r="CP132" i="25" s="1"/>
  <c r="CQ132" i="25" s="1"/>
  <c r="CT132" i="25" s="1"/>
  <c r="CO132" i="25"/>
  <c r="CR132" i="25" s="1"/>
  <c r="CS132" i="25" s="1"/>
  <c r="CO134" i="25"/>
  <c r="CR134" i="25" s="1"/>
  <c r="CS134" i="25" s="1"/>
  <c r="CL134" i="25"/>
  <c r="CP134" i="25" s="1"/>
  <c r="CQ134" i="25" s="1"/>
  <c r="CT134" i="25" s="1"/>
  <c r="CO111" i="25"/>
  <c r="CR111" i="25" s="1"/>
  <c r="CS111" i="25" s="1"/>
  <c r="CL111" i="25"/>
  <c r="CP111" i="25" s="1"/>
  <c r="CQ111" i="25" s="1"/>
  <c r="CT111" i="25" s="1"/>
  <c r="CL95" i="25"/>
  <c r="CP95" i="25" s="1"/>
  <c r="CQ95" i="25" s="1"/>
  <c r="CT95" i="25" s="1"/>
  <c r="CO95" i="25"/>
  <c r="CR95" i="25" s="1"/>
  <c r="CS95" i="25" s="1"/>
  <c r="CL50" i="25"/>
  <c r="CP50" i="25" s="1"/>
  <c r="CQ50" i="25" s="1"/>
  <c r="CT50" i="25" s="1"/>
  <c r="CO50" i="25"/>
  <c r="CR50" i="25" s="1"/>
  <c r="CS50" i="25" s="1"/>
  <c r="CO45" i="25"/>
  <c r="CR45" i="25" s="1"/>
  <c r="CS45" i="25" s="1"/>
  <c r="CL137" i="25"/>
  <c r="CP137" i="25" s="1"/>
  <c r="CQ137" i="25" s="1"/>
  <c r="CT137" i="25" s="1"/>
  <c r="CO137" i="25"/>
  <c r="CR137" i="25" s="1"/>
  <c r="CS137" i="25" s="1"/>
  <c r="CO127" i="25"/>
  <c r="CR127" i="25" s="1"/>
  <c r="CS127" i="25" s="1"/>
  <c r="CO125" i="25"/>
  <c r="CR125" i="25" s="1"/>
  <c r="CS125" i="25" s="1"/>
  <c r="CL69" i="25"/>
  <c r="CP69" i="25" s="1"/>
  <c r="CQ69" i="25" s="1"/>
  <c r="CT69" i="25" s="1"/>
  <c r="CO69" i="25"/>
  <c r="CR69" i="25" s="1"/>
  <c r="CS69" i="25" s="1"/>
  <c r="CO141" i="25"/>
  <c r="CR141" i="25" s="1"/>
  <c r="CS141" i="25" s="1"/>
  <c r="CL151" i="25"/>
  <c r="CP151" i="25" s="1"/>
  <c r="CQ151" i="25" s="1"/>
  <c r="CT151" i="25" s="1"/>
  <c r="CO151" i="25"/>
  <c r="CR151" i="25" s="1"/>
  <c r="CS151" i="25" s="1"/>
  <c r="CL197" i="25"/>
  <c r="CP197" i="25" s="1"/>
  <c r="CQ197" i="25" s="1"/>
  <c r="CT197" i="25" s="1"/>
  <c r="CO197" i="25"/>
  <c r="CR197" i="25" s="1"/>
  <c r="CS197" i="25" s="1"/>
  <c r="CO22" i="25"/>
  <c r="CR22" i="25" s="1"/>
  <c r="CS22" i="25" s="1"/>
  <c r="CL22" i="25"/>
  <c r="CP22" i="25" s="1"/>
  <c r="CQ22" i="25" s="1"/>
  <c r="CT22" i="25" s="1"/>
  <c r="CL192" i="25"/>
  <c r="CP192" i="25" s="1"/>
  <c r="CQ192" i="25" s="1"/>
  <c r="CT192" i="25" s="1"/>
  <c r="CO192" i="25"/>
  <c r="CR192" i="25" s="1"/>
  <c r="CS192" i="25" s="1"/>
  <c r="CL150" i="25"/>
  <c r="CP150" i="25" s="1"/>
  <c r="CQ150" i="25" s="1"/>
  <c r="CT150" i="25" s="1"/>
  <c r="CO150" i="25"/>
  <c r="CR150" i="25" s="1"/>
  <c r="CS150" i="25" s="1"/>
  <c r="CL20" i="25"/>
  <c r="CP20" i="25" s="1"/>
  <c r="CQ20" i="25" s="1"/>
  <c r="CT20" i="25" s="1"/>
  <c r="CO20" i="25"/>
  <c r="CR20" i="25" s="1"/>
  <c r="CS20" i="25" s="1"/>
  <c r="CL17" i="25"/>
  <c r="CP17" i="25" s="1"/>
  <c r="CQ17" i="25" s="1"/>
  <c r="CT17" i="25" s="1"/>
  <c r="CO17" i="25"/>
  <c r="CR17" i="25" s="1"/>
  <c r="CS17" i="25" s="1"/>
  <c r="CL139" i="25"/>
  <c r="CP139" i="25" s="1"/>
  <c r="CQ139" i="25" s="1"/>
  <c r="CT139" i="25" s="1"/>
  <c r="CO139" i="25"/>
  <c r="CR139" i="25" s="1"/>
  <c r="CS139" i="25" s="1"/>
  <c r="CO201" i="25"/>
  <c r="CR201" i="25" s="1"/>
  <c r="CS201" i="25" s="1"/>
  <c r="CP171" i="25"/>
  <c r="CQ171" i="25" s="1"/>
  <c r="CT171" i="25" s="1"/>
  <c r="CL161" i="25"/>
  <c r="CP161" i="25" s="1"/>
  <c r="CQ161" i="25" s="1"/>
  <c r="CT161" i="25" s="1"/>
  <c r="CO161" i="25"/>
  <c r="CR161" i="25" s="1"/>
  <c r="CS161" i="25" s="1"/>
  <c r="CO61" i="25"/>
  <c r="CR61" i="25" s="1"/>
  <c r="CS61" i="25" s="1"/>
  <c r="CO190" i="25"/>
  <c r="CR190" i="25" s="1"/>
  <c r="CS190" i="25" s="1"/>
  <c r="CL190" i="25"/>
  <c r="CP190" i="25" s="1"/>
  <c r="CQ190" i="25" s="1"/>
  <c r="CT190" i="25" s="1"/>
  <c r="CP76" i="25"/>
  <c r="CQ76" i="25" s="1"/>
  <c r="CT76" i="25" s="1"/>
  <c r="CL102" i="25"/>
  <c r="CP102" i="25" s="1"/>
  <c r="CQ102" i="25" s="1"/>
  <c r="CT102" i="25" s="1"/>
  <c r="CO102" i="25"/>
  <c r="CR102" i="25" s="1"/>
  <c r="CS102" i="25" s="1"/>
  <c r="CL90" i="25"/>
  <c r="CP90" i="25" s="1"/>
  <c r="CQ90" i="25" s="1"/>
  <c r="CT90" i="25" s="1"/>
  <c r="CO90" i="25"/>
  <c r="CR90" i="25" s="1"/>
  <c r="CS90" i="25" s="1"/>
  <c r="CP89" i="25"/>
  <c r="CQ89" i="25" s="1"/>
  <c r="CT89" i="25" s="1"/>
  <c r="CP73" i="25"/>
  <c r="CQ73" i="25" s="1"/>
  <c r="CT73" i="25" s="1"/>
  <c r="CO75" i="25"/>
  <c r="CR75" i="25" s="1"/>
  <c r="CS75" i="25" s="1"/>
  <c r="CO181" i="25"/>
  <c r="CR181" i="25" s="1"/>
  <c r="CS181" i="25" s="1"/>
  <c r="CL149" i="25"/>
  <c r="CP149" i="25" s="1"/>
  <c r="CQ149" i="25" s="1"/>
  <c r="CT149" i="25" s="1"/>
  <c r="CO149" i="25"/>
  <c r="CR149" i="25" s="1"/>
  <c r="CS149" i="25" s="1"/>
  <c r="CL196" i="25"/>
  <c r="CP196" i="25" s="1"/>
  <c r="CQ196" i="25" s="1"/>
  <c r="CT196" i="25" s="1"/>
  <c r="CO196" i="25"/>
  <c r="CR196" i="25" s="1"/>
  <c r="CS196" i="25" s="1"/>
  <c r="CO25" i="25"/>
  <c r="CR25" i="25" s="1"/>
  <c r="CS25" i="25" s="1"/>
  <c r="CL25" i="25"/>
  <c r="CP25" i="25" s="1"/>
  <c r="CQ25" i="25" s="1"/>
  <c r="CT25" i="25" s="1"/>
  <c r="CO202" i="25"/>
  <c r="CR202" i="25" s="1"/>
  <c r="CS202" i="25" s="1"/>
  <c r="CL146" i="25"/>
  <c r="CP146" i="25" s="1"/>
  <c r="CQ146" i="25" s="1"/>
  <c r="CT146" i="25" s="1"/>
  <c r="CO146" i="25"/>
  <c r="CR146" i="25" s="1"/>
  <c r="CS146" i="25" s="1"/>
  <c r="CL16" i="25"/>
  <c r="CP16" i="25" s="1"/>
  <c r="CQ16" i="25" s="1"/>
  <c r="CT16" i="25" s="1"/>
  <c r="CO16" i="25"/>
  <c r="CR16" i="25" s="1"/>
  <c r="CS16" i="25" s="1"/>
  <c r="CP61" i="25"/>
  <c r="CQ61" i="25" s="1"/>
  <c r="CT61" i="25" s="1"/>
  <c r="CO136" i="25"/>
  <c r="CR136" i="25" s="1"/>
  <c r="CS136" i="25" s="1"/>
  <c r="CL136" i="25"/>
  <c r="CP136" i="25" s="1"/>
  <c r="CQ136" i="25" s="1"/>
  <c r="CT136" i="25" s="1"/>
  <c r="CO10" i="25"/>
  <c r="CR10" i="25" s="1"/>
  <c r="CS10" i="25" s="1"/>
  <c r="CP58" i="25"/>
  <c r="CQ58" i="25" s="1"/>
  <c r="CT58" i="25" s="1"/>
  <c r="CP191" i="25"/>
  <c r="CQ191" i="25" s="1"/>
  <c r="CT191" i="25" s="1"/>
  <c r="CO114" i="25"/>
  <c r="CR114" i="25" s="1"/>
  <c r="CS114" i="25" s="1"/>
  <c r="CL114" i="25"/>
  <c r="CP114" i="25" s="1"/>
  <c r="CQ114" i="25" s="1"/>
  <c r="CT114" i="25" s="1"/>
  <c r="CO119" i="25"/>
  <c r="CR119" i="25" s="1"/>
  <c r="CS119" i="25" s="1"/>
  <c r="CL119" i="25"/>
  <c r="CP119" i="25" s="1"/>
  <c r="CQ119" i="25" s="1"/>
  <c r="CT119" i="25" s="1"/>
  <c r="CO157" i="25"/>
  <c r="CR157" i="25" s="1"/>
  <c r="CS157" i="25" s="1"/>
  <c r="CL44" i="25"/>
  <c r="CP44" i="25" s="1"/>
  <c r="CQ44" i="25" s="1"/>
  <c r="CT44" i="25" s="1"/>
  <c r="CO44" i="25"/>
  <c r="CR44" i="25" s="1"/>
  <c r="CS44" i="25" s="1"/>
  <c r="CP141" i="25"/>
  <c r="CQ141" i="25" s="1"/>
  <c r="CT141" i="25" s="1"/>
  <c r="CL120" i="25"/>
  <c r="CP120" i="25" s="1"/>
  <c r="CQ120" i="25" s="1"/>
  <c r="CT120" i="25" s="1"/>
  <c r="CO120" i="25"/>
  <c r="CR120" i="25" s="1"/>
  <c r="CS120" i="25" s="1"/>
  <c r="CL195" i="25"/>
  <c r="CP195" i="25" s="1"/>
  <c r="CQ195" i="25" s="1"/>
  <c r="CT195" i="25" s="1"/>
  <c r="CO195" i="25"/>
  <c r="CR195" i="25" s="1"/>
  <c r="CS195" i="25" s="1"/>
  <c r="CL98" i="25"/>
  <c r="CP98" i="25" s="1"/>
  <c r="CQ98" i="25" s="1"/>
  <c r="CT98" i="25" s="1"/>
  <c r="CO98" i="25"/>
  <c r="CR98" i="25" s="1"/>
  <c r="CS98" i="25" s="1"/>
  <c r="CL100" i="25"/>
  <c r="CP100" i="25" s="1"/>
  <c r="CQ100" i="25" s="1"/>
  <c r="CT100" i="25" s="1"/>
  <c r="CO100" i="25"/>
  <c r="CR100" i="25" s="1"/>
  <c r="CS100" i="25" s="1"/>
  <c r="CL148" i="25"/>
  <c r="CP148" i="25" s="1"/>
  <c r="CQ148" i="25" s="1"/>
  <c r="CT148" i="25" s="1"/>
  <c r="CO148" i="25"/>
  <c r="CR148" i="25" s="1"/>
  <c r="CS148" i="25" s="1"/>
  <c r="CO14" i="25"/>
  <c r="CR14" i="25" s="1"/>
  <c r="CS14" i="25" s="1"/>
  <c r="CO163" i="25"/>
  <c r="CR163" i="25" s="1"/>
  <c r="CS163" i="25" s="1"/>
  <c r="C57" i="89"/>
  <c r="K57" i="89"/>
  <c r="H71" i="89"/>
  <c r="AC70" i="89"/>
  <c r="F70" i="89"/>
  <c r="AC71" i="89"/>
  <c r="AD71" i="89" s="1"/>
  <c r="F71" i="89"/>
  <c r="M57" i="89"/>
  <c r="E57" i="89"/>
  <c r="G56" i="89"/>
  <c r="O56" i="89"/>
  <c r="F88" i="89"/>
  <c r="L27" i="89"/>
  <c r="M27" i="89" s="1"/>
  <c r="L37" i="89"/>
  <c r="M37" i="89" s="1"/>
  <c r="M33" i="89"/>
  <c r="E56" i="89"/>
  <c r="M56" i="89"/>
  <c r="O57" i="89"/>
  <c r="G57" i="89"/>
  <c r="AC72" i="89"/>
  <c r="AD72" i="89" s="1"/>
  <c r="F72" i="89"/>
  <c r="G58" i="89"/>
  <c r="O58" i="89"/>
  <c r="T70" i="89"/>
  <c r="X71" i="89"/>
  <c r="M58" i="89"/>
  <c r="E58" i="89"/>
  <c r="L31" i="89"/>
  <c r="M31" i="89" s="1"/>
  <c r="C56" i="89"/>
  <c r="K56" i="89"/>
  <c r="L25" i="89"/>
  <c r="M25" i="89" s="1"/>
  <c r="F89" i="89"/>
  <c r="R21" i="89"/>
  <c r="Q21" i="89"/>
  <c r="P21" i="89"/>
  <c r="O21" i="89"/>
  <c r="N21" i="89"/>
  <c r="C58" i="89"/>
  <c r="K58" i="89"/>
  <c r="N32" i="89" l="1"/>
  <c r="R26" i="89"/>
  <c r="Q26" i="89"/>
  <c r="P26" i="89"/>
  <c r="O26" i="89"/>
  <c r="N26" i="89"/>
  <c r="Q32" i="89"/>
  <c r="L32" i="89"/>
  <c r="M32" i="89" s="1"/>
  <c r="R32" i="89"/>
  <c r="O32" i="89"/>
  <c r="P32" i="89"/>
  <c r="R38" i="89"/>
  <c r="L38" i="89"/>
  <c r="M38" i="89" s="1"/>
  <c r="O38" i="89"/>
  <c r="Q38" i="89"/>
  <c r="N38" i="89"/>
  <c r="P38" i="89"/>
  <c r="AU71" i="89"/>
  <c r="AD70" i="89"/>
  <c r="F101" i="89"/>
  <c r="F87"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ThinkPad</author>
  </authors>
  <commentList>
    <comment ref="AP17" authorId="0" shapeId="0" xr:uid="{55E68EBB-C01F-415A-A513-2BD0F5142706}">
      <text>
        <r>
          <rPr>
            <b/>
            <sz val="9"/>
            <color indexed="81"/>
            <rFont val="Tahoma"/>
            <family val="2"/>
          </rPr>
          <t>Administrator:</t>
        </r>
        <r>
          <rPr>
            <sz val="9"/>
            <color indexed="81"/>
            <rFont val="Tahoma"/>
            <family val="2"/>
          </rPr>
          <t xml:space="preserve">
existing 502 + 2 = 504</t>
        </r>
      </text>
    </comment>
    <comment ref="BF17" authorId="0" shapeId="0" xr:uid="{78E05794-2BC8-4DF1-96C3-1026DB6127BB}">
      <text>
        <r>
          <rPr>
            <b/>
            <sz val="9"/>
            <color indexed="81"/>
            <rFont val="Tahoma"/>
            <family val="2"/>
          </rPr>
          <t>Administrator:</t>
        </r>
        <r>
          <rPr>
            <sz val="9"/>
            <color indexed="81"/>
            <rFont val="Tahoma"/>
            <family val="2"/>
          </rPr>
          <t xml:space="preserve">
existing 155 + 30 = 185</t>
        </r>
      </text>
    </comment>
    <comment ref="B144" authorId="0" shapeId="0" xr:uid="{06F1C23E-4E31-47EA-88DC-115502A38634}">
      <text>
        <r>
          <rPr>
            <b/>
            <sz val="9"/>
            <color indexed="81"/>
            <rFont val="Tahoma"/>
            <family val="2"/>
          </rPr>
          <t>Administrator:</t>
        </r>
        <r>
          <rPr>
            <sz val="9"/>
            <color indexed="81"/>
            <rFont val="Tahoma"/>
            <family val="2"/>
          </rPr>
          <t xml:space="preserve">
KBC in  Q4-20
19
</t>
        </r>
      </text>
    </comment>
    <comment ref="M215" authorId="1" shapeId="0" xr:uid="{D32CA0FE-E408-453A-809F-96EB356901C9}">
      <text>
        <r>
          <rPr>
            <b/>
            <sz val="9"/>
            <color indexed="81"/>
            <rFont val="Tahoma"/>
            <family val="2"/>
          </rPr>
          <t>ThinkPad:</t>
        </r>
        <r>
          <rPr>
            <sz val="9"/>
            <color indexed="81"/>
            <rFont val="Tahoma"/>
            <family val="2"/>
          </rPr>
          <t xml:space="preserve">
Only ECD</t>
        </r>
      </text>
    </comment>
    <comment ref="AV226" authorId="0" shapeId="0" xr:uid="{23204378-3E8A-4BE1-A34E-391A919B4865}">
      <text>
        <r>
          <rPr>
            <b/>
            <sz val="9"/>
            <color indexed="81"/>
            <rFont val="Tahoma"/>
            <family val="2"/>
          </rPr>
          <t>Administrator:</t>
        </r>
        <r>
          <rPr>
            <sz val="9"/>
            <color indexed="81"/>
            <rFont val="Tahoma"/>
            <family val="2"/>
          </rPr>
          <t xml:space="preserve">
18000 Gallon</t>
        </r>
      </text>
    </comment>
    <comment ref="M249" authorId="1" shapeId="0" xr:uid="{A297FB28-D2A4-4621-AB79-0241FF6D6CD4}">
      <text>
        <r>
          <rPr>
            <b/>
            <sz val="9"/>
            <color indexed="81"/>
            <rFont val="Tahoma"/>
            <family val="2"/>
          </rPr>
          <t>ThinkPad:</t>
        </r>
        <r>
          <rPr>
            <sz val="9"/>
            <color indexed="81"/>
            <rFont val="Tahoma"/>
            <family val="2"/>
          </rPr>
          <t xml:space="preserve">
only ECD</t>
        </r>
      </text>
    </comment>
    <comment ref="M251" authorId="1" shapeId="0" xr:uid="{0DE90F13-F94E-4CDA-85EE-8D59DBD42E0D}">
      <text>
        <r>
          <rPr>
            <b/>
            <sz val="9"/>
            <color indexed="81"/>
            <rFont val="Tahoma"/>
            <family val="2"/>
          </rPr>
          <t>ThinkPad:</t>
        </r>
        <r>
          <rPr>
            <sz val="9"/>
            <color indexed="81"/>
            <rFont val="Tahoma"/>
            <family val="2"/>
          </rPr>
          <t xml:space="preserve">
Only ECD</t>
        </r>
      </text>
    </comment>
    <comment ref="M262" authorId="1" shapeId="0" xr:uid="{4D561BDD-2519-4984-9F33-911BF48E7D84}">
      <text>
        <r>
          <rPr>
            <b/>
            <sz val="9"/>
            <color indexed="81"/>
            <rFont val="Tahoma"/>
            <family val="2"/>
          </rPr>
          <t>ThinkPad:</t>
        </r>
        <r>
          <rPr>
            <sz val="9"/>
            <color indexed="81"/>
            <rFont val="Tahoma"/>
            <family val="2"/>
          </rPr>
          <t xml:space="preserve">
Only ECD</t>
        </r>
      </text>
    </comment>
    <comment ref="M267" authorId="1" shapeId="0" xr:uid="{CE893E43-2BEF-4938-81BD-0A39482BC628}">
      <text>
        <r>
          <rPr>
            <b/>
            <sz val="9"/>
            <color indexed="81"/>
            <rFont val="Tahoma"/>
            <family val="2"/>
          </rPr>
          <t>ThinkPad:</t>
        </r>
        <r>
          <rPr>
            <sz val="9"/>
            <color indexed="81"/>
            <rFont val="Tahoma"/>
            <family val="2"/>
          </rPr>
          <t xml:space="preserve">
Only ECD</t>
        </r>
      </text>
    </comment>
    <comment ref="M272" authorId="1" shapeId="0" xr:uid="{FB8CE56A-1510-4434-B7A1-158C864C8E4E}">
      <text>
        <r>
          <rPr>
            <b/>
            <sz val="9"/>
            <color indexed="81"/>
            <rFont val="Tahoma"/>
            <family val="2"/>
          </rPr>
          <t>ThinkPad:</t>
        </r>
        <r>
          <rPr>
            <sz val="9"/>
            <color indexed="81"/>
            <rFont val="Tahoma"/>
            <family val="2"/>
          </rPr>
          <t xml:space="preserve">
ECD and Student</t>
        </r>
      </text>
    </comment>
    <comment ref="M276" authorId="0" shapeId="0" xr:uid="{E9D02CF7-2320-42D7-9064-6BE17639AFCA}">
      <text>
        <r>
          <rPr>
            <b/>
            <sz val="9"/>
            <color indexed="81"/>
            <rFont val="Tahoma"/>
            <family val="2"/>
          </rPr>
          <t>Administrator:</t>
        </r>
        <r>
          <rPr>
            <sz val="9"/>
            <color indexed="81"/>
            <rFont val="Tahoma"/>
            <family val="2"/>
          </rPr>
          <t xml:space="preserve">
from KBC</t>
        </r>
      </text>
    </comment>
    <comment ref="AV276" authorId="0" shapeId="0" xr:uid="{76DB9788-BF65-40C1-8851-AA7D65532561}">
      <text>
        <r>
          <rPr>
            <b/>
            <sz val="9"/>
            <color indexed="81"/>
            <rFont val="Tahoma"/>
            <family val="2"/>
          </rPr>
          <t>Administrator:</t>
        </r>
        <r>
          <rPr>
            <sz val="9"/>
            <color indexed="81"/>
            <rFont val="Tahoma"/>
            <family val="2"/>
          </rPr>
          <t xml:space="preserve">
45360 gallon</t>
        </r>
      </text>
    </comment>
    <comment ref="M357" authorId="1" shapeId="0" xr:uid="{EDEF09F8-1F40-4C08-84DD-66785B21277A}">
      <text>
        <r>
          <rPr>
            <b/>
            <sz val="9"/>
            <color indexed="81"/>
            <rFont val="Tahoma"/>
            <family val="2"/>
          </rPr>
          <t>ThinkPad:</t>
        </r>
        <r>
          <rPr>
            <sz val="9"/>
            <color indexed="81"/>
            <rFont val="Tahoma"/>
            <family val="2"/>
          </rPr>
          <t xml:space="preserve">
Only ECD</t>
        </r>
      </text>
    </comment>
    <comment ref="M361" authorId="1" shapeId="0" xr:uid="{0BF02662-F518-4F8D-8866-FB0F10C457DB}">
      <text>
        <r>
          <rPr>
            <b/>
            <sz val="9"/>
            <color indexed="81"/>
            <rFont val="Tahoma"/>
            <family val="2"/>
          </rPr>
          <t>ThinkPad:</t>
        </r>
        <r>
          <rPr>
            <sz val="9"/>
            <color indexed="81"/>
            <rFont val="Tahoma"/>
            <family val="2"/>
          </rPr>
          <t xml:space="preserve">
Only ECD</t>
        </r>
      </text>
    </comment>
    <comment ref="M367" authorId="1" shapeId="0" xr:uid="{DD8A952D-8318-43C4-976B-0B133AF33AB9}">
      <text>
        <r>
          <rPr>
            <b/>
            <sz val="9"/>
            <color indexed="81"/>
            <rFont val="Tahoma"/>
            <family val="2"/>
          </rPr>
          <t>ThinkPad:</t>
        </r>
        <r>
          <rPr>
            <sz val="9"/>
            <color indexed="81"/>
            <rFont val="Tahoma"/>
            <family val="2"/>
          </rPr>
          <t xml:space="preserve">
Only ECD</t>
        </r>
      </text>
    </comment>
    <comment ref="AI549" authorId="1" shapeId="0" xr:uid="{D0B6A218-9E64-4C01-BCC7-5BB2C5E59BD8}">
      <text>
        <r>
          <rPr>
            <b/>
            <sz val="9"/>
            <color indexed="81"/>
            <rFont val="Tahoma"/>
            <family val="2"/>
          </rPr>
          <t>ThinkPad:</t>
        </r>
        <r>
          <rPr>
            <sz val="9"/>
            <color indexed="81"/>
            <rFont val="Tahoma"/>
            <family val="2"/>
          </rPr>
          <t xml:space="preserve">
Tap -5
Hand Pump-1
Storage tank-1
Tube well-1</t>
        </r>
      </text>
    </comment>
    <comment ref="AJ549" authorId="1" shapeId="0" xr:uid="{01DBAE70-84C3-41C7-ACA0-049A738C81F2}">
      <text>
        <r>
          <rPr>
            <b/>
            <sz val="9"/>
            <color indexed="81"/>
            <rFont val="Tahoma"/>
            <family val="2"/>
          </rPr>
          <t>ThinkPad:</t>
        </r>
        <r>
          <rPr>
            <sz val="9"/>
            <color indexed="81"/>
            <rFont val="Tahoma"/>
            <family val="2"/>
          </rPr>
          <t xml:space="preserve">
Boarder -Male and Female -3</t>
        </r>
      </text>
    </comment>
    <comment ref="AL549" authorId="1" shapeId="0" xr:uid="{50F3958B-61A4-4DA9-9141-8E38442A7291}">
      <text>
        <r>
          <rPr>
            <b/>
            <sz val="9"/>
            <color indexed="81"/>
            <rFont val="Tahoma"/>
            <family val="2"/>
          </rPr>
          <t>ThinkPad:</t>
        </r>
        <r>
          <rPr>
            <sz val="9"/>
            <color indexed="81"/>
            <rFont val="Tahoma"/>
            <family val="2"/>
          </rPr>
          <t xml:space="preserve">
Boarder -Male and Famale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21" authorId="0" shapeId="0" xr:uid="{58E2D075-7A82-49EC-8534-547A7911CD27}">
      <text>
        <r>
          <rPr>
            <b/>
            <sz val="9"/>
            <color indexed="81"/>
            <rFont val="Tahoma"/>
            <family val="2"/>
          </rPr>
          <t>Administrator:</t>
        </r>
        <r>
          <rPr>
            <sz val="9"/>
            <color indexed="81"/>
            <rFont val="Tahoma"/>
            <family val="2"/>
          </rPr>
          <t xml:space="preserve">
new displaement</t>
        </r>
      </text>
    </comment>
    <comment ref="H27" authorId="0" shapeId="0" xr:uid="{9FFF466A-9A10-4767-B16C-4A6D5D124B72}">
      <text>
        <r>
          <rPr>
            <b/>
            <sz val="9"/>
            <color indexed="81"/>
            <rFont val="Tahoma"/>
            <family val="2"/>
          </rPr>
          <t>Administrator:</t>
        </r>
        <r>
          <rPr>
            <sz val="9"/>
            <color indexed="81"/>
            <rFont val="Tahoma"/>
            <family val="2"/>
          </rPr>
          <t xml:space="preserve">
new displaement</t>
        </r>
      </text>
    </comment>
    <comment ref="H33" authorId="0" shapeId="0" xr:uid="{3233C4A8-F14C-49C8-A1B0-D13F7032B990}">
      <text>
        <r>
          <rPr>
            <b/>
            <sz val="9"/>
            <color indexed="81"/>
            <rFont val="Tahoma"/>
            <family val="2"/>
          </rPr>
          <t>Administrator:</t>
        </r>
        <r>
          <rPr>
            <sz val="9"/>
            <color indexed="81"/>
            <rFont val="Tahoma"/>
            <family val="2"/>
          </rPr>
          <t xml:space="preserve">
new displacement</t>
        </r>
      </text>
    </comment>
    <comment ref="K51" authorId="0" shapeId="0" xr:uid="{73761296-0D56-4A7A-B218-AB86A48C65C5}">
      <text>
        <r>
          <rPr>
            <b/>
            <sz val="9"/>
            <color indexed="81"/>
            <rFont val="Tahoma"/>
            <family val="2"/>
          </rPr>
          <t>Administrator:</t>
        </r>
        <r>
          <rPr>
            <sz val="9"/>
            <color indexed="81"/>
            <rFont val="Tahoma"/>
            <family val="2"/>
          </rPr>
          <t xml:space="preserve">
QC+other+new dis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6" minRefreshableVersion="5">
    <extLst>
      <ext xmlns:x15="http://schemas.microsoft.com/office/spreadsheetml/2010/11/main" uri="{DE250136-89BD-433C-8126-D09CA5730AF9}">
        <x15:connection id="WWWW" autoDelete="1">
          <x15:rangePr sourceName="_xlcn.WorksheetConnection_20200716_Myanmar_WASH_4W_2020_Q2_KachinShan_camp_Consolidate.xlsxWWWW"/>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Covered].&amp;[Covered]}"/>
    <s v="{[WWWW].[#_Water sources tested for fecal coliform].&amp;[1],[WWWW].[#_Water sources tested for fecal coliform].&amp;[2],[WWWW].[#_Water sources tested for fecal coliform].&amp;[3],[WWWW].[#_Water sources tested for fecal coliform].&amp;[4],[WWWW].[#_Water sources tested for fecal coliform].&amp;[6],[WWWW].[#_Water sources tested for fecal coliform].&amp;[7],[WWWW].[#_Water sources tested for fecal coliform].&amp;[8],[WWWW].[#_Water sources tested for fecal coliform].&amp;[10],[WWWW].[#_Water sources tested for fecal coliform].&amp;[14],[WWWW].[#_Water sources tested for fecal coliform].&amp;[16]}"/>
    <s v="{[WWWW].[#_Household water samples tested for fecal coliform].&amp;[1],[WWWW].[#_Household water samples tested for fecal coliform].&amp;[2],[WWWW].[#_Household water samples tested for fecal coliform].&amp;[3],[WWWW].[#_Household water samples tested for fecal coliform].&amp;[4],[WWWW].[#_Household water samples tested for fecal coliform].&amp;[5],[WWWW].[#_Household water samples tested for fecal coliform].&amp;[11],[WWWW].[#_Household water samples tested for fecal coliform].&amp;[12],[WWWW].[#_Household water samples tested for fecal coliform].&amp;[13],[WWWW].[#_Household water samples tested for fecal coliform].&amp;[15],[WWWW].[#_Household water samples tested for fecal coliform].&amp;[18],[WWWW].[#_Household water samples tested for fecal coliform].&amp;[20],[WWWW].[#_Household water samples tested for fecal coliform].&amp;[21],[WWWW].[#_Household water samples tested for fecal coliform].&amp;[22],[WWWW].[#_Household water samples tested for fecal coliform].&amp;[33],[WWWW].[#_Household water samples tested for fecal coliform].&amp;[81]}"/>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<sst xmlns="http://schemas.openxmlformats.org/spreadsheetml/2006/main" count="24523" uniqueCount="3662">
  <si>
    <t>V1</t>
  </si>
  <si>
    <t>V2</t>
  </si>
  <si>
    <t>V3</t>
  </si>
  <si>
    <t>V4</t>
  </si>
  <si>
    <t>V5</t>
  </si>
  <si>
    <t>V7</t>
  </si>
  <si>
    <t>V8</t>
  </si>
  <si>
    <t>x1</t>
  </si>
  <si>
    <t>x2</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</si>
  <si>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</si>
  <si>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</si>
  <si>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</si>
  <si>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</si>
  <si>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</si>
  <si>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</si>
  <si>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</si>
  <si>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</si>
  <si>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</si>
  <si>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</si>
  <si>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</si>
  <si>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</si>
  <si>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</si>
  <si>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</si>
  <si>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</si>
  <si>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</si>
  <si>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</si>
  <si>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</si>
  <si>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</si>
  <si>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</si>
  <si>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</si>
  <si>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</si>
  <si>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</si>
  <si>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</si>
  <si>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</si>
  <si>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</si>
  <si>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</si>
  <si>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</si>
  <si>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</si>
  <si>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</si>
  <si>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</si>
  <si>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</si>
  <si>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</si>
  <si>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</si>
  <si>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</si>
  <si>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</si>
  <si>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</si>
  <si>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</si>
  <si>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</si>
  <si>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</si>
  <si>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</si>
  <si>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</si>
  <si>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</si>
  <si>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</si>
  <si>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</si>
  <si>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</si>
  <si>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</si>
  <si>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</si>
  <si>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</si>
  <si>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</si>
  <si>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</si>
  <si>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</si>
  <si>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</si>
  <si>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</si>
  <si>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</si>
  <si>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</si>
  <si>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</si>
  <si>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</si>
  <si>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</si>
  <si>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</si>
  <si>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</si>
  <si>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</si>
  <si>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</si>
  <si>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</si>
  <si>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</si>
  <si>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</si>
  <si>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</si>
  <si>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</si>
  <si>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</si>
  <si>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</si>
  <si>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</si>
  <si>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</si>
  <si>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</si>
  <si>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</si>
  <si>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</si>
  <si>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</si>
  <si>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</si>
  <si>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</si>
  <si>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</si>
  <si>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</si>
  <si>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</si>
  <si>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</si>
  <si>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</si>
  <si>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</si>
  <si>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</si>
  <si>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</si>
  <si>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</si>
  <si>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</si>
  <si>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</si>
  <si>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</si>
  <si>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</si>
  <si>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</si>
  <si>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</si>
  <si>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</si>
  <si>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</si>
  <si>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</si>
  <si>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</si>
  <si>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</si>
  <si>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</si>
  <si>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</si>
  <si>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</si>
  <si>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</si>
  <si>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</si>
  <si>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</si>
  <si>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</si>
  <si>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</si>
  <si>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</si>
  <si>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</si>
  <si>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</si>
  <si>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</si>
  <si>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</si>
  <si>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</si>
  <si>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</si>
  <si>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</si>
  <si>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</si>
  <si>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</si>
  <si>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</si>
  <si>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</si>
  <si>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</si>
  <si>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</si>
  <si>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</si>
  <si>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</si>
  <si>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</si>
  <si>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</si>
  <si>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</si>
  <si>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</si>
  <si>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</si>
  <si>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</si>
  <si>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</si>
  <si>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</si>
  <si>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</si>
  <si>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</si>
  <si>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</si>
  <si>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</si>
  <si>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</si>
  <si>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</si>
  <si>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</si>
  <si>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</si>
  <si>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</si>
  <si>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</si>
  <si>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</si>
  <si>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</si>
  <si>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</si>
  <si>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</si>
  <si>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</si>
  <si>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</si>
  <si>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</si>
  <si>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</si>
  <si>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</si>
  <si>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</si>
  <si>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</si>
  <si>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</si>
  <si>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</si>
  <si>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</si>
  <si>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</si>
  <si>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</si>
  <si>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</si>
  <si>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</si>
  <si>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</si>
  <si>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</si>
  <si>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</si>
  <si>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</si>
  <si>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</si>
  <si>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</si>
  <si>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</si>
  <si>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</si>
  <si>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</si>
  <si>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</si>
  <si>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</si>
  <si>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</si>
  <si>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</si>
  <si>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</si>
  <si>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</si>
  <si>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</si>
  <si>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</si>
  <si>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</si>
  <si>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</si>
  <si>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</si>
  <si>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</si>
  <si>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</si>
  <si>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</si>
  <si>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</si>
  <si>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</si>
  <si>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</si>
  <si>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</si>
  <si>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</si>
  <si>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</si>
  <si>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</si>
  <si>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</si>
  <si>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</si>
  <si>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</si>
  <si>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</si>
  <si>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</si>
  <si>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</si>
  <si>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</si>
  <si>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</si>
  <si>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</si>
  <si>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</si>
  <si>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</si>
  <si>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</si>
  <si>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</si>
  <si>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</si>
  <si>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</si>
  <si>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</si>
  <si>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</si>
  <si>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</si>
  <si>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</si>
  <si>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</si>
  <si>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</si>
  <si>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</si>
  <si>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</si>
  <si>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</si>
  <si>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</si>
  <si>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</si>
  <si>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</si>
  <si>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</si>
  <si>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</si>
  <si>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</si>
  <si>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</si>
  <si>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</si>
  <si>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</si>
  <si>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</si>
  <si>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</si>
  <si>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</si>
  <si>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</si>
  <si>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</si>
  <si>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</si>
  <si>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</si>
  <si>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</si>
  <si>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</si>
  <si>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</si>
  <si>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</si>
  <si>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</si>
  <si>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</si>
  <si>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</si>
  <si>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</si>
  <si>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</si>
  <si>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</si>
  <si>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</si>
  <si>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</si>
  <si>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</si>
  <si>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</si>
  <si>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</si>
  <si>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</si>
  <si>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</si>
  <si>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</si>
  <si>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</si>
  <si>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</si>
  <si>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</si>
  <si>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</si>
  <si>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</si>
  <si>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</si>
  <si>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</si>
  <si>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</si>
  <si>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</si>
  <si>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</si>
  <si>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</si>
  <si>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</si>
  <si>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</si>
  <si>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</si>
  <si>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</si>
  <si>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</si>
  <si>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</si>
  <si>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</si>
  <si>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</si>
  <si>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</si>
  <si>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</si>
  <si>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</si>
  <si>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</si>
  <si>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</si>
  <si>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</si>
  <si>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</si>
  <si>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</si>
  <si>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</si>
  <si>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</si>
  <si>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</si>
  <si>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</si>
  <si>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</si>
  <si>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</si>
  <si>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</si>
  <si>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</si>
  <si>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</si>
  <si>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</si>
  <si>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</si>
  <si>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</si>
  <si>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</si>
  <si>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</si>
  <si>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</si>
  <si>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</si>
  <si>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</si>
  <si>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</si>
  <si>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</si>
  <si>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</si>
  <si>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</si>
  <si>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</si>
  <si>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</si>
  <si>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</si>
  <si>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</si>
  <si>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</si>
  <si>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</si>
  <si>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</si>
  <si>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</si>
  <si>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</si>
  <si>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</si>
  <si>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</si>
  <si>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</si>
  <si>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</si>
  <si>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</si>
  <si>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</si>
  <si>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</si>
  <si>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</si>
  <si>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</si>
  <si>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</si>
  <si>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</si>
  <si>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</si>
  <si>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</si>
  <si>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</si>
  <si>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</si>
  <si>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</si>
  <si>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</si>
  <si>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</si>
  <si>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</si>
  <si>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</si>
  <si>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</si>
  <si>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</si>
  <si>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</si>
  <si>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</si>
  <si>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</si>
  <si>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</si>
  <si>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</si>
  <si>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</si>
  <si>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</si>
  <si>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</si>
  <si>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</si>
  <si>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</si>
  <si>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</si>
  <si>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</si>
  <si>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</si>
  <si>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</si>
  <si>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</si>
  <si>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</si>
  <si>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</si>
  <si>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</si>
  <si>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</si>
  <si>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</si>
  <si>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</si>
  <si>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</si>
  <si>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</si>
  <si>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</si>
  <si>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</si>
  <si>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</si>
  <si>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</si>
  <si>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</si>
  <si>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</si>
  <si>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</si>
  <si>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</si>
  <si>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</si>
  <si>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</si>
  <si>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</si>
  <si>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</si>
  <si>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</si>
  <si>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</si>
  <si>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</si>
  <si>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</si>
  <si>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</si>
  <si>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</si>
  <si>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</si>
  <si>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</si>
  <si>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</si>
  <si>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</si>
  <si>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</si>
  <si>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</si>
  <si>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</si>
  <si>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</si>
  <si>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</si>
  <si>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</si>
  <si>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</si>
  <si>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</si>
  <si>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</si>
  <si>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</si>
  <si>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</si>
  <si>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</si>
  <si>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</si>
  <si>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</si>
  <si>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</si>
  <si>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</si>
  <si>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</si>
  <si>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</si>
  <si>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</si>
  <si>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</si>
  <si>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</si>
  <si>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</si>
  <si>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</si>
  <si>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</si>
  <si>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</si>
  <si>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</si>
  <si>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</si>
  <si>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</si>
  <si>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</si>
  <si>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</si>
  <si>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</si>
  <si>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</si>
  <si>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</si>
  <si>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</si>
  <si>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</si>
  <si>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</si>
  <si>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</si>
  <si>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</si>
  <si>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</si>
  <si>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</si>
  <si>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</si>
  <si>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</si>
  <si>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</si>
  <si>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</si>
  <si>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</si>
  <si>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</si>
  <si>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</si>
  <si>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</si>
  <si>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</si>
  <si>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</si>
  <si>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</si>
  <si>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</si>
  <si>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</si>
  <si>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</si>
  <si>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</si>
  <si>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</si>
  <si>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</si>
  <si>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</si>
  <si>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</si>
  <si>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</si>
  <si>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</si>
  <si>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</si>
  <si>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</si>
  <si>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</si>
  <si>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</si>
  <si>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</si>
  <si>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</si>
  <si>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</si>
  <si>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</si>
  <si>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</si>
  <si>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</si>
  <si>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</si>
  <si>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</si>
  <si>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</si>
  <si>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</si>
  <si>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</si>
  <si>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</si>
  <si>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</si>
  <si>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</si>
  <si>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</si>
  <si>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</si>
  <si>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</si>
  <si>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</si>
  <si>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</si>
  <si>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</si>
  <si>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</si>
  <si>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</si>
  <si>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</si>
  <si>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</si>
  <si>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</si>
  <si>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</si>
  <si>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</si>
  <si>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</si>
  <si>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</si>
  <si>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</si>
  <si>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</si>
  <si>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</si>
  <si>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</si>
  <si>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</si>
  <si>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</si>
  <si>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</si>
  <si>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</si>
  <si>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</si>
  <si>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</si>
  <si>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</si>
  <si>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</si>
  <si>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</si>
  <si>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</si>
  <si>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</si>
  <si>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</si>
  <si>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</si>
  <si>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</si>
  <si>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</si>
  <si>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</si>
  <si>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</si>
  <si>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</si>
  <si>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</si>
  <si>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</si>
  <si>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</si>
  <si>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</si>
  <si>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</si>
  <si>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</si>
  <si>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</si>
  <si>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</si>
  <si>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</si>
  <si>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</si>
  <si>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</si>
  <si>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</si>
  <si>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</si>
  <si>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</si>
  <si>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</si>
  <si>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</si>
  <si>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</si>
  <si>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</si>
  <si>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</si>
  <si>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</si>
  <si>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</si>
  <si>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</si>
  <si>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</si>
  <si>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</si>
  <si>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</si>
  <si>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</si>
  <si>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</si>
  <si>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</si>
  <si>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</si>
  <si>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</si>
  <si>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</si>
  <si>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</si>
  <si>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</si>
  <si>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</si>
  <si>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</si>
  <si>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</si>
  <si>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</si>
  <si>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</si>
  <si>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</si>
  <si>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</si>
  <si>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</si>
  <si>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</si>
  <si>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</si>
  <si>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</si>
  <si>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</si>
  <si>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</si>
  <si>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</si>
  <si>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</si>
  <si>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</si>
  <si>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</si>
  <si>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</si>
  <si>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</si>
  <si>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</si>
  <si>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</si>
  <si>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</si>
  <si>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</si>
  <si>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</si>
  <si>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</si>
  <si>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</si>
  <si>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</si>
  <si>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</si>
  <si>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</si>
  <si>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</si>
  <si>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</si>
  <si>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</si>
  <si>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</si>
  <si>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</si>
  <si>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</si>
  <si>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</si>
  <si>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</si>
  <si>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</si>
  <si>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</si>
  <si>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</si>
  <si>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</si>
  <si>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</si>
  <si>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</si>
  <si>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</si>
  <si>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</si>
  <si>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</si>
  <si>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</si>
  <si>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</si>
  <si>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</si>
  <si>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</si>
  <si>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</si>
  <si>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</si>
  <si>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</si>
  <si>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</si>
  <si>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</si>
  <si>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</si>
  <si>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</si>
  <si>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</si>
  <si>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</si>
  <si>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</si>
  <si>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</si>
  <si>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</si>
  <si>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</si>
  <si>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</si>
  <si>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</si>
  <si>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</si>
  <si>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</si>
  <si>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</si>
  <si>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</si>
  <si>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</si>
  <si>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</si>
  <si>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</si>
  <si>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</si>
  <si>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</si>
  <si>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</si>
  <si>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</si>
  <si>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</si>
  <si>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</si>
  <si>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</si>
  <si>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</si>
  <si>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</si>
  <si>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</si>
  <si>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</si>
  <si>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</si>
  <si>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</si>
  <si>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</si>
  <si>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</si>
  <si>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</si>
  <si>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</si>
  <si>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</si>
  <si>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</si>
  <si>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</si>
  <si>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</si>
  <si>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</si>
  <si>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</si>
  <si>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</si>
  <si>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</si>
  <si>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</si>
  <si>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</si>
  <si>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</si>
  <si>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</si>
  <si>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</si>
  <si>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</si>
  <si>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</si>
  <si>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</si>
  <si>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</si>
  <si>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</si>
  <si>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</si>
  <si>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</si>
  <si>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</si>
  <si>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</si>
  <si>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</si>
  <si>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</si>
  <si>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</si>
  <si>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</si>
  <si>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</si>
  <si>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</si>
  <si>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</si>
  <si>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</si>
  <si>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</si>
  <si>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</si>
  <si>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</si>
  <si>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</si>
  <si>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</si>
  <si>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</si>
  <si>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</si>
  <si>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</si>
  <si>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</si>
  <si>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</si>
  <si>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</si>
  <si>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</si>
  <si>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</si>
  <si>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</si>
  <si>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</si>
  <si>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</si>
  <si>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</si>
  <si>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</si>
  <si>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</si>
  <si>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</si>
  <si>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</si>
  <si>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</si>
  <si>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</si>
  <si>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</si>
  <si>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</si>
  <si>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</si>
  <si>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</si>
  <si>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</si>
  <si>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</si>
  <si>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</si>
  <si>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</si>
  <si>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</si>
  <si>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</si>
  <si>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</si>
  <si>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</si>
  <si>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</si>
  <si>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</si>
  <si>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</si>
  <si>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</si>
  <si>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</si>
  <si>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</si>
  <si>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</si>
  <si>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</si>
  <si>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</si>
  <si>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</si>
  <si>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</si>
  <si>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</si>
  <si>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</si>
  <si>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</si>
  <si>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</si>
  <si>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</si>
  <si>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</si>
  <si>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</si>
  <si>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</si>
  <si>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</si>
  <si>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</si>
  <si>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</si>
  <si>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</si>
  <si>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</si>
  <si>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</si>
  <si>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</si>
  <si>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</si>
  <si>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</si>
  <si>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</si>
  <si>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</si>
  <si>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</si>
  <si>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</si>
  <si>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</si>
  <si>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</si>
  <si>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</si>
  <si>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</si>
  <si>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</si>
  <si>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</si>
  <si>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</si>
  <si>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</si>
  <si>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</si>
  <si>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</si>
  <si>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</si>
  <si>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</si>
  <si>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</si>
  <si>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</si>
  <si>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</si>
  <si>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</si>
  <si>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</si>
  <si>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</si>
  <si>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</si>
  <si>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</si>
  <si>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</si>
  <si>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</si>
  <si>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</si>
  <si>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</si>
  <si>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</si>
  <si>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</si>
  <si>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</si>
  <si>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</si>
  <si>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</si>
  <si>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</si>
  <si>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</si>
  <si>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</si>
  <si>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</si>
  <si>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</si>
  <si>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</si>
  <si>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</si>
  <si>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</si>
  <si>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</si>
  <si>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</si>
  <si>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</si>
  <si>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</si>
  <si>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</si>
  <si>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</si>
  <si>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</si>
  <si>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</si>
  <si>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</si>
  <si>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</si>
  <si>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</si>
  <si>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</si>
  <si>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</si>
  <si>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</si>
  <si>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</si>
  <si>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</si>
  <si>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</si>
  <si>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</si>
  <si>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</si>
  <si>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</si>
  <si>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</si>
  <si>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</si>
  <si>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</si>
  <si>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</si>
  <si>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</si>
  <si>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</si>
  <si>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</si>
  <si>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</si>
  <si>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</si>
  <si>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</si>
  <si>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</si>
  <si>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</si>
  <si>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</si>
  <si>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</si>
  <si>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</si>
  <si>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</si>
  <si>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</si>
  <si>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</si>
  <si>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</si>
  <si>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</si>
  <si>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</si>
  <si>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</si>
  <si>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</si>
  <si>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</si>
  <si>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</si>
  <si>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</si>
  <si>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</si>
  <si>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</si>
  <si>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</si>
  <si>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</si>
  <si>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</si>
  <si>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</si>
  <si>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</si>
  <si>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</si>
  <si>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</si>
  <si>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</si>
  <si>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</si>
  <si>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</si>
  <si>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</si>
  <si>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</si>
  <si>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</si>
  <si>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</si>
  <si>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</si>
  <si>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</si>
  <si>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</si>
  <si>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</si>
  <si>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</si>
  <si>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</si>
  <si>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</si>
  <si>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</si>
  <si>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</si>
  <si>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</si>
  <si>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</si>
  <si>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</si>
  <si>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</si>
  <si>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</si>
  <si>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</si>
  <si>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</si>
  <si>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</si>
  <si>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</si>
  <si>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</si>
  <si>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</si>
  <si>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</si>
  <si>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</si>
  <si>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</si>
  <si>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</si>
  <si>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</si>
  <si>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</si>
  <si>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</si>
  <si>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</si>
  <si>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</si>
  <si>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</si>
  <si>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</si>
  <si>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</si>
  <si>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</si>
  <si>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</si>
  <si>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</si>
  <si>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</si>
  <si>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</si>
  <si>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</si>
  <si>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</si>
  <si>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</si>
  <si>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</si>
  <si>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</si>
  <si>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</si>
  <si>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</si>
  <si>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</si>
  <si>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</si>
  <si>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</si>
  <si>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</si>
  <si>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</si>
  <si>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</si>
  <si>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</si>
  <si>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</si>
  <si>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</si>
  <si>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</si>
  <si>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</si>
  <si>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</si>
  <si>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</si>
  <si>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</si>
  <si>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</si>
  <si>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</si>
  <si>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</si>
  <si>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</si>
  <si>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</si>
  <si>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</si>
  <si>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</si>
  <si>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</si>
  <si>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</si>
  <si>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</si>
  <si>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</si>
  <si>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</si>
  <si>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</si>
  <si>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</si>
  <si>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</si>
  <si>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</si>
  <si>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</si>
  <si>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</si>
  <si>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</si>
  <si>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</si>
  <si>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</si>
  <si>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</si>
  <si>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</si>
  <si>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</si>
  <si>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</si>
  <si>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</si>
  <si>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</si>
  <si>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</si>
  <si>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</si>
  <si>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</si>
  <si>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</si>
  <si>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</si>
  <si>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</si>
  <si>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</si>
  <si>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</si>
  <si>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</si>
  <si>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</si>
  <si>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</si>
  <si>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</si>
  <si>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</si>
  <si>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</si>
  <si>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</si>
  <si>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</si>
  <si>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</si>
  <si>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</si>
  <si>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</si>
  <si>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</si>
  <si>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</si>
  <si>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</si>
  <si>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</si>
  <si>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</si>
  <si>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</si>
  <si>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</si>
  <si>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</si>
  <si>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</si>
  <si>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</si>
  <si>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</si>
  <si>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</si>
  <si>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</si>
  <si>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</si>
  <si>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</si>
  <si>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</si>
  <si>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</si>
  <si>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</si>
  <si>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</si>
  <si>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</si>
  <si>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</si>
  <si>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</si>
  <si>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</si>
  <si>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</si>
  <si>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</si>
  <si>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</si>
  <si>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</si>
  <si>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</si>
  <si>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</si>
  <si>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</si>
  <si>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</si>
  <si>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</si>
  <si>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</si>
  <si>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</si>
  <si>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</si>
  <si>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</si>
  <si>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</si>
  <si>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</si>
  <si>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</si>
  <si>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</si>
  <si>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</si>
  <si>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</si>
  <si>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</si>
  <si>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</si>
  <si>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</si>
  <si>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</si>
  <si>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</si>
  <si>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</si>
  <si>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</si>
  <si>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</si>
  <si>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</si>
  <si>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</si>
  <si>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</si>
  <si>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</si>
  <si>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</si>
  <si>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</si>
  <si>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</si>
  <si>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</si>
  <si>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</si>
  <si>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</si>
  <si>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</si>
  <si>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</si>
  <si>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</si>
  <si>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</si>
  <si>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</si>
  <si>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</si>
  <si>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</si>
  <si>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</si>
  <si>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</si>
  <si>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</si>
  <si>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</si>
  <si>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</si>
  <si>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</si>
  <si>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</si>
  <si>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</si>
  <si>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</si>
  <si>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</si>
  <si>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</si>
  <si>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</si>
  <si>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</si>
  <si>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</si>
  <si>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</si>
  <si>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</si>
  <si>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</si>
  <si>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</si>
  <si>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</si>
  <si>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</si>
  <si>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</si>
  <si>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</si>
  <si>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</si>
  <si>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</si>
  <si>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</si>
  <si>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</si>
  <si>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</si>
  <si>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</si>
  <si>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</si>
  <si>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</si>
  <si>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</si>
  <si>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</si>
  <si>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</si>
  <si>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</si>
  <si>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</si>
  <si>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</si>
  <si>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</si>
  <si>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</si>
  <si>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</si>
  <si>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</si>
  <si>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</si>
  <si>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</si>
  <si>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</si>
  <si>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</si>
  <si>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</si>
  <si>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</si>
  <si>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</si>
  <si>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</si>
  <si>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</si>
  <si>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</si>
  <si>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</si>
  <si>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</si>
  <si>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</si>
  <si>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</si>
  <si>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</si>
  <si>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</si>
  <si>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</si>
  <si>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</si>
  <si>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</si>
  <si>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</si>
  <si>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</si>
  <si>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</si>
  <si>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</si>
  <si>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</si>
  <si>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</si>
  <si>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</si>
  <si>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</si>
  <si>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</si>
  <si>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</si>
  <si>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</si>
  <si>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</si>
  <si>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</si>
  <si>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</si>
  <si>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</si>
  <si>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</si>
  <si>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</si>
  <si>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</si>
  <si>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</si>
  <si>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</si>
  <si>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</si>
  <si>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</si>
  <si>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</si>
  <si>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</si>
  <si>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</si>
  <si>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</si>
  <si>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</si>
  <si>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</si>
  <si>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</si>
  <si>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</si>
  <si>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</si>
  <si>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</si>
  <si>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</si>
  <si>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</si>
  <si>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</si>
  <si>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</si>
  <si>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</si>
  <si>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</si>
  <si>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</si>
  <si>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</si>
  <si>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</si>
  <si>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</si>
  <si>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</si>
  <si>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</si>
  <si>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</si>
  <si>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</si>
  <si>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</si>
  <si>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</si>
  <si>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</si>
  <si>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</si>
  <si>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</si>
  <si>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</si>
  <si>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</si>
  <si>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</si>
  <si>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</si>
  <si>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</si>
  <si>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</si>
  <si>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</si>
  <si>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</si>
  <si>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</si>
  <si>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</si>
  <si>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</si>
  <si>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</si>
  <si>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</si>
  <si>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</si>
  <si>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</si>
  <si>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</si>
  <si>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</si>
  <si>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</si>
  <si>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</si>
  <si>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</si>
  <si>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</si>
  <si>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</si>
  <si>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</si>
  <si>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</si>
  <si>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</si>
  <si>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</si>
  <si>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</si>
  <si>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</si>
  <si>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</si>
  <si>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</si>
  <si>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</si>
  <si>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</si>
  <si>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</si>
  <si>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</si>
  <si>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</si>
  <si>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</si>
  <si>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</si>
  <si>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</si>
  <si>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</si>
  <si>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</si>
  <si>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</si>
  <si>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</si>
  <si>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</si>
  <si>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</si>
  <si>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</si>
  <si>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</si>
  <si>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</si>
  <si>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</si>
  <si>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</si>
  <si>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</si>
  <si>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</si>
  <si>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</si>
  <si>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</si>
  <si>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</si>
  <si>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</si>
  <si>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</si>
  <si>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</si>
  <si>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</si>
  <si>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</si>
  <si>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</si>
  <si>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</si>
  <si>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</si>
  <si>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</si>
  <si>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</si>
  <si>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</si>
  <si>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</si>
  <si>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</si>
  <si>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</si>
  <si>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</si>
  <si>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</si>
  <si>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</si>
  <si>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</si>
  <si>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</si>
  <si>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</si>
  <si>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</si>
  <si>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</si>
  <si>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</si>
  <si>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</si>
  <si>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</si>
  <si>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</si>
  <si>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</si>
  <si>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</si>
  <si>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</si>
  <si>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</si>
  <si>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</si>
  <si>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</si>
  <si>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</si>
  <si>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</si>
  <si>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</si>
  <si>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</si>
  <si>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</si>
  <si>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</si>
  <si>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</si>
  <si>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</si>
  <si>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</si>
  <si>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</si>
  <si>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</si>
  <si>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</si>
  <si>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</si>
  <si>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</si>
  <si>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</si>
  <si>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</si>
  <si>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</si>
  <si>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</si>
  <si>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</si>
  <si>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</si>
  <si>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</si>
  <si>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</si>
  <si>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</si>
  <si>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</si>
  <si>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</si>
  <si>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</si>
  <si>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</si>
  <si>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</si>
  <si>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</si>
  <si>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</si>
  <si>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</si>
  <si>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</si>
  <si>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</si>
  <si>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</si>
  <si>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</si>
  <si>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</si>
  <si>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</si>
  <si>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</si>
  <si>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</si>
  <si>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</si>
  <si>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</si>
  <si>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</si>
  <si>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</si>
  <si>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</si>
  <si>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</si>
  <si>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</si>
  <si>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</si>
  <si>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</si>
  <si>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</si>
  <si>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</si>
  <si>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</si>
  <si>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</si>
  <si>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</si>
  <si>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</si>
  <si>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</si>
  <si>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</si>
  <si>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</si>
  <si>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</si>
  <si>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</si>
  <si>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</si>
  <si>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</si>
  <si>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</si>
  <si>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</si>
  <si>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</si>
  <si>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</si>
  <si>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</si>
  <si>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</si>
  <si>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</si>
  <si>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</si>
  <si>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</si>
  <si>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</si>
  <si>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</si>
  <si>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</si>
  <si>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</si>
  <si>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</si>
  <si>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</si>
  <si>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</si>
  <si>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</si>
  <si>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</si>
  <si>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</si>
  <si>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</si>
  <si>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</si>
  <si>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</si>
  <si>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</si>
  <si>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</si>
  <si>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</si>
  <si>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</si>
  <si>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</si>
  <si>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</si>
  <si>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</si>
  <si>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</si>
  <si>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</si>
  <si>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</si>
  <si>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</si>
  <si>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</si>
  <si>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</si>
  <si>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</si>
  <si>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</si>
  <si>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</si>
  <si>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</si>
  <si>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</si>
  <si>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</si>
  <si>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</si>
  <si>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</si>
  <si>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</si>
  <si>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</si>
  <si>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</si>
  <si>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</si>
  <si>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</si>
  <si>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</si>
  <si>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</si>
  <si>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</si>
  <si>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</si>
  <si>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</si>
  <si>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</si>
  <si>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</si>
  <si>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</si>
  <si>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</si>
  <si>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</si>
  <si>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</si>
  <si>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</si>
  <si>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</si>
  <si>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</si>
  <si>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</si>
  <si>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</si>
  <si>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</si>
  <si>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</si>
  <si>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</si>
  <si>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</si>
  <si>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</si>
  <si>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</si>
  <si>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</si>
  <si>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</si>
  <si>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</si>
  <si>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</si>
  <si>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</si>
  <si>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</si>
  <si>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</si>
  <si>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</si>
  <si>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</si>
  <si>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</si>
  <si>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</si>
  <si>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</si>
  <si>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</si>
  <si>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</si>
  <si>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</si>
  <si>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</si>
  <si>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</si>
  <si>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</si>
  <si>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</si>
  <si>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</si>
  <si>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</si>
  <si>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</si>
  <si>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</si>
  <si>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</si>
  <si>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</si>
  <si>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</si>
  <si>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</si>
  <si>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</si>
  <si>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</si>
  <si>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</si>
  <si>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</si>
  <si>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</si>
  <si>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</si>
  <si>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</si>
  <si>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</si>
  <si>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</si>
  <si>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</si>
  <si>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</si>
  <si>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</si>
  <si>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</si>
  <si>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</si>
  <si>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</si>
  <si>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</si>
  <si>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</si>
  <si>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</si>
  <si>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</si>
  <si>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</si>
  <si>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</si>
  <si>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</si>
  <si>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</si>
  <si>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</si>
  <si>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</si>
  <si>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</si>
  <si>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</si>
  <si>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</si>
  <si>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</si>
  <si>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</si>
  <si>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</si>
  <si>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</si>
  <si>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</si>
  <si>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</si>
  <si>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</si>
  <si>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</si>
  <si>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</si>
  <si>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</si>
  <si>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</si>
  <si>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</si>
  <si>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</si>
  <si>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</si>
  <si>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</si>
  <si>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</si>
  <si>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</si>
  <si>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</si>
  <si>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</si>
  <si>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</si>
  <si>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</si>
  <si>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</si>
  <si>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</si>
  <si>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</si>
  <si>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</si>
  <si>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</si>
  <si>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</si>
  <si>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</si>
  <si>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</si>
  <si>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</si>
  <si>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</si>
  <si>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</si>
  <si>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</si>
  <si>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</si>
  <si>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</si>
  <si>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</si>
  <si>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</si>
  <si>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</si>
  <si>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</si>
  <si>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</si>
  <si>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</si>
  <si>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</si>
  <si>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</si>
  <si>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</si>
  <si>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</si>
  <si>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</si>
  <si>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</si>
  <si>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</si>
  <si>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</si>
  <si>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</si>
  <si>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</si>
  <si>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</si>
  <si>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</si>
  <si>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</si>
  <si>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</si>
  <si>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</si>
  <si>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</si>
  <si>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</si>
  <si>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</si>
  <si>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</si>
  <si>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</si>
  <si>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</si>
  <si>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</si>
  <si>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</si>
  <si>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</si>
  <si>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</si>
  <si>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</si>
  <si>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</si>
  <si>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</si>
  <si>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</si>
  <si>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</si>
  <si>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</si>
  <si>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</si>
  <si>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</si>
  <si>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</si>
  <si>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</si>
  <si>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</si>
  <si>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</si>
  <si>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</si>
  <si>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</si>
  <si>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</si>
  <si>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</si>
  <si>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</si>
  <si>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</si>
  <si>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</si>
  <si>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</si>
  <si>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</si>
  <si>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</si>
  <si>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</si>
  <si>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</si>
  <si>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</si>
  <si>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</si>
  <si>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</si>
  <si>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</si>
  <si>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</si>
  <si>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</si>
  <si>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</si>
  <si>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</si>
  <si>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</si>
  <si>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</si>
  <si>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</si>
  <si>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</si>
  <si>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</si>
  <si>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</si>
  <si>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</si>
  <si>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</si>
  <si>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</si>
  <si>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</si>
  <si>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</si>
  <si>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</si>
  <si>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</si>
  <si>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</si>
  <si>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</si>
  <si>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</si>
  <si>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</si>
  <si>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</si>
  <si>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</si>
  <si>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</si>
  <si>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</si>
  <si>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</si>
  <si>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</si>
  <si>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</si>
  <si>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</si>
  <si>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</si>
  <si>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</si>
  <si>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</si>
  <si>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</si>
  <si>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</si>
  <si>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</si>
  <si>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</si>
  <si>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</si>
  <si>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</si>
  <si>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</si>
  <si>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</si>
  <si>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</si>
  <si>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</si>
  <si>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</si>
  <si>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</si>
  <si>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</si>
  <si>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</si>
  <si>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</si>
  <si>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</si>
  <si>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</si>
  <si>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</si>
  <si>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</si>
  <si>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</si>
  <si>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</si>
  <si>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</si>
  <si>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</si>
  <si>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</si>
  <si>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</si>
  <si>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</si>
  <si>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</si>
  <si>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</si>
  <si>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</si>
  <si>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</si>
  <si>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</si>
  <si>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</si>
  <si>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</si>
  <si>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</si>
  <si>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</si>
  <si>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</si>
  <si>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</si>
  <si>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</si>
  <si>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</si>
  <si>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</si>
  <si>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</si>
  <si>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</si>
  <si>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</si>
  <si>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</si>
  <si>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</si>
  <si>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</si>
  <si>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</si>
  <si>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</si>
  <si>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</si>
  <si>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</si>
  <si>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</si>
  <si>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</si>
  <si>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</si>
  <si>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</si>
  <si>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</si>
  <si>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</si>
  <si>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</si>
  <si>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</si>
  <si>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</si>
  <si>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</si>
  <si>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</si>
  <si>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</si>
  <si>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</si>
  <si>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</si>
  <si>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</si>
  <si>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</si>
  <si>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</si>
  <si>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</si>
  <si>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</si>
  <si>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</si>
  <si>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</si>
  <si>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</si>
  <si>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</si>
  <si>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</si>
  <si>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</si>
  <si>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</si>
  <si>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</si>
  <si>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</si>
  <si>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</si>
  <si>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</si>
  <si>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</si>
  <si>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</si>
  <si>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</si>
  <si>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</si>
  <si>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</si>
  <si>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</si>
  <si>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</si>
  <si>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</si>
  <si>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</si>
  <si>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</si>
  <si>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</si>
  <si>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</si>
  <si>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</si>
  <si>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</si>
  <si>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</si>
  <si>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</si>
  <si>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</si>
  <si>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</si>
  <si>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</si>
  <si>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</si>
  <si>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</si>
  <si>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</si>
  <si>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</si>
  <si>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</si>
  <si>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</si>
  <si>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</si>
  <si>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</si>
  <si>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</si>
  <si>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</si>
  <si>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</si>
  <si>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</si>
  <si>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</si>
  <si>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</si>
  <si>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</si>
  <si>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</si>
  <si>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</si>
  <si>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</si>
  <si>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</si>
  <si>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</si>
  <si>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</si>
  <si>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</si>
  <si>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</si>
  <si>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</si>
  <si>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</si>
  <si>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</si>
  <si>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</si>
  <si>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</si>
  <si>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</si>
  <si>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</si>
  <si>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</si>
  <si>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</si>
  <si>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</si>
  <si>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</si>
  <si>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</si>
  <si>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</si>
  <si>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</si>
  <si>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</si>
  <si>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</si>
  <si>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</si>
  <si>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</si>
  <si>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</si>
  <si>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</si>
  <si>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</si>
  <si>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</si>
  <si>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</si>
  <si>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</si>
  <si>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</si>
  <si>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</si>
  <si>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</si>
  <si>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</si>
  <si>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</si>
  <si>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</si>
  <si>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</si>
  <si>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</si>
  <si>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</si>
  <si>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</si>
  <si>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</si>
  <si>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</si>
  <si>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</si>
  <si>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</si>
  <si>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</si>
  <si>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</si>
  <si>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</si>
  <si>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</si>
  <si>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</si>
  <si>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</si>
  <si>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</si>
  <si>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</si>
  <si>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</si>
  <si>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</si>
  <si>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</si>
  <si>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</si>
  <si>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</si>
  <si>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</si>
  <si>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</si>
  <si>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</si>
  <si>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</si>
  <si>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</si>
  <si>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</si>
  <si>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</si>
  <si>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</si>
  <si>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</si>
  <si>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</si>
  <si>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</si>
  <si>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</si>
  <si>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</si>
  <si>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</si>
  <si>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</si>
  <si>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</si>
  <si>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</si>
  <si>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</si>
  <si>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</si>
  <si>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</si>
  <si>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</si>
  <si>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</si>
  <si>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</si>
  <si>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</si>
  <si>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</si>
  <si>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</si>
  <si>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</si>
  <si>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</si>
  <si>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</si>
  <si>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</si>
  <si>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</si>
  <si>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</si>
  <si>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</si>
  <si>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</si>
  <si>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</si>
  <si>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</si>
  <si>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</si>
  <si>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</si>
  <si>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</si>
  <si>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</si>
  <si>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</si>
  <si>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</si>
  <si>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</si>
  <si>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</si>
  <si>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</si>
  <si>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</si>
  <si>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</si>
  <si>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</si>
  <si>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</si>
  <si>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</si>
  <si>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</si>
  <si>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</si>
  <si>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</si>
  <si>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</si>
  <si>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</si>
  <si>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</si>
  <si>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</si>
  <si>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</si>
  <si>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</si>
  <si>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</si>
  <si>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</si>
  <si>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</si>
  <si>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</si>
  <si>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</si>
  <si>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</si>
  <si>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</si>
  <si>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</si>
  <si>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</si>
  <si>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</si>
  <si>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</si>
  <si>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</si>
  <si>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</si>
  <si>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</si>
  <si>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</si>
  <si>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</si>
  <si>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</si>
  <si>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</si>
  <si>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</si>
  <si>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</si>
  <si>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</si>
  <si>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</si>
  <si>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</si>
  <si>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</si>
  <si>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</si>
  <si>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</si>
  <si>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</si>
  <si>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</si>
  <si>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</si>
  <si>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</si>
  <si>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</si>
  <si>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</si>
  <si>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</si>
  <si>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</si>
  <si>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</si>
  <si>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</si>
  <si>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</si>
  <si>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</si>
  <si>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</si>
  <si>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</si>
  <si>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</si>
  <si>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</si>
  <si>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</si>
  <si>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</si>
  <si>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</si>
  <si>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</si>
  <si>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</si>
  <si>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</si>
  <si>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</si>
  <si>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</si>
  <si>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</si>
  <si>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</si>
  <si>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</si>
  <si>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</si>
  <si>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</si>
  <si>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</si>
  <si>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</si>
  <si>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</si>
  <si>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</si>
  <si>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</si>
  <si>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</si>
  <si>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</si>
  <si>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</si>
  <si>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</si>
  <si>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</si>
  <si>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</si>
  <si>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</si>
  <si>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</si>
  <si>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</si>
  <si>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</si>
  <si>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</si>
  <si>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</si>
  <si>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</si>
  <si>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</si>
  <si>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</si>
  <si>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</si>
  <si>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</si>
  <si>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</si>
  <si>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</si>
  <si>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</si>
  <si>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</si>
  <si>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</si>
  <si>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</si>
  <si>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</si>
  <si>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</si>
  <si>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</si>
  <si>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</si>
  <si>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</si>
  <si>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</si>
  <si>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</si>
  <si>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</si>
  <si>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</si>
  <si>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</si>
  <si>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</si>
  <si>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</si>
  <si>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</si>
  <si>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</si>
  <si>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</si>
  <si>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</si>
  <si>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</si>
  <si>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</si>
  <si>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</si>
  <si>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</si>
  <si>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</si>
  <si>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</si>
  <si>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</si>
  <si>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</si>
  <si>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</si>
  <si>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</si>
  <si>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</si>
  <si>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</si>
  <si>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</si>
  <si>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</si>
  <si>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</si>
  <si>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</si>
  <si>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</si>
  <si>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</si>
  <si>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</si>
  <si>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</si>
  <si>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</si>
  <si>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</si>
  <si>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</si>
  <si>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</si>
  <si>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</si>
  <si>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</si>
  <si>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</si>
  <si>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</si>
  <si>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</si>
  <si>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</si>
  <si>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</si>
  <si>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</si>
  <si>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</si>
  <si>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</si>
  <si>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</si>
  <si>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</si>
  <si>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</si>
  <si>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</si>
  <si>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</si>
  <si>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</si>
  <si>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</si>
  <si>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</si>
  <si>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</si>
  <si>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</si>
  <si>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</si>
  <si>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</si>
  <si>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</si>
  <si>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</si>
  <si>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</si>
  <si>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</si>
  <si>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</si>
  <si>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</si>
  <si>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</si>
  <si>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</si>
  <si>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</si>
  <si>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</si>
  <si>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</si>
  <si>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</si>
  <si>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</si>
  <si>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</si>
  <si>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</si>
  <si>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</si>
  <si>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</si>
  <si>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</si>
  <si>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</si>
  <si>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</si>
  <si>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</si>
  <si>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</si>
  <si>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</si>
  <si>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</si>
  <si>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</si>
  <si>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</si>
  <si>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</si>
  <si>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</si>
  <si>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</si>
  <si>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</si>
  <si>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</si>
  <si>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</si>
  <si>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</si>
  <si>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</si>
  <si>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</si>
  <si>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</si>
  <si>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</si>
  <si>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</si>
  <si>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</si>
  <si>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</si>
  <si>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</si>
  <si>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</si>
  <si>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</si>
  <si>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</si>
  <si>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</si>
  <si>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</si>
  <si>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</si>
  <si>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</si>
  <si>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</si>
  <si>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</si>
  <si>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</si>
  <si>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</si>
  <si>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</si>
  <si>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</si>
  <si>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</si>
  <si>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</si>
  <si>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</si>
  <si>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</si>
  <si>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Coverage%</t>
  </si>
  <si>
    <t>Total population</t>
  </si>
  <si>
    <t>Total</t>
  </si>
  <si>
    <t>Kachin 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</si>
  <si>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</si>
  <si>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</si>
  <si>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</si>
  <si>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</si>
  <si>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</si>
  <si>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</si>
  <si>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</si>
  <si>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</si>
  <si>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</si>
  <si>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</si>
  <si>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</si>
  <si>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</si>
  <si>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</si>
  <si>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</si>
  <si>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</si>
  <si>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</si>
  <si>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</si>
  <si>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</si>
  <si>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</si>
  <si>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</si>
  <si>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</si>
  <si>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</si>
  <si>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</si>
  <si>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</si>
  <si>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</si>
  <si>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</si>
  <si>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</si>
  <si>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</si>
  <si>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</si>
  <si>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</si>
  <si>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KBC, Metta</t>
  </si>
  <si>
    <t># latrines (target)</t>
  </si>
  <si>
    <t># latrines desludged</t>
  </si>
  <si>
    <t># in GCA (20:1)</t>
  </si>
  <si>
    <t># in NGCA (20:1)</t>
  </si>
  <si>
    <t>HRP target</t>
  </si>
  <si>
    <t>No Test</t>
  </si>
  <si>
    <t>Tested</t>
  </si>
  <si>
    <t>HHs</t>
  </si>
  <si>
    <t>Pops</t>
  </si>
  <si>
    <t>% WATER GAP</t>
  </si>
  <si>
    <t>% LATRINE GAP</t>
  </si>
  <si>
    <t>% HYGIENE GAP</t>
  </si>
  <si>
    <t>WinE</t>
  </si>
  <si>
    <t xml:space="preserve"> # of hand washing stations for TLS</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</si>
  <si>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</si>
  <si>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</si>
  <si>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</si>
  <si>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</si>
  <si>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</si>
  <si>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</si>
  <si>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</si>
  <si>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</si>
  <si>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</si>
  <si>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</si>
  <si>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</si>
  <si>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</si>
  <si>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</si>
  <si>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</si>
  <si>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</si>
  <si>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</si>
  <si>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</si>
  <si>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</si>
  <si>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</si>
  <si>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</si>
  <si>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</si>
  <si>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</si>
  <si>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</si>
  <si>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</si>
  <si>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</si>
  <si>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</si>
  <si>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</si>
  <si>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</si>
  <si>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</si>
  <si>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</si>
  <si>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</si>
  <si>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</si>
  <si>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</si>
  <si>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</si>
  <si>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</si>
  <si>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</si>
  <si>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</si>
  <si>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</si>
  <si>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</si>
  <si>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</si>
  <si>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</si>
  <si>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</si>
  <si>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</si>
  <si>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</si>
  <si>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</si>
  <si>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</si>
  <si>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</si>
  <si>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</si>
  <si>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</si>
  <si>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</si>
  <si>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</si>
  <si>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</si>
  <si>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</si>
  <si>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</si>
  <si>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</si>
  <si>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</si>
  <si>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</si>
  <si>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</si>
  <si>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</si>
  <si>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</si>
  <si>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</si>
  <si>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</si>
  <si>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</si>
  <si>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</si>
  <si>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</si>
  <si>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</si>
  <si>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</si>
  <si>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</si>
  <si>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</si>
  <si>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</si>
  <si>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</si>
  <si>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</si>
  <si>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</si>
  <si>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</si>
  <si>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</si>
  <si>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</si>
  <si>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</si>
  <si>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</si>
  <si>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</si>
  <si>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</si>
  <si>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</si>
  <si>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</si>
  <si>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</si>
  <si>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</si>
  <si>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</si>
  <si>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</si>
  <si>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</si>
  <si>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</si>
  <si>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</si>
  <si>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</si>
  <si>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</si>
  <si>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</si>
  <si>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</si>
  <si>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</si>
  <si>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</si>
  <si>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</si>
  <si>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</si>
  <si>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</si>
  <si>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</si>
  <si>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</si>
  <si>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</si>
  <si>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</si>
  <si>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</si>
  <si>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</si>
  <si>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</si>
  <si>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</si>
  <si>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</si>
  <si>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</si>
  <si>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</si>
  <si>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</si>
  <si>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</si>
  <si>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</si>
  <si>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</si>
  <si>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</si>
  <si>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</si>
  <si>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</si>
  <si>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</si>
  <si>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</si>
  <si>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</si>
  <si>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</si>
  <si>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</si>
  <si>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</si>
  <si>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</si>
  <si>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</si>
  <si>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</si>
  <si>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</si>
  <si>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</si>
  <si>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</si>
  <si>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</si>
  <si>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</si>
  <si>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</si>
  <si>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</si>
  <si>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</si>
  <si>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</si>
  <si>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</si>
  <si>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</si>
  <si>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</si>
  <si>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</si>
  <si>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</si>
  <si>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</si>
  <si>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</si>
  <si>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</si>
  <si>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</si>
  <si>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</si>
  <si>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</si>
  <si>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</si>
  <si>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</si>
  <si>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</si>
  <si>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</si>
  <si>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</si>
  <si>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</si>
  <si>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</si>
  <si>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</si>
  <si>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</si>
  <si>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</si>
  <si>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</si>
  <si>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</si>
  <si>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</si>
  <si>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</si>
  <si>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</si>
  <si>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</si>
  <si>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</si>
  <si>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</si>
  <si>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</si>
  <si>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</si>
  <si>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</si>
  <si>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</si>
  <si>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</si>
  <si>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</si>
  <si>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</si>
  <si>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</si>
  <si>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</si>
  <si>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</si>
  <si>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</si>
  <si>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</si>
  <si>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</si>
  <si>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</si>
  <si>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</si>
  <si>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</si>
  <si>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</si>
  <si>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</si>
  <si>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</si>
  <si>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</si>
  <si>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</si>
  <si>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</si>
  <si>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</si>
  <si>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</si>
  <si>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t>
  </si>
  <si>
    <t>KBC, KMSS, Metta, Shalom</t>
  </si>
  <si>
    <t>Malteser, MHDO</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</si>
  <si>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</si>
  <si>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</si>
  <si>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</si>
  <si>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</si>
  <si>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</si>
  <si>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</si>
  <si>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</si>
  <si>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</si>
  <si>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</si>
  <si>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</si>
  <si>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</si>
  <si>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</si>
  <si>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</si>
  <si>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</si>
  <si>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</si>
  <si>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</si>
  <si>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</si>
  <si>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</si>
  <si>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</si>
  <si>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</si>
  <si>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</si>
  <si>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</si>
  <si>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</si>
  <si>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</si>
  <si>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</si>
  <si>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</si>
  <si>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</si>
  <si>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</si>
  <si>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</si>
  <si>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</si>
  <si>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</si>
  <si>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</si>
  <si>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</si>
  <si>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</si>
  <si>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</si>
  <si>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</si>
  <si>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</si>
  <si>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</si>
  <si>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</si>
  <si>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</si>
  <si>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</si>
  <si>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</si>
  <si>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</si>
  <si>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</si>
  <si>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</si>
  <si>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</si>
  <si>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</si>
  <si>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</si>
  <si>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</si>
  <si>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</si>
  <si>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</si>
  <si>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</si>
  <si>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</si>
  <si>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</si>
  <si>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</si>
  <si>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</si>
  <si>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</si>
  <si>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</si>
  <si>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</si>
  <si>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</si>
  <si>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</si>
  <si>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</si>
  <si>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</si>
  <si>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</si>
  <si>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</si>
  <si>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</si>
  <si>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</si>
  <si>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</si>
  <si>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</si>
  <si>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</si>
  <si>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</si>
  <si>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</si>
  <si>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</si>
  <si>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</si>
  <si>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</si>
  <si>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</si>
  <si>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</si>
  <si>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</si>
  <si>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</si>
  <si>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</si>
  <si>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</si>
  <si>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</si>
  <si>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</si>
  <si>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</si>
  <si>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</si>
  <si>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</si>
  <si>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</si>
  <si>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</si>
  <si>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</si>
  <si>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</si>
  <si>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</si>
  <si>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</si>
  <si>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</si>
  <si>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</si>
  <si>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</si>
  <si>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</si>
  <si>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</si>
  <si>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</si>
  <si>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</si>
  <si>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</si>
  <si>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</si>
  <si>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</si>
  <si>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</si>
  <si>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</si>
  <si>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</si>
  <si>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</si>
  <si>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</si>
  <si>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</si>
  <si>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</si>
  <si>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</si>
  <si>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2018_Q3</t>
  </si>
  <si>
    <t>2018_Q4</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</si>
  <si>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</si>
  <si>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</si>
  <si>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</si>
  <si>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</si>
  <si>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</si>
  <si>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</si>
  <si>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</si>
  <si>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</si>
  <si>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</si>
  <si>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</si>
  <si>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</si>
  <si>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</si>
  <si>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</si>
  <si>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</si>
  <si>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</si>
  <si>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</si>
  <si>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</si>
  <si>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</si>
  <si>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</si>
  <si>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</si>
  <si>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</si>
  <si>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</si>
  <si>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</si>
  <si>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</si>
  <si>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</si>
  <si>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</si>
  <si>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</si>
  <si>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</si>
  <si>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</si>
  <si>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</si>
  <si>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</si>
  <si>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</si>
  <si>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</si>
  <si>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</si>
  <si>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</si>
  <si>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</si>
  <si>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</si>
  <si>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</si>
  <si>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</si>
  <si>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</si>
  <si>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</si>
  <si>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</si>
  <si>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</si>
  <si>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</si>
  <si>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</si>
  <si>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</si>
  <si>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</si>
  <si>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</si>
  <si>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</si>
  <si>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</si>
  <si>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</si>
  <si>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</si>
  <si>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</si>
  <si>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</si>
  <si>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</si>
  <si>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</si>
  <si>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</si>
  <si>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</si>
  <si>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</si>
  <si>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</si>
  <si>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</si>
  <si>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</si>
  <si>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</si>
  <si>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</si>
  <si>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</si>
  <si>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</si>
  <si>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</si>
  <si>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</si>
  <si>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</si>
  <si>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</si>
  <si>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</si>
  <si>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</si>
  <si>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</si>
  <si>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</si>
  <si>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</si>
  <si>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</si>
  <si>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</si>
  <si>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</si>
  <si>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</si>
  <si>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</si>
  <si>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</si>
  <si>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</si>
  <si>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</si>
  <si>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</si>
  <si>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</si>
  <si>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</si>
  <si>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</si>
  <si>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</si>
  <si>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</si>
  <si>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</si>
  <si>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</si>
  <si>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</si>
  <si>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</si>
  <si>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</si>
  <si>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</si>
  <si>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</si>
  <si>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</si>
  <si>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</si>
  <si>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</si>
  <si>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</si>
  <si>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</si>
  <si>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</si>
  <si>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</si>
  <si>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</si>
  <si>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</si>
  <si>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</si>
  <si>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</si>
  <si>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</si>
  <si>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</si>
  <si>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</si>
  <si>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</si>
  <si>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</si>
  <si>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</si>
  <si>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</si>
  <si>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</si>
  <si>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</si>
  <si>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</si>
  <si>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</si>
  <si>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</si>
  <si>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</si>
  <si>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</si>
  <si>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</si>
  <si>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</si>
  <si>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</si>
  <si>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</si>
  <si>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</si>
  <si>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</si>
  <si>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</si>
  <si>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</si>
  <si>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</si>
  <si>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</si>
  <si>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</si>
  <si>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</si>
  <si>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</si>
  <si>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</si>
  <si>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</si>
  <si>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</si>
  <si>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</si>
  <si>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t>2019 HRP Calculation</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</si>
  <si>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</si>
  <si>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</si>
  <si>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</si>
  <si>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</si>
  <si>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</si>
  <si>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</si>
  <si>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</si>
  <si>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</si>
  <si>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</si>
  <si>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</si>
  <si>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</si>
  <si>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</si>
  <si>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</si>
  <si>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</si>
  <si>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</si>
  <si>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</si>
  <si>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</si>
  <si>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</si>
  <si>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</si>
  <si>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</si>
  <si>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</si>
  <si>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</si>
  <si>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</si>
  <si>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</si>
  <si>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</si>
  <si>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</si>
  <si>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</si>
  <si>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</si>
  <si>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</si>
  <si>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</si>
  <si>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</si>
  <si>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2019_Q1</t>
  </si>
  <si>
    <t>2019_Q2</t>
  </si>
  <si>
    <t>2019_Q3</t>
  </si>
  <si>
    <t>2019_Q4</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</si>
  <si>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</si>
  <si>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</si>
  <si>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</si>
  <si>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</si>
  <si>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</si>
  <si>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</si>
  <si>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</si>
  <si>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</si>
  <si>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</si>
  <si>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</si>
  <si>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</si>
  <si>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</si>
  <si>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</si>
  <si>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</si>
  <si>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</si>
  <si>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</si>
  <si>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</si>
  <si>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</si>
  <si>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</si>
  <si>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</si>
  <si>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</si>
  <si>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</si>
  <si>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</si>
  <si>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</si>
  <si>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</si>
  <si>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</si>
  <si>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</si>
  <si>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</si>
  <si>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</si>
  <si>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</si>
  <si>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</si>
  <si>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</si>
  <si>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</si>
  <si>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</si>
  <si>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</si>
  <si>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</si>
  <si>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</si>
  <si>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</si>
  <si>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</si>
  <si>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</si>
  <si>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</si>
  <si>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</si>
  <si>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</si>
  <si>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</si>
  <si>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</si>
  <si>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</si>
  <si>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</si>
  <si>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</si>
  <si>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</si>
  <si>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</si>
  <si>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</si>
  <si>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</si>
  <si>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</si>
  <si>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</si>
  <si>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</si>
  <si>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</si>
  <si>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</si>
  <si>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</si>
  <si>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</si>
  <si>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</si>
  <si>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</si>
  <si>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</si>
  <si>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</si>
  <si>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</si>
  <si>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</si>
  <si>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</si>
  <si>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</si>
  <si>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</si>
  <si>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</si>
  <si>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</si>
  <si>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</si>
  <si>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</si>
  <si>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</si>
  <si>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</si>
  <si>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</si>
  <si>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</si>
  <si>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</si>
  <si>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</si>
  <si>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</si>
  <si>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</si>
  <si>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</si>
  <si>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</si>
  <si>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</si>
  <si>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</si>
  <si>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hand washing stations at TLS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</si>
  <si>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</si>
  <si>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</si>
  <si>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</si>
  <si>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</si>
  <si>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</si>
  <si>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</si>
  <si>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</si>
  <si>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</si>
  <si>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</si>
  <si>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</si>
  <si>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</si>
  <si>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</si>
  <si>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</si>
  <si>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</si>
  <si>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</si>
  <si>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</si>
  <si>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</si>
  <si>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</si>
  <si>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</si>
  <si>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</si>
  <si>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</si>
  <si>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</si>
  <si>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</si>
  <si>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</si>
  <si>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</si>
  <si>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</si>
  <si>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</si>
  <si>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</si>
  <si>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</si>
  <si>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</si>
  <si>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</si>
  <si>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</si>
  <si>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</si>
  <si>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</si>
  <si>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</si>
  <si>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</si>
  <si>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</si>
  <si>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</si>
  <si>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</si>
  <si>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</si>
  <si>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</si>
  <si>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</si>
  <si>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</si>
  <si>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</si>
  <si>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</si>
  <si>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</si>
  <si>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</si>
  <si>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</si>
  <si>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</si>
  <si>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</si>
  <si>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</si>
  <si>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</si>
  <si>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</si>
  <si>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</si>
  <si>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</si>
  <si>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</si>
  <si>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</si>
  <si>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</si>
  <si>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</si>
  <si>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</si>
  <si>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</si>
  <si>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</si>
  <si>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</si>
  <si>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</si>
  <si>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</si>
  <si>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</si>
  <si>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</si>
  <si>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</si>
  <si>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</si>
  <si>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</si>
  <si>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</si>
  <si>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</si>
  <si>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</si>
  <si>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</si>
  <si>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</si>
  <si>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</si>
  <si>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</si>
  <si>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</si>
  <si>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</si>
  <si>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</si>
  <si>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</si>
  <si>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</si>
  <si>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</si>
  <si>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</si>
  <si>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</si>
  <si>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</si>
  <si>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</si>
  <si>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</si>
  <si>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</si>
  <si>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</si>
  <si>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</si>
  <si>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</si>
  <si>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</si>
  <si>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</si>
  <si>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</si>
  <si>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</si>
  <si>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</si>
  <si>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</si>
  <si>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</si>
  <si>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</si>
  <si>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</si>
  <si>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</si>
  <si>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</si>
  <si>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</si>
  <si>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</si>
  <si>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</si>
  <si>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</si>
  <si>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</si>
  <si>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</si>
  <si>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</si>
  <si>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</si>
  <si>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</si>
  <si>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</si>
  <si>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</si>
  <si>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</si>
  <si>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</si>
  <si>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</si>
  <si>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</si>
  <si>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</si>
  <si>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</si>
  <si>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</si>
  <si>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</si>
  <si>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</si>
  <si>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</si>
  <si>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</si>
  <si>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</si>
  <si>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</si>
  <si>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</si>
  <si>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</si>
  <si>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</si>
  <si>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</si>
  <si>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</si>
  <si>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</si>
  <si>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</si>
  <si>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</si>
  <si>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</si>
  <si>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</si>
  <si>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</si>
  <si>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</si>
  <si>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</si>
  <si>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</si>
  <si>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</si>
  <si>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</si>
  <si>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</si>
  <si>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</si>
  <si>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</si>
  <si>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</si>
  <si>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</si>
  <si>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</si>
  <si>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</si>
  <si>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</si>
  <si>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</si>
  <si>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</si>
  <si>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</si>
  <si>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</si>
  <si>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</si>
  <si>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</si>
  <si>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</si>
  <si>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</si>
  <si>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</si>
  <si>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</si>
  <si>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</si>
  <si>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</si>
  <si>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</si>
  <si>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</si>
  <si>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</si>
  <si>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</si>
  <si>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</si>
  <si>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</si>
  <si>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</si>
  <si>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</si>
  <si>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</si>
  <si>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</si>
  <si>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</si>
  <si>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</si>
  <si>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</si>
  <si>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</si>
  <si>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</si>
  <si>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</si>
  <si>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</si>
  <si>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</si>
  <si>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</si>
  <si>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</si>
  <si>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</si>
  <si>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</si>
  <si>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</si>
  <si>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</si>
  <si>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</si>
  <si>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</si>
  <si>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</si>
  <si>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</si>
  <si>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</si>
  <si>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</si>
  <si>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</si>
  <si>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</si>
  <si>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</si>
  <si>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</si>
  <si>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</si>
  <si>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</si>
  <si>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</si>
  <si>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</si>
  <si>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</si>
  <si>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</si>
  <si>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</si>
  <si>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</si>
  <si>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</si>
  <si>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</si>
  <si>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</si>
  <si>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</si>
  <si>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</si>
  <si>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</si>
  <si>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</si>
  <si>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</si>
  <si>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</si>
  <si>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</si>
  <si>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</si>
  <si>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</si>
  <si>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</si>
  <si>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</si>
  <si>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</si>
  <si>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</si>
  <si>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</si>
  <si>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</si>
  <si>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</si>
  <si>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</si>
  <si>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</si>
  <si>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</si>
  <si>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</si>
  <si>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</si>
  <si>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</si>
  <si>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</si>
  <si>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</si>
  <si>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</si>
  <si>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</si>
  <si>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</si>
  <si>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</si>
  <si>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</si>
  <si>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</si>
  <si>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</si>
  <si>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</si>
  <si>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</si>
  <si>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</si>
  <si>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</si>
  <si>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</si>
  <si>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</si>
  <si>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</si>
  <si>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</si>
  <si>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</si>
  <si>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</si>
  <si>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</si>
  <si>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</si>
  <si>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</si>
  <si>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</si>
  <si>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</si>
  <si>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</si>
  <si>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</si>
  <si>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</si>
  <si>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</si>
  <si>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</si>
  <si>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</si>
  <si>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</si>
  <si>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</si>
  <si>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</si>
  <si>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</si>
  <si>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</si>
  <si>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</si>
  <si>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</si>
  <si>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</si>
  <si>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</si>
  <si>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</si>
  <si>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</si>
  <si>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</si>
  <si>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</si>
  <si>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</si>
  <si>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</si>
  <si>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</si>
  <si>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</si>
  <si>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</si>
  <si>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</si>
  <si>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</si>
  <si>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WHH-AA / USAID</t>
  </si>
  <si>
    <t>31-3-2019</t>
  </si>
  <si>
    <t>Shan (North) Total</t>
  </si>
  <si>
    <t>Boe Taw monastery</t>
  </si>
  <si>
    <t>Man Li</t>
  </si>
  <si>
    <t>Sasana 2500 monastery</t>
  </si>
  <si>
    <t>Baw Du Pha Village (IDP in host families)</t>
  </si>
  <si>
    <t>OXSI (OXFAM)</t>
  </si>
  <si>
    <t>IDP only</t>
  </si>
  <si>
    <t>Northern Rakhine</t>
  </si>
  <si>
    <t>Central Rakhine</t>
  </si>
  <si>
    <t xml:space="preserve"> # People received regular supply of hygiene items</t>
  </si>
  <si>
    <t># People access to Handwashing Station</t>
  </si>
  <si>
    <t xml:space="preserve"> # People access to Handwashing Station</t>
  </si>
  <si>
    <t>Targeted population provided with sanitation or hygiene kits or key hygiene items</t>
  </si>
  <si>
    <t xml:space="preserve"> # people reached by regular dedicated hygiene promotion</t>
  </si>
  <si>
    <t>GCA (500:1)</t>
  </si>
  <si>
    <t>NGCA (500:1)</t>
  </si>
  <si>
    <t>Temporary location_Town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</si>
  <si>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</si>
  <si>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</si>
  <si>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</si>
  <si>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</si>
  <si>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</si>
  <si>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</si>
  <si>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</si>
  <si>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</si>
  <si>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</si>
  <si>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</si>
  <si>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</si>
  <si>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</si>
  <si>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</si>
  <si>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</si>
  <si>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</si>
  <si>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</si>
  <si>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</si>
  <si>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</si>
  <si>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</si>
  <si>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</si>
  <si>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</si>
  <si>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</si>
  <si>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</si>
  <si>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</si>
  <si>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</si>
  <si>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#_Constructed/Existing hand washing stations at TLS</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</si>
  <si>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</si>
  <si>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</si>
  <si>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</si>
  <si>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</si>
  <si>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</si>
  <si>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</si>
  <si>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</si>
  <si>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</si>
  <si>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</si>
  <si>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</si>
  <si>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</si>
  <si>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</si>
  <si>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</si>
  <si>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</si>
  <si>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</si>
  <si>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</si>
  <si>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</si>
  <si>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</si>
  <si>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</si>
  <si>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</si>
  <si>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</si>
  <si>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</si>
  <si>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</si>
  <si>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</si>
  <si>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</si>
  <si>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</si>
  <si>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</si>
  <si>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</si>
  <si>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</si>
  <si>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</si>
  <si>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</si>
  <si>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</si>
  <si>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</si>
  <si>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</si>
  <si>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</si>
  <si>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</si>
  <si>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</si>
  <si>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</si>
  <si>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</si>
  <si>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</si>
  <si>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</si>
  <si>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KBC, KMSS, Metta, WPN</t>
  </si>
  <si>
    <t>SCI, SI</t>
  </si>
  <si>
    <t>DRC,OXSI (SI),OXSI(Oxfam), MA_UK</t>
  </si>
  <si>
    <t>MHDO, Unicef</t>
  </si>
  <si>
    <t>GIZ, SCI, SI</t>
  </si>
  <si>
    <t>ACF, OXSI (Oxfam), OXSI (SI)</t>
  </si>
  <si>
    <t>MHDO, Unicef, WFP</t>
  </si>
  <si>
    <t># of People adopt basic personal and community hygiene practices</t>
  </si>
  <si>
    <t># of people access to functioning  sanitation facilities</t>
  </si>
  <si>
    <t># of people Equitable and continuous access to sufficient quantity of domestic water</t>
  </si>
  <si>
    <t>Sites with TLS</t>
  </si>
  <si>
    <t>Oxfam/ ICRC</t>
  </si>
  <si>
    <t>Chruch</t>
  </si>
  <si>
    <t>Shalom &amp; Chruch</t>
  </si>
  <si>
    <t>Unicef &amp; World vision</t>
  </si>
  <si>
    <t>remove from db, ipds moved to lawa rc church</t>
  </si>
  <si>
    <t>CCCM_2019Jan</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</si>
  <si>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</si>
  <si>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</si>
  <si>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</si>
  <si>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</si>
  <si>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</si>
  <si>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</si>
  <si>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</si>
  <si>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</si>
  <si>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</si>
  <si>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</si>
  <si>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</si>
  <si>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</si>
  <si>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</si>
  <si>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</si>
  <si>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</si>
  <si>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</si>
  <si>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</si>
  <si>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</si>
  <si>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</si>
  <si>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</si>
  <si>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</si>
  <si>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</si>
  <si>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</si>
  <si>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</si>
  <si>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</si>
  <si>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</si>
  <si>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</si>
  <si>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</si>
  <si>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</si>
  <si>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</si>
  <si>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</si>
  <si>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</si>
  <si>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</si>
  <si>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</si>
  <si>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</si>
  <si>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</si>
  <si>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</si>
  <si>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</si>
  <si>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</si>
  <si>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</si>
  <si>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</si>
  <si>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</si>
  <si>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</si>
  <si>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</si>
  <si>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</si>
  <si>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</si>
  <si>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</si>
  <si>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</si>
  <si>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</si>
  <si>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</si>
  <si>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</si>
  <si>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</si>
  <si>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</si>
  <si>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</si>
  <si>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</si>
  <si>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</si>
  <si>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</si>
  <si>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</si>
  <si>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</si>
  <si>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</si>
  <si>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</si>
  <si>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</si>
  <si>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</si>
  <si>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</si>
  <si>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</si>
  <si>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</si>
  <si>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</si>
  <si>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</si>
  <si>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</si>
  <si>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</si>
  <si>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</si>
  <si>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</si>
  <si>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</si>
  <si>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</si>
  <si>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</si>
  <si>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</si>
  <si>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</si>
  <si>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</si>
  <si>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</si>
  <si>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</si>
  <si>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</si>
  <si>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</si>
  <si>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</si>
  <si>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</si>
  <si>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</si>
  <si>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</si>
  <si>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</si>
  <si>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</si>
  <si>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</si>
  <si>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</si>
  <si>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</si>
  <si>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</si>
  <si>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</si>
  <si>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</si>
  <si>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</si>
  <si>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</si>
  <si>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</si>
  <si>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</si>
  <si>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</si>
  <si>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</si>
  <si>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</si>
  <si>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</si>
  <si>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</si>
  <si>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</si>
  <si>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</si>
  <si>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</si>
  <si>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</si>
  <si>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</si>
  <si>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</si>
  <si>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</si>
  <si>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</si>
  <si>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</si>
  <si>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</si>
  <si>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</si>
  <si>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</si>
  <si>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KMSS,Metta</t>
  </si>
  <si>
    <t xml:space="preserve">Htang Nya </t>
  </si>
  <si>
    <t>WHH-AA</t>
  </si>
  <si>
    <t>HPA</t>
  </si>
  <si>
    <t>Lian Bang village</t>
  </si>
  <si>
    <t>Lian He village</t>
  </si>
  <si>
    <t>Ci He village</t>
  </si>
  <si>
    <t>New Man Jiu village</t>
  </si>
  <si>
    <t>To be edited</t>
  </si>
  <si>
    <t>Site</t>
  </si>
  <si>
    <t>UNICEF, WHH (AA)</t>
  </si>
  <si>
    <t>1-Mar-2019 / 1-Dec-2018</t>
  </si>
  <si>
    <t>31-12-2020 / 30-Nov-2019</t>
  </si>
  <si>
    <t>1-Mar-2019 / 1-Dec-2019</t>
  </si>
  <si>
    <t>HARP,UNICEF</t>
  </si>
  <si>
    <t>KBC, KMSS, Metta, SI, WPN</t>
  </si>
  <si>
    <t>KMSS, Metta, SCI</t>
  </si>
  <si>
    <t>WATER_17. Water issues/challenges (Community Feedback)</t>
  </si>
  <si>
    <t>General_state</t>
  </si>
  <si>
    <t>Sanitation_23. Sanitation issues/challenges (Community Feedback)</t>
  </si>
  <si>
    <t>Hygiene_29. Hygiene Issues/Challenges (Community Feedback)</t>
  </si>
  <si>
    <t>HH
(Rakhine-CCCM as of 31st Jan 2019)
(Kachin/Shan-CCCM as of 31st July 2019)</t>
  </si>
  <si>
    <t>Pop
(Rakhine-CCCM as of 31st Jan 2019)
(Kachin/Shan-CCCM as of 31st July 2019)</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</si>
  <si>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</si>
  <si>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</si>
  <si>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</si>
  <si>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</si>
  <si>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</si>
  <si>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</si>
  <si>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</si>
  <si>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</si>
  <si>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</si>
  <si>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</si>
  <si>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</si>
  <si>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</si>
  <si>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</si>
  <si>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</si>
  <si>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</si>
  <si>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</si>
  <si>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</si>
  <si>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</si>
  <si>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</si>
  <si>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</si>
  <si>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</si>
  <si>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</si>
  <si>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</si>
  <si>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</si>
  <si>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</si>
  <si>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</si>
  <si>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</si>
  <si>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</si>
  <si>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</si>
  <si>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</si>
  <si>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</si>
  <si>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</si>
  <si>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</si>
  <si>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</si>
  <si>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 xml:space="preserve">WHH-AA </t>
  </si>
  <si>
    <t>Need to conduct hygiene promotion in schools &amp; boarding houses</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</si>
  <si>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</si>
  <si>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</si>
  <si>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</si>
  <si>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</si>
  <si>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</si>
  <si>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</si>
  <si>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</si>
  <si>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</si>
  <si>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</si>
  <si>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</si>
  <si>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</si>
  <si>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</si>
  <si>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</si>
  <si>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</si>
  <si>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</si>
  <si>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</si>
  <si>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</si>
  <si>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Column3</t>
  </si>
  <si>
    <t>Column4</t>
  </si>
  <si>
    <t>Column5</t>
  </si>
  <si>
    <t>Column6</t>
  </si>
  <si>
    <t>Column7</t>
  </si>
  <si>
    <t xml:space="preserve">KBC, Metta, SI </t>
  </si>
  <si>
    <t xml:space="preserve">KBC, KMSS, Shalom </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</si>
  <si>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</si>
  <si>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</si>
  <si>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</si>
  <si>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</si>
  <si>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</si>
  <si>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</si>
  <si>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</si>
  <si>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</si>
  <si>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</si>
  <si>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</si>
  <si>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</si>
  <si>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</si>
  <si>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</si>
  <si>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</si>
  <si>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</si>
  <si>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</si>
  <si>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</si>
  <si>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cccm_2019OCT</t>
  </si>
  <si>
    <t>Momauk IDP new extension camp (Kye Nan) Total</t>
  </si>
  <si>
    <t>Although Kutkai downtown (RC) church camp and Zup Aung camp differ namely, on the ground situation, they are in same compound and they use the same water source.</t>
  </si>
  <si>
    <t>Spring pipe line is usually maintained by camp because farmers along spring pipe line damaged it.</t>
  </si>
  <si>
    <t>Kyauk Taw</t>
  </si>
  <si>
    <t>Pann Ninn</t>
  </si>
  <si>
    <t>Kyaukme Damma Yone</t>
  </si>
  <si>
    <t>ICRC &amp; DVB</t>
  </si>
  <si>
    <t>Water points are facing contamination of flood water due to heavy rain</t>
  </si>
  <si>
    <t>Overall HRP reached</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</si>
  <si>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</si>
  <si>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</si>
  <si>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</si>
  <si>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</si>
  <si>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</si>
  <si>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</si>
  <si>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</si>
  <si>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</si>
  <si>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</si>
  <si>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xml:space="preserve">KBC  </t>
  </si>
  <si>
    <t>% of affected people surveyed who report feeling informed about the different WASH services available to them</t>
  </si>
  <si>
    <t>Kachin-NGCA 100%</t>
  </si>
  <si>
    <t>Soap</t>
  </si>
  <si>
    <t>Sanitary pad</t>
  </si>
  <si>
    <t>Closed_cccm_2019May</t>
  </si>
  <si>
    <t>Closed</t>
  </si>
  <si>
    <t>Kachin-GCA 25%</t>
  </si>
  <si>
    <t>Gap in active villages / township</t>
  </si>
  <si>
    <t># of TLS/CFS/THF with functional water points or water provision supported by WASH partners during the reporting period</t>
  </si>
  <si>
    <t>The number of child friendly/temporary learning spaces/temporary health facilities with a functional and improve water point on the premises.
Functional: Is able to provide safe water when needed
Improved: A source that by nature of its design and construction has the potential to deliver safe wate (see: https://www.who.int/water_sanitation_health/monitoring/oms_brochure_core_questionsfinal24608.pdf)</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</si>
  <si>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</si>
  <si>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</si>
  <si>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</si>
  <si>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</si>
  <si>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</si>
  <si>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</si>
  <si>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</si>
  <si>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</si>
  <si>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</si>
  <si>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</si>
  <si>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</si>
  <si>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</si>
  <si>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</si>
  <si>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</si>
  <si>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</si>
  <si>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</si>
  <si>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</si>
  <si>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</si>
  <si>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</si>
  <si>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</si>
  <si>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</si>
  <si>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</si>
  <si>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</si>
  <si>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</si>
  <si>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#_of water points in TLS/CFS /THF</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</si>
  <si>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</si>
  <si>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</si>
  <si>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</si>
  <si>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</si>
  <si>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</si>
  <si>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</si>
  <si>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</si>
  <si>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</si>
  <si>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</si>
  <si>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</si>
  <si>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</si>
  <si>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</si>
  <si>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</si>
  <si>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</si>
  <si>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</si>
  <si>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</si>
  <si>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</si>
  <si>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</si>
  <si>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</si>
  <si>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</si>
  <si>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</si>
  <si>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</si>
  <si>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</si>
  <si>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</si>
  <si>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</si>
  <si>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</si>
  <si>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</si>
  <si>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</si>
  <si>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</si>
  <si>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</si>
  <si>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</si>
  <si>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</si>
  <si>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</si>
  <si>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</si>
  <si>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</si>
  <si>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</si>
  <si>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</si>
  <si>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</si>
  <si>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</si>
  <si>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</si>
  <si>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</si>
  <si>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</si>
  <si>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</si>
  <si>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</si>
  <si>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 xml:space="preserve">HRP 2020 Indicators </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</si>
  <si>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</si>
  <si>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</si>
  <si>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</si>
  <si>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V40, 54, 55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</si>
  <si>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</si>
  <si>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</si>
  <si>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</si>
  <si>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</si>
  <si>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</si>
  <si>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</si>
  <si>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</si>
  <si>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</si>
  <si>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</si>
  <si>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</si>
  <si>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</si>
  <si>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</si>
  <si>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</si>
  <si>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People access to functioning latrines in THF_HRP5</t>
  </si>
  <si>
    <t># People access to functional water points or water provision supported by WASH partners in TLS/CFS/THF_HRP5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</si>
  <si>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</si>
  <si>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</si>
  <si>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</si>
  <si>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</si>
  <si>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</si>
  <si>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</si>
  <si>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</si>
  <si>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2020_Q1</t>
  </si>
  <si>
    <t>2020_Q2</t>
  </si>
  <si>
    <t>2020_Q3</t>
  </si>
  <si>
    <t>2020_Q4</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</si>
  <si>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</si>
  <si>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</si>
  <si>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</si>
  <si>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</si>
  <si>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</si>
  <si>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</si>
  <si>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</si>
  <si>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</si>
  <si>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 xml:space="preserve"># Constructed latrines (cluster semi-permanent design for protracted sites; cluster emergency design for new displacement sites) by WASH agency
# Constructed latrines by Non-Cluster partner 
# Constructed/Existing child friendly latrines
# Constructed/Existing disabled &amp; elderly friendly latrines 
# of persons with disabilities with adapted sanitation option </t>
  </si>
  <si>
    <t>V42, 43, 52, 53, 56</t>
  </si>
  <si>
    <t>MHF, OFDA</t>
  </si>
  <si>
    <t>Gaps in drainage</t>
  </si>
  <si>
    <t>PLAN(GFFO),MHF13490</t>
  </si>
  <si>
    <t>5-1-2019,10-1-2019</t>
  </si>
  <si>
    <t>9-30-2020,7-31-2020</t>
  </si>
  <si>
    <t>MHF13490</t>
  </si>
  <si>
    <t>31-7-2020</t>
  </si>
  <si>
    <t>31-12-2020,30-Nov-2019</t>
  </si>
  <si>
    <t>1-Mar-2019,1-Dec-2018</t>
  </si>
  <si>
    <t xml:space="preserve">  # People access to functional water points or water provision supported by WASH partners in TLS/CFS/THF_HRP5</t>
  </si>
  <si>
    <t xml:space="preserve"> # students access to functioning school latrines_HRP5</t>
  </si>
  <si>
    <t xml:space="preserve"> # People access to functioning latrines in THF_HRP5</t>
  </si>
  <si>
    <t># People access to functioning latrines in TLS/CFS/THF_HRP5</t>
  </si>
  <si>
    <t>Number of people with equitable access to functioning latrines in TLS/CFS/THF</t>
  </si>
  <si>
    <t>1/Feb/2019,1/Oct/18</t>
  </si>
  <si>
    <t>30/Apr/2020, 30/Sept/2020</t>
  </si>
  <si>
    <t>UNICEF, WHH(AA)</t>
  </si>
  <si>
    <t>(UNICEF, WHH (AA)),HARP</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</si>
  <si>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</si>
  <si>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</si>
  <si>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</si>
  <si>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</si>
  <si>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</si>
  <si>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</si>
  <si>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</si>
  <si>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#_of water points in TLS/CFS /THF</t>
  </si>
  <si>
    <t>Sum of # of functional latrines in TLS/CFS supported by WASH partners during the reporting period</t>
  </si>
  <si>
    <t># Water points in TLS/CFS/THF</t>
  </si>
  <si>
    <t xml:space="preserve"> # of latrines in TLS/CFS </t>
  </si>
  <si>
    <t>Sum of # of functional latrines in THF supported by WASH partners during the reporting period2</t>
  </si>
  <si>
    <t xml:space="preserve">Sum of Total PoP </t>
  </si>
  <si>
    <t>Kachin-GCA</t>
  </si>
  <si>
    <t>Kachin-NGCA</t>
  </si>
  <si>
    <t>Target  HH</t>
  </si>
  <si>
    <t>Target women and girls</t>
  </si>
  <si>
    <t>GCA (25% of HH)</t>
  </si>
  <si>
    <t>NGCA (100% HH)</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</si>
  <si>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</si>
  <si>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</si>
  <si>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</si>
  <si>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</si>
  <si>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</si>
  <si>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</si>
  <si>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</si>
  <si>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</si>
  <si>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</si>
  <si>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</si>
  <si>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</si>
  <si>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</si>
  <si>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</si>
  <si>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</si>
  <si>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</si>
  <si>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</si>
  <si>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</si>
  <si>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</si>
  <si>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</si>
  <si>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</si>
  <si>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</si>
  <si>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</si>
  <si>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</si>
  <si>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</si>
  <si>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</si>
  <si>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</si>
  <si>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</si>
  <si>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</si>
  <si>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</si>
  <si>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</si>
  <si>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</si>
  <si>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</si>
  <si>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</si>
  <si>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</si>
  <si>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</si>
  <si>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</si>
  <si>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</si>
  <si>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</si>
  <si>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</si>
  <si>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</si>
  <si>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</si>
  <si>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</si>
  <si>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</si>
  <si>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</si>
  <si>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</si>
  <si>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</si>
  <si>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</si>
  <si>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</si>
  <si>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</si>
  <si>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</si>
  <si>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</si>
  <si>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</si>
  <si>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UNICEF, MHF, WHH(AA)</t>
  </si>
  <si>
    <t>(UNICEF, MHF, WHH (AA)),HARP</t>
  </si>
  <si>
    <t>WHH-AA, USAID, MHF</t>
  </si>
  <si>
    <t>WHH-AA, USAID</t>
  </si>
  <si>
    <t>WHH-AA,USAID, MHF</t>
  </si>
  <si>
    <t>#HH received standard amount of soap</t>
  </si>
  <si>
    <t>MHF, OFDA,ECHO</t>
  </si>
  <si>
    <t xml:space="preserve">Gaps in drainage/ Infrastructure rehabiliation </t>
  </si>
  <si>
    <t>HARP/UNICEF</t>
  </si>
  <si>
    <t>KBC,HPA</t>
  </si>
  <si>
    <t>WPN,HPA</t>
  </si>
  <si>
    <t>(PLAN(GFFO),MH), UNICEF</t>
  </si>
  <si>
    <t>Metta,KBC</t>
  </si>
  <si>
    <t>(WHH-AA, USAID, MHF),UNICEF</t>
  </si>
  <si>
    <t>SI,KBC</t>
  </si>
  <si>
    <t>(MHF, OFDA,ECHO), UNICEF</t>
  </si>
  <si>
    <t>Water safety plan need to install</t>
  </si>
  <si>
    <t>Need waste truck and disludging truck</t>
  </si>
  <si>
    <t>need more hygiene items especially MHM Kits</t>
  </si>
  <si>
    <t>(WHH-AA , USAID, MHF), UNICEF</t>
  </si>
  <si>
    <t>(30.Sep 2020/ 31.jul.2020/30.April 2020), 1-Dec-2020</t>
  </si>
  <si>
    <t>UNICEF,(OFDA,MHF 2186,UNICEF)</t>
  </si>
  <si>
    <t>(MHF, OFDA,ECHO),UNICEF</t>
  </si>
  <si>
    <t>(WHH-AA , USAID, MHF),UNICEF</t>
  </si>
  <si>
    <t>WCM</t>
  </si>
  <si>
    <t>#_Water sources tested for fecal coliform</t>
  </si>
  <si>
    <t>Distinct Count of Site Name</t>
  </si>
  <si>
    <t>Ban Dang Total</t>
  </si>
  <si>
    <t>Da Wei Total</t>
  </si>
  <si>
    <t>Du Kahtawng Baptist Total</t>
  </si>
  <si>
    <t>Hkau Shau (BP 12) Total</t>
  </si>
  <si>
    <t>Hlaing Naung Baptist Total</t>
  </si>
  <si>
    <t>Hpare Hkyer - BP6 Total</t>
  </si>
  <si>
    <t>Htai Ra Yang Total</t>
  </si>
  <si>
    <t>Jan Mai Kawng Baptist Church Total</t>
  </si>
  <si>
    <t>Jaw Masat Camp Total</t>
  </si>
  <si>
    <t>Kyun Taw Baptist Church  Total</t>
  </si>
  <si>
    <t>Laiza Je Yang School Total</t>
  </si>
  <si>
    <t>Lawt Awng Total</t>
  </si>
  <si>
    <t>Le Kone Bethlehem Church Total</t>
  </si>
  <si>
    <t>Le Kone Ziun Baptist Church  Total</t>
  </si>
  <si>
    <t>Lung Sut Total</t>
  </si>
  <si>
    <t>Ma Hawng Baptist Church Total</t>
  </si>
  <si>
    <t>Mading Baptist Church Total</t>
  </si>
  <si>
    <t>Maina KBC (Bawng Ring) Total</t>
  </si>
  <si>
    <t>Maina Lawang Baptist Church Total</t>
  </si>
  <si>
    <t>Maing Khaung Total</t>
  </si>
  <si>
    <t>Maliyang Baptist Church Total</t>
  </si>
  <si>
    <t>Man Hkring Baptist Church Total</t>
  </si>
  <si>
    <t>Namatee AG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</si>
  <si>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</si>
  <si>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</si>
  <si>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</si>
  <si>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</si>
  <si>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</si>
  <si>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</si>
  <si>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</si>
  <si>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</si>
  <si>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</si>
  <si>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</si>
  <si>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</si>
  <si>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</si>
  <si>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Shar Du Zut SanPya Total</t>
  </si>
  <si>
    <t>Shatapru Sut Ngai Tawng Total</t>
  </si>
  <si>
    <t>Shing Jai Total</t>
  </si>
  <si>
    <t>Shwe Zet Baptist Church Total</t>
  </si>
  <si>
    <t>Sut Chyai Total</t>
  </si>
  <si>
    <t>Tat Kone Baptist Church Total</t>
  </si>
  <si>
    <t>Tat Kone Galile Baptist Church Total</t>
  </si>
  <si>
    <t>Tat Kone San Pya Baptist Church Total</t>
  </si>
  <si>
    <t>Ti Yang Zup Total</t>
  </si>
  <si>
    <t>Trinity Camp Total</t>
  </si>
  <si>
    <t>Waimaw Baptist Zonal Office 2 Total</t>
  </si>
  <si>
    <t>Zupra Total</t>
  </si>
  <si>
    <t>5 Ward RC Church(lon Khin) Total</t>
  </si>
  <si>
    <t>AD-2000 Extension camp Total</t>
  </si>
  <si>
    <t>AD-2000 Tharthana Compound Total</t>
  </si>
  <si>
    <t>AG Church, Hmaw Si Sa Total</t>
  </si>
  <si>
    <t>AG Church, Maw Wan Total</t>
  </si>
  <si>
    <t>Agritural Compound (KBC) Total</t>
  </si>
  <si>
    <t>Aung Thar Church Total</t>
  </si>
  <si>
    <t>Baptist Church, Hmaw Si Sar(Lon Khin) Total</t>
  </si>
  <si>
    <t>Bhamo_Host Families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</si>
  <si>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</si>
  <si>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</si>
  <si>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</si>
  <si>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</si>
  <si>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</si>
  <si>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</si>
  <si>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</si>
  <si>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</si>
  <si>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</si>
  <si>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</si>
  <si>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Hmaw Wan, Anglican Total</t>
  </si>
  <si>
    <t>Hopin Host Families Total</t>
  </si>
  <si>
    <t>Hpai Kawng Total</t>
  </si>
  <si>
    <t>Hpakant Baptist Church, Nam Ma Hpit Total</t>
  </si>
  <si>
    <t>Hpun Lum Yang  Total</t>
  </si>
  <si>
    <t>Htoi San Church Total</t>
  </si>
  <si>
    <t>Hu Hku &amp; Ho Hko Total</t>
  </si>
  <si>
    <t>IDP Boarding School, A Len Bum Total</t>
  </si>
  <si>
    <t>Inn Lel Yan - Host Families Total</t>
  </si>
  <si>
    <t>Jan Mai Kawng Catholic Church Total</t>
  </si>
  <si>
    <t>Je Yang Hka  Total</t>
  </si>
  <si>
    <t>Ka Bu Dam CoC Total</t>
  </si>
  <si>
    <t>Kachin Su Baptist Church (ECCD) Total</t>
  </si>
  <si>
    <t>Karmaing RC Church Total</t>
  </si>
  <si>
    <t>Khar Nan (1) Baptist Church Total</t>
  </si>
  <si>
    <t>Khun Sint Village Total</t>
  </si>
  <si>
    <t>Kutkai downtown (KBC Church) Total</t>
  </si>
  <si>
    <t>Kutkai downtown (KBC Church-2) Total</t>
  </si>
  <si>
    <t>Kutkai downtown (RC Church) Total</t>
  </si>
  <si>
    <t>Kyu Sot Total</t>
  </si>
  <si>
    <t>Lan Gwa St.Paul RC Church Total</t>
  </si>
  <si>
    <t>Lana Zup Ja Total</t>
  </si>
  <si>
    <t>Lawa RC Church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</si>
  <si>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</si>
  <si>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</si>
  <si>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</si>
  <si>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</si>
  <si>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</si>
  <si>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</si>
  <si>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</si>
  <si>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</si>
  <si>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</si>
  <si>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</si>
  <si>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Lwegel High School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</si>
  <si>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</si>
  <si>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</si>
  <si>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</si>
  <si>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</si>
  <si>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</si>
  <si>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</si>
  <si>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</si>
  <si>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</si>
  <si>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</si>
  <si>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</si>
  <si>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</si>
  <si>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</si>
  <si>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</si>
  <si>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 Wing Host Families Total</t>
  </si>
  <si>
    <t>Mandalay Monestry Total</t>
  </si>
  <si>
    <t>Mandung - Jinghpaw Total</t>
  </si>
  <si>
    <t>Mandung - RC Total</t>
  </si>
  <si>
    <t>Mansi Baptist Church Total</t>
  </si>
  <si>
    <t>Mansi_Host Families Total</t>
  </si>
  <si>
    <t>Maw Hpawng Hka Nan Baptist Church Total</t>
  </si>
  <si>
    <t>Maw Hpawng Lhaovo Baptist Church Total</t>
  </si>
  <si>
    <t>Maw Wan, Mu-yin Baptist Church Total</t>
  </si>
  <si>
    <t>Mee Pho Kone Total</t>
  </si>
  <si>
    <t>Mine Yu Lay village ( Old) Total</t>
  </si>
  <si>
    <t>Moenyin Host Families Total</t>
  </si>
  <si>
    <t>Momauk Baptist Church Total</t>
  </si>
  <si>
    <t>Momauk_Host Families Total</t>
  </si>
  <si>
    <t>Mong Wee Shan Total</t>
  </si>
  <si>
    <t>Mung Hawm  Total</t>
  </si>
  <si>
    <t>Mungji Pa Dabang (Baptist Church) Total</t>
  </si>
  <si>
    <t>Mungji Pa Dabang (Catholic Church) Total</t>
  </si>
  <si>
    <t>Muse Catholic Church Total</t>
  </si>
  <si>
    <t>Mu-yin Baptist Church Total</t>
  </si>
  <si>
    <t>Muyin church (Aung Yar pre-school compound) Total</t>
  </si>
  <si>
    <t>Myo Oo St. Dominic RC Church Total</t>
  </si>
  <si>
    <t>Myo Thit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</si>
  <si>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</si>
  <si>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</si>
  <si>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</si>
  <si>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</si>
  <si>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</si>
  <si>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</si>
  <si>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</si>
  <si>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</si>
  <si>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</si>
  <si>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Namhkan - Pang Long KBC Total</t>
  </si>
  <si>
    <t>Nan Kway St. John Catholic Church Total</t>
  </si>
  <si>
    <t>Nant Hlaing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</si>
  <si>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</si>
  <si>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</si>
  <si>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</si>
  <si>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</si>
  <si>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</si>
  <si>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</si>
  <si>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</si>
  <si>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</si>
  <si>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</si>
  <si>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Pan Ta Pyae Total</t>
  </si>
  <si>
    <t>Pan Wa Total</t>
  </si>
  <si>
    <t>Phan Khar Kone Total</t>
  </si>
  <si>
    <t>Post 6 Camp Total</t>
  </si>
  <si>
    <t>Qtr. 2 Lhaovo Baptist Church Total</t>
  </si>
  <si>
    <t>Qtr. 3 Mu-yin  Baptist Church Total</t>
  </si>
  <si>
    <t>Rawan Baptist Church, Maw Shan Vil., Seik Mu Total</t>
  </si>
  <si>
    <t>Robert Church Total</t>
  </si>
  <si>
    <t>Sadung Total</t>
  </si>
  <si>
    <t>Saw Zam Total</t>
  </si>
  <si>
    <t>Seng Ja  Total</t>
  </si>
  <si>
    <t>Shar Du Zut RC church Total</t>
  </si>
  <si>
    <t>Shatapru Thida Aye Baptist Church Total</t>
  </si>
  <si>
    <t>Shwe Gu Baptist Church Total</t>
  </si>
  <si>
    <t>Shwe Gu Catholic Church Total</t>
  </si>
  <si>
    <t>Sin Bo Total</t>
  </si>
  <si>
    <t>St. Joseph Tanai RC camp  Total</t>
  </si>
  <si>
    <t>St. Patrick Catholic Church  Total</t>
  </si>
  <si>
    <t>Sumprabum Total</t>
  </si>
  <si>
    <t>Tanai CoC Total</t>
  </si>
  <si>
    <t>Tanai KBC Camp Total</t>
  </si>
  <si>
    <t>Tat Kone COC Baptist - Tat Kone Htoi San Total</t>
  </si>
  <si>
    <t>Tat Kone Emanuel Church Total</t>
  </si>
  <si>
    <t>Thargaya Lisu Baptist Church Total</t>
  </si>
  <si>
    <t>Tote Tan Ward Total</t>
  </si>
  <si>
    <t>Tsan Lun - Namjarap Total</t>
  </si>
  <si>
    <t>Waingmaw AG Church Total</t>
  </si>
  <si>
    <t>Ward 2 Sai Taung Baptist Church, Seik Mu  Total</t>
  </si>
  <si>
    <t>Woi Chyai  Total</t>
  </si>
  <si>
    <t>Woi Chyai (Mong Lai) Total</t>
  </si>
  <si>
    <t>Woi Chyai host families Total</t>
  </si>
  <si>
    <t>Yoe Kyi Monastery Total</t>
  </si>
  <si>
    <t>Yumar Baptist Church Total</t>
  </si>
  <si>
    <t>Zup Aung Camp Total</t>
  </si>
  <si>
    <t>Hka Garan Yang  Total</t>
  </si>
  <si>
    <t>Htang Nya  Total</t>
  </si>
  <si>
    <t>Enai (Man Pyein) Total</t>
  </si>
  <si>
    <t>Hpa Ji Shalat Boarding School ( Daw Hpum Yang) Total</t>
  </si>
  <si>
    <t>Lwe Mauk Yang Boarding School Total</t>
  </si>
  <si>
    <t>AD 2000 School Total</t>
  </si>
  <si>
    <t>Robert -High school Total</t>
  </si>
  <si>
    <t>Pamati Camp Total</t>
  </si>
  <si>
    <t>Sector 5 Pammati Quarter Total</t>
  </si>
  <si>
    <t>SI (ECHO), UNICEF</t>
  </si>
  <si>
    <t>(SI (ECHO), Harp - F),UNICEF</t>
  </si>
  <si>
    <t>MHF-Metta</t>
  </si>
  <si>
    <t># Liters</t>
  </si>
  <si>
    <t xml:space="preserve">KMSS, Metta, KBC,HPA, WPN, </t>
  </si>
  <si>
    <t xml:space="preserve">KBC, KMSS, Metta, Shalom, </t>
  </si>
  <si>
    <t xml:space="preserve">KBC </t>
  </si>
  <si>
    <t xml:space="preserve">KBC, Metta , </t>
  </si>
  <si>
    <t xml:space="preserve">KBC, KMSS, , , </t>
  </si>
  <si>
    <t>KBC, KMSS, Metta, WPN, HPA</t>
  </si>
  <si>
    <t xml:space="preserve">(10/1/2018, 9/30/2019,6/1/2020),4/1/2019 </t>
  </si>
  <si>
    <t>(9/30/2020, 8/31/2020, 11/302020),4/30/2020</t>
  </si>
  <si>
    <t>(5/1/2019,10/1/2019,4/4/2019),1/1/2020</t>
  </si>
  <si>
    <t>(1-10-2018, 30-9-2019,1-6-2020), 4-1-2019</t>
  </si>
  <si>
    <t>(9-30-2020, 8-31-2020, 11-30-2020), 4-30-2020</t>
  </si>
  <si>
    <t xml:space="preserve">(10-1-2018, 9-30-2019, 6-1-2020), 4-1-2019 </t>
  </si>
  <si>
    <t>2-01-2019, 10-30-Oct-2019</t>
  </si>
  <si>
    <t>4-30-2021, 9-30-2020</t>
  </si>
  <si>
    <t>10-1-2018, 9-30-2019</t>
  </si>
  <si>
    <t>9-30-2020, 8-31-2020</t>
  </si>
  <si>
    <t>10-1-2018, 9-30-2019, 6-1-2020</t>
  </si>
  <si>
    <t>9-30-2020, 8-31-2020, 11-30-2020</t>
  </si>
  <si>
    <t xml:space="preserve">3/12020, 4-1-2019 </t>
  </si>
  <si>
    <t>6/30/2021, 4-30-2020</t>
  </si>
  <si>
    <t>2-1-2019, 10-1-18</t>
  </si>
  <si>
    <t>4-30-2020, 9-30-2020</t>
  </si>
  <si>
    <t>12-11-2019,(7-07-2019, 2-1-2020, 4-1-2019)</t>
  </si>
  <si>
    <t>12-10-2020,(6-30-2020, 1-1-2021, 4-30-2020)</t>
  </si>
  <si>
    <t>3-1-2019, 12-11-2019</t>
  </si>
  <si>
    <t>12-31-2020, 12-10-2020</t>
  </si>
  <si>
    <t>1-3-2020, 4-1-2019</t>
  </si>
  <si>
    <t>6-30-2021, 4-30-2020</t>
  </si>
  <si>
    <t>5-1-2020, 1-1-2020</t>
  </si>
  <si>
    <t>2-28-2020, 12-1-2020</t>
  </si>
  <si>
    <t>2020-3rd Qtr 4W Camp DASHBOARD</t>
  </si>
  <si>
    <t xml:space="preserve"> Infrastructure rehabiliation </t>
  </si>
  <si>
    <t xml:space="preserve">3/1/2020, 4-1-2019 </t>
  </si>
  <si>
    <t>Covid-19</t>
  </si>
  <si>
    <t>(SRP)</t>
  </si>
  <si>
    <t>UNICEF, MHF</t>
  </si>
  <si>
    <t>2-01-2019, 1-02-2020</t>
  </si>
  <si>
    <t>4-30-2021, 01-31-2021</t>
  </si>
  <si>
    <t>+4 Latrine Constructed</t>
  </si>
  <si>
    <t>2-01-2019, 01-1-2020</t>
  </si>
  <si>
    <t>(UNICEF, MHF),HARP</t>
  </si>
  <si>
    <t>2-01-2019, 2-1-2020</t>
  </si>
  <si>
    <t>4-30-2021, 1-31-2021</t>
  </si>
  <si>
    <t>2-01-2019, 2-01-2020</t>
  </si>
  <si>
    <t>Man Pya San Pya Resettlement</t>
  </si>
  <si>
    <t>Need water tank for dry season</t>
  </si>
  <si>
    <t>San Kar Resettlement</t>
  </si>
  <si>
    <t>not enough water</t>
  </si>
  <si>
    <t>WHH-AA, USAID, MHF, HOPE</t>
  </si>
  <si>
    <t>(WHH-AA, USAID, MHF, HOPE),UNICEF</t>
  </si>
  <si>
    <t>Hygiene refill item distribution couldn't be done by voucher system because of the Covid-19 prevention situations</t>
  </si>
  <si>
    <t>(WHH-AA , USAID, MHF, HOPE), UNICEF</t>
  </si>
  <si>
    <t>WHH-AA, USAID, HOPE</t>
  </si>
  <si>
    <t>(WHH-AA , USAID, MHF, HOPE),UNICEF</t>
  </si>
  <si>
    <t>(blank)</t>
  </si>
  <si>
    <t>Man Pya San Pya Resettlement Total</t>
  </si>
  <si>
    <t>San Kar Resettlement Total</t>
  </si>
  <si>
    <t>Sum of HRP3</t>
  </si>
  <si>
    <t>GLAD</t>
  </si>
  <si>
    <t>WCM, Arche-nova</t>
  </si>
  <si>
    <t># of sites</t>
  </si>
  <si>
    <t># of villages</t>
  </si>
  <si>
    <t xml:space="preserve"> %
Hygiene Gap</t>
  </si>
  <si>
    <t xml:space="preserve"> %
Sanitation GAP</t>
  </si>
  <si>
    <t xml:space="preserve"> % 
Water GAP</t>
  </si>
  <si>
    <t>NORTHERN SHAN STATE  (2020 - Qtr 3 - 4W Analysis, as of 30 September 2020)</t>
  </si>
  <si>
    <t>KACHIN STATE (2020 - Qtr 3 - 4W Analysis, as of 30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</si>
</sst>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67">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rgb="FFFF0000"/>
      <name val="Calibri"/>
      <family val="2"/>
      <scheme val="minor"/>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1"/>
      <color theme="1" tint="0.499984740745262"/>
      <name val="Calibri"/>
      <family val="2"/>
      <scheme val="minor"/>
    </font>
    <font>
      <sz val="10"/>
      <color rgb="FF2C2C2C"/>
      <name val="Corbel"/>
      <family val="2"/>
    </font>
    <font>
      <sz val="10"/>
      <color rgb="FF2C2C2C"/>
      <name val="Corbel"/>
      <family val="2"/>
    </font>
    <font>
      <b/>
      <sz val="12"/>
      <name val="Calibri"/>
      <family val="2"/>
      <scheme val="minor"/>
    </font>
    <font>
      <sz val="12"/>
      <color theme="1"/>
      <name val="Calibri"/>
      <family val="2"/>
      <scheme val="minor"/>
    </font>
    <font>
      <b/>
      <sz val="11"/>
      <color theme="0"/>
      <name val="Times New Roman"/>
      <family val="2"/>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sz val="10"/>
      <color rgb="FF2C2C2C"/>
      <name val="Corbel"/>
      <family val="2"/>
    </font>
    <font>
      <i/>
      <sz val="12"/>
      <color theme="1"/>
      <name val="Calibri"/>
      <family val="2"/>
      <scheme val="minor"/>
    </font>
    <font>
      <sz val="10"/>
      <color rgb="FF2C2C2C"/>
      <name val="Corbel"/>
      <family val="2"/>
    </font>
    <font>
      <sz val="11"/>
      <color theme="1"/>
      <name val="Calibri"/>
      <family val="2"/>
      <scheme val="minor"/>
    </font>
    <font>
      <sz val="11"/>
      <color theme="4" tint="-0.249977111117893"/>
      <name val="Calibri"/>
      <family val="2"/>
      <scheme val="minor"/>
    </font>
    <font>
      <sz val="10"/>
      <color rgb="FF2C2C2C"/>
      <name val="Corbel"/>
      <family val="2"/>
    </font>
    <font>
      <sz val="10"/>
      <color rgb="FF2C2C2C"/>
      <name val="Corbel"/>
      <family val="2"/>
    </font>
    <font>
      <b/>
      <sz val="10"/>
      <color theme="0"/>
      <name val="Calibri"/>
      <family val="2"/>
      <scheme val="minor"/>
    </font>
    <font>
      <sz val="10"/>
      <color rgb="FF000000"/>
      <name val="Calibri"/>
      <family val="2"/>
    </font>
    <font>
      <b/>
      <sz val="10"/>
      <color rgb="FF000000"/>
      <name val="Calibri"/>
      <family val="2"/>
    </font>
    <font>
      <b/>
      <sz val="11"/>
      <name val="Calibri"/>
      <family val="2"/>
      <scheme val="minor"/>
    </font>
    <font>
      <sz val="12"/>
      <color theme="1"/>
      <name val="Calibri"/>
      <family val="2"/>
      <scheme val="minor"/>
    </font>
    <font>
      <sz val="12"/>
      <color theme="0"/>
      <name val="Calibri"/>
      <family val="2"/>
      <scheme val="minor"/>
    </font>
    <font>
      <sz val="12"/>
      <name val="Calibri"/>
      <family val="2"/>
      <scheme val="minor"/>
    </font>
    <font>
      <sz val="11"/>
      <color theme="1"/>
      <name val="Calibri"/>
      <family val="2"/>
      <scheme val="minor"/>
    </font>
    <font>
      <b/>
      <sz val="11"/>
      <color theme="0"/>
      <name val="Calibri"/>
      <family val="2"/>
      <scheme val="minor"/>
    </font>
  </fonts>
  <fills count="60">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0" tint="-0.14999847407452621"/>
        <bgColor theme="0" tint="-0.14999847407452621"/>
      </patternFill>
    </fill>
    <fill>
      <patternFill patternType="solid">
        <fgColor theme="8" tint="0.39997558519241921"/>
        <bgColor theme="8" tint="0.39997558519241921"/>
      </patternFill>
    </fill>
    <fill>
      <patternFill patternType="solid">
        <fgColor theme="8" tint="0.79998168889431442"/>
        <bgColor theme="8" tint="0.79998168889431442"/>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s>
  <borders count="179">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4"/>
      </left>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left>
      <right style="thin">
        <color theme="4"/>
      </right>
      <top/>
      <bottom style="thin">
        <color theme="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style="thin">
        <color theme="0"/>
      </left>
      <right style="thin">
        <color theme="0"/>
      </right>
      <top/>
      <bottom style="thin">
        <color theme="0"/>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style="thin">
        <color rgb="FF0070C0"/>
      </left>
      <right/>
      <top/>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8"/>
      </left>
      <right style="thin">
        <color theme="4"/>
      </right>
      <top style="double">
        <color theme="4"/>
      </top>
      <bottom style="thin">
        <color theme="8"/>
      </bottom>
      <diagonal/>
    </border>
    <border>
      <left style="thin">
        <color theme="4"/>
      </left>
      <right style="thin">
        <color theme="4"/>
      </right>
      <top style="double">
        <color theme="4"/>
      </top>
      <bottom style="thin">
        <color theme="8"/>
      </bottom>
      <diagonal/>
    </border>
    <border>
      <left style="thin">
        <color theme="4"/>
      </left>
      <right style="thin">
        <color theme="8"/>
      </right>
      <top style="double">
        <color theme="4"/>
      </top>
      <bottom style="thin">
        <color theme="8"/>
      </bottom>
      <diagonal/>
    </border>
    <border>
      <left style="thin">
        <color theme="8"/>
      </left>
      <right style="thin">
        <color theme="8"/>
      </right>
      <top style="double">
        <color theme="4"/>
      </top>
      <bottom style="thin">
        <color theme="8"/>
      </bottom>
      <diagonal/>
    </border>
    <border>
      <left style="thin">
        <color theme="8"/>
      </left>
      <right style="thin">
        <color theme="8"/>
      </right>
      <top style="thin">
        <color theme="8"/>
      </top>
      <bottom style="medium">
        <color theme="8"/>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medium">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style="medium">
        <color rgb="FF0070C0"/>
      </left>
      <right style="thin">
        <color rgb="FF0070C0"/>
      </right>
      <top style="thin">
        <color indexed="64"/>
      </top>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medium">
        <color rgb="FF0070C0"/>
      </bottom>
      <diagonal/>
    </border>
    <border>
      <left/>
      <right style="thin">
        <color theme="4"/>
      </right>
      <top/>
      <bottom/>
      <diagonal/>
    </border>
    <border>
      <left style="thin">
        <color rgb="FF0070C0"/>
      </left>
      <right/>
      <top style="thin">
        <color rgb="FF0070C0"/>
      </top>
      <bottom style="medium">
        <color rgb="FF0070C0"/>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right style="double">
        <color rgb="FFFF000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double">
        <color rgb="FFFF0000"/>
      </bottom>
      <diagonal/>
    </border>
    <border>
      <left style="thin">
        <color rgb="FF0070C0"/>
      </left>
      <right style="double">
        <color rgb="FFFF0000"/>
      </right>
      <top style="thin">
        <color rgb="FF0070C0"/>
      </top>
      <bottom style="thin">
        <color rgb="FF0070C0"/>
      </bottom>
      <diagonal/>
    </border>
    <border>
      <left style="double">
        <color rgb="FFFF0000"/>
      </left>
      <right style="thin">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medium">
        <color theme="4"/>
      </left>
      <right style="thin">
        <color theme="8"/>
      </right>
      <top style="medium">
        <color theme="4"/>
      </top>
      <bottom style="medium">
        <color theme="8"/>
      </bottom>
      <diagonal/>
    </border>
    <border>
      <left style="thin">
        <color theme="8"/>
      </left>
      <right style="thin">
        <color theme="8"/>
      </right>
      <top style="medium">
        <color theme="4"/>
      </top>
      <bottom style="medium">
        <color theme="8"/>
      </bottom>
      <diagonal/>
    </border>
    <border>
      <left style="thin">
        <color theme="8"/>
      </left>
      <right style="medium">
        <color theme="4"/>
      </right>
      <top style="medium">
        <color theme="4"/>
      </top>
      <bottom style="medium">
        <color theme="8"/>
      </bottom>
      <diagonal/>
    </border>
    <border>
      <left/>
      <right style="thin">
        <color theme="4" tint="0.59999389629810485"/>
      </right>
      <top/>
      <bottom/>
      <diagonal/>
    </border>
    <border>
      <left style="thin">
        <color theme="4" tint="0.59999389629810485"/>
      </left>
      <right style="thin">
        <color theme="4"/>
      </right>
      <top/>
      <bottom/>
      <diagonal/>
    </border>
    <border>
      <left style="thin">
        <color theme="4" tint="0.59999389629810485"/>
      </left>
      <right/>
      <top/>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medium">
        <color theme="4"/>
      </left>
      <right style="thin">
        <color theme="4"/>
      </right>
      <top style="thin">
        <color theme="4"/>
      </top>
      <bottom style="double">
        <color theme="4"/>
      </bottom>
      <diagonal/>
    </border>
    <border>
      <left style="thin">
        <color theme="4"/>
      </left>
      <right style="thin">
        <color theme="4"/>
      </right>
      <top style="thin">
        <color theme="4"/>
      </top>
      <bottom style="double">
        <color theme="4"/>
      </bottom>
      <diagonal/>
    </border>
    <border>
      <left style="thin">
        <color theme="4"/>
      </left>
      <right style="medium">
        <color theme="4"/>
      </right>
      <top style="thin">
        <color theme="4"/>
      </top>
      <bottom style="double">
        <color theme="4"/>
      </bottom>
      <diagonal/>
    </border>
    <border>
      <left style="medium">
        <color theme="4"/>
      </left>
      <right style="thin">
        <color theme="4"/>
      </right>
      <top style="medium">
        <color theme="8"/>
      </top>
      <bottom style="thin">
        <color theme="4"/>
      </bottom>
      <diagonal/>
    </border>
    <border>
      <left style="thin">
        <color theme="4"/>
      </left>
      <right style="thin">
        <color theme="4"/>
      </right>
      <top style="medium">
        <color theme="8"/>
      </top>
      <bottom style="thin">
        <color theme="4"/>
      </bottom>
      <diagonal/>
    </border>
    <border>
      <left style="thin">
        <color theme="4"/>
      </left>
      <right style="medium">
        <color theme="4"/>
      </right>
      <top style="medium">
        <color theme="8"/>
      </top>
      <bottom style="thin">
        <color theme="4"/>
      </bottom>
      <diagonal/>
    </border>
    <border>
      <left style="thin">
        <color theme="4"/>
      </left>
      <right style="thin">
        <color theme="4"/>
      </right>
      <top style="thin">
        <color theme="4"/>
      </top>
      <bottom/>
      <diagonal/>
    </border>
    <border>
      <left/>
      <right style="thin">
        <color theme="4"/>
      </right>
      <top style="thin">
        <color theme="4"/>
      </top>
      <bottom style="medium">
        <color theme="4"/>
      </bottom>
      <diagonal/>
    </border>
    <border>
      <left style="thin">
        <color theme="8"/>
      </left>
      <right style="thin">
        <color theme="8"/>
      </right>
      <top/>
      <bottom style="medium">
        <color theme="8"/>
      </bottom>
      <diagonal/>
    </border>
  </borders>
  <cellStyleXfs count="81">
    <xf numFmtId="0" fontId="0" fillId="0" borderId="0"/>
    <xf numFmtId="9" fontId="23" fillId="0" borderId="0" applyFont="0" applyFill="0" applyBorder="0" applyAlignment="0" applyProtection="0"/>
    <xf numFmtId="0" fontId="24" fillId="0" borderId="0"/>
    <xf numFmtId="9"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43" fontId="24" fillId="0" borderId="0" applyFont="0" applyFill="0" applyBorder="0" applyAlignment="0" applyProtection="0"/>
    <xf numFmtId="166" fontId="24" fillId="0" borderId="0"/>
    <xf numFmtId="0" fontId="50" fillId="0" borderId="0"/>
    <xf numFmtId="0" fontId="50" fillId="0" borderId="0"/>
    <xf numFmtId="0" fontId="22" fillId="0" borderId="0"/>
    <xf numFmtId="9" fontId="22" fillId="0" borderId="0" applyFont="0" applyFill="0" applyBorder="0" applyAlignment="0" applyProtection="0"/>
    <xf numFmtId="0" fontId="64" fillId="0" borderId="28" applyNumberFormat="0" applyFill="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166" fontId="20" fillId="0" borderId="0"/>
    <xf numFmtId="0" fontId="21" fillId="0" borderId="0"/>
    <xf numFmtId="9" fontId="21" fillId="0" borderId="0" applyFont="0" applyFill="0" applyBorder="0" applyAlignment="0" applyProtection="0"/>
    <xf numFmtId="0" fontId="50" fillId="0" borderId="0"/>
    <xf numFmtId="0" fontId="23" fillId="0" borderId="0"/>
    <xf numFmtId="0" fontId="55" fillId="24" borderId="0" applyNumberFormat="0" applyBorder="0" applyAlignment="0" applyProtection="0"/>
    <xf numFmtId="0" fontId="56" fillId="25" borderId="0" applyNumberFormat="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26" fillId="0" borderId="0"/>
    <xf numFmtId="43" fontId="130" fillId="0" borderId="0" applyFont="0" applyFill="0" applyBorder="0" applyAlignment="0" applyProtection="0"/>
    <xf numFmtId="9" fontId="127" fillId="0" borderId="0" applyFont="0" applyFill="0" applyBorder="0" applyAlignment="0" applyProtection="0"/>
    <xf numFmtId="9" fontId="130"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30" fillId="0" borderId="0" applyFont="0" applyFill="0" applyBorder="0" applyAlignment="0" applyProtection="0"/>
    <xf numFmtId="43" fontId="127" fillId="0" borderId="0" applyFont="0" applyFill="0" applyBorder="0" applyAlignment="0" applyProtection="0"/>
    <xf numFmtId="0" fontId="127" fillId="0" borderId="0"/>
    <xf numFmtId="166" fontId="127" fillId="0" borderId="0"/>
    <xf numFmtId="166" fontId="127" fillId="0" borderId="0"/>
    <xf numFmtId="0" fontId="55" fillId="47" borderId="0" applyNumberFormat="0" applyBorder="0" applyAlignment="0" applyProtection="0"/>
    <xf numFmtId="0" fontId="56" fillId="48" borderId="0" applyNumberFormat="0" applyBorder="0" applyAlignment="0" applyProtection="0"/>
    <xf numFmtId="43" fontId="128"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9" fillId="0" borderId="28" applyNumberFormat="0" applyFill="0" applyAlignment="0" applyProtection="0"/>
    <xf numFmtId="166" fontId="127" fillId="0" borderId="0"/>
    <xf numFmtId="166" fontId="127" fillId="0" borderId="0"/>
    <xf numFmtId="0" fontId="130" fillId="0" borderId="0"/>
    <xf numFmtId="166" fontId="127" fillId="0" borderId="0"/>
    <xf numFmtId="166"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9" fontId="127" fillId="0" borderId="0" applyFont="0" applyFill="0" applyBorder="0" applyAlignment="0" applyProtection="0"/>
    <xf numFmtId="9" fontId="130"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0" fontId="128" fillId="0" borderId="0"/>
  </cellStyleXfs>
  <cellXfs count="1127">
    <xf numFmtId="0" fontId="0" fillId="0" borderId="0" xfId="0"/>
    <xf numFmtId="0" fontId="27" fillId="2" borderId="1" xfId="0" applyFont="1" applyFill="1" applyBorder="1" applyAlignment="1">
      <alignment horizontal="left" vertical="center" readingOrder="1"/>
    </xf>
    <xf numFmtId="0" fontId="27" fillId="5" borderId="2" xfId="0" applyFont="1" applyFill="1" applyBorder="1" applyAlignment="1">
      <alignment horizontal="left" vertical="center" readingOrder="1"/>
    </xf>
    <xf numFmtId="0" fontId="27" fillId="8" borderId="2" xfId="0" applyFont="1" applyFill="1" applyBorder="1" applyAlignment="1">
      <alignment horizontal="left" vertical="center" readingOrder="1"/>
    </xf>
    <xf numFmtId="0" fontId="27" fillId="8" borderId="3" xfId="0" applyFont="1" applyFill="1" applyBorder="1" applyAlignment="1">
      <alignment horizontal="left" vertical="center" readingOrder="1"/>
    </xf>
    <xf numFmtId="0" fontId="27" fillId="9" borderId="2" xfId="0" applyFont="1" applyFill="1" applyBorder="1" applyAlignment="1">
      <alignment horizontal="left" vertical="center" readingOrder="1"/>
    </xf>
    <xf numFmtId="0" fontId="28" fillId="3" borderId="1" xfId="0" applyFont="1" applyFill="1" applyBorder="1" applyAlignment="1">
      <alignment horizontal="left" vertical="center" readingOrder="1"/>
    </xf>
    <xf numFmtId="0" fontId="28" fillId="4" borderId="2" xfId="0" applyFont="1" applyFill="1" applyBorder="1" applyAlignment="1">
      <alignment horizontal="left" vertical="center" readingOrder="1"/>
    </xf>
    <xf numFmtId="0" fontId="28" fillId="3" borderId="2" xfId="0" applyFont="1" applyFill="1" applyBorder="1" applyAlignment="1">
      <alignment horizontal="left" vertical="center" readingOrder="1"/>
    </xf>
    <xf numFmtId="0" fontId="28" fillId="3" borderId="3" xfId="0" applyFont="1" applyFill="1" applyBorder="1" applyAlignment="1">
      <alignment horizontal="left" vertical="center" readingOrder="1"/>
    </xf>
    <xf numFmtId="14" fontId="28" fillId="3" borderId="2" xfId="0" applyNumberFormat="1" applyFont="1" applyFill="1" applyBorder="1" applyAlignment="1">
      <alignment horizontal="left" vertical="center" readingOrder="1"/>
    </xf>
    <xf numFmtId="14" fontId="28" fillId="6" borderId="2" xfId="0" applyNumberFormat="1" applyFont="1" applyFill="1" applyBorder="1" applyAlignment="1">
      <alignment horizontal="left" vertical="center" readingOrder="1"/>
    </xf>
    <xf numFmtId="0" fontId="28" fillId="7" borderId="2" xfId="0" applyFont="1" applyFill="1" applyBorder="1" applyAlignment="1">
      <alignment horizontal="left" vertical="center" readingOrder="1"/>
    </xf>
    <xf numFmtId="0" fontId="31" fillId="7" borderId="2" xfId="0" applyFont="1" applyFill="1" applyBorder="1" applyAlignment="1">
      <alignment horizontal="left" vertical="top" wrapText="1" readingOrder="1"/>
    </xf>
    <xf numFmtId="14" fontId="31" fillId="6" borderId="1" xfId="0" applyNumberFormat="1" applyFont="1" applyFill="1" applyBorder="1" applyAlignment="1">
      <alignment horizontal="left" vertical="top" wrapText="1" readingOrder="1"/>
    </xf>
    <xf numFmtId="9" fontId="28" fillId="3" borderId="2" xfId="1" applyFont="1" applyFill="1" applyBorder="1" applyAlignment="1">
      <alignment horizontal="left" vertical="center" readingOrder="1"/>
    </xf>
    <xf numFmtId="9" fontId="28" fillId="6" borderId="1" xfId="1" applyFont="1" applyFill="1" applyBorder="1" applyAlignment="1">
      <alignment horizontal="left" vertical="top" wrapText="1" readingOrder="1"/>
    </xf>
    <xf numFmtId="0" fontId="36" fillId="0" borderId="0" xfId="0" applyFont="1"/>
    <xf numFmtId="0" fontId="34" fillId="0" borderId="0" xfId="0" applyFont="1"/>
    <xf numFmtId="0" fontId="39" fillId="0" borderId="0" xfId="0" applyFont="1" applyAlignment="1"/>
    <xf numFmtId="0" fontId="39" fillId="0" borderId="0" xfId="0" applyFont="1" applyFill="1" applyAlignment="1"/>
    <xf numFmtId="166" fontId="24" fillId="13" borderId="0" xfId="8" applyFill="1"/>
    <xf numFmtId="166" fontId="24" fillId="13" borderId="0" xfId="8" applyFill="1" applyAlignment="1">
      <alignment horizontal="center" vertical="center"/>
    </xf>
    <xf numFmtId="166" fontId="24" fillId="20" borderId="8" xfId="8" applyFill="1" applyBorder="1"/>
    <xf numFmtId="166" fontId="24" fillId="20" borderId="0" xfId="8" applyFill="1" applyBorder="1"/>
    <xf numFmtId="166" fontId="24" fillId="20" borderId="9" xfId="8" applyFill="1" applyBorder="1"/>
    <xf numFmtId="166" fontId="33" fillId="20" borderId="0" xfId="8" applyFont="1" applyFill="1" applyBorder="1"/>
    <xf numFmtId="166" fontId="24" fillId="20" borderId="10" xfId="8" applyFill="1" applyBorder="1"/>
    <xf numFmtId="166" fontId="24" fillId="20" borderId="11" xfId="8" applyFill="1" applyBorder="1"/>
    <xf numFmtId="166" fontId="24" fillId="20" borderId="12" xfId="8" applyFill="1" applyBorder="1"/>
    <xf numFmtId="0" fontId="28" fillId="0" borderId="0" xfId="0" applyFont="1" applyFill="1" applyBorder="1" applyAlignment="1">
      <alignment horizontal="left" vertical="center" readingOrder="1"/>
    </xf>
    <xf numFmtId="9" fontId="39" fillId="0" borderId="0" xfId="0" applyNumberFormat="1" applyFont="1" applyFill="1" applyAlignment="1"/>
    <xf numFmtId="9" fontId="39" fillId="0" borderId="0" xfId="1" applyFont="1" applyFill="1" applyAlignment="1"/>
    <xf numFmtId="1" fontId="39" fillId="0" borderId="0" xfId="0" applyNumberFormat="1" applyFont="1" applyFill="1" applyAlignment="1"/>
    <xf numFmtId="0" fontId="37" fillId="22" borderId="2" xfId="0" applyNumberFormat="1" applyFont="1" applyFill="1" applyBorder="1" applyAlignment="1">
      <alignment horizontal="left" vertical="center" readingOrder="1"/>
    </xf>
    <xf numFmtId="14" fontId="39" fillId="0" borderId="0" xfId="0" applyNumberFormat="1" applyFont="1" applyFill="1" applyAlignment="1"/>
    <xf numFmtId="0" fontId="39" fillId="0" borderId="0" xfId="0" applyFont="1" applyFill="1" applyAlignment="1">
      <alignment horizontal="left"/>
    </xf>
    <xf numFmtId="1" fontId="39" fillId="0" borderId="0" xfId="1" applyNumberFormat="1" applyFont="1" applyFill="1" applyAlignment="1"/>
    <xf numFmtId="1" fontId="39" fillId="0" borderId="0" xfId="0" applyNumberFormat="1" applyFont="1" applyFill="1" applyAlignment="1">
      <alignment horizontal="left"/>
    </xf>
    <xf numFmtId="0" fontId="37" fillId="22" borderId="13" xfId="0" applyNumberFormat="1" applyFont="1" applyFill="1" applyBorder="1" applyAlignment="1">
      <alignment horizontal="left" vertical="center" readingOrder="1"/>
    </xf>
    <xf numFmtId="0" fontId="28" fillId="3" borderId="0" xfId="0" applyFont="1" applyFill="1" applyBorder="1" applyAlignment="1">
      <alignment horizontal="left" vertical="center" readingOrder="1"/>
    </xf>
    <xf numFmtId="0" fontId="28" fillId="0" borderId="1" xfId="0" applyFont="1" applyFill="1" applyBorder="1" applyAlignment="1">
      <alignment horizontal="left" vertical="center" readingOrder="1"/>
    </xf>
    <xf numFmtId="14" fontId="28" fillId="3" borderId="18" xfId="0" applyNumberFormat="1" applyFont="1" applyFill="1" applyBorder="1" applyAlignment="1">
      <alignment horizontal="left" vertical="center" readingOrder="1"/>
    </xf>
    <xf numFmtId="0" fontId="36" fillId="0" borderId="0" xfId="0" applyNumberFormat="1" applyFont="1"/>
    <xf numFmtId="1" fontId="36" fillId="0" borderId="0" xfId="0" applyNumberFormat="1" applyFont="1"/>
    <xf numFmtId="0" fontId="36" fillId="0" borderId="0" xfId="0" applyFont="1" applyAlignment="1">
      <alignment wrapText="1" readingOrder="1"/>
    </xf>
    <xf numFmtId="0" fontId="28" fillId="7" borderId="0" xfId="0" applyFont="1" applyFill="1" applyBorder="1" applyAlignment="1">
      <alignment horizontal="left" vertical="center" readingOrder="1"/>
    </xf>
    <xf numFmtId="0" fontId="27" fillId="9" borderId="15" xfId="0" applyFont="1" applyFill="1" applyBorder="1" applyAlignment="1">
      <alignment horizontal="left" vertical="center" readingOrder="1"/>
    </xf>
    <xf numFmtId="0" fontId="28" fillId="7" borderId="15" xfId="0" applyFont="1" applyFill="1" applyBorder="1" applyAlignment="1">
      <alignment horizontal="left" vertical="center" readingOrder="1"/>
    </xf>
    <xf numFmtId="0" fontId="53" fillId="2" borderId="1" xfId="0" applyFont="1" applyFill="1" applyBorder="1" applyAlignment="1">
      <alignment horizontal="left" vertical="center" readingOrder="1"/>
    </xf>
    <xf numFmtId="14" fontId="54" fillId="6" borderId="2" xfId="0" applyNumberFormat="1" applyFont="1" applyFill="1" applyBorder="1" applyAlignment="1">
      <alignment horizontal="left" vertical="center" readingOrder="1"/>
    </xf>
    <xf numFmtId="14" fontId="53" fillId="6" borderId="1" xfId="0" applyNumberFormat="1" applyFont="1" applyFill="1" applyBorder="1" applyAlignment="1">
      <alignment horizontal="left" vertical="top" wrapText="1" readingOrder="1"/>
    </xf>
    <xf numFmtId="0" fontId="54" fillId="3" borderId="2" xfId="0" applyFont="1" applyFill="1" applyBorder="1" applyAlignment="1">
      <alignment horizontal="left" vertical="center" readingOrder="1"/>
    </xf>
    <xf numFmtId="0" fontId="54" fillId="7" borderId="2" xfId="0" applyFont="1" applyFill="1" applyBorder="1" applyAlignment="1">
      <alignment horizontal="left" vertical="center" readingOrder="1"/>
    </xf>
    <xf numFmtId="0" fontId="54" fillId="7" borderId="2" xfId="0" applyFont="1" applyFill="1" applyBorder="1" applyAlignment="1">
      <alignment horizontal="left" vertical="top" wrapText="1" readingOrder="1"/>
    </xf>
    <xf numFmtId="0" fontId="28" fillId="3" borderId="16" xfId="0" applyFont="1" applyFill="1" applyBorder="1" applyAlignment="1">
      <alignment horizontal="left" vertical="center" readingOrder="1"/>
    </xf>
    <xf numFmtId="165" fontId="28" fillId="0" borderId="0" xfId="0" applyNumberFormat="1" applyFont="1" applyFill="1" applyAlignment="1">
      <alignment horizontal="left" vertical="center" readingOrder="1"/>
    </xf>
    <xf numFmtId="0" fontId="31" fillId="7" borderId="15" xfId="0" applyFont="1" applyFill="1" applyBorder="1" applyAlignment="1">
      <alignment horizontal="left" vertical="top" wrapText="1" readingOrder="1"/>
    </xf>
    <xf numFmtId="0" fontId="28" fillId="3" borderId="15" xfId="0" applyFont="1" applyFill="1" applyBorder="1" applyAlignment="1">
      <alignment horizontal="left" vertical="center" readingOrder="1"/>
    </xf>
    <xf numFmtId="0" fontId="62" fillId="0" borderId="0" xfId="0" applyFont="1"/>
    <xf numFmtId="0" fontId="62" fillId="0" borderId="0" xfId="0" applyFont="1" applyAlignment="1">
      <alignment wrapText="1"/>
    </xf>
    <xf numFmtId="164" fontId="62" fillId="0" borderId="0" xfId="0" applyNumberFormat="1" applyFont="1"/>
    <xf numFmtId="0" fontId="34" fillId="0" borderId="21" xfId="0" applyFont="1" applyFill="1" applyBorder="1"/>
    <xf numFmtId="0" fontId="34" fillId="0" borderId="27" xfId="0" applyFont="1" applyFill="1" applyBorder="1"/>
    <xf numFmtId="0" fontId="34" fillId="0" borderId="25" xfId="0" applyFont="1" applyFill="1" applyBorder="1"/>
    <xf numFmtId="0" fontId="34" fillId="0" borderId="0" xfId="0" applyFont="1" applyBorder="1"/>
    <xf numFmtId="0" fontId="54" fillId="0" borderId="0" xfId="0" applyFont="1"/>
    <xf numFmtId="0" fontId="54" fillId="0" borderId="0" xfId="0" applyFont="1" applyAlignment="1"/>
    <xf numFmtId="0" fontId="36" fillId="0" borderId="0" xfId="0" applyNumberFormat="1" applyFont="1" applyAlignment="1">
      <alignment wrapText="1"/>
    </xf>
    <xf numFmtId="0" fontId="36" fillId="0" borderId="0" xfId="0" applyFont="1" applyFill="1"/>
    <xf numFmtId="9" fontId="28" fillId="0" borderId="0" xfId="1" applyFont="1" applyFill="1" applyBorder="1" applyAlignment="1">
      <alignment horizontal="left" vertical="center" readingOrder="1"/>
    </xf>
    <xf numFmtId="14" fontId="43" fillId="16" borderId="0" xfId="0" applyNumberFormat="1" applyFont="1" applyFill="1" applyBorder="1" applyAlignment="1">
      <alignment horizontal="left"/>
    </xf>
    <xf numFmtId="9" fontId="66" fillId="23" borderId="0" xfId="0" applyNumberFormat="1" applyFont="1" applyFill="1" applyBorder="1" applyAlignment="1">
      <alignment vertical="center"/>
    </xf>
    <xf numFmtId="0" fontId="36" fillId="0" borderId="0" xfId="0" applyFont="1" applyFill="1" applyBorder="1"/>
    <xf numFmtId="1" fontId="66" fillId="23" borderId="0" xfId="0" applyNumberFormat="1" applyFont="1" applyFill="1" applyBorder="1" applyAlignment="1">
      <alignment vertical="center"/>
    </xf>
    <xf numFmtId="0" fontId="69" fillId="10" borderId="24" xfId="0" applyFont="1" applyFill="1" applyBorder="1" applyAlignment="1">
      <alignment horizontal="center" vertical="top" wrapText="1"/>
    </xf>
    <xf numFmtId="0" fontId="62" fillId="7" borderId="24" xfId="0" applyFont="1" applyFill="1" applyBorder="1" applyAlignment="1">
      <alignment horizontal="center" vertical="top" wrapText="1"/>
    </xf>
    <xf numFmtId="0" fontId="62" fillId="11" borderId="24" xfId="0" applyFont="1" applyFill="1" applyBorder="1" applyAlignment="1">
      <alignment horizontal="center" vertical="top" wrapText="1"/>
    </xf>
    <xf numFmtId="164" fontId="62" fillId="0" borderId="24" xfId="4" applyNumberFormat="1" applyFont="1" applyBorder="1" applyAlignment="1">
      <alignment vertical="top" wrapText="1"/>
    </xf>
    <xf numFmtId="0" fontId="70" fillId="33" borderId="34" xfId="0" applyFont="1" applyFill="1" applyBorder="1" applyAlignment="1">
      <alignment horizontal="center" vertical="center" wrapText="1"/>
    </xf>
    <xf numFmtId="0" fontId="70" fillId="33" borderId="30" xfId="0" applyFont="1" applyFill="1" applyBorder="1" applyAlignment="1">
      <alignment horizontal="center" vertical="center" wrapText="1"/>
    </xf>
    <xf numFmtId="0" fontId="70" fillId="33" borderId="35" xfId="0" applyFont="1" applyFill="1" applyBorder="1" applyAlignment="1">
      <alignment horizontal="center" vertical="center" wrapText="1"/>
    </xf>
    <xf numFmtId="0" fontId="63" fillId="0" borderId="31" xfId="0" applyFont="1" applyBorder="1" applyAlignment="1">
      <alignment horizontal="center" vertical="center"/>
    </xf>
    <xf numFmtId="0" fontId="70" fillId="0" borderId="32" xfId="0" applyFont="1" applyBorder="1" applyAlignment="1">
      <alignment horizontal="center" vertical="center" wrapText="1"/>
    </xf>
    <xf numFmtId="0" fontId="71" fillId="13" borderId="33" xfId="0" applyFont="1" applyFill="1" applyBorder="1" applyAlignment="1">
      <alignment horizontal="center" vertical="center" wrapText="1"/>
    </xf>
    <xf numFmtId="0" fontId="36" fillId="0" borderId="0" xfId="0" applyFont="1" applyFill="1" applyBorder="1" applyAlignment="1">
      <alignment horizontal="left"/>
    </xf>
    <xf numFmtId="9" fontId="36" fillId="0" borderId="0" xfId="0" applyNumberFormat="1" applyFont="1" applyFill="1" applyBorder="1"/>
    <xf numFmtId="0" fontId="68" fillId="8" borderId="23" xfId="0" applyFont="1" applyFill="1" applyBorder="1" applyAlignment="1">
      <alignment horizontal="center" vertical="center" wrapText="1"/>
    </xf>
    <xf numFmtId="0" fontId="68" fillId="36" borderId="23" xfId="0" applyFont="1" applyFill="1" applyBorder="1" applyAlignment="1">
      <alignment horizontal="center" vertical="center" wrapText="1"/>
    </xf>
    <xf numFmtId="0" fontId="0" fillId="0" borderId="23" xfId="0" applyBorder="1"/>
    <xf numFmtId="0" fontId="62" fillId="0" borderId="23" xfId="0" applyFont="1" applyBorder="1"/>
    <xf numFmtId="0" fontId="68" fillId="14" borderId="23" xfId="0" applyFont="1" applyFill="1" applyBorder="1" applyAlignment="1">
      <alignment horizontal="center" vertical="center" wrapText="1"/>
    </xf>
    <xf numFmtId="0" fontId="0" fillId="37" borderId="23" xfId="0" applyFill="1" applyBorder="1"/>
    <xf numFmtId="164" fontId="68" fillId="14" borderId="23" xfId="4" applyNumberFormat="1" applyFont="1" applyFill="1" applyBorder="1" applyAlignment="1">
      <alignment horizontal="right" vertical="center"/>
    </xf>
    <xf numFmtId="164" fontId="68" fillId="8" borderId="23" xfId="4" applyNumberFormat="1" applyFont="1" applyFill="1" applyBorder="1" applyAlignment="1">
      <alignment horizontal="right" vertical="center"/>
    </xf>
    <xf numFmtId="164" fontId="68" fillId="36" borderId="23" xfId="4" applyNumberFormat="1" applyFont="1" applyFill="1" applyBorder="1" applyAlignment="1">
      <alignment horizontal="right" vertical="center"/>
    </xf>
    <xf numFmtId="164" fontId="68" fillId="14" borderId="23" xfId="4" applyNumberFormat="1" applyFont="1" applyFill="1" applyBorder="1" applyAlignment="1">
      <alignment horizontal="center" vertical="center" wrapText="1"/>
    </xf>
    <xf numFmtId="164" fontId="68" fillId="36" borderId="23" xfId="4" applyNumberFormat="1" applyFont="1" applyFill="1" applyBorder="1" applyAlignment="1">
      <alignment horizontal="center" vertical="center" wrapText="1"/>
    </xf>
    <xf numFmtId="166" fontId="20" fillId="20" borderId="0" xfId="8" applyFont="1" applyFill="1" applyBorder="1"/>
    <xf numFmtId="0" fontId="62" fillId="0" borderId="0" xfId="0" applyFont="1" applyAlignment="1">
      <alignment horizontal="center" vertical="center" wrapText="1"/>
    </xf>
    <xf numFmtId="0" fontId="0" fillId="0" borderId="0" xfId="0" applyFill="1"/>
    <xf numFmtId="14" fontId="36" fillId="0" borderId="0" xfId="0" applyNumberFormat="1" applyFont="1"/>
    <xf numFmtId="165" fontId="36" fillId="0" borderId="0" xfId="0" applyNumberFormat="1" applyFont="1"/>
    <xf numFmtId="0" fontId="74" fillId="8" borderId="0" xfId="0" applyFont="1" applyFill="1"/>
    <xf numFmtId="0" fontId="74" fillId="38" borderId="0" xfId="0" applyFont="1" applyFill="1"/>
    <xf numFmtId="0" fontId="20" fillId="0" borderId="0" xfId="0" applyFont="1"/>
    <xf numFmtId="0" fontId="33" fillId="0" borderId="0" xfId="0" applyFont="1"/>
    <xf numFmtId="0" fontId="20" fillId="0" borderId="0" xfId="0" applyFont="1" applyAlignment="1">
      <alignment horizontal="left"/>
    </xf>
    <xf numFmtId="9" fontId="20" fillId="0" borderId="0" xfId="0" applyNumberFormat="1" applyFont="1"/>
    <xf numFmtId="0" fontId="20" fillId="0" borderId="0" xfId="0" applyNumberFormat="1" applyFont="1"/>
    <xf numFmtId="0" fontId="20" fillId="0" borderId="0" xfId="0" applyFont="1" applyAlignment="1">
      <alignment wrapText="1"/>
    </xf>
    <xf numFmtId="164" fontId="20" fillId="0" borderId="0" xfId="0" applyNumberFormat="1" applyFont="1"/>
    <xf numFmtId="0" fontId="76" fillId="0" borderId="0" xfId="0" applyFont="1"/>
    <xf numFmtId="0" fontId="75" fillId="14" borderId="0" xfId="0" applyFont="1" applyFill="1"/>
    <xf numFmtId="1" fontId="20" fillId="0" borderId="0" xfId="0" applyNumberFormat="1" applyFont="1"/>
    <xf numFmtId="0" fontId="20" fillId="0" borderId="0" xfId="0" applyFont="1" applyFill="1"/>
    <xf numFmtId="0" fontId="20" fillId="0" borderId="0" xfId="0" applyFont="1" applyFill="1" applyBorder="1" applyAlignment="1">
      <alignment horizontal="left"/>
    </xf>
    <xf numFmtId="0" fontId="20" fillId="0" borderId="0" xfId="0" applyNumberFormat="1" applyFont="1" applyFill="1" applyBorder="1"/>
    <xf numFmtId="9" fontId="20" fillId="0" borderId="0" xfId="0" applyNumberFormat="1" applyFont="1" applyFill="1"/>
    <xf numFmtId="0" fontId="20" fillId="0" borderId="0" xfId="0" applyNumberFormat="1" applyFont="1" applyFill="1"/>
    <xf numFmtId="0" fontId="20" fillId="17" borderId="29" xfId="0" applyFont="1" applyFill="1" applyBorder="1"/>
    <xf numFmtId="164" fontId="76" fillId="0" borderId="0" xfId="0" applyNumberFormat="1" applyFont="1"/>
    <xf numFmtId="0" fontId="20" fillId="19" borderId="0" xfId="0" applyFont="1" applyFill="1"/>
    <xf numFmtId="1" fontId="20" fillId="0" borderId="0" xfId="4" applyNumberFormat="1" applyFont="1"/>
    <xf numFmtId="0" fontId="20" fillId="34" borderId="0" xfId="0" applyFont="1" applyFill="1"/>
    <xf numFmtId="0" fontId="33" fillId="10" borderId="0" xfId="0" applyFont="1" applyFill="1"/>
    <xf numFmtId="0" fontId="77" fillId="0" borderId="42" xfId="0" applyFont="1" applyBorder="1" applyAlignment="1">
      <alignment horizontal="left"/>
    </xf>
    <xf numFmtId="0" fontId="77" fillId="0" borderId="39" xfId="0" applyFont="1" applyBorder="1" applyAlignment="1">
      <alignment horizontal="left"/>
    </xf>
    <xf numFmtId="0" fontId="74" fillId="8" borderId="0" xfId="0" applyFont="1" applyFill="1" applyAlignment="1">
      <alignment horizontal="left"/>
    </xf>
    <xf numFmtId="9" fontId="74" fillId="8" borderId="0" xfId="0" applyNumberFormat="1" applyFont="1" applyFill="1"/>
    <xf numFmtId="0" fontId="74" fillId="8" borderId="0" xfId="0" applyNumberFormat="1" applyFont="1" applyFill="1"/>
    <xf numFmtId="0" fontId="72" fillId="0" borderId="0" xfId="0" applyFont="1"/>
    <xf numFmtId="0" fontId="65" fillId="0" borderId="0" xfId="0" applyFont="1"/>
    <xf numFmtId="0" fontId="75" fillId="29" borderId="48" xfId="0" applyFont="1" applyFill="1" applyBorder="1" applyAlignment="1">
      <alignment horizontal="left" vertical="center" wrapText="1"/>
    </xf>
    <xf numFmtId="164" fontId="33" fillId="0" borderId="49" xfId="4" applyNumberFormat="1" applyFont="1" applyBorder="1"/>
    <xf numFmtId="164" fontId="33" fillId="0" borderId="50" xfId="4" applyNumberFormat="1" applyFont="1" applyBorder="1"/>
    <xf numFmtId="164" fontId="78" fillId="0" borderId="51" xfId="4" applyNumberFormat="1" applyFont="1" applyBorder="1" applyAlignment="1">
      <alignment horizontal="left" wrapText="1"/>
    </xf>
    <xf numFmtId="164" fontId="78" fillId="0" borderId="46" xfId="4" applyNumberFormat="1" applyFont="1" applyBorder="1" applyAlignment="1">
      <alignment horizontal="left" wrapText="1"/>
    </xf>
    <xf numFmtId="164" fontId="78" fillId="0" borderId="52" xfId="4" applyNumberFormat="1" applyFont="1" applyBorder="1" applyAlignment="1">
      <alignment horizontal="left" wrapText="1"/>
    </xf>
    <xf numFmtId="0" fontId="78" fillId="0" borderId="53" xfId="0" applyFont="1" applyBorder="1" applyAlignment="1">
      <alignment horizontal="left"/>
    </xf>
    <xf numFmtId="0" fontId="78" fillId="0" borderId="54" xfId="0" applyNumberFormat="1" applyFont="1" applyBorder="1"/>
    <xf numFmtId="0" fontId="78" fillId="0" borderId="55" xfId="0" applyNumberFormat="1" applyFont="1" applyBorder="1"/>
    <xf numFmtId="0" fontId="75" fillId="29" borderId="47" xfId="0" applyFont="1" applyFill="1" applyBorder="1"/>
    <xf numFmtId="0" fontId="78" fillId="0" borderId="0" xfId="0" applyFont="1" applyBorder="1" applyAlignment="1">
      <alignment horizontal="left"/>
    </xf>
    <xf numFmtId="0" fontId="78" fillId="0" borderId="0" xfId="0" applyNumberFormat="1" applyFont="1" applyBorder="1"/>
    <xf numFmtId="0" fontId="78" fillId="0" borderId="58" xfId="0" applyFont="1" applyBorder="1"/>
    <xf numFmtId="0" fontId="78" fillId="0" borderId="58" xfId="0" applyFont="1" applyBorder="1" applyAlignment="1">
      <alignment horizontal="left"/>
    </xf>
    <xf numFmtId="0" fontId="78" fillId="0" borderId="58" xfId="0" applyNumberFormat="1" applyFont="1" applyBorder="1"/>
    <xf numFmtId="0" fontId="20" fillId="0" borderId="57" xfId="0" applyFont="1" applyBorder="1" applyAlignment="1">
      <alignment horizontal="left"/>
    </xf>
    <xf numFmtId="0" fontId="20" fillId="0" borderId="57" xfId="0" applyNumberFormat="1" applyFont="1" applyBorder="1"/>
    <xf numFmtId="0" fontId="20" fillId="0" borderId="61" xfId="0" applyFont="1" applyBorder="1" applyAlignment="1">
      <alignment horizontal="left"/>
    </xf>
    <xf numFmtId="0" fontId="20" fillId="0" borderId="61" xfId="0" applyNumberFormat="1" applyFont="1" applyBorder="1"/>
    <xf numFmtId="0" fontId="20" fillId="0" borderId="62" xfId="0" applyNumberFormat="1" applyFont="1" applyBorder="1"/>
    <xf numFmtId="0" fontId="20" fillId="0" borderId="63" xfId="0" applyNumberFormat="1" applyFont="1" applyBorder="1"/>
    <xf numFmtId="0" fontId="79" fillId="39" borderId="59" xfId="0" applyFont="1" applyFill="1" applyBorder="1"/>
    <xf numFmtId="0" fontId="79" fillId="9" borderId="0" xfId="0" applyFont="1" applyFill="1"/>
    <xf numFmtId="0" fontId="75" fillId="32" borderId="0" xfId="0" applyFont="1" applyFill="1"/>
    <xf numFmtId="0" fontId="74" fillId="14" borderId="0" xfId="0" applyFont="1" applyFill="1"/>
    <xf numFmtId="0" fontId="74" fillId="9" borderId="0" xfId="0" applyFont="1" applyFill="1"/>
    <xf numFmtId="0" fontId="72" fillId="34" borderId="0" xfId="0" applyFont="1" applyFill="1"/>
    <xf numFmtId="0" fontId="74" fillId="32" borderId="0" xfId="0" applyFont="1" applyFill="1"/>
    <xf numFmtId="0" fontId="72" fillId="10" borderId="0" xfId="0" applyFont="1" applyFill="1"/>
    <xf numFmtId="0" fontId="81" fillId="0" borderId="0" xfId="0" applyFont="1"/>
    <xf numFmtId="0" fontId="20" fillId="31" borderId="0" xfId="0" applyFont="1" applyFill="1" applyBorder="1" applyAlignment="1">
      <alignment vertical="center"/>
    </xf>
    <xf numFmtId="0" fontId="20" fillId="31" borderId="0" xfId="0" applyFont="1" applyFill="1" applyBorder="1" applyAlignment="1">
      <alignment horizontal="left" vertical="center"/>
    </xf>
    <xf numFmtId="0" fontId="43" fillId="21" borderId="0" xfId="1" applyNumberFormat="1" applyFont="1" applyFill="1" applyBorder="1" applyAlignment="1">
      <alignment horizontal="center"/>
    </xf>
    <xf numFmtId="0" fontId="43" fillId="21" borderId="0" xfId="0" applyNumberFormat="1" applyFont="1" applyFill="1" applyBorder="1" applyAlignment="1">
      <alignment horizontal="center"/>
    </xf>
    <xf numFmtId="0" fontId="70" fillId="0" borderId="31" xfId="0" applyFont="1" applyBorder="1" applyAlignment="1">
      <alignment vertical="center" wrapText="1"/>
    </xf>
    <xf numFmtId="0" fontId="70" fillId="0" borderId="32" xfId="0" applyFont="1" applyBorder="1" applyAlignment="1">
      <alignment vertical="center" wrapText="1"/>
    </xf>
    <xf numFmtId="0" fontId="68" fillId="14" borderId="24" xfId="0" applyFont="1" applyFill="1" applyBorder="1" applyAlignment="1">
      <alignment horizontal="center" vertical="top" wrapText="1"/>
    </xf>
    <xf numFmtId="0" fontId="68" fillId="8" borderId="24" xfId="0" applyFont="1" applyFill="1" applyBorder="1" applyAlignment="1">
      <alignment horizontal="center" vertical="top" wrapText="1"/>
    </xf>
    <xf numFmtId="0" fontId="68" fillId="9" borderId="24" xfId="0" applyFont="1" applyFill="1" applyBorder="1" applyAlignment="1">
      <alignment horizontal="center" vertical="top" wrapText="1"/>
    </xf>
    <xf numFmtId="9" fontId="69" fillId="10" borderId="24" xfId="1" applyFont="1" applyFill="1" applyBorder="1" applyAlignment="1">
      <alignment horizontal="center" vertical="top" wrapText="1"/>
    </xf>
    <xf numFmtId="9" fontId="62" fillId="7" borderId="24" xfId="1" applyFont="1" applyFill="1" applyBorder="1" applyAlignment="1">
      <alignment horizontal="center" vertical="top" wrapText="1"/>
    </xf>
    <xf numFmtId="9" fontId="62" fillId="11" borderId="24" xfId="1" applyFont="1" applyFill="1" applyBorder="1" applyAlignment="1">
      <alignment horizontal="center" vertical="top" wrapText="1"/>
    </xf>
    <xf numFmtId="9" fontId="68" fillId="14" borderId="24" xfId="1" applyFont="1" applyFill="1" applyBorder="1"/>
    <xf numFmtId="9" fontId="68" fillId="8" borderId="24" xfId="1" applyFont="1" applyFill="1" applyBorder="1"/>
    <xf numFmtId="9" fontId="68" fillId="9" borderId="24" xfId="1" applyFont="1" applyFill="1" applyBorder="1"/>
    <xf numFmtId="0" fontId="62" fillId="0" borderId="0" xfId="0" applyFont="1" applyFill="1"/>
    <xf numFmtId="0" fontId="82" fillId="26" borderId="64" xfId="0" applyFont="1" applyFill="1" applyBorder="1"/>
    <xf numFmtId="0" fontId="74" fillId="41" borderId="0" xfId="0" applyFont="1" applyFill="1" applyAlignment="1">
      <alignment vertical="center"/>
    </xf>
    <xf numFmtId="164" fontId="62" fillId="0" borderId="0" xfId="4" applyNumberFormat="1" applyFont="1"/>
    <xf numFmtId="0" fontId="86" fillId="0" borderId="0" xfId="0" applyFont="1"/>
    <xf numFmtId="164" fontId="68" fillId="8" borderId="23" xfId="4" applyNumberFormat="1" applyFont="1" applyFill="1" applyBorder="1" applyAlignment="1">
      <alignment horizontal="center" vertical="center" wrapText="1"/>
    </xf>
    <xf numFmtId="0" fontId="89" fillId="0" borderId="0" xfId="0" applyFont="1"/>
    <xf numFmtId="164" fontId="77" fillId="0" borderId="43" xfId="4" applyNumberFormat="1" applyFont="1" applyBorder="1"/>
    <xf numFmtId="49" fontId="88" fillId="0" borderId="0" xfId="21" applyNumberFormat="1" applyFont="1" applyFill="1" applyBorder="1" applyAlignment="1">
      <alignment horizontal="left" vertical="center" wrapText="1"/>
    </xf>
    <xf numFmtId="0" fontId="86" fillId="0" borderId="27" xfId="0" applyFont="1" applyBorder="1"/>
    <xf numFmtId="0" fontId="86" fillId="31" borderId="27" xfId="0" applyFont="1" applyFill="1" applyBorder="1"/>
    <xf numFmtId="0" fontId="90" fillId="35" borderId="0" xfId="0" applyFont="1" applyFill="1" applyBorder="1" applyAlignment="1">
      <alignment horizontal="center" vertical="center" wrapText="1"/>
    </xf>
    <xf numFmtId="0" fontId="86" fillId="42" borderId="0" xfId="0" applyFont="1" applyFill="1"/>
    <xf numFmtId="0" fontId="33" fillId="0" borderId="67" xfId="0" applyFont="1" applyFill="1" applyBorder="1" applyAlignment="1">
      <alignment horizontal="left" vertical="center"/>
    </xf>
    <xf numFmtId="9" fontId="33" fillId="0" borderId="70" xfId="0" applyNumberFormat="1" applyFont="1" applyFill="1" applyBorder="1" applyAlignment="1">
      <alignment horizontal="center" vertical="center"/>
    </xf>
    <xf numFmtId="9" fontId="33" fillId="0" borderId="70" xfId="0" applyNumberFormat="1" applyFont="1" applyFill="1" applyBorder="1" applyAlignment="1">
      <alignment vertical="center"/>
    </xf>
    <xf numFmtId="164" fontId="33" fillId="0" borderId="69" xfId="4" applyNumberFormat="1" applyFont="1" applyFill="1" applyBorder="1" applyAlignment="1">
      <alignment vertical="center"/>
    </xf>
    <xf numFmtId="0" fontId="33" fillId="0" borderId="68" xfId="0" applyFont="1" applyFill="1" applyBorder="1" applyAlignment="1">
      <alignment vertical="center"/>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164" fontId="33" fillId="0" borderId="70" xfId="4" applyNumberFormat="1" applyFont="1" applyFill="1" applyBorder="1" applyAlignment="1">
      <alignment vertical="center"/>
    </xf>
    <xf numFmtId="0" fontId="34" fillId="0" borderId="0" xfId="22" applyFont="1" applyAlignment="1">
      <alignment horizontal="left" vertical="center"/>
    </xf>
    <xf numFmtId="0" fontId="57" fillId="26" borderId="71" xfId="22" applyFont="1" applyFill="1" applyBorder="1" applyAlignment="1">
      <alignment horizontal="center" vertical="center"/>
    </xf>
    <xf numFmtId="0" fontId="35" fillId="18" borderId="71" xfId="19" applyFont="1" applyFill="1" applyBorder="1" applyAlignment="1">
      <alignment horizontal="left" vertical="center" wrapText="1" readingOrder="1"/>
    </xf>
    <xf numFmtId="1" fontId="35" fillId="18" borderId="71" xfId="19" applyNumberFormat="1" applyFont="1" applyFill="1" applyBorder="1" applyAlignment="1">
      <alignment horizontal="left" vertical="center" wrapText="1" readingOrder="1"/>
    </xf>
    <xf numFmtId="9" fontId="35" fillId="18" borderId="71" xfId="19" applyNumberFormat="1" applyFont="1" applyFill="1" applyBorder="1" applyAlignment="1">
      <alignment horizontal="left" vertical="center" wrapText="1" readingOrder="1"/>
    </xf>
    <xf numFmtId="1" fontId="35" fillId="7" borderId="71" xfId="19" applyNumberFormat="1" applyFont="1" applyFill="1" applyBorder="1" applyAlignment="1">
      <alignment horizontal="left" vertical="center" wrapText="1" readingOrder="1"/>
    </xf>
    <xf numFmtId="0" fontId="23" fillId="0" borderId="0" xfId="22" applyAlignment="1">
      <alignment vertical="top" wrapText="1"/>
    </xf>
    <xf numFmtId="0" fontId="48" fillId="0" borderId="0" xfId="22" applyFont="1" applyAlignment="1">
      <alignment vertical="top" wrapText="1"/>
    </xf>
    <xf numFmtId="0" fontId="23" fillId="0" borderId="0" xfId="22" applyAlignment="1">
      <alignment wrapText="1"/>
    </xf>
    <xf numFmtId="0" fontId="29" fillId="12" borderId="4" xfId="22" applyFont="1" applyFill="1" applyBorder="1" applyAlignment="1">
      <alignment vertical="top" wrapText="1"/>
    </xf>
    <xf numFmtId="0" fontId="32" fillId="10" borderId="4" xfId="22" applyFont="1" applyFill="1" applyBorder="1" applyAlignment="1">
      <alignment horizontal="left" vertical="top" wrapText="1"/>
    </xf>
    <xf numFmtId="0" fontId="32" fillId="10" borderId="4" xfId="22" applyFont="1" applyFill="1" applyBorder="1" applyAlignment="1">
      <alignment horizontal="left" vertical="center" wrapText="1"/>
    </xf>
    <xf numFmtId="0" fontId="30" fillId="7" borderId="4" xfId="22" applyFont="1" applyFill="1" applyBorder="1" applyAlignment="1">
      <alignment vertical="top" wrapText="1"/>
    </xf>
    <xf numFmtId="0" fontId="30" fillId="11" borderId="4" xfId="22" applyFont="1" applyFill="1" applyBorder="1" applyAlignment="1">
      <alignment vertical="top" wrapText="1"/>
    </xf>
    <xf numFmtId="9" fontId="23" fillId="0" borderId="0" xfId="22" applyNumberFormat="1" applyAlignment="1">
      <alignment vertical="top" wrapText="1"/>
    </xf>
    <xf numFmtId="0" fontId="27" fillId="45" borderId="71" xfId="22" applyNumberFormat="1" applyFont="1" applyFill="1" applyBorder="1" applyAlignment="1">
      <alignment horizontal="center" vertical="center"/>
    </xf>
    <xf numFmtId="0" fontId="27" fillId="2" borderId="71" xfId="22" applyNumberFormat="1" applyFont="1" applyFill="1" applyBorder="1" applyAlignment="1">
      <alignment horizontal="center" vertical="center"/>
    </xf>
    <xf numFmtId="0" fontId="27" fillId="37" borderId="71" xfId="22" applyNumberFormat="1" applyFont="1" applyFill="1" applyBorder="1" applyAlignment="1">
      <alignment horizontal="center" vertical="center"/>
    </xf>
    <xf numFmtId="1" fontId="61" fillId="18" borderId="14" xfId="0" applyNumberFormat="1" applyFont="1" applyFill="1" applyBorder="1" applyAlignment="1">
      <alignment horizontal="left" vertical="top" wrapText="1" readingOrder="1"/>
    </xf>
    <xf numFmtId="0" fontId="27" fillId="38" borderId="71" xfId="22" applyNumberFormat="1" applyFont="1" applyFill="1" applyBorder="1" applyAlignment="1">
      <alignment horizontal="center" vertical="center"/>
    </xf>
    <xf numFmtId="0" fontId="61" fillId="27" borderId="71" xfId="22" applyNumberFormat="1" applyFont="1" applyFill="1" applyBorder="1" applyAlignment="1">
      <alignment horizontal="center" vertical="center" wrapText="1"/>
    </xf>
    <xf numFmtId="14" fontId="60" fillId="12" borderId="71" xfId="19" applyNumberFormat="1" applyFont="1" applyFill="1" applyBorder="1" applyAlignment="1">
      <alignment horizontal="center" vertical="center" wrapText="1"/>
    </xf>
    <xf numFmtId="14" fontId="60" fillId="22" borderId="71" xfId="19" applyNumberFormat="1" applyFont="1" applyFill="1" applyBorder="1" applyAlignment="1">
      <alignment horizontal="center" vertical="center" wrapText="1"/>
    </xf>
    <xf numFmtId="1" fontId="59" fillId="7" borderId="71" xfId="19" applyNumberFormat="1" applyFont="1" applyFill="1" applyBorder="1" applyAlignment="1">
      <alignment horizontal="center" vertical="center" wrapText="1"/>
    </xf>
    <xf numFmtId="0" fontId="59" fillId="7" borderId="71" xfId="19" applyFont="1" applyFill="1" applyBorder="1" applyAlignment="1">
      <alignment horizontal="center" vertical="center" wrapText="1"/>
    </xf>
    <xf numFmtId="0" fontId="59" fillId="7" borderId="0" xfId="19" applyFont="1" applyFill="1" applyBorder="1" applyAlignment="1">
      <alignment horizontal="center" vertical="center" wrapText="1"/>
    </xf>
    <xf numFmtId="0" fontId="27" fillId="9" borderId="71" xfId="22" applyNumberFormat="1" applyFont="1" applyFill="1" applyBorder="1" applyAlignment="1">
      <alignment horizontal="center" vertical="center"/>
    </xf>
    <xf numFmtId="14" fontId="28" fillId="17" borderId="71" xfId="19" applyNumberFormat="1" applyFont="1" applyFill="1" applyBorder="1" applyAlignment="1">
      <alignment horizontal="center" vertical="center" wrapText="1" readingOrder="1"/>
    </xf>
    <xf numFmtId="1" fontId="59" fillId="7" borderId="71" xfId="20" applyNumberFormat="1" applyFont="1" applyFill="1" applyBorder="1" applyAlignment="1">
      <alignment horizontal="center" vertical="center" wrapText="1"/>
    </xf>
    <xf numFmtId="1" fontId="61" fillId="7" borderId="71" xfId="19" applyNumberFormat="1" applyFont="1" applyFill="1" applyBorder="1" applyAlignment="1">
      <alignment horizontal="center" vertical="center" wrapText="1"/>
    </xf>
    <xf numFmtId="14" fontId="60" fillId="7" borderId="71" xfId="19" applyNumberFormat="1" applyFont="1" applyFill="1" applyBorder="1" applyAlignment="1">
      <alignment horizontal="center" vertical="center" wrapText="1"/>
    </xf>
    <xf numFmtId="0" fontId="60" fillId="7" borderId="71" xfId="19" applyFont="1" applyFill="1" applyBorder="1" applyAlignment="1">
      <alignment horizontal="center" vertical="center" wrapText="1"/>
    </xf>
    <xf numFmtId="0" fontId="43" fillId="14" borderId="0" xfId="0" applyFont="1" applyFill="1" applyBorder="1" applyAlignment="1"/>
    <xf numFmtId="1" fontId="43" fillId="8" borderId="0" xfId="0" applyNumberFormat="1" applyFont="1" applyFill="1" applyBorder="1" applyAlignment="1"/>
    <xf numFmtId="0" fontId="27" fillId="9" borderId="75" xfId="22" applyNumberFormat="1" applyFont="1" applyFill="1" applyBorder="1" applyAlignment="1">
      <alignment horizontal="center" vertical="center"/>
    </xf>
    <xf numFmtId="0" fontId="27" fillId="14" borderId="74" xfId="22" applyNumberFormat="1" applyFont="1" applyFill="1" applyBorder="1" applyAlignment="1">
      <alignment horizontal="center" vertical="center"/>
    </xf>
    <xf numFmtId="0" fontId="95" fillId="37" borderId="71" xfId="22" applyNumberFormat="1" applyFont="1" applyFill="1" applyBorder="1" applyAlignment="1">
      <alignment horizontal="left" vertical="center"/>
    </xf>
    <xf numFmtId="0" fontId="27" fillId="6" borderId="71" xfId="22" applyNumberFormat="1" applyFont="1" applyFill="1" applyBorder="1" applyAlignment="1">
      <alignment horizontal="center" vertical="center"/>
    </xf>
    <xf numFmtId="0" fontId="95" fillId="6" borderId="71" xfId="22" applyNumberFormat="1" applyFont="1" applyFill="1" applyBorder="1" applyAlignment="1">
      <alignment horizontal="left" vertical="center"/>
    </xf>
    <xf numFmtId="14" fontId="60" fillId="17" borderId="14" xfId="0" applyNumberFormat="1" applyFont="1" applyFill="1" applyBorder="1" applyAlignment="1">
      <alignment horizontal="left" vertical="top" wrapText="1" readingOrder="1"/>
    </xf>
    <xf numFmtId="0" fontId="61" fillId="18" borderId="14" xfId="0" applyFont="1" applyFill="1" applyBorder="1" applyAlignment="1">
      <alignment horizontal="left" vertical="top" wrapText="1" readingOrder="1"/>
    </xf>
    <xf numFmtId="0" fontId="61" fillId="22" borderId="19" xfId="0" applyNumberFormat="1" applyFont="1" applyFill="1" applyBorder="1" applyAlignment="1">
      <alignment horizontal="left" vertical="top" wrapText="1" readingOrder="1"/>
    </xf>
    <xf numFmtId="0" fontId="61" fillId="22" borderId="20" xfId="0" applyNumberFormat="1" applyFont="1" applyFill="1" applyBorder="1" applyAlignment="1">
      <alignment horizontal="left" vertical="top" wrapText="1" readingOrder="1"/>
    </xf>
    <xf numFmtId="0" fontId="61" fillId="22" borderId="2" xfId="0" applyNumberFormat="1" applyFont="1" applyFill="1" applyBorder="1" applyAlignment="1">
      <alignment horizontal="left" vertical="center" wrapText="1" readingOrder="1"/>
    </xf>
    <xf numFmtId="0" fontId="59" fillId="0" borderId="0" xfId="0" applyFont="1" applyAlignment="1">
      <alignment vertical="top" wrapText="1"/>
    </xf>
    <xf numFmtId="0" fontId="96" fillId="18" borderId="71" xfId="19" applyFont="1" applyFill="1" applyBorder="1" applyAlignment="1">
      <alignment horizontal="left" vertical="center" wrapText="1" readingOrder="1"/>
    </xf>
    <xf numFmtId="1" fontId="96" fillId="18" borderId="71" xfId="19" applyNumberFormat="1" applyFont="1" applyFill="1" applyBorder="1" applyAlignment="1">
      <alignment horizontal="left" vertical="center" wrapText="1" readingOrder="1"/>
    </xf>
    <xf numFmtId="0" fontId="97" fillId="18" borderId="71" xfId="19" applyFont="1" applyFill="1" applyBorder="1" applyAlignment="1">
      <alignment horizontal="left" vertical="center" wrapText="1" readingOrder="1"/>
    </xf>
    <xf numFmtId="0" fontId="96" fillId="18" borderId="71" xfId="19" applyFont="1" applyFill="1" applyBorder="1" applyAlignment="1">
      <alignment horizontal="left" vertical="center" wrapText="1"/>
    </xf>
    <xf numFmtId="1" fontId="97" fillId="18" borderId="71" xfId="19" applyNumberFormat="1" applyFont="1" applyFill="1" applyBorder="1" applyAlignment="1">
      <alignment horizontal="left" vertical="center" wrapText="1" readingOrder="1"/>
    </xf>
    <xf numFmtId="1" fontId="97" fillId="7" borderId="71" xfId="19" applyNumberFormat="1" applyFont="1" applyFill="1" applyBorder="1" applyAlignment="1">
      <alignment horizontal="left" vertical="center" wrapText="1" readingOrder="1"/>
    </xf>
    <xf numFmtId="0" fontId="96" fillId="28" borderId="71" xfId="19" applyFont="1" applyFill="1" applyBorder="1" applyAlignment="1">
      <alignment horizontal="left" vertical="center" wrapText="1"/>
    </xf>
    <xf numFmtId="14" fontId="97" fillId="7" borderId="71" xfId="19" applyNumberFormat="1" applyFont="1" applyFill="1" applyBorder="1" applyAlignment="1">
      <alignment horizontal="left" vertical="center" wrapText="1" readingOrder="1"/>
    </xf>
    <xf numFmtId="0" fontId="97" fillId="11" borderId="71" xfId="20" applyNumberFormat="1" applyFont="1" applyFill="1" applyBorder="1" applyAlignment="1">
      <alignment horizontal="left" vertical="center" wrapText="1" readingOrder="1"/>
    </xf>
    <xf numFmtId="1" fontId="97" fillId="11" borderId="71" xfId="19" applyNumberFormat="1" applyFont="1" applyFill="1" applyBorder="1" applyAlignment="1">
      <alignment horizontal="left" vertical="center" wrapText="1" readingOrder="1"/>
    </xf>
    <xf numFmtId="0" fontId="96" fillId="30" borderId="71" xfId="20" applyNumberFormat="1" applyFont="1" applyFill="1" applyBorder="1" applyAlignment="1">
      <alignment horizontal="left" vertical="center" wrapText="1" readingOrder="1"/>
    </xf>
    <xf numFmtId="14" fontId="97" fillId="17" borderId="71" xfId="19" applyNumberFormat="1" applyFont="1" applyFill="1" applyBorder="1" applyAlignment="1">
      <alignment horizontal="left" vertical="center" wrapText="1" readingOrder="1"/>
    </xf>
    <xf numFmtId="0" fontId="99" fillId="16" borderId="71" xfId="19" applyFont="1" applyFill="1" applyBorder="1" applyAlignment="1">
      <alignment horizontal="center" vertical="center" wrapText="1"/>
    </xf>
    <xf numFmtId="0" fontId="102" fillId="22" borderId="13" xfId="0" applyNumberFormat="1" applyFont="1" applyFill="1" applyBorder="1" applyAlignment="1">
      <alignment horizontal="left" vertical="center" wrapText="1" readingOrder="1"/>
    </xf>
    <xf numFmtId="0" fontId="102" fillId="22" borderId="2" xfId="0" applyNumberFormat="1" applyFont="1" applyFill="1" applyBorder="1" applyAlignment="1">
      <alignment horizontal="left" vertical="center" wrapText="1" readingOrder="1"/>
    </xf>
    <xf numFmtId="0" fontId="100" fillId="0" borderId="0" xfId="0" applyFont="1" applyAlignment="1"/>
    <xf numFmtId="14" fontId="35" fillId="18" borderId="71" xfId="19" applyNumberFormat="1" applyFont="1" applyFill="1" applyBorder="1" applyAlignment="1">
      <alignment horizontal="left" vertical="center" wrapText="1" readingOrder="1"/>
    </xf>
    <xf numFmtId="0" fontId="35" fillId="10" borderId="71" xfId="19" applyFont="1" applyFill="1" applyBorder="1" applyAlignment="1">
      <alignment horizontal="left" vertical="center" wrapText="1"/>
    </xf>
    <xf numFmtId="14" fontId="96" fillId="18" borderId="71" xfId="19" applyNumberFormat="1" applyFont="1" applyFill="1" applyBorder="1" applyAlignment="1">
      <alignment horizontal="left" vertical="center" wrapText="1" readingOrder="1"/>
    </xf>
    <xf numFmtId="9" fontId="35" fillId="11" borderId="71" xfId="19" applyNumberFormat="1" applyFont="1" applyFill="1" applyBorder="1" applyAlignment="1">
      <alignment horizontal="left" vertical="center" wrapText="1" readingOrder="1"/>
    </xf>
    <xf numFmtId="1" fontId="35" fillId="18" borderId="71" xfId="20" applyNumberFormat="1" applyFont="1" applyFill="1" applyBorder="1" applyAlignment="1">
      <alignment horizontal="left" vertical="center" wrapText="1" readingOrder="1"/>
    </xf>
    <xf numFmtId="0" fontId="103" fillId="22" borderId="13" xfId="0" applyNumberFormat="1" applyFont="1" applyFill="1" applyBorder="1" applyAlignment="1">
      <alignment horizontal="left" vertical="center" wrapText="1" readingOrder="1"/>
    </xf>
    <xf numFmtId="0" fontId="103" fillId="22" borderId="2" xfId="0" applyNumberFormat="1" applyFont="1" applyFill="1" applyBorder="1" applyAlignment="1">
      <alignment horizontal="left" vertical="center" wrapText="1" readingOrder="1"/>
    </xf>
    <xf numFmtId="0" fontId="110" fillId="0" borderId="0" xfId="0" applyFont="1" applyAlignment="1"/>
    <xf numFmtId="0" fontId="27" fillId="2" borderId="71" xfId="22" applyNumberFormat="1" applyFont="1" applyFill="1" applyBorder="1" applyAlignment="1">
      <alignment horizontal="center" vertical="center" wrapText="1"/>
    </xf>
    <xf numFmtId="0" fontId="27" fillId="6" borderId="71" xfId="22" applyNumberFormat="1" applyFont="1" applyFill="1" applyBorder="1" applyAlignment="1">
      <alignment horizontal="center" vertical="center" wrapText="1"/>
    </xf>
    <xf numFmtId="0" fontId="27" fillId="37" borderId="71" xfId="22" applyNumberFormat="1" applyFont="1" applyFill="1" applyBorder="1" applyAlignment="1">
      <alignment horizontal="center" vertical="center" wrapText="1"/>
    </xf>
    <xf numFmtId="0" fontId="27" fillId="45" borderId="71" xfId="22" applyNumberFormat="1" applyFont="1" applyFill="1" applyBorder="1" applyAlignment="1">
      <alignment horizontal="center" vertical="center" wrapText="1"/>
    </xf>
    <xf numFmtId="0" fontId="27" fillId="14" borderId="74" xfId="22" applyNumberFormat="1" applyFont="1" applyFill="1" applyBorder="1" applyAlignment="1">
      <alignment horizontal="center" vertical="center" wrapText="1"/>
    </xf>
    <xf numFmtId="0" fontId="27" fillId="38" borderId="71" xfId="22" applyNumberFormat="1" applyFont="1" applyFill="1" applyBorder="1" applyAlignment="1">
      <alignment horizontal="center" vertical="center" wrapText="1"/>
    </xf>
    <xf numFmtId="0" fontId="27" fillId="9" borderId="71" xfId="22" applyNumberFormat="1" applyFont="1" applyFill="1" applyBorder="1" applyAlignment="1">
      <alignment horizontal="center" vertical="center" wrapText="1"/>
    </xf>
    <xf numFmtId="0" fontId="37" fillId="22" borderId="13" xfId="0" applyNumberFormat="1" applyFont="1" applyFill="1" applyBorder="1" applyAlignment="1">
      <alignment horizontal="left" vertical="center" wrapText="1" readingOrder="1"/>
    </xf>
    <xf numFmtId="0" fontId="37" fillId="22" borderId="2" xfId="0" applyNumberFormat="1" applyFont="1" applyFill="1" applyBorder="1" applyAlignment="1">
      <alignment horizontal="left" vertical="center" wrapText="1" readingOrder="1"/>
    </xf>
    <xf numFmtId="0" fontId="39" fillId="0" borderId="0" xfId="0" applyFont="1" applyAlignment="1">
      <alignment wrapText="1"/>
    </xf>
    <xf numFmtId="0" fontId="112" fillId="0" borderId="0" xfId="19" applyFont="1" applyAlignment="1">
      <alignment horizontal="left" vertical="center"/>
    </xf>
    <xf numFmtId="0" fontId="35" fillId="0" borderId="0" xfId="22" applyFont="1" applyAlignment="1">
      <alignment horizontal="left" vertical="center"/>
    </xf>
    <xf numFmtId="0" fontId="37" fillId="16" borderId="71" xfId="22" applyFont="1" applyFill="1" applyBorder="1" applyAlignment="1">
      <alignment horizontal="center" vertical="center" wrapText="1"/>
    </xf>
    <xf numFmtId="0" fontId="37" fillId="16" borderId="71" xfId="19" applyFont="1" applyFill="1" applyBorder="1" applyAlignment="1">
      <alignment horizontal="center" vertical="center" wrapText="1"/>
    </xf>
    <xf numFmtId="0" fontId="112" fillId="0" borderId="0" xfId="19" applyFont="1" applyAlignment="1">
      <alignment horizontal="center" vertical="center"/>
    </xf>
    <xf numFmtId="14" fontId="35" fillId="17" borderId="71" xfId="19" applyNumberFormat="1" applyFont="1" applyFill="1" applyBorder="1" applyAlignment="1">
      <alignment horizontal="left" vertical="center" wrapText="1" readingOrder="1"/>
    </xf>
    <xf numFmtId="1" fontId="35" fillId="18" borderId="74" xfId="20" applyNumberFormat="1" applyFont="1" applyFill="1" applyBorder="1" applyAlignment="1">
      <alignment horizontal="left" vertical="center" wrapText="1" readingOrder="1"/>
    </xf>
    <xf numFmtId="0" fontId="35" fillId="18" borderId="74" xfId="19" applyFont="1" applyFill="1" applyBorder="1" applyAlignment="1">
      <alignment horizontal="left" vertical="center" wrapText="1" readingOrder="1"/>
    </xf>
    <xf numFmtId="1" fontId="35" fillId="18" borderId="74" xfId="19" applyNumberFormat="1" applyFont="1" applyFill="1" applyBorder="1" applyAlignment="1">
      <alignment horizontal="left" vertical="center" wrapText="1" readingOrder="1"/>
    </xf>
    <xf numFmtId="0" fontId="35" fillId="10" borderId="74" xfId="19" applyFont="1" applyFill="1" applyBorder="1" applyAlignment="1">
      <alignment horizontal="left" vertical="center" wrapText="1"/>
    </xf>
    <xf numFmtId="0" fontId="35" fillId="28" borderId="71" xfId="19" applyFont="1" applyFill="1" applyBorder="1" applyAlignment="1">
      <alignment horizontal="left" vertical="center" wrapText="1"/>
    </xf>
    <xf numFmtId="1" fontId="35" fillId="7" borderId="71" xfId="20" applyNumberFormat="1" applyFont="1" applyFill="1" applyBorder="1" applyAlignment="1">
      <alignment horizontal="left" vertical="center" wrapText="1" readingOrder="1"/>
    </xf>
    <xf numFmtId="14" fontId="35" fillId="7" borderId="71" xfId="19" applyNumberFormat="1" applyFont="1" applyFill="1" applyBorder="1" applyAlignment="1">
      <alignment horizontal="left" vertical="center" wrapText="1"/>
    </xf>
    <xf numFmtId="14" fontId="35" fillId="7" borderId="71" xfId="19" applyNumberFormat="1" applyFont="1" applyFill="1" applyBorder="1" applyAlignment="1">
      <alignment horizontal="left" vertical="center" wrapText="1" readingOrder="1"/>
    </xf>
    <xf numFmtId="0" fontId="35" fillId="7" borderId="71" xfId="19" applyFont="1" applyFill="1" applyBorder="1" applyAlignment="1">
      <alignment horizontal="left" vertical="center" wrapText="1"/>
    </xf>
    <xf numFmtId="0" fontId="35" fillId="7" borderId="71" xfId="19" applyFont="1" applyFill="1" applyBorder="1" applyAlignment="1">
      <alignment horizontal="left" vertical="center" wrapText="1" readingOrder="1"/>
    </xf>
    <xf numFmtId="0" fontId="35" fillId="11" borderId="71" xfId="20" applyNumberFormat="1" applyFont="1" applyFill="1" applyBorder="1" applyAlignment="1">
      <alignment horizontal="left" vertical="center" wrapText="1" readingOrder="1"/>
    </xf>
    <xf numFmtId="0" fontId="35" fillId="30" borderId="71" xfId="20" applyNumberFormat="1" applyFont="1" applyFill="1" applyBorder="1" applyAlignment="1">
      <alignment horizontal="left" vertical="center" wrapText="1" readingOrder="1"/>
    </xf>
    <xf numFmtId="1" fontId="35" fillId="11" borderId="71" xfId="19" applyNumberFormat="1" applyFont="1" applyFill="1" applyBorder="1" applyAlignment="1">
      <alignment horizontal="left" vertical="center" wrapText="1" readingOrder="1"/>
    </xf>
    <xf numFmtId="0" fontId="35" fillId="30" borderId="71" xfId="19" applyFont="1" applyFill="1" applyBorder="1" applyAlignment="1">
      <alignment horizontal="left" vertical="center" wrapText="1"/>
    </xf>
    <xf numFmtId="9" fontId="35" fillId="11" borderId="74" xfId="19" applyNumberFormat="1" applyFont="1" applyFill="1" applyBorder="1" applyAlignment="1">
      <alignment horizontal="left" vertical="center" wrapText="1" readingOrder="1"/>
    </xf>
    <xf numFmtId="0" fontId="35" fillId="30" borderId="74" xfId="19" applyFont="1" applyFill="1" applyBorder="1" applyAlignment="1">
      <alignment horizontal="left" vertical="center" wrapText="1"/>
    </xf>
    <xf numFmtId="0" fontId="61" fillId="0" borderId="0" xfId="19" applyFont="1" applyAlignment="1">
      <alignment horizontal="left" vertical="center"/>
    </xf>
    <xf numFmtId="0" fontId="35" fillId="0" borderId="0" xfId="19" applyFont="1" applyAlignment="1">
      <alignment horizontal="left" vertical="center"/>
    </xf>
    <xf numFmtId="0" fontId="114" fillId="0" borderId="0" xfId="19" applyFont="1" applyAlignment="1">
      <alignment horizontal="left" vertical="center"/>
    </xf>
    <xf numFmtId="0" fontId="114" fillId="0" borderId="0" xfId="19" applyFont="1" applyAlignment="1">
      <alignment horizontal="center" vertical="center"/>
    </xf>
    <xf numFmtId="0" fontId="98" fillId="0" borderId="0" xfId="19" applyFont="1" applyAlignment="1">
      <alignment horizontal="left" vertical="center"/>
    </xf>
    <xf numFmtId="0" fontId="96" fillId="0" borderId="0" xfId="19" applyFont="1" applyAlignment="1">
      <alignment horizontal="left" vertical="center"/>
    </xf>
    <xf numFmtId="0" fontId="97" fillId="0" borderId="0" xfId="19" applyFont="1" applyAlignment="1">
      <alignment horizontal="left" vertical="center"/>
    </xf>
    <xf numFmtId="0" fontId="27" fillId="9" borderId="0" xfId="22" applyNumberFormat="1" applyFont="1" applyFill="1" applyBorder="1" applyAlignment="1">
      <alignment horizontal="center" vertical="center"/>
    </xf>
    <xf numFmtId="14" fontId="28" fillId="17" borderId="71" xfId="19" applyNumberFormat="1" applyFont="1" applyFill="1" applyBorder="1" applyAlignment="1">
      <alignment horizontal="center" vertical="center" wrapText="1"/>
    </xf>
    <xf numFmtId="14" fontId="28" fillId="7" borderId="71" xfId="19" applyNumberFormat="1" applyFont="1" applyFill="1" applyBorder="1" applyAlignment="1">
      <alignment horizontal="center" vertical="center" wrapText="1"/>
    </xf>
    <xf numFmtId="14" fontId="28" fillId="27" borderId="71" xfId="19" applyNumberFormat="1" applyFont="1" applyFill="1" applyBorder="1" applyAlignment="1">
      <alignment horizontal="center" vertical="center" wrapText="1"/>
    </xf>
    <xf numFmtId="14" fontId="28" fillId="22" borderId="71" xfId="19" applyNumberFormat="1" applyFont="1" applyFill="1" applyBorder="1" applyAlignment="1">
      <alignment horizontal="center" vertical="center" wrapText="1"/>
    </xf>
    <xf numFmtId="14" fontId="28" fillId="17" borderId="76" xfId="19" applyNumberFormat="1" applyFont="1" applyFill="1" applyBorder="1" applyAlignment="1">
      <alignment horizontal="center" vertical="center" wrapText="1"/>
    </xf>
    <xf numFmtId="0" fontId="27" fillId="9" borderId="76" xfId="22" applyNumberFormat="1" applyFont="1" applyFill="1" applyBorder="1" applyAlignment="1">
      <alignment horizontal="center" vertical="center" wrapText="1"/>
    </xf>
    <xf numFmtId="1" fontId="94" fillId="18" borderId="0" xfId="0" applyNumberFormat="1" applyFont="1" applyFill="1" applyBorder="1" applyAlignment="1">
      <alignment vertical="top" wrapText="1"/>
    </xf>
    <xf numFmtId="0" fontId="94" fillId="18" borderId="77" xfId="0" applyFont="1" applyFill="1" applyBorder="1" applyAlignment="1">
      <alignment vertical="top" wrapText="1"/>
    </xf>
    <xf numFmtId="0" fontId="94" fillId="18" borderId="78" xfId="0" applyFont="1" applyFill="1" applyBorder="1" applyAlignment="1">
      <alignment vertical="top" wrapText="1"/>
    </xf>
    <xf numFmtId="1" fontId="104" fillId="18" borderId="81" xfId="0" applyNumberFormat="1" applyFont="1" applyFill="1" applyBorder="1" applyAlignment="1">
      <alignment vertical="top" wrapText="1"/>
    </xf>
    <xf numFmtId="0" fontId="104" fillId="18" borderId="81" xfId="0" applyFont="1" applyFill="1" applyBorder="1" applyAlignment="1">
      <alignment vertical="top" wrapText="1"/>
    </xf>
    <xf numFmtId="0" fontId="116" fillId="5" borderId="81" xfId="0" applyFont="1" applyFill="1" applyBorder="1" applyAlignment="1">
      <alignment horizontal="center" vertical="center" wrapText="1"/>
    </xf>
    <xf numFmtId="1" fontId="104" fillId="18" borderId="82" xfId="0" applyNumberFormat="1" applyFont="1" applyFill="1" applyBorder="1" applyAlignment="1">
      <alignment vertical="top" wrapText="1"/>
    </xf>
    <xf numFmtId="0" fontId="116" fillId="5" borderId="82" xfId="0" applyFont="1" applyFill="1" applyBorder="1" applyAlignment="1">
      <alignment horizontal="center" vertical="center" wrapText="1"/>
    </xf>
    <xf numFmtId="0" fontId="104" fillId="18" borderId="83" xfId="0" applyFont="1" applyFill="1" applyBorder="1" applyAlignment="1">
      <alignment vertical="top" wrapText="1"/>
    </xf>
    <xf numFmtId="1" fontId="104" fillId="18" borderId="84" xfId="0" applyNumberFormat="1" applyFont="1" applyFill="1" applyBorder="1" applyAlignment="1">
      <alignment vertical="top" wrapText="1"/>
    </xf>
    <xf numFmtId="0" fontId="94" fillId="18" borderId="85" xfId="0" applyFont="1" applyFill="1" applyBorder="1" applyAlignment="1">
      <alignment vertical="top" wrapText="1"/>
    </xf>
    <xf numFmtId="0" fontId="94" fillId="18" borderId="86" xfId="0" applyFont="1" applyFill="1" applyBorder="1" applyAlignment="1">
      <alignment vertical="top" wrapText="1"/>
    </xf>
    <xf numFmtId="1" fontId="94" fillId="18" borderId="87" xfId="0" applyNumberFormat="1" applyFont="1" applyFill="1" applyBorder="1" applyAlignment="1">
      <alignment vertical="top" wrapText="1"/>
    </xf>
    <xf numFmtId="0" fontId="116" fillId="5" borderId="88" xfId="0" applyFont="1" applyFill="1" applyBorder="1" applyAlignment="1">
      <alignment horizontal="center" vertical="center" wrapText="1"/>
    </xf>
    <xf numFmtId="0" fontId="94" fillId="18" borderId="79" xfId="0" applyFont="1" applyFill="1" applyBorder="1" applyAlignment="1">
      <alignment vertical="top" wrapText="1"/>
    </xf>
    <xf numFmtId="1" fontId="104" fillId="18" borderId="88" xfId="0" applyNumberFormat="1" applyFont="1" applyFill="1" applyBorder="1" applyAlignment="1">
      <alignment vertical="top" wrapText="1"/>
    </xf>
    <xf numFmtId="1" fontId="117" fillId="18" borderId="81" xfId="0" applyNumberFormat="1" applyFont="1" applyFill="1" applyBorder="1" applyAlignment="1">
      <alignment vertical="top" wrapText="1"/>
    </xf>
    <xf numFmtId="1" fontId="117" fillId="18" borderId="88" xfId="0" applyNumberFormat="1" applyFont="1" applyFill="1" applyBorder="1" applyAlignment="1">
      <alignment vertical="top" wrapText="1"/>
    </xf>
    <xf numFmtId="1" fontId="94" fillId="5" borderId="80" xfId="0" applyNumberFormat="1" applyFont="1" applyFill="1" applyBorder="1" applyAlignment="1">
      <alignment vertical="top" wrapText="1"/>
    </xf>
    <xf numFmtId="0" fontId="38" fillId="5" borderId="81" xfId="0" applyFont="1" applyFill="1" applyBorder="1" applyAlignment="1">
      <alignment vertical="center" wrapText="1"/>
    </xf>
    <xf numFmtId="0" fontId="94" fillId="18" borderId="81" xfId="0" applyFont="1" applyFill="1" applyBorder="1" applyAlignment="1">
      <alignment vertical="top" wrapText="1"/>
    </xf>
    <xf numFmtId="9" fontId="94" fillId="18" borderId="81" xfId="0" applyNumberFormat="1" applyFont="1" applyFill="1" applyBorder="1" applyAlignment="1">
      <alignment vertical="top" wrapText="1"/>
    </xf>
    <xf numFmtId="0" fontId="38" fillId="5" borderId="88" xfId="0" applyFont="1" applyFill="1" applyBorder="1" applyAlignment="1">
      <alignment vertical="center" wrapText="1"/>
    </xf>
    <xf numFmtId="1" fontId="94" fillId="18" borderId="88" xfId="0" applyNumberFormat="1" applyFont="1" applyFill="1" applyBorder="1" applyAlignment="1">
      <alignment vertical="top" wrapText="1"/>
    </xf>
    <xf numFmtId="1" fontId="104" fillId="18" borderId="83" xfId="0" applyNumberFormat="1" applyFont="1" applyFill="1" applyBorder="1" applyAlignment="1">
      <alignment vertical="top" wrapText="1"/>
    </xf>
    <xf numFmtId="0" fontId="38" fillId="5" borderId="83" xfId="0" applyFont="1" applyFill="1" applyBorder="1" applyAlignment="1">
      <alignment vertical="center" wrapText="1"/>
    </xf>
    <xf numFmtId="1" fontId="94" fillId="18" borderId="93" xfId="0" applyNumberFormat="1" applyFont="1" applyFill="1" applyBorder="1" applyAlignment="1">
      <alignment vertical="top" wrapText="1"/>
    </xf>
    <xf numFmtId="0" fontId="104" fillId="18" borderId="84" xfId="0" applyFont="1" applyFill="1" applyBorder="1" applyAlignment="1">
      <alignment vertical="top" wrapText="1"/>
    </xf>
    <xf numFmtId="1" fontId="94" fillId="18" borderId="89" xfId="0" applyNumberFormat="1" applyFont="1" applyFill="1" applyBorder="1" applyAlignment="1">
      <alignment vertical="top" wrapText="1"/>
    </xf>
    <xf numFmtId="0" fontId="104" fillId="6" borderId="81" xfId="0" applyFont="1" applyFill="1" applyBorder="1" applyAlignment="1">
      <alignment vertical="top" wrapText="1"/>
    </xf>
    <xf numFmtId="1" fontId="104" fillId="6" borderId="81" xfId="0" applyNumberFormat="1" applyFont="1" applyFill="1" applyBorder="1" applyAlignment="1">
      <alignment vertical="top" wrapText="1"/>
    </xf>
    <xf numFmtId="1" fontId="106" fillId="6" borderId="81" xfId="0" applyNumberFormat="1" applyFont="1" applyFill="1" applyBorder="1" applyAlignment="1">
      <alignment vertical="top" wrapText="1"/>
    </xf>
    <xf numFmtId="0" fontId="38" fillId="8" borderId="81" xfId="0" applyFont="1" applyFill="1" applyBorder="1" applyAlignment="1">
      <alignment vertical="center" wrapText="1"/>
    </xf>
    <xf numFmtId="1" fontId="38" fillId="8" borderId="81" xfId="0" applyNumberFormat="1" applyFont="1" applyFill="1" applyBorder="1" applyAlignment="1">
      <alignment vertical="center" wrapText="1"/>
    </xf>
    <xf numFmtId="1" fontId="43" fillId="8" borderId="81" xfId="0" applyNumberFormat="1" applyFont="1" applyFill="1" applyBorder="1" applyAlignment="1">
      <alignment vertical="center" wrapText="1"/>
    </xf>
    <xf numFmtId="0" fontId="94" fillId="6" borderId="81" xfId="0" applyFont="1" applyFill="1" applyBorder="1" applyAlignment="1">
      <alignment vertical="top" wrapText="1"/>
    </xf>
    <xf numFmtId="1" fontId="104" fillId="6" borderId="88" xfId="0" applyNumberFormat="1" applyFont="1" applyFill="1" applyBorder="1" applyAlignment="1">
      <alignment vertical="top" wrapText="1"/>
    </xf>
    <xf numFmtId="0" fontId="38" fillId="8" borderId="88" xfId="0" applyFont="1" applyFill="1" applyBorder="1" applyAlignment="1">
      <alignment vertical="center" wrapText="1"/>
    </xf>
    <xf numFmtId="1" fontId="94" fillId="6" borderId="88" xfId="0" applyNumberFormat="1" applyFont="1" applyFill="1" applyBorder="1" applyAlignment="1">
      <alignment vertical="top" wrapText="1"/>
    </xf>
    <xf numFmtId="0" fontId="104" fillId="6" borderId="82" xfId="0" applyFont="1" applyFill="1" applyBorder="1" applyAlignment="1">
      <alignment vertical="top" wrapText="1"/>
    </xf>
    <xf numFmtId="0" fontId="38" fillId="8" borderId="82" xfId="0" applyFont="1" applyFill="1" applyBorder="1" applyAlignment="1">
      <alignment vertical="center" wrapText="1"/>
    </xf>
    <xf numFmtId="0" fontId="94" fillId="6" borderId="82" xfId="0" applyFont="1" applyFill="1" applyBorder="1" applyAlignment="1">
      <alignment vertical="top" wrapText="1"/>
    </xf>
    <xf numFmtId="1" fontId="104" fillId="6" borderId="83" xfId="0" applyNumberFormat="1" applyFont="1" applyFill="1" applyBorder="1" applyAlignment="1">
      <alignment vertical="top" wrapText="1"/>
    </xf>
    <xf numFmtId="0" fontId="104" fillId="6" borderId="84" xfId="0" applyFont="1" applyFill="1" applyBorder="1" applyAlignment="1">
      <alignment vertical="top" wrapText="1"/>
    </xf>
    <xf numFmtId="0" fontId="38" fillId="8" borderId="83" xfId="0" applyFont="1" applyFill="1" applyBorder="1" applyAlignment="1">
      <alignment vertical="center" wrapText="1"/>
    </xf>
    <xf numFmtId="0" fontId="38" fillId="8" borderId="84" xfId="0" applyFont="1" applyFill="1" applyBorder="1" applyAlignment="1">
      <alignment vertical="center" wrapText="1"/>
    </xf>
    <xf numFmtId="1" fontId="94" fillId="6" borderId="85" xfId="0" applyNumberFormat="1" applyFont="1" applyFill="1" applyBorder="1" applyAlignment="1">
      <alignment vertical="top" wrapText="1"/>
    </xf>
    <xf numFmtId="0" fontId="94" fillId="6" borderId="87" xfId="0" applyFont="1" applyFill="1" applyBorder="1" applyAlignment="1">
      <alignment vertical="top" wrapText="1"/>
    </xf>
    <xf numFmtId="1" fontId="104" fillId="9" borderId="81" xfId="0" applyNumberFormat="1" applyFont="1" applyFill="1" applyBorder="1" applyAlignment="1">
      <alignment vertical="top" wrapText="1"/>
    </xf>
    <xf numFmtId="1" fontId="44" fillId="9" borderId="81" xfId="1" applyNumberFormat="1" applyFont="1" applyFill="1" applyBorder="1" applyAlignment="1">
      <alignment vertical="center"/>
    </xf>
    <xf numFmtId="1" fontId="38" fillId="9" borderId="81" xfId="0" applyNumberFormat="1" applyFont="1" applyFill="1" applyBorder="1" applyAlignment="1">
      <alignment vertical="center" wrapText="1"/>
    </xf>
    <xf numFmtId="1" fontId="101" fillId="9" borderId="81" xfId="0" applyNumberFormat="1" applyFont="1" applyFill="1" applyBorder="1" applyAlignment="1">
      <alignment vertical="top" wrapText="1"/>
    </xf>
    <xf numFmtId="1" fontId="101" fillId="9" borderId="81" xfId="0" applyNumberFormat="1" applyFont="1" applyFill="1" applyBorder="1" applyAlignment="1">
      <alignment vertical="top"/>
    </xf>
    <xf numFmtId="1" fontId="44" fillId="9" borderId="81" xfId="1" applyNumberFormat="1" applyFont="1" applyFill="1" applyBorder="1" applyAlignment="1">
      <alignment vertical="center" wrapText="1"/>
    </xf>
    <xf numFmtId="1" fontId="46" fillId="9" borderId="81" xfId="0" applyNumberFormat="1" applyFont="1" applyFill="1" applyBorder="1" applyAlignment="1">
      <alignment horizontal="center" vertical="center" wrapText="1"/>
    </xf>
    <xf numFmtId="1" fontId="94" fillId="9" borderId="81" xfId="0" applyNumberFormat="1" applyFont="1" applyFill="1" applyBorder="1" applyAlignment="1">
      <alignment vertical="top" wrapText="1"/>
    </xf>
    <xf numFmtId="1" fontId="94" fillId="19" borderId="81" xfId="0" applyNumberFormat="1" applyFont="1" applyFill="1" applyBorder="1" applyAlignment="1">
      <alignment vertical="top" wrapText="1"/>
    </xf>
    <xf numFmtId="1" fontId="108" fillId="9" borderId="81" xfId="0" applyNumberFormat="1" applyFont="1" applyFill="1" applyBorder="1" applyAlignment="1">
      <alignment vertical="top" wrapText="1"/>
    </xf>
    <xf numFmtId="9" fontId="104" fillId="9" borderId="88" xfId="1" applyNumberFormat="1" applyFont="1" applyFill="1" applyBorder="1" applyAlignment="1">
      <alignment vertical="top" wrapText="1"/>
    </xf>
    <xf numFmtId="9" fontId="38" fillId="9" borderId="88" xfId="1" applyFont="1" applyFill="1" applyBorder="1" applyAlignment="1">
      <alignment vertical="center" wrapText="1"/>
    </xf>
    <xf numFmtId="9" fontId="101" fillId="9" borderId="88" xfId="1" applyNumberFormat="1" applyFont="1" applyFill="1" applyBorder="1" applyAlignment="1">
      <alignment vertical="top" wrapText="1"/>
    </xf>
    <xf numFmtId="1" fontId="46" fillId="9" borderId="88" xfId="0" applyNumberFormat="1" applyFont="1" applyFill="1" applyBorder="1" applyAlignment="1">
      <alignment horizontal="center" vertical="center" wrapText="1"/>
    </xf>
    <xf numFmtId="1" fontId="94" fillId="19" borderId="88" xfId="0" applyNumberFormat="1" applyFont="1" applyFill="1" applyBorder="1" applyAlignment="1">
      <alignment vertical="top" wrapText="1"/>
    </xf>
    <xf numFmtId="1" fontId="104" fillId="9" borderId="82" xfId="0" applyNumberFormat="1" applyFont="1" applyFill="1" applyBorder="1" applyAlignment="1">
      <alignment vertical="top" wrapText="1"/>
    </xf>
    <xf numFmtId="1" fontId="38" fillId="9" borderId="82" xfId="0" applyNumberFormat="1" applyFont="1" applyFill="1" applyBorder="1" applyAlignment="1">
      <alignment vertical="center" wrapText="1"/>
    </xf>
    <xf numFmtId="1" fontId="101" fillId="9" borderId="82" xfId="0" applyNumberFormat="1" applyFont="1" applyFill="1" applyBorder="1" applyAlignment="1">
      <alignment vertical="top" wrapText="1"/>
    </xf>
    <xf numFmtId="1" fontId="46" fillId="9" borderId="82" xfId="0" applyNumberFormat="1" applyFont="1" applyFill="1" applyBorder="1" applyAlignment="1">
      <alignment horizontal="center" vertical="center" wrapText="1"/>
    </xf>
    <xf numFmtId="1" fontId="94" fillId="19" borderId="82" xfId="0" applyNumberFormat="1" applyFont="1" applyFill="1" applyBorder="1" applyAlignment="1">
      <alignment vertical="top" wrapText="1"/>
    </xf>
    <xf numFmtId="9" fontId="38" fillId="9" borderId="102" xfId="1" applyFont="1" applyFill="1" applyBorder="1" applyAlignment="1">
      <alignment vertical="center" wrapText="1"/>
    </xf>
    <xf numFmtId="9" fontId="101" fillId="9" borderId="102" xfId="1" applyNumberFormat="1" applyFont="1" applyFill="1" applyBorder="1" applyAlignment="1">
      <alignment vertical="top" wrapText="1"/>
    </xf>
    <xf numFmtId="9" fontId="104" fillId="9" borderId="102" xfId="1" applyNumberFormat="1" applyFont="1" applyFill="1" applyBorder="1" applyAlignment="1">
      <alignment vertical="top" wrapText="1"/>
    </xf>
    <xf numFmtId="1" fontId="46" fillId="9" borderId="102" xfId="0" applyNumberFormat="1" applyFont="1" applyFill="1" applyBorder="1" applyAlignment="1">
      <alignment horizontal="center" vertical="center" wrapText="1"/>
    </xf>
    <xf numFmtId="9" fontId="94" fillId="9" borderId="103" xfId="0" applyNumberFormat="1" applyFont="1" applyFill="1" applyBorder="1" applyAlignment="1">
      <alignment vertical="top" wrapText="1"/>
    </xf>
    <xf numFmtId="1" fontId="94" fillId="5" borderId="81" xfId="0" applyNumberFormat="1" applyFont="1" applyFill="1" applyBorder="1" applyAlignment="1">
      <alignment horizontal="center" vertical="center" wrapText="1"/>
    </xf>
    <xf numFmtId="0" fontId="94" fillId="8" borderId="81" xfId="0" applyFont="1" applyFill="1" applyBorder="1" applyAlignment="1">
      <alignment horizontal="center" vertical="center" wrapText="1"/>
    </xf>
    <xf numFmtId="1" fontId="94" fillId="9" borderId="81" xfId="0" applyNumberFormat="1" applyFont="1" applyFill="1" applyBorder="1" applyAlignment="1">
      <alignment horizontal="center" vertical="center" wrapText="1"/>
    </xf>
    <xf numFmtId="0" fontId="62" fillId="46" borderId="0" xfId="0" applyFont="1" applyFill="1"/>
    <xf numFmtId="0" fontId="0" fillId="46" borderId="0" xfId="0" applyFill="1"/>
    <xf numFmtId="0" fontId="40" fillId="46" borderId="0" xfId="0" applyFont="1" applyFill="1"/>
    <xf numFmtId="1" fontId="36" fillId="0" borderId="0" xfId="0" applyNumberFormat="1" applyFont="1" applyFill="1" applyBorder="1" applyAlignment="1">
      <alignment wrapText="1"/>
    </xf>
    <xf numFmtId="0" fontId="36" fillId="0" borderId="0" xfId="0" applyFont="1" applyFill="1" applyAlignment="1">
      <alignment wrapText="1"/>
    </xf>
    <xf numFmtId="0" fontId="36" fillId="0" borderId="0" xfId="0" applyNumberFormat="1" applyFont="1" applyFill="1" applyAlignment="1">
      <alignment wrapText="1"/>
    </xf>
    <xf numFmtId="0" fontId="0" fillId="0" borderId="0" xfId="0"/>
    <xf numFmtId="14" fontId="28" fillId="3" borderId="2" xfId="0" applyNumberFormat="1" applyFont="1" applyFill="1" applyBorder="1" applyAlignment="1">
      <alignment horizontal="left" vertical="center" readingOrder="1"/>
    </xf>
    <xf numFmtId="0" fontId="52" fillId="0" borderId="0" xfId="9" applyFont="1" applyFill="1" applyBorder="1" applyAlignment="1">
      <alignment horizontal="right"/>
    </xf>
    <xf numFmtId="0" fontId="0" fillId="0" borderId="0" xfId="0" pivotButton="1"/>
    <xf numFmtId="0" fontId="36" fillId="0" borderId="0" xfId="0" applyFont="1" applyFill="1"/>
    <xf numFmtId="0" fontId="0" fillId="0" borderId="0" xfId="0" applyFill="1"/>
    <xf numFmtId="0" fontId="52" fillId="0" borderId="0" xfId="0" applyNumberFormat="1" applyFont="1" applyFill="1" applyBorder="1" applyAlignment="1"/>
    <xf numFmtId="1" fontId="51" fillId="0" borderId="0" xfId="0" applyNumberFormat="1" applyFont="1" applyFill="1" applyBorder="1" applyAlignment="1">
      <alignment horizontal="left" vertical="center" readingOrder="1"/>
    </xf>
    <xf numFmtId="0" fontId="28" fillId="0" borderId="0" xfId="0" applyFont="1" applyFill="1" applyAlignment="1">
      <alignment horizontal="left" vertical="center" readingOrder="1"/>
    </xf>
    <xf numFmtId="1" fontId="36" fillId="0" borderId="22" xfId="0" applyNumberFormat="1" applyFont="1" applyFill="1" applyBorder="1"/>
    <xf numFmtId="0" fontId="0" fillId="0" borderId="0" xfId="0" applyFill="1" applyBorder="1"/>
    <xf numFmtId="168" fontId="28" fillId="0" borderId="0" xfId="0" applyNumberFormat="1" applyFont="1" applyFill="1" applyAlignment="1">
      <alignment horizontal="left" vertical="center" readingOrder="1"/>
    </xf>
    <xf numFmtId="0" fontId="62" fillId="0" borderId="0" xfId="0" pivotButton="1" applyFont="1"/>
    <xf numFmtId="0" fontId="40" fillId="0" borderId="0" xfId="0" applyFont="1" applyFill="1"/>
    <xf numFmtId="0" fontId="62" fillId="0" borderId="0" xfId="0" applyFont="1" applyBorder="1"/>
    <xf numFmtId="0" fontId="118" fillId="26" borderId="0" xfId="0" applyFont="1" applyFill="1"/>
    <xf numFmtId="164" fontId="119" fillId="0" borderId="0" xfId="0" applyNumberFormat="1" applyFont="1" applyFill="1"/>
    <xf numFmtId="164" fontId="62" fillId="0" borderId="0" xfId="0" applyNumberFormat="1" applyFont="1" applyFill="1"/>
    <xf numFmtId="0" fontId="75" fillId="29" borderId="39" xfId="0" applyFont="1" applyFill="1" applyBorder="1"/>
    <xf numFmtId="1" fontId="94" fillId="19" borderId="0" xfId="0" applyNumberFormat="1" applyFont="1" applyFill="1" applyBorder="1" applyAlignment="1">
      <alignment vertical="top" wrapText="1"/>
    </xf>
    <xf numFmtId="0" fontId="20" fillId="0" borderId="0" xfId="0" pivotButton="1" applyFont="1"/>
    <xf numFmtId="0" fontId="20" fillId="0" borderId="0" xfId="0" pivotButton="1" applyFont="1" applyAlignment="1">
      <alignment wrapText="1"/>
    </xf>
    <xf numFmtId="0" fontId="120" fillId="0" borderId="0" xfId="0" applyFont="1" applyAlignment="1">
      <alignment wrapText="1"/>
    </xf>
    <xf numFmtId="0" fontId="121" fillId="40" borderId="0" xfId="0" applyFont="1" applyFill="1" applyAlignment="1">
      <alignment wrapText="1"/>
    </xf>
    <xf numFmtId="0" fontId="121" fillId="40" borderId="0" xfId="0" applyFont="1" applyFill="1" applyAlignment="1"/>
    <xf numFmtId="0" fontId="18" fillId="0" borderId="0" xfId="0" applyFont="1" applyFill="1"/>
    <xf numFmtId="0" fontId="76" fillId="0" borderId="0" xfId="0" applyFont="1" applyFill="1"/>
    <xf numFmtId="0" fontId="75" fillId="0" borderId="0" xfId="0" applyFont="1" applyFill="1" applyAlignment="1">
      <alignment wrapText="1"/>
    </xf>
    <xf numFmtId="0" fontId="121" fillId="0" borderId="0" xfId="0" applyFont="1" applyFill="1" applyAlignment="1">
      <alignment wrapText="1"/>
    </xf>
    <xf numFmtId="0" fontId="38" fillId="8" borderId="81" xfId="0" applyFont="1" applyFill="1" applyBorder="1" applyAlignment="1">
      <alignment horizontal="center" vertical="center" wrapText="1"/>
    </xf>
    <xf numFmtId="0" fontId="122" fillId="39" borderId="60" xfId="0" applyFont="1" applyFill="1" applyBorder="1"/>
    <xf numFmtId="0" fontId="88" fillId="0" borderId="0" xfId="0" applyFont="1" applyFill="1" applyAlignment="1">
      <alignment vertical="center"/>
    </xf>
    <xf numFmtId="0" fontId="36" fillId="9" borderId="0" xfId="0" applyFont="1" applyFill="1"/>
    <xf numFmtId="0" fontId="67" fillId="0" borderId="0" xfId="0" applyFont="1" applyFill="1"/>
    <xf numFmtId="0" fontId="67" fillId="0" borderId="0" xfId="0" applyNumberFormat="1" applyFont="1" applyFill="1" applyBorder="1"/>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20" fillId="0" borderId="0" xfId="0" pivotButton="1" applyNumberFormat="1" applyFont="1" applyFill="1" applyBorder="1"/>
    <xf numFmtId="0" fontId="76" fillId="0" borderId="0" xfId="0" applyFont="1" applyAlignment="1">
      <alignment wrapText="1"/>
    </xf>
    <xf numFmtId="0" fontId="20" fillId="0" borderId="0" xfId="0" applyFont="1" applyAlignment="1">
      <alignment horizontal="center" vertical="center" wrapText="1"/>
    </xf>
    <xf numFmtId="0" fontId="33" fillId="0" borderId="38" xfId="0" applyFont="1" applyBorder="1" applyAlignment="1">
      <alignment horizontal="center" vertical="center" wrapText="1"/>
    </xf>
    <xf numFmtId="0" fontId="76" fillId="0" borderId="0" xfId="0" applyFont="1" applyAlignment="1">
      <alignment horizontal="center" vertical="center" wrapText="1"/>
    </xf>
    <xf numFmtId="14" fontId="28" fillId="3" borderId="0" xfId="0" applyNumberFormat="1" applyFont="1" applyFill="1" applyBorder="1" applyAlignment="1">
      <alignment horizontal="left" vertical="center" readingOrder="1"/>
    </xf>
    <xf numFmtId="1" fontId="36" fillId="0" borderId="25" xfId="0" applyNumberFormat="1" applyFont="1" applyFill="1" applyBorder="1"/>
    <xf numFmtId="0" fontId="77" fillId="0" borderId="64" xfId="0" applyFont="1" applyBorder="1"/>
    <xf numFmtId="0" fontId="77" fillId="0" borderId="39" xfId="0" applyFont="1" applyBorder="1"/>
    <xf numFmtId="0" fontId="81" fillId="0" borderId="0" xfId="0" pivotButton="1" applyFont="1"/>
    <xf numFmtId="0" fontId="33" fillId="31" borderId="39" xfId="0" applyFont="1" applyFill="1" applyBorder="1"/>
    <xf numFmtId="0" fontId="33" fillId="31" borderId="104" xfId="0" applyFont="1" applyFill="1" applyBorder="1"/>
    <xf numFmtId="0" fontId="33" fillId="0" borderId="39" xfId="0" applyFont="1" applyBorder="1"/>
    <xf numFmtId="0" fontId="33" fillId="0" borderId="64" xfId="0" applyFont="1" applyBorder="1"/>
    <xf numFmtId="0" fontId="75" fillId="29" borderId="104" xfId="0" applyFont="1" applyFill="1" applyBorder="1"/>
    <xf numFmtId="1" fontId="46" fillId="9" borderId="0" xfId="0" applyNumberFormat="1" applyFont="1" applyFill="1" applyBorder="1" applyAlignment="1">
      <alignment horizontal="center" vertical="center" wrapText="1"/>
    </xf>
    <xf numFmtId="166" fontId="17" fillId="20" borderId="0" xfId="8" applyFont="1" applyFill="1" applyBorder="1"/>
    <xf numFmtId="0" fontId="124" fillId="0" borderId="0" xfId="0" applyFont="1" applyAlignment="1">
      <alignment horizontal="left"/>
    </xf>
    <xf numFmtId="9" fontId="124" fillId="0" borderId="0" xfId="0" applyNumberFormat="1" applyFont="1"/>
    <xf numFmtId="0" fontId="16" fillId="0" borderId="0" xfId="0" applyFont="1"/>
    <xf numFmtId="0" fontId="16" fillId="0" borderId="0" xfId="0" applyFont="1" applyAlignment="1">
      <alignment horizontal="left"/>
    </xf>
    <xf numFmtId="0" fontId="83" fillId="0" borderId="17" xfId="9" applyFont="1" applyFill="1" applyBorder="1" applyAlignment="1"/>
    <xf numFmtId="0" fontId="33" fillId="0" borderId="38" xfId="0" applyFont="1" applyBorder="1" applyAlignment="1">
      <alignment horizontal="left"/>
    </xf>
    <xf numFmtId="0" fontId="33" fillId="0" borderId="40" xfId="0" applyFont="1" applyBorder="1" applyAlignment="1">
      <alignment wrapText="1"/>
    </xf>
    <xf numFmtId="0" fontId="33" fillId="0" borderId="40" xfId="0" applyFont="1" applyBorder="1"/>
    <xf numFmtId="0" fontId="33" fillId="0" borderId="41" xfId="0" applyFont="1" applyBorder="1"/>
    <xf numFmtId="0" fontId="77" fillId="0" borderId="43" xfId="0" applyNumberFormat="1" applyFont="1" applyBorder="1"/>
    <xf numFmtId="0" fontId="77" fillId="0" borderId="44" xfId="0" applyNumberFormat="1" applyFont="1" applyBorder="1"/>
    <xf numFmtId="0" fontId="15" fillId="14" borderId="0" xfId="0" applyFont="1" applyFill="1" applyAlignment="1">
      <alignment horizontal="left"/>
    </xf>
    <xf numFmtId="164" fontId="15" fillId="14" borderId="0" xfId="0" applyNumberFormat="1" applyFont="1" applyFill="1"/>
    <xf numFmtId="9" fontId="15" fillId="14" borderId="0" xfId="0" applyNumberFormat="1" applyFont="1" applyFill="1"/>
    <xf numFmtId="0" fontId="74" fillId="0" borderId="0" xfId="0" applyFont="1" applyFill="1"/>
    <xf numFmtId="0" fontId="75" fillId="0" borderId="0" xfId="0" applyFont="1" applyFill="1"/>
    <xf numFmtId="0" fontId="15" fillId="0" borderId="0" xfId="0" applyFont="1" applyFill="1" applyAlignment="1">
      <alignment horizontal="left"/>
    </xf>
    <xf numFmtId="0" fontId="0" fillId="0" borderId="0" xfId="0" applyNumberFormat="1"/>
    <xf numFmtId="0" fontId="0" fillId="0" borderId="0" xfId="0"/>
    <xf numFmtId="14" fontId="28" fillId="3" borderId="2" xfId="0" applyNumberFormat="1" applyFont="1" applyFill="1" applyBorder="1" applyAlignment="1">
      <alignment horizontal="left" vertical="center" readingOrder="1"/>
    </xf>
    <xf numFmtId="0" fontId="39" fillId="0" borderId="0" xfId="0" applyFont="1" applyFill="1" applyAlignment="1"/>
    <xf numFmtId="0" fontId="28" fillId="0" borderId="0" xfId="0" applyFont="1" applyFill="1" applyBorder="1" applyAlignment="1">
      <alignment horizontal="left" vertical="center" readingOrder="1"/>
    </xf>
    <xf numFmtId="9" fontId="28" fillId="0" borderId="0" xfId="1" applyFont="1" applyFill="1" applyAlignment="1">
      <alignment horizontal="left" vertical="center" readingOrder="1"/>
    </xf>
    <xf numFmtId="1" fontId="28" fillId="0" borderId="0" xfId="1" applyNumberFormat="1" applyFont="1" applyFill="1" applyAlignment="1">
      <alignment horizontal="left" vertical="center" readingOrder="1"/>
    </xf>
    <xf numFmtId="0" fontId="28" fillId="0" borderId="0" xfId="1" applyNumberFormat="1" applyFont="1" applyFill="1" applyAlignment="1">
      <alignment horizontal="left" vertical="center" readingOrder="1"/>
    </xf>
    <xf numFmtId="0" fontId="0" fillId="0" borderId="0" xfId="0" pivotButton="1"/>
    <xf numFmtId="0" fontId="36" fillId="0" borderId="0" xfId="0" applyFont="1" applyFill="1"/>
    <xf numFmtId="1" fontId="28" fillId="0" borderId="0" xfId="0" applyNumberFormat="1" applyFont="1" applyFill="1" applyBorder="1" applyAlignment="1">
      <alignment horizontal="left" vertical="center" readingOrder="1"/>
    </xf>
    <xf numFmtId="1" fontId="28" fillId="0" borderId="0" xfId="1" applyNumberFormat="1" applyFont="1" applyFill="1" applyBorder="1" applyAlignment="1">
      <alignment horizontal="left" vertical="center" readingOrder="1"/>
    </xf>
    <xf numFmtId="1" fontId="28" fillId="0" borderId="0" xfId="0" applyNumberFormat="1" applyFont="1" applyFill="1" applyAlignment="1">
      <alignment horizontal="left" vertical="center" readingOrder="1"/>
    </xf>
    <xf numFmtId="0" fontId="36" fillId="0" borderId="0" xfId="0" applyFont="1" applyFill="1" applyBorder="1"/>
    <xf numFmtId="0" fontId="67" fillId="0" borderId="0" xfId="0" applyNumberFormat="1" applyFont="1" applyFill="1"/>
    <xf numFmtId="0" fontId="36" fillId="0" borderId="0" xfId="0" applyNumberFormat="1" applyFont="1" applyFill="1"/>
    <xf numFmtId="1" fontId="36" fillId="0" borderId="0" xfId="0" applyNumberFormat="1" applyFont="1" applyFill="1"/>
    <xf numFmtId="0" fontId="36" fillId="0" borderId="0" xfId="0" applyFont="1" applyFill="1" applyAlignment="1">
      <alignment wrapText="1" readingOrder="1"/>
    </xf>
    <xf numFmtId="0" fontId="36" fillId="0" borderId="17" xfId="0" applyFont="1" applyFill="1" applyBorder="1"/>
    <xf numFmtId="0" fontId="36" fillId="0" borderId="0" xfId="0" applyNumberFormat="1" applyFont="1" applyFill="1" applyBorder="1"/>
    <xf numFmtId="1" fontId="36" fillId="0" borderId="0" xfId="0" applyNumberFormat="1" applyFont="1" applyFill="1" applyBorder="1"/>
    <xf numFmtId="0" fontId="36" fillId="0" borderId="0" xfId="0" applyFont="1" applyFill="1" applyBorder="1" applyAlignment="1">
      <alignment wrapText="1" readingOrder="1"/>
    </xf>
    <xf numFmtId="0" fontId="0" fillId="0" borderId="0" xfId="0" applyFill="1"/>
    <xf numFmtId="0" fontId="36" fillId="0" borderId="0" xfId="0" applyNumberFormat="1" applyFont="1" applyFill="1" applyAlignment="1">
      <alignment wrapText="1" readingOrder="1"/>
    </xf>
    <xf numFmtId="0" fontId="36" fillId="0" borderId="0" xfId="0" applyNumberFormat="1" applyFont="1" applyFill="1" applyBorder="1" applyAlignment="1">
      <alignment wrapText="1" readingOrder="1"/>
    </xf>
    <xf numFmtId="0" fontId="51" fillId="0" borderId="0" xfId="0" applyFont="1" applyFill="1" applyBorder="1" applyAlignment="1">
      <alignment horizontal="left" vertical="center" readingOrder="1"/>
    </xf>
    <xf numFmtId="0" fontId="51" fillId="0" borderId="0" xfId="0" applyNumberFormat="1" applyFont="1" applyFill="1" applyBorder="1" applyAlignment="1">
      <alignment horizontal="left" vertical="center" readingOrder="1"/>
    </xf>
    <xf numFmtId="0" fontId="52" fillId="0" borderId="0" xfId="9" applyFont="1" applyFill="1" applyAlignment="1"/>
    <xf numFmtId="0" fontId="36" fillId="0" borderId="22" xfId="0" applyFont="1" applyFill="1" applyBorder="1"/>
    <xf numFmtId="0" fontId="36" fillId="0" borderId="21" xfId="0" applyFont="1" applyFill="1" applyBorder="1"/>
    <xf numFmtId="0" fontId="36" fillId="0" borderId="21" xfId="0" applyNumberFormat="1" applyFont="1" applyFill="1" applyBorder="1"/>
    <xf numFmtId="1" fontId="36" fillId="0" borderId="21" xfId="0" applyNumberFormat="1" applyFont="1" applyFill="1" applyBorder="1"/>
    <xf numFmtId="0" fontId="36" fillId="0" borderId="26" xfId="0" applyFont="1" applyFill="1" applyBorder="1"/>
    <xf numFmtId="0" fontId="36" fillId="0" borderId="25" xfId="0" applyFont="1" applyFill="1" applyBorder="1"/>
    <xf numFmtId="0" fontId="28" fillId="0" borderId="0" xfId="0" applyNumberFormat="1" applyFont="1" applyFill="1" applyAlignment="1">
      <alignment horizontal="left" vertical="center" readingOrder="1"/>
    </xf>
    <xf numFmtId="165" fontId="36" fillId="0" borderId="0" xfId="0" applyNumberFormat="1" applyFont="1" applyFill="1"/>
    <xf numFmtId="165" fontId="36" fillId="0" borderId="0" xfId="0" applyNumberFormat="1" applyFont="1" applyFill="1" applyBorder="1"/>
    <xf numFmtId="165" fontId="51" fillId="0" borderId="0" xfId="0" applyNumberFormat="1" applyFont="1" applyFill="1" applyBorder="1" applyAlignment="1">
      <alignment horizontal="left" vertical="center" wrapText="1" readingOrder="1"/>
    </xf>
    <xf numFmtId="0" fontId="36" fillId="0" borderId="56" xfId="0" applyFont="1" applyFill="1" applyBorder="1"/>
    <xf numFmtId="0" fontId="83" fillId="0" borderId="0" xfId="9" applyFont="1" applyAlignment="1"/>
    <xf numFmtId="0" fontId="51" fillId="0" borderId="25" xfId="0" applyFont="1" applyFill="1" applyBorder="1" applyAlignment="1">
      <alignment horizontal="left" vertical="center" readingOrder="1"/>
    </xf>
    <xf numFmtId="0" fontId="83" fillId="0" borderId="0" xfId="9" applyFont="1" applyFill="1" applyBorder="1" applyAlignment="1"/>
    <xf numFmtId="0" fontId="36" fillId="0" borderId="0" xfId="0" applyFont="1" applyBorder="1"/>
    <xf numFmtId="0" fontId="36" fillId="0" borderId="25" xfId="0" applyNumberFormat="1" applyFont="1" applyFill="1" applyBorder="1"/>
    <xf numFmtId="1" fontId="36" fillId="0" borderId="26" xfId="0" applyNumberFormat="1" applyFont="1" applyFill="1" applyBorder="1"/>
    <xf numFmtId="0" fontId="51" fillId="0" borderId="26" xfId="0" applyFont="1" applyFill="1" applyBorder="1" applyAlignment="1">
      <alignment horizontal="left" vertical="center" readingOrder="1"/>
    </xf>
    <xf numFmtId="49" fontId="88" fillId="0" borderId="0" xfId="0" applyNumberFormat="1" applyFont="1" applyFill="1" applyBorder="1" applyAlignment="1">
      <alignment horizontal="left" vertical="center"/>
    </xf>
    <xf numFmtId="0" fontId="88" fillId="0" borderId="0" xfId="0" applyFont="1" applyFill="1" applyBorder="1" applyAlignment="1">
      <alignment horizontal="left" vertical="center"/>
    </xf>
    <xf numFmtId="49" fontId="88" fillId="0" borderId="0" xfId="21" applyNumberFormat="1" applyFont="1" applyFill="1" applyBorder="1" applyAlignment="1">
      <alignment horizontal="left" vertical="center"/>
    </xf>
    <xf numFmtId="0" fontId="36" fillId="0" borderId="25" xfId="0" applyFont="1" applyFill="1" applyBorder="1" applyAlignment="1"/>
    <xf numFmtId="0" fontId="36" fillId="0" borderId="0" xfId="0" applyFont="1" applyFill="1" applyAlignment="1"/>
    <xf numFmtId="165" fontId="36" fillId="0" borderId="0" xfId="0" applyNumberFormat="1" applyFont="1" applyFill="1" applyAlignment="1"/>
    <xf numFmtId="0" fontId="36" fillId="0" borderId="0" xfId="0" applyFont="1" applyFill="1" applyAlignment="1">
      <alignment readingOrder="1"/>
    </xf>
    <xf numFmtId="49" fontId="67" fillId="43" borderId="26" xfId="0" applyNumberFormat="1" applyFont="1" applyFill="1" applyBorder="1" applyAlignment="1">
      <alignment horizontal="left" vertical="center"/>
    </xf>
    <xf numFmtId="0" fontId="88" fillId="43" borderId="26" xfId="0" applyFont="1" applyFill="1" applyBorder="1" applyAlignment="1">
      <alignment horizontal="left" vertical="center"/>
    </xf>
    <xf numFmtId="0" fontId="83" fillId="0" borderId="0" xfId="9" applyFont="1" applyFill="1" applyBorder="1" applyAlignment="1">
      <alignment horizontal="right"/>
    </xf>
    <xf numFmtId="164" fontId="28" fillId="0" borderId="0" xfId="4" applyNumberFormat="1" applyFont="1" applyFill="1" applyAlignment="1">
      <alignment horizontal="left" vertical="center" readingOrder="1"/>
    </xf>
    <xf numFmtId="167" fontId="28" fillId="0" borderId="0" xfId="0" applyNumberFormat="1" applyFont="1" applyFill="1" applyAlignment="1">
      <alignment horizontal="left" vertical="center" readingOrder="1"/>
    </xf>
    <xf numFmtId="165" fontId="36" fillId="0" borderId="0" xfId="0" applyNumberFormat="1" applyFont="1" applyFill="1" applyAlignment="1">
      <alignment wrapText="1" readingOrder="1"/>
    </xf>
    <xf numFmtId="0" fontId="77" fillId="0" borderId="45" xfId="0" applyNumberFormat="1" applyFont="1" applyBorder="1"/>
    <xf numFmtId="0" fontId="33" fillId="0" borderId="105" xfId="0" applyNumberFormat="1" applyFont="1" applyBorder="1"/>
    <xf numFmtId="0" fontId="33" fillId="0" borderId="38" xfId="0" applyFont="1" applyBorder="1" applyAlignment="1">
      <alignment wrapText="1"/>
    </xf>
    <xf numFmtId="1" fontId="20" fillId="0" borderId="0" xfId="1" applyNumberFormat="1" applyFont="1"/>
    <xf numFmtId="0" fontId="125" fillId="0" borderId="0" xfId="0" applyFont="1"/>
    <xf numFmtId="1" fontId="36" fillId="42" borderId="0" xfId="0" applyNumberFormat="1" applyFont="1" applyFill="1" applyBorder="1"/>
    <xf numFmtId="0" fontId="36" fillId="0" borderId="21" xfId="0" applyNumberFormat="1" applyFont="1" applyFill="1" applyBorder="1" applyAlignment="1">
      <alignment wrapText="1" readingOrder="1"/>
    </xf>
    <xf numFmtId="0" fontId="0" fillId="0" borderId="0" xfId="0" applyNumberFormat="1" applyFill="1"/>
    <xf numFmtId="0" fontId="28" fillId="0" borderId="25" xfId="43" applyFont="1" applyFill="1" applyBorder="1" applyAlignment="1">
      <alignment horizontal="left" vertical="center" readingOrder="1"/>
    </xf>
    <xf numFmtId="0" fontId="28" fillId="0" borderId="25" xfId="80" applyFont="1" applyFill="1" applyBorder="1" applyAlignment="1">
      <alignment horizontal="left" vertical="center" readingOrder="1"/>
    </xf>
    <xf numFmtId="0" fontId="62" fillId="32" borderId="0" xfId="0" applyFont="1" applyFill="1" applyAlignment="1">
      <alignment vertical="center"/>
    </xf>
    <xf numFmtId="0" fontId="13" fillId="0" borderId="0" xfId="0" applyFont="1"/>
    <xf numFmtId="0" fontId="131" fillId="0" borderId="0" xfId="22" applyFont="1" applyAlignment="1">
      <alignment horizontal="left" vertical="center"/>
    </xf>
    <xf numFmtId="0" fontId="131" fillId="44" borderId="71" xfId="22" applyFont="1" applyFill="1" applyBorder="1" applyAlignment="1">
      <alignment horizontal="left" vertical="center"/>
    </xf>
    <xf numFmtId="0" fontId="131" fillId="26" borderId="71" xfId="22" applyFont="1" applyFill="1" applyBorder="1" applyAlignment="1">
      <alignment horizontal="left" vertical="center" wrapText="1"/>
    </xf>
    <xf numFmtId="0" fontId="131" fillId="44" borderId="72" xfId="22" applyFont="1" applyFill="1" applyBorder="1" applyAlignment="1">
      <alignment horizontal="left" vertical="center"/>
    </xf>
    <xf numFmtId="0" fontId="131" fillId="44" borderId="74" xfId="22" applyFont="1" applyFill="1" applyBorder="1" applyAlignment="1">
      <alignment horizontal="left" vertical="center"/>
    </xf>
    <xf numFmtId="0" fontId="133" fillId="0" borderId="0" xfId="0" applyFont="1"/>
    <xf numFmtId="0" fontId="82" fillId="26" borderId="64" xfId="0" applyFont="1" applyFill="1" applyBorder="1" applyAlignment="1">
      <alignment wrapText="1"/>
    </xf>
    <xf numFmtId="0" fontId="62" fillId="0" borderId="0" xfId="0" applyFont="1" applyFill="1" applyBorder="1" applyAlignment="1">
      <alignment wrapText="1"/>
    </xf>
    <xf numFmtId="0" fontId="0" fillId="0" borderId="0" xfId="0" applyAlignment="1">
      <alignment wrapText="1"/>
    </xf>
    <xf numFmtId="0" fontId="0" fillId="0" borderId="23" xfId="0" applyBorder="1" applyAlignment="1">
      <alignment wrapText="1"/>
    </xf>
    <xf numFmtId="0" fontId="62" fillId="0" borderId="23" xfId="0" applyFont="1" applyBorder="1" applyAlignment="1">
      <alignment wrapText="1"/>
    </xf>
    <xf numFmtId="0" fontId="0" fillId="37" borderId="23" xfId="0" applyFill="1" applyBorder="1" applyAlignment="1">
      <alignment wrapText="1"/>
    </xf>
    <xf numFmtId="164" fontId="68" fillId="14" borderId="23" xfId="4" applyNumberFormat="1" applyFont="1" applyFill="1" applyBorder="1" applyAlignment="1">
      <alignment vertical="center" wrapText="1"/>
    </xf>
    <xf numFmtId="9" fontId="76" fillId="0" borderId="0" xfId="1" applyFont="1"/>
    <xf numFmtId="0" fontId="79" fillId="49" borderId="0" xfId="0" applyFont="1" applyFill="1" applyBorder="1" applyAlignment="1">
      <alignment wrapText="1"/>
    </xf>
    <xf numFmtId="0" fontId="79" fillId="49" borderId="107" xfId="0" applyFont="1" applyFill="1" applyBorder="1" applyAlignment="1">
      <alignment wrapText="1"/>
    </xf>
    <xf numFmtId="0" fontId="0" fillId="0" borderId="108" xfId="0" applyFont="1" applyBorder="1" applyAlignment="1">
      <alignment wrapText="1"/>
    </xf>
    <xf numFmtId="0" fontId="79" fillId="39" borderId="110" xfId="0" applyFont="1" applyFill="1" applyBorder="1" applyAlignment="1">
      <alignment wrapText="1"/>
    </xf>
    <xf numFmtId="0" fontId="0" fillId="0" borderId="57" xfId="0" applyFont="1" applyBorder="1" applyAlignment="1">
      <alignment wrapText="1"/>
    </xf>
    <xf numFmtId="0" fontId="79" fillId="51" borderId="113" xfId="0" applyFont="1" applyFill="1" applyBorder="1" applyAlignment="1">
      <alignment wrapText="1"/>
    </xf>
    <xf numFmtId="0" fontId="79" fillId="52" borderId="114" xfId="0" applyFont="1" applyFill="1" applyBorder="1" applyAlignment="1">
      <alignment wrapText="1"/>
    </xf>
    <xf numFmtId="0" fontId="0" fillId="0" borderId="115" xfId="0" applyFont="1" applyBorder="1" applyAlignment="1">
      <alignment horizontal="left" vertical="center" wrapText="1"/>
    </xf>
    <xf numFmtId="0" fontId="67" fillId="42" borderId="0" xfId="0" applyFont="1" applyFill="1"/>
    <xf numFmtId="0" fontId="88" fillId="0" borderId="0" xfId="0" applyFont="1" applyFill="1" applyAlignment="1">
      <alignment horizontal="right" vertical="center"/>
    </xf>
    <xf numFmtId="0" fontId="88" fillId="0" borderId="0" xfId="0" applyFont="1" applyFill="1" applyAlignment="1">
      <alignment horizontal="left" vertical="center" wrapText="1"/>
    </xf>
    <xf numFmtId="1" fontId="67" fillId="0" borderId="0" xfId="0" applyNumberFormat="1" applyFont="1" applyFill="1" applyBorder="1" applyAlignment="1">
      <alignment horizontal="left" vertical="center"/>
    </xf>
    <xf numFmtId="0" fontId="88" fillId="0" borderId="0" xfId="0" applyFont="1" applyFill="1" applyAlignment="1">
      <alignment horizontal="left" vertical="center"/>
    </xf>
    <xf numFmtId="1" fontId="58" fillId="7" borderId="71" xfId="19" applyNumberFormat="1" applyFont="1" applyFill="1" applyBorder="1" applyAlignment="1">
      <alignment horizontal="left" vertical="center" wrapText="1" readingOrder="1"/>
    </xf>
    <xf numFmtId="9" fontId="35" fillId="34" borderId="74" xfId="19" applyNumberFormat="1" applyFont="1" applyFill="1" applyBorder="1" applyAlignment="1">
      <alignment horizontal="left" vertical="center" wrapText="1" readingOrder="1"/>
    </xf>
    <xf numFmtId="9" fontId="35" fillId="53" borderId="74" xfId="19" applyNumberFormat="1" applyFont="1" applyFill="1" applyBorder="1" applyAlignment="1">
      <alignment horizontal="left" vertical="center" wrapText="1" readingOrder="1"/>
    </xf>
    <xf numFmtId="9" fontId="61" fillId="34" borderId="14" xfId="19" applyNumberFormat="1" applyFont="1" applyFill="1" applyBorder="1" applyAlignment="1">
      <alignment horizontal="left" vertical="center" wrapText="1" readingOrder="1"/>
    </xf>
    <xf numFmtId="9" fontId="116" fillId="16" borderId="74" xfId="19" applyNumberFormat="1" applyFont="1" applyFill="1" applyBorder="1" applyAlignment="1">
      <alignment horizontal="center" vertical="center" wrapText="1" readingOrder="1"/>
    </xf>
    <xf numFmtId="9" fontId="135" fillId="34" borderId="74" xfId="19" applyNumberFormat="1" applyFont="1" applyFill="1" applyBorder="1" applyAlignment="1">
      <alignment horizontal="left" vertical="center" wrapText="1" readingOrder="1"/>
    </xf>
    <xf numFmtId="0" fontId="36" fillId="0" borderId="25" xfId="0" applyFont="1" applyFill="1" applyBorder="1" applyAlignment="1">
      <alignment wrapText="1"/>
    </xf>
    <xf numFmtId="0" fontId="0" fillId="0" borderId="0" xfId="0" applyAlignment="1">
      <alignment horizontal="left"/>
    </xf>
    <xf numFmtId="0" fontId="138" fillId="0" borderId="0" xfId="0" applyFont="1"/>
    <xf numFmtId="0" fontId="12" fillId="0" borderId="0" xfId="0" applyFont="1" applyFill="1" applyBorder="1" applyAlignment="1">
      <alignment vertical="center"/>
    </xf>
    <xf numFmtId="164" fontId="86" fillId="31" borderId="25" xfId="0" applyNumberFormat="1" applyFont="1" applyFill="1" applyBorder="1"/>
    <xf numFmtId="0" fontId="139" fillId="0" borderId="0" xfId="0" applyFont="1"/>
    <xf numFmtId="0" fontId="11" fillId="0" borderId="0" xfId="0" applyFont="1"/>
    <xf numFmtId="0" fontId="72" fillId="16" borderId="0" xfId="0" applyFont="1" applyFill="1"/>
    <xf numFmtId="0" fontId="33" fillId="16" borderId="0" xfId="0" applyFont="1" applyFill="1"/>
    <xf numFmtId="0" fontId="10" fillId="0" borderId="0" xfId="0" applyFont="1"/>
    <xf numFmtId="0" fontId="76" fillId="0" borderId="0" xfId="0" pivotButton="1" applyFont="1"/>
    <xf numFmtId="0" fontId="140" fillId="54" borderId="92" xfId="0" applyFont="1" applyFill="1" applyBorder="1"/>
    <xf numFmtId="0" fontId="140" fillId="54" borderId="109" xfId="0" applyFont="1" applyFill="1" applyBorder="1"/>
    <xf numFmtId="0" fontId="140" fillId="54" borderId="91" xfId="0" applyFont="1" applyFill="1" applyBorder="1"/>
    <xf numFmtId="9" fontId="140" fillId="54" borderId="92" xfId="1" applyFont="1" applyFill="1" applyBorder="1"/>
    <xf numFmtId="9" fontId="140" fillId="54" borderId="109" xfId="1" applyFont="1" applyFill="1" applyBorder="1"/>
    <xf numFmtId="9" fontId="140" fillId="54" borderId="91" xfId="1" applyFont="1" applyFill="1" applyBorder="1"/>
    <xf numFmtId="0" fontId="79" fillId="50" borderId="111" xfId="0" applyFont="1" applyFill="1" applyBorder="1"/>
    <xf numFmtId="0" fontId="79" fillId="50" borderId="112" xfId="0" applyFont="1" applyFill="1" applyBorder="1"/>
    <xf numFmtId="0" fontId="79" fillId="39" borderId="110" xfId="0" applyFont="1" applyFill="1" applyBorder="1" applyAlignment="1"/>
    <xf numFmtId="167" fontId="141" fillId="0" borderId="0" xfId="0" applyNumberFormat="1" applyFont="1" applyFill="1" applyAlignment="1">
      <alignment horizontal="left" vertical="center" readingOrder="1"/>
    </xf>
    <xf numFmtId="0" fontId="141" fillId="0" borderId="0" xfId="0" applyFont="1" applyFill="1" applyAlignment="1">
      <alignment horizontal="left" vertical="center" readingOrder="1"/>
    </xf>
    <xf numFmtId="0" fontId="141" fillId="0" borderId="0" xfId="1" applyNumberFormat="1" applyFont="1" applyFill="1" applyAlignment="1">
      <alignment horizontal="left" vertical="center" readingOrder="1"/>
    </xf>
    <xf numFmtId="164" fontId="141" fillId="0" borderId="0" xfId="4" applyNumberFormat="1" applyFont="1" applyFill="1" applyAlignment="1">
      <alignment horizontal="left" vertical="center" readingOrder="1"/>
    </xf>
    <xf numFmtId="168" fontId="141" fillId="0" borderId="0" xfId="0" applyNumberFormat="1" applyFont="1" applyFill="1" applyAlignment="1">
      <alignment horizontal="left" vertical="center" readingOrder="1"/>
    </xf>
    <xf numFmtId="165" fontId="141" fillId="0" borderId="0" xfId="0" applyNumberFormat="1" applyFont="1" applyFill="1" applyAlignment="1">
      <alignment horizontal="left" vertical="center" readingOrder="1"/>
    </xf>
    <xf numFmtId="1" fontId="141" fillId="0" borderId="0" xfId="0" applyNumberFormat="1" applyFont="1" applyFill="1" applyAlignment="1">
      <alignment horizontal="left" vertical="center" readingOrder="1"/>
    </xf>
    <xf numFmtId="0" fontId="141" fillId="0" borderId="0" xfId="0" applyNumberFormat="1" applyFont="1" applyFill="1" applyAlignment="1">
      <alignment horizontal="left" vertical="center" readingOrder="1"/>
    </xf>
    <xf numFmtId="9" fontId="141" fillId="0" borderId="0" xfId="1" applyFont="1" applyFill="1" applyAlignment="1">
      <alignment horizontal="left" vertical="center" readingOrder="1"/>
    </xf>
    <xf numFmtId="1" fontId="141" fillId="0" borderId="0" xfId="1" applyNumberFormat="1" applyFont="1" applyFill="1" applyAlignment="1">
      <alignment horizontal="left" vertical="center" readingOrder="1"/>
    </xf>
    <xf numFmtId="9" fontId="141" fillId="0" borderId="0" xfId="1" applyNumberFormat="1" applyFont="1" applyFill="1" applyAlignment="1">
      <alignment horizontal="left" vertical="center" readingOrder="1"/>
    </xf>
    <xf numFmtId="9" fontId="141" fillId="0" borderId="0" xfId="0" applyNumberFormat="1" applyFont="1" applyFill="1" applyAlignment="1">
      <alignment horizontal="left" vertical="center" readingOrder="1"/>
    </xf>
    <xf numFmtId="1" fontId="141" fillId="0" borderId="0" xfId="4" applyNumberFormat="1" applyFont="1" applyFill="1" applyAlignment="1">
      <alignment horizontal="left" vertical="center" readingOrder="1"/>
    </xf>
    <xf numFmtId="9" fontId="142" fillId="0" borderId="0" xfId="1" applyFont="1" applyFill="1" applyAlignment="1">
      <alignment horizontal="left" vertical="center" readingOrder="1"/>
    </xf>
    <xf numFmtId="164" fontId="142" fillId="0" borderId="0" xfId="4" applyNumberFormat="1" applyFont="1" applyFill="1" applyAlignment="1">
      <alignment horizontal="left" vertical="center" readingOrder="1"/>
    </xf>
    <xf numFmtId="0" fontId="143" fillId="46" borderId="33" xfId="0" applyFont="1" applyFill="1" applyBorder="1" applyAlignment="1">
      <alignment horizontal="center" vertical="center" wrapText="1"/>
    </xf>
    <xf numFmtId="164" fontId="141" fillId="42" borderId="0" xfId="4" applyNumberFormat="1" applyFont="1" applyFill="1" applyAlignment="1">
      <alignment horizontal="left" vertical="center" readingOrder="1"/>
    </xf>
    <xf numFmtId="0" fontId="142" fillId="0" borderId="0" xfId="1" applyNumberFormat="1" applyFont="1" applyFill="1" applyAlignment="1">
      <alignment horizontal="left" vertical="center" readingOrder="1"/>
    </xf>
    <xf numFmtId="1" fontId="38" fillId="9" borderId="0" xfId="0" applyNumberFormat="1" applyFont="1" applyFill="1" applyBorder="1" applyAlignment="1">
      <alignment vertical="center" wrapText="1"/>
    </xf>
    <xf numFmtId="1" fontId="101" fillId="9" borderId="0" xfId="0" applyNumberFormat="1" applyFont="1" applyFill="1" applyBorder="1" applyAlignment="1">
      <alignment vertical="top" wrapText="1"/>
    </xf>
    <xf numFmtId="0" fontId="144" fillId="0" borderId="0" xfId="0" applyFont="1"/>
    <xf numFmtId="0" fontId="79" fillId="55" borderId="117" xfId="0" applyFont="1" applyFill="1" applyBorder="1"/>
    <xf numFmtId="0" fontId="79" fillId="55" borderId="118" xfId="0" applyFont="1" applyFill="1" applyBorder="1"/>
    <xf numFmtId="0" fontId="75" fillId="26" borderId="0" xfId="0" applyFont="1" applyFill="1" applyAlignment="1">
      <alignment horizontal="center" vertical="center"/>
    </xf>
    <xf numFmtId="0" fontId="145" fillId="26" borderId="0" xfId="0" applyFont="1" applyFill="1" applyAlignment="1">
      <alignment horizontal="center" vertical="center"/>
    </xf>
    <xf numFmtId="0" fontId="146" fillId="0" borderId="0" xfId="0" applyFont="1"/>
    <xf numFmtId="164" fontId="146" fillId="0" borderId="0" xfId="0" applyNumberFormat="1" applyFont="1"/>
    <xf numFmtId="9" fontId="146" fillId="0" borderId="0" xfId="0" applyNumberFormat="1" applyFont="1"/>
    <xf numFmtId="3" fontId="146" fillId="0" borderId="0" xfId="0" applyNumberFormat="1" applyFont="1"/>
    <xf numFmtId="0" fontId="9" fillId="19" borderId="0" xfId="0" applyFont="1" applyFill="1"/>
    <xf numFmtId="0" fontId="9" fillId="0" borderId="0" xfId="0" applyFont="1"/>
    <xf numFmtId="0" fontId="8" fillId="19" borderId="0" xfId="0" applyFont="1" applyFill="1"/>
    <xf numFmtId="0" fontId="90" fillId="35" borderId="123" xfId="0" applyFont="1" applyFill="1" applyBorder="1" applyAlignment="1">
      <alignment horizontal="center" vertical="center" wrapText="1"/>
    </xf>
    <xf numFmtId="0" fontId="90" fillId="35" borderId="123" xfId="0" applyFont="1" applyFill="1" applyBorder="1" applyAlignment="1">
      <alignment horizontal="center" vertical="center"/>
    </xf>
    <xf numFmtId="0" fontId="7" fillId="56" borderId="29" xfId="0" applyFont="1" applyFill="1" applyBorder="1" applyAlignment="1">
      <alignment horizontal="left" vertical="center"/>
    </xf>
    <xf numFmtId="0" fontId="36" fillId="56" borderId="29" xfId="0" applyNumberFormat="1" applyFont="1" applyFill="1" applyBorder="1" applyAlignment="1">
      <alignment vertical="center"/>
    </xf>
    <xf numFmtId="0" fontId="7" fillId="56" borderId="29" xfId="4" applyNumberFormat="1" applyFont="1" applyFill="1" applyBorder="1" applyAlignment="1">
      <alignment vertical="center"/>
    </xf>
    <xf numFmtId="9" fontId="7" fillId="56" borderId="29" xfId="0" applyNumberFormat="1" applyFont="1" applyFill="1" applyBorder="1" applyAlignment="1">
      <alignment horizontal="center" vertical="center"/>
    </xf>
    <xf numFmtId="9" fontId="7" fillId="56" borderId="29" xfId="0" applyNumberFormat="1" applyFont="1" applyFill="1" applyBorder="1" applyAlignment="1">
      <alignment vertical="center"/>
    </xf>
    <xf numFmtId="0" fontId="7" fillId="0" borderId="29" xfId="0" applyFont="1" applyBorder="1" applyAlignment="1">
      <alignment horizontal="left" vertical="center"/>
    </xf>
    <xf numFmtId="0" fontId="36" fillId="0" borderId="29" xfId="0" applyNumberFormat="1" applyFont="1" applyBorder="1" applyAlignment="1">
      <alignment vertical="center"/>
    </xf>
    <xf numFmtId="0" fontId="7" fillId="0" borderId="29" xfId="4" applyNumberFormat="1" applyFont="1" applyBorder="1" applyAlignment="1">
      <alignment vertical="center"/>
    </xf>
    <xf numFmtId="9" fontId="7" fillId="0" borderId="29" xfId="0" applyNumberFormat="1" applyFont="1" applyBorder="1" applyAlignment="1">
      <alignment horizontal="center" vertical="center"/>
    </xf>
    <xf numFmtId="9" fontId="7" fillId="0" borderId="29" xfId="0" applyNumberFormat="1" applyFont="1" applyBorder="1" applyAlignment="1">
      <alignment vertical="center"/>
    </xf>
    <xf numFmtId="0" fontId="33" fillId="56" borderId="119" xfId="0" applyFont="1" applyFill="1" applyBorder="1" applyAlignment="1">
      <alignment horizontal="left" vertical="center"/>
    </xf>
    <xf numFmtId="0" fontId="80" fillId="56" borderId="120" xfId="0" applyNumberFormat="1" applyFont="1" applyFill="1" applyBorder="1" applyAlignment="1">
      <alignment vertical="center"/>
    </xf>
    <xf numFmtId="164" fontId="33" fillId="56" borderId="121" xfId="4" applyNumberFormat="1" applyFont="1" applyFill="1" applyBorder="1" applyAlignment="1">
      <alignment vertical="center"/>
    </xf>
    <xf numFmtId="9" fontId="33" fillId="56" borderId="122" xfId="0" applyNumberFormat="1" applyFont="1" applyFill="1" applyBorder="1" applyAlignment="1">
      <alignment horizontal="center" vertical="center"/>
    </xf>
    <xf numFmtId="9" fontId="33" fillId="56" borderId="122" xfId="0" applyNumberFormat="1" applyFont="1" applyFill="1" applyBorder="1" applyAlignment="1">
      <alignment vertical="center"/>
    </xf>
    <xf numFmtId="0" fontId="0" fillId="42" borderId="0" xfId="0" applyFill="1"/>
    <xf numFmtId="0" fontId="37" fillId="42" borderId="0" xfId="22" applyFont="1" applyFill="1" applyAlignment="1">
      <alignment horizontal="left" vertical="center" indent="1" readingOrder="1"/>
    </xf>
    <xf numFmtId="0" fontId="35" fillId="17" borderId="0" xfId="19" applyFont="1" applyFill="1" applyAlignment="1">
      <alignment horizontal="left" vertical="center"/>
    </xf>
    <xf numFmtId="0" fontId="112" fillId="0" borderId="0" xfId="19" applyFont="1" applyAlignment="1">
      <alignment horizontal="left" vertical="center" textRotation="90"/>
    </xf>
    <xf numFmtId="0" fontId="37" fillId="16" borderId="71" xfId="22" applyFont="1" applyFill="1" applyBorder="1" applyAlignment="1">
      <alignment horizontal="center" vertical="center" textRotation="90" wrapText="1"/>
    </xf>
    <xf numFmtId="0" fontId="35" fillId="0" borderId="0" xfId="22" applyFont="1" applyAlignment="1">
      <alignment horizontal="left" vertical="center" textRotation="90"/>
    </xf>
    <xf numFmtId="0" fontId="37" fillId="42" borderId="0" xfId="22" applyFont="1" applyFill="1" applyAlignment="1">
      <alignment horizontal="center" vertical="center" readingOrder="1"/>
    </xf>
    <xf numFmtId="14" fontId="148" fillId="17" borderId="71" xfId="19" applyNumberFormat="1" applyFont="1" applyFill="1" applyBorder="1" applyAlignment="1">
      <alignment horizontal="center" vertical="center" wrapText="1"/>
    </xf>
    <xf numFmtId="14" fontId="148" fillId="7" borderId="71" xfId="19" applyNumberFormat="1" applyFont="1" applyFill="1" applyBorder="1" applyAlignment="1">
      <alignment horizontal="center" vertical="center" wrapText="1"/>
    </xf>
    <xf numFmtId="14" fontId="148" fillId="27" borderId="71" xfId="19" applyNumberFormat="1" applyFont="1" applyFill="1" applyBorder="1" applyAlignment="1">
      <alignment horizontal="center" vertical="center" wrapText="1"/>
    </xf>
    <xf numFmtId="14" fontId="148" fillId="22" borderId="71" xfId="19" applyNumberFormat="1" applyFont="1" applyFill="1" applyBorder="1" applyAlignment="1">
      <alignment horizontal="center" vertical="center" wrapText="1"/>
    </xf>
    <xf numFmtId="14" fontId="148" fillId="17" borderId="76" xfId="19" applyNumberFormat="1" applyFont="1" applyFill="1" applyBorder="1" applyAlignment="1">
      <alignment horizontal="center" vertical="center" wrapText="1"/>
    </xf>
    <xf numFmtId="9" fontId="100" fillId="34" borderId="74" xfId="19" applyNumberFormat="1" applyFont="1" applyFill="1" applyBorder="1" applyAlignment="1">
      <alignment horizontal="center" vertical="center" wrapText="1" readingOrder="1"/>
    </xf>
    <xf numFmtId="9" fontId="35" fillId="42" borderId="74" xfId="19" applyNumberFormat="1" applyFont="1" applyFill="1" applyBorder="1" applyAlignment="1">
      <alignment horizontal="left" vertical="center" wrapText="1" readingOrder="1"/>
    </xf>
    <xf numFmtId="0" fontId="30" fillId="34" borderId="4" xfId="22" applyFont="1" applyFill="1" applyBorder="1" applyAlignment="1">
      <alignment vertical="top" wrapText="1"/>
    </xf>
    <xf numFmtId="0" fontId="30" fillId="42" borderId="4" xfId="22" applyFont="1" applyFill="1" applyBorder="1" applyAlignment="1">
      <alignment vertical="top" wrapText="1"/>
    </xf>
    <xf numFmtId="0" fontId="37" fillId="7" borderId="71" xfId="19" applyFont="1" applyFill="1" applyBorder="1" applyAlignment="1">
      <alignment horizontal="left" vertical="center" wrapText="1" readingOrder="1"/>
    </xf>
    <xf numFmtId="0" fontId="35" fillId="18" borderId="71" xfId="19" applyFont="1" applyFill="1" applyBorder="1" applyAlignment="1">
      <alignment horizontal="center" vertical="center" wrapText="1" readingOrder="1"/>
    </xf>
    <xf numFmtId="1" fontId="35" fillId="18" borderId="71" xfId="19" applyNumberFormat="1" applyFont="1" applyFill="1" applyBorder="1" applyAlignment="1">
      <alignment horizontal="center" vertical="center" wrapText="1" readingOrder="1"/>
    </xf>
    <xf numFmtId="9" fontId="35" fillId="18" borderId="71" xfId="19" applyNumberFormat="1" applyFont="1" applyFill="1" applyBorder="1" applyAlignment="1">
      <alignment horizontal="center" vertical="center" wrapText="1" readingOrder="1"/>
    </xf>
    <xf numFmtId="14" fontId="35" fillId="18" borderId="71" xfId="19" applyNumberFormat="1" applyFont="1" applyFill="1" applyBorder="1" applyAlignment="1">
      <alignment horizontal="center" vertical="center" wrapText="1" readingOrder="1"/>
    </xf>
    <xf numFmtId="1" fontId="35" fillId="7" borderId="71" xfId="19" applyNumberFormat="1" applyFont="1" applyFill="1" applyBorder="1" applyAlignment="1">
      <alignment horizontal="center" vertical="center" wrapText="1" readingOrder="1"/>
    </xf>
    <xf numFmtId="1" fontId="35" fillId="7" borderId="71" xfId="20" applyNumberFormat="1" applyFont="1" applyFill="1" applyBorder="1" applyAlignment="1">
      <alignment horizontal="center" vertical="center" wrapText="1" readingOrder="1"/>
    </xf>
    <xf numFmtId="14" fontId="35" fillId="7" borderId="71" xfId="19" applyNumberFormat="1" applyFont="1" applyFill="1" applyBorder="1" applyAlignment="1">
      <alignment horizontal="center" vertical="center" wrapText="1"/>
    </xf>
    <xf numFmtId="0" fontId="35" fillId="7" borderId="71" xfId="19" applyFont="1" applyFill="1" applyBorder="1" applyAlignment="1">
      <alignment horizontal="center" vertical="center" wrapText="1"/>
    </xf>
    <xf numFmtId="0" fontId="35" fillId="7" borderId="71" xfId="19" applyFont="1" applyFill="1" applyBorder="1" applyAlignment="1">
      <alignment horizontal="center" vertical="center" wrapText="1" readingOrder="1"/>
    </xf>
    <xf numFmtId="0" fontId="37" fillId="7" borderId="71" xfId="19" applyFont="1" applyFill="1" applyBorder="1" applyAlignment="1">
      <alignment horizontal="center" vertical="center" wrapText="1" readingOrder="1"/>
    </xf>
    <xf numFmtId="0" fontId="35" fillId="11" borderId="71" xfId="20" applyNumberFormat="1" applyFont="1" applyFill="1" applyBorder="1" applyAlignment="1">
      <alignment horizontal="center" vertical="center" wrapText="1" readingOrder="1"/>
    </xf>
    <xf numFmtId="1" fontId="35" fillId="11" borderId="71" xfId="19" applyNumberFormat="1" applyFont="1" applyFill="1" applyBorder="1" applyAlignment="1">
      <alignment horizontal="center" vertical="center" wrapText="1" readingOrder="1"/>
    </xf>
    <xf numFmtId="9" fontId="35" fillId="11" borderId="71" xfId="19" applyNumberFormat="1" applyFont="1" applyFill="1" applyBorder="1" applyAlignment="1">
      <alignment horizontal="center" vertical="center" wrapText="1" readingOrder="1"/>
    </xf>
    <xf numFmtId="9" fontId="35" fillId="11" borderId="74" xfId="19" applyNumberFormat="1" applyFont="1" applyFill="1" applyBorder="1" applyAlignment="1">
      <alignment horizontal="center" vertical="center" wrapText="1" readingOrder="1"/>
    </xf>
    <xf numFmtId="9" fontId="35" fillId="34" borderId="74" xfId="19" applyNumberFormat="1" applyFont="1" applyFill="1" applyBorder="1" applyAlignment="1">
      <alignment horizontal="center" vertical="center" wrapText="1" readingOrder="1"/>
    </xf>
    <xf numFmtId="9" fontId="35" fillId="53" borderId="74" xfId="19" applyNumberFormat="1" applyFont="1" applyFill="1" applyBorder="1" applyAlignment="1">
      <alignment horizontal="center" vertical="center" wrapText="1" readingOrder="1"/>
    </xf>
    <xf numFmtId="0" fontId="115" fillId="18" borderId="71" xfId="19" applyFont="1" applyFill="1" applyBorder="1" applyAlignment="1">
      <alignment horizontal="center" vertical="center" wrapText="1" readingOrder="1"/>
    </xf>
    <xf numFmtId="1" fontId="115" fillId="18" borderId="71" xfId="19" applyNumberFormat="1" applyFont="1" applyFill="1" applyBorder="1" applyAlignment="1">
      <alignment horizontal="center" vertical="center" wrapText="1" readingOrder="1"/>
    </xf>
    <xf numFmtId="1" fontId="149" fillId="18" borderId="71" xfId="19" applyNumberFormat="1" applyFont="1" applyFill="1" applyBorder="1" applyAlignment="1">
      <alignment horizontal="center" vertical="center" wrapText="1" readingOrder="1"/>
    </xf>
    <xf numFmtId="1" fontId="115" fillId="7" borderId="71" xfId="19" applyNumberFormat="1" applyFont="1" applyFill="1" applyBorder="1" applyAlignment="1">
      <alignment horizontal="center" vertical="center" wrapText="1" readingOrder="1"/>
    </xf>
    <xf numFmtId="14" fontId="115" fillId="7" borderId="71" xfId="19" applyNumberFormat="1" applyFont="1" applyFill="1" applyBorder="1" applyAlignment="1">
      <alignment horizontal="center" vertical="center" wrapText="1" readingOrder="1"/>
    </xf>
    <xf numFmtId="0" fontId="115" fillId="11" borderId="71" xfId="20" applyNumberFormat="1" applyFont="1" applyFill="1" applyBorder="1" applyAlignment="1">
      <alignment horizontal="center" vertical="center" wrapText="1" readingOrder="1"/>
    </xf>
    <xf numFmtId="1" fontId="115" fillId="11" borderId="71" xfId="19" applyNumberFormat="1" applyFont="1" applyFill="1" applyBorder="1" applyAlignment="1">
      <alignment horizontal="center" vertical="center" wrapText="1" readingOrder="1"/>
    </xf>
    <xf numFmtId="0" fontId="101" fillId="8" borderId="81" xfId="0" applyFont="1" applyFill="1" applyBorder="1" applyAlignment="1">
      <alignment horizontal="center" vertical="center" wrapText="1"/>
    </xf>
    <xf numFmtId="1" fontId="101" fillId="9" borderId="81" xfId="0" applyNumberFormat="1" applyFont="1" applyFill="1" applyBorder="1" applyAlignment="1">
      <alignment horizontal="center" vertical="center"/>
    </xf>
    <xf numFmtId="1" fontId="150" fillId="9" borderId="81" xfId="0" applyNumberFormat="1" applyFont="1" applyFill="1" applyBorder="1" applyAlignment="1">
      <alignment horizontal="center" vertical="center"/>
    </xf>
    <xf numFmtId="0" fontId="38" fillId="8" borderId="88" xfId="0" applyFont="1" applyFill="1" applyBorder="1" applyAlignment="1">
      <alignment horizontal="center" vertical="center" wrapText="1"/>
    </xf>
    <xf numFmtId="0" fontId="37" fillId="2" borderId="71" xfId="22" applyFont="1" applyFill="1" applyBorder="1" applyAlignment="1">
      <alignment horizontal="left" vertical="center" indent="1" readingOrder="1"/>
    </xf>
    <xf numFmtId="0" fontId="35" fillId="0" borderId="71" xfId="19" applyFont="1" applyBorder="1" applyAlignment="1">
      <alignment horizontal="left" vertical="center" wrapText="1"/>
    </xf>
    <xf numFmtId="0" fontId="37" fillId="14" borderId="71" xfId="22" applyFont="1" applyFill="1" applyBorder="1" applyAlignment="1">
      <alignment horizontal="left" vertical="center" indent="1" readingOrder="1"/>
    </xf>
    <xf numFmtId="0" fontId="131" fillId="14" borderId="71" xfId="22" applyFont="1" applyFill="1" applyBorder="1" applyAlignment="1">
      <alignment horizontal="left" vertical="center" wrapText="1"/>
    </xf>
    <xf numFmtId="9" fontId="35" fillId="18" borderId="71" xfId="20" applyFont="1" applyFill="1" applyBorder="1" applyAlignment="1">
      <alignment horizontal="left" vertical="center" wrapText="1" readingOrder="1"/>
    </xf>
    <xf numFmtId="0" fontId="37" fillId="38" borderId="71" xfId="22" applyFont="1" applyFill="1" applyBorder="1" applyAlignment="1">
      <alignment horizontal="left" vertical="center" indent="1" readingOrder="1"/>
    </xf>
    <xf numFmtId="0" fontId="131" fillId="8" borderId="71" xfId="22" applyFont="1" applyFill="1" applyBorder="1" applyAlignment="1">
      <alignment horizontal="left" vertical="center" wrapText="1"/>
    </xf>
    <xf numFmtId="0" fontId="37" fillId="9" borderId="71" xfId="22" applyFont="1" applyFill="1" applyBorder="1" applyAlignment="1">
      <alignment horizontal="left" vertical="center" indent="1" readingOrder="1"/>
    </xf>
    <xf numFmtId="0" fontId="131" fillId="9" borderId="71" xfId="22" applyFont="1" applyFill="1" applyBorder="1" applyAlignment="1">
      <alignment horizontal="left" vertical="center" wrapText="1"/>
    </xf>
    <xf numFmtId="0" fontId="37" fillId="16" borderId="71" xfId="22" applyFont="1" applyFill="1" applyBorder="1" applyAlignment="1">
      <alignment horizontal="left" vertical="center" indent="1" readingOrder="1"/>
    </xf>
    <xf numFmtId="0" fontId="37" fillId="42" borderId="71" xfId="22" applyFont="1" applyFill="1" applyBorder="1" applyAlignment="1">
      <alignment horizontal="left" vertical="center" wrapText="1"/>
    </xf>
    <xf numFmtId="0" fontId="96" fillId="0" borderId="71" xfId="19" applyFont="1" applyBorder="1" applyAlignment="1">
      <alignment horizontal="left" vertical="center" wrapText="1"/>
    </xf>
    <xf numFmtId="0" fontId="35" fillId="18" borderId="71" xfId="19" applyFont="1" applyFill="1" applyBorder="1" applyAlignment="1">
      <alignment horizontal="center" vertical="center" wrapText="1"/>
    </xf>
    <xf numFmtId="1" fontId="43" fillId="8" borderId="88" xfId="0" applyNumberFormat="1" applyFont="1" applyFill="1" applyBorder="1" applyAlignment="1">
      <alignment vertical="center" wrapText="1"/>
    </xf>
    <xf numFmtId="9" fontId="35" fillId="34" borderId="0" xfId="19" applyNumberFormat="1" applyFont="1" applyFill="1" applyAlignment="1">
      <alignment horizontal="center" vertical="center" wrapText="1" readingOrder="1"/>
    </xf>
    <xf numFmtId="9" fontId="131" fillId="16" borderId="0" xfId="19" applyNumberFormat="1" applyFont="1" applyFill="1" applyAlignment="1">
      <alignment horizontal="center" vertical="center" wrapText="1" readingOrder="1"/>
    </xf>
    <xf numFmtId="164" fontId="61" fillId="34" borderId="0" xfId="4" applyNumberFormat="1" applyFont="1" applyFill="1" applyAlignment="1">
      <alignment horizontal="center" vertical="center" wrapText="1" readingOrder="1"/>
    </xf>
    <xf numFmtId="164" fontId="28" fillId="0" borderId="0" xfId="1" applyNumberFormat="1" applyFont="1" applyFill="1" applyAlignment="1">
      <alignment horizontal="left" vertical="center" readingOrder="1"/>
    </xf>
    <xf numFmtId="164" fontId="62" fillId="17" borderId="30" xfId="4" applyNumberFormat="1" applyFont="1" applyFill="1" applyBorder="1" applyAlignment="1">
      <alignment vertical="center" wrapText="1"/>
    </xf>
    <xf numFmtId="164" fontId="62" fillId="17" borderId="134" xfId="4" applyNumberFormat="1" applyFont="1" applyFill="1" applyBorder="1" applyAlignment="1">
      <alignment vertical="center" wrapText="1"/>
    </xf>
    <xf numFmtId="164" fontId="62" fillId="17" borderId="136" xfId="4" applyNumberFormat="1" applyFont="1" applyFill="1" applyBorder="1" applyAlignment="1">
      <alignment vertical="center" wrapText="1"/>
    </xf>
    <xf numFmtId="9" fontId="62" fillId="17" borderId="136" xfId="1" applyFont="1" applyFill="1" applyBorder="1" applyAlignment="1">
      <alignment vertical="center" wrapText="1"/>
    </xf>
    <xf numFmtId="0" fontId="119" fillId="2" borderId="23" xfId="0" applyFont="1" applyFill="1" applyBorder="1" applyAlignment="1">
      <alignment horizontal="center" vertical="center" wrapText="1"/>
    </xf>
    <xf numFmtId="0" fontId="119" fillId="42" borderId="23" xfId="0" applyFont="1" applyFill="1" applyBorder="1" applyAlignment="1">
      <alignment horizontal="center" vertical="center" wrapText="1"/>
    </xf>
    <xf numFmtId="164" fontId="62" fillId="16" borderId="23" xfId="4" applyNumberFormat="1" applyFont="1" applyFill="1" applyBorder="1" applyAlignment="1">
      <alignment vertical="center"/>
    </xf>
    <xf numFmtId="164" fontId="0" fillId="16" borderId="23" xfId="4" applyNumberFormat="1" applyFont="1" applyFill="1" applyBorder="1"/>
    <xf numFmtId="164" fontId="62" fillId="42" borderId="23" xfId="4" applyNumberFormat="1" applyFont="1" applyFill="1" applyBorder="1" applyAlignment="1">
      <alignment vertical="center"/>
    </xf>
    <xf numFmtId="164" fontId="0" fillId="42" borderId="23" xfId="4" applyNumberFormat="1" applyFont="1" applyFill="1" applyBorder="1"/>
    <xf numFmtId="164" fontId="0" fillId="16" borderId="23" xfId="4" applyNumberFormat="1" applyFont="1" applyFill="1" applyBorder="1" applyAlignment="1">
      <alignment vertical="center"/>
    </xf>
    <xf numFmtId="164" fontId="0" fillId="42" borderId="23" xfId="4" applyNumberFormat="1" applyFont="1" applyFill="1" applyBorder="1" applyAlignment="1">
      <alignment vertical="center"/>
    </xf>
    <xf numFmtId="164" fontId="0" fillId="16" borderId="23" xfId="4" applyNumberFormat="1" applyFont="1" applyFill="1" applyBorder="1" applyAlignment="1">
      <alignment horizontal="center" vertical="center"/>
    </xf>
    <xf numFmtId="164" fontId="0" fillId="42" borderId="23" xfId="4" applyNumberFormat="1" applyFont="1" applyFill="1" applyBorder="1" applyAlignment="1">
      <alignment horizontal="center" vertical="center"/>
    </xf>
    <xf numFmtId="0" fontId="6" fillId="32" borderId="0" xfId="0" applyFont="1" applyFill="1"/>
    <xf numFmtId="168" fontId="28" fillId="0" borderId="0" xfId="0" applyNumberFormat="1" applyFont="1" applyAlignment="1">
      <alignment horizontal="left" vertical="center" readingOrder="1"/>
    </xf>
    <xf numFmtId="165" fontId="28" fillId="0" borderId="0" xfId="0" applyNumberFormat="1" applyFont="1" applyAlignment="1">
      <alignment horizontal="left" vertical="center" readingOrder="1"/>
    </xf>
    <xf numFmtId="0" fontId="28" fillId="0" borderId="0" xfId="0" applyFont="1" applyAlignment="1">
      <alignment horizontal="left" vertical="center" readingOrder="1"/>
    </xf>
    <xf numFmtId="164" fontId="28" fillId="0" borderId="0" xfId="4" applyNumberFormat="1" applyFont="1" applyAlignment="1">
      <alignment horizontal="left" vertical="center" readingOrder="1"/>
    </xf>
    <xf numFmtId="0" fontId="151" fillId="0" borderId="0" xfId="1" applyNumberFormat="1" applyFont="1" applyFill="1" applyAlignment="1">
      <alignment horizontal="left" vertical="center" readingOrder="1"/>
    </xf>
    <xf numFmtId="164" fontId="151" fillId="0" borderId="0" xfId="4" applyNumberFormat="1" applyFont="1" applyFill="1" applyAlignment="1">
      <alignment horizontal="left" vertical="center" readingOrder="1"/>
    </xf>
    <xf numFmtId="168" fontId="151" fillId="0" borderId="0" xfId="0" applyNumberFormat="1" applyFont="1" applyFill="1" applyAlignment="1">
      <alignment horizontal="left" vertical="center" readingOrder="1"/>
    </xf>
    <xf numFmtId="165" fontId="151" fillId="0" borderId="0" xfId="0" applyNumberFormat="1" applyFont="1" applyFill="1" applyAlignment="1">
      <alignment horizontal="left" vertical="center" readingOrder="1"/>
    </xf>
    <xf numFmtId="1" fontId="151" fillId="0" borderId="0" xfId="0" applyNumberFormat="1" applyFont="1" applyFill="1" applyAlignment="1">
      <alignment horizontal="left" vertical="center" readingOrder="1"/>
    </xf>
    <xf numFmtId="0" fontId="151" fillId="0" borderId="0" xfId="0" applyNumberFormat="1" applyFont="1" applyFill="1" applyAlignment="1">
      <alignment horizontal="left" vertical="center" readingOrder="1"/>
    </xf>
    <xf numFmtId="9" fontId="151" fillId="0" borderId="0" xfId="1" applyFont="1" applyFill="1" applyAlignment="1">
      <alignment horizontal="left" vertical="center" readingOrder="1"/>
    </xf>
    <xf numFmtId="1" fontId="151" fillId="0" borderId="0" xfId="4" applyNumberFormat="1" applyFont="1" applyFill="1" applyAlignment="1">
      <alignment horizontal="left" vertical="center" readingOrder="1"/>
    </xf>
    <xf numFmtId="9" fontId="151" fillId="0" borderId="0" xfId="1" applyNumberFormat="1" applyFont="1" applyFill="1" applyAlignment="1">
      <alignment horizontal="left" vertical="center" readingOrder="1"/>
    </xf>
    <xf numFmtId="1" fontId="151" fillId="0" borderId="0" xfId="1" applyNumberFormat="1" applyFont="1" applyFill="1" applyAlignment="1">
      <alignment horizontal="left" vertical="center" readingOrder="1"/>
    </xf>
    <xf numFmtId="1" fontId="151" fillId="0" borderId="0" xfId="1" applyNumberFormat="1" applyFont="1" applyFill="1" applyBorder="1" applyAlignment="1">
      <alignment horizontal="left" vertical="center" readingOrder="1"/>
    </xf>
    <xf numFmtId="9" fontId="151" fillId="0" borderId="0" xfId="1" applyNumberFormat="1" applyFont="1" applyFill="1" applyBorder="1" applyAlignment="1">
      <alignment horizontal="left" vertical="center" readingOrder="1"/>
    </xf>
    <xf numFmtId="9" fontId="151" fillId="0" borderId="0" xfId="0" applyNumberFormat="1" applyFont="1" applyFill="1" applyAlignment="1">
      <alignment horizontal="left" vertical="center" readingOrder="1"/>
    </xf>
    <xf numFmtId="9" fontId="28" fillId="0" borderId="0" xfId="1" applyNumberFormat="1" applyFont="1" applyFill="1" applyBorder="1" applyAlignment="1">
      <alignment horizontal="left" vertical="center" readingOrder="1"/>
    </xf>
    <xf numFmtId="1" fontId="151" fillId="0" borderId="0" xfId="0" applyNumberFormat="1" applyFont="1" applyFill="1" applyBorder="1" applyAlignment="1">
      <alignment horizontal="left" vertical="center" readingOrder="1"/>
    </xf>
    <xf numFmtId="164" fontId="141" fillId="16" borderId="0" xfId="4" applyNumberFormat="1" applyFont="1" applyFill="1" applyAlignment="1">
      <alignment horizontal="left" vertical="center" readingOrder="1"/>
    </xf>
    <xf numFmtId="164" fontId="151" fillId="16" borderId="0" xfId="4" applyNumberFormat="1" applyFont="1" applyFill="1" applyAlignment="1">
      <alignment horizontal="left" vertical="center" readingOrder="1"/>
    </xf>
    <xf numFmtId="0" fontId="38" fillId="8" borderId="88" xfId="0" applyFont="1" applyFill="1" applyBorder="1" applyAlignment="1">
      <alignment horizontal="center" vertical="center" wrapText="1"/>
    </xf>
    <xf numFmtId="0" fontId="63" fillId="0" borderId="0" xfId="0" applyFont="1"/>
    <xf numFmtId="164" fontId="82" fillId="14" borderId="30" xfId="4" applyNumberFormat="1" applyFont="1" applyFill="1" applyBorder="1" applyAlignment="1">
      <alignment vertical="center" wrapText="1"/>
    </xf>
    <xf numFmtId="164" fontId="82" fillId="14" borderId="30" xfId="4" applyNumberFormat="1" applyFont="1" applyFill="1" applyBorder="1" applyAlignment="1">
      <alignment vertical="center"/>
    </xf>
    <xf numFmtId="164" fontId="62" fillId="10" borderId="30" xfId="4" applyNumberFormat="1" applyFont="1" applyFill="1" applyBorder="1" applyAlignment="1">
      <alignment vertical="center" wrapText="1"/>
    </xf>
    <xf numFmtId="164" fontId="62" fillId="10" borderId="30" xfId="4" applyNumberFormat="1" applyFont="1" applyFill="1" applyBorder="1" applyAlignment="1">
      <alignment vertical="center"/>
    </xf>
    <xf numFmtId="164" fontId="62" fillId="10" borderId="35" xfId="4" applyNumberFormat="1" applyFont="1" applyFill="1" applyBorder="1" applyAlignment="1">
      <alignment vertical="center"/>
    </xf>
    <xf numFmtId="9" fontId="62" fillId="10" borderId="35" xfId="1" applyFont="1" applyFill="1" applyBorder="1" applyAlignment="1">
      <alignment vertical="center"/>
    </xf>
    <xf numFmtId="164" fontId="62" fillId="7" borderId="30" xfId="4" applyNumberFormat="1" applyFont="1" applyFill="1" applyBorder="1" applyAlignment="1">
      <alignment vertical="center" wrapText="1"/>
    </xf>
    <xf numFmtId="164" fontId="62" fillId="7" borderId="30" xfId="4" applyNumberFormat="1" applyFont="1" applyFill="1" applyBorder="1" applyAlignment="1">
      <alignment vertical="center"/>
    </xf>
    <xf numFmtId="164" fontId="119" fillId="7" borderId="35" xfId="4" applyNumberFormat="1" applyFont="1" applyFill="1" applyBorder="1" applyAlignment="1">
      <alignment vertical="center"/>
    </xf>
    <xf numFmtId="9" fontId="62" fillId="7" borderId="35" xfId="1" applyFont="1" applyFill="1" applyBorder="1" applyAlignment="1">
      <alignment vertical="center"/>
    </xf>
    <xf numFmtId="164" fontId="62" fillId="11" borderId="30" xfId="4" applyNumberFormat="1" applyFont="1" applyFill="1" applyBorder="1" applyAlignment="1">
      <alignment vertical="center" wrapText="1"/>
    </xf>
    <xf numFmtId="164" fontId="62" fillId="11" borderId="30" xfId="4" applyNumberFormat="1" applyFont="1" applyFill="1" applyBorder="1" applyAlignment="1">
      <alignment vertical="center"/>
    </xf>
    <xf numFmtId="164" fontId="119" fillId="11" borderId="35" xfId="4" applyNumberFormat="1" applyFont="1" applyFill="1" applyBorder="1" applyAlignment="1">
      <alignment vertical="center"/>
    </xf>
    <xf numFmtId="9" fontId="62" fillId="11" borderId="35" xfId="1" applyFont="1" applyFill="1" applyBorder="1" applyAlignment="1">
      <alignment vertical="center"/>
    </xf>
    <xf numFmtId="164" fontId="119" fillId="12" borderId="30" xfId="4" applyNumberFormat="1" applyFont="1" applyFill="1" applyBorder="1" applyAlignment="1">
      <alignment vertical="center" wrapText="1"/>
    </xf>
    <xf numFmtId="164" fontId="119" fillId="12" borderId="30" xfId="4" applyNumberFormat="1" applyFont="1" applyFill="1" applyBorder="1" applyAlignment="1">
      <alignment vertical="center"/>
    </xf>
    <xf numFmtId="164" fontId="119" fillId="12" borderId="134" xfId="4" applyNumberFormat="1" applyFont="1" applyFill="1" applyBorder="1" applyAlignment="1">
      <alignment vertical="center"/>
    </xf>
    <xf numFmtId="164" fontId="119" fillId="12" borderId="136" xfId="4" applyNumberFormat="1" applyFont="1" applyFill="1" applyBorder="1" applyAlignment="1">
      <alignment vertical="center"/>
    </xf>
    <xf numFmtId="9" fontId="119" fillId="12" borderId="136" xfId="1" applyFont="1" applyFill="1" applyBorder="1" applyAlignment="1">
      <alignment vertical="center"/>
    </xf>
    <xf numFmtId="164" fontId="119" fillId="12" borderId="135" xfId="4" applyNumberFormat="1" applyFont="1" applyFill="1" applyBorder="1" applyAlignment="1">
      <alignment vertical="center"/>
    </xf>
    <xf numFmtId="9" fontId="119" fillId="12" borderId="135" xfId="1" applyFont="1" applyFill="1" applyBorder="1" applyAlignment="1">
      <alignment vertical="center"/>
    </xf>
    <xf numFmtId="9" fontId="82" fillId="14" borderId="35" xfId="1" applyFont="1" applyFill="1" applyBorder="1" applyAlignment="1">
      <alignment vertical="center"/>
    </xf>
    <xf numFmtId="164" fontId="82" fillId="8" borderId="30" xfId="4" applyNumberFormat="1" applyFont="1" applyFill="1" applyBorder="1" applyAlignment="1">
      <alignment vertical="center" wrapText="1"/>
    </xf>
    <xf numFmtId="164" fontId="82" fillId="8" borderId="30" xfId="4" applyNumberFormat="1" applyFont="1" applyFill="1" applyBorder="1" applyAlignment="1">
      <alignment vertical="center"/>
    </xf>
    <xf numFmtId="9" fontId="82" fillId="8" borderId="35" xfId="1" applyFont="1" applyFill="1" applyBorder="1" applyAlignment="1">
      <alignment vertical="center"/>
    </xf>
    <xf numFmtId="164" fontId="82" fillId="8" borderId="35" xfId="4" applyNumberFormat="1" applyFont="1" applyFill="1" applyBorder="1" applyAlignment="1">
      <alignment vertical="center"/>
    </xf>
    <xf numFmtId="0" fontId="152" fillId="0" borderId="0" xfId="0" applyFont="1"/>
    <xf numFmtId="164" fontId="82" fillId="9" borderId="30" xfId="4" applyNumberFormat="1" applyFont="1" applyFill="1" applyBorder="1" applyAlignment="1">
      <alignment vertical="center" wrapText="1"/>
    </xf>
    <xf numFmtId="164" fontId="82" fillId="9" borderId="30" xfId="4" applyNumberFormat="1" applyFont="1" applyFill="1" applyBorder="1" applyAlignment="1">
      <alignment vertical="center"/>
    </xf>
    <xf numFmtId="9" fontId="82" fillId="9" borderId="35" xfId="1" applyFont="1" applyFill="1" applyBorder="1" applyAlignment="1">
      <alignment vertical="center"/>
    </xf>
    <xf numFmtId="164" fontId="82" fillId="9" borderId="35" xfId="4" applyNumberFormat="1" applyFont="1" applyFill="1" applyBorder="1" applyAlignment="1">
      <alignment vertical="center"/>
    </xf>
    <xf numFmtId="164" fontId="63" fillId="42" borderId="30" xfId="4" applyNumberFormat="1" applyFont="1" applyFill="1" applyBorder="1" applyAlignment="1">
      <alignment vertical="center" wrapText="1"/>
    </xf>
    <xf numFmtId="9" fontId="63" fillId="42" borderId="136" xfId="1" applyFont="1" applyFill="1" applyBorder="1" applyAlignment="1">
      <alignment vertical="center" wrapText="1"/>
    </xf>
    <xf numFmtId="164" fontId="63" fillId="42" borderId="136" xfId="4" applyNumberFormat="1" applyFont="1" applyFill="1" applyBorder="1" applyAlignment="1">
      <alignment vertical="center" wrapText="1"/>
    </xf>
    <xf numFmtId="164" fontId="62" fillId="17" borderId="139" xfId="4" applyNumberFormat="1" applyFont="1" applyFill="1" applyBorder="1" applyAlignment="1">
      <alignment vertical="center" wrapText="1"/>
    </xf>
    <xf numFmtId="164" fontId="63" fillId="16" borderId="139" xfId="4" applyNumberFormat="1" applyFont="1" applyFill="1" applyBorder="1" applyAlignment="1">
      <alignment vertical="center" wrapText="1"/>
    </xf>
    <xf numFmtId="164" fontId="63" fillId="16" borderId="30" xfId="4" applyNumberFormat="1" applyFont="1" applyFill="1" applyBorder="1" applyAlignment="1">
      <alignment vertical="center" wrapText="1"/>
    </xf>
    <xf numFmtId="9" fontId="63" fillId="16" borderId="136" xfId="1" applyFont="1" applyFill="1" applyBorder="1" applyAlignment="1">
      <alignment vertical="center" wrapText="1"/>
    </xf>
    <xf numFmtId="164" fontId="63" fillId="16" borderId="136" xfId="4" applyNumberFormat="1" applyFont="1" applyFill="1" applyBorder="1" applyAlignment="1">
      <alignment vertical="center" wrapText="1"/>
    </xf>
    <xf numFmtId="164" fontId="62" fillId="57" borderId="30" xfId="4" applyNumberFormat="1" applyFont="1" applyFill="1" applyBorder="1" applyAlignment="1">
      <alignment vertical="center" wrapText="1"/>
    </xf>
    <xf numFmtId="164" fontId="62" fillId="57" borderId="134" xfId="4" applyNumberFormat="1" applyFont="1" applyFill="1" applyBorder="1" applyAlignment="1">
      <alignment vertical="center" wrapText="1"/>
    </xf>
    <xf numFmtId="164" fontId="62" fillId="57" borderId="136" xfId="4" applyNumberFormat="1" applyFont="1" applyFill="1" applyBorder="1" applyAlignment="1">
      <alignment vertical="center" wrapText="1"/>
    </xf>
    <xf numFmtId="9" fontId="62" fillId="57" borderId="136" xfId="1" applyFont="1" applyFill="1" applyBorder="1" applyAlignment="1">
      <alignment vertical="center" wrapText="1"/>
    </xf>
    <xf numFmtId="0" fontId="5" fillId="17" borderId="29" xfId="0" applyFont="1" applyFill="1" applyBorder="1"/>
    <xf numFmtId="0" fontId="5" fillId="19" borderId="0" xfId="0" applyFont="1" applyFill="1"/>
    <xf numFmtId="164" fontId="20" fillId="0" borderId="0" xfId="4" applyNumberFormat="1" applyFont="1"/>
    <xf numFmtId="0" fontId="5" fillId="17" borderId="29" xfId="0" applyFont="1" applyFill="1" applyBorder="1" applyAlignment="1">
      <alignment vertical="top"/>
    </xf>
    <xf numFmtId="167" fontId="151" fillId="0" borderId="0" xfId="0" applyNumberFormat="1" applyFont="1" applyFill="1" applyAlignment="1">
      <alignment horizontal="left" vertical="center" readingOrder="1"/>
    </xf>
    <xf numFmtId="0" fontId="151" fillId="0" borderId="0" xfId="0" applyFont="1" applyFill="1" applyAlignment="1">
      <alignment horizontal="left" vertical="center" readingOrder="1"/>
    </xf>
    <xf numFmtId="0" fontId="58" fillId="0" borderId="0" xfId="0" applyFont="1" applyFill="1" applyAlignment="1">
      <alignment horizontal="left" vertical="center" readingOrder="1"/>
    </xf>
    <xf numFmtId="0" fontId="79" fillId="55" borderId="143" xfId="0" applyFont="1" applyFill="1" applyBorder="1"/>
    <xf numFmtId="0" fontId="79" fillId="50" borderId="144" xfId="0" applyFont="1" applyFill="1" applyBorder="1"/>
    <xf numFmtId="167" fontId="153" fillId="0" borderId="0" xfId="0" applyNumberFormat="1" applyFont="1" applyFill="1" applyAlignment="1">
      <alignment horizontal="left" vertical="center" readingOrder="1"/>
    </xf>
    <xf numFmtId="0" fontId="153" fillId="0" borderId="0" xfId="0" applyFont="1" applyFill="1" applyAlignment="1">
      <alignment horizontal="left" vertical="center" readingOrder="1"/>
    </xf>
    <xf numFmtId="0" fontId="153" fillId="0" borderId="0" xfId="1" applyNumberFormat="1" applyFont="1" applyFill="1" applyAlignment="1">
      <alignment horizontal="left" vertical="center" readingOrder="1"/>
    </xf>
    <xf numFmtId="164" fontId="153" fillId="0" borderId="0" xfId="4" applyNumberFormat="1" applyFont="1" applyFill="1" applyAlignment="1">
      <alignment horizontal="left" vertical="center" readingOrder="1"/>
    </xf>
    <xf numFmtId="168" fontId="153" fillId="0" borderId="0" xfId="0" applyNumberFormat="1" applyFont="1" applyFill="1" applyAlignment="1">
      <alignment horizontal="left" vertical="center" readingOrder="1"/>
    </xf>
    <xf numFmtId="165" fontId="153" fillId="0" borderId="0" xfId="0" applyNumberFormat="1" applyFont="1" applyFill="1" applyAlignment="1">
      <alignment horizontal="left" vertical="center" readingOrder="1"/>
    </xf>
    <xf numFmtId="1" fontId="153" fillId="0" borderId="0" xfId="0" applyNumberFormat="1" applyFont="1" applyFill="1" applyAlignment="1">
      <alignment horizontal="left" vertical="center" readingOrder="1"/>
    </xf>
    <xf numFmtId="0" fontId="153" fillId="0" borderId="0" xfId="0" applyNumberFormat="1" applyFont="1" applyFill="1" applyAlignment="1">
      <alignment horizontal="left" vertical="center" readingOrder="1"/>
    </xf>
    <xf numFmtId="9" fontId="153" fillId="0" borderId="0" xfId="1" applyFont="1" applyFill="1" applyAlignment="1">
      <alignment horizontal="left" vertical="center" readingOrder="1"/>
    </xf>
    <xf numFmtId="1" fontId="153" fillId="0" borderId="0" xfId="1" applyNumberFormat="1" applyFont="1" applyFill="1" applyAlignment="1">
      <alignment horizontal="left" vertical="center" readingOrder="1"/>
    </xf>
    <xf numFmtId="9" fontId="153" fillId="0" borderId="0" xfId="1" applyNumberFormat="1" applyFont="1" applyFill="1" applyAlignment="1">
      <alignment horizontal="left" vertical="center" readingOrder="1"/>
    </xf>
    <xf numFmtId="9" fontId="153" fillId="0" borderId="0" xfId="0" applyNumberFormat="1" applyFont="1" applyFill="1" applyAlignment="1">
      <alignment horizontal="left" vertical="center" readingOrder="1"/>
    </xf>
    <xf numFmtId="9" fontId="28" fillId="0" borderId="0" xfId="1" applyNumberFormat="1" applyFont="1" applyFill="1" applyAlignment="1">
      <alignment horizontal="left" vertical="center" readingOrder="1"/>
    </xf>
    <xf numFmtId="1" fontId="153" fillId="0" borderId="0" xfId="4" applyNumberFormat="1" applyFont="1" applyFill="1" applyAlignment="1">
      <alignment horizontal="left" vertical="center" readingOrder="1"/>
    </xf>
    <xf numFmtId="0" fontId="28" fillId="0" borderId="0" xfId="1" applyNumberFormat="1" applyFont="1" applyAlignment="1">
      <alignment horizontal="left" vertical="center" readingOrder="1"/>
    </xf>
    <xf numFmtId="1" fontId="28" fillId="0" borderId="0" xfId="0" applyNumberFormat="1" applyFont="1" applyAlignment="1">
      <alignment horizontal="left" vertical="center" readingOrder="1"/>
    </xf>
    <xf numFmtId="9" fontId="28" fillId="0" borderId="0" xfId="1" applyFont="1" applyAlignment="1">
      <alignment horizontal="left" vertical="center" readingOrder="1"/>
    </xf>
    <xf numFmtId="164" fontId="28" fillId="42" borderId="0" xfId="4" applyNumberFormat="1" applyFont="1" applyFill="1" applyAlignment="1">
      <alignment horizontal="left" vertical="center" readingOrder="1"/>
    </xf>
    <xf numFmtId="0" fontId="4" fillId="17" borderId="29" xfId="0" applyFont="1" applyFill="1" applyBorder="1"/>
    <xf numFmtId="164" fontId="63" fillId="16" borderId="134" xfId="4" applyNumberFormat="1" applyFont="1" applyFill="1" applyBorder="1" applyAlignment="1">
      <alignment vertical="center" wrapText="1"/>
    </xf>
    <xf numFmtId="164" fontId="132" fillId="12" borderId="30" xfId="4" applyNumberFormat="1" applyFont="1" applyFill="1" applyBorder="1" applyAlignment="1">
      <alignment vertical="center"/>
    </xf>
    <xf numFmtId="0" fontId="70" fillId="13" borderId="147" xfId="0" applyFont="1" applyFill="1" applyBorder="1" applyAlignment="1">
      <alignment horizontal="center" vertical="center" wrapText="1"/>
    </xf>
    <xf numFmtId="164" fontId="62" fillId="10" borderId="134" xfId="4" applyNumberFormat="1" applyFont="1" applyFill="1" applyBorder="1" applyAlignment="1">
      <alignment vertical="center"/>
    </xf>
    <xf numFmtId="164" fontId="82" fillId="14" borderId="134" xfId="4" applyNumberFormat="1" applyFont="1" applyFill="1" applyBorder="1" applyAlignment="1">
      <alignment vertical="center"/>
    </xf>
    <xf numFmtId="164" fontId="62" fillId="7" borderId="134" xfId="4" applyNumberFormat="1" applyFont="1" applyFill="1" applyBorder="1" applyAlignment="1">
      <alignment vertical="center"/>
    </xf>
    <xf numFmtId="164" fontId="82" fillId="8" borderId="134" xfId="4" applyNumberFormat="1" applyFont="1" applyFill="1" applyBorder="1" applyAlignment="1">
      <alignment vertical="center"/>
    </xf>
    <xf numFmtId="164" fontId="62" fillId="11" borderId="134" xfId="4" applyNumberFormat="1" applyFont="1" applyFill="1" applyBorder="1" applyAlignment="1">
      <alignment vertical="center"/>
    </xf>
    <xf numFmtId="164" fontId="82" fillId="9" borderId="134" xfId="4" applyNumberFormat="1" applyFont="1" applyFill="1" applyBorder="1" applyAlignment="1">
      <alignment vertical="center"/>
    </xf>
    <xf numFmtId="164" fontId="63" fillId="42" borderId="134" xfId="4" applyNumberFormat="1" applyFont="1" applyFill="1" applyBorder="1" applyAlignment="1">
      <alignment vertical="center" wrapText="1"/>
    </xf>
    <xf numFmtId="0" fontId="71" fillId="13" borderId="148" xfId="0" applyFont="1" applyFill="1" applyBorder="1" applyAlignment="1">
      <alignment horizontal="center" vertical="center" wrapText="1"/>
    </xf>
    <xf numFmtId="9" fontId="62" fillId="10" borderId="146" xfId="1" applyFont="1" applyFill="1" applyBorder="1" applyAlignment="1">
      <alignment vertical="center"/>
    </xf>
    <xf numFmtId="9" fontId="82" fillId="14" borderId="146" xfId="1" applyFont="1" applyFill="1" applyBorder="1" applyAlignment="1">
      <alignment vertical="center"/>
    </xf>
    <xf numFmtId="9" fontId="119" fillId="7" borderId="146" xfId="1" applyFont="1" applyFill="1" applyBorder="1" applyAlignment="1">
      <alignment vertical="center"/>
    </xf>
    <xf numFmtId="9" fontId="82" fillId="8" borderId="146" xfId="1" applyFont="1" applyFill="1" applyBorder="1" applyAlignment="1">
      <alignment vertical="center"/>
    </xf>
    <xf numFmtId="9" fontId="119" fillId="11" borderId="146" xfId="1" applyFont="1" applyFill="1" applyBorder="1" applyAlignment="1">
      <alignment vertical="center"/>
    </xf>
    <xf numFmtId="9" fontId="82" fillId="9" borderId="146" xfId="1" applyFont="1" applyFill="1" applyBorder="1" applyAlignment="1">
      <alignment vertical="center"/>
    </xf>
    <xf numFmtId="9" fontId="62" fillId="57" borderId="146" xfId="1" applyFont="1" applyFill="1" applyBorder="1" applyAlignment="1">
      <alignment vertical="center" wrapText="1"/>
    </xf>
    <xf numFmtId="9" fontId="63" fillId="42" borderId="146" xfId="1" applyFont="1" applyFill="1" applyBorder="1" applyAlignment="1">
      <alignment vertical="center" wrapText="1"/>
    </xf>
    <xf numFmtId="9" fontId="62" fillId="17" borderId="146" xfId="1" applyFont="1" applyFill="1" applyBorder="1" applyAlignment="1">
      <alignment vertical="center" wrapText="1"/>
    </xf>
    <xf numFmtId="9" fontId="63" fillId="16" borderId="146" xfId="1" applyFont="1" applyFill="1" applyBorder="1" applyAlignment="1">
      <alignment vertical="center" wrapText="1"/>
    </xf>
    <xf numFmtId="9" fontId="119" fillId="12" borderId="149" xfId="1" applyFont="1" applyFill="1" applyBorder="1" applyAlignment="1">
      <alignment vertical="center"/>
    </xf>
    <xf numFmtId="9" fontId="119" fillId="12" borderId="146" xfId="1" applyFont="1" applyFill="1" applyBorder="1" applyAlignment="1">
      <alignment vertical="center"/>
    </xf>
    <xf numFmtId="164" fontId="82" fillId="8" borderId="34" xfId="4" applyNumberFormat="1" applyFont="1" applyFill="1" applyBorder="1" applyAlignment="1">
      <alignment vertical="center"/>
    </xf>
    <xf numFmtId="0" fontId="28" fillId="0" borderId="0" xfId="0" applyFont="1" applyAlignment="1">
      <alignment horizontal="left" vertical="center" wrapText="1" readingOrder="1"/>
    </xf>
    <xf numFmtId="0" fontId="28" fillId="0" borderId="0" xfId="1" applyNumberFormat="1" applyFont="1" applyAlignment="1">
      <alignment horizontal="left" vertical="center" wrapText="1" readingOrder="1"/>
    </xf>
    <xf numFmtId="164" fontId="28" fillId="0" borderId="0" xfId="4" applyNumberFormat="1" applyFont="1" applyAlignment="1">
      <alignment horizontal="left" vertical="center" wrapText="1" readingOrder="1"/>
    </xf>
    <xf numFmtId="0" fontId="68" fillId="26" borderId="0" xfId="0" applyFont="1" applyFill="1"/>
    <xf numFmtId="164" fontId="82" fillId="26" borderId="139" xfId="4" applyNumberFormat="1" applyFont="1" applyFill="1" applyBorder="1" applyAlignment="1">
      <alignment vertical="center" wrapText="1"/>
    </xf>
    <xf numFmtId="164" fontId="82" fillId="26" borderId="36" xfId="4" applyNumberFormat="1" applyFont="1" applyFill="1" applyBorder="1" applyAlignment="1">
      <alignment vertical="center" wrapText="1"/>
    </xf>
    <xf numFmtId="9" fontId="82" fillId="26" borderId="149" xfId="1" applyFont="1" applyFill="1" applyBorder="1" applyAlignment="1">
      <alignment vertical="center"/>
    </xf>
    <xf numFmtId="9" fontId="82" fillId="26" borderId="135" xfId="1" applyFont="1" applyFill="1" applyBorder="1" applyAlignment="1">
      <alignment vertical="center"/>
    </xf>
    <xf numFmtId="164" fontId="82" fillId="26" borderId="135" xfId="4" applyNumberFormat="1" applyFont="1" applyFill="1" applyBorder="1" applyAlignment="1">
      <alignment vertical="center"/>
    </xf>
    <xf numFmtId="164" fontId="119" fillId="58" borderId="35" xfId="4" applyNumberFormat="1" applyFont="1" applyFill="1" applyBorder="1" applyAlignment="1">
      <alignment vertical="center"/>
    </xf>
    <xf numFmtId="164" fontId="119" fillId="10" borderId="35" xfId="4" applyNumberFormat="1" applyFont="1" applyFill="1" applyBorder="1" applyAlignment="1">
      <alignment vertical="center"/>
    </xf>
    <xf numFmtId="164" fontId="143" fillId="42" borderId="30" xfId="4" applyNumberFormat="1" applyFont="1" applyFill="1" applyBorder="1" applyAlignment="1">
      <alignment vertical="center" wrapText="1"/>
    </xf>
    <xf numFmtId="0" fontId="155" fillId="0" borderId="42" xfId="0" applyFont="1" applyBorder="1" applyAlignment="1">
      <alignment horizontal="left"/>
    </xf>
    <xf numFmtId="0" fontId="155" fillId="0" borderId="39" xfId="0" applyFont="1" applyBorder="1" applyAlignment="1">
      <alignment horizontal="left"/>
    </xf>
    <xf numFmtId="0" fontId="155" fillId="0" borderId="150" xfId="0" applyFont="1" applyBorder="1" applyAlignment="1">
      <alignment horizontal="left"/>
    </xf>
    <xf numFmtId="0" fontId="154" fillId="0" borderId="0" xfId="0" applyFont="1" applyFill="1" applyBorder="1" applyAlignment="1">
      <alignment horizontal="left" vertical="center"/>
    </xf>
    <xf numFmtId="164" fontId="156" fillId="0" borderId="0" xfId="4" applyNumberFormat="1" applyFont="1" applyFill="1" applyAlignment="1">
      <alignment horizontal="left" vertical="center" readingOrder="1"/>
    </xf>
    <xf numFmtId="164" fontId="86" fillId="0" borderId="0" xfId="0" applyNumberFormat="1" applyFont="1"/>
    <xf numFmtId="0" fontId="3" fillId="0" borderId="0" xfId="0" applyFont="1" applyFill="1" applyBorder="1" applyAlignment="1">
      <alignment vertical="center" wrapText="1"/>
    </xf>
    <xf numFmtId="0" fontId="2" fillId="0" borderId="0" xfId="0" applyFont="1" applyFill="1" applyAlignment="1">
      <alignment horizontal="left" vertical="center"/>
    </xf>
    <xf numFmtId="0" fontId="2" fillId="0" borderId="0" xfId="0" applyNumberFormat="1" applyFont="1" applyFill="1" applyAlignment="1">
      <alignment vertical="center"/>
    </xf>
    <xf numFmtId="0" fontId="33" fillId="0" borderId="68" xfId="0" applyNumberFormat="1" applyFont="1" applyFill="1" applyBorder="1" applyAlignment="1">
      <alignment vertical="center"/>
    </xf>
    <xf numFmtId="0" fontId="75" fillId="35" borderId="0" xfId="0" applyFont="1" applyFill="1" applyBorder="1" applyAlignment="1">
      <alignment horizontal="center" vertical="center" wrapText="1"/>
    </xf>
    <xf numFmtId="0" fontId="75" fillId="35" borderId="0" xfId="0" applyFont="1" applyFill="1" applyBorder="1" applyAlignment="1">
      <alignment horizontal="center" vertical="center"/>
    </xf>
    <xf numFmtId="165" fontId="156" fillId="0" borderId="0" xfId="0" applyNumberFormat="1" applyFont="1" applyFill="1" applyAlignment="1">
      <alignment horizontal="left" vertical="center" readingOrder="1"/>
    </xf>
    <xf numFmtId="167" fontId="156" fillId="0" borderId="0" xfId="0" applyNumberFormat="1" applyFont="1" applyFill="1" applyAlignment="1">
      <alignment horizontal="left" vertical="center" readingOrder="1"/>
    </xf>
    <xf numFmtId="0" fontId="156" fillId="0" borderId="0" xfId="0" applyFont="1" applyFill="1" applyAlignment="1">
      <alignment horizontal="left" vertical="center" readingOrder="1"/>
    </xf>
    <xf numFmtId="0" fontId="156" fillId="0" borderId="0" xfId="1" applyNumberFormat="1" applyFont="1" applyFill="1" applyAlignment="1">
      <alignment horizontal="left" vertical="center" readingOrder="1"/>
    </xf>
    <xf numFmtId="168" fontId="156" fillId="0" borderId="0" xfId="0" applyNumberFormat="1" applyFont="1" applyFill="1" applyAlignment="1">
      <alignment horizontal="left" vertical="center" readingOrder="1"/>
    </xf>
    <xf numFmtId="1" fontId="156" fillId="0" borderId="0" xfId="0" applyNumberFormat="1" applyFont="1" applyFill="1" applyAlignment="1">
      <alignment horizontal="left" vertical="center" readingOrder="1"/>
    </xf>
    <xf numFmtId="0" fontId="156" fillId="0" borderId="0" xfId="0" applyNumberFormat="1" applyFont="1" applyFill="1" applyAlignment="1">
      <alignment horizontal="left" vertical="center" readingOrder="1"/>
    </xf>
    <xf numFmtId="9" fontId="156" fillId="0" borderId="0" xfId="1" applyFont="1" applyFill="1" applyAlignment="1">
      <alignment horizontal="left" vertical="center" readingOrder="1"/>
    </xf>
    <xf numFmtId="1" fontId="156" fillId="0" borderId="0" xfId="1" applyNumberFormat="1" applyFont="1" applyFill="1" applyAlignment="1">
      <alignment horizontal="left" vertical="center" readingOrder="1"/>
    </xf>
    <xf numFmtId="9" fontId="156" fillId="0" borderId="0" xfId="1" applyNumberFormat="1" applyFont="1" applyFill="1" applyAlignment="1">
      <alignment horizontal="left" vertical="center" readingOrder="1"/>
    </xf>
    <xf numFmtId="9" fontId="156" fillId="0" borderId="0" xfId="0" applyNumberFormat="1" applyFont="1" applyFill="1" applyAlignment="1">
      <alignment horizontal="left" vertical="center" readingOrder="1"/>
    </xf>
    <xf numFmtId="1" fontId="156" fillId="0" borderId="0" xfId="4" applyNumberFormat="1" applyFont="1" applyFill="1" applyAlignment="1">
      <alignment horizontal="left" vertical="center" readingOrder="1"/>
    </xf>
    <xf numFmtId="0" fontId="156" fillId="0" borderId="0" xfId="0" applyFont="1" applyAlignment="1">
      <alignment horizontal="left" vertical="center" readingOrder="1"/>
    </xf>
    <xf numFmtId="164" fontId="156" fillId="0" borderId="0" xfId="4" applyNumberFormat="1" applyFont="1" applyAlignment="1">
      <alignment horizontal="left" vertical="center" readingOrder="1"/>
    </xf>
    <xf numFmtId="164" fontId="82" fillId="26" borderId="151" xfId="4" applyNumberFormat="1" applyFont="1" applyFill="1" applyBorder="1" applyAlignment="1">
      <alignment vertical="center" wrapText="1"/>
    </xf>
    <xf numFmtId="0" fontId="143" fillId="46" borderId="152" xfId="0" applyFont="1" applyFill="1" applyBorder="1" applyAlignment="1">
      <alignment horizontal="center" vertical="center" wrapText="1"/>
    </xf>
    <xf numFmtId="0" fontId="143" fillId="46" borderId="153" xfId="0" applyFont="1" applyFill="1" applyBorder="1" applyAlignment="1">
      <alignment horizontal="center" vertical="center" wrapText="1"/>
    </xf>
    <xf numFmtId="0" fontId="143" fillId="59" borderId="154" xfId="0" applyFont="1" applyFill="1" applyBorder="1" applyAlignment="1">
      <alignment horizontal="center" vertical="center" wrapText="1"/>
    </xf>
    <xf numFmtId="164" fontId="62" fillId="10" borderId="155" xfId="4" applyNumberFormat="1" applyFont="1" applyFill="1" applyBorder="1" applyAlignment="1">
      <alignment vertical="center"/>
    </xf>
    <xf numFmtId="164" fontId="62" fillId="58" borderId="156" xfId="4" applyNumberFormat="1" applyFont="1" applyFill="1" applyBorder="1" applyAlignment="1">
      <alignment vertical="center"/>
    </xf>
    <xf numFmtId="164" fontId="119" fillId="10" borderId="155" xfId="4" applyNumberFormat="1" applyFont="1" applyFill="1" applyBorder="1" applyAlignment="1">
      <alignment vertical="center"/>
    </xf>
    <xf numFmtId="164" fontId="119" fillId="58" borderId="156" xfId="4" applyNumberFormat="1" applyFont="1" applyFill="1" applyBorder="1" applyAlignment="1">
      <alignment vertical="center"/>
    </xf>
    <xf numFmtId="164" fontId="82" fillId="14" borderId="157" xfId="4" applyNumberFormat="1" applyFont="1" applyFill="1" applyBorder="1" applyAlignment="1">
      <alignment vertical="center"/>
    </xf>
    <xf numFmtId="164" fontId="82" fillId="14" borderId="156" xfId="4" applyNumberFormat="1" applyFont="1" applyFill="1" applyBorder="1" applyAlignment="1">
      <alignment vertical="center"/>
    </xf>
    <xf numFmtId="164" fontId="119" fillId="7" borderId="155" xfId="4" applyNumberFormat="1" applyFont="1" applyFill="1" applyBorder="1" applyAlignment="1">
      <alignment vertical="center"/>
    </xf>
    <xf numFmtId="164" fontId="82" fillId="8" borderId="157" xfId="4" applyNumberFormat="1" applyFont="1" applyFill="1" applyBorder="1" applyAlignment="1">
      <alignment vertical="center"/>
    </xf>
    <xf numFmtId="164" fontId="82" fillId="8" borderId="156" xfId="4" applyNumberFormat="1" applyFont="1" applyFill="1" applyBorder="1" applyAlignment="1">
      <alignment vertical="center"/>
    </xf>
    <xf numFmtId="164" fontId="119" fillId="11" borderId="155" xfId="4" applyNumberFormat="1" applyFont="1" applyFill="1" applyBorder="1" applyAlignment="1">
      <alignment vertical="center"/>
    </xf>
    <xf numFmtId="164" fontId="82" fillId="9" borderId="157" xfId="4" applyNumberFormat="1" applyFont="1" applyFill="1" applyBorder="1" applyAlignment="1">
      <alignment vertical="center"/>
    </xf>
    <xf numFmtId="164" fontId="82" fillId="9" borderId="156" xfId="4" applyNumberFormat="1" applyFont="1" applyFill="1" applyBorder="1" applyAlignment="1">
      <alignment vertical="center"/>
    </xf>
    <xf numFmtId="164" fontId="143" fillId="42" borderId="157" xfId="4" applyNumberFormat="1" applyFont="1" applyFill="1" applyBorder="1" applyAlignment="1">
      <alignment vertical="center" wrapText="1"/>
    </xf>
    <xf numFmtId="164" fontId="63" fillId="16" borderId="157" xfId="4" applyNumberFormat="1" applyFont="1" applyFill="1" applyBorder="1" applyAlignment="1">
      <alignment vertical="center" wrapText="1"/>
    </xf>
    <xf numFmtId="164" fontId="82" fillId="26" borderId="158" xfId="4" applyNumberFormat="1" applyFont="1" applyFill="1" applyBorder="1" applyAlignment="1">
      <alignment vertical="center" wrapText="1"/>
    </xf>
    <xf numFmtId="164" fontId="62" fillId="10" borderId="146" xfId="4" applyNumberFormat="1" applyFont="1" applyFill="1" applyBorder="1" applyAlignment="1">
      <alignment vertical="center"/>
    </xf>
    <xf numFmtId="164" fontId="119" fillId="10" borderId="146" xfId="4" applyNumberFormat="1" applyFont="1" applyFill="1" applyBorder="1" applyAlignment="1">
      <alignment vertical="center"/>
    </xf>
    <xf numFmtId="164" fontId="82" fillId="14" borderId="139" xfId="4" applyNumberFormat="1" applyFont="1" applyFill="1" applyBorder="1" applyAlignment="1">
      <alignment vertical="center"/>
    </xf>
    <xf numFmtId="164" fontId="119" fillId="7" borderId="146" xfId="4" applyNumberFormat="1" applyFont="1" applyFill="1" applyBorder="1" applyAlignment="1">
      <alignment vertical="center"/>
    </xf>
    <xf numFmtId="164" fontId="119" fillId="11" borderId="146" xfId="4" applyNumberFormat="1" applyFont="1" applyFill="1" applyBorder="1" applyAlignment="1">
      <alignment vertical="center"/>
    </xf>
    <xf numFmtId="164" fontId="62" fillId="57" borderId="157" xfId="4" applyNumberFormat="1" applyFont="1" applyFill="1" applyBorder="1" applyAlignment="1">
      <alignment vertical="center" wrapText="1"/>
    </xf>
    <xf numFmtId="164" fontId="62" fillId="58" borderId="30" xfId="4" applyNumberFormat="1" applyFont="1" applyFill="1" applyBorder="1" applyAlignment="1">
      <alignment vertical="center" wrapText="1"/>
    </xf>
    <xf numFmtId="164" fontId="62" fillId="58" borderId="159" xfId="4" applyNumberFormat="1" applyFont="1" applyFill="1" applyBorder="1" applyAlignment="1">
      <alignment vertical="center" wrapText="1"/>
    </xf>
    <xf numFmtId="164" fontId="119" fillId="57" borderId="157" xfId="4" applyNumberFormat="1" applyFont="1" applyFill="1" applyBorder="1" applyAlignment="1">
      <alignment vertical="center" wrapText="1"/>
    </xf>
    <xf numFmtId="164" fontId="119" fillId="57" borderId="30" xfId="4" applyNumberFormat="1" applyFont="1" applyFill="1" applyBorder="1" applyAlignment="1">
      <alignment vertical="center" wrapText="1"/>
    </xf>
    <xf numFmtId="164" fontId="119" fillId="58" borderId="30" xfId="4" applyNumberFormat="1" applyFont="1" applyFill="1" applyBorder="1" applyAlignment="1">
      <alignment vertical="center" wrapText="1"/>
    </xf>
    <xf numFmtId="164" fontId="119" fillId="58" borderId="159" xfId="4" applyNumberFormat="1" applyFont="1" applyFill="1" applyBorder="1" applyAlignment="1">
      <alignment vertical="center" wrapText="1"/>
    </xf>
    <xf numFmtId="164" fontId="143" fillId="42" borderId="159" xfId="4" applyNumberFormat="1" applyFont="1" applyFill="1" applyBorder="1" applyAlignment="1">
      <alignment vertical="center" wrapText="1"/>
    </xf>
    <xf numFmtId="164" fontId="119" fillId="17" borderId="157" xfId="4" applyNumberFormat="1" applyFont="1" applyFill="1" applyBorder="1" applyAlignment="1">
      <alignment vertical="center" wrapText="1"/>
    </xf>
    <xf numFmtId="164" fontId="119" fillId="17" borderId="30" xfId="4" applyNumberFormat="1" applyFont="1" applyFill="1" applyBorder="1" applyAlignment="1">
      <alignment vertical="center" wrapText="1"/>
    </xf>
    <xf numFmtId="164" fontId="63" fillId="16" borderId="159" xfId="4" applyNumberFormat="1" applyFont="1" applyFill="1" applyBorder="1" applyAlignment="1">
      <alignment vertical="center" wrapText="1"/>
    </xf>
    <xf numFmtId="164" fontId="132" fillId="12" borderId="157" xfId="4" applyNumberFormat="1" applyFont="1" applyFill="1" applyBorder="1" applyAlignment="1">
      <alignment vertical="center"/>
    </xf>
    <xf numFmtId="164" fontId="119" fillId="58" borderId="30" xfId="4" applyNumberFormat="1" applyFont="1" applyFill="1" applyBorder="1" applyAlignment="1">
      <alignment vertical="center"/>
    </xf>
    <xf numFmtId="164" fontId="119" fillId="58" borderId="159" xfId="4" applyNumberFormat="1" applyFont="1" applyFill="1" applyBorder="1" applyAlignment="1">
      <alignment vertical="center"/>
    </xf>
    <xf numFmtId="164" fontId="119" fillId="12" borderId="157" xfId="4" applyNumberFormat="1" applyFont="1" applyFill="1" applyBorder="1" applyAlignment="1">
      <alignment vertical="center"/>
    </xf>
    <xf numFmtId="164" fontId="82" fillId="26" borderId="160" xfId="4" applyNumberFormat="1" applyFont="1" applyFill="1" applyBorder="1" applyAlignment="1">
      <alignment vertical="center" wrapText="1"/>
    </xf>
    <xf numFmtId="164" fontId="82" fillId="26" borderId="161" xfId="4" applyNumberFormat="1" applyFont="1" applyFill="1" applyBorder="1" applyAlignment="1">
      <alignment vertical="center" wrapText="1"/>
    </xf>
    <xf numFmtId="0" fontId="28" fillId="0" borderId="0" xfId="1" quotePrefix="1" applyNumberFormat="1" applyFont="1" applyAlignment="1">
      <alignment horizontal="left" vertical="center" readingOrder="1"/>
    </xf>
    <xf numFmtId="9" fontId="28" fillId="0" borderId="0" xfId="0" applyNumberFormat="1" applyFont="1" applyFill="1" applyAlignment="1">
      <alignment horizontal="left" vertical="center" readingOrder="1"/>
    </xf>
    <xf numFmtId="1" fontId="28" fillId="0" borderId="0" xfId="4" applyNumberFormat="1" applyFont="1" applyFill="1" applyAlignment="1">
      <alignment horizontal="left" vertical="center" readingOrder="1"/>
    </xf>
    <xf numFmtId="164" fontId="119" fillId="12" borderId="35" xfId="4" applyNumberFormat="1" applyFont="1" applyFill="1" applyBorder="1" applyAlignment="1">
      <alignment horizontal="center" vertical="center"/>
    </xf>
    <xf numFmtId="164" fontId="157" fillId="0" borderId="0" xfId="4" applyNumberFormat="1" applyFont="1" applyFill="1" applyAlignment="1">
      <alignment horizontal="left" vertical="center" readingOrder="1"/>
    </xf>
    <xf numFmtId="9" fontId="157" fillId="0" borderId="0" xfId="1" applyFont="1" applyFill="1" applyAlignment="1">
      <alignment horizontal="left" vertical="center" readingOrder="1"/>
    </xf>
    <xf numFmtId="0" fontId="157" fillId="0" borderId="0" xfId="1" applyNumberFormat="1" applyFont="1" applyFill="1" applyAlignment="1">
      <alignment horizontal="left" vertical="center" readingOrder="1"/>
    </xf>
    <xf numFmtId="164" fontId="0" fillId="0" borderId="0" xfId="0" applyNumberFormat="1"/>
    <xf numFmtId="164" fontId="0" fillId="0" borderId="0" xfId="4" applyNumberFormat="1" applyFont="1"/>
    <xf numFmtId="164" fontId="0" fillId="0" borderId="0" xfId="0" pivotButton="1" applyNumberFormat="1"/>
    <xf numFmtId="0" fontId="0" fillId="9" borderId="0" xfId="0" applyFill="1" applyAlignment="1">
      <alignment horizontal="left"/>
    </xf>
    <xf numFmtId="0" fontId="90" fillId="35" borderId="162" xfId="0" applyFont="1" applyFill="1" applyBorder="1" applyAlignment="1">
      <alignment horizontal="center" vertical="center" wrapText="1"/>
    </xf>
    <xf numFmtId="0" fontId="90" fillId="35" borderId="163" xfId="0" applyFont="1" applyFill="1" applyBorder="1" applyAlignment="1">
      <alignment horizontal="center" vertical="center"/>
    </xf>
    <xf numFmtId="0" fontId="90" fillId="35" borderId="163" xfId="0" applyFont="1" applyFill="1" applyBorder="1" applyAlignment="1">
      <alignment horizontal="center" vertical="center" wrapText="1"/>
    </xf>
    <xf numFmtId="0" fontId="90" fillId="35" borderId="164" xfId="0" applyFont="1" applyFill="1" applyBorder="1" applyAlignment="1">
      <alignment horizontal="center" vertical="center" wrapText="1"/>
    </xf>
    <xf numFmtId="0" fontId="90" fillId="35" borderId="23" xfId="0" applyFont="1" applyFill="1" applyBorder="1" applyAlignment="1">
      <alignment horizontal="center" vertical="center" wrapText="1"/>
    </xf>
    <xf numFmtId="0" fontId="90" fillId="35" borderId="23" xfId="0" applyFont="1" applyFill="1" applyBorder="1" applyAlignment="1">
      <alignment horizontal="center" vertical="center"/>
    </xf>
    <xf numFmtId="0" fontId="88" fillId="0" borderId="23" xfId="0" applyFont="1" applyBorder="1"/>
    <xf numFmtId="164" fontId="88" fillId="0" borderId="23" xfId="0" applyNumberFormat="1" applyFont="1" applyBorder="1"/>
    <xf numFmtId="9" fontId="88" fillId="0" borderId="23" xfId="0" applyNumberFormat="1" applyFont="1" applyBorder="1"/>
    <xf numFmtId="0" fontId="88" fillId="0" borderId="168" xfId="0" applyFont="1" applyBorder="1"/>
    <xf numFmtId="9" fontId="88" fillId="0" borderId="169" xfId="0" applyNumberFormat="1" applyFont="1" applyBorder="1"/>
    <xf numFmtId="0" fontId="88" fillId="0" borderId="170" xfId="0" applyFont="1" applyBorder="1"/>
    <xf numFmtId="0" fontId="88" fillId="0" borderId="171" xfId="0" applyFont="1" applyBorder="1"/>
    <xf numFmtId="164" fontId="88" fillId="0" borderId="171" xfId="0" applyNumberFormat="1" applyFont="1" applyBorder="1"/>
    <xf numFmtId="9" fontId="88" fillId="0" borderId="171" xfId="0" applyNumberFormat="1" applyFont="1" applyBorder="1"/>
    <xf numFmtId="9" fontId="88" fillId="0" borderId="172" xfId="0" applyNumberFormat="1" applyFont="1" applyBorder="1"/>
    <xf numFmtId="0" fontId="88" fillId="0" borderId="173" xfId="0" applyFont="1" applyFill="1" applyBorder="1"/>
    <xf numFmtId="0" fontId="88" fillId="0" borderId="174" xfId="0" applyFont="1" applyFill="1" applyBorder="1"/>
    <xf numFmtId="164" fontId="88" fillId="0" borderId="174" xfId="0" applyNumberFormat="1" applyFont="1" applyFill="1" applyBorder="1"/>
    <xf numFmtId="9" fontId="88" fillId="0" borderId="174" xfId="0" applyNumberFormat="1" applyFont="1" applyFill="1" applyBorder="1"/>
    <xf numFmtId="9" fontId="88" fillId="0" borderId="175" xfId="0" applyNumberFormat="1" applyFont="1" applyFill="1" applyBorder="1"/>
    <xf numFmtId="0" fontId="88" fillId="0" borderId="168" xfId="0" applyFont="1" applyFill="1" applyBorder="1"/>
    <xf numFmtId="0" fontId="88" fillId="0" borderId="23" xfId="0" applyFont="1" applyFill="1" applyBorder="1"/>
    <xf numFmtId="164" fontId="88" fillId="0" borderId="23" xfId="0" applyNumberFormat="1" applyFont="1" applyFill="1" applyBorder="1"/>
    <xf numFmtId="9" fontId="88" fillId="0" borderId="23" xfId="0" applyNumberFormat="1" applyFont="1" applyFill="1" applyBorder="1"/>
    <xf numFmtId="9" fontId="88" fillId="0" borderId="169" xfId="0" applyNumberFormat="1" applyFont="1" applyFill="1" applyBorder="1"/>
    <xf numFmtId="0" fontId="88" fillId="0" borderId="170" xfId="0" applyFont="1" applyFill="1" applyBorder="1"/>
    <xf numFmtId="0" fontId="88" fillId="0" borderId="171" xfId="0" applyFont="1" applyFill="1" applyBorder="1"/>
    <xf numFmtId="164" fontId="88" fillId="0" borderId="171" xfId="0" applyNumberFormat="1" applyFont="1" applyFill="1" applyBorder="1"/>
    <xf numFmtId="9" fontId="88" fillId="0" borderId="171" xfId="0" applyNumberFormat="1" applyFont="1" applyFill="1" applyBorder="1"/>
    <xf numFmtId="9" fontId="88" fillId="0" borderId="172" xfId="0" applyNumberFormat="1" applyFont="1" applyFill="1" applyBorder="1"/>
    <xf numFmtId="0" fontId="158" fillId="35" borderId="138" xfId="0" applyFont="1" applyFill="1" applyBorder="1" applyAlignment="1">
      <alignment horizontal="center" vertical="center" wrapText="1"/>
    </xf>
    <xf numFmtId="164" fontId="1" fillId="0" borderId="0" xfId="4" applyNumberFormat="1" applyFont="1" applyFill="1" applyBorder="1" applyAlignment="1">
      <alignment vertical="center"/>
    </xf>
    <xf numFmtId="9" fontId="1" fillId="0" borderId="0" xfId="0" applyNumberFormat="1" applyFont="1" applyFill="1" applyBorder="1" applyAlignment="1">
      <alignment horizontal="center" vertical="center"/>
    </xf>
    <xf numFmtId="9" fontId="159" fillId="31" borderId="0" xfId="0" applyNumberFormat="1" applyFont="1" applyFill="1" applyBorder="1" applyAlignment="1">
      <alignment horizontal="center" vertical="center"/>
    </xf>
    <xf numFmtId="9" fontId="159" fillId="0" borderId="0" xfId="0" applyNumberFormat="1" applyFont="1" applyFill="1" applyBorder="1" applyAlignment="1">
      <alignment horizontal="center" vertical="center"/>
    </xf>
    <xf numFmtId="9" fontId="160" fillId="0" borderId="70" xfId="0" applyNumberFormat="1" applyFont="1" applyFill="1" applyBorder="1" applyAlignment="1">
      <alignment horizontal="center" vertical="center"/>
    </xf>
    <xf numFmtId="0" fontId="75" fillId="35" borderId="138" xfId="0" applyFont="1" applyFill="1" applyBorder="1" applyAlignment="1">
      <alignment horizontal="center" vertical="center" wrapText="1"/>
    </xf>
    <xf numFmtId="164" fontId="1" fillId="0" borderId="0" xfId="4" applyNumberFormat="1" applyFont="1" applyAlignment="1">
      <alignment vertical="center"/>
    </xf>
    <xf numFmtId="0" fontId="90" fillId="35" borderId="106" xfId="0" applyFont="1" applyFill="1" applyBorder="1" applyAlignment="1">
      <alignment horizontal="center" vertical="center" wrapText="1"/>
    </xf>
    <xf numFmtId="164" fontId="88" fillId="0" borderId="64" xfId="0" applyNumberFormat="1" applyFont="1" applyBorder="1"/>
    <xf numFmtId="0" fontId="90" fillId="35" borderId="177" xfId="0" applyFont="1" applyFill="1" applyBorder="1" applyAlignment="1">
      <alignment horizontal="center" vertical="center" wrapText="1"/>
    </xf>
    <xf numFmtId="9" fontId="88" fillId="0" borderId="64" xfId="0" applyNumberFormat="1" applyFont="1" applyBorder="1"/>
    <xf numFmtId="0" fontId="33" fillId="0" borderId="165" xfId="0" applyFont="1" applyBorder="1"/>
    <xf numFmtId="0" fontId="33" fillId="0" borderId="166" xfId="0" applyFont="1" applyBorder="1"/>
    <xf numFmtId="164" fontId="161" fillId="0" borderId="39" xfId="0" applyNumberFormat="1" applyFont="1" applyBorder="1"/>
    <xf numFmtId="9" fontId="161" fillId="0" borderId="39" xfId="0" applyNumberFormat="1" applyFont="1" applyBorder="1"/>
    <xf numFmtId="9" fontId="33" fillId="0" borderId="167" xfId="0" applyNumberFormat="1" applyFont="1" applyBorder="1"/>
    <xf numFmtId="0" fontId="1" fillId="0" borderId="0" xfId="4" applyNumberFormat="1" applyFont="1" applyFill="1" applyAlignment="1">
      <alignment vertical="center"/>
    </xf>
    <xf numFmtId="9" fontId="1" fillId="0" borderId="0" xfId="0" applyNumberFormat="1" applyFont="1" applyFill="1" applyAlignment="1">
      <alignment horizontal="center" vertical="center"/>
    </xf>
    <xf numFmtId="9" fontId="1" fillId="0" borderId="0" xfId="0" applyNumberFormat="1" applyFont="1" applyFill="1" applyAlignment="1">
      <alignment vertical="center"/>
    </xf>
    <xf numFmtId="0" fontId="33" fillId="0" borderId="0" xfId="4" applyNumberFormat="1" applyFont="1" applyFill="1" applyAlignment="1">
      <alignment vertical="center"/>
    </xf>
    <xf numFmtId="9" fontId="88" fillId="0" borderId="64" xfId="0" applyNumberFormat="1" applyFont="1" applyFill="1" applyBorder="1"/>
    <xf numFmtId="0" fontId="90" fillId="35" borderId="178" xfId="0" applyFont="1" applyFill="1" applyBorder="1" applyAlignment="1">
      <alignment horizontal="center" vertical="center" wrapText="1"/>
    </xf>
    <xf numFmtId="0" fontId="161" fillId="0" borderId="168" xfId="0" applyFont="1" applyFill="1" applyBorder="1"/>
    <xf numFmtId="0" fontId="161" fillId="0" borderId="23" xfId="0" applyFont="1" applyFill="1" applyBorder="1"/>
    <xf numFmtId="164" fontId="161" fillId="0" borderId="23" xfId="0" applyNumberFormat="1" applyFont="1" applyFill="1" applyBorder="1"/>
    <xf numFmtId="9" fontId="161" fillId="0" borderId="23" xfId="0" applyNumberFormat="1" applyFont="1" applyFill="1" applyBorder="1"/>
    <xf numFmtId="9" fontId="161" fillId="0" borderId="169" xfId="0" applyNumberFormat="1" applyFont="1" applyFill="1" applyBorder="1"/>
    <xf numFmtId="9" fontId="161" fillId="0" borderId="176" xfId="0" applyNumberFormat="1" applyFont="1" applyBorder="1"/>
    <xf numFmtId="0" fontId="80" fillId="0" borderId="0" xfId="0" applyFont="1"/>
    <xf numFmtId="164" fontId="88" fillId="0" borderId="174" xfId="4" applyNumberFormat="1" applyFont="1" applyFill="1" applyBorder="1"/>
    <xf numFmtId="164" fontId="88" fillId="0" borderId="23" xfId="4" applyNumberFormat="1" applyFont="1" applyFill="1" applyBorder="1"/>
    <xf numFmtId="164" fontId="88" fillId="0" borderId="171" xfId="4" applyNumberFormat="1" applyFont="1" applyFill="1" applyBorder="1"/>
    <xf numFmtId="164" fontId="161" fillId="0" borderId="23" xfId="4" applyNumberFormat="1" applyFont="1" applyFill="1" applyBorder="1"/>
    <xf numFmtId="164" fontId="1" fillId="0" borderId="0" xfId="4" applyNumberFormat="1" applyFont="1" applyFill="1" applyAlignment="1">
      <alignment vertical="center"/>
    </xf>
    <xf numFmtId="0" fontId="162" fillId="0" borderId="0" xfId="0" pivotButton="1" applyFont="1"/>
    <xf numFmtId="0" fontId="162" fillId="0" borderId="0" xfId="0" applyFont="1"/>
    <xf numFmtId="0" fontId="162" fillId="0" borderId="0" xfId="0" applyNumberFormat="1" applyFont="1"/>
    <xf numFmtId="164" fontId="162" fillId="0" borderId="0" xfId="0" applyNumberFormat="1" applyFont="1"/>
    <xf numFmtId="164" fontId="163" fillId="14" borderId="0" xfId="0" applyNumberFormat="1" applyFont="1" applyFill="1"/>
    <xf numFmtId="164" fontId="163" fillId="8" borderId="0" xfId="0" applyNumberFormat="1" applyFont="1" applyFill="1"/>
    <xf numFmtId="164" fontId="163" fillId="9" borderId="0" xfId="0" applyNumberFormat="1" applyFont="1" applyFill="1"/>
    <xf numFmtId="164" fontId="163" fillId="26" borderId="0" xfId="0" applyNumberFormat="1" applyFont="1" applyFill="1"/>
    <xf numFmtId="0" fontId="163" fillId="26" borderId="0" xfId="0" applyFont="1" applyFill="1" applyAlignment="1">
      <alignment horizontal="center" vertical="center" wrapText="1"/>
    </xf>
    <xf numFmtId="0" fontId="163" fillId="14" borderId="0" xfId="0" applyFont="1" applyFill="1" applyAlignment="1">
      <alignment horizontal="center" vertical="center"/>
    </xf>
    <xf numFmtId="0" fontId="163" fillId="8" borderId="0" xfId="0" applyFont="1" applyFill="1" applyAlignment="1">
      <alignment horizontal="center" vertical="center"/>
    </xf>
    <xf numFmtId="0" fontId="163" fillId="9" borderId="0" xfId="0" applyFont="1" applyFill="1" applyAlignment="1">
      <alignment horizontal="center" vertical="center"/>
    </xf>
    <xf numFmtId="164" fontId="164" fillId="12" borderId="0" xfId="0" applyNumberFormat="1" applyFont="1" applyFill="1"/>
    <xf numFmtId="0" fontId="164" fillId="12" borderId="0" xfId="0" applyFont="1" applyFill="1" applyAlignment="1">
      <alignment horizontal="center" vertical="center" wrapText="1"/>
    </xf>
    <xf numFmtId="164" fontId="162" fillId="42" borderId="0" xfId="0" applyNumberFormat="1" applyFont="1" applyFill="1"/>
    <xf numFmtId="164" fontId="162" fillId="16" borderId="0" xfId="0" applyNumberFormat="1" applyFont="1" applyFill="1"/>
    <xf numFmtId="0" fontId="162" fillId="42" borderId="0" xfId="0" applyFont="1" applyFill="1" applyAlignment="1">
      <alignment vertical="center"/>
    </xf>
    <xf numFmtId="0" fontId="162" fillId="16" borderId="0" xfId="0" applyFont="1" applyFill="1" applyAlignment="1">
      <alignment vertical="center"/>
    </xf>
    <xf numFmtId="0" fontId="162" fillId="0" borderId="0" xfId="0" applyFont="1" applyAlignment="1">
      <alignment horizontal="center" vertical="center" wrapText="1"/>
    </xf>
    <xf numFmtId="0" fontId="162" fillId="33" borderId="0" xfId="0" applyFont="1" applyFill="1"/>
    <xf numFmtId="164" fontId="163" fillId="33" borderId="0" xfId="0" applyNumberFormat="1" applyFont="1" applyFill="1"/>
    <xf numFmtId="164" fontId="162" fillId="33" borderId="0" xfId="0" applyNumberFormat="1" applyFont="1" applyFill="1"/>
    <xf numFmtId="164" fontId="164" fillId="33" borderId="0" xfId="0" applyNumberFormat="1" applyFont="1" applyFill="1"/>
    <xf numFmtId="0" fontId="165" fillId="0" borderId="0" xfId="0" pivotButton="1" applyFont="1"/>
    <xf numFmtId="0" fontId="165" fillId="0" borderId="0" xfId="0" applyFont="1"/>
    <xf numFmtId="0" fontId="166" fillId="29" borderId="0" xfId="0" applyFont="1" applyFill="1"/>
    <xf numFmtId="0" fontId="165" fillId="0" borderId="0" xfId="0" applyFont="1" applyAlignment="1">
      <alignment horizontal="left"/>
    </xf>
    <xf numFmtId="3" fontId="165" fillId="0" borderId="0" xfId="0" applyNumberFormat="1" applyFont="1"/>
    <xf numFmtId="0" fontId="165" fillId="0" borderId="0" xfId="0" applyNumberFormat="1" applyFont="1"/>
    <xf numFmtId="1" fontId="165" fillId="0" borderId="0" xfId="0" applyNumberFormat="1" applyFont="1"/>
    <xf numFmtId="9" fontId="165" fillId="0" borderId="0" xfId="0" applyNumberFormat="1" applyFont="1"/>
    <xf numFmtId="0" fontId="165" fillId="0" borderId="0" xfId="0" pivotButton="1" applyFont="1" applyAlignment="1">
      <alignment wrapText="1"/>
    </xf>
    <xf numFmtId="0" fontId="165" fillId="0" borderId="0" xfId="0" pivotButton="1" applyFont="1" applyAlignment="1">
      <alignment horizontal="center" vertical="center" wrapText="1"/>
    </xf>
    <xf numFmtId="0" fontId="166" fillId="40" borderId="0" xfId="0" applyFont="1" applyFill="1" applyAlignment="1"/>
    <xf numFmtId="0" fontId="166" fillId="40" borderId="0" xfId="0" applyFont="1" applyFill="1"/>
    <xf numFmtId="0" fontId="165" fillId="0" borderId="0" xfId="0" applyFont="1" applyAlignment="1">
      <alignment horizontal="left" indent="1"/>
    </xf>
    <xf numFmtId="164" fontId="165" fillId="0" borderId="0" xfId="0" applyNumberFormat="1" applyFont="1"/>
    <xf numFmtId="0" fontId="165" fillId="0" borderId="0" xfId="0" applyFont="1" applyAlignment="1">
      <alignment wrapText="1"/>
    </xf>
    <xf numFmtId="0" fontId="166" fillId="29" borderId="0" xfId="0" applyFont="1" applyFill="1" applyAlignment="1">
      <alignment horizontal="left" vertical="center" wrapText="1"/>
    </xf>
    <xf numFmtId="0" fontId="165" fillId="0" borderId="0" xfId="0" pivotButton="1" applyFont="1" applyAlignment="1">
      <alignment horizontal="center" wrapText="1"/>
    </xf>
    <xf numFmtId="0" fontId="165" fillId="0" borderId="0" xfId="0" applyFont="1" applyAlignment="1">
      <alignment horizontal="center" wrapText="1"/>
    </xf>
    <xf numFmtId="0" fontId="165" fillId="0" borderId="0" xfId="0" applyFont="1" applyAlignment="1">
      <alignment horizontal="center" vertical="center" wrapText="1"/>
    </xf>
    <xf numFmtId="0" fontId="166" fillId="40" borderId="0" xfId="0" applyFont="1" applyFill="1" applyAlignment="1">
      <alignment wrapText="1"/>
    </xf>
    <xf numFmtId="0" fontId="162" fillId="0" borderId="0" xfId="0" pivotButton="1" applyFont="1" applyAlignment="1">
      <alignment horizontal="center" vertical="center" wrapText="1"/>
    </xf>
    <xf numFmtId="166" fontId="40" fillId="15" borderId="5" xfId="8" applyFont="1" applyFill="1" applyBorder="1" applyAlignment="1">
      <alignment horizontal="center" vertical="center"/>
    </xf>
    <xf numFmtId="166" fontId="40" fillId="15" borderId="6" xfId="8" applyFont="1" applyFill="1" applyBorder="1" applyAlignment="1">
      <alignment horizontal="center" vertical="center"/>
    </xf>
    <xf numFmtId="166" fontId="40" fillId="15" borderId="7" xfId="8" applyFont="1" applyFill="1" applyBorder="1" applyAlignment="1">
      <alignment horizontal="center" vertical="center"/>
    </xf>
    <xf numFmtId="166" fontId="17" fillId="20" borderId="0" xfId="8" applyFont="1" applyFill="1" applyBorder="1" applyAlignment="1">
      <alignment horizontal="left" wrapText="1"/>
    </xf>
    <xf numFmtId="166" fontId="24" fillId="20" borderId="0" xfId="8" applyFill="1" applyBorder="1" applyAlignment="1">
      <alignment horizontal="left" wrapText="1"/>
    </xf>
    <xf numFmtId="166" fontId="24" fillId="20" borderId="9" xfId="8" applyFill="1" applyBorder="1" applyAlignment="1">
      <alignment horizontal="left" wrapText="1"/>
    </xf>
    <xf numFmtId="0" fontId="38" fillId="8" borderId="82" xfId="0" applyFont="1" applyFill="1" applyBorder="1" applyAlignment="1">
      <alignment horizontal="center" vertical="center" wrapText="1"/>
    </xf>
    <xf numFmtId="0" fontId="38" fillId="8" borderId="88" xfId="0" applyFont="1" applyFill="1" applyBorder="1" applyAlignment="1">
      <alignment horizontal="center" vertical="center" wrapText="1"/>
    </xf>
    <xf numFmtId="0" fontId="38" fillId="8" borderId="94" xfId="0" applyFont="1" applyFill="1" applyBorder="1" applyAlignment="1">
      <alignment horizontal="center" vertical="center" wrapText="1"/>
    </xf>
    <xf numFmtId="0" fontId="38" fillId="8" borderId="95" xfId="0" applyFont="1" applyFill="1" applyBorder="1" applyAlignment="1">
      <alignment horizontal="center" vertical="center" wrapText="1"/>
    </xf>
    <xf numFmtId="0" fontId="38" fillId="8" borderId="96" xfId="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5" borderId="94" xfId="0" applyFont="1" applyFill="1" applyBorder="1" applyAlignment="1">
      <alignment horizontal="center" vertical="center"/>
    </xf>
    <xf numFmtId="0" fontId="38" fillId="5" borderId="100" xfId="0" applyFont="1" applyFill="1" applyBorder="1" applyAlignment="1">
      <alignment horizontal="center" vertical="center"/>
    </xf>
    <xf numFmtId="0" fontId="38" fillId="5" borderId="96" xfId="0" applyFont="1" applyFill="1" applyBorder="1" applyAlignment="1">
      <alignment horizontal="center" vertical="center"/>
    </xf>
    <xf numFmtId="0" fontId="38" fillId="5" borderId="101" xfId="0" applyFont="1" applyFill="1" applyBorder="1" applyAlignment="1">
      <alignment horizontal="center" vertical="center"/>
    </xf>
    <xf numFmtId="0" fontId="38" fillId="5" borderId="98" xfId="0" applyFont="1" applyFill="1" applyBorder="1" applyAlignment="1">
      <alignment horizontal="center" vertical="center"/>
    </xf>
    <xf numFmtId="0" fontId="38" fillId="5" borderId="99" xfId="0" applyFont="1" applyFill="1" applyBorder="1" applyAlignment="1">
      <alignment horizontal="center" vertical="center"/>
    </xf>
    <xf numFmtId="0" fontId="38" fillId="8" borderId="81" xfId="0" applyFont="1" applyFill="1" applyBorder="1" applyAlignment="1">
      <alignment horizontal="center" vertical="center" wrapText="1"/>
    </xf>
    <xf numFmtId="0" fontId="38" fillId="5" borderId="94" xfId="0" applyFont="1" applyFill="1" applyBorder="1" applyAlignment="1">
      <alignment horizontal="center" vertical="center" wrapText="1"/>
    </xf>
    <xf numFmtId="0" fontId="38" fillId="5" borderId="95" xfId="0" applyFont="1" applyFill="1" applyBorder="1" applyAlignment="1">
      <alignment horizontal="center" vertical="center" wrapText="1"/>
    </xf>
    <xf numFmtId="0" fontId="38" fillId="5" borderId="96" xfId="0" applyFont="1" applyFill="1" applyBorder="1" applyAlignment="1">
      <alignment horizontal="center" vertical="center" wrapText="1"/>
    </xf>
    <xf numFmtId="0" fontId="38" fillId="5" borderId="97" xfId="0" applyFont="1" applyFill="1" applyBorder="1" applyAlignment="1">
      <alignment horizontal="center" vertical="center" wrapText="1"/>
    </xf>
    <xf numFmtId="0" fontId="38" fillId="5" borderId="88" xfId="0" applyFont="1" applyFill="1" applyBorder="1" applyAlignment="1">
      <alignment horizontal="center" vertical="center" wrapText="1"/>
    </xf>
    <xf numFmtId="0" fontId="38" fillId="5" borderId="83" xfId="0" applyFont="1" applyFill="1" applyBorder="1" applyAlignment="1">
      <alignment horizontal="center" vertical="center" wrapText="1"/>
    </xf>
    <xf numFmtId="0" fontId="38" fillId="5" borderId="81" xfId="0" applyFont="1" applyFill="1" applyBorder="1" applyAlignment="1">
      <alignment horizontal="center" vertical="center" wrapText="1"/>
    </xf>
    <xf numFmtId="0" fontId="38" fillId="5" borderId="84" xfId="0" applyFont="1" applyFill="1" applyBorder="1" applyAlignment="1">
      <alignment horizontal="center" vertical="center" wrapText="1"/>
    </xf>
    <xf numFmtId="0" fontId="27" fillId="45" borderId="76" xfId="22" applyNumberFormat="1" applyFont="1" applyFill="1" applyBorder="1" applyAlignment="1">
      <alignment horizontal="center" vertical="center"/>
    </xf>
    <xf numFmtId="0" fontId="27" fillId="45" borderId="73" xfId="22" applyNumberFormat="1" applyFont="1" applyFill="1" applyBorder="1" applyAlignment="1">
      <alignment horizontal="center" vertical="center"/>
    </xf>
    <xf numFmtId="0" fontId="38" fillId="5" borderId="83" xfId="0" applyFont="1" applyFill="1" applyBorder="1" applyAlignment="1">
      <alignment horizontal="center" vertical="center"/>
    </xf>
    <xf numFmtId="0" fontId="38" fillId="5" borderId="81" xfId="0" applyFont="1" applyFill="1" applyBorder="1" applyAlignment="1">
      <alignment horizontal="center" vertical="center"/>
    </xf>
    <xf numFmtId="0" fontId="38" fillId="5" borderId="84" xfId="0" applyFont="1" applyFill="1" applyBorder="1" applyAlignment="1">
      <alignment horizontal="center" vertical="center"/>
    </xf>
    <xf numFmtId="0" fontId="38" fillId="5" borderId="82" xfId="0" applyFont="1" applyFill="1" applyBorder="1" applyAlignment="1">
      <alignment horizontal="center" vertical="center"/>
    </xf>
    <xf numFmtId="0" fontId="38" fillId="5" borderId="89" xfId="0" applyFont="1" applyFill="1" applyBorder="1" applyAlignment="1">
      <alignment horizontal="center" vertical="center" wrapText="1"/>
    </xf>
    <xf numFmtId="0" fontId="38" fillId="5" borderId="90" xfId="0" applyFont="1" applyFill="1" applyBorder="1" applyAlignment="1">
      <alignment horizontal="center" vertical="center" wrapText="1"/>
    </xf>
    <xf numFmtId="0" fontId="38" fillId="5" borderId="91" xfId="0" applyFont="1" applyFill="1" applyBorder="1" applyAlignment="1">
      <alignment horizontal="center" vertical="center" wrapText="1"/>
    </xf>
    <xf numFmtId="0" fontId="38" fillId="5" borderId="92" xfId="0" applyFont="1" applyFill="1" applyBorder="1" applyAlignment="1">
      <alignment horizontal="center" vertical="center" wrapText="1"/>
    </xf>
    <xf numFmtId="9" fontId="116" fillId="16" borderId="126" xfId="19" applyNumberFormat="1" applyFont="1" applyFill="1" applyBorder="1" applyAlignment="1">
      <alignment horizontal="center" vertical="center" wrapText="1" readingOrder="1"/>
    </xf>
    <xf numFmtId="9" fontId="116" fillId="16" borderId="127" xfId="19" applyNumberFormat="1" applyFont="1" applyFill="1" applyBorder="1" applyAlignment="1">
      <alignment horizontal="center" vertical="center" wrapText="1" readingOrder="1"/>
    </xf>
    <xf numFmtId="9" fontId="116" fillId="16" borderId="128" xfId="19" applyNumberFormat="1" applyFont="1" applyFill="1" applyBorder="1" applyAlignment="1">
      <alignment horizontal="center" vertical="center" wrapText="1" readingOrder="1"/>
    </xf>
    <xf numFmtId="0" fontId="37" fillId="42" borderId="129" xfId="22" applyFont="1" applyFill="1" applyBorder="1" applyAlignment="1">
      <alignment horizontal="center" vertical="center" readingOrder="1"/>
    </xf>
    <xf numFmtId="0" fontId="37" fillId="42" borderId="0" xfId="22" applyFont="1" applyFill="1" applyAlignment="1">
      <alignment horizontal="center" vertical="center" readingOrder="1"/>
    </xf>
    <xf numFmtId="0" fontId="37" fillId="42" borderId="125" xfId="22" applyFont="1" applyFill="1" applyBorder="1" applyAlignment="1">
      <alignment horizontal="center" vertical="center" textRotation="90" readingOrder="1"/>
    </xf>
    <xf numFmtId="0" fontId="37" fillId="42" borderId="0" xfId="22" applyFont="1" applyFill="1" applyAlignment="1">
      <alignment horizontal="center" vertical="center" textRotation="90" readingOrder="1"/>
    </xf>
    <xf numFmtId="0" fontId="111" fillId="0" borderId="0" xfId="19" applyFont="1" applyAlignment="1">
      <alignment horizontal="left" vertical="center"/>
    </xf>
    <xf numFmtId="0" fontId="37" fillId="2" borderId="72" xfId="22" applyFont="1" applyFill="1" applyBorder="1" applyAlignment="1">
      <alignment horizontal="center" vertical="center" textRotation="90" readingOrder="1"/>
    </xf>
    <xf numFmtId="0" fontId="37" fillId="2" borderId="124" xfId="22" applyFont="1" applyFill="1" applyBorder="1" applyAlignment="1">
      <alignment horizontal="center" vertical="center" textRotation="90" readingOrder="1"/>
    </xf>
    <xf numFmtId="0" fontId="37" fillId="2" borderId="74" xfId="22" applyFont="1" applyFill="1" applyBorder="1" applyAlignment="1">
      <alignment horizontal="center" vertical="center" textRotation="90" readingOrder="1"/>
    </xf>
    <xf numFmtId="0" fontId="37" fillId="14" borderId="72" xfId="22" applyFont="1" applyFill="1" applyBorder="1" applyAlignment="1">
      <alignment horizontal="center" vertical="center" textRotation="90" readingOrder="1"/>
    </xf>
    <xf numFmtId="0" fontId="37" fillId="14" borderId="124" xfId="22" applyFont="1" applyFill="1" applyBorder="1" applyAlignment="1">
      <alignment horizontal="center" vertical="center" textRotation="90" readingOrder="1"/>
    </xf>
    <xf numFmtId="0" fontId="37" fillId="14" borderId="74" xfId="22" applyFont="1" applyFill="1" applyBorder="1" applyAlignment="1">
      <alignment horizontal="center" vertical="center" textRotation="90" readingOrder="1"/>
    </xf>
    <xf numFmtId="0" fontId="37" fillId="38" borderId="72" xfId="22" applyFont="1" applyFill="1" applyBorder="1" applyAlignment="1">
      <alignment horizontal="center" vertical="center" textRotation="90" readingOrder="1"/>
    </xf>
    <xf numFmtId="0" fontId="37" fillId="38" borderId="124" xfId="22" applyFont="1" applyFill="1" applyBorder="1" applyAlignment="1">
      <alignment horizontal="center" vertical="center" textRotation="90" readingOrder="1"/>
    </xf>
    <xf numFmtId="0" fontId="37" fillId="38" borderId="74" xfId="22" applyFont="1" applyFill="1" applyBorder="1" applyAlignment="1">
      <alignment horizontal="center" vertical="center" textRotation="90" readingOrder="1"/>
    </xf>
    <xf numFmtId="0" fontId="37" fillId="9" borderId="72" xfId="22" applyFont="1" applyFill="1" applyBorder="1" applyAlignment="1">
      <alignment horizontal="center" vertical="center" textRotation="90" readingOrder="1"/>
    </xf>
    <xf numFmtId="0" fontId="37" fillId="9" borderId="124" xfId="22" applyFont="1" applyFill="1" applyBorder="1" applyAlignment="1">
      <alignment horizontal="center" vertical="center" textRotation="90" readingOrder="1"/>
    </xf>
    <xf numFmtId="0" fontId="37" fillId="9" borderId="74" xfId="22" applyFont="1" applyFill="1" applyBorder="1" applyAlignment="1">
      <alignment horizontal="center" vertical="center" textRotation="90" readingOrder="1"/>
    </xf>
    <xf numFmtId="0" fontId="37" fillId="16" borderId="72" xfId="22" applyFont="1" applyFill="1" applyBorder="1" applyAlignment="1">
      <alignment horizontal="center" vertical="center" textRotation="90" readingOrder="1"/>
    </xf>
    <xf numFmtId="0" fontId="37" fillId="16" borderId="124" xfId="22" applyFont="1" applyFill="1" applyBorder="1" applyAlignment="1">
      <alignment horizontal="center" vertical="center" textRotation="90" readingOrder="1"/>
    </xf>
    <xf numFmtId="0" fontId="37" fillId="16" borderId="74" xfId="22" applyFont="1" applyFill="1" applyBorder="1" applyAlignment="1">
      <alignment horizontal="center" vertical="center" textRotation="90" readingOrder="1"/>
    </xf>
    <xf numFmtId="0" fontId="113" fillId="0" borderId="0" xfId="19" applyFont="1" applyAlignment="1">
      <alignment horizontal="left" vertical="center"/>
    </xf>
    <xf numFmtId="0" fontId="68" fillId="14" borderId="130" xfId="0" applyFont="1" applyFill="1" applyBorder="1" applyAlignment="1">
      <alignment horizontal="center" vertical="center" wrapText="1"/>
    </xf>
    <xf numFmtId="0" fontId="68" fillId="14" borderId="137" xfId="0" applyFont="1" applyFill="1" applyBorder="1" applyAlignment="1">
      <alignment horizontal="center" vertical="center" wrapText="1"/>
    </xf>
    <xf numFmtId="0" fontId="68" fillId="14" borderId="131" xfId="0" applyFont="1" applyFill="1" applyBorder="1" applyAlignment="1">
      <alignment horizontal="center" vertical="center" wrapText="1"/>
    </xf>
    <xf numFmtId="0" fontId="62" fillId="0" borderId="0" xfId="0" applyFont="1" applyBorder="1" applyAlignment="1">
      <alignment horizontal="center"/>
    </xf>
    <xf numFmtId="0" fontId="62" fillId="0" borderId="37" xfId="0" applyFont="1" applyBorder="1" applyAlignment="1">
      <alignment horizontal="center"/>
    </xf>
    <xf numFmtId="0" fontId="70" fillId="0" borderId="32" xfId="0" applyFont="1" applyBorder="1" applyAlignment="1">
      <alignment horizontal="center" vertical="center" wrapText="1"/>
    </xf>
    <xf numFmtId="0" fontId="70" fillId="0" borderId="33" xfId="0" applyFont="1" applyBorder="1" applyAlignment="1">
      <alignment horizontal="center" vertical="center" wrapText="1"/>
    </xf>
    <xf numFmtId="0" fontId="63" fillId="2" borderId="65" xfId="0" applyFont="1" applyFill="1" applyBorder="1" applyAlignment="1">
      <alignment horizontal="center"/>
    </xf>
    <xf numFmtId="0" fontId="63" fillId="2" borderId="66" xfId="0" applyFont="1" applyFill="1" applyBorder="1" applyAlignment="1">
      <alignment horizontal="center"/>
    </xf>
    <xf numFmtId="0" fontId="30" fillId="42" borderId="132" xfId="22" applyFont="1" applyFill="1" applyBorder="1" applyAlignment="1">
      <alignment horizontal="center" vertical="center" wrapText="1"/>
    </xf>
    <xf numFmtId="0" fontId="30" fillId="42" borderId="138" xfId="22" applyFont="1" applyFill="1" applyBorder="1" applyAlignment="1">
      <alignment horizontal="center" vertical="center" wrapText="1"/>
    </xf>
    <xf numFmtId="0" fontId="30" fillId="42" borderId="133" xfId="22" applyFont="1" applyFill="1" applyBorder="1" applyAlignment="1">
      <alignment horizontal="center" vertical="center" wrapText="1"/>
    </xf>
    <xf numFmtId="0" fontId="30" fillId="16" borderId="4" xfId="22" applyFont="1" applyFill="1" applyBorder="1" applyAlignment="1">
      <alignment horizontal="center" vertical="center" wrapText="1"/>
    </xf>
    <xf numFmtId="0" fontId="68" fillId="36" borderId="140" xfId="0" applyFont="1" applyFill="1" applyBorder="1" applyAlignment="1">
      <alignment horizontal="center" vertical="center" wrapText="1"/>
    </xf>
    <xf numFmtId="0" fontId="68" fillId="36" borderId="141" xfId="0" applyFont="1" applyFill="1" applyBorder="1" applyAlignment="1">
      <alignment horizontal="center" vertical="center" wrapText="1"/>
    </xf>
    <xf numFmtId="0" fontId="68" fillId="36" borderId="142" xfId="0" applyFont="1" applyFill="1" applyBorder="1" applyAlignment="1">
      <alignment horizontal="center" vertical="center" wrapText="1"/>
    </xf>
    <xf numFmtId="0" fontId="68" fillId="8" borderId="130" xfId="0" applyFont="1" applyFill="1" applyBorder="1" applyAlignment="1">
      <alignment horizontal="center" vertical="center" wrapText="1"/>
    </xf>
    <xf numFmtId="0" fontId="68" fillId="8" borderId="137" xfId="0" applyFont="1" applyFill="1" applyBorder="1" applyAlignment="1">
      <alignment horizontal="center" vertical="center" wrapText="1"/>
    </xf>
    <xf numFmtId="0" fontId="68" fillId="8" borderId="131" xfId="0" applyFont="1" applyFill="1" applyBorder="1" applyAlignment="1">
      <alignment horizontal="center" vertical="center" wrapText="1"/>
    </xf>
    <xf numFmtId="0" fontId="119" fillId="12" borderId="145" xfId="0" applyFont="1" applyFill="1" applyBorder="1" applyAlignment="1">
      <alignment horizontal="center" vertical="center" wrapText="1"/>
    </xf>
    <xf numFmtId="0" fontId="119" fillId="12" borderId="137" xfId="0" applyFont="1" applyFill="1" applyBorder="1" applyAlignment="1">
      <alignment horizontal="center" vertical="center" wrapText="1"/>
    </xf>
    <xf numFmtId="0" fontId="119" fillId="12" borderId="131" xfId="0" applyFont="1" applyFill="1" applyBorder="1" applyAlignment="1">
      <alignment horizontal="center" vertical="center" wrapText="1"/>
    </xf>
    <xf numFmtId="0" fontId="143" fillId="46" borderId="116" xfId="0" applyFont="1" applyFill="1" applyBorder="1" applyAlignment="1">
      <alignment horizontal="center" vertical="center" wrapText="1"/>
    </xf>
    <xf numFmtId="0" fontId="143" fillId="46" borderId="0" xfId="0" applyFont="1" applyFill="1" applyBorder="1" applyAlignment="1">
      <alignment horizontal="center" vertical="center" wrapText="1"/>
    </xf>
    <xf numFmtId="0" fontId="15" fillId="0" borderId="0" xfId="0" applyFont="1" applyAlignment="1">
      <alignment horizontal="center"/>
    </xf>
    <xf numFmtId="0" fontId="20" fillId="0" borderId="0" xfId="0" applyFont="1" applyAlignment="1">
      <alignment horizontal="center"/>
    </xf>
    <xf numFmtId="0" fontId="14" fillId="0" borderId="106" xfId="0" applyFont="1" applyBorder="1" applyAlignment="1">
      <alignment horizontal="center"/>
    </xf>
    <xf numFmtId="0" fontId="20" fillId="0" borderId="106" xfId="0" applyFont="1" applyBorder="1" applyAlignment="1">
      <alignment horizontal="center"/>
    </xf>
    <xf numFmtId="0" fontId="87" fillId="41" borderId="0" xfId="0" applyFont="1" applyFill="1" applyAlignment="1">
      <alignment horizontal="center" vertical="center"/>
    </xf>
    <xf numFmtId="0" fontId="74" fillId="26" borderId="0" xfId="0" applyFont="1" applyFill="1" applyAlignment="1">
      <alignment horizontal="center" vertical="center" wrapText="1"/>
    </xf>
    <xf numFmtId="164" fontId="73" fillId="15" borderId="0" xfId="4" applyNumberFormat="1" applyFont="1" applyFill="1" applyAlignment="1">
      <alignment horizontal="center" vertical="center" wrapText="1"/>
    </xf>
  </cellXfs>
  <cellStyles count="81">
    <cellStyle name="Bad 2" xfId="24" xr:uid="{00000000-0005-0000-0000-000000000000}"/>
    <cellStyle name="Bad 2 2" xfId="57" xr:uid="{00000000-0005-0000-0000-00003C000000}"/>
    <cellStyle name="Comma" xfId="4" builtinId="3"/>
    <cellStyle name="Comma 2" xfId="7" xr:uid="{00000000-0005-0000-0000-000002000000}"/>
    <cellStyle name="Comma 2 2" xfId="17" xr:uid="{00000000-0005-0000-0000-000003000000}"/>
    <cellStyle name="Comma 2 2 2" xfId="32" xr:uid="{00000000-0005-0000-0000-000003000000}"/>
    <cellStyle name="Comma 2 2 2 2" xfId="49" xr:uid="{00000000-0005-0000-0000-000014000000}"/>
    <cellStyle name="Comma 2 2 3" xfId="41" xr:uid="{00000000-0005-0000-0000-000003000000}"/>
    <cellStyle name="Comma 2 2 3 2" xfId="52" xr:uid="{00000000-0005-0000-0000-00001F000000}"/>
    <cellStyle name="Comma 2 2 4" xfId="59" xr:uid="{00000000-0005-0000-0000-00003E000000}"/>
    <cellStyle name="Comma 2 3" xfId="27" xr:uid="{00000000-0005-0000-0000-000002000000}"/>
    <cellStyle name="Comma 2 3 2" xfId="47" xr:uid="{00000000-0005-0000-0000-00000E000000}"/>
    <cellStyle name="Comma 2 4" xfId="36" xr:uid="{00000000-0005-0000-0000-000001000000}"/>
    <cellStyle name="Comma 2 4 2" xfId="61" xr:uid="{00000000-0005-0000-0000-000040000000}"/>
    <cellStyle name="Comma 2 5" xfId="48" xr:uid="{00000000-0005-0000-0000-000011000000}"/>
    <cellStyle name="Comma 3" xfId="44" xr:uid="{00000000-0005-0000-0000-000058000000}"/>
    <cellStyle name="Comma 4" xfId="5" xr:uid="{00000000-0005-0000-0000-000004000000}"/>
    <cellStyle name="Comma 4 2" xfId="51" xr:uid="{00000000-0005-0000-0000-00001C000000}"/>
    <cellStyle name="Good 2" xfId="23" xr:uid="{00000000-0005-0000-0000-000005000000}"/>
    <cellStyle name="Good 2 2" xfId="56" xr:uid="{00000000-0005-0000-0000-00003A000000}"/>
    <cellStyle name="Heading 1 2" xfId="13" xr:uid="{00000000-0005-0000-0000-000006000000}"/>
    <cellStyle name="Heading 1 2 2" xfId="62" xr:uid="{00000000-0005-0000-0000-000041000000}"/>
    <cellStyle name="Normal" xfId="0" builtinId="0"/>
    <cellStyle name="Normal 2" xfId="8" xr:uid="{00000000-0005-0000-0000-000008000000}"/>
    <cellStyle name="Normal 2 2" xfId="14" xr:uid="{00000000-0005-0000-0000-000009000000}"/>
    <cellStyle name="Normal 2 2 2" xfId="29" xr:uid="{00000000-0005-0000-0000-000009000000}"/>
    <cellStyle name="Normal 2 2 2 2" xfId="60" xr:uid="{00000000-0005-0000-0000-00003F000000}"/>
    <cellStyle name="Normal 2 2 3" xfId="38" xr:uid="{00000000-0005-0000-0000-00001F000000}"/>
    <cellStyle name="Normal 2 2 3 2" xfId="50" xr:uid="{00000000-0005-0000-0000-000017000000}"/>
    <cellStyle name="Normal 2 2 4" xfId="53" xr:uid="{00000000-0005-0000-0000-000021000000}"/>
    <cellStyle name="Normal 2 3" xfId="18" xr:uid="{00000000-0005-0000-0000-00000A000000}"/>
    <cellStyle name="Normal 2 3 2" xfId="33" xr:uid="{00000000-0005-0000-0000-00000A000000}"/>
    <cellStyle name="Normal 2 3 2 2" xfId="54" xr:uid="{00000000-0005-0000-0000-00002C000000}"/>
    <cellStyle name="Normal 2 3 3" xfId="42" xr:uid="{00000000-0005-0000-0000-000020000000}"/>
    <cellStyle name="Normal 2 3 3 2" xfId="64" xr:uid="{00000000-0005-0000-0000-000043000000}"/>
    <cellStyle name="Normal 2 3 4" xfId="63" xr:uid="{00000000-0005-0000-0000-000042000000}"/>
    <cellStyle name="Normal 2 4" xfId="22" xr:uid="{00000000-0005-0000-0000-00000B000000}"/>
    <cellStyle name="Normal 2 4 2" xfId="65" xr:uid="{00000000-0005-0000-0000-000044000000}"/>
    <cellStyle name="Normal 2 5" xfId="28" xr:uid="{00000000-0005-0000-0000-000008000000}"/>
    <cellStyle name="Normal 2 5 2" xfId="66" xr:uid="{00000000-0005-0000-0000-000045000000}"/>
    <cellStyle name="Normal 2 6" xfId="37" xr:uid="{00000000-0005-0000-0000-000005000000}"/>
    <cellStyle name="Normal 2 6 2" xfId="67" xr:uid="{00000000-0005-0000-0000-000046000000}"/>
    <cellStyle name="Normal 2 7" xfId="55" xr:uid="{00000000-0005-0000-0000-000033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2 2" xfId="70" xr:uid="{00000000-0005-0000-0000-00004B000000}"/>
    <cellStyle name="Normal 4 2 3" xfId="39" xr:uid="{00000000-0005-0000-0000-000025000000}"/>
    <cellStyle name="Normal 4 2 3 2" xfId="71" xr:uid="{00000000-0005-0000-0000-00004C000000}"/>
    <cellStyle name="Normal 4 2 4" xfId="69" xr:uid="{00000000-0005-0000-0000-00004A000000}"/>
    <cellStyle name="Normal 4 3" xfId="25" xr:uid="{00000000-0005-0000-0000-00000E000000}"/>
    <cellStyle name="Normal 4 3 2" xfId="72" xr:uid="{00000000-0005-0000-0000-00004D000000}"/>
    <cellStyle name="Normal 4 4" xfId="34" xr:uid="{00000000-0005-0000-0000-000006000000}"/>
    <cellStyle name="Normal 4 4 2" xfId="73" xr:uid="{00000000-0005-0000-0000-00004E000000}"/>
    <cellStyle name="Normal 4 5" xfId="68" xr:uid="{00000000-0005-0000-0000-000049000000}"/>
    <cellStyle name="Normal 5" xfId="43" xr:uid="{00000000-0005-0000-0000-000062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2 2" xfId="75" xr:uid="{00000000-0005-0000-0000-000053000000}"/>
    <cellStyle name="Percent 2 3" xfId="16" xr:uid="{00000000-0005-0000-0000-000016000000}"/>
    <cellStyle name="Percent 2 3 2" xfId="31" xr:uid="{00000000-0005-0000-0000-000016000000}"/>
    <cellStyle name="Percent 2 3 2 2" xfId="77" xr:uid="{00000000-0005-0000-0000-000055000000}"/>
    <cellStyle name="Percent 2 3 3" xfId="40" xr:uid="{00000000-0005-0000-0000-00002C000000}"/>
    <cellStyle name="Percent 2 3 3 2" xfId="78" xr:uid="{00000000-0005-0000-0000-000056000000}"/>
    <cellStyle name="Percent 2 3 4" xfId="76" xr:uid="{00000000-0005-0000-0000-000054000000}"/>
    <cellStyle name="Percent 2 4" xfId="26" xr:uid="{00000000-0005-0000-0000-000014000000}"/>
    <cellStyle name="Percent 2 4 2" xfId="79" xr:uid="{00000000-0005-0000-0000-000057000000}"/>
    <cellStyle name="Percent 2 5" xfId="35" xr:uid="{00000000-0005-0000-0000-000008000000}"/>
    <cellStyle name="Percent 2 5 2" xfId="45" xr:uid="{00000000-0005-0000-0000-00000B000000}"/>
    <cellStyle name="Percent 2 6" xfId="74" xr:uid="{00000000-0005-0000-0000-000052000000}"/>
    <cellStyle name="Percent 3" xfId="12" xr:uid="{00000000-0005-0000-0000-000017000000}"/>
    <cellStyle name="Percent 3 2" xfId="20" xr:uid="{00000000-0005-0000-0000-000018000000}"/>
    <cellStyle name="Percent 4" xfId="46" xr:uid="{00000000-0005-0000-0000-000073000000}"/>
    <cellStyle name="千位分隔 3" xfId="58" xr:uid="{00000000-0005-0000-0000-00003D000000}"/>
    <cellStyle name="常规 2" xfId="80" xr:uid="{00000000-0005-0000-0000-00005A000000}"/>
  </cellStyles>
  <dxfs count="1088">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border diagonalUp="0" diagonalDown="0">
        <left style="thin">
          <color theme="4"/>
        </left>
        <right style="thin">
          <color theme="4"/>
        </right>
        <top style="thin">
          <color theme="4"/>
        </top>
        <bottom style="thin">
          <color theme="4"/>
        </bottom>
        <vertical style="thin">
          <color theme="4"/>
        </vertical>
        <horizontal style="thin">
          <color theme="4"/>
        </horizontal>
      </border>
    </dxf>
    <dxf>
      <font>
        <b val="0"/>
        <strike val="0"/>
        <outline val="0"/>
        <shadow val="0"/>
        <u val="none"/>
        <vertAlign val="baseline"/>
        <sz val="11"/>
        <color auto="1"/>
        <name val="Calibri"/>
        <family val="2"/>
        <scheme val="minor"/>
      </font>
      <border diagonalUp="0" diagonalDown="0">
        <left style="thin">
          <color theme="4"/>
        </left>
        <right style="medium">
          <color theme="4"/>
        </right>
        <top style="thin">
          <color theme="4"/>
        </top>
        <bottom style="thin">
          <color theme="4"/>
        </bottom>
        <vertical style="thin">
          <color theme="4"/>
        </vertical>
        <horizontal style="thin">
          <color theme="4"/>
        </horizontal>
      </border>
    </dxf>
    <dxf>
      <font>
        <b val="0"/>
        <strike val="0"/>
        <outline val="0"/>
        <shadow val="0"/>
        <u val="none"/>
        <vertAlign val="baseline"/>
        <sz val="11"/>
        <color auto="1"/>
        <name val="Calibri"/>
        <family val="2"/>
        <scheme val="minor"/>
      </font>
      <border diagonalUp="0" diagonalDown="0" outline="0">
        <left style="thin">
          <color theme="4"/>
        </left>
        <right style="thin">
          <color theme="4"/>
        </right>
        <top style="thin">
          <color theme="4"/>
        </top>
        <bottom style="thin">
          <color theme="4"/>
        </bottom>
      </border>
    </dxf>
    <dxf>
      <font>
        <b val="0"/>
        <strike val="0"/>
        <outline val="0"/>
        <shadow val="0"/>
        <u val="none"/>
        <vertAlign val="baseline"/>
        <sz val="11"/>
        <color auto="1"/>
        <name val="Calibri"/>
        <family val="2"/>
        <scheme val="minor"/>
      </font>
      <numFmt numFmtId="1" formatCode="0"/>
      <border diagonalUp="0" diagonalDown="0" outline="0">
        <left style="thin">
          <color theme="4"/>
        </left>
        <right style="thin">
          <color theme="4"/>
        </right>
        <top style="thin">
          <color theme="4"/>
        </top>
        <bottom style="thin">
          <color theme="4"/>
        </bottom>
      </border>
    </dxf>
    <dxf>
      <font>
        <b val="0"/>
        <strike val="0"/>
        <outline val="0"/>
        <shadow val="0"/>
        <u val="none"/>
        <vertAlign val="baseline"/>
        <sz val="11"/>
        <color auto="1"/>
        <name val="Calibri"/>
        <family val="2"/>
        <scheme val="minor"/>
      </font>
      <border diagonalUp="0" diagonalDown="0" outline="0">
        <left style="thin">
          <color theme="4"/>
        </left>
        <right style="thin">
          <color theme="4"/>
        </right>
        <top style="thin">
          <color theme="4"/>
        </top>
        <bottom style="thin">
          <color theme="4"/>
        </bottom>
      </border>
    </dxf>
    <dxf>
      <font>
        <b val="0"/>
        <strike val="0"/>
        <outline val="0"/>
        <shadow val="0"/>
        <u val="none"/>
        <vertAlign val="baseline"/>
        <sz val="11"/>
        <color auto="1"/>
        <name val="Calibri"/>
        <family val="2"/>
        <scheme val="minor"/>
      </font>
      <border diagonalUp="0" diagonalDown="0">
        <left style="thin">
          <color theme="4"/>
        </left>
        <right style="thin">
          <color theme="4"/>
        </right>
        <top style="thin">
          <color theme="4"/>
        </top>
        <bottom style="thin">
          <color theme="4"/>
        </bottom>
        <vertical style="thin">
          <color theme="4"/>
        </vertical>
        <horizontal style="thin">
          <color theme="4"/>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style="medium">
          <color theme="4"/>
        </left>
        <right style="thin">
          <color theme="4"/>
        </right>
        <top style="thin">
          <color theme="4"/>
        </top>
        <bottom style="thin">
          <color theme="4"/>
        </bottom>
        <vertical style="thin">
          <color theme="4"/>
        </vertical>
        <horizontal style="thin">
          <color theme="4"/>
        </horizontal>
      </border>
    </dxf>
    <dxf>
      <border outline="0">
        <top style="thin">
          <color theme="8"/>
        </top>
        <bottom style="medium">
          <color theme="4"/>
        </bottom>
      </border>
    </dxf>
    <dxf>
      <font>
        <b val="0"/>
        <strike val="0"/>
        <outline val="0"/>
        <shadow val="0"/>
        <u val="none"/>
        <vertAlign val="baseline"/>
        <sz val="11"/>
        <color auto="1"/>
        <name val="Calibri"/>
        <family val="2"/>
        <scheme val="minor"/>
      </font>
    </dxf>
    <dxf>
      <border outline="0">
        <bottom style="medium">
          <color theme="8"/>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3" formatCode="0%"/>
      <border diagonalUp="0" diagonalDown="0">
        <left style="thin">
          <color theme="4"/>
        </left>
        <right style="medium">
          <color theme="4"/>
        </right>
        <top style="thin">
          <color theme="4"/>
        </top>
        <bottom style="double">
          <color theme="4"/>
        </bottom>
        <vertical/>
        <horizontal/>
      </border>
    </dxf>
    <dxf>
      <font>
        <b val="0"/>
        <i val="0"/>
        <strike val="0"/>
        <condense val="0"/>
        <extend val="0"/>
        <outline val="0"/>
        <shadow val="0"/>
        <u val="none"/>
        <vertAlign val="baseline"/>
        <sz val="11"/>
        <color auto="1"/>
        <name val="Calibri"/>
        <family val="2"/>
        <scheme val="minor"/>
      </font>
      <numFmt numFmtId="13" formatCode="0%"/>
      <border diagonalUp="0" diagonalDown="0">
        <left style="thin">
          <color theme="4"/>
        </left>
        <right style="thin">
          <color theme="4"/>
        </right>
        <top style="thin">
          <color theme="4"/>
        </top>
        <bottom style="double">
          <color theme="4"/>
        </bottom>
        <vertical/>
        <horizontal/>
      </border>
    </dxf>
    <dxf>
      <font>
        <b val="0"/>
        <i val="0"/>
        <strike val="0"/>
        <condense val="0"/>
        <extend val="0"/>
        <outline val="0"/>
        <shadow val="0"/>
        <u val="none"/>
        <vertAlign val="baseline"/>
        <sz val="11"/>
        <color auto="1"/>
        <name val="Calibri"/>
        <family val="2"/>
        <scheme val="minor"/>
      </font>
      <numFmt numFmtId="13" formatCode="0%"/>
      <border diagonalUp="0" diagonalDown="0">
        <left style="thin">
          <color theme="4"/>
        </left>
        <right style="thin">
          <color theme="4"/>
        </right>
        <top style="thin">
          <color theme="4"/>
        </top>
        <bottom style="double">
          <color theme="4"/>
        </bottom>
        <vertical/>
        <horizontal/>
      </border>
    </dxf>
    <dxf>
      <font>
        <b val="0"/>
        <i val="0"/>
        <strike val="0"/>
        <condense val="0"/>
        <extend val="0"/>
        <outline val="0"/>
        <shadow val="0"/>
        <u val="none"/>
        <vertAlign val="baseline"/>
        <sz val="11"/>
        <color auto="1"/>
        <name val="Calibri"/>
        <family val="2"/>
        <scheme val="minor"/>
      </font>
      <numFmt numFmtId="164" formatCode="_(* #,##0_);_(* \(#,##0\);_(* &quot;-&quot;??_);_(@_)"/>
      <border diagonalUp="0" diagonalDown="0">
        <left style="thin">
          <color theme="4"/>
        </left>
        <right style="thin">
          <color theme="4"/>
        </right>
        <top style="thin">
          <color theme="4"/>
        </top>
        <bottom style="double">
          <color theme="4"/>
        </bottom>
        <vertical/>
        <horizontal/>
      </border>
    </dxf>
    <dxf>
      <font>
        <b val="0"/>
        <i val="0"/>
        <strike val="0"/>
        <condense val="0"/>
        <extend val="0"/>
        <outline val="0"/>
        <shadow val="0"/>
        <u val="none"/>
        <vertAlign val="baseline"/>
        <sz val="11"/>
        <color auto="1"/>
        <name val="Calibri"/>
        <family val="2"/>
        <scheme val="minor"/>
      </font>
      <numFmt numFmtId="164" formatCode="_(* #,##0_);_(* \(#,##0\);_(* &quot;-&quot;??_);_(@_)"/>
      <border diagonalUp="0" diagonalDown="0">
        <left style="thin">
          <color theme="4"/>
        </left>
        <right style="thin">
          <color theme="4"/>
        </right>
        <top style="thin">
          <color theme="4"/>
        </top>
        <bottom style="double">
          <color theme="4"/>
        </bottom>
        <vertical/>
        <horizontal/>
      </border>
    </dxf>
    <dxf>
      <border diagonalUp="0" diagonalDown="0">
        <left style="medium">
          <color theme="4"/>
        </left>
        <right style="medium">
          <color theme="4"/>
        </right>
        <top style="medium">
          <color theme="4"/>
        </top>
        <bottom style="medium">
          <color theme="4"/>
        </bottom>
      </border>
    </dxf>
    <dxf>
      <border outline="0">
        <bottom style="medium">
          <color theme="4"/>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family val="2"/>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vertical="center"/>
    </dxf>
    <dxf>
      <alignment vertical="bottom"/>
    </dxf>
    <dxf>
      <alignment vertical="bottom"/>
    </dxf>
    <dxf>
      <alignment horizontal="center"/>
    </dxf>
    <dxf>
      <alignment horizont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b/>
        <i val="0"/>
        <color rgb="FFFF0000"/>
      </font>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0" formatCode="General"/>
    </dxf>
    <dxf>
      <numFmt numFmtId="0" formatCode="Genera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087"/>
      <tableStyleElement type="headerRow" dxfId="1086"/>
    </tableStyle>
    <tableStyle name="4W Style" pivot="0" table="0" count="1" xr9:uid="{00000000-0011-0000-FFFF-FFFF01000000}">
      <tableStyleElement type="wholeTable" dxfId="1085"/>
    </tableStyle>
    <tableStyle name="CUSTOM" table="0" count="13" xr9:uid="{00000000-0011-0000-FFFF-FFFF02000000}">
      <tableStyleElement type="wholeTable" dxfId="1084"/>
      <tableStyleElement type="headerRow" dxfId="1083"/>
      <tableStyleElement type="totalRow" dxfId="1082"/>
      <tableStyleElement type="firstColumn" dxfId="1081"/>
      <tableStyleElement type="firstRowStripe" dxfId="1080"/>
      <tableStyleElement type="secondRowStripe" dxfId="1079"/>
      <tableStyleElement type="firstColumnStripe" dxfId="1078"/>
      <tableStyleElement type="firstSubtotalRow" dxfId="1077"/>
      <tableStyleElement type="secondSubtotalRow" dxfId="1076"/>
      <tableStyleElement type="secondColumnSubheading" dxfId="1075"/>
      <tableStyleElement type="thirdColumnSubheading" dxfId="1074"/>
      <tableStyleElement type="firstRowSubheading" dxfId="1073"/>
      <tableStyleElement type="secondRowSubheading" dxfId="1072"/>
    </tableStyle>
    <tableStyle name="PivotStyleLight10 2" table="0" count="12" xr9:uid="{00000000-0011-0000-FFFF-FFFF03000000}">
      <tableStyleElement type="wholeTable" dxfId="1071"/>
      <tableStyleElement type="headerRow" dxfId="1070"/>
      <tableStyleElement type="totalRow" dxfId="1069"/>
      <tableStyleElement type="firstColumn" dxfId="1068"/>
      <tableStyleElement type="firstRowStripe" dxfId="1067"/>
      <tableStyleElement type="firstColumnStripe" dxfId="1066"/>
      <tableStyleElement type="firstSubtotalRow" dxfId="1065"/>
      <tableStyleElement type="secondSubtotalRow" dxfId="1064"/>
      <tableStyleElement type="secondColumnSubheading" dxfId="1063"/>
      <tableStyleElement type="thirdColumnSubheading" dxfId="1062"/>
      <tableStyleElement type="firstRowSubheading" dxfId="1061"/>
      <tableStyleElement type="secondRowSubheading" dxfId="1060"/>
    </tableStyle>
    <tableStyle name="PivotStyleLight14 2" table="0" count="12" xr9:uid="{00000000-0011-0000-FFFF-FFFF04000000}">
      <tableStyleElement type="wholeTable" dxfId="1059"/>
      <tableStyleElement type="headerRow" dxfId="1058"/>
      <tableStyleElement type="totalRow" dxfId="1057"/>
      <tableStyleElement type="firstColumn" dxfId="1056"/>
      <tableStyleElement type="firstRowStripe" dxfId="1055"/>
      <tableStyleElement type="firstColumnStripe" dxfId="1054"/>
      <tableStyleElement type="firstSubtotalRow" dxfId="1053"/>
      <tableStyleElement type="secondSubtotalRow" dxfId="1052"/>
      <tableStyleElement type="secondColumnSubheading" dxfId="1051"/>
      <tableStyleElement type="thirdColumnSubheading" dxfId="1050"/>
      <tableStyleElement type="firstRowSubheading" dxfId="1049"/>
      <tableStyleElement type="secondRowSubheading" dxfId="1048"/>
    </tableStyle>
    <tableStyle name="PivotStyleLight23 2" table="0" count="10" xr9:uid="{00000000-0011-0000-FFFF-FFFF05000000}">
      <tableStyleElement type="wholeTable" dxfId="1047"/>
      <tableStyleElement type="headerRow" dxfId="1046"/>
      <tableStyleElement type="totalRow" dxfId="1045"/>
      <tableStyleElement type="firstColumn" dxfId="1044"/>
      <tableStyleElement type="firstRowStripe" dxfId="1043"/>
      <tableStyleElement type="firstColumnStripe" dxfId="1042"/>
      <tableStyleElement type="firstSubtotalColumn" dxfId="1041"/>
      <tableStyleElement type="firstSubtotalRow" dxfId="1040"/>
      <tableStyleElement type="secondSubtotalRow" dxfId="1039"/>
      <tableStyleElement type="pageFieldLabels" dxfId="1038"/>
    </tableStyle>
    <tableStyle name="PivotStyleLight9 2" table="0" count="13" xr9:uid="{00000000-0011-0000-FFFF-FFFF06000000}">
      <tableStyleElement type="wholeTable" dxfId="1037"/>
      <tableStyleElement type="headerRow" dxfId="1036"/>
      <tableStyleElement type="totalRow" dxfId="1035"/>
      <tableStyleElement type="firstColumn" dxfId="1034"/>
      <tableStyleElement type="firstRowStripe" dxfId="1033"/>
      <tableStyleElement type="secondRowStripe" dxfId="1032"/>
      <tableStyleElement type="firstColumnStripe" dxfId="1031"/>
      <tableStyleElement type="firstSubtotalRow" dxfId="1030"/>
      <tableStyleElement type="secondSubtotalRow" dxfId="1029"/>
      <tableStyleElement type="secondColumnSubheading" dxfId="1028"/>
      <tableStyleElement type="thirdColumnSubheading" dxfId="1027"/>
      <tableStyleElement type="firstRowSubheading" dxfId="1026"/>
      <tableStyleElement type="secondRowSubheading" dxfId="1025"/>
    </tableStyle>
    <tableStyle name="PivotTable Style 1" table="0" count="1" xr9:uid="{00000000-0011-0000-FFFF-FFFF07000000}">
      <tableStyleElement type="wholeTable" dxfId="1024"/>
    </tableStyle>
    <tableStyle name="PivotTable Style a" table="0" count="7" xr9:uid="{00000000-0011-0000-FFFF-FFFF08000000}">
      <tableStyleElement type="wholeTable" dxfId="1023"/>
      <tableStyleElement type="headerRow" dxfId="1022"/>
      <tableStyleElement type="totalRow" dxfId="1021"/>
      <tableStyleElement type="firstColumn" dxfId="1020"/>
      <tableStyleElement type="secondSubtotalRow" dxfId="1019"/>
      <tableStyleElement type="firstRowSubheading" dxfId="1018"/>
      <tableStyleElement type="secondRowSubheading" dxfId="1017"/>
    </tableStyle>
    <tableStyle name="Slicer Style 1" pivot="0" table="0" count="5" xr9:uid="{00000000-0011-0000-FFFF-FFFF09000000}">
      <tableStyleElement type="wholeTable" dxfId="1016"/>
    </tableStyle>
  </tableStyles>
  <colors>
    <mruColors>
      <color rgb="FF85C2FF"/>
      <color rgb="FF44546A"/>
      <color rgb="FFFFFF00"/>
      <color rgb="FFBF9000"/>
      <color rgb="FFF7FECE"/>
      <color rgb="FFD4E8C6"/>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07/relationships/slicerCache" Target="slicerCaches/slicerCache11.xml"/><Relationship Id="rId21" Type="http://schemas.openxmlformats.org/officeDocument/2006/relationships/externalLink" Target="externalLinks/externalLink2.xml"/><Relationship Id="rId34" Type="http://schemas.microsoft.com/office/2007/relationships/slicerCache" Target="slicerCaches/slicerCache6.xml"/><Relationship Id="rId42" Type="http://schemas.microsoft.com/office/2007/relationships/slicerCache" Target="slicerCaches/slicerCache14.xml"/><Relationship Id="rId47" Type="http://schemas.openxmlformats.org/officeDocument/2006/relationships/styles" Target="styles.xml"/><Relationship Id="rId50"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microsoft.com/office/2007/relationships/slicerCache" Target="slicerCaches/slicerCache4.xml"/><Relationship Id="rId37" Type="http://schemas.microsoft.com/office/2007/relationships/slicerCache" Target="slicerCaches/slicerCache9.xml"/><Relationship Id="rId40" Type="http://schemas.microsoft.com/office/2007/relationships/slicerCache" Target="slicerCaches/slicerCache1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3.xml"/><Relationship Id="rId36" Type="http://schemas.microsoft.com/office/2007/relationships/slicerCache" Target="slicerCaches/slicerCache8.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2.xml"/><Relationship Id="rId30" Type="http://schemas.microsoft.com/office/2007/relationships/slicerCache" Target="slicerCaches/slicerCache2.xml"/><Relationship Id="rId35" Type="http://schemas.microsoft.com/office/2007/relationships/slicerCache" Target="slicerCaches/slicerCache7.xml"/><Relationship Id="rId43" Type="http://schemas.microsoft.com/office/2007/relationships/slicerCache" Target="slicerCaches/slicerCache1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07/relationships/slicerCache" Target="slicerCaches/slicerCache5.xml"/><Relationship Id="rId38" Type="http://schemas.microsoft.com/office/2007/relationships/slicerCache" Target="slicerCaches/slicerCache10.xml"/><Relationship Id="rId46" Type="http://schemas.openxmlformats.org/officeDocument/2006/relationships/connections" Target="connections.xml"/><Relationship Id="rId20" Type="http://schemas.openxmlformats.org/officeDocument/2006/relationships/externalLink" Target="externalLinks/externalLink1.xml"/><Relationship Id="rId41"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2020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a:t> (in</a:t>
            </a:r>
            <a:r>
              <a:rPr lang="en-US" sz="1600" baseline="0"/>
              <a:t> IDP camps)</a:t>
            </a:r>
            <a:endParaRPr lang="en-US" sz="16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HRP!$E$67</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591-4C76-A94C-37FACE3DDD9B}"/>
              </c:ext>
            </c:extLst>
          </c:dPt>
          <c:dPt>
            <c:idx val="1"/>
            <c:invertIfNegative val="0"/>
            <c:bubble3D val="0"/>
            <c:spPr>
              <a:solidFill>
                <a:srgbClr val="FFFF00"/>
              </a:solidFill>
              <a:ln>
                <a:noFill/>
              </a:ln>
              <a:effectLst/>
            </c:spPr>
            <c:extLst>
              <c:ext xmlns:c16="http://schemas.microsoft.com/office/drawing/2014/chart" uri="{C3380CC4-5D6E-409C-BE32-E72D297353CC}">
                <c16:uniqueId val="{0000000A-3591-4C76-A94C-37FACE3DDD9B}"/>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9DB5-4218-B55C-8D80A9BEAACC}"/>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9DB5-4218-B55C-8D80A9BEAACC}"/>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3591-4C76-A94C-37FACE3DDD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HRP!$C$68:$C$72</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HRP!$E$68:$E$72</c:f>
              <c:numCache>
                <c:formatCode>_(* #,##0_);_(* \(#,##0\);_(* "-"??_);_(@_)</c:formatCode>
                <c:ptCount val="5"/>
                <c:pt idx="0">
                  <c:v>36156</c:v>
                </c:pt>
                <c:pt idx="1">
                  <c:v>7050</c:v>
                </c:pt>
                <c:pt idx="2">
                  <c:v>247774.00602379249</c:v>
                </c:pt>
                <c:pt idx="3">
                  <c:v>208055</c:v>
                </c:pt>
                <c:pt idx="4">
                  <c:v>221798.4740740741</c:v>
                </c:pt>
              </c:numCache>
            </c:numRef>
          </c:val>
          <c:extLst>
            <c:ext xmlns:c16="http://schemas.microsoft.com/office/drawing/2014/chart" uri="{C3380CC4-5D6E-409C-BE32-E72D297353CC}">
              <c16:uniqueId val="{00000001-CAD5-4496-BE8A-D440D686860E}"/>
            </c:ext>
          </c:extLst>
        </c:ser>
        <c:ser>
          <c:idx val="1"/>
          <c:order val="1"/>
          <c:tx>
            <c:strRef>
              <c:f>HRP!$F$67</c:f>
              <c:strCache>
                <c:ptCount val="1"/>
                <c:pt idx="0">
                  <c:v>Gap</c:v>
                </c:pt>
              </c:strCache>
            </c:strRef>
          </c:tx>
          <c:spPr>
            <a:solidFill>
              <a:srgbClr val="FFFF00"/>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591-4C76-A94C-37FACE3DDD9B}"/>
              </c:ext>
            </c:extLst>
          </c:dPt>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B-3591-4C76-A94C-37FACE3DDD9B}"/>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9DB5-4218-B55C-8D80A9BEAACC}"/>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9DB5-4218-B55C-8D80A9BEAACC}"/>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0-40B5-48CA-818C-E309016F171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HRP!$C$68:$C$72</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HRP!$F$68:$F$72</c:f>
              <c:numCache>
                <c:formatCode>_(* #,##0_);_(* \(#,##0\);_(* "-"??_);_(@_)</c:formatCode>
                <c:ptCount val="5"/>
                <c:pt idx="0">
                  <c:v>2448</c:v>
                </c:pt>
                <c:pt idx="1">
                  <c:v>61756</c:v>
                </c:pt>
                <c:pt idx="2">
                  <c:v>-9615.0060237924918</c:v>
                </c:pt>
                <c:pt idx="3">
                  <c:v>30104</c:v>
                </c:pt>
                <c:pt idx="4">
                  <c:v>16360.525925925904</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Analysis!$C$183:$E$183</c:f>
              <c:strCache>
                <c:ptCount val="3"/>
                <c:pt idx="0">
                  <c:v>NA</c:v>
                </c:pt>
                <c:pt idx="1">
                  <c:v>No</c:v>
                </c:pt>
                <c:pt idx="2">
                  <c:v>Yes</c:v>
                </c:pt>
              </c:strCache>
            </c:strRef>
          </c:cat>
          <c:val>
            <c:numRef>
              <c:f>Analysis!$C$184:$E$184</c:f>
              <c:numCache>
                <c:formatCode>General</c:formatCode>
                <c:ptCount val="3"/>
                <c:pt idx="0">
                  <c:v>12</c:v>
                </c:pt>
                <c:pt idx="1">
                  <c:v>7</c:v>
                </c:pt>
                <c:pt idx="2">
                  <c:v>120</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Analysis!$B$186</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Analysis!$C$183:$E$183</c:f>
              <c:strCache>
                <c:ptCount val="3"/>
                <c:pt idx="0">
                  <c:v>NA</c:v>
                </c:pt>
                <c:pt idx="1">
                  <c:v>No</c:v>
                </c:pt>
                <c:pt idx="2">
                  <c:v>Yes</c:v>
                </c:pt>
              </c:strCache>
            </c:strRef>
          </c:cat>
          <c:val>
            <c:numRef>
              <c:f>Analysis!$C$186:$E$186</c:f>
              <c:numCache>
                <c:formatCode>General</c:formatCode>
                <c:ptCount val="3"/>
                <c:pt idx="0">
                  <c:v>7</c:v>
                </c:pt>
                <c:pt idx="1">
                  <c:v>6</c:v>
                </c:pt>
                <c:pt idx="2">
                  <c:v>21</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[20201026_Myanmar_WASH_4W_2020_Q3_KachinShan_camp_Consolidate.xlsx]Analysis!K_water1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Analysis!$C$47:$C$48</c:f>
              <c:numCache>
                <c:formatCode>0</c:formatCode>
                <c:ptCount val="2"/>
                <c:pt idx="0">
                  <c:v>87.617999999999967</c:v>
                </c:pt>
                <c:pt idx="1">
                  <c:v>26.62228148148148</c:v>
                </c:pt>
              </c:numCache>
            </c:numRef>
          </c:val>
          <c:extLst>
            <c:ext xmlns:c16="http://schemas.microsoft.com/office/drawing/2014/chart" uri="{C3380CC4-5D6E-409C-BE32-E72D297353CC}">
              <c16:uniqueId val="{00000000-77CB-45F6-B887-A8B0E8A699CB}"/>
            </c:ext>
          </c:extLst>
        </c:ser>
        <c:ser>
          <c:idx val="1"/>
          <c:order val="1"/>
          <c:tx>
            <c:strRef>
              <c:f>Analysis!$D$46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Analysis!$D$47:$D$48</c:f>
              <c:numCache>
                <c:formatCode>0</c:formatCode>
                <c:ptCount val="2"/>
                <c:pt idx="0">
                  <c:v>71.268000000000001</c:v>
                </c:pt>
                <c:pt idx="1">
                  <c:v>63.601718518518524</c:v>
                </c:pt>
              </c:numCache>
            </c:numRef>
          </c:val>
          <c:extLst>
            <c:ext xmlns:c16="http://schemas.microsoft.com/office/drawing/2014/chart" uri="{C3380CC4-5D6E-409C-BE32-E72D297353CC}">
              <c16:uniqueId val="{00000001-77CB-45F6-B887-A8B0E8A699CB}"/>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[20201026_Myanmar_WASH_4W_2020_Q3_KachinShan_camp_Consolidate.xlsx]Analysis!S_water1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Analysis!$J$46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Analysis!$J$47</c:f>
              <c:numCache>
                <c:formatCode>0</c:formatCode>
                <c:ptCount val="1"/>
                <c:pt idx="0">
                  <c:v>9.0153333333333361</c:v>
                </c:pt>
              </c:numCache>
            </c:numRef>
          </c:val>
          <c:extLst>
            <c:ext xmlns:c16="http://schemas.microsoft.com/office/drawing/2014/chart" uri="{C3380CC4-5D6E-409C-BE32-E72D297353CC}">
              <c16:uniqueId val="{00000000-A9E5-4A37-AFEF-A04D7E1373F2}"/>
            </c:ext>
          </c:extLst>
        </c:ser>
        <c:ser>
          <c:idx val="1"/>
          <c:order val="1"/>
          <c:tx>
            <c:strRef>
              <c:f>Analysis!$K$46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Analysis!$K$47</c:f>
              <c:numCache>
                <c:formatCode>0</c:formatCode>
                <c:ptCount val="1"/>
                <c:pt idx="0">
                  <c:v>26.138666666666662</c:v>
                </c:pt>
              </c:numCache>
            </c:numRef>
          </c:val>
          <c:extLst>
            <c:ext xmlns:c16="http://schemas.microsoft.com/office/drawing/2014/chart" uri="{C3380CC4-5D6E-409C-BE32-E72D297353CC}">
              <c16:uniqueId val="{00000001-A9E5-4A37-AFEF-A04D7E1373F2}"/>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Analysis!$B$229:$B$230</c:f>
              <c:strCache>
                <c:ptCount val="2"/>
                <c:pt idx="0">
                  <c:v>#HH reached by regular dedicated hygiene promotion</c:v>
                </c:pt>
                <c:pt idx="1">
                  <c:v>#HH with access to Hand Washing Station</c:v>
                </c:pt>
              </c:strCache>
            </c:strRef>
          </c:cat>
          <c:val>
            <c:numRef>
              <c:f>Analysis!$C$229:$C$230</c:f>
              <c:numCache>
                <c:formatCode>0</c:formatCode>
                <c:ptCount val="2"/>
                <c:pt idx="0">
                  <c:v>12140.6</c:v>
                </c:pt>
                <c:pt idx="1">
                  <c:v>10470.200000000001</c:v>
                </c:pt>
              </c:numCache>
            </c:numRef>
          </c:val>
          <c:extLst>
            <c:ext xmlns:c16="http://schemas.microsoft.com/office/drawing/2014/chart" uri="{C3380CC4-5D6E-409C-BE32-E72D297353CC}">
              <c16:uniqueId val="{00000000-8A12-41BD-89DE-DD9C030FDA43}"/>
            </c:ext>
          </c:extLst>
        </c:ser>
        <c:ser>
          <c:idx val="1"/>
          <c:order val="1"/>
          <c:tx>
            <c:strRef>
              <c:f>Analysis!$D$228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Analysis!$B$229:$B$230</c:f>
              <c:strCache>
                <c:ptCount val="2"/>
                <c:pt idx="0">
                  <c:v>#HH reached by regular dedicated hygiene promotion</c:v>
                </c:pt>
                <c:pt idx="1">
                  <c:v>#HH with access to Hand Washing Station</c:v>
                </c:pt>
              </c:strCache>
            </c:strRef>
          </c:cat>
          <c:val>
            <c:numRef>
              <c:f>Analysis!$D$229:$D$230</c:f>
              <c:numCache>
                <c:formatCode>0</c:formatCode>
                <c:ptCount val="2"/>
                <c:pt idx="0">
                  <c:v>7135.1999999999989</c:v>
                </c:pt>
                <c:pt idx="1">
                  <c:v>8805.5999999999985</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Analysis!$B$139</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Analysis!$C$139:$D$139</c:f>
              <c:numCache>
                <c:formatCode>_(* #,##0_);_(* \(#,##0\);_(* "-"??_);_(@_)</c:formatCode>
                <c:ptCount val="2"/>
                <c:pt idx="0">
                  <c:v>2435</c:v>
                </c:pt>
                <c:pt idx="1">
                  <c:v>2665</c:v>
                </c:pt>
              </c:numCache>
            </c:numRef>
          </c:val>
          <c:extLst>
            <c:ext xmlns:c16="http://schemas.microsoft.com/office/drawing/2014/chart" uri="{C3380CC4-5D6E-409C-BE32-E72D297353CC}">
              <c16:uniqueId val="{00000000-11DD-45FB-9A7E-843D5E549A65}"/>
            </c:ext>
          </c:extLst>
        </c:ser>
        <c:ser>
          <c:idx val="1"/>
          <c:order val="1"/>
          <c:tx>
            <c:strRef>
              <c:f>Analysis!$B$140</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Analysis!$C$140:$D$140</c:f>
              <c:numCache>
                <c:formatCode>_(* #,##0_);_(* \(#,##0\);_(* "-"??_);_(@_)</c:formatCode>
                <c:ptCount val="2"/>
                <c:pt idx="0">
                  <c:v>305</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Analysis!$B$141</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Analysis!$C$141:$D$141</c:f>
              <c:numCache>
                <c:formatCode>_(* #,##0_);_(* \(#,##0\);_(* "-"??_);_(@_)</c:formatCode>
                <c:ptCount val="2"/>
                <c:pt idx="0">
                  <c:v>750</c:v>
                </c:pt>
                <c:pt idx="1">
                  <c:v>1210</c:v>
                </c:pt>
              </c:numCache>
            </c:numRef>
          </c:val>
          <c:extLst>
            <c:ext xmlns:c16="http://schemas.microsoft.com/office/drawing/2014/chart" uri="{C3380CC4-5D6E-409C-BE32-E72D297353CC}">
              <c16:uniqueId val="{00000000-EDB8-4005-B0CC-AA882CBF326D}"/>
            </c:ext>
          </c:extLst>
        </c:ser>
        <c:ser>
          <c:idx val="3"/>
          <c:order val="3"/>
          <c:tx>
            <c:strRef>
              <c:f>Analysis!$B$142</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Analysis!$C$142:$D$142</c:f>
              <c:numCache>
                <c:formatCode>_(* #,##0_);_(* \(#,##0\);_(* "-"??_);_(@_)</c:formatCode>
                <c:ptCount val="2"/>
                <c:pt idx="0">
                  <c:v>1990</c:v>
                </c:pt>
                <c:pt idx="1">
                  <c:v>1455</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Analysis!$B$139</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Analysis!$C$138:$D$138</c15:sqref>
                        </c15:formulaRef>
                      </c:ext>
                    </c:extLst>
                    <c:strCache>
                      <c:ptCount val="2"/>
                      <c:pt idx="0">
                        <c:v> # in GCA (20:1) </c:v>
                      </c:pt>
                      <c:pt idx="1">
                        <c:v> # in NGCA (20:1) </c:v>
                      </c:pt>
                    </c:strCache>
                  </c:strRef>
                </c:cat>
                <c:val>
                  <c:numRef>
                    <c:extLst>
                      <c:ext uri="{02D57815-91ED-43cb-92C2-25804820EDAC}">
                        <c15:formulaRef>
                          <c15:sqref>Analysis!$C$139:$D$139</c15:sqref>
                        </c15:formulaRef>
                      </c:ext>
                    </c:extLst>
                    <c:numCache>
                      <c:formatCode>_(* #,##0_);_(* \(#,##0\);_(* "-"??_);_(@_)</c:formatCode>
                      <c:ptCount val="2"/>
                      <c:pt idx="0">
                        <c:v>2435</c:v>
                      </c:pt>
                      <c:pt idx="1">
                        <c:v>2665</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Analysis!$B$140</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Analysis!$C$138:$D$138</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Analysis!$C$140:$D$140</c15:sqref>
                        </c15:formulaRef>
                      </c:ext>
                    </c:extLst>
                    <c:numCache>
                      <c:formatCode>_(* #,##0_);_(* \(#,##0\);_(* "-"??_);_(@_)</c:formatCode>
                      <c:ptCount val="2"/>
                      <c:pt idx="0">
                        <c:v>305</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Analysis!$B$143</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Analysis!$C$143:$D$143</c:f>
              <c:numCache>
                <c:formatCode>_(* #,##0_);_(* \(#,##0\);_(* "-"??_);_(@_)</c:formatCode>
                <c:ptCount val="2"/>
                <c:pt idx="0">
                  <c:v>22</c:v>
                </c:pt>
                <c:pt idx="1">
                  <c:v>0</c:v>
                </c:pt>
              </c:numCache>
            </c:numRef>
          </c:val>
          <c:extLst>
            <c:ext xmlns:c16="http://schemas.microsoft.com/office/drawing/2014/chart" uri="{C3380CC4-5D6E-409C-BE32-E72D297353CC}">
              <c16:uniqueId val="{00000000-177F-4830-A166-C2511012B919}"/>
            </c:ext>
          </c:extLst>
        </c:ser>
        <c:ser>
          <c:idx val="1"/>
          <c:order val="1"/>
          <c:tx>
            <c:strRef>
              <c:f>Analysis!$B$144</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Analysis!$C$144:$D$144</c:f>
              <c:numCache>
                <c:formatCode>_(* #,##0_);_(* \(#,##0\);_(* "-"??_);_(@_)</c:formatCode>
                <c:ptCount val="2"/>
                <c:pt idx="0">
                  <c:v>208</c:v>
                </c:pt>
                <c:pt idx="1">
                  <c:v>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Analysis!$F$138:$F$139</c:f>
              <c:strCache>
                <c:ptCount val="2"/>
                <c:pt idx="0">
                  <c:v>Functioning</c:v>
                </c:pt>
                <c:pt idx="1">
                  <c:v>Not_Functioing</c:v>
                </c:pt>
              </c:strCache>
            </c:strRef>
          </c:cat>
          <c:val>
            <c:numRef>
              <c:f>Analysis!$G$138:$G$139</c:f>
              <c:numCache>
                <c:formatCode>_(* #,##0_);_(* \(#,##0\);_(* "-"??_);_(@_)</c:formatCode>
                <c:ptCount val="2"/>
                <c:pt idx="0">
                  <c:v>5100</c:v>
                </c:pt>
                <c:pt idx="1">
                  <c:v>133</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Analysis!$J$139</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978</c:v>
                </c:pt>
              </c:numCache>
            </c:numRef>
          </c:val>
          <c:extLst>
            <c:ext xmlns:c16="http://schemas.microsoft.com/office/drawing/2014/chart" uri="{C3380CC4-5D6E-409C-BE32-E72D297353CC}">
              <c16:uniqueId val="{00000000-5769-47EB-833D-C7F3A5603476}"/>
            </c:ext>
          </c:extLst>
        </c:ser>
        <c:ser>
          <c:idx val="1"/>
          <c:order val="1"/>
          <c:tx>
            <c:strRef>
              <c:f>Analysis!$J$140</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2020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HRP!$E$84</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1EBF-4789-9E46-E9F18BE014A2}"/>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D8CF-4086-B6C0-F5EE5BBAE991}"/>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D8CF-4086-B6C0-F5EE5BBAE991}"/>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C-BA7A-4BCE-8C68-09FF36B7A6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HRP!$C$85:$C$89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HRP!$E$85:$E$89</c:f>
              <c:numCache>
                <c:formatCode>_(* #,##0_);_(* \(#,##0\);_(* "-"??_);_(@_)</c:formatCode>
                <c:ptCount val="5"/>
                <c:pt idx="0">
                  <c:v>19956</c:v>
                </c:pt>
                <c:pt idx="1">
                  <c:v>54</c:v>
                </c:pt>
                <c:pt idx="2">
                  <c:v>72570</c:v>
                </c:pt>
                <c:pt idx="3">
                  <c:v>67407</c:v>
                </c:pt>
                <c:pt idx="4">
                  <c:v>65112.140740740746</c:v>
                </c:pt>
              </c:numCache>
            </c:numRef>
          </c:val>
          <c:extLst>
            <c:ext xmlns:c16="http://schemas.microsoft.com/office/drawing/2014/chart" uri="{C3380CC4-5D6E-409C-BE32-E72D297353CC}">
              <c16:uniqueId val="{00000008-E8A8-4037-987C-1EFA4CA8A785}"/>
            </c:ext>
          </c:extLst>
        </c:ser>
        <c:ser>
          <c:idx val="1"/>
          <c:order val="1"/>
          <c:tx>
            <c:strRef>
              <c:f>HRP!$F$84</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9-1EBF-4789-9E46-E9F18BE014A2}"/>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E8A8-4037-987C-1EFA4CA8A785}"/>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8CF-4086-B6C0-F5EE5BBAE991}"/>
              </c:ext>
            </c:extLst>
          </c:dPt>
          <c:dLbls>
            <c:dLbl>
              <c:idx val="4"/>
              <c:layout>
                <c:manualLayout>
                  <c:x val="1.6660959959908744E-3"/>
                  <c:y val="2.975463205820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CF-4086-B6C0-F5EE5BBAE99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HRP!$C$85:$C$89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HRP!$F$85:$F$89</c:f>
              <c:numCache>
                <c:formatCode>_(* #,##0_);_(* \(#,##0\);_(* "-"??_);_(@_)</c:formatCode>
                <c:ptCount val="5"/>
                <c:pt idx="1">
                  <c:v>11145</c:v>
                </c:pt>
                <c:pt idx="2">
                  <c:v>13368</c:v>
                </c:pt>
                <c:pt idx="3">
                  <c:v>18531</c:v>
                </c:pt>
                <c:pt idx="4">
                  <c:v>20825.859259259254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Analysis!$J$141</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Analysis!$K$141:$L$141</c15:sqref>
                  </c15:fullRef>
                </c:ext>
              </c:extLst>
              <c:f>Analysis!$K$141</c:f>
              <c:numCache>
                <c:formatCode>General</c:formatCode>
                <c:ptCount val="1"/>
                <c:pt idx="0" formatCode="_(* #,##0_);_(* \(#,##0\);_(* &quot;-&quot;??_);_(@_)">
                  <c:v>66</c:v>
                </c:pt>
              </c:numCache>
            </c:numRef>
          </c:val>
          <c:extLst>
            <c:ext xmlns:c16="http://schemas.microsoft.com/office/drawing/2014/chart" uri="{C3380CC4-5D6E-409C-BE32-E72D297353CC}">
              <c16:uniqueId val="{00000000-56C5-41B0-B00A-3A7F63BCC9E4}"/>
            </c:ext>
          </c:extLst>
        </c:ser>
        <c:ser>
          <c:idx val="1"/>
          <c:order val="1"/>
          <c:tx>
            <c:strRef>
              <c:f>Analysis!$J$142</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Analysis!$K$142:$L$142</c15:sqref>
                  </c15:fullRef>
                </c:ext>
              </c:extLst>
              <c:f>Analysis!$K$142</c:f>
              <c:numCache>
                <c:formatCode>General</c:formatCode>
                <c:ptCount val="1"/>
                <c:pt idx="0" formatCode="_(* #,##0_);_(* \(#,##0\);_(* &quot;-&quot;??_);_(@_)">
                  <c:v>912</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Analysis!$J$143</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Analysis!$K$143:$L$143</c15:sqref>
                  </c15:fullRef>
                </c:ext>
              </c:extLst>
              <c:f>Analysis!$K$143</c:f>
              <c:numCache>
                <c:formatCode>General</c:formatCode>
                <c:ptCount val="1"/>
                <c:pt idx="0" formatCode="_(* #,##0_);_(* \(#,##0\);_(* &quot;-&quot;??_);_(@_)">
                  <c:v>37</c:v>
                </c:pt>
              </c:numCache>
            </c:numRef>
          </c:val>
          <c:extLst>
            <c:ext xmlns:c16="http://schemas.microsoft.com/office/drawing/2014/chart" uri="{C3380CC4-5D6E-409C-BE32-E72D297353CC}">
              <c16:uniqueId val="{00000000-33CE-4B6D-9AB7-C8657740D81A}"/>
            </c:ext>
          </c:extLst>
        </c:ser>
        <c:ser>
          <c:idx val="1"/>
          <c:order val="1"/>
          <c:tx>
            <c:strRef>
              <c:f>Analysis!$J$144</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Analysis!$K$144:$L$144</c15:sqref>
                  </c15:fullRef>
                </c:ext>
              </c:extLst>
              <c:f>Analysis!$K$144</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Analysis!$N$137:$N$138</c:f>
              <c:strCache>
                <c:ptCount val="2"/>
                <c:pt idx="0">
                  <c:v>Functioning</c:v>
                </c:pt>
                <c:pt idx="1">
                  <c:v>Not_Functioning</c:v>
                </c:pt>
              </c:strCache>
            </c:strRef>
          </c:cat>
          <c:val>
            <c:numRef>
              <c:f>Analysis!$O$137:$O$138</c:f>
              <c:numCache>
                <c:formatCode>_(* #,##0_);_(* \(#,##0\);_(* "-"??_);_(@_)</c:formatCode>
                <c:ptCount val="2"/>
                <c:pt idx="0">
                  <c:v>978</c:v>
                </c:pt>
                <c:pt idx="1">
                  <c:v>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70B3-445E-A388-5E77EED1F4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Analysis!$D$384:$H$384</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Analysis!$D$385:$H$385</c:f>
              <c:numCache>
                <c:formatCode>_(* #,##0_);_(* \(#,##0\);_(* "-"??_);_(@_)</c:formatCode>
                <c:ptCount val="5"/>
                <c:pt idx="0">
                  <c:v>51</c:v>
                </c:pt>
                <c:pt idx="1">
                  <c:v>195</c:v>
                </c:pt>
                <c:pt idx="2">
                  <c:v>9</c:v>
                </c:pt>
                <c:pt idx="3">
                  <c:v>388</c:v>
                </c:pt>
                <c:pt idx="4">
                  <c:v>28</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BE-4717-BF40-158A90D20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Analysis!$D$384:$H$384</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Analysis!$D$386:$H$386</c:f>
              <c:numCache>
                <c:formatCode>_(* #,##0_);_(* \(#,##0\);_(* "-"??_);_(@_)</c:formatCode>
                <c:ptCount val="5"/>
                <c:pt idx="0">
                  <c:v>18</c:v>
                </c:pt>
                <c:pt idx="1">
                  <c:v>25</c:v>
                </c:pt>
                <c:pt idx="2">
                  <c:v>0</c:v>
                </c:pt>
                <c:pt idx="3">
                  <c:v>12</c:v>
                </c:pt>
                <c:pt idx="4">
                  <c:v>5</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Analysis!$D$302:$D$303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Analysis!$C$304:$C$313</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Analysis!$D$304:$D$313</c:f>
              <c:numCache>
                <c:formatCode>General</c:formatCode>
                <c:ptCount val="8"/>
                <c:pt idx="0">
                  <c:v>1</c:v>
                </c:pt>
                <c:pt idx="1">
                  <c:v>110</c:v>
                </c:pt>
                <c:pt idx="2">
                  <c:v>6</c:v>
                </c:pt>
                <c:pt idx="3">
                  <c:v>1</c:v>
                </c:pt>
                <c:pt idx="4">
                  <c:v>10</c:v>
                </c:pt>
                <c:pt idx="5">
                  <c:v>9</c:v>
                </c:pt>
                <c:pt idx="6">
                  <c:v>1</c:v>
                </c:pt>
                <c:pt idx="7">
                  <c:v>3</c:v>
                </c:pt>
              </c:numCache>
            </c:numRef>
          </c:val>
          <c:extLst>
            <c:ext xmlns:c16="http://schemas.microsoft.com/office/drawing/2014/chart" uri="{C3380CC4-5D6E-409C-BE32-E72D297353CC}">
              <c16:uniqueId val="{00000000-92B5-41D7-AC58-F92DE455E85E}"/>
            </c:ext>
          </c:extLst>
        </c:ser>
        <c:ser>
          <c:idx val="1"/>
          <c:order val="1"/>
          <c:tx>
            <c:strRef>
              <c:f>Analysis!$E$302:$E$303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Analysis!$C$304:$C$313</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Analysis!$E$304:$E$313</c:f>
              <c:numCache>
                <c:formatCode>General</c:formatCode>
                <c:ptCount val="8"/>
                <c:pt idx="0">
                  <c:v>2</c:v>
                </c:pt>
                <c:pt idx="1">
                  <c:v>4</c:v>
                </c:pt>
                <c:pt idx="2">
                  <c:v>8</c:v>
                </c:pt>
                <c:pt idx="3">
                  <c:v>9</c:v>
                </c:pt>
              </c:numCache>
            </c:numRef>
          </c:val>
          <c:extLst>
            <c:ext xmlns:c16="http://schemas.microsoft.com/office/drawing/2014/chart" uri="{C3380CC4-5D6E-409C-BE32-E72D297353CC}">
              <c16:uniqueId val="{00000001-92B5-41D7-AC58-F92DE455E85E}"/>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Analysis!$I$303:$I$304</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Analysis!$H$305:$H$306</c:f>
              <c:strCache>
                <c:ptCount val="2"/>
                <c:pt idx="0">
                  <c:v>Camp</c:v>
                </c:pt>
                <c:pt idx="1">
                  <c:v>Camp_not registered</c:v>
                </c:pt>
              </c:strCache>
            </c:strRef>
          </c:cat>
          <c:val>
            <c:numRef>
              <c:f>Analysis!$I$305:$I$306</c:f>
              <c:numCache>
                <c:formatCode>General</c:formatCode>
                <c:ptCount val="2"/>
                <c:pt idx="0">
                  <c:v>32</c:v>
                </c:pt>
                <c:pt idx="1">
                  <c:v>2</c:v>
                </c:pt>
              </c:numCache>
            </c:numRef>
          </c:val>
          <c:extLst>
            <c:ext xmlns:c16="http://schemas.microsoft.com/office/drawing/2014/chart" uri="{C3380CC4-5D6E-409C-BE32-E72D297353CC}">
              <c16:uniqueId val="{00000000-88FB-40CA-B610-17C96A0298EB}"/>
            </c:ext>
          </c:extLst>
        </c:ser>
        <c:ser>
          <c:idx val="1"/>
          <c:order val="1"/>
          <c:tx>
            <c:strRef>
              <c:f>Analysis!$J$303:$J$304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Analysis!$H$305:$H$306</c:f>
              <c:strCache>
                <c:ptCount val="2"/>
                <c:pt idx="0">
                  <c:v>Camp</c:v>
                </c:pt>
                <c:pt idx="1">
                  <c:v>Camp_not registered</c:v>
                </c:pt>
              </c:strCache>
            </c:strRef>
          </c:cat>
          <c:val>
            <c:numRef>
              <c:f>Analysis!$J$305:$J$306</c:f>
              <c:numCache>
                <c:formatCode>General</c:formatCode>
                <c:ptCount val="2"/>
                <c:pt idx="0">
                  <c:v>1</c:v>
                </c:pt>
              </c:numCache>
            </c:numRef>
          </c:val>
          <c:extLst>
            <c:ext xmlns:c16="http://schemas.microsoft.com/office/drawing/2014/chart" uri="{C3380CC4-5D6E-409C-BE32-E72D297353CC}">
              <c16:uniqueId val="{00000001-88FB-40CA-B610-17C96A0298EB}"/>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3356010474819294"/>
          <c:h val="0.14198235491853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Analysis!$C$88</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Analysis!$B$89:$B$101</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Analysis!$C$89:$C$101</c:f>
              <c:numCache>
                <c:formatCode>0%</c:formatCode>
                <c:ptCount val="13"/>
                <c:pt idx="0">
                  <c:v>0.98362704661917255</c:v>
                </c:pt>
                <c:pt idx="1">
                  <c:v>8.8918528398355012E-2</c:v>
                </c:pt>
                <c:pt idx="2">
                  <c:v>0.76930272108843545</c:v>
                </c:pt>
                <c:pt idx="3">
                  <c:v>0.54488405908012549</c:v>
                </c:pt>
                <c:pt idx="4">
                  <c:v>0.94938440492476062</c:v>
                </c:pt>
                <c:pt idx="5">
                  <c:v>0.57692307692307687</c:v>
                </c:pt>
                <c:pt idx="6">
                  <c:v>0.45980770181422714</c:v>
                </c:pt>
                <c:pt idx="7">
                  <c:v>0.92189086880251137</c:v>
                </c:pt>
                <c:pt idx="8">
                  <c:v>1</c:v>
                </c:pt>
                <c:pt idx="9">
                  <c:v>0.6589716684155299</c:v>
                </c:pt>
                <c:pt idx="10">
                  <c:v>0.15290519877675843</c:v>
                </c:pt>
                <c:pt idx="11">
                  <c:v>0.7807017543859649</c:v>
                </c:pt>
                <c:pt idx="12">
                  <c:v>0.46002381886172272</c:v>
                </c:pt>
              </c:numCache>
            </c:numRef>
          </c:val>
          <c:extLst>
            <c:ext xmlns:c16="http://schemas.microsoft.com/office/drawing/2014/chart" uri="{C3380CC4-5D6E-409C-BE32-E72D297353CC}">
              <c16:uniqueId val="{00000000-D12F-4815-AFDD-BEB74A02743B}"/>
            </c:ext>
          </c:extLst>
        </c:ser>
        <c:ser>
          <c:idx val="1"/>
          <c:order val="1"/>
          <c:tx>
            <c:strRef>
              <c:f>Analysis!$D$88</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Analysis!$B$89:$B$101</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Analysis!$D$89:$D$101</c:f>
              <c:numCache>
                <c:formatCode>0%</c:formatCode>
                <c:ptCount val="13"/>
                <c:pt idx="0">
                  <c:v>1.6372953380827449E-2</c:v>
                </c:pt>
                <c:pt idx="1">
                  <c:v>0.91108147160164499</c:v>
                </c:pt>
                <c:pt idx="2">
                  <c:v>0.23069727891156455</c:v>
                </c:pt>
                <c:pt idx="3">
                  <c:v>0.45511594091987451</c:v>
                </c:pt>
                <c:pt idx="4">
                  <c:v>5.0615595075239384E-2</c:v>
                </c:pt>
                <c:pt idx="5">
                  <c:v>0.42307692307692313</c:v>
                </c:pt>
                <c:pt idx="6">
                  <c:v>0.54019229818577286</c:v>
                </c:pt>
                <c:pt idx="7">
                  <c:v>7.8109131197488635E-2</c:v>
                </c:pt>
                <c:pt idx="8">
                  <c:v>0</c:v>
                </c:pt>
                <c:pt idx="9">
                  <c:v>0.3410283315844701</c:v>
                </c:pt>
                <c:pt idx="10">
                  <c:v>0.84709480122324154</c:v>
                </c:pt>
                <c:pt idx="11">
                  <c:v>0.2192982456140351</c:v>
                </c:pt>
                <c:pt idx="12">
                  <c:v>0.53997618113827728</c:v>
                </c:pt>
              </c:numCache>
            </c:numRef>
          </c:val>
          <c:extLst>
            <c:ext xmlns:c16="http://schemas.microsoft.com/office/drawing/2014/chart" uri="{C3380CC4-5D6E-409C-BE32-E72D297353CC}">
              <c16:uniqueId val="{00000001-D12F-4815-AFDD-BEB74A02743B}"/>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Analysis!$C$109</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Analysis!$B$110:$B$117</c:f>
              <c:strCache>
                <c:ptCount val="8"/>
                <c:pt idx="0">
                  <c:v>Hseni</c:v>
                </c:pt>
                <c:pt idx="1">
                  <c:v>Kutkai</c:v>
                </c:pt>
                <c:pt idx="2">
                  <c:v>Lashio</c:v>
                </c:pt>
                <c:pt idx="3">
                  <c:v>Manton</c:v>
                </c:pt>
                <c:pt idx="4">
                  <c:v>Muse</c:v>
                </c:pt>
                <c:pt idx="5">
                  <c:v>Namhkan</c:v>
                </c:pt>
                <c:pt idx="6">
                  <c:v>Namtu</c:v>
                </c:pt>
                <c:pt idx="7">
                  <c:v>Nawnghkio</c:v>
                </c:pt>
              </c:strCache>
            </c:strRef>
          </c:cat>
          <c:val>
            <c:numRef>
              <c:f>Analysis!$C$110:$C$117</c:f>
              <c:numCache>
                <c:formatCode>0%</c:formatCode>
                <c:ptCount val="8"/>
                <c:pt idx="0">
                  <c:v>1</c:v>
                </c:pt>
                <c:pt idx="1">
                  <c:v>0.38866239565132987</c:v>
                </c:pt>
                <c:pt idx="2">
                  <c:v>1</c:v>
                </c:pt>
                <c:pt idx="3">
                  <c:v>1</c:v>
                </c:pt>
                <c:pt idx="4">
                  <c:v>0.17091454272863568</c:v>
                </c:pt>
                <c:pt idx="5">
                  <c:v>0.55970515970515966</c:v>
                </c:pt>
                <c:pt idx="6">
                  <c:v>0.83819325328759298</c:v>
                </c:pt>
                <c:pt idx="7">
                  <c:v>0</c:v>
                </c:pt>
              </c:numCache>
            </c:numRef>
          </c:val>
          <c:extLst>
            <c:ext xmlns:c16="http://schemas.microsoft.com/office/drawing/2014/chart" uri="{C3380CC4-5D6E-409C-BE32-E72D297353CC}">
              <c16:uniqueId val="{00000000-6EEC-4023-8205-DD76EC830A22}"/>
            </c:ext>
          </c:extLst>
        </c:ser>
        <c:ser>
          <c:idx val="1"/>
          <c:order val="1"/>
          <c:tx>
            <c:strRef>
              <c:f>Analysis!$D$109</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Analysis!$B$110:$B$117</c:f>
              <c:strCache>
                <c:ptCount val="8"/>
                <c:pt idx="0">
                  <c:v>Hseni</c:v>
                </c:pt>
                <c:pt idx="1">
                  <c:v>Kutkai</c:v>
                </c:pt>
                <c:pt idx="2">
                  <c:v>Lashio</c:v>
                </c:pt>
                <c:pt idx="3">
                  <c:v>Manton</c:v>
                </c:pt>
                <c:pt idx="4">
                  <c:v>Muse</c:v>
                </c:pt>
                <c:pt idx="5">
                  <c:v>Namhkan</c:v>
                </c:pt>
                <c:pt idx="6">
                  <c:v>Namtu</c:v>
                </c:pt>
                <c:pt idx="7">
                  <c:v>Nawnghkio</c:v>
                </c:pt>
              </c:strCache>
            </c:strRef>
          </c:cat>
          <c:val>
            <c:numRef>
              <c:f>Analysis!$D$110:$D$117</c:f>
              <c:numCache>
                <c:formatCode>0%</c:formatCode>
                <c:ptCount val="8"/>
                <c:pt idx="0">
                  <c:v>0</c:v>
                </c:pt>
                <c:pt idx="1">
                  <c:v>0.61133760434867013</c:v>
                </c:pt>
                <c:pt idx="2">
                  <c:v>0</c:v>
                </c:pt>
                <c:pt idx="3">
                  <c:v>0</c:v>
                </c:pt>
                <c:pt idx="4">
                  <c:v>0.82908545727136429</c:v>
                </c:pt>
                <c:pt idx="5">
                  <c:v>0.44029484029484034</c:v>
                </c:pt>
                <c:pt idx="6">
                  <c:v>0.16180674671240702</c:v>
                </c:pt>
                <c:pt idx="7">
                  <c:v>1</c:v>
                </c:pt>
              </c:numCache>
            </c:numRef>
          </c:val>
          <c:extLst>
            <c:ext xmlns:c16="http://schemas.microsoft.com/office/drawing/2014/chart" uri="{C3380CC4-5D6E-409C-BE32-E72D297353CC}">
              <c16:uniqueId val="{00000001-6EEC-4023-8205-DD76EC830A22}"/>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Analysis!$C$195</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Analysis!$B$196:$B$208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Analysis!$C$196:$C$208</c:f>
              <c:numCache>
                <c:formatCode>0%</c:formatCode>
                <c:ptCount val="13"/>
                <c:pt idx="0">
                  <c:v>0.63904511936008002</c:v>
                </c:pt>
                <c:pt idx="1">
                  <c:v>0.93431143714571518</c:v>
                </c:pt>
                <c:pt idx="2">
                  <c:v>0.97091836734693882</c:v>
                </c:pt>
                <c:pt idx="3">
                  <c:v>0.63985612611923171</c:v>
                </c:pt>
                <c:pt idx="4">
                  <c:v>0.77564979480164153</c:v>
                </c:pt>
                <c:pt idx="5">
                  <c:v>0.53146853146853146</c:v>
                </c:pt>
                <c:pt idx="6">
                  <c:v>0.5038929259973306</c:v>
                </c:pt>
                <c:pt idx="7">
                  <c:v>0.78395346690056322</c:v>
                </c:pt>
                <c:pt idx="8">
                  <c:v>0.83044982698961933</c:v>
                </c:pt>
                <c:pt idx="9">
                  <c:v>0.1888772298006296</c:v>
                </c:pt>
                <c:pt idx="10">
                  <c:v>1</c:v>
                </c:pt>
                <c:pt idx="11">
                  <c:v>0.4631578947368421</c:v>
                </c:pt>
                <c:pt idx="12">
                  <c:v>0.71669058609053182</c:v>
                </c:pt>
              </c:numCache>
            </c:numRef>
          </c:val>
          <c:extLst>
            <c:ext xmlns:c16="http://schemas.microsoft.com/office/drawing/2014/chart" uri="{C3380CC4-5D6E-409C-BE32-E72D297353CC}">
              <c16:uniqueId val="{00000000-F3F7-4B6A-9661-E72898A1304A}"/>
            </c:ext>
          </c:extLst>
        </c:ser>
        <c:ser>
          <c:idx val="1"/>
          <c:order val="1"/>
          <c:tx>
            <c:strRef>
              <c:f>Analysis!$D$195</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Analysis!$B$196:$B$208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Analysis!$D$196:$D$208</c:f>
              <c:numCache>
                <c:formatCode>0%</c:formatCode>
                <c:ptCount val="13"/>
                <c:pt idx="0">
                  <c:v>0.36095488063991998</c:v>
                </c:pt>
                <c:pt idx="1">
                  <c:v>6.5688562854284815E-2</c:v>
                </c:pt>
                <c:pt idx="2">
                  <c:v>2.9081632653061185E-2</c:v>
                </c:pt>
                <c:pt idx="3">
                  <c:v>0.36014387388076829</c:v>
                </c:pt>
                <c:pt idx="4">
                  <c:v>0.22435020519835847</c:v>
                </c:pt>
                <c:pt idx="5">
                  <c:v>0.46853146853146854</c:v>
                </c:pt>
                <c:pt idx="6">
                  <c:v>0.4961070740026694</c:v>
                </c:pt>
                <c:pt idx="7">
                  <c:v>0.21604653309943678</c:v>
                </c:pt>
                <c:pt idx="8">
                  <c:v>0.16955017301038067</c:v>
                </c:pt>
                <c:pt idx="9">
                  <c:v>0.8111227701993704</c:v>
                </c:pt>
                <c:pt idx="10">
                  <c:v>0</c:v>
                </c:pt>
                <c:pt idx="11">
                  <c:v>0.5368421052631579</c:v>
                </c:pt>
                <c:pt idx="12">
                  <c:v>0.28330941390946818</c:v>
                </c:pt>
              </c:numCache>
            </c:numRef>
          </c:val>
          <c:extLst>
            <c:ext xmlns:c16="http://schemas.microsoft.com/office/drawing/2014/chart" uri="{C3380CC4-5D6E-409C-BE32-E72D297353CC}">
              <c16:uniqueId val="{00000001-F3F7-4B6A-9661-E72898A1304A}"/>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 Number of ppl Covered against 2020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HRP!$E$99</c:f>
              <c:strCache>
                <c:ptCount val="1"/>
                <c:pt idx="0">
                  <c:v>Coverage</c:v>
                </c:pt>
              </c:strCache>
            </c:strRef>
          </c:tx>
          <c:spPr>
            <a:solidFill>
              <a:srgbClr val="0070C0"/>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6-9CB2-4CA1-B9B8-76D1655698A1}"/>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09E6-4F5D-98FA-85728048C34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HRP!$C$100:$C$103</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HRP!$E$100:$E$103</c:f>
              <c:numCache>
                <c:formatCode>_(* #,##0_);_(* \(#,##0\);_(* "-"??_);_(@_)</c:formatCode>
                <c:ptCount val="4"/>
                <c:pt idx="0">
                  <c:v>0</c:v>
                </c:pt>
                <c:pt idx="1">
                  <c:v>9304</c:v>
                </c:pt>
                <c:pt idx="2">
                  <c:v>10473</c:v>
                </c:pt>
                <c:pt idx="3">
                  <c:v>10873.333333333332</c:v>
                </c:pt>
              </c:numCache>
            </c:numRef>
          </c:val>
          <c:extLst>
            <c:ext xmlns:c16="http://schemas.microsoft.com/office/drawing/2014/chart" uri="{C3380CC4-5D6E-409C-BE32-E72D297353CC}">
              <c16:uniqueId val="{00000001-0CB7-4264-A3F9-A84426FA15A3}"/>
            </c:ext>
          </c:extLst>
        </c:ser>
        <c:ser>
          <c:idx val="1"/>
          <c:order val="1"/>
          <c:tx>
            <c:strRef>
              <c:f>HRP!$F$99</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E-9CB2-4CA1-B9B8-76D1655698A1}"/>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9CB2-4CA1-B9B8-76D1655698A1}"/>
              </c:ext>
            </c:extLst>
          </c:dPt>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9-09E6-4F5D-98FA-85728048C34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HRP!$C$100:$C$103</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HRP!$F$100:$F$103</c:f>
              <c:numCache>
                <c:formatCode>_(* #,##0_);_(* \(#,##0\);_(* "-"??_);_(@_)</c:formatCode>
                <c:ptCount val="4"/>
                <c:pt idx="0">
                  <c:v>2741</c:v>
                </c:pt>
                <c:pt idx="1">
                  <c:v>11729</c:v>
                </c:pt>
                <c:pt idx="2">
                  <c:v>10560</c:v>
                </c:pt>
                <c:pt idx="3">
                  <c:v>10159.666666666668</c:v>
                </c:pt>
              </c:numCache>
            </c:numRef>
          </c:val>
          <c:extLs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Analysis!$M$196</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Analysis!$L$197:$L$204</c:f>
              <c:strCache>
                <c:ptCount val="8"/>
                <c:pt idx="0">
                  <c:v>Hseni</c:v>
                </c:pt>
                <c:pt idx="1">
                  <c:v>Kutkai</c:v>
                </c:pt>
                <c:pt idx="2">
                  <c:v>Lashio</c:v>
                </c:pt>
                <c:pt idx="3">
                  <c:v>Manton</c:v>
                </c:pt>
                <c:pt idx="4">
                  <c:v>Muse</c:v>
                </c:pt>
                <c:pt idx="5">
                  <c:v>Namhkan</c:v>
                </c:pt>
                <c:pt idx="6">
                  <c:v>Namtu</c:v>
                </c:pt>
                <c:pt idx="7">
                  <c:v>Nawnghkio</c:v>
                </c:pt>
              </c:strCache>
            </c:strRef>
          </c:cat>
          <c:val>
            <c:numRef>
              <c:f>Analysis!$M$197:$M$204</c:f>
              <c:numCache>
                <c:formatCode>0%</c:formatCode>
                <c:ptCount val="8"/>
                <c:pt idx="0">
                  <c:v>1</c:v>
                </c:pt>
                <c:pt idx="1">
                  <c:v>0.91904484566103672</c:v>
                </c:pt>
                <c:pt idx="2">
                  <c:v>1</c:v>
                </c:pt>
                <c:pt idx="3">
                  <c:v>1</c:v>
                </c:pt>
                <c:pt idx="4">
                  <c:v>1</c:v>
                </c:pt>
                <c:pt idx="5">
                  <c:v>0.65454545454545454</c:v>
                </c:pt>
                <c:pt idx="6">
                  <c:v>0.99828473413379071</c:v>
                </c:pt>
                <c:pt idx="7">
                  <c:v>0</c:v>
                </c:pt>
              </c:numCache>
            </c:numRef>
          </c:val>
          <c:extLst>
            <c:ext xmlns:c16="http://schemas.microsoft.com/office/drawing/2014/chart" uri="{C3380CC4-5D6E-409C-BE32-E72D297353CC}">
              <c16:uniqueId val="{00000000-8A93-472E-B0AE-03CAE1AF3A8F}"/>
            </c:ext>
          </c:extLst>
        </c:ser>
        <c:ser>
          <c:idx val="1"/>
          <c:order val="1"/>
          <c:tx>
            <c:strRef>
              <c:f>Analysis!$N$196</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Analysis!$L$197:$L$204</c:f>
              <c:strCache>
                <c:ptCount val="8"/>
                <c:pt idx="0">
                  <c:v>Hseni</c:v>
                </c:pt>
                <c:pt idx="1">
                  <c:v>Kutkai</c:v>
                </c:pt>
                <c:pt idx="2">
                  <c:v>Lashio</c:v>
                </c:pt>
                <c:pt idx="3">
                  <c:v>Manton</c:v>
                </c:pt>
                <c:pt idx="4">
                  <c:v>Muse</c:v>
                </c:pt>
                <c:pt idx="5">
                  <c:v>Namhkan</c:v>
                </c:pt>
                <c:pt idx="6">
                  <c:v>Namtu</c:v>
                </c:pt>
                <c:pt idx="7">
                  <c:v>Nawnghkio</c:v>
                </c:pt>
              </c:strCache>
            </c:strRef>
          </c:cat>
          <c:val>
            <c:numRef>
              <c:f>Analysis!$N$197:$N$204</c:f>
              <c:numCache>
                <c:formatCode>0%</c:formatCode>
                <c:ptCount val="8"/>
                <c:pt idx="0">
                  <c:v>0</c:v>
                </c:pt>
                <c:pt idx="1">
                  <c:v>8.0955154338963276E-2</c:v>
                </c:pt>
                <c:pt idx="2">
                  <c:v>0</c:v>
                </c:pt>
                <c:pt idx="3">
                  <c:v>0</c:v>
                </c:pt>
                <c:pt idx="4">
                  <c:v>0</c:v>
                </c:pt>
                <c:pt idx="5">
                  <c:v>0.34545454545454546</c:v>
                </c:pt>
                <c:pt idx="6">
                  <c:v>1.7152658662092923E-3</c:v>
                </c:pt>
                <c:pt idx="7">
                  <c:v>1</c:v>
                </c:pt>
              </c:numCache>
            </c:numRef>
          </c:val>
          <c:extLst>
            <c:ext xmlns:c16="http://schemas.microsoft.com/office/drawing/2014/chart" uri="{C3380CC4-5D6E-409C-BE32-E72D297353CC}">
              <c16:uniqueId val="{00000001-8A93-472E-B0AE-03CAE1AF3A8F}"/>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Analysis!$C$275</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Analysis!$B$276:$B$288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Analysis!$C$276:$C$288</c:f>
              <c:numCache>
                <c:formatCode>0%</c:formatCode>
                <c:ptCount val="13"/>
                <c:pt idx="0">
                  <c:v>0.72390951131108616</c:v>
                </c:pt>
                <c:pt idx="1">
                  <c:v>0.63287762587529173</c:v>
                </c:pt>
                <c:pt idx="2">
                  <c:v>0.99642857142857144</c:v>
                </c:pt>
                <c:pt idx="3">
                  <c:v>0.68577332210912989</c:v>
                </c:pt>
                <c:pt idx="4">
                  <c:v>1</c:v>
                </c:pt>
                <c:pt idx="5">
                  <c:v>0.57692307692307687</c:v>
                </c:pt>
                <c:pt idx="6">
                  <c:v>0.68100252113302684</c:v>
                </c:pt>
                <c:pt idx="7">
                  <c:v>0.77582864001477236</c:v>
                </c:pt>
                <c:pt idx="8">
                  <c:v>1</c:v>
                </c:pt>
                <c:pt idx="9">
                  <c:v>0.17033927946834557</c:v>
                </c:pt>
                <c:pt idx="10">
                  <c:v>1</c:v>
                </c:pt>
                <c:pt idx="11">
                  <c:v>6.3157894736842107E-2</c:v>
                </c:pt>
                <c:pt idx="12">
                  <c:v>0.77576509832822627</c:v>
                </c:pt>
              </c:numCache>
            </c:numRef>
          </c:val>
          <c:extLst>
            <c:ext xmlns:c16="http://schemas.microsoft.com/office/drawing/2014/chart" uri="{C3380CC4-5D6E-409C-BE32-E72D297353CC}">
              <c16:uniqueId val="{00000000-F37A-4F40-A3F2-0691FFA2282D}"/>
            </c:ext>
          </c:extLst>
        </c:ser>
        <c:ser>
          <c:idx val="1"/>
          <c:order val="1"/>
          <c:tx>
            <c:strRef>
              <c:f>Analysis!$D$275</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Analysis!$B$276:$B$288</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Analysis!$D$276:$D$288</c:f>
              <c:numCache>
                <c:formatCode>0%</c:formatCode>
                <c:ptCount val="13"/>
                <c:pt idx="0">
                  <c:v>0.27609048868891384</c:v>
                </c:pt>
                <c:pt idx="1">
                  <c:v>0.36712237412470827</c:v>
                </c:pt>
                <c:pt idx="2">
                  <c:v>3.5714285714285587E-3</c:v>
                </c:pt>
                <c:pt idx="3">
                  <c:v>0.31422667789087011</c:v>
                </c:pt>
                <c:pt idx="4">
                  <c:v>0</c:v>
                </c:pt>
                <c:pt idx="5">
                  <c:v>0.42307692307692313</c:v>
                </c:pt>
                <c:pt idx="6">
                  <c:v>0.31899747886697316</c:v>
                </c:pt>
                <c:pt idx="7">
                  <c:v>0.22417135998522764</c:v>
                </c:pt>
                <c:pt idx="8">
                  <c:v>0</c:v>
                </c:pt>
                <c:pt idx="9">
                  <c:v>0.82966072053165441</c:v>
                </c:pt>
                <c:pt idx="10">
                  <c:v>0</c:v>
                </c:pt>
                <c:pt idx="11">
                  <c:v>0.93684210526315792</c:v>
                </c:pt>
                <c:pt idx="12">
                  <c:v>0.22423490167177373</c:v>
                </c:pt>
              </c:numCache>
            </c:numRef>
          </c:val>
          <c:extLst>
            <c:ext xmlns:c16="http://schemas.microsoft.com/office/drawing/2014/chart" uri="{C3380CC4-5D6E-409C-BE32-E72D297353CC}">
              <c16:uniqueId val="{00000001-F37A-4F40-A3F2-0691FFA2282D}"/>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Analysis!$L$274</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Analysis!$K$275:$K$282</c:f>
              <c:strCache>
                <c:ptCount val="8"/>
                <c:pt idx="0">
                  <c:v>Hseni</c:v>
                </c:pt>
                <c:pt idx="1">
                  <c:v>Kutkai</c:v>
                </c:pt>
                <c:pt idx="2">
                  <c:v>Lashio</c:v>
                </c:pt>
                <c:pt idx="3">
                  <c:v>Manton</c:v>
                </c:pt>
                <c:pt idx="4">
                  <c:v>Muse</c:v>
                </c:pt>
                <c:pt idx="5">
                  <c:v>Namhkan</c:v>
                </c:pt>
                <c:pt idx="6">
                  <c:v>Namtu</c:v>
                </c:pt>
                <c:pt idx="7">
                  <c:v>Nawnghkio</c:v>
                </c:pt>
              </c:strCache>
            </c:strRef>
          </c:cat>
          <c:val>
            <c:numRef>
              <c:f>Analysis!$L$275:$L$282</c:f>
              <c:numCache>
                <c:formatCode>0%</c:formatCode>
                <c:ptCount val="8"/>
                <c:pt idx="0">
                  <c:v>1</c:v>
                </c:pt>
                <c:pt idx="1">
                  <c:v>0.91574451562803338</c:v>
                </c:pt>
                <c:pt idx="2">
                  <c:v>1</c:v>
                </c:pt>
                <c:pt idx="3">
                  <c:v>1</c:v>
                </c:pt>
                <c:pt idx="4">
                  <c:v>1</c:v>
                </c:pt>
                <c:pt idx="5">
                  <c:v>0.53448275862068961</c:v>
                </c:pt>
                <c:pt idx="6">
                  <c:v>0.98835274542429286</c:v>
                </c:pt>
                <c:pt idx="7">
                  <c:v>0</c:v>
                </c:pt>
              </c:numCache>
            </c:numRef>
          </c:val>
          <c:extLst>
            <c:ext xmlns:c16="http://schemas.microsoft.com/office/drawing/2014/chart" uri="{C3380CC4-5D6E-409C-BE32-E72D297353CC}">
              <c16:uniqueId val="{00000000-E7B7-4475-AD1A-8EE578C36BFA}"/>
            </c:ext>
          </c:extLst>
        </c:ser>
        <c:ser>
          <c:idx val="1"/>
          <c:order val="1"/>
          <c:tx>
            <c:strRef>
              <c:f>Analysis!$M$274</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Analysis!$K$275:$K$282</c:f>
              <c:strCache>
                <c:ptCount val="8"/>
                <c:pt idx="0">
                  <c:v>Hseni</c:v>
                </c:pt>
                <c:pt idx="1">
                  <c:v>Kutkai</c:v>
                </c:pt>
                <c:pt idx="2">
                  <c:v>Lashio</c:v>
                </c:pt>
                <c:pt idx="3">
                  <c:v>Manton</c:v>
                </c:pt>
                <c:pt idx="4">
                  <c:v>Muse</c:v>
                </c:pt>
                <c:pt idx="5">
                  <c:v>Namhkan</c:v>
                </c:pt>
                <c:pt idx="6">
                  <c:v>Namtu</c:v>
                </c:pt>
                <c:pt idx="7">
                  <c:v>Nawnghkio</c:v>
                </c:pt>
              </c:strCache>
            </c:strRef>
          </c:cat>
          <c:val>
            <c:numRef>
              <c:f>Analysis!$M$275:$M$282</c:f>
              <c:numCache>
                <c:formatCode>0%</c:formatCode>
                <c:ptCount val="8"/>
                <c:pt idx="0">
                  <c:v>0</c:v>
                </c:pt>
                <c:pt idx="1">
                  <c:v>8.4255484371966616E-2</c:v>
                </c:pt>
                <c:pt idx="2">
                  <c:v>0</c:v>
                </c:pt>
                <c:pt idx="3">
                  <c:v>0</c:v>
                </c:pt>
                <c:pt idx="4">
                  <c:v>0</c:v>
                </c:pt>
                <c:pt idx="5">
                  <c:v>0.46551724137931039</c:v>
                </c:pt>
                <c:pt idx="6">
                  <c:v>1.1647254575707144E-2</c:v>
                </c:pt>
                <c:pt idx="7">
                  <c:v>1</c:v>
                </c:pt>
              </c:numCache>
            </c:numRef>
          </c:val>
          <c:extLst>
            <c:ext xmlns:c16="http://schemas.microsoft.com/office/drawing/2014/chart" uri="{C3380CC4-5D6E-409C-BE32-E72D297353CC}">
              <c16:uniqueId val="{00000001-E7B7-4475-AD1A-8EE578C36BFA}"/>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55954007876078549"/>
          <c:h val="7.30786252984311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strRef>
          </c:cat>
          <c:val>
            <c:numRef>
              <c:f>Analysis!$J$61:$K$61</c:f>
              <c:numCache>
                <c:formatCode>0</c:formatCode>
                <c:ptCount val="2"/>
                <c:pt idx="0" formatCode="General">
                  <c:v>28</c:v>
                </c:pt>
                <c:pt idx="1">
                  <c:v>111</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Analysis!$J$62:$K$62</c15:sqref>
                        </c15:formulaRef>
                      </c:ext>
                    </c:extLst>
                    <c:numCache>
                      <c:formatCode>0</c:formatCode>
                      <c:ptCount val="2"/>
                      <c:pt idx="0" formatCode="General">
                        <c:v>0</c:v>
                      </c:pt>
                      <c:pt idx="1">
                        <c:v>34</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extLst xmlns:c15="http://schemas.microsoft.com/office/drawing/2012/chart"/>
            </c:strRef>
          </c:cat>
          <c:val>
            <c:numRef>
              <c:f>Analysis!$J$62:$K$62</c:f>
              <c:numCache>
                <c:formatCode>0</c:formatCode>
                <c:ptCount val="2"/>
                <c:pt idx="0" formatCode="General">
                  <c:v>0</c:v>
                </c:pt>
                <c:pt idx="1">
                  <c:v>34</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Analysis!$H$61</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Analysis!$J$61:$K$61</c15:sqref>
                        </c15:formulaRef>
                      </c:ext>
                    </c:extLst>
                    <c:numCache>
                      <c:formatCode>0</c:formatCode>
                      <c:ptCount val="2"/>
                      <c:pt idx="0" formatCode="General">
                        <c:v>28</c:v>
                      </c:pt>
                      <c:pt idx="1">
                        <c:v>111</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Analysis!$H$61:$H$62</c:f>
              <c:strCache>
                <c:ptCount val="2"/>
                <c:pt idx="0">
                  <c:v>Kachin</c:v>
                </c:pt>
                <c:pt idx="1">
                  <c:v>Shan (North)</c:v>
                </c:pt>
              </c:strCache>
            </c:strRef>
          </c:cat>
          <c:val>
            <c:numRef>
              <c:extLst>
                <c:ext xmlns:c15="http://schemas.microsoft.com/office/drawing/2012/chart" uri="{02D57815-91ED-43cb-92C2-25804820EDAC}">
                  <c15:fullRef>
                    <c15:sqref>Analysis!$L$61:$L$63</c15:sqref>
                  </c15:fullRef>
                </c:ext>
              </c:extLst>
              <c:f>Analysis!$L$61:$L$62</c:f>
              <c:numCache>
                <c:formatCode>General</c:formatCode>
                <c:ptCount val="2"/>
                <c:pt idx="0">
                  <c:v>180</c:v>
                </c:pt>
                <c:pt idx="1">
                  <c:v>0</c:v>
                </c:pt>
              </c:numCache>
            </c:numRef>
          </c:val>
          <c:extLst>
            <c:ext xmlns:c16="http://schemas.microsoft.com/office/drawing/2014/chart" uri="{C3380CC4-5D6E-409C-BE32-E72D297353CC}">
              <c16:uniqueId val="{00000000-F935-4EB7-A6DD-5FF2CD715C68}"/>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Analysis!$H$61:$H$62</c:f>
              <c:strCache>
                <c:ptCount val="2"/>
                <c:pt idx="0">
                  <c:v>Kachin</c:v>
                </c:pt>
                <c:pt idx="1">
                  <c:v>Shan (North)</c:v>
                </c:pt>
              </c:strCache>
            </c:strRef>
          </c:cat>
          <c:val>
            <c:numRef>
              <c:extLst>
                <c:ext xmlns:c15="http://schemas.microsoft.com/office/drawing/2012/chart" uri="{02D57815-91ED-43cb-92C2-25804820EDAC}">
                  <c15:fullRef>
                    <c15:sqref>Analysis!$M$61:$M$63</c15:sqref>
                  </c15:fullRef>
                </c:ext>
              </c:extLst>
              <c:f>Analysis!$M$61:$M$62</c:f>
              <c:numCache>
                <c:formatCode>General</c:formatCode>
                <c:ptCount val="2"/>
                <c:pt idx="0">
                  <c:v>96</c:v>
                </c:pt>
                <c:pt idx="1">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strRef>
          </c:cat>
          <c:val>
            <c:numRef>
              <c:f>Analysis!$X$61:$Y$61</c:f>
              <c:numCache>
                <c:formatCode>General</c:formatCode>
                <c:ptCount val="2"/>
                <c:pt idx="0">
                  <c:v>25</c:v>
                </c:pt>
                <c:pt idx="1">
                  <c:v>114</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Analysis!$X$62:$Y$62</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extLst xmlns:c15="http://schemas.microsoft.com/office/drawing/2012/chart"/>
            </c:strRef>
          </c:cat>
          <c:val>
            <c:numRef>
              <c:f>Analysis!$X$62:$Y$62</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Analysis!$V$61</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Analysis!$X$61:$Y$61</c15:sqref>
                        </c15:formulaRef>
                      </c:ext>
                    </c:extLst>
                    <c:numCache>
                      <c:formatCode>General</c:formatCode>
                      <c:ptCount val="2"/>
                      <c:pt idx="0">
                        <c:v>25</c:v>
                      </c:pt>
                      <c:pt idx="1">
                        <c:v>114</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Analysis!$V$61:$V$62</c:f>
              <c:strCache>
                <c:ptCount val="2"/>
                <c:pt idx="0">
                  <c:v>Kachin</c:v>
                </c:pt>
                <c:pt idx="1">
                  <c:v>Shan (North)</c:v>
                </c:pt>
              </c:strCache>
            </c:strRef>
          </c:cat>
          <c:val>
            <c:numRef>
              <c:extLst>
                <c:ext xmlns:c15="http://schemas.microsoft.com/office/drawing/2012/chart" uri="{02D57815-91ED-43cb-92C2-25804820EDAC}">
                  <c15:fullRef>
                    <c15:sqref>Analysis!$Z$61:$Z$63</c15:sqref>
                  </c15:fullRef>
                </c:ext>
              </c:extLst>
              <c:f>Analysis!$Z$61:$Z$62</c:f>
              <c:numCache>
                <c:formatCode>General</c:formatCode>
                <c:ptCount val="2"/>
                <c:pt idx="0">
                  <c:v>585</c:v>
                </c:pt>
                <c:pt idx="1">
                  <c:v>0</c:v>
                </c:pt>
              </c:numCache>
            </c:numRef>
          </c:val>
          <c:extLst>
            <c:ext xmlns:c16="http://schemas.microsoft.com/office/drawing/2014/chart" uri="{C3380CC4-5D6E-409C-BE32-E72D297353CC}">
              <c16:uniqueId val="{00000000-A528-4231-8455-2E23C4C4DBA8}"/>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Analysis!$V$61:$V$62</c:f>
              <c:strCache>
                <c:ptCount val="2"/>
                <c:pt idx="0">
                  <c:v>Kachin</c:v>
                </c:pt>
                <c:pt idx="1">
                  <c:v>Shan (North)</c:v>
                </c:pt>
              </c:strCache>
            </c:strRef>
          </c:cat>
          <c:val>
            <c:numRef>
              <c:extLst>
                <c:ext xmlns:c15="http://schemas.microsoft.com/office/drawing/2012/chart" uri="{02D57815-91ED-43cb-92C2-25804820EDAC}">
                  <c15:fullRef>
                    <c15:sqref>Analysis!$AA$61:$AA$63</c15:sqref>
                  </c15:fullRef>
                </c:ext>
              </c:extLst>
              <c:f>Analysis!$AA$61:$AA$62</c:f>
              <c:numCache>
                <c:formatCode>General</c:formatCode>
                <c:ptCount val="2"/>
                <c:pt idx="0">
                  <c:v>303</c:v>
                </c:pt>
                <c:pt idx="1">
                  <c:v>0</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AAP - Partner reported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Analysis!$D$414</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Analysis!$C$415:$C$418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Analysis!$D$415:$D$418</c:f>
              <c:numCache>
                <c:formatCode>0%</c:formatCode>
                <c:ptCount val="4"/>
                <c:pt idx="0">
                  <c:v>0.34499999999999997</c:v>
                </c:pt>
                <c:pt idx="1">
                  <c:v>0.33499999999999991</c:v>
                </c:pt>
                <c:pt idx="2">
                  <c:v>0.10555555555555556</c:v>
                </c:pt>
                <c:pt idx="3">
                  <c:v>0.1859742408129505</c:v>
                </c:pt>
              </c:numCache>
            </c:numRef>
          </c:val>
          <c:extLst>
            <c:ext xmlns:c16="http://schemas.microsoft.com/office/drawing/2014/chart" uri="{C3380CC4-5D6E-409C-BE32-E72D297353CC}">
              <c16:uniqueId val="{00000000-E0F6-40C8-A5F1-E1EEC444C675}"/>
            </c:ext>
          </c:extLst>
        </c:ser>
        <c:ser>
          <c:idx val="1"/>
          <c:order val="1"/>
          <c:tx>
            <c:strRef>
              <c:f>Analysis!$E$414</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Analysis!$C$415:$C$418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Analysis!$E$415:$E$418</c:f>
              <c:numCache>
                <c:formatCode>0%</c:formatCode>
                <c:ptCount val="4"/>
                <c:pt idx="0">
                  <c:v>0.65500000000000003</c:v>
                </c:pt>
                <c:pt idx="1">
                  <c:v>0.66500000000000004</c:v>
                </c:pt>
                <c:pt idx="2">
                  <c:v>0.89444444444444449</c:v>
                </c:pt>
                <c:pt idx="3">
                  <c:v>0.81402575918704945</c:v>
                </c:pt>
              </c:numCache>
            </c:numRef>
          </c:val>
          <c:extLst>
            <c:ext xmlns:c16="http://schemas.microsoft.com/office/drawing/2014/chart" uri="{C3380CC4-5D6E-409C-BE32-E72D297353CC}">
              <c16:uniqueId val="{00000001-E0F6-40C8-A5F1-E1EEC444C675}"/>
            </c:ext>
          </c:extLst>
        </c:ser>
        <c:dLbls>
          <c:showLegendKey val="0"/>
          <c:showVal val="0"/>
          <c:showCatName val="0"/>
          <c:showSerName val="0"/>
          <c:showPercent val="0"/>
          <c:showBubbleSize val="0"/>
        </c:dLbls>
        <c:gapWidth val="150"/>
        <c:overlap val="100"/>
        <c:axId val="1104095023"/>
        <c:axId val="1048521743"/>
      </c:barChart>
      <c:catAx>
        <c:axId val="110409502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048521743"/>
        <c:crosses val="autoZero"/>
        <c:auto val="1"/>
        <c:lblAlgn val="ctr"/>
        <c:lblOffset val="100"/>
        <c:noMultiLvlLbl val="0"/>
      </c:catAx>
      <c:valAx>
        <c:axId val="10485217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04095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2020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(Non-IDP</a:t>
            </a:r>
            <a:r>
              <a:rPr lang="en-US" sz="1400" baseline="0"/>
              <a:t>)</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HRP!$S$67</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3FE3-484D-8596-F3C5C9549EEA}"/>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HRP!$Q$70:$Q$72</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HRP!$S$70:$S$72</c:f>
              <c:numCache>
                <c:formatCode>_(* #,##0_);_(* \(#,##0\);_(* "-"??_);_(@_)</c:formatCode>
                <c:ptCount val="3"/>
                <c:pt idx="0">
                  <c:v>44572</c:v>
                </c:pt>
                <c:pt idx="1">
                  <c:v>50805</c:v>
                </c:pt>
                <c:pt idx="2">
                  <c:v>138675</c:v>
                </c:pt>
              </c:numCache>
            </c:numRef>
          </c:val>
          <c:extLst>
            <c:ext xmlns:c16="http://schemas.microsoft.com/office/drawing/2014/chart" uri="{C3380CC4-5D6E-409C-BE32-E72D297353CC}">
              <c16:uniqueId val="{00000000-851F-45C7-9C99-A7FF6B6487FE}"/>
            </c:ext>
          </c:extLst>
        </c:ser>
        <c:ser>
          <c:idx val="1"/>
          <c:order val="1"/>
          <c:tx>
            <c:strRef>
              <c:f>HRP!$T$67</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3FE3-484D-8596-F3C5C9549EEA}"/>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HRP!$Q$70:$Q$72</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HRP!$T$70:$T$72</c:f>
              <c:numCache>
                <c:formatCode>_(* #,##0_);_(* \(#,##0\);_(* "-"??_);_(@_)</c:formatCode>
                <c:ptCount val="3"/>
                <c:pt idx="0">
                  <c:v>245260</c:v>
                </c:pt>
                <c:pt idx="1">
                  <c:v>239027</c:v>
                </c:pt>
                <c:pt idx="2">
                  <c:v>151157</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Analysis!$D$429</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B58-4EFD-AD23-E2957BBE8EE2}"/>
                </c:ext>
              </c:extLst>
            </c:dLbl>
            <c:dLbl>
              <c:idx val="3"/>
              <c:delete val="1"/>
              <c:extLst>
                <c:ext xmlns:c15="http://schemas.microsoft.com/office/drawing/2012/chart" uri="{CE6537A1-D6FC-4f65-9D91-7224C49458BB}"/>
                <c:ext xmlns:c16="http://schemas.microsoft.com/office/drawing/2014/chart" uri="{C3380CC4-5D6E-409C-BE32-E72D297353CC}">
                  <c16:uniqueId val="{00000003-3B58-4EFD-AD23-E2957BBE8EE2}"/>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Analysis!$C$430:$C$433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Analysis!$D$430:$D$433</c:f>
              <c:numCache>
                <c:formatCode>0%</c:formatCode>
                <c:ptCount val="4"/>
                <c:pt idx="0">
                  <c:v>0</c:v>
                </c:pt>
                <c:pt idx="1">
                  <c:v>0</c:v>
                </c:pt>
                <c:pt idx="2">
                  <c:v>0</c:v>
                </c:pt>
                <c:pt idx="3">
                  <c:v>0</c:v>
                </c:pt>
              </c:numCache>
            </c:numRef>
          </c:val>
          <c:extLst>
            <c:ext xmlns:c16="http://schemas.microsoft.com/office/drawing/2014/chart" uri="{C3380CC4-5D6E-409C-BE32-E72D297353CC}">
              <c16:uniqueId val="{00000000-3B58-4EFD-AD23-E2957BBE8EE2}"/>
            </c:ext>
          </c:extLst>
        </c:ser>
        <c:ser>
          <c:idx val="1"/>
          <c:order val="1"/>
          <c:tx>
            <c:strRef>
              <c:f>Analysis!$E$429</c:f>
              <c:strCache>
                <c:ptCount val="1"/>
                <c:pt idx="0">
                  <c:v>No</c:v>
                </c:pt>
              </c:strCache>
            </c:strRef>
          </c:tx>
          <c:spPr>
            <a:solidFill>
              <a:schemeClr val="accent4">
                <a:lumMod val="40000"/>
                <a:lumOff val="60000"/>
              </a:schemeClr>
            </a:solidFill>
            <a:ln>
              <a:noFill/>
            </a:ln>
            <a:effectLst/>
          </c:spPr>
          <c:invertIfNegative val="0"/>
          <c:dLbls>
            <c:delete val="1"/>
          </c:dLbls>
          <c:cat>
            <c:strRef>
              <c:f>Analysis!$C$430:$C$433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Analysis!$E$430:$E$433</c:f>
              <c:numCache>
                <c:formatCode>0%</c:formatCode>
                <c:ptCount val="4"/>
                <c:pt idx="0">
                  <c:v>1</c:v>
                </c:pt>
                <c:pt idx="1">
                  <c:v>1</c:v>
                </c:pt>
                <c:pt idx="2">
                  <c:v>1</c:v>
                </c:pt>
                <c:pt idx="3">
                  <c:v>1</c:v>
                </c:pt>
              </c:numCache>
            </c:numRef>
          </c:val>
          <c:extLst>
            <c:ext xmlns:c16="http://schemas.microsoft.com/office/drawing/2014/chart" uri="{C3380CC4-5D6E-409C-BE32-E72D297353CC}">
              <c16:uniqueId val="{00000001-3B58-4EFD-AD23-E2957BBE8EE2}"/>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Analysis!$H$247</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Analysis!$G$248:$G$249</c:f>
              <c:strCache>
                <c:ptCount val="2"/>
                <c:pt idx="0">
                  <c:v>GCA (25% of HH)</c:v>
                </c:pt>
                <c:pt idx="1">
                  <c:v>NGCA (100% HH)</c:v>
                </c:pt>
              </c:strCache>
            </c:strRef>
          </c:cat>
          <c:val>
            <c:numRef>
              <c:f>Analysis!$H$248:$H$249</c:f>
              <c:numCache>
                <c:formatCode>General</c:formatCode>
                <c:ptCount val="2"/>
                <c:pt idx="0">
                  <c:v>1248</c:v>
                </c:pt>
                <c:pt idx="1">
                  <c:v>3474</c:v>
                </c:pt>
              </c:numCache>
            </c:numRef>
          </c:val>
          <c:extLst>
            <c:ext xmlns:c16="http://schemas.microsoft.com/office/drawing/2014/chart" uri="{C3380CC4-5D6E-409C-BE32-E72D297353CC}">
              <c16:uniqueId val="{00000000-508F-4540-BAAC-3440C3BC2E85}"/>
            </c:ext>
          </c:extLst>
        </c:ser>
        <c:ser>
          <c:idx val="1"/>
          <c:order val="1"/>
          <c:tx>
            <c:strRef>
              <c:f>Analysis!$I$247</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Analysis!$G$248:$G$249</c:f>
              <c:strCache>
                <c:ptCount val="2"/>
                <c:pt idx="0">
                  <c:v>GCA (25% of HH)</c:v>
                </c:pt>
                <c:pt idx="1">
                  <c:v>NGCA (100% HH)</c:v>
                </c:pt>
              </c:strCache>
            </c:strRef>
          </c:cat>
          <c:val>
            <c:numRef>
              <c:f>Analysis!$I$248:$I$249</c:f>
              <c:numCache>
                <c:formatCode>0</c:formatCode>
                <c:ptCount val="2"/>
                <c:pt idx="0">
                  <c:v>1430.4499999999998</c:v>
                </c:pt>
                <c:pt idx="1">
                  <c:v>5088</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Analysis!$L$247</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Analysis!$K$248:$K$249</c:f>
              <c:strCache>
                <c:ptCount val="2"/>
                <c:pt idx="0">
                  <c:v>GCA</c:v>
                </c:pt>
                <c:pt idx="1">
                  <c:v>NGCA</c:v>
                </c:pt>
              </c:strCache>
            </c:strRef>
          </c:cat>
          <c:val>
            <c:numRef>
              <c:f>Analysis!$L$248:$L$249</c:f>
              <c:numCache>
                <c:formatCode>0</c:formatCode>
                <c:ptCount val="2"/>
                <c:pt idx="0">
                  <c:v>2268</c:v>
                </c:pt>
                <c:pt idx="1">
                  <c:v>2456</c:v>
                </c:pt>
              </c:numCache>
            </c:numRef>
          </c:val>
          <c:extLst>
            <c:ext xmlns:c16="http://schemas.microsoft.com/office/drawing/2014/chart" uri="{C3380CC4-5D6E-409C-BE32-E72D297353CC}">
              <c16:uniqueId val="{00000000-60D0-4AE6-A456-9C602536AFEE}"/>
            </c:ext>
          </c:extLst>
        </c:ser>
        <c:ser>
          <c:idx val="1"/>
          <c:order val="1"/>
          <c:tx>
            <c:strRef>
              <c:f>Analysis!$M$247</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Analysis!$K$248:$K$249</c:f>
              <c:strCache>
                <c:ptCount val="2"/>
                <c:pt idx="0">
                  <c:v>GCA</c:v>
                </c:pt>
                <c:pt idx="1">
                  <c:v>NGCA</c:v>
                </c:pt>
              </c:strCache>
            </c:strRef>
          </c:cat>
          <c:val>
            <c:numRef>
              <c:f>Analysis!$M$248:$M$249</c:f>
              <c:numCache>
                <c:formatCode>0</c:formatCode>
                <c:ptCount val="2"/>
                <c:pt idx="0">
                  <c:v>13593.839999999998</c:v>
                </c:pt>
                <c:pt idx="1">
                  <c:v>10185.969999999999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Analysis!$P$129:$P$130</c:f>
              <c:numCache>
                <c:formatCode>_(* #,##0_);_(* \(#,##0\);_(* "-"??_);_(@_)</c:formatCode>
                <c:ptCount val="2"/>
                <c:pt idx="0">
                  <c:v>38572</c:v>
                </c:pt>
                <c:pt idx="1">
                  <c:v>25447</c:v>
                </c:pt>
              </c:numCache>
            </c:numRef>
          </c:val>
          <c:extLst>
            <c:ext xmlns:c16="http://schemas.microsoft.com/office/drawing/2014/chart" uri="{C3380CC4-5D6E-409C-BE32-E72D297353CC}">
              <c16:uniqueId val="{00000000-7561-4605-9823-ADBB089B28B2}"/>
            </c:ext>
          </c:extLst>
        </c:ser>
        <c:ser>
          <c:idx val="1"/>
          <c:order val="1"/>
          <c:tx>
            <c:strRef>
              <c:f>Analysis!$Q$128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Analysis!$Q$129:$Q$130</c:f>
              <c:numCache>
                <c:formatCode>_(* #,##0_);_(* \(#,##0\);_(* "-"??_);_(@_)</c:formatCode>
                <c:ptCount val="2"/>
                <c:pt idx="0">
                  <c:v>16124</c:v>
                </c:pt>
                <c:pt idx="1">
                  <c:v>18146</c:v>
                </c:pt>
              </c:numCache>
            </c:numRef>
          </c:val>
          <c:extLst>
            <c:ext xmlns:c16="http://schemas.microsoft.com/office/drawing/2014/chart" uri="{C3380CC4-5D6E-409C-BE32-E72D297353CC}">
              <c16:uniqueId val="{00000001-7561-4605-9823-ADBB089B28B2}"/>
            </c:ext>
          </c:extLst>
        </c:ser>
        <c:dLbls>
          <c:showLegendKey val="0"/>
          <c:showVal val="0"/>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Analysis!$Y$129</c:f>
              <c:numCache>
                <c:formatCode>_(* #,##0_);_(* \(#,##0\);_(* "-"??_);_(@_)</c:formatCode>
                <c:ptCount val="1"/>
                <c:pt idx="0">
                  <c:v>7582</c:v>
                </c:pt>
              </c:numCache>
            </c:numRef>
          </c:val>
          <c:extLst>
            <c:ext xmlns:c16="http://schemas.microsoft.com/office/drawing/2014/chart" uri="{C3380CC4-5D6E-409C-BE32-E72D297353CC}">
              <c16:uniqueId val="{00000000-8E32-403A-9311-A4E75A3D8FF9}"/>
            </c:ext>
          </c:extLst>
        </c:ser>
        <c:ser>
          <c:idx val="1"/>
          <c:order val="1"/>
          <c:tx>
            <c:strRef>
              <c:f>Analysis!$Z$128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Analysis!$Z$129</c:f>
              <c:numCache>
                <c:formatCode>_(* #,##0_);_(* \(#,##0\);_(* "-"??_);_(@_)</c:formatCode>
                <c:ptCount val="1"/>
                <c:pt idx="0">
                  <c:v>1692</c:v>
                </c:pt>
              </c:numCache>
            </c:numRef>
          </c:val>
          <c:extLst>
            <c:ext xmlns:c16="http://schemas.microsoft.com/office/drawing/2014/chart" uri="{C3380CC4-5D6E-409C-BE32-E72D297353CC}">
              <c16:uniqueId val="{00000001-8E32-403A-9311-A4E75A3D8FF9}"/>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Dashboard'!$A$30:$B$54</c:f>
              <c:multiLvlStrCache>
                <c:ptCount val="22"/>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Lashio</c:v>
                  </c:pt>
                  <c:pt idx="17">
                    <c:v>Manton</c:v>
                  </c:pt>
                  <c:pt idx="18">
                    <c:v>Muse</c:v>
                  </c:pt>
                  <c:pt idx="19">
                    <c:v>Namhkan</c:v>
                  </c:pt>
                  <c:pt idx="20">
                    <c:v>Namtu</c:v>
                  </c:pt>
                  <c:pt idx="21">
                    <c:v>Nawnghkio</c:v>
                  </c:pt>
                </c:lvl>
                <c:lvl>
                  <c:pt idx="0">
                    <c:v>Kachin</c:v>
                  </c:pt>
                  <c:pt idx="13">
                    <c:v>Shan (North)</c:v>
                  </c:pt>
                </c:lvl>
              </c:multiLvlStrCache>
            </c:multiLvlStrRef>
          </c:cat>
          <c:val>
            <c:numRef>
              <c:f>'Quarterly Dashboard'!$C$30:$C$54</c:f>
              <c:numCache>
                <c:formatCode>General</c:formatCode>
                <c:ptCount val="22"/>
                <c:pt idx="0">
                  <c:v>27171</c:v>
                </c:pt>
                <c:pt idx="1">
                  <c:v>8958</c:v>
                </c:pt>
                <c:pt idx="2">
                  <c:v>12942</c:v>
                </c:pt>
                <c:pt idx="3">
                  <c:v>39861</c:v>
                </c:pt>
                <c:pt idx="4">
                  <c:v>4482</c:v>
                </c:pt>
                <c:pt idx="5">
                  <c:v>1410</c:v>
                </c:pt>
                <c:pt idx="6">
                  <c:v>86004</c:v>
                </c:pt>
                <c:pt idx="7">
                  <c:v>32840</c:v>
                </c:pt>
                <c:pt idx="8">
                  <c:v>1260</c:v>
                </c:pt>
                <c:pt idx="9">
                  <c:v>8182</c:v>
                </c:pt>
                <c:pt idx="10">
                  <c:v>3132</c:v>
                </c:pt>
                <c:pt idx="11">
                  <c:v>3531</c:v>
                </c:pt>
                <c:pt idx="12">
                  <c:v>83129</c:v>
                </c:pt>
                <c:pt idx="13">
                  <c:v>1095</c:v>
                </c:pt>
                <c:pt idx="14">
                  <c:v>360</c:v>
                </c:pt>
                <c:pt idx="15">
                  <c:v>15453</c:v>
                </c:pt>
                <c:pt idx="16">
                  <c:v>285</c:v>
                </c:pt>
                <c:pt idx="17">
                  <c:v>1044</c:v>
                </c:pt>
                <c:pt idx="18">
                  <c:v>2001</c:v>
                </c:pt>
                <c:pt idx="19">
                  <c:v>5979</c:v>
                </c:pt>
                <c:pt idx="20">
                  <c:v>1785</c:v>
                </c:pt>
                <c:pt idx="21">
                  <c:v>159</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Dashboard'!$A$30:$B$54</c:f>
              <c:multiLvlStrCache>
                <c:ptCount val="22"/>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Lashio</c:v>
                  </c:pt>
                  <c:pt idx="17">
                    <c:v>Manton</c:v>
                  </c:pt>
                  <c:pt idx="18">
                    <c:v>Muse</c:v>
                  </c:pt>
                  <c:pt idx="19">
                    <c:v>Namhkan</c:v>
                  </c:pt>
                  <c:pt idx="20">
                    <c:v>Namtu</c:v>
                  </c:pt>
                  <c:pt idx="21">
                    <c:v>Nawnghkio</c:v>
                  </c:pt>
                </c:lvl>
                <c:lvl>
                  <c:pt idx="0">
                    <c:v>Kachin</c:v>
                  </c:pt>
                  <c:pt idx="13">
                    <c:v>Shan (North)</c:v>
                  </c:pt>
                </c:lvl>
              </c:multiLvlStrCache>
            </c:multiLvlStrRef>
          </c:cat>
          <c:val>
            <c:numRef>
              <c:f>'Quarterly Dashboard'!$D$30:$D$54</c:f>
              <c:numCache>
                <c:formatCode>General</c:formatCode>
                <c:ptCount val="22"/>
                <c:pt idx="0">
                  <c:v>16420</c:v>
                </c:pt>
                <c:pt idx="1">
                  <c:v>5655</c:v>
                </c:pt>
                <c:pt idx="2">
                  <c:v>11718</c:v>
                </c:pt>
                <c:pt idx="3">
                  <c:v>25364</c:v>
                </c:pt>
                <c:pt idx="4">
                  <c:v>4386</c:v>
                </c:pt>
                <c:pt idx="5">
                  <c:v>495</c:v>
                </c:pt>
                <c:pt idx="6">
                  <c:v>51128</c:v>
                </c:pt>
                <c:pt idx="7">
                  <c:v>25188</c:v>
                </c:pt>
                <c:pt idx="8">
                  <c:v>867</c:v>
                </c:pt>
                <c:pt idx="9">
                  <c:v>974</c:v>
                </c:pt>
                <c:pt idx="10">
                  <c:v>2616</c:v>
                </c:pt>
                <c:pt idx="11">
                  <c:v>120</c:v>
                </c:pt>
                <c:pt idx="12">
                  <c:v>48345</c:v>
                </c:pt>
                <c:pt idx="13">
                  <c:v>1095</c:v>
                </c:pt>
                <c:pt idx="14">
                  <c:v>0</c:v>
                </c:pt>
                <c:pt idx="15">
                  <c:v>13554</c:v>
                </c:pt>
                <c:pt idx="16">
                  <c:v>190</c:v>
                </c:pt>
                <c:pt idx="17">
                  <c:v>1044</c:v>
                </c:pt>
                <c:pt idx="18">
                  <c:v>2001</c:v>
                </c:pt>
                <c:pt idx="19">
                  <c:v>3225</c:v>
                </c:pt>
                <c:pt idx="20">
                  <c:v>1751</c:v>
                </c:pt>
                <c:pt idx="21">
                  <c:v>53</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Dashboard'!$A$30:$B$54</c:f>
              <c:multiLvlStrCache>
                <c:ptCount val="22"/>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Lashio</c:v>
                  </c:pt>
                  <c:pt idx="17">
                    <c:v>Manton</c:v>
                  </c:pt>
                  <c:pt idx="18">
                    <c:v>Muse</c:v>
                  </c:pt>
                  <c:pt idx="19">
                    <c:v>Namhkan</c:v>
                  </c:pt>
                  <c:pt idx="20">
                    <c:v>Namtu</c:v>
                  </c:pt>
                  <c:pt idx="21">
                    <c:v>Nawnghkio</c:v>
                  </c:pt>
                </c:lvl>
                <c:lvl>
                  <c:pt idx="0">
                    <c:v>Kachin</c:v>
                  </c:pt>
                  <c:pt idx="13">
                    <c:v>Shan (North)</c:v>
                  </c:pt>
                </c:lvl>
              </c:multiLvlStrCache>
            </c:multiLvlStrRef>
          </c:cat>
          <c:val>
            <c:numRef>
              <c:f>'Quarterly Dashboard'!$E$30:$E$54</c:f>
              <c:numCache>
                <c:formatCode>General</c:formatCode>
                <c:ptCount val="22"/>
                <c:pt idx="0">
                  <c:v>15746</c:v>
                </c:pt>
                <c:pt idx="1">
                  <c:v>8087</c:v>
                </c:pt>
                <c:pt idx="2">
                  <c:v>11278</c:v>
                </c:pt>
                <c:pt idx="3">
                  <c:v>24862</c:v>
                </c:pt>
                <c:pt idx="4">
                  <c:v>3127</c:v>
                </c:pt>
                <c:pt idx="5">
                  <c:v>577</c:v>
                </c:pt>
                <c:pt idx="6">
                  <c:v>41865</c:v>
                </c:pt>
                <c:pt idx="7">
                  <c:v>23450</c:v>
                </c:pt>
                <c:pt idx="8">
                  <c:v>720</c:v>
                </c:pt>
                <c:pt idx="9">
                  <c:v>1780</c:v>
                </c:pt>
                <c:pt idx="10">
                  <c:v>2616</c:v>
                </c:pt>
                <c:pt idx="11">
                  <c:v>880</c:v>
                </c:pt>
                <c:pt idx="12">
                  <c:v>57109</c:v>
                </c:pt>
                <c:pt idx="13">
                  <c:v>1095</c:v>
                </c:pt>
                <c:pt idx="14">
                  <c:v>0</c:v>
                </c:pt>
                <c:pt idx="15">
                  <c:v>13130</c:v>
                </c:pt>
                <c:pt idx="16">
                  <c:v>285</c:v>
                </c:pt>
                <c:pt idx="17">
                  <c:v>894</c:v>
                </c:pt>
                <c:pt idx="18">
                  <c:v>2001</c:v>
                </c:pt>
                <c:pt idx="19">
                  <c:v>3976</c:v>
                </c:pt>
                <c:pt idx="20">
                  <c:v>1782</c:v>
                </c:pt>
                <c:pt idx="21">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Dashboard'!$A$30:$B$54</c:f>
              <c:multiLvlStrCache>
                <c:ptCount val="22"/>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Lashio</c:v>
                  </c:pt>
                  <c:pt idx="17">
                    <c:v>Manton</c:v>
                  </c:pt>
                  <c:pt idx="18">
                    <c:v>Muse</c:v>
                  </c:pt>
                  <c:pt idx="19">
                    <c:v>Namhkan</c:v>
                  </c:pt>
                  <c:pt idx="20">
                    <c:v>Namtu</c:v>
                  </c:pt>
                  <c:pt idx="21">
                    <c:v>Nawnghkio</c:v>
                  </c:pt>
                </c:lvl>
                <c:lvl>
                  <c:pt idx="0">
                    <c:v>Kachin</c:v>
                  </c:pt>
                  <c:pt idx="13">
                    <c:v>Shan (North)</c:v>
                  </c:pt>
                </c:lvl>
              </c:multiLvlStrCache>
            </c:multiLvlStrRef>
          </c:cat>
          <c:val>
            <c:numRef>
              <c:f>'Quarterly Dashboard'!$F$30:$F$54</c:f>
              <c:numCache>
                <c:formatCode>General</c:formatCode>
                <c:ptCount val="22"/>
                <c:pt idx="0">
                  <c:v>23966</c:v>
                </c:pt>
                <c:pt idx="1">
                  <c:v>799.99999999999989</c:v>
                </c:pt>
                <c:pt idx="2">
                  <c:v>8940.6681481481482</c:v>
                </c:pt>
                <c:pt idx="3">
                  <c:v>21591</c:v>
                </c:pt>
                <c:pt idx="4">
                  <c:v>4164</c:v>
                </c:pt>
                <c:pt idx="5">
                  <c:v>495</c:v>
                </c:pt>
                <c:pt idx="6">
                  <c:v>38651.866666666661</c:v>
                </c:pt>
                <c:pt idx="7">
                  <c:v>28175.222222222223</c:v>
                </c:pt>
                <c:pt idx="8">
                  <c:v>867</c:v>
                </c:pt>
                <c:pt idx="9">
                  <c:v>5257</c:v>
                </c:pt>
                <c:pt idx="10">
                  <c:v>266.66666666666669</c:v>
                </c:pt>
                <c:pt idx="11">
                  <c:v>1483.3333333333333</c:v>
                </c:pt>
                <c:pt idx="12">
                  <c:v>33149.600000000006</c:v>
                </c:pt>
                <c:pt idx="13">
                  <c:v>1095</c:v>
                </c:pt>
                <c:pt idx="14">
                  <c:v>0</c:v>
                </c:pt>
                <c:pt idx="15">
                  <c:v>10680.666666666666</c:v>
                </c:pt>
                <c:pt idx="16">
                  <c:v>95</c:v>
                </c:pt>
                <c:pt idx="17">
                  <c:v>1044</c:v>
                </c:pt>
                <c:pt idx="18">
                  <c:v>1448</c:v>
                </c:pt>
                <c:pt idx="19">
                  <c:v>4080.333333333333</c:v>
                </c:pt>
                <c:pt idx="20">
                  <c:v>1636.6666666666667</c:v>
                </c:pt>
                <c:pt idx="21">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Analysis!$D$302:$D$303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Analysis!$C$304:$C$313</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Analysis!$D$304:$D$313</c:f>
              <c:numCache>
                <c:formatCode>General</c:formatCode>
                <c:ptCount val="8"/>
                <c:pt idx="0">
                  <c:v>1</c:v>
                </c:pt>
                <c:pt idx="1">
                  <c:v>110</c:v>
                </c:pt>
                <c:pt idx="2">
                  <c:v>6</c:v>
                </c:pt>
                <c:pt idx="3">
                  <c:v>1</c:v>
                </c:pt>
                <c:pt idx="4">
                  <c:v>10</c:v>
                </c:pt>
                <c:pt idx="5">
                  <c:v>9</c:v>
                </c:pt>
                <c:pt idx="6">
                  <c:v>1</c:v>
                </c:pt>
                <c:pt idx="7">
                  <c:v>3</c:v>
                </c:pt>
              </c:numCache>
            </c:numRef>
          </c:val>
          <c:extLst>
            <c:ext xmlns:c16="http://schemas.microsoft.com/office/drawing/2014/chart" uri="{C3380CC4-5D6E-409C-BE32-E72D297353CC}">
              <c16:uniqueId val="{00000000-7EEC-4FD5-9305-B7503BED37B1}"/>
            </c:ext>
          </c:extLst>
        </c:ser>
        <c:ser>
          <c:idx val="1"/>
          <c:order val="1"/>
          <c:tx>
            <c:strRef>
              <c:f>Analysis!$E$302:$E$303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Analysis!$C$304:$C$313</c:f>
              <c:multiLvlStrCache>
                <c:ptCount val="8"/>
                <c:lvl>
                  <c:pt idx="0">
                    <c:v>Boarding School</c:v>
                  </c:pt>
                  <c:pt idx="1">
                    <c:v>Camp</c:v>
                  </c:pt>
                  <c:pt idx="2">
                    <c:v>Camp like setting</c:v>
                  </c:pt>
                  <c:pt idx="3">
                    <c:v>Host Families</c:v>
                  </c:pt>
                  <c:pt idx="4">
                    <c:v>Camp</c:v>
                  </c:pt>
                  <c:pt idx="5">
                    <c:v>Camp like setting</c:v>
                  </c:pt>
                  <c:pt idx="6">
                    <c:v>Host Families</c:v>
                  </c:pt>
                  <c:pt idx="7">
                    <c:v>School</c:v>
                  </c:pt>
                </c:lvl>
                <c:lvl>
                  <c:pt idx="0">
                    <c:v>Camp</c:v>
                  </c:pt>
                  <c:pt idx="4">
                    <c:v>Camp_not registered</c:v>
                  </c:pt>
                </c:lvl>
              </c:multiLvlStrCache>
            </c:multiLvlStrRef>
          </c:cat>
          <c:val>
            <c:numRef>
              <c:f>Analysis!$E$304:$E$313</c:f>
              <c:numCache>
                <c:formatCode>General</c:formatCode>
                <c:ptCount val="8"/>
                <c:pt idx="0">
                  <c:v>2</c:v>
                </c:pt>
                <c:pt idx="1">
                  <c:v>4</c:v>
                </c:pt>
                <c:pt idx="2">
                  <c:v>8</c:v>
                </c:pt>
                <c:pt idx="3">
                  <c:v>9</c:v>
                </c:pt>
              </c:numCache>
            </c:numRef>
          </c:val>
          <c:extLst>
            <c:ext xmlns:c16="http://schemas.microsoft.com/office/drawing/2014/chart" uri="{C3380CC4-5D6E-409C-BE32-E72D297353CC}">
              <c16:uniqueId val="{00000001-7EEC-4FD5-9305-B7503BED37B1}"/>
            </c:ext>
          </c:extLst>
        </c:ser>
        <c:dLbls>
          <c:showLegendKey val="0"/>
          <c:showVal val="0"/>
          <c:showCatName val="0"/>
          <c:showSerName val="0"/>
          <c:showPercent val="0"/>
          <c:showBubbleSize val="0"/>
        </c:dLbls>
        <c:gapWidth val="8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2020 HRP targets</a:t>
            </a:r>
            <a:endParaRPr lang="en-US" sz="1400">
              <a:effectLst/>
            </a:endParaRPr>
          </a:p>
        </c:rich>
      </c:tx>
      <c:layout>
        <c:manualLayout>
          <c:xMode val="edge"/>
          <c:yMode val="edge"/>
          <c:x val="0.30440365489435023"/>
          <c:y val="2.934603402984591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359945900832368"/>
          <c:y val="0.14913012262612194"/>
          <c:w val="0.48260142639945619"/>
          <c:h val="0.74278629323201917"/>
        </c:manualLayout>
      </c:layout>
      <c:barChart>
        <c:barDir val="bar"/>
        <c:grouping val="percentStacked"/>
        <c:varyColors val="0"/>
        <c:ser>
          <c:idx val="0"/>
          <c:order val="0"/>
          <c:tx>
            <c:strRef>
              <c:f>HRP!$E$84</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5B4E-426F-AD58-6C1BBAA7E32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1-2AF1-4F7D-A514-883C4EE2AB6D}"/>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2AF1-4F7D-A514-883C4EE2AB6D}"/>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C-2E04-4B68-9CB0-03FC66BDF2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HRP!$C$85:$C$89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HRP!$E$85:$E$89</c:f>
              <c:numCache>
                <c:formatCode>_(* #,##0_);_(* \(#,##0\);_(* "-"??_);_(@_)</c:formatCode>
                <c:ptCount val="5"/>
                <c:pt idx="0">
                  <c:v>19956</c:v>
                </c:pt>
                <c:pt idx="1">
                  <c:v>54</c:v>
                </c:pt>
                <c:pt idx="2">
                  <c:v>72570</c:v>
                </c:pt>
                <c:pt idx="3">
                  <c:v>67407</c:v>
                </c:pt>
                <c:pt idx="4">
                  <c:v>65112.140740740746</c:v>
                </c:pt>
              </c:numCache>
            </c:numRef>
          </c:val>
          <c:extLst>
            <c:ext xmlns:c16="http://schemas.microsoft.com/office/drawing/2014/chart" uri="{C3380CC4-5D6E-409C-BE32-E72D297353CC}">
              <c16:uniqueId val="{00000008-FD32-408B-BEA6-80B3D1A1C8B5}"/>
            </c:ext>
          </c:extLst>
        </c:ser>
        <c:ser>
          <c:idx val="1"/>
          <c:order val="1"/>
          <c:tx>
            <c:strRef>
              <c:f>HRP!$F$84</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9-5B4E-426F-AD58-6C1BBAA7E321}"/>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2AF1-4F7D-A514-883C4EE2AB6D}"/>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2AF1-4F7D-A514-883C4EE2AB6D}"/>
              </c:ext>
            </c:extLst>
          </c:dPt>
          <c:dLbls>
            <c:dLbl>
              <c:idx val="4"/>
              <c:layout>
                <c:manualLayout>
                  <c:x val="8.6487303187530677E-3"/>
                  <c:y val="2.97554823457193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F1-4F7D-A514-883C4EE2AB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HRP!$C$85:$C$89</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HRP!$F$85:$F$89</c:f>
              <c:numCache>
                <c:formatCode>_(* #,##0_);_(* \(#,##0\);_(* "-"??_);_(@_)</c:formatCode>
                <c:ptCount val="5"/>
                <c:pt idx="1">
                  <c:v>11145</c:v>
                </c:pt>
                <c:pt idx="2">
                  <c:v>13368</c:v>
                </c:pt>
                <c:pt idx="3">
                  <c:v>18531</c:v>
                </c:pt>
                <c:pt idx="4">
                  <c:v>20825.859259259254</c:v>
                </c:pt>
              </c:numCache>
            </c:numRef>
          </c:val>
          <c:extLst>
            <c:ext xmlns:c16="http://schemas.microsoft.com/office/drawing/2014/chart" uri="{C3380CC4-5D6E-409C-BE32-E72D297353CC}">
              <c16:uniqueId val="{00000008-CD39-4EAB-BB9A-44ACB55E4335}"/>
            </c:ext>
          </c:extLst>
        </c:ser>
        <c:dLbls>
          <c:showLegendKey val="0"/>
          <c:showVal val="0"/>
          <c:showCatName val="0"/>
          <c:showSerName val="0"/>
          <c:showPercent val="0"/>
          <c:showBubbleSize val="0"/>
        </c:dLbls>
        <c:gapWidth val="150"/>
        <c:overlap val="100"/>
        <c:axId val="415869216"/>
        <c:axId val="415873920"/>
      </c:barChart>
      <c:catAx>
        <c:axId val="4158692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415873920"/>
        <c:crosses val="autoZero"/>
        <c:auto val="1"/>
        <c:lblAlgn val="ctr"/>
        <c:lblOffset val="100"/>
        <c:noMultiLvlLbl val="0"/>
      </c:catAx>
      <c:valAx>
        <c:axId val="4158739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92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b="1" i="0" u="none" strike="noStrike" baseline="0">
                <a:effectLst/>
              </a:rPr>
              <a:t>Constructed surface water drainage system</a:t>
            </a:r>
            <a:r>
              <a:rPr lang="en-US" sz="13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701195010974861E-2"/>
          <c:y val="0.2979842137113754"/>
          <c:w val="0.46967762634824711"/>
          <c:h val="0.60881529903391252"/>
        </c:manualLayout>
      </c:layout>
      <c:pieChart>
        <c:varyColors val="1"/>
        <c:ser>
          <c:idx val="0"/>
          <c:order val="0"/>
          <c:tx>
            <c:strRef>
              <c:f>Analysis!$B$168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Analysis!$C$168:$F$168</c:f>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Analysis!$B$169</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Analysis!$C$169:$F$169</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Analysis!$C$170:$F$170</c15:sqref>
                        </c15:formulaRef>
                      </c:ext>
                    </c:extLst>
                    <c:numCache>
                      <c:formatCode>General</c:formatCode>
                      <c:ptCount val="4"/>
                      <c:pt idx="0">
                        <c:v>15</c:v>
                      </c:pt>
                      <c:pt idx="1">
                        <c:v>7</c:v>
                      </c:pt>
                      <c:pt idx="2">
                        <c:v>6</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70007583394718"/>
          <c:y val="0.28780977617713421"/>
          <c:w val="0.52362345096946195"/>
          <c:h val="0.62798293740270317"/>
        </c:manualLayout>
      </c:layout>
      <c:pieChart>
        <c:varyColors val="1"/>
        <c:ser>
          <c:idx val="0"/>
          <c:order val="0"/>
          <c:tx>
            <c:strRef>
              <c:f>Analysis!$B$184</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ext>
              </c:extLst>
              <c:f>Analysis!$C$183:$E$183</c:f>
              <c:strCache>
                <c:ptCount val="3"/>
                <c:pt idx="0">
                  <c:v>NA</c:v>
                </c:pt>
                <c:pt idx="1">
                  <c:v>No</c:v>
                </c:pt>
                <c:pt idx="2">
                  <c:v>Yes</c:v>
                </c:pt>
              </c:strCache>
            </c:strRef>
          </c:cat>
          <c:val>
            <c:numRef>
              <c:extLst>
                <c:ext xmlns:c15="http://schemas.microsoft.com/office/drawing/2012/chart" uri="{02D57815-91ED-43cb-92C2-25804820EDAC}">
                  <c15:fullRef>
                    <c15:sqref>Analysis!$C$184:$F$184</c15:sqref>
                  </c15:fullRef>
                </c:ext>
              </c:extLst>
              <c:f>Analysis!$C$184:$E$184</c:f>
              <c:numCache>
                <c:formatCode>General</c:formatCode>
                <c:ptCount val="3"/>
                <c:pt idx="0">
                  <c:v>12</c:v>
                </c:pt>
                <c:pt idx="1">
                  <c:v>7</c:v>
                </c:pt>
                <c:pt idx="2">
                  <c:v>120</c:v>
                </c:pt>
              </c:numCache>
            </c:numRef>
          </c:val>
          <c:extLst>
            <c:ext xmlns:c15="http://schemas.microsoft.com/office/drawing/2012/char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FA3C-4946-BF7A-2A4E3289E188}"/>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uri="{02D57815-91ED-43cb-92C2-25804820EDAC}">
                        <c15:fullRef>
                          <c15:sqref>Analysis!$C$185:$F$185</c15:sqref>
                        </c15:fullRef>
                        <c15:formulaRef>
                          <c15:sqref>Analysis!$C$185:$E$185</c15:sqref>
                        </c15:formulaRef>
                      </c:ext>
                    </c:extLst>
                    <c:numCache>
                      <c:formatCode>General</c:formatCode>
                      <c:ptCount val="3"/>
                    </c:numCache>
                  </c:numRef>
                </c:val>
                <c:extLst>
                  <c:ext uri="{02D57815-91ED-43cb-92C2-25804820EDAC}">
                    <c15:categoryFilterExceptions>
                      <c15:categoryFilterException>
                        <c15:sqref>Analysis!$F$185</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Analysis!$B$186</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Analysis!$C$186:$F$186</c15:sqref>
                        </c15:fullRef>
                        <c15:formulaRef>
                          <c15:sqref>Analysis!$C$186:$E$186</c15:sqref>
                        </c15:formulaRef>
                      </c:ext>
                    </c:extLst>
                    <c:numCache>
                      <c:formatCode>General</c:formatCode>
                      <c:ptCount val="3"/>
                      <c:pt idx="0">
                        <c:v>7</c:v>
                      </c:pt>
                      <c:pt idx="1">
                        <c:v>6</c:v>
                      </c:pt>
                      <c:pt idx="2">
                        <c:v>21</c:v>
                      </c:pt>
                    </c:numCache>
                  </c:numRef>
                </c:val>
                <c:extLst xmlns:c15="http://schemas.microsoft.com/office/drawing/2012/chart">
                  <c:ext xmlns:c15="http://schemas.microsoft.com/office/drawing/2012/chart" uri="{02D57815-91ED-43cb-92C2-25804820EDAC}">
                    <c15:categoryFilterExceptions>
                      <c15:categoryFilterException>
                        <c15:sqref>Analysis!$F$186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2020 HRP targets</a:t>
            </a:r>
          </a:p>
          <a:p>
            <a:pPr>
              <a:defRPr sz="1400"/>
            </a:pPr>
            <a:r>
              <a:rPr lang="en-US" sz="1400" b="1" i="0" baseline="0">
                <a:effectLst/>
              </a:rPr>
              <a:t>(IDPs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HRP!$AC$67</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rgbClr val="FFFF00"/>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rgbClr val="0070C0"/>
              </a:solidFill>
              <a:ln>
                <a:noFill/>
              </a:ln>
              <a:effectLst/>
            </c:spPr>
            <c:extLst>
              <c:ext xmlns:c16="http://schemas.microsoft.com/office/drawing/2014/chart" uri="{C3380CC4-5D6E-409C-BE32-E72D297353CC}">
                <c16:uniqueId val="{00000005-1277-43EF-B124-13DB270E2D9D}"/>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F-2D21-4D0E-AF91-A8A56D77EF1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HRP!$AA$68:$AA$72</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HRP!$AC$68:$AC$72</c:f>
              <c:numCache>
                <c:formatCode>_(* #,##0_);_(* \(#,##0\);_(* "-"??_);_(@_)</c:formatCode>
                <c:ptCount val="5"/>
                <c:pt idx="0">
                  <c:v>36156</c:v>
                </c:pt>
                <c:pt idx="1">
                  <c:v>7050</c:v>
                </c:pt>
                <c:pt idx="2">
                  <c:v>292346.00602379249</c:v>
                </c:pt>
                <c:pt idx="3">
                  <c:v>258860</c:v>
                </c:pt>
                <c:pt idx="4">
                  <c:v>360473.47407407407</c:v>
                </c:pt>
              </c:numCache>
            </c:numRef>
          </c:val>
          <c:extLst>
            <c:ext xmlns:c16="http://schemas.microsoft.com/office/drawing/2014/chart" uri="{C3380CC4-5D6E-409C-BE32-E72D297353CC}">
              <c16:uniqueId val="{00000006-DF59-4E13-A78D-D1FAA2870958}"/>
            </c:ext>
          </c:extLst>
        </c:ser>
        <c:ser>
          <c:idx val="1"/>
          <c:order val="1"/>
          <c:tx>
            <c:strRef>
              <c:f>HRP!$AD$67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FFFF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1277-43EF-B124-13DB270E2D9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HRP!$AA$68:$AA$72</c:f>
              <c:strCache>
                <c:ptCount val="5"/>
                <c:pt idx="0">
                  <c:v>Number of women, men, girls and boys accessing WASH services in temporary health facilities and learn-ing spaces which received support from the WASH Cluster.</c:v>
                </c:pt>
                <c:pt idx="1">
                  <c:v>Number of vulnerable people that are consulted, and their concerns are addressed, through dignified and inclusive WASH services.</c:v>
                </c:pt>
                <c:pt idx="2">
                  <c:v>benefitting from timely/adequate/tailored personal hygiene items and receiving appropriate/ community tailored messages that enable health seeking behavior</c:v>
                </c:pt>
                <c:pt idx="3">
                  <c:v>benefitting from a functional excreta disposal system, reducing safety/public health/environmental risks</c:v>
                </c:pt>
                <c:pt idx="4">
                  <c:v>benefitting from safe/improved drinking water, meeting demand for domestic purposes, at minimum/agreed standards</c:v>
                </c:pt>
              </c:strCache>
            </c:strRef>
          </c:cat>
          <c:val>
            <c:numRef>
              <c:f>HRP!$AD$68:$AD$72</c:f>
              <c:numCache>
                <c:formatCode>_(* #,##0_);_(* \(#,##0\);_(* "-"??_);_(@_)</c:formatCode>
                <c:ptCount val="5"/>
                <c:pt idx="0">
                  <c:v>2448</c:v>
                </c:pt>
                <c:pt idx="1">
                  <c:v>61756</c:v>
                </c:pt>
                <c:pt idx="2">
                  <c:v>235644.99397620751</c:v>
                </c:pt>
                <c:pt idx="3">
                  <c:v>269131</c:v>
                </c:pt>
                <c:pt idx="4">
                  <c:v>167517.52592592593</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layout>
        <c:manualLayout>
          <c:xMode val="edge"/>
          <c:yMode val="edge"/>
          <c:x val="0.16777648345762036"/>
          <c:y val="2.778268978001724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8617630728851198"/>
          <c:w val="0.89814814814814814"/>
          <c:h val="0.5515058213877112"/>
        </c:manualLayout>
      </c:layout>
      <c:barChart>
        <c:barDir val="col"/>
        <c:grouping val="percentStacked"/>
        <c:varyColors val="0"/>
        <c:ser>
          <c:idx val="2"/>
          <c:order val="2"/>
          <c:tx>
            <c:strRef>
              <c:f>Analysis!$B$141</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Analysis!$C$141:$D$141</c:f>
              <c:numCache>
                <c:formatCode>_(* #,##0_);_(* \(#,##0\);_(* "-"??_);_(@_)</c:formatCode>
                <c:ptCount val="2"/>
                <c:pt idx="0">
                  <c:v>750</c:v>
                </c:pt>
                <c:pt idx="1">
                  <c:v>1210</c:v>
                </c:pt>
              </c:numCache>
            </c:numRef>
          </c:val>
          <c:extLst>
            <c:ext xmlns:c16="http://schemas.microsoft.com/office/drawing/2014/chart" uri="{C3380CC4-5D6E-409C-BE32-E72D297353CC}">
              <c16:uniqueId val="{00000000-89DD-4829-838C-9132D2EEC9DD}"/>
            </c:ext>
          </c:extLst>
        </c:ser>
        <c:ser>
          <c:idx val="3"/>
          <c:order val="3"/>
          <c:tx>
            <c:strRef>
              <c:f>Analysis!$B$142</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Analysis!$C$142:$D$142</c:f>
              <c:numCache>
                <c:formatCode>_(* #,##0_);_(* \(#,##0\);_(* "-"??_);_(@_)</c:formatCode>
                <c:ptCount val="2"/>
                <c:pt idx="0">
                  <c:v>1990</c:v>
                </c:pt>
                <c:pt idx="1">
                  <c:v>1455</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Analysis!$B$139</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Analysis!$C$138:$D$138</c15:sqref>
                        </c15:formulaRef>
                      </c:ext>
                    </c:extLst>
                    <c:strCache>
                      <c:ptCount val="2"/>
                      <c:pt idx="0">
                        <c:v> # in GCA (20:1) </c:v>
                      </c:pt>
                      <c:pt idx="1">
                        <c:v> # in NGCA (20:1) </c:v>
                      </c:pt>
                    </c:strCache>
                  </c:strRef>
                </c:cat>
                <c:val>
                  <c:numRef>
                    <c:extLst>
                      <c:ext uri="{02D57815-91ED-43cb-92C2-25804820EDAC}">
                        <c15:formulaRef>
                          <c15:sqref>Analysis!$C$139:$D$139</c15:sqref>
                        </c15:formulaRef>
                      </c:ext>
                    </c:extLst>
                    <c:numCache>
                      <c:formatCode>_(* #,##0_);_(* \(#,##0\);_(* "-"??_);_(@_)</c:formatCode>
                      <c:ptCount val="2"/>
                      <c:pt idx="0">
                        <c:v>2435</c:v>
                      </c:pt>
                      <c:pt idx="1">
                        <c:v>2665</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Analysis!$B$140</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Analysis!$C$138:$D$138</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Analysis!$C$140:$D$140</c15:sqref>
                        </c15:formulaRef>
                      </c:ext>
                    </c:extLst>
                    <c:numCache>
                      <c:formatCode>_(* #,##0_);_(* \(#,##0\);_(* "-"??_);_(@_)</c:formatCode>
                      <c:ptCount val="2"/>
                      <c:pt idx="0">
                        <c:v>305</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valAx>
      <c:spPr>
        <a:noFill/>
        <a:ln>
          <a:noFill/>
        </a:ln>
        <a:effectLst/>
      </c:spPr>
    </c:plotArea>
    <c:legend>
      <c:legendPos val="b"/>
      <c:layout>
        <c:manualLayout>
          <c:xMode val="edge"/>
          <c:yMode val="edge"/>
          <c:x val="0.2028525207412"/>
          <c:y val="0.85999983175180028"/>
          <c:w val="0.59484106391927383"/>
          <c:h val="0.140000168248199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3055909645744546"/>
          <c:w val="0.8269872515935508"/>
          <c:h val="0.59185864364540941"/>
        </c:manualLayout>
      </c:layout>
      <c:barChart>
        <c:barDir val="col"/>
        <c:grouping val="clustered"/>
        <c:varyColors val="0"/>
        <c:ser>
          <c:idx val="0"/>
          <c:order val="0"/>
          <c:tx>
            <c:strRef>
              <c:f>Analysis!$B$143</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Analysis!$C$143:$D$143</c:f>
              <c:numCache>
                <c:formatCode>_(* #,##0_);_(* \(#,##0\);_(* "-"??_);_(@_)</c:formatCode>
                <c:ptCount val="2"/>
                <c:pt idx="0">
                  <c:v>22</c:v>
                </c:pt>
                <c:pt idx="1">
                  <c:v>0</c:v>
                </c:pt>
              </c:numCache>
            </c:numRef>
          </c:val>
          <c:extLst>
            <c:ext xmlns:c16="http://schemas.microsoft.com/office/drawing/2014/chart" uri="{C3380CC4-5D6E-409C-BE32-E72D297353CC}">
              <c16:uniqueId val="{00000000-BE5C-460C-9416-9E341743CD67}"/>
            </c:ext>
          </c:extLst>
        </c:ser>
        <c:ser>
          <c:idx val="1"/>
          <c:order val="1"/>
          <c:tx>
            <c:strRef>
              <c:f>Analysis!$B$144</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Analysis!$C$138:$D$138</c:f>
              <c:strCache>
                <c:ptCount val="2"/>
                <c:pt idx="0">
                  <c:v> # in GCA (20:1) </c:v>
                </c:pt>
                <c:pt idx="1">
                  <c:v> # in NGCA (20:1) </c:v>
                </c:pt>
              </c:strCache>
            </c:strRef>
          </c:cat>
          <c:val>
            <c:numRef>
              <c:f>Analysis!$C$144:$D$144</c:f>
              <c:numCache>
                <c:formatCode>_(* #,##0_);_(* \(#,##0\);_(* "-"??_);_(@_)</c:formatCode>
                <c:ptCount val="2"/>
                <c:pt idx="0">
                  <c:v>208</c:v>
                </c:pt>
                <c:pt idx="1">
                  <c:v>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valAx>
      <c:spPr>
        <a:noFill/>
        <a:ln>
          <a:noFill/>
        </a:ln>
        <a:effectLst/>
      </c:spPr>
    </c:plotArea>
    <c:legend>
      <c:legendPos val="b"/>
      <c:layout>
        <c:manualLayout>
          <c:xMode val="edge"/>
          <c:yMode val="edge"/>
          <c:x val="0"/>
          <c:y val="0.84187877023347979"/>
          <c:w val="0.9750901434403646"/>
          <c:h val="0.158121229766520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0.27701741272486102"/>
          <c:y val="0.24707859077264221"/>
          <c:w val="0.49411010944340777"/>
          <c:h val="0.5599954709253096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Analysis!$F$138:$F$139</c:f>
              <c:strCache>
                <c:ptCount val="2"/>
                <c:pt idx="0">
                  <c:v>Functioning</c:v>
                </c:pt>
                <c:pt idx="1">
                  <c:v>Not_Functioing</c:v>
                </c:pt>
              </c:strCache>
            </c:strRef>
          </c:cat>
          <c:val>
            <c:numRef>
              <c:f>Analysis!$G$138:$G$139</c:f>
              <c:numCache>
                <c:formatCode>_(* #,##0_);_(* \(#,##0\);_(* "-"??_);_(@_)</c:formatCode>
                <c:ptCount val="2"/>
                <c:pt idx="0">
                  <c:v>5100</c:v>
                </c:pt>
                <c:pt idx="1">
                  <c:v>133</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Institution</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Analysis!$D$384:$H$384</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Analysis!$D$385:$H$385</c:f>
              <c:numCache>
                <c:formatCode>_(* #,##0_);_(* \(#,##0\);_(* "-"??_);_(@_)</c:formatCode>
                <c:ptCount val="5"/>
                <c:pt idx="0">
                  <c:v>51</c:v>
                </c:pt>
                <c:pt idx="1">
                  <c:v>195</c:v>
                </c:pt>
                <c:pt idx="2">
                  <c:v>9</c:v>
                </c:pt>
                <c:pt idx="3">
                  <c:v>388</c:v>
                </c:pt>
                <c:pt idx="4">
                  <c:v>28</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21855181099570711"/>
          <c:y val="0.73082254347293263"/>
          <c:w val="0.6563348564832191"/>
          <c:h val="0.2609825323580416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[20201026_Myanmar_WASH_4W_2020_Q3_KachinShan_camp_Consolidate.xlsx]Analysis!K_water1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Analysis!$C$47:$C$48</c:f>
              <c:numCache>
                <c:formatCode>0</c:formatCode>
                <c:ptCount val="2"/>
                <c:pt idx="0">
                  <c:v>87.617999999999967</c:v>
                </c:pt>
                <c:pt idx="1">
                  <c:v>26.62228148148148</c:v>
                </c:pt>
              </c:numCache>
            </c:numRef>
          </c:val>
          <c:extLst>
            <c:ext xmlns:c16="http://schemas.microsoft.com/office/drawing/2014/chart" uri="{C3380CC4-5D6E-409C-BE32-E72D297353CC}">
              <c16:uniqueId val="{00000000-A106-4765-A739-467FC9D15075}"/>
            </c:ext>
          </c:extLst>
        </c:ser>
        <c:ser>
          <c:idx val="1"/>
          <c:order val="1"/>
          <c:tx>
            <c:strRef>
              <c:f>Analysis!$D$46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Analysis!$B$47:$B$48</c:f>
              <c:strCache>
                <c:ptCount val="2"/>
                <c:pt idx="0">
                  <c:v>GCA (500:1)</c:v>
                </c:pt>
                <c:pt idx="1">
                  <c:v>NGCA (500:1)</c:v>
                </c:pt>
              </c:strCache>
            </c:strRef>
          </c:cat>
          <c:val>
            <c:numRef>
              <c:f>Analysis!$D$47:$D$48</c:f>
              <c:numCache>
                <c:formatCode>0</c:formatCode>
                <c:ptCount val="2"/>
                <c:pt idx="0">
                  <c:v>71.268000000000001</c:v>
                </c:pt>
                <c:pt idx="1">
                  <c:v>63.601718518518524</c:v>
                </c:pt>
              </c:numCache>
            </c:numRef>
          </c:val>
          <c:extLst>
            <c:ext xmlns:c16="http://schemas.microsoft.com/office/drawing/2014/chart" uri="{C3380CC4-5D6E-409C-BE32-E72D297353CC}">
              <c16:uniqueId val="{00000001-A106-4765-A739-467FC9D15075}"/>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Q3-2020</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7.1951770996849559E-2"/>
                  <c:y val="0.1214298058512193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strRef>
          </c:cat>
          <c:val>
            <c:numRef>
              <c:f>Analysis!$J$61:$K$61</c:f>
              <c:numCache>
                <c:formatCode>0</c:formatCode>
                <c:ptCount val="2"/>
                <c:pt idx="0" formatCode="General">
                  <c:v>28</c:v>
                </c:pt>
                <c:pt idx="1">
                  <c:v>111</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Analysis!$J$62:$K$62</c15:sqref>
                        </c15:formulaRef>
                      </c:ext>
                    </c:extLst>
                    <c:numCache>
                      <c:formatCode>0</c:formatCode>
                      <c:ptCount val="2"/>
                      <c:pt idx="0" formatCode="General">
                        <c:v>0</c:v>
                      </c:pt>
                      <c:pt idx="1">
                        <c:v>34</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c:f>
              <c:strCache>
                <c:ptCount val="1"/>
                <c:pt idx="0">
                  <c:v>Kachin</c:v>
                </c:pt>
              </c:strCache>
            </c:strRef>
          </c:cat>
          <c:val>
            <c:numRef>
              <c:extLst>
                <c:ext xmlns:c15="http://schemas.microsoft.com/office/drawing/2012/chart" uri="{02D57815-91ED-43cb-92C2-25804820EDAC}">
                  <c15:fullRef>
                    <c15:sqref>Analysis!$L$61:$L$63</c15:sqref>
                  </c15:fullRef>
                </c:ext>
              </c:extLst>
              <c:f>Analysis!$L$61</c:f>
              <c:numCache>
                <c:formatCode>General</c:formatCode>
                <c:ptCount val="1"/>
                <c:pt idx="0">
                  <c:v>180</c:v>
                </c:pt>
              </c:numCache>
            </c:numRef>
          </c:val>
          <c:extLst>
            <c:ext xmlns:c16="http://schemas.microsoft.com/office/drawing/2014/chart" uri="{C3380CC4-5D6E-409C-BE32-E72D297353CC}">
              <c16:uniqueId val="{00000000-7EB8-4675-BFE5-9A43CE575D39}"/>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Analysis!$H$61</c:f>
              <c:strCache>
                <c:ptCount val="1"/>
                <c:pt idx="0">
                  <c:v>Kachin</c:v>
                </c:pt>
              </c:strCache>
            </c:strRef>
          </c:cat>
          <c:val>
            <c:numRef>
              <c:extLst>
                <c:ext xmlns:c15="http://schemas.microsoft.com/office/drawing/2012/chart" uri="{02D57815-91ED-43cb-92C2-25804820EDAC}">
                  <c15:fullRef>
                    <c15:sqref>Analysis!$M$61:$M$63</c15:sqref>
                  </c15:fullRef>
                </c:ext>
              </c:extLst>
              <c:f>Analysis!$M$61</c:f>
              <c:numCache>
                <c:formatCode>General</c:formatCode>
                <c:ptCount val="1"/>
                <c:pt idx="0">
                  <c:v>96</c:v>
                </c:pt>
              </c:numCache>
            </c:numRef>
          </c:val>
          <c:extLst>
            <c:ext xmlns:c16="http://schemas.microsoft.com/office/drawing/2014/chart" uri="{C3380CC4-5D6E-409C-BE32-E72D297353CC}">
              <c16:uniqueId val="{00000001-7EB8-4675-BFE5-9A43CE575D39}"/>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Q3-2020</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Analysis!$V$61</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strRef>
          </c:cat>
          <c:val>
            <c:numRef>
              <c:f>Analysis!$X$61:$Y$61</c:f>
              <c:numCache>
                <c:formatCode>General</c:formatCode>
                <c:ptCount val="2"/>
                <c:pt idx="0">
                  <c:v>25</c:v>
                </c:pt>
                <c:pt idx="1">
                  <c:v>114</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Analysis!$V$62</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Analysis!$X$62:$Y$62</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c:f>
              <c:strCache>
                <c:ptCount val="1"/>
                <c:pt idx="0">
                  <c:v>Kachin</c:v>
                </c:pt>
              </c:strCache>
            </c:strRef>
          </c:cat>
          <c:val>
            <c:numRef>
              <c:extLst>
                <c:ext xmlns:c15="http://schemas.microsoft.com/office/drawing/2012/chart" uri="{02D57815-91ED-43cb-92C2-25804820EDAC}">
                  <c15:fullRef>
                    <c15:sqref>Analysis!$Z$61:$Z$63</c15:sqref>
                  </c15:fullRef>
                </c:ext>
              </c:extLst>
              <c:f>Analysis!$Z$61</c:f>
              <c:numCache>
                <c:formatCode>General</c:formatCode>
                <c:ptCount val="1"/>
                <c:pt idx="0">
                  <c:v>585</c:v>
                </c:pt>
              </c:numCache>
            </c:numRef>
          </c:val>
          <c:extLst>
            <c:ext xmlns:c16="http://schemas.microsoft.com/office/drawing/2014/chart" uri="{C3380CC4-5D6E-409C-BE32-E72D297353CC}">
              <c16:uniqueId val="{00000000-0EA5-49C6-8AAD-D64C44191482}"/>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Analysis!$V$61</c:f>
              <c:strCache>
                <c:ptCount val="1"/>
                <c:pt idx="0">
                  <c:v>Kachin</c:v>
                </c:pt>
              </c:strCache>
            </c:strRef>
          </c:cat>
          <c:val>
            <c:numRef>
              <c:extLst>
                <c:ext xmlns:c15="http://schemas.microsoft.com/office/drawing/2012/chart" uri="{02D57815-91ED-43cb-92C2-25804820EDAC}">
                  <c15:fullRef>
                    <c15:sqref>Analysis!$AA$61:$AA$63</c15:sqref>
                  </c15:fullRef>
                </c:ext>
              </c:extLst>
              <c:f>Analysis!$AA$61</c:f>
              <c:numCache>
                <c:formatCode>General</c:formatCode>
                <c:ptCount val="1"/>
                <c:pt idx="0">
                  <c:v>303</c:v>
                </c:pt>
              </c:numCache>
            </c:numRef>
          </c:val>
          <c:extLst>
            <c:ext xmlns:c16="http://schemas.microsoft.com/office/drawing/2014/chart" uri="{C3380CC4-5D6E-409C-BE32-E72D297353CC}">
              <c16:uniqueId val="{00000001-0EA5-49C6-8AAD-D64C44191482}"/>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AAP - Partner reported</a:t>
            </a:r>
            <a:endParaRPr lang="en-US" sz="1400">
              <a:effectLst/>
            </a:endParaRPr>
          </a:p>
        </c:rich>
      </c:tx>
      <c:layout>
        <c:manualLayout>
          <c:xMode val="edge"/>
          <c:yMode val="edge"/>
          <c:x val="0.38618947182608399"/>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94732148859054"/>
          <c:y val="0.11513963843982725"/>
          <c:w val="0.47834481354330483"/>
          <c:h val="0.77491368315455211"/>
        </c:manualLayout>
      </c:layout>
      <c:barChart>
        <c:barDir val="bar"/>
        <c:grouping val="percentStacked"/>
        <c:varyColors val="0"/>
        <c:ser>
          <c:idx val="0"/>
          <c:order val="0"/>
          <c:tx>
            <c:strRef>
              <c:f>Analysis!$D$414</c:f>
              <c:strCache>
                <c:ptCount val="1"/>
                <c:pt idx="0">
                  <c:v>Yes</c:v>
                </c:pt>
              </c:strCache>
            </c:strRef>
          </c:tx>
          <c:spPr>
            <a:solidFill>
              <a:schemeClr val="accent4">
                <a:lumMod val="75000"/>
              </a:schemeClr>
            </a:solidFill>
            <a:ln>
              <a:noFill/>
            </a:ln>
            <a:effectLst/>
          </c:spPr>
          <c:invertIfNegative val="0"/>
          <c:dLbls>
            <c:dLbl>
              <c:idx val="3"/>
              <c:layout>
                <c:manualLayout>
                  <c:x val="5.79529599930639E-3"/>
                  <c:y val="7.21979588443210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5C-4860-A311-F18F14BFFC7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Analysis!$C$415:$C$418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Analysis!$D$415:$D$418</c:f>
              <c:numCache>
                <c:formatCode>0%</c:formatCode>
                <c:ptCount val="4"/>
                <c:pt idx="0">
                  <c:v>0.34499999999999997</c:v>
                </c:pt>
                <c:pt idx="1">
                  <c:v>0.33499999999999991</c:v>
                </c:pt>
                <c:pt idx="2">
                  <c:v>0.10555555555555556</c:v>
                </c:pt>
                <c:pt idx="3">
                  <c:v>0.1859742408129505</c:v>
                </c:pt>
              </c:numCache>
            </c:numRef>
          </c:val>
          <c:extLst>
            <c:ext xmlns:c16="http://schemas.microsoft.com/office/drawing/2014/chart" uri="{C3380CC4-5D6E-409C-BE32-E72D297353CC}">
              <c16:uniqueId val="{00000000-6742-464F-88A7-D1327ABA74F1}"/>
            </c:ext>
          </c:extLst>
        </c:ser>
        <c:ser>
          <c:idx val="1"/>
          <c:order val="1"/>
          <c:tx>
            <c:strRef>
              <c:f>Analysis!$E$414</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Analysis!$C$415:$C$418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Analysis!$E$415:$E$418</c:f>
              <c:numCache>
                <c:formatCode>0%</c:formatCode>
                <c:ptCount val="4"/>
                <c:pt idx="0">
                  <c:v>0.65500000000000003</c:v>
                </c:pt>
                <c:pt idx="1">
                  <c:v>0.66500000000000004</c:v>
                </c:pt>
                <c:pt idx="2">
                  <c:v>0.89444444444444449</c:v>
                </c:pt>
                <c:pt idx="3">
                  <c:v>0.81402575918704945</c:v>
                </c:pt>
              </c:numCache>
            </c:numRef>
          </c:val>
          <c:extLst>
            <c:ext xmlns:c16="http://schemas.microsoft.com/office/drawing/2014/chart" uri="{C3380CC4-5D6E-409C-BE32-E72D297353CC}">
              <c16:uniqueId val="{00000001-6742-464F-88A7-D1327ABA74F1}"/>
            </c:ext>
          </c:extLst>
        </c:ser>
        <c:dLbls>
          <c:showLegendKey val="0"/>
          <c:showVal val="0"/>
          <c:showCatName val="0"/>
          <c:showSerName val="0"/>
          <c:showPercent val="0"/>
          <c:showBubbleSize val="0"/>
        </c:dLbls>
        <c:gapWidth val="80"/>
        <c:overlap val="100"/>
        <c:axId val="1104095023"/>
        <c:axId val="1048521743"/>
      </c:barChart>
      <c:catAx>
        <c:axId val="110409502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1048521743"/>
        <c:crosses val="autoZero"/>
        <c:auto val="1"/>
        <c:lblAlgn val="ctr"/>
        <c:lblOffset val="100"/>
        <c:noMultiLvlLbl val="0"/>
      </c:catAx>
      <c:valAx>
        <c:axId val="10485217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04095023"/>
        <c:crosses val="autoZero"/>
        <c:crossBetween val="between"/>
        <c:majorUnit val="0.2"/>
      </c:valAx>
      <c:spPr>
        <a:noFill/>
        <a:ln>
          <a:noFill/>
        </a:ln>
        <a:effectLst/>
      </c:spPr>
    </c:plotArea>
    <c:legend>
      <c:legendPos val="b"/>
      <c:layout>
        <c:manualLayout>
          <c:xMode val="edge"/>
          <c:yMode val="edge"/>
          <c:x val="0.17064588350652005"/>
          <c:y val="0.87310303953941237"/>
          <c:w val="0.19716957925730016"/>
          <c:h val="8.818728304123274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37149140926746E-2"/>
          <c:y val="5.2987928070487014E-3"/>
          <c:w val="0.94538233192037147"/>
          <c:h val="0.89919331790239565"/>
        </c:manualLayout>
      </c:layout>
      <c:barChart>
        <c:barDir val="bar"/>
        <c:grouping val="percentStacked"/>
        <c:varyColors val="0"/>
        <c:ser>
          <c:idx val="0"/>
          <c:order val="0"/>
          <c:tx>
            <c:strRef>
              <c:f>HRP!$L$20</c:f>
              <c:strCache>
                <c:ptCount val="1"/>
                <c:pt idx="0">
                  <c:v>% Reached</c:v>
                </c:pt>
              </c:strCache>
            </c:strRef>
          </c:tx>
          <c:spPr>
            <a:solidFill>
              <a:schemeClr val="tx1">
                <a:lumMod val="65000"/>
                <a:lumOff val="35000"/>
              </a:schemeClr>
            </a:solidFill>
            <a:ln>
              <a:noFill/>
            </a:ln>
            <a:effectLst/>
          </c:spPr>
          <c:invertIfNegative val="0"/>
          <c:cat>
            <c:multiLvlStrRef>
              <c:f>HRP!$C$21:$D$37</c:f>
              <c:multiLvlStrCache>
                <c:ptCount val="17"/>
                <c:lvl>
                  <c:pt idx="0">
                    <c:v> Chin </c:v>
                  </c:pt>
                  <c:pt idx="1">
                    <c:v> Kachin </c:v>
                  </c:pt>
                  <c:pt idx="2">
                    <c:v> Kayin </c:v>
                  </c:pt>
                  <c:pt idx="3">
                    <c:v> Rakhine </c:v>
                  </c:pt>
                  <c:pt idx="4">
                    <c:v> Shan (North) </c:v>
                  </c:pt>
                  <c:pt idx="5">
                    <c:v> Total </c:v>
                  </c:pt>
                  <c:pt idx="6">
                    <c:v> Chin </c:v>
                  </c:pt>
                  <c:pt idx="7">
                    <c:v> Kachin </c:v>
                  </c:pt>
                  <c:pt idx="8">
                    <c:v> Kayin </c:v>
                  </c:pt>
                  <c:pt idx="9">
                    <c:v> Rakhine </c:v>
                  </c:pt>
                  <c:pt idx="10">
                    <c:v> Shan (North) </c:v>
                  </c:pt>
                  <c:pt idx="11">
                    <c:v> Total </c:v>
                  </c:pt>
                  <c:pt idx="12">
                    <c:v> Chin </c:v>
                  </c:pt>
                  <c:pt idx="13">
                    <c:v> Kachin </c:v>
                  </c:pt>
                  <c:pt idx="14">
                    <c:v> Kayin </c:v>
                  </c:pt>
                  <c:pt idx="15">
                    <c:v> Rakhine </c:v>
                  </c:pt>
                  <c:pt idx="16">
                    <c:v> Shan (North) </c:v>
                  </c:pt>
                </c:lvl>
                <c:lvl>
                  <c:pt idx="0">
                    <c:v>Number of women, men, boys and girls benefitting from safe/ improved drinking water, meeting demand for domestic purposes, at minimum/agreed standards.</c:v>
                  </c:pt>
                  <c:pt idx="6">
                    <c:v>Number of women, men, boys and girls benefitting from functional excre-ta disposal system, reducing safety/public health/environmental risks.</c:v>
                  </c:pt>
                  <c:pt idx="12">
                    <c:v>Number of women, men, boys and girls benefitting from timely/ade-quate/tailored personal hygiene items and receiving appropriate/ community tailored messages that enable health seeking behaviour.</c:v>
                  </c:pt>
                </c:lvl>
              </c:multiLvlStrCache>
            </c:multiLvlStrRef>
          </c:cat>
          <c:val>
            <c:numRef>
              <c:f>HRP!$L$21:$L$37</c:f>
              <c:numCache>
                <c:formatCode>0%</c:formatCode>
                <c:ptCount val="17"/>
                <c:pt idx="0">
                  <c:v>10.532</c:v>
                </c:pt>
                <c:pt idx="1">
                  <c:v>0.75766413857363157</c:v>
                </c:pt>
                <c:pt idx="2">
                  <c:v>0.78230398598335527</c:v>
                </c:pt>
                <c:pt idx="3">
                  <c:v>0.64935456864157626</c:v>
                </c:pt>
                <c:pt idx="4">
                  <c:v>0.51696540357216436</c:v>
                </c:pt>
                <c:pt idx="5">
                  <c:v>0.68272655040346153</c:v>
                </c:pt>
                <c:pt idx="6">
                  <c:v>8.9459999999999997</c:v>
                </c:pt>
                <c:pt idx="7">
                  <c:v>0.78436780004189066</c:v>
                </c:pt>
                <c:pt idx="8">
                  <c:v>0.50394218134034163</c:v>
                </c:pt>
                <c:pt idx="9">
                  <c:v>0.40748817195926873</c:v>
                </c:pt>
                <c:pt idx="10">
                  <c:v>0.49793182142347742</c:v>
                </c:pt>
                <c:pt idx="11">
                  <c:v>0.49027350844995465</c:v>
                </c:pt>
                <c:pt idx="12">
                  <c:v>3.5739999999999998</c:v>
                </c:pt>
                <c:pt idx="13">
                  <c:v>0.84444599595056902</c:v>
                </c:pt>
                <c:pt idx="14">
                  <c:v>0.82643451598773543</c:v>
                </c:pt>
                <c:pt idx="15">
                  <c:v>0.48517115618804268</c:v>
                </c:pt>
                <c:pt idx="16">
                  <c:v>0.4423524937003756</c:v>
                </c:pt>
              </c:numCache>
            </c:numRef>
          </c:val>
          <c:extLst>
            <c:ext xmlns:c16="http://schemas.microsoft.com/office/drawing/2014/chart" uri="{C3380CC4-5D6E-409C-BE32-E72D297353CC}">
              <c16:uniqueId val="{00000000-78ED-4C56-BA32-1282FB4F42D0}"/>
            </c:ext>
          </c:extLst>
        </c:ser>
        <c:ser>
          <c:idx val="1"/>
          <c:order val="1"/>
          <c:tx>
            <c:strRef>
              <c:f>HRP!$M$20</c:f>
              <c:strCache>
                <c:ptCount val="1"/>
                <c:pt idx="0">
                  <c:v>% Gap</c:v>
                </c:pt>
              </c:strCache>
            </c:strRef>
          </c:tx>
          <c:spPr>
            <a:solidFill>
              <a:schemeClr val="bg1">
                <a:lumMod val="75000"/>
              </a:schemeClr>
            </a:solidFill>
            <a:ln>
              <a:noFill/>
            </a:ln>
            <a:effectLst/>
          </c:spPr>
          <c:invertIfNegative val="0"/>
          <c:cat>
            <c:multiLvlStrRef>
              <c:f>HRP!$C$21:$D$37</c:f>
              <c:multiLvlStrCache>
                <c:ptCount val="17"/>
                <c:lvl>
                  <c:pt idx="0">
                    <c:v> Chin </c:v>
                  </c:pt>
                  <c:pt idx="1">
                    <c:v> Kachin </c:v>
                  </c:pt>
                  <c:pt idx="2">
                    <c:v> Kayin </c:v>
                  </c:pt>
                  <c:pt idx="3">
                    <c:v> Rakhine </c:v>
                  </c:pt>
                  <c:pt idx="4">
                    <c:v> Shan (North) </c:v>
                  </c:pt>
                  <c:pt idx="5">
                    <c:v> Total </c:v>
                  </c:pt>
                  <c:pt idx="6">
                    <c:v> Chin </c:v>
                  </c:pt>
                  <c:pt idx="7">
                    <c:v> Kachin </c:v>
                  </c:pt>
                  <c:pt idx="8">
                    <c:v> Kayin </c:v>
                  </c:pt>
                  <c:pt idx="9">
                    <c:v> Rakhine </c:v>
                  </c:pt>
                  <c:pt idx="10">
                    <c:v> Shan (North) </c:v>
                  </c:pt>
                  <c:pt idx="11">
                    <c:v> Total </c:v>
                  </c:pt>
                  <c:pt idx="12">
                    <c:v> Chin </c:v>
                  </c:pt>
                  <c:pt idx="13">
                    <c:v> Kachin </c:v>
                  </c:pt>
                  <c:pt idx="14">
                    <c:v> Kayin </c:v>
                  </c:pt>
                  <c:pt idx="15">
                    <c:v> Rakhine </c:v>
                  </c:pt>
                  <c:pt idx="16">
                    <c:v> Shan (North) </c:v>
                  </c:pt>
                </c:lvl>
                <c:lvl>
                  <c:pt idx="0">
                    <c:v>Number of women, men, boys and girls benefitting from safe/ improved drinking water, meeting demand for domestic purposes, at minimum/agreed standards.</c:v>
                  </c:pt>
                  <c:pt idx="6">
                    <c:v>Number of women, men, boys and girls benefitting from functional excre-ta disposal system, reducing safety/public health/environmental risks.</c:v>
                  </c:pt>
                  <c:pt idx="12">
                    <c:v>Number of women, men, boys and girls benefitting from timely/ade-quate/tailored personal hygiene items and receiving appropriate/ community tailored messages that enable health seeking behaviour.</c:v>
                  </c:pt>
                </c:lvl>
              </c:multiLvlStrCache>
            </c:multiLvlStrRef>
          </c:cat>
          <c:val>
            <c:numRef>
              <c:f>HRP!$M$21:$M$37</c:f>
              <c:numCache>
                <c:formatCode>0%</c:formatCode>
                <c:ptCount val="17"/>
                <c:pt idx="0">
                  <c:v>-9.532</c:v>
                </c:pt>
                <c:pt idx="1">
                  <c:v>0.24233586142636843</c:v>
                </c:pt>
                <c:pt idx="2">
                  <c:v>0.21769601401664473</c:v>
                </c:pt>
                <c:pt idx="3">
                  <c:v>0.35064543135842374</c:v>
                </c:pt>
                <c:pt idx="4">
                  <c:v>0.48303459642783564</c:v>
                </c:pt>
                <c:pt idx="5">
                  <c:v>0.31727344959653847</c:v>
                </c:pt>
                <c:pt idx="6">
                  <c:v>-7.9459999999999997</c:v>
                </c:pt>
                <c:pt idx="7">
                  <c:v>0.21563219995810934</c:v>
                </c:pt>
                <c:pt idx="8">
                  <c:v>0.49605781865965837</c:v>
                </c:pt>
                <c:pt idx="9">
                  <c:v>0.59251182804073133</c:v>
                </c:pt>
                <c:pt idx="10">
                  <c:v>0.50206817857652264</c:v>
                </c:pt>
                <c:pt idx="11">
                  <c:v>0.50972649155004535</c:v>
                </c:pt>
                <c:pt idx="12">
                  <c:v>-2.5739999999999998</c:v>
                </c:pt>
                <c:pt idx="13">
                  <c:v>0.15555400404943098</c:v>
                </c:pt>
                <c:pt idx="14">
                  <c:v>0.17356548401226457</c:v>
                </c:pt>
                <c:pt idx="15">
                  <c:v>0.51482884381195726</c:v>
                </c:pt>
                <c:pt idx="16">
                  <c:v>0.55764750629962445</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Analysis!$B$229:$B$230</c:f>
              <c:strCache>
                <c:ptCount val="2"/>
                <c:pt idx="0">
                  <c:v>#HH reached by regular dedicated hygiene promotion</c:v>
                </c:pt>
                <c:pt idx="1">
                  <c:v>#HH with access to Hand Washing Station</c:v>
                </c:pt>
              </c:strCache>
            </c:strRef>
          </c:cat>
          <c:val>
            <c:numRef>
              <c:f>Analysis!$C$229:$C$230</c:f>
              <c:numCache>
                <c:formatCode>0</c:formatCode>
                <c:ptCount val="2"/>
                <c:pt idx="0">
                  <c:v>12140.6</c:v>
                </c:pt>
                <c:pt idx="1">
                  <c:v>10470.200000000001</c:v>
                </c:pt>
              </c:numCache>
            </c:numRef>
          </c:val>
          <c:extLst>
            <c:ext xmlns:c16="http://schemas.microsoft.com/office/drawing/2014/chart" uri="{C3380CC4-5D6E-409C-BE32-E72D297353CC}">
              <c16:uniqueId val="{00000000-1389-4B41-AB26-BD561376BE5E}"/>
            </c:ext>
          </c:extLst>
        </c:ser>
        <c:ser>
          <c:idx val="1"/>
          <c:order val="1"/>
          <c:tx>
            <c:strRef>
              <c:f>Analysis!$D$228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Analysis!$B$229:$B$230</c:f>
              <c:strCache>
                <c:ptCount val="2"/>
                <c:pt idx="0">
                  <c:v>#HH reached by regular dedicated hygiene promotion</c:v>
                </c:pt>
                <c:pt idx="1">
                  <c:v>#HH with access to Hand Washing Station</c:v>
                </c:pt>
              </c:strCache>
            </c:strRef>
          </c:cat>
          <c:val>
            <c:numRef>
              <c:f>Analysis!$D$229:$D$230</c:f>
              <c:numCache>
                <c:formatCode>0</c:formatCode>
                <c:ptCount val="2"/>
                <c:pt idx="0">
                  <c:v>7135.1999999999989</c:v>
                </c:pt>
                <c:pt idx="1">
                  <c:v>8805.5999999999985</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Analysis!$H$247</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Analysis!$G$248:$G$249</c:f>
              <c:strCache>
                <c:ptCount val="2"/>
                <c:pt idx="0">
                  <c:v>GCA (25% of HH)</c:v>
                </c:pt>
                <c:pt idx="1">
                  <c:v>NGCA (100% HH)</c:v>
                </c:pt>
              </c:strCache>
            </c:strRef>
          </c:cat>
          <c:val>
            <c:numRef>
              <c:f>Analysis!$H$248:$H$249</c:f>
              <c:numCache>
                <c:formatCode>General</c:formatCode>
                <c:ptCount val="2"/>
                <c:pt idx="0">
                  <c:v>1248</c:v>
                </c:pt>
                <c:pt idx="1">
                  <c:v>3474</c:v>
                </c:pt>
              </c:numCache>
            </c:numRef>
          </c:val>
          <c:extLst>
            <c:ext xmlns:c16="http://schemas.microsoft.com/office/drawing/2014/chart" uri="{C3380CC4-5D6E-409C-BE32-E72D297353CC}">
              <c16:uniqueId val="{00000000-D8C3-41A2-A2F3-A019286DD688}"/>
            </c:ext>
          </c:extLst>
        </c:ser>
        <c:ser>
          <c:idx val="1"/>
          <c:order val="1"/>
          <c:tx>
            <c:strRef>
              <c:f>Analysis!$I$247</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Analysis!$G$248:$G$249</c:f>
              <c:strCache>
                <c:ptCount val="2"/>
                <c:pt idx="0">
                  <c:v>GCA (25% of HH)</c:v>
                </c:pt>
                <c:pt idx="1">
                  <c:v>NGCA (100% HH)</c:v>
                </c:pt>
              </c:strCache>
            </c:strRef>
          </c:cat>
          <c:val>
            <c:numRef>
              <c:f>Analysis!$I$248:$I$249</c:f>
              <c:numCache>
                <c:formatCode>0</c:formatCode>
                <c:ptCount val="2"/>
                <c:pt idx="0">
                  <c:v>1430.4499999999998</c:v>
                </c:pt>
                <c:pt idx="1">
                  <c:v>5088</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[20201026_Myanmar_WASH_4W_2020_Q3_KachinShan_camp_Consolidate.xlsx]Analysis!PivotTable1</c:name>
    <c:fmtId val="2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access to functioning</a:t>
            </a:r>
            <a:r>
              <a:rPr lang="en-US" sz="1400" baseline="0"/>
              <a:t> latrine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Analysis!$P$129:$P$130</c:f>
              <c:numCache>
                <c:formatCode>_(* #,##0_);_(* \(#,##0\);_(* "-"??_);_(@_)</c:formatCode>
                <c:ptCount val="2"/>
                <c:pt idx="0">
                  <c:v>38572</c:v>
                </c:pt>
                <c:pt idx="1">
                  <c:v>25447</c:v>
                </c:pt>
              </c:numCache>
            </c:numRef>
          </c:val>
          <c:extLst>
            <c:ext xmlns:c16="http://schemas.microsoft.com/office/drawing/2014/chart" uri="{C3380CC4-5D6E-409C-BE32-E72D297353CC}">
              <c16:uniqueId val="{00000000-A50F-4103-A94E-73F541921735}"/>
            </c:ext>
          </c:extLst>
        </c:ser>
        <c:ser>
          <c:idx val="1"/>
          <c:order val="1"/>
          <c:tx>
            <c:strRef>
              <c:f>Analysis!$Q$128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Analysis!$O$129:$O$130</c:f>
              <c:strCache>
                <c:ptCount val="2"/>
                <c:pt idx="0">
                  <c:v># in GCA (20:1)</c:v>
                </c:pt>
                <c:pt idx="1">
                  <c:v># in NGCA (20:1)</c:v>
                </c:pt>
              </c:strCache>
            </c:strRef>
          </c:cat>
          <c:val>
            <c:numRef>
              <c:f>Analysis!$Q$129:$Q$130</c:f>
              <c:numCache>
                <c:formatCode>_(* #,##0_);_(* \(#,##0\);_(* "-"??_);_(@_)</c:formatCode>
                <c:ptCount val="2"/>
                <c:pt idx="0">
                  <c:v>16124</c:v>
                </c:pt>
                <c:pt idx="1">
                  <c:v>18146</c:v>
                </c:pt>
              </c:numCache>
            </c:numRef>
          </c:val>
          <c:extLst>
            <c:ext xmlns:c16="http://schemas.microsoft.com/office/drawing/2014/chart" uri="{C3380CC4-5D6E-409C-BE32-E72D297353CC}">
              <c16:uniqueId val="{00000001-A50F-4103-A94E-73F541921735}"/>
            </c:ext>
          </c:extLst>
        </c:ser>
        <c:dLbls>
          <c:showLegendKey val="0"/>
          <c:showVal val="0"/>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Analysis!$L$247</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Analysis!$K$248:$K$249</c:f>
              <c:strCache>
                <c:ptCount val="2"/>
                <c:pt idx="0">
                  <c:v>GCA</c:v>
                </c:pt>
                <c:pt idx="1">
                  <c:v>NGCA</c:v>
                </c:pt>
              </c:strCache>
            </c:strRef>
          </c:cat>
          <c:val>
            <c:numRef>
              <c:f>Analysis!$L$248:$L$249</c:f>
              <c:numCache>
                <c:formatCode>0</c:formatCode>
                <c:ptCount val="2"/>
                <c:pt idx="0">
                  <c:v>2268</c:v>
                </c:pt>
                <c:pt idx="1">
                  <c:v>2456</c:v>
                </c:pt>
              </c:numCache>
            </c:numRef>
          </c:val>
          <c:extLst>
            <c:ext xmlns:c16="http://schemas.microsoft.com/office/drawing/2014/chart" uri="{C3380CC4-5D6E-409C-BE32-E72D297353CC}">
              <c16:uniqueId val="{00000000-06ED-4B2E-A650-D2BCC4F3ED16}"/>
            </c:ext>
          </c:extLst>
        </c:ser>
        <c:ser>
          <c:idx val="1"/>
          <c:order val="1"/>
          <c:tx>
            <c:strRef>
              <c:f>Analysis!$M$247</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Analysis!$K$248:$K$249</c:f>
              <c:strCache>
                <c:ptCount val="2"/>
                <c:pt idx="0">
                  <c:v>GCA</c:v>
                </c:pt>
                <c:pt idx="1">
                  <c:v>NGCA</c:v>
                </c:pt>
              </c:strCache>
            </c:strRef>
          </c:cat>
          <c:val>
            <c:numRef>
              <c:f>Analysis!$M$248:$M$249</c:f>
              <c:numCache>
                <c:formatCode>0</c:formatCode>
                <c:ptCount val="2"/>
                <c:pt idx="0">
                  <c:v>13593.839999999998</c:v>
                </c:pt>
                <c:pt idx="1">
                  <c:v>10185.969999999999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2020-Q3(US$)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[6]National!$F$3</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[6]National!$F$5</c:f>
              <c:numCache>
                <c:formatCode>General</c:formatCode>
                <c:ptCount val="1"/>
                <c:pt idx="0">
                  <c:v>4903238.4312157091</c:v>
                </c:pt>
              </c:numCache>
            </c:numRef>
          </c:val>
          <c:extLst xmlns:c15="http://schemas.microsoft.com/office/drawing/2012/chart">
            <c:ext xmlns:c16="http://schemas.microsoft.com/office/drawing/2014/chart" uri="{C3380CC4-5D6E-409C-BE32-E72D297353CC}">
              <c16:uniqueId val="{00000000-1613-4BB5-9B36-ED502EE1DB63}"/>
            </c:ext>
          </c:extLst>
        </c:ser>
        <c:ser>
          <c:idx val="1"/>
          <c:order val="1"/>
          <c:tx>
            <c:strRef>
              <c:f>[6]National!$G$3</c:f>
              <c:strCache>
                <c:ptCount val="1"/>
                <c:pt idx="0">
                  <c:v>Covid fund</c:v>
                </c:pt>
              </c:strCache>
            </c:strRef>
          </c:tx>
          <c:spPr>
            <a:solidFill>
              <a:schemeClr val="accent1">
                <a:lumMod val="20000"/>
                <a:lumOff val="80000"/>
              </a:schemeClr>
            </a:solidFill>
            <a:ln>
              <a:noFill/>
            </a:ln>
            <a:effectLst/>
          </c:spPr>
          <c:invertIfNegative val="0"/>
          <c:dLbls>
            <c:dLbl>
              <c:idx val="0"/>
              <c:layout>
                <c:manualLayout>
                  <c:x val="1.090377249064052E-2"/>
                  <c:y val="-0.110003655961400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13-4BB5-9B36-ED502EE1DB63}"/>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[6]National!$G$5</c:f>
              <c:numCache>
                <c:formatCode>General</c:formatCode>
                <c:ptCount val="1"/>
                <c:pt idx="0">
                  <c:v>80709.268571428576</c:v>
                </c:pt>
              </c:numCache>
            </c:numRef>
          </c:val>
          <c:extLst>
            <c:ext xmlns:c16="http://schemas.microsoft.com/office/drawing/2014/chart" uri="{C3380CC4-5D6E-409C-BE32-E72D297353CC}">
              <c16:uniqueId val="{00000002-1613-4BB5-9B36-ED502EE1DB63}"/>
            </c:ext>
          </c:extLst>
        </c:ser>
        <c:ser>
          <c:idx val="2"/>
          <c:order val="2"/>
          <c:tx>
            <c:strRef>
              <c:f>[6]National!$I$3</c:f>
              <c:strCache>
                <c:ptCount val="1"/>
                <c:pt idx="0">
                  <c:v>Gap</c:v>
                </c:pt>
              </c:strCache>
            </c:strRef>
          </c:tx>
          <c:spPr>
            <a:solidFill>
              <a:schemeClr val="bg1">
                <a:lumMod val="85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[6]National!$I$5</c:f>
              <c:numCache>
                <c:formatCode>General</c:formatCode>
                <c:ptCount val="1"/>
                <c:pt idx="0">
                  <c:v>6587333.8725025654</c:v>
                </c:pt>
              </c:numCache>
            </c:numRef>
          </c:val>
          <c:extLst>
            <c:ext xmlns:c16="http://schemas.microsoft.com/office/drawing/2014/chart" uri="{C3380CC4-5D6E-409C-BE32-E72D297353CC}">
              <c16:uniqueId val="{00000003-1613-4BB5-9B36-ED502EE1DB63}"/>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0.14789992231957669</c:v>
              </c:pt>
            </c:numLit>
          </c:val>
          <c:extLst>
            <c:ext xmlns:c16="http://schemas.microsoft.com/office/drawing/2014/chart" uri="{C3380CC4-5D6E-409C-BE32-E72D297353CC}">
              <c16:uniqueId val="{00000000-AEF9-41FC-88B6-C0950E5C1FE6}"/>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0.42705013067905095</c:v>
              </c:pt>
            </c:numLit>
          </c:val>
          <c:extLst>
            <c:ext xmlns:c16="http://schemas.microsoft.com/office/drawing/2014/chart" uri="{C3380CC4-5D6E-409C-BE32-E72D297353CC}">
              <c16:uniqueId val="{00000001-AEF9-41FC-88B6-C0950E5C1FE6}"/>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0.40979446385914475</c:v>
              </c:pt>
            </c:numLit>
          </c:val>
          <c:extLst>
            <c:ext xmlns:c16="http://schemas.microsoft.com/office/drawing/2014/chart" uri="{C3380CC4-5D6E-409C-BE32-E72D297353CC}">
              <c16:uniqueId val="{00000002-AEF9-41FC-88B6-C0950E5C1FE6}"/>
            </c:ext>
          </c:extLst>
        </c:ser>
        <c:ser>
          <c:idx val="3"/>
          <c:order val="3"/>
          <c:tx>
            <c:v>UN/Gov</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1.5255483142227685E-2</c:v>
              </c:pt>
            </c:numLit>
          </c:val>
          <c:extLst>
            <c:ext xmlns:c16="http://schemas.microsoft.com/office/drawing/2014/chart" uri="{C3380CC4-5D6E-409C-BE32-E72D297353CC}">
              <c16:uniqueId val="{00000003-AEF9-41FC-88B6-C0950E5C1FE6}"/>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layout>
        <c:manualLayout>
          <c:xMode val="edge"/>
          <c:yMode val="edge"/>
          <c:x val="0.43898457821144221"/>
          <c:y val="1.1261261261261261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5908951371192414"/>
          <c:y val="0.11150367397210222"/>
          <c:w val="0.49005460508073995"/>
          <c:h val="0.73631316957361048"/>
        </c:manualLayout>
      </c:layout>
      <c:barChart>
        <c:barDir val="bar"/>
        <c:grouping val="percentStacked"/>
        <c:varyColors val="0"/>
        <c:ser>
          <c:idx val="0"/>
          <c:order val="0"/>
          <c:tx>
            <c:strRef>
              <c:f>Analysis!$D$429</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BEC-4BF1-B49F-48D2B806FB66}"/>
                </c:ext>
              </c:extLst>
            </c:dLbl>
            <c:dLbl>
              <c:idx val="3"/>
              <c:delete val="1"/>
              <c:extLst>
                <c:ext xmlns:c15="http://schemas.microsoft.com/office/drawing/2012/chart" uri="{CE6537A1-D6FC-4f65-9D91-7224C49458BB}"/>
                <c:ext xmlns:c16="http://schemas.microsoft.com/office/drawing/2014/chart" uri="{C3380CC4-5D6E-409C-BE32-E72D297353CC}">
                  <c16:uniqueId val="{00000001-4BEC-4BF1-B49F-48D2B806FB6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Analysis!$C$430:$C$433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Analysis!$D$430:$D$433</c:f>
              <c:numCache>
                <c:formatCode>0%</c:formatCode>
                <c:ptCount val="4"/>
                <c:pt idx="0">
                  <c:v>0</c:v>
                </c:pt>
                <c:pt idx="1">
                  <c:v>0</c:v>
                </c:pt>
                <c:pt idx="2">
                  <c:v>0</c:v>
                </c:pt>
                <c:pt idx="3">
                  <c:v>0</c:v>
                </c:pt>
              </c:numCache>
            </c:numRef>
          </c:val>
          <c:extLst>
            <c:ext xmlns:c16="http://schemas.microsoft.com/office/drawing/2014/chart" uri="{C3380CC4-5D6E-409C-BE32-E72D297353CC}">
              <c16:uniqueId val="{00000002-4BEC-4BF1-B49F-48D2B806FB66}"/>
            </c:ext>
          </c:extLst>
        </c:ser>
        <c:ser>
          <c:idx val="1"/>
          <c:order val="1"/>
          <c:tx>
            <c:strRef>
              <c:f>Analysis!$E$429</c:f>
              <c:strCache>
                <c:ptCount val="1"/>
                <c:pt idx="0">
                  <c:v>No</c:v>
                </c:pt>
              </c:strCache>
            </c:strRef>
          </c:tx>
          <c:spPr>
            <a:solidFill>
              <a:schemeClr val="accent4">
                <a:lumMod val="40000"/>
                <a:lumOff val="60000"/>
              </a:schemeClr>
            </a:solidFill>
            <a:ln>
              <a:noFill/>
            </a:ln>
            <a:effectLst/>
          </c:spPr>
          <c:invertIfNegative val="0"/>
          <c:dLbls>
            <c:delete val="1"/>
          </c:dLbls>
          <c:cat>
            <c:strRef>
              <c:f>Analysis!$C$430:$C$433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Analysis!$E$430:$E$433</c:f>
              <c:numCache>
                <c:formatCode>0%</c:formatCode>
                <c:ptCount val="4"/>
                <c:pt idx="0">
                  <c:v>1</c:v>
                </c:pt>
                <c:pt idx="1">
                  <c:v>1</c:v>
                </c:pt>
                <c:pt idx="2">
                  <c:v>1</c:v>
                </c:pt>
                <c:pt idx="3">
                  <c:v>1</c:v>
                </c:pt>
              </c:numCache>
            </c:numRef>
          </c:val>
          <c:extLst>
            <c:ext xmlns:c16="http://schemas.microsoft.com/office/drawing/2014/chart" uri="{C3380CC4-5D6E-409C-BE32-E72D297353CC}">
              <c16:uniqueId val="{00000003-4BEC-4BF1-B49F-48D2B806FB66}"/>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majorUnit val="0.2"/>
      </c:valAx>
      <c:spPr>
        <a:noFill/>
        <a:ln>
          <a:noFill/>
        </a:ln>
        <a:effectLst/>
      </c:spPr>
    </c:plotArea>
    <c:legend>
      <c:legendPos val="b"/>
      <c:layout>
        <c:manualLayout>
          <c:xMode val="edge"/>
          <c:yMode val="edge"/>
          <c:x val="0.17464795938576919"/>
          <c:y val="0.88460050488414788"/>
          <c:w val="0.17908849043400188"/>
          <c:h val="8.6028862510749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Analysis!$I$303:$I$304</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Analysis!$H$305:$H$306</c:f>
              <c:strCache>
                <c:ptCount val="2"/>
                <c:pt idx="0">
                  <c:v>Camp</c:v>
                </c:pt>
                <c:pt idx="1">
                  <c:v>Camp_not registered</c:v>
                </c:pt>
              </c:strCache>
            </c:strRef>
          </c:cat>
          <c:val>
            <c:numRef>
              <c:f>Analysis!$I$305:$I$306</c:f>
              <c:numCache>
                <c:formatCode>General</c:formatCode>
                <c:ptCount val="2"/>
                <c:pt idx="0">
                  <c:v>32</c:v>
                </c:pt>
                <c:pt idx="1">
                  <c:v>2</c:v>
                </c:pt>
              </c:numCache>
            </c:numRef>
          </c:val>
          <c:extLst>
            <c:ext xmlns:c16="http://schemas.microsoft.com/office/drawing/2014/chart" uri="{C3380CC4-5D6E-409C-BE32-E72D297353CC}">
              <c16:uniqueId val="{00000000-3362-4AEB-874F-700C3F0AB1CA}"/>
            </c:ext>
          </c:extLst>
        </c:ser>
        <c:ser>
          <c:idx val="1"/>
          <c:order val="1"/>
          <c:tx>
            <c:strRef>
              <c:f>Analysis!$J$303:$J$304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Analysis!$H$305:$H$306</c:f>
              <c:strCache>
                <c:ptCount val="2"/>
                <c:pt idx="0">
                  <c:v>Camp</c:v>
                </c:pt>
                <c:pt idx="1">
                  <c:v>Camp_not registered</c:v>
                </c:pt>
              </c:strCache>
            </c:strRef>
          </c:cat>
          <c:val>
            <c:numRef>
              <c:f>Analysis!$J$305:$J$306</c:f>
              <c:numCache>
                <c:formatCode>General</c:formatCode>
                <c:ptCount val="2"/>
                <c:pt idx="0">
                  <c:v>1</c:v>
                </c:pt>
              </c:numCache>
            </c:numRef>
          </c:val>
          <c:extLst>
            <c:ext xmlns:c16="http://schemas.microsoft.com/office/drawing/2014/chart" uri="{C3380CC4-5D6E-409C-BE32-E72D297353CC}">
              <c16:uniqueId val="{00000001-3362-4AEB-874F-700C3F0AB1CA}"/>
            </c:ext>
          </c:extLst>
        </c:ser>
        <c:dLbls>
          <c:showLegendKey val="0"/>
          <c:showVal val="0"/>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9117930462285512"/>
          <c:h val="9.881960673291705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2020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HRP!$E$99</c:f>
              <c:strCache>
                <c:ptCount val="1"/>
                <c:pt idx="0">
                  <c:v>Coverage</c:v>
                </c:pt>
              </c:strCache>
            </c:strRef>
          </c:tx>
          <c:spPr>
            <a:solidFill>
              <a:srgbClr val="0070C0"/>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B5ED-4942-B40E-F08C88DFE4B9}"/>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9A31-4D6D-BBDD-21CF4D0AF62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HRP!$C$100:$C$103</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HRP!$E$100:$E$103</c:f>
              <c:numCache>
                <c:formatCode>_(* #,##0_);_(* \(#,##0\);_(* "-"??_);_(@_)</c:formatCode>
                <c:ptCount val="4"/>
                <c:pt idx="0">
                  <c:v>0</c:v>
                </c:pt>
                <c:pt idx="1">
                  <c:v>9304</c:v>
                </c:pt>
                <c:pt idx="2">
                  <c:v>10473</c:v>
                </c:pt>
                <c:pt idx="3">
                  <c:v>10873.333333333332</c:v>
                </c:pt>
              </c:numCache>
            </c:numRef>
          </c:val>
          <c:extLst>
            <c:ext xmlns:c16="http://schemas.microsoft.com/office/drawing/2014/chart" uri="{C3380CC4-5D6E-409C-BE32-E72D297353CC}">
              <c16:uniqueId val="{00000008-B5ED-4942-B40E-F08C88DFE4B9}"/>
            </c:ext>
          </c:extLst>
        </c:ser>
        <c:ser>
          <c:idx val="1"/>
          <c:order val="1"/>
          <c:tx>
            <c:strRef>
              <c:f>HRP!$F$99</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8-B869-48B5-BFFA-412422E81D8D}"/>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9A31-4D6D-BBDD-21CF4D0AF627}"/>
              </c:ext>
            </c:extLst>
          </c:dPt>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7-9A31-4D6D-BBDD-21CF4D0AF62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HRP!$C$100:$C$103</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HRP!$F$100:$F$103</c:f>
              <c:numCache>
                <c:formatCode>_(* #,##0_);_(* \(#,##0\);_(* "-"??_);_(@_)</c:formatCode>
                <c:ptCount val="4"/>
                <c:pt idx="0">
                  <c:v>2741</c:v>
                </c:pt>
                <c:pt idx="1">
                  <c:v>11729</c:v>
                </c:pt>
                <c:pt idx="2">
                  <c:v>10560</c:v>
                </c:pt>
                <c:pt idx="3">
                  <c:v>10159.666666666668</c:v>
                </c:pt>
              </c:numCache>
            </c:numRef>
          </c:val>
          <c:extLst>
            <c:ext xmlns:c16="http://schemas.microsoft.com/office/drawing/2014/chart" uri="{C3380CC4-5D6E-409C-BE32-E72D297353CC}">
              <c16:uniqueId val="{00000008-A81F-4B7C-82AD-EA96CA146FDD}"/>
            </c:ext>
          </c:extLst>
        </c:ser>
        <c:dLbls>
          <c:showLegendKey val="0"/>
          <c:showVal val="0"/>
          <c:showCatName val="0"/>
          <c:showSerName val="0"/>
          <c:showPercent val="0"/>
          <c:showBubbleSize val="0"/>
        </c:dLbls>
        <c:gapWidth val="150"/>
        <c:overlap val="100"/>
        <c:axId val="419845568"/>
        <c:axId val="419845960"/>
      </c:barChart>
      <c:catAx>
        <c:axId val="4198455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9845960"/>
        <c:crosses val="autoZero"/>
        <c:auto val="1"/>
        <c:lblAlgn val="ctr"/>
        <c:lblOffset val="100"/>
        <c:noMultiLvlLbl val="0"/>
      </c:catAx>
      <c:valAx>
        <c:axId val="41984596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55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Analysis!$D$384:$H$384</c:f>
              <c:strCache>
                <c:ptCount val="5"/>
                <c:pt idx="0">
                  <c:v> # of hand washing stations with sufficient soap in TLS</c:v>
                </c:pt>
                <c:pt idx="1">
                  <c:v> # of hand washing stations for TLS</c:v>
                </c:pt>
                <c:pt idx="2">
                  <c:v># Hygiene Promotion activities (sessions) in TLS</c:v>
                </c:pt>
                <c:pt idx="3">
                  <c:v> # of latrines in TLS/CFS </c:v>
                </c:pt>
                <c:pt idx="4">
                  <c:v># Water points in TLS/CFS/THF</c:v>
                </c:pt>
              </c:strCache>
            </c:strRef>
          </c:cat>
          <c:val>
            <c:numRef>
              <c:f>Analysis!$D$386:$H$386</c:f>
              <c:numCache>
                <c:formatCode>_(* #,##0_);_(* \(#,##0\);_(* "-"??_);_(@_)</c:formatCode>
                <c:ptCount val="5"/>
                <c:pt idx="0">
                  <c:v>18</c:v>
                </c:pt>
                <c:pt idx="1">
                  <c:v>25</c:v>
                </c:pt>
                <c:pt idx="2">
                  <c:v>0</c:v>
                </c:pt>
                <c:pt idx="3">
                  <c:v>12</c:v>
                </c:pt>
                <c:pt idx="4">
                  <c:v>5</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layout>
        <c:manualLayout>
          <c:xMode val="edge"/>
          <c:yMode val="edge"/>
          <c:x val="0.12955926705384807"/>
          <c:y val="0.73248833479148434"/>
          <c:w val="0.72246173694645943"/>
          <c:h val="0.23925853018372703"/>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Analysis!$G$229:$G$231</c:f>
              <c:strCache>
                <c:ptCount val="3"/>
                <c:pt idx="0">
                  <c:v>#HH reached by regular dedicated hygiene promotion</c:v>
                </c:pt>
                <c:pt idx="1">
                  <c:v>#HH with access to Hand Washing Station</c:v>
                </c:pt>
                <c:pt idx="2">
                  <c:v>#HH received standard amount of soap</c:v>
                </c:pt>
              </c:strCache>
            </c:strRef>
          </c:cat>
          <c:val>
            <c:numRef>
              <c:f>Analysis!$H$229:$H$231</c:f>
              <c:numCache>
                <c:formatCode>0</c:formatCode>
                <c:ptCount val="3"/>
                <c:pt idx="0">
                  <c:v>1354</c:v>
                </c:pt>
                <c:pt idx="1">
                  <c:v>860</c:v>
                </c:pt>
                <c:pt idx="2" formatCode="General">
                  <c:v>1401</c:v>
                </c:pt>
              </c:numCache>
            </c:numRef>
          </c:val>
          <c:extLst>
            <c:ext xmlns:c16="http://schemas.microsoft.com/office/drawing/2014/chart" uri="{C3380CC4-5D6E-409C-BE32-E72D297353CC}">
              <c16:uniqueId val="{00000000-CBDF-46C4-8398-2F2620566A1B}"/>
            </c:ext>
          </c:extLst>
        </c:ser>
        <c:ser>
          <c:idx val="1"/>
          <c:order val="1"/>
          <c:tx>
            <c:strRef>
              <c:f>Analysis!$I$228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Analysis!$G$229:$G$231</c:f>
              <c:strCache>
                <c:ptCount val="3"/>
                <c:pt idx="0">
                  <c:v>#HH reached by regular dedicated hygiene promotion</c:v>
                </c:pt>
                <c:pt idx="1">
                  <c:v>#HH with access to Hand Washing Station</c:v>
                </c:pt>
                <c:pt idx="2">
                  <c:v>#HH received standard amount of soap</c:v>
                </c:pt>
              </c:strCache>
            </c:strRef>
          </c:cat>
          <c:val>
            <c:numRef>
              <c:f>Analysis!$I$229:$I$231</c:f>
              <c:numCache>
                <c:formatCode>0</c:formatCode>
                <c:ptCount val="3"/>
                <c:pt idx="0">
                  <c:v>499</c:v>
                </c:pt>
                <c:pt idx="1">
                  <c:v>993</c:v>
                </c:pt>
                <c:pt idx="2" formatCode="General">
                  <c:v>452</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[20201026_Myanmar_WASH_4W_2020_Q3_KachinShan_camp_Consolidate.xlsx]Analysis!S_water1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Analysis!$J$46</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Analysis!$J$47</c:f>
              <c:numCache>
                <c:formatCode>0</c:formatCode>
                <c:ptCount val="1"/>
                <c:pt idx="0">
                  <c:v>9.0153333333333361</c:v>
                </c:pt>
              </c:numCache>
            </c:numRef>
          </c:val>
          <c:extLst>
            <c:ext xmlns:c16="http://schemas.microsoft.com/office/drawing/2014/chart" uri="{C3380CC4-5D6E-409C-BE32-E72D297353CC}">
              <c16:uniqueId val="{00000000-D7F4-4139-9C36-2442EE4AFBCC}"/>
            </c:ext>
          </c:extLst>
        </c:ser>
        <c:ser>
          <c:idx val="1"/>
          <c:order val="1"/>
          <c:tx>
            <c:strRef>
              <c:f>Analysis!$K$46</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Analysis!$I$47</c:f>
              <c:strCache>
                <c:ptCount val="1"/>
                <c:pt idx="0">
                  <c:v>GCA (500:1)</c:v>
                </c:pt>
              </c:strCache>
            </c:strRef>
          </c:cat>
          <c:val>
            <c:numRef>
              <c:f>Analysis!$K$47</c:f>
              <c:numCache>
                <c:formatCode>0</c:formatCode>
                <c:ptCount val="1"/>
                <c:pt idx="0">
                  <c:v>26.138666666666662</c:v>
                </c:pt>
              </c:numCache>
            </c:numRef>
          </c:val>
          <c:extLst>
            <c:ext xmlns:c16="http://schemas.microsoft.com/office/drawing/2014/chart" uri="{C3380CC4-5D6E-409C-BE32-E72D297353CC}">
              <c16:uniqueId val="{00000001-D7F4-4139-9C36-2442EE4AFBCC}"/>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Q3-2020</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Analysis!$J$60:$K$60</c:f>
              <c:strCache>
                <c:ptCount val="2"/>
                <c:pt idx="0">
                  <c:v>Tested</c:v>
                </c:pt>
                <c:pt idx="1">
                  <c:v>No Test</c:v>
                </c:pt>
              </c:strCache>
              <c:extLst xmlns:c15="http://schemas.microsoft.com/office/drawing/2012/chart"/>
            </c:strRef>
          </c:cat>
          <c:val>
            <c:numRef>
              <c:f>Analysis!$J$62:$K$62</c:f>
              <c:numCache>
                <c:formatCode>0</c:formatCode>
                <c:ptCount val="2"/>
                <c:pt idx="0" formatCode="General">
                  <c:v>0</c:v>
                </c:pt>
                <c:pt idx="1">
                  <c:v>34</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Analysis!$H$61</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Analysis!$J$60:$K$60</c15:sqref>
                        </c15:formulaRef>
                      </c:ext>
                    </c:extLst>
                    <c:strCache>
                      <c:ptCount val="2"/>
                      <c:pt idx="0">
                        <c:v>Tested</c:v>
                      </c:pt>
                      <c:pt idx="1">
                        <c:v>No Test</c:v>
                      </c:pt>
                    </c:strCache>
                  </c:strRef>
                </c:cat>
                <c:val>
                  <c:numRef>
                    <c:extLst>
                      <c:ext uri="{02D57815-91ED-43cb-92C2-25804820EDAC}">
                        <c15:formulaRef>
                          <c15:sqref>Analysis!$J$61:$K$61</c15:sqref>
                        </c15:formulaRef>
                      </c:ext>
                    </c:extLst>
                    <c:numCache>
                      <c:formatCode>0</c:formatCode>
                      <c:ptCount val="2"/>
                      <c:pt idx="0" formatCode="General">
                        <c:v>28</c:v>
                      </c:pt>
                      <c:pt idx="1">
                        <c:v>111</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Analysis!$H$63</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Analysis!$J$60:$K$60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Analysis!$J$63:$K$63</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Analysis!$H$62</c:f>
              <c:strCache>
                <c:ptCount val="1"/>
                <c:pt idx="0">
                  <c:v>Shan (North)</c:v>
                </c:pt>
              </c:strCache>
            </c:strRef>
          </c:cat>
          <c:val>
            <c:numRef>
              <c:extLst>
                <c:ext xmlns:c15="http://schemas.microsoft.com/office/drawing/2012/chart" uri="{02D57815-91ED-43cb-92C2-25804820EDAC}">
                  <c15:fullRef>
                    <c15:sqref>Analysis!$L$61:$L$63</c15:sqref>
                  </c15:fullRef>
                </c:ext>
              </c:extLst>
              <c:f>Analysis!$L$62</c:f>
              <c:numCache>
                <c:formatCode>General</c:formatCode>
                <c:ptCount val="1"/>
                <c:pt idx="0">
                  <c:v>0</c:v>
                </c:pt>
              </c:numCache>
            </c:numRef>
          </c:val>
          <c:extLst>
            <c:ext xmlns:c16="http://schemas.microsoft.com/office/drawing/2014/chart" uri="{C3380CC4-5D6E-409C-BE32-E72D297353CC}">
              <c16:uniqueId val="{00000000-38D6-4369-BEB9-91BE6B261982}"/>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Analysis!$H$61:$H$63</c15:sqref>
                  </c15:fullRef>
                </c:ext>
              </c:extLst>
              <c:f>Analysis!$H$62</c:f>
              <c:strCache>
                <c:ptCount val="1"/>
                <c:pt idx="0">
                  <c:v>Shan (North)</c:v>
                </c:pt>
              </c:strCache>
            </c:strRef>
          </c:cat>
          <c:val>
            <c:numRef>
              <c:extLst>
                <c:ext xmlns:c15="http://schemas.microsoft.com/office/drawing/2012/chart" uri="{02D57815-91ED-43cb-92C2-25804820EDAC}">
                  <c15:fullRef>
                    <c15:sqref>Analysis!$M$61:$M$63</c15:sqref>
                  </c15:fullRef>
                </c:ext>
              </c:extLst>
              <c:f>Analysis!$M$62</c:f>
              <c:numCache>
                <c:formatCode>General</c:formatCode>
                <c:ptCount val="1"/>
                <c:pt idx="0">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Q3-2020</a:t>
            </a:r>
            <a:endParaRPr lang="en-US" sz="1400">
              <a:effectLst/>
            </a:endParaRPr>
          </a:p>
        </c:rich>
      </c:tx>
      <c:layout>
        <c:manualLayout>
          <c:xMode val="edge"/>
          <c:yMode val="edge"/>
          <c:x val="0.16449865219550258"/>
          <c:y val="7.4832853499604999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Analysis!$V$62</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Analysis!$X$60:$Y$60</c:f>
              <c:strCache>
                <c:ptCount val="2"/>
                <c:pt idx="0">
                  <c:v>Tested</c:v>
                </c:pt>
                <c:pt idx="1">
                  <c:v>No test</c:v>
                </c:pt>
              </c:strCache>
              <c:extLst xmlns:c15="http://schemas.microsoft.com/office/drawing/2012/chart"/>
            </c:strRef>
          </c:cat>
          <c:val>
            <c:numRef>
              <c:f>Analysis!$X$62:$Y$62</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Analysis!$V$61</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Analysis!$X$60:$Y$60</c15:sqref>
                        </c15:formulaRef>
                      </c:ext>
                    </c:extLst>
                    <c:strCache>
                      <c:ptCount val="2"/>
                      <c:pt idx="0">
                        <c:v>Tested</c:v>
                      </c:pt>
                      <c:pt idx="1">
                        <c:v>No test</c:v>
                      </c:pt>
                    </c:strCache>
                  </c:strRef>
                </c:cat>
                <c:val>
                  <c:numRef>
                    <c:extLst>
                      <c:ext uri="{02D57815-91ED-43cb-92C2-25804820EDAC}">
                        <c15:formulaRef>
                          <c15:sqref>Analysis!$X$61:$Y$61</c15:sqref>
                        </c15:formulaRef>
                      </c:ext>
                    </c:extLst>
                    <c:numCache>
                      <c:formatCode>General</c:formatCode>
                      <c:ptCount val="2"/>
                      <c:pt idx="0">
                        <c:v>25</c:v>
                      </c:pt>
                      <c:pt idx="1">
                        <c:v>114</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Analysis!$V$63</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Analysis!$X$60:$Y$60</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Analysis!$X$63:$Y$63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Analysis!$Z$60</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Analysis!$V$62</c:f>
              <c:strCache>
                <c:ptCount val="1"/>
                <c:pt idx="0">
                  <c:v>Shan (North)</c:v>
                </c:pt>
              </c:strCache>
            </c:strRef>
          </c:cat>
          <c:val>
            <c:numRef>
              <c:extLst>
                <c:ext xmlns:c15="http://schemas.microsoft.com/office/drawing/2012/chart" uri="{02D57815-91ED-43cb-92C2-25804820EDAC}">
                  <c15:fullRef>
                    <c15:sqref>Analysis!$Z$61:$Z$63</c15:sqref>
                  </c15:fullRef>
                </c:ext>
              </c:extLst>
              <c:f>Analysis!$Z$62</c:f>
              <c:numCache>
                <c:formatCode>General</c:formatCode>
                <c:ptCount val="1"/>
                <c:pt idx="0">
                  <c:v>0</c:v>
                </c:pt>
              </c:numCache>
            </c:numRef>
          </c:val>
          <c:extLst>
            <c:ext xmlns:c16="http://schemas.microsoft.com/office/drawing/2014/chart" uri="{C3380CC4-5D6E-409C-BE32-E72D297353CC}">
              <c16:uniqueId val="{00000000-16BA-41CC-B04A-6600D6A5C684}"/>
            </c:ext>
          </c:extLst>
        </c:ser>
        <c:ser>
          <c:idx val="1"/>
          <c:order val="1"/>
          <c:tx>
            <c:strRef>
              <c:f>Analysis!$AA$60</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Analysis!$V$61:$V$63</c15:sqref>
                  </c15:fullRef>
                </c:ext>
              </c:extLst>
              <c:f>Analysis!$V$62</c:f>
              <c:strCache>
                <c:ptCount val="1"/>
                <c:pt idx="0">
                  <c:v>Shan (North)</c:v>
                </c:pt>
              </c:strCache>
            </c:strRef>
          </c:cat>
          <c:val>
            <c:numRef>
              <c:extLst>
                <c:ext xmlns:c15="http://schemas.microsoft.com/office/drawing/2012/chart" uri="{02D57815-91ED-43cb-92C2-25804820EDAC}">
                  <c15:fullRef>
                    <c15:sqref>Analysis!$AA$61:$AA$63</c15:sqref>
                  </c15:fullRef>
                </c:ext>
              </c:extLst>
              <c:f>Analysis!$AA$62</c:f>
              <c:numCache>
                <c:formatCode>General</c:formatCode>
                <c:ptCount val="1"/>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7936860645290742"/>
          <c:w val="0.93664955393335791"/>
          <c:h val="0.291645278535836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Analysis!$B$170</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extLst xmlns:c15="http://schemas.microsoft.com/office/drawing/2012/chart"/>
            </c:strRef>
          </c:cat>
          <c:val>
            <c:numRef>
              <c:f>Analysis!$C$170:$F$170</c:f>
              <c:numCache>
                <c:formatCode>General</c:formatCode>
                <c:ptCount val="4"/>
                <c:pt idx="0">
                  <c:v>15</c:v>
                </c:pt>
                <c:pt idx="1">
                  <c:v>7</c:v>
                </c:pt>
                <c:pt idx="2">
                  <c:v>6</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Analysis!$C$168:$F$168</c15:sqref>
                        </c15:formulaRef>
                      </c:ext>
                    </c:extLst>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Analysis!$B$169</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Analysis!$C$167:$F$167</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Analysis!$C$169:$F$169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Analysis!$B$186</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ext>
              </c:extLst>
              <c:f>Analysis!$C$183:$E$183</c:f>
              <c:strCache>
                <c:ptCount val="3"/>
                <c:pt idx="0">
                  <c:v>NA</c:v>
                </c:pt>
                <c:pt idx="1">
                  <c:v>No</c:v>
                </c:pt>
                <c:pt idx="2">
                  <c:v>Yes</c:v>
                </c:pt>
              </c:strCache>
            </c:strRef>
          </c:cat>
          <c:val>
            <c:numRef>
              <c:extLst>
                <c:ext xmlns:c15="http://schemas.microsoft.com/office/drawing/2012/chart" uri="{02D57815-91ED-43cb-92C2-25804820EDAC}">
                  <c15:fullRef>
                    <c15:sqref>Analysis!$C$186:$F$186</c15:sqref>
                  </c15:fullRef>
                </c:ext>
              </c:extLst>
              <c:f>Analysis!$C$186:$E$186</c:f>
              <c:numCache>
                <c:formatCode>General</c:formatCode>
                <c:ptCount val="3"/>
                <c:pt idx="0">
                  <c:v>7</c:v>
                </c:pt>
                <c:pt idx="1">
                  <c:v>6</c:v>
                </c:pt>
                <c:pt idx="2">
                  <c:v>21</c:v>
                </c:pt>
              </c:numCache>
            </c:numRef>
          </c:val>
          <c:extLst>
            <c:ext xmlns:c15="http://schemas.microsoft.com/office/drawing/2012/chart" uri="{02D57815-91ED-43cb-92C2-25804820EDAC}">
              <c15:categoryFilterExceptions>
                <c15:categoryFilterException>
                  <c15:sqref>Analysis!$F$186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0A11-4ABD-9E57-10DB3D9E8B44}"/>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Analysis!$B$184</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uri="{02D57815-91ED-43cb-92C2-25804820EDAC}">
                        <c15:fullRef>
                          <c15:sqref>Analysis!$C$184:$F$184</c15:sqref>
                        </c15:fullRef>
                        <c15:formulaRef>
                          <c15:sqref>Analysis!$C$184:$E$184</c15:sqref>
                        </c15:formulaRef>
                      </c:ext>
                    </c:extLst>
                    <c:numCache>
                      <c:formatCode>General</c:formatCode>
                      <c:ptCount val="3"/>
                      <c:pt idx="0">
                        <c:v>12</c:v>
                      </c:pt>
                      <c:pt idx="1">
                        <c:v>7</c:v>
                      </c:pt>
                      <c:pt idx="2">
                        <c:v>120</c:v>
                      </c:pt>
                    </c:numCache>
                  </c:numRef>
                </c:val>
                <c:extLst>
                  <c:ex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Analysis!$C$183:$F$183</c15:sqref>
                        </c15:fullRef>
                        <c15:formulaRef>
                          <c15:sqref>Analysis!$C$183:$E$183</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Analysis!$C$185:$F$185</c15:sqref>
                        </c15:fullRef>
                        <c15:formulaRef>
                          <c15:sqref>Analysis!$C$185:$E$185</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Analysis!$F$185</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Analysis!$J$143</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Analysis!$K$143:$L$143</c15:sqref>
                  </c15:fullRef>
                </c:ext>
              </c:extLst>
              <c:f>Analysis!$K$143</c:f>
              <c:numCache>
                <c:formatCode>General</c:formatCode>
                <c:ptCount val="1"/>
                <c:pt idx="0" formatCode="_(* #,##0_);_(* \(#,##0\);_(* &quot;-&quot;??_);_(@_)">
                  <c:v>37</c:v>
                </c:pt>
              </c:numCache>
            </c:numRef>
          </c:val>
          <c:extLst>
            <c:ext xmlns:c16="http://schemas.microsoft.com/office/drawing/2014/chart" uri="{C3380CC4-5D6E-409C-BE32-E72D297353CC}">
              <c16:uniqueId val="{00000000-014A-4722-B456-E8907B7553F3}"/>
            </c:ext>
          </c:extLst>
        </c:ser>
        <c:ser>
          <c:idx val="1"/>
          <c:order val="1"/>
          <c:tx>
            <c:strRef>
              <c:f>Analysis!$J$144</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Analysis!$K$138:$L$138</c15:sqref>
                  </c15:fullRef>
                </c:ext>
              </c:extLst>
              <c:f>Analysis!$K$138</c:f>
              <c:strCache>
                <c:ptCount val="1"/>
                <c:pt idx="0">
                  <c:v> # in GCA (20:1) </c:v>
                </c:pt>
              </c:strCache>
            </c:strRef>
          </c:cat>
          <c:val>
            <c:numRef>
              <c:extLst>
                <c:ext xmlns:c15="http://schemas.microsoft.com/office/drawing/2012/chart" uri="{02D57815-91ED-43cb-92C2-25804820EDAC}">
                  <c15:fullRef>
                    <c15:sqref>Analysis!$K$144:$L$144</c15:sqref>
                  </c15:fullRef>
                </c:ext>
              </c:extLst>
              <c:f>Analysis!$K$144</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693521934064418"/>
          <c:y val="0.18521747912365405"/>
          <c:w val="0.48640971278746598"/>
          <c:h val="0.66954380131809299"/>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Analysis!$N$137:$N$138</c:f>
              <c:strCache>
                <c:ptCount val="2"/>
                <c:pt idx="0">
                  <c:v>Functioning</c:v>
                </c:pt>
                <c:pt idx="1">
                  <c:v>Not_Functioning</c:v>
                </c:pt>
              </c:strCache>
            </c:strRef>
          </c:cat>
          <c:val>
            <c:numRef>
              <c:f>Analysis!$O$137:$O$138</c:f>
              <c:numCache>
                <c:formatCode>_(* #,##0_);_(* \(#,##0\);_(* "-"??_);_(@_)</c:formatCode>
                <c:ptCount val="2"/>
                <c:pt idx="0">
                  <c:v>978</c:v>
                </c:pt>
                <c:pt idx="1">
                  <c:v>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Analysis!$G$229:$G$231</c:f>
              <c:strCache>
                <c:ptCount val="3"/>
                <c:pt idx="0">
                  <c:v>#HH reached by regular dedicated hygiene promotion</c:v>
                </c:pt>
                <c:pt idx="1">
                  <c:v>#HH with access to Hand Washing Station</c:v>
                </c:pt>
                <c:pt idx="2">
                  <c:v>#HH received standard amount of soap</c:v>
                </c:pt>
              </c:strCache>
            </c:strRef>
          </c:cat>
          <c:val>
            <c:numRef>
              <c:f>Analysis!$H$229:$H$231</c:f>
              <c:numCache>
                <c:formatCode>0</c:formatCode>
                <c:ptCount val="3"/>
                <c:pt idx="0">
                  <c:v>1354</c:v>
                </c:pt>
                <c:pt idx="1">
                  <c:v>860</c:v>
                </c:pt>
                <c:pt idx="2" formatCode="General">
                  <c:v>1401</c:v>
                </c:pt>
              </c:numCache>
            </c:numRef>
          </c:val>
          <c:extLst>
            <c:ext xmlns:c16="http://schemas.microsoft.com/office/drawing/2014/chart" uri="{C3380CC4-5D6E-409C-BE32-E72D297353CC}">
              <c16:uniqueId val="{00000000-167B-4022-87C3-E61198FB0BE3}"/>
            </c:ext>
          </c:extLst>
        </c:ser>
        <c:ser>
          <c:idx val="1"/>
          <c:order val="1"/>
          <c:tx>
            <c:strRef>
              <c:f>Analysis!$I$228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Analysis!$G$229:$G$231</c:f>
              <c:strCache>
                <c:ptCount val="3"/>
                <c:pt idx="0">
                  <c:v>#HH reached by regular dedicated hygiene promotion</c:v>
                </c:pt>
                <c:pt idx="1">
                  <c:v>#HH with access to Hand Washing Station</c:v>
                </c:pt>
                <c:pt idx="2">
                  <c:v>#HH received standard amount of soap</c:v>
                </c:pt>
              </c:strCache>
            </c:strRef>
          </c:cat>
          <c:val>
            <c:numRef>
              <c:f>Analysis!$I$229:$I$231</c:f>
              <c:numCache>
                <c:formatCode>0</c:formatCode>
                <c:ptCount val="3"/>
                <c:pt idx="0">
                  <c:v>499</c:v>
                </c:pt>
                <c:pt idx="1">
                  <c:v>993</c:v>
                </c:pt>
                <c:pt idx="2" formatCode="General">
                  <c:v>452</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Analysis!$C$168:$F$168</c:f>
              <c:numCache>
                <c:formatCode>General</c:formatCode>
                <c:ptCount val="4"/>
                <c:pt idx="0">
                  <c:v>97</c:v>
                </c:pt>
                <c:pt idx="1">
                  <c:v>15</c:v>
                </c:pt>
                <c:pt idx="2">
                  <c:v>15</c:v>
                </c:pt>
                <c:pt idx="3">
                  <c:v>12</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[20201026_Myanmar_WASH_4W_2020_Q3_KachinShan_camp_Consolidate.xlsx]Analysis!PivotTable11</c:name>
    <c:fmtId val="3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People access to functioning latrine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Analysis!$Y$128</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Analysis!$Y$129</c:f>
              <c:numCache>
                <c:formatCode>_(* #,##0_);_(* \(#,##0\);_(* "-"??_);_(@_)</c:formatCode>
                <c:ptCount val="1"/>
                <c:pt idx="0">
                  <c:v>7582</c:v>
                </c:pt>
              </c:numCache>
            </c:numRef>
          </c:val>
          <c:extLst>
            <c:ext xmlns:c16="http://schemas.microsoft.com/office/drawing/2014/chart" uri="{C3380CC4-5D6E-409C-BE32-E72D297353CC}">
              <c16:uniqueId val="{00000000-A8AA-40C2-B305-2A1B394A05EC}"/>
            </c:ext>
          </c:extLst>
        </c:ser>
        <c:ser>
          <c:idx val="1"/>
          <c:order val="1"/>
          <c:tx>
            <c:strRef>
              <c:f>Analysis!$Z$128</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Analysis!$X$129</c:f>
              <c:strCache>
                <c:ptCount val="1"/>
                <c:pt idx="0">
                  <c:v># in GCA (20:1)</c:v>
                </c:pt>
              </c:strCache>
            </c:strRef>
          </c:cat>
          <c:val>
            <c:numRef>
              <c:f>Analysis!$Z$129</c:f>
              <c:numCache>
                <c:formatCode>_(* #,##0_);_(* \(#,##0\);_(* "-"??_);_(@_)</c:formatCode>
                <c:ptCount val="1"/>
                <c:pt idx="0">
                  <c:v>1692</c:v>
                </c:pt>
              </c:numCache>
            </c:numRef>
          </c:val>
          <c:extLst>
            <c:ext xmlns:c16="http://schemas.microsoft.com/office/drawing/2014/chart" uri="{C3380CC4-5D6E-409C-BE32-E72D297353CC}">
              <c16:uniqueId val="{00000001-A8AA-40C2-B305-2A1B394A05EC}"/>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2020-Q3(US$)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[6]National!$F$3</c:f>
              <c:strCache>
                <c:ptCount val="1"/>
                <c:pt idx="0">
                  <c:v>HRP Fund</c:v>
                </c:pt>
              </c:strCache>
            </c:strRef>
          </c:tx>
          <c:spPr>
            <a:solidFill>
              <a:srgbClr val="0070C0"/>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[6]National!$F$5</c:f>
              <c:numCache>
                <c:formatCode>General</c:formatCode>
                <c:ptCount val="1"/>
                <c:pt idx="0">
                  <c:v>4903238.4312157091</c:v>
                </c:pt>
              </c:numCache>
            </c:numRef>
          </c:val>
          <c:extLst xmlns:c15="http://schemas.microsoft.com/office/drawing/2012/chart">
            <c:ext xmlns:c16="http://schemas.microsoft.com/office/drawing/2014/chart" uri="{C3380CC4-5D6E-409C-BE32-E72D297353CC}">
              <c16:uniqueId val="{00000000-0CC6-4B75-AB4B-335159BEC7E5}"/>
            </c:ext>
          </c:extLst>
        </c:ser>
        <c:ser>
          <c:idx val="1"/>
          <c:order val="1"/>
          <c:tx>
            <c:strRef>
              <c:f>[6]National!$G$3</c:f>
              <c:strCache>
                <c:ptCount val="1"/>
                <c:pt idx="0">
                  <c:v>Covid fund</c:v>
                </c:pt>
              </c:strCache>
            </c:strRef>
          </c:tx>
          <c:spPr>
            <a:solidFill>
              <a:schemeClr val="accent1">
                <a:lumMod val="20000"/>
                <a:lumOff val="80000"/>
              </a:schemeClr>
            </a:solidFill>
            <a:ln>
              <a:noFill/>
            </a:ln>
            <a:effectLst/>
          </c:spPr>
          <c:invertIfNegative val="0"/>
          <c:dLbls>
            <c:dLbl>
              <c:idx val="0"/>
              <c:layout>
                <c:manualLayout>
                  <c:x val="1.090377249064052E-2"/>
                  <c:y val="-0.110003655961400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C6-4B75-AB4B-335159BEC7E5}"/>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[6]National!$G$5</c:f>
              <c:numCache>
                <c:formatCode>General</c:formatCode>
                <c:ptCount val="1"/>
                <c:pt idx="0">
                  <c:v>80709.268571428576</c:v>
                </c:pt>
              </c:numCache>
            </c:numRef>
          </c:val>
          <c:extLst>
            <c:ext xmlns:c16="http://schemas.microsoft.com/office/drawing/2014/chart" uri="{C3380CC4-5D6E-409C-BE32-E72D297353CC}">
              <c16:uniqueId val="{00000002-0CC6-4B75-AB4B-335159BEC7E5}"/>
            </c:ext>
          </c:extLst>
        </c:ser>
        <c:ser>
          <c:idx val="2"/>
          <c:order val="2"/>
          <c:tx>
            <c:strRef>
              <c:f>[6]National!$I$3</c:f>
              <c:strCache>
                <c:ptCount val="1"/>
                <c:pt idx="0">
                  <c:v>Gap</c:v>
                </c:pt>
              </c:strCache>
            </c:strRef>
          </c:tx>
          <c:spPr>
            <a:solidFill>
              <a:schemeClr val="bg1">
                <a:lumMod val="85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[6]National!$B$5</c:f>
              <c:strCache>
                <c:ptCount val="1"/>
                <c:pt idx="0">
                  <c:v>Kachin/Shan</c:v>
                </c:pt>
              </c:strCache>
            </c:strRef>
          </c:cat>
          <c:val>
            <c:numRef>
              <c:f>[6]National!$I$5</c:f>
              <c:numCache>
                <c:formatCode>General</c:formatCode>
                <c:ptCount val="1"/>
                <c:pt idx="0">
                  <c:v>6587333.8725025654</c:v>
                </c:pt>
              </c:numCache>
            </c:numRef>
          </c:val>
          <c:extLst>
            <c:ext xmlns:c16="http://schemas.microsoft.com/office/drawing/2014/chart" uri="{C3380CC4-5D6E-409C-BE32-E72D297353CC}">
              <c16:uniqueId val="{00000003-0CC6-4B75-AB4B-335159BEC7E5}"/>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0.14789992231957669</c:v>
              </c:pt>
            </c:numLit>
          </c:val>
          <c:extLst>
            <c:ext xmlns:c16="http://schemas.microsoft.com/office/drawing/2014/chart" uri="{C3380CC4-5D6E-409C-BE32-E72D297353CC}">
              <c16:uniqueId val="{00000000-16EC-4502-9699-645DADEDA655}"/>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0.42705013067905095</c:v>
              </c:pt>
            </c:numLit>
          </c:val>
          <c:extLst>
            <c:ext xmlns:c16="http://schemas.microsoft.com/office/drawing/2014/chart" uri="{C3380CC4-5D6E-409C-BE32-E72D297353CC}">
              <c16:uniqueId val="{00000001-16EC-4502-9699-645DADEDA655}"/>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0.40979446385914475</c:v>
              </c:pt>
            </c:numLit>
          </c:val>
          <c:extLst>
            <c:ext xmlns:c16="http://schemas.microsoft.com/office/drawing/2014/chart" uri="{C3380CC4-5D6E-409C-BE32-E72D297353CC}">
              <c16:uniqueId val="{00000002-16EC-4502-9699-645DADEDA655}"/>
            </c:ext>
          </c:extLst>
        </c:ser>
        <c:ser>
          <c:idx val="3"/>
          <c:order val="3"/>
          <c:tx>
            <c:v>UN/Gov</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1.5255483142227685E-2</c:v>
              </c:pt>
            </c:numLit>
          </c:val>
          <c:extLst>
            <c:ext xmlns:c16="http://schemas.microsoft.com/office/drawing/2014/chart" uri="{C3380CC4-5D6E-409C-BE32-E72D297353CC}">
              <c16:uniqueId val="{00000003-16EC-4502-9699-645DADEDA655}"/>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[20201026_Myanmar_WASH_4W_2020_Q3_KachinShan_camp_Consolidate.xlsx]By Camps!PivotTable1</c:name>
    <c:fmtId val="4"/>
  </c:pivotSource>
  <c:chart>
    <c:title>
      <c:tx>
        <c:strRef>
          <c:f>'By Camps'!$B$34</c:f>
          <c:strCache>
            <c:ptCount val="1"/>
            <c:pt idx="0">
              <c:v>2020_Q3</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9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pt idx="197">
                  <c:v>Man Pya San Pya Resettlement</c:v>
                </c:pt>
                <c:pt idx="198">
                  <c:v>San Kar Resettlement</c:v>
                </c:pt>
              </c:strCache>
            </c:strRef>
          </c:cat>
          <c:val>
            <c:numRef>
              <c:f>'By Camps'!$B$34</c:f>
              <c:numCache>
                <c:formatCode>General</c:formatCode>
                <c:ptCount val="199"/>
                <c:pt idx="0">
                  <c:v>350</c:v>
                </c:pt>
                <c:pt idx="1">
                  <c:v>167</c:v>
                </c:pt>
                <c:pt idx="2">
                  <c:v>723</c:v>
                </c:pt>
                <c:pt idx="3">
                  <c:v>371</c:v>
                </c:pt>
                <c:pt idx="4">
                  <c:v>83</c:v>
                </c:pt>
                <c:pt idx="5">
                  <c:v>571</c:v>
                </c:pt>
                <c:pt idx="6">
                  <c:v>55</c:v>
                </c:pt>
                <c:pt idx="7">
                  <c:v>228</c:v>
                </c:pt>
                <c:pt idx="8">
                  <c:v>928</c:v>
                </c:pt>
                <c:pt idx="9">
                  <c:v>458</c:v>
                </c:pt>
                <c:pt idx="10">
                  <c:v>1887</c:v>
                </c:pt>
                <c:pt idx="11">
                  <c:v>31</c:v>
                </c:pt>
                <c:pt idx="12">
                  <c:v>830</c:v>
                </c:pt>
                <c:pt idx="13">
                  <c:v>377</c:v>
                </c:pt>
                <c:pt idx="14">
                  <c:v>197</c:v>
                </c:pt>
                <c:pt idx="15">
                  <c:v>458</c:v>
                </c:pt>
                <c:pt idx="16">
                  <c:v>410</c:v>
                </c:pt>
                <c:pt idx="17">
                  <c:v>448</c:v>
                </c:pt>
                <c:pt idx="18">
                  <c:v>875</c:v>
                </c:pt>
                <c:pt idx="19">
                  <c:v>132</c:v>
                </c:pt>
                <c:pt idx="20">
                  <c:v>14</c:v>
                </c:pt>
                <c:pt idx="21">
                  <c:v>121</c:v>
                </c:pt>
                <c:pt idx="22">
                  <c:v>553</c:v>
                </c:pt>
                <c:pt idx="23">
                  <c:v>519</c:v>
                </c:pt>
                <c:pt idx="24">
                  <c:v>837</c:v>
                </c:pt>
                <c:pt idx="25">
                  <c:v>3659</c:v>
                </c:pt>
                <c:pt idx="26">
                  <c:v>291</c:v>
                </c:pt>
                <c:pt idx="27">
                  <c:v>680</c:v>
                </c:pt>
                <c:pt idx="28">
                  <c:v>56</c:v>
                </c:pt>
                <c:pt idx="29">
                  <c:v>1050</c:v>
                </c:pt>
                <c:pt idx="30">
                  <c:v>430</c:v>
                </c:pt>
                <c:pt idx="31">
                  <c:v>8486</c:v>
                </c:pt>
                <c:pt idx="32">
                  <c:v>106</c:v>
                </c:pt>
                <c:pt idx="33">
                  <c:v>94</c:v>
                </c:pt>
                <c:pt idx="34">
                  <c:v>18</c:v>
                </c:pt>
                <c:pt idx="35">
                  <c:v>259</c:v>
                </c:pt>
                <c:pt idx="36">
                  <c:v>156</c:v>
                </c:pt>
                <c:pt idx="37">
                  <c:v>138</c:v>
                </c:pt>
                <c:pt idx="38">
                  <c:v>249</c:v>
                </c:pt>
                <c:pt idx="39">
                  <c:v>66</c:v>
                </c:pt>
                <c:pt idx="40">
                  <c:v>2199</c:v>
                </c:pt>
                <c:pt idx="41">
                  <c:v>2691</c:v>
                </c:pt>
                <c:pt idx="42">
                  <c:v>672</c:v>
                </c:pt>
                <c:pt idx="43">
                  <c:v>547</c:v>
                </c:pt>
                <c:pt idx="44">
                  <c:v>676</c:v>
                </c:pt>
                <c:pt idx="45">
                  <c:v>895</c:v>
                </c:pt>
                <c:pt idx="46">
                  <c:v>103</c:v>
                </c:pt>
                <c:pt idx="47">
                  <c:v>60</c:v>
                </c:pt>
                <c:pt idx="48">
                  <c:v>800</c:v>
                </c:pt>
                <c:pt idx="49">
                  <c:v>146</c:v>
                </c:pt>
                <c:pt idx="50">
                  <c:v>209</c:v>
                </c:pt>
                <c:pt idx="51">
                  <c:v>310</c:v>
                </c:pt>
                <c:pt idx="52">
                  <c:v>1267</c:v>
                </c:pt>
                <c:pt idx="53">
                  <c:v>289</c:v>
                </c:pt>
                <c:pt idx="54">
                  <c:v>2419</c:v>
                </c:pt>
                <c:pt idx="55">
                  <c:v>159</c:v>
                </c:pt>
                <c:pt idx="56">
                  <c:v>1801</c:v>
                </c:pt>
                <c:pt idx="57">
                  <c:v>2065</c:v>
                </c:pt>
                <c:pt idx="58">
                  <c:v>1481</c:v>
                </c:pt>
                <c:pt idx="59">
                  <c:v>2500</c:v>
                </c:pt>
                <c:pt idx="60">
                  <c:v>191</c:v>
                </c:pt>
                <c:pt idx="61">
                  <c:v>1900</c:v>
                </c:pt>
                <c:pt idx="62">
                  <c:v>694</c:v>
                </c:pt>
                <c:pt idx="63">
                  <c:v>290</c:v>
                </c:pt>
                <c:pt idx="64">
                  <c:v>741</c:v>
                </c:pt>
                <c:pt idx="65">
                  <c:v>607</c:v>
                </c:pt>
                <c:pt idx="66">
                  <c:v>547</c:v>
                </c:pt>
                <c:pt idx="67">
                  <c:v>120</c:v>
                </c:pt>
                <c:pt idx="68">
                  <c:v>85</c:v>
                </c:pt>
                <c:pt idx="69">
                  <c:v>529</c:v>
                </c:pt>
                <c:pt idx="70">
                  <c:v>535</c:v>
                </c:pt>
                <c:pt idx="71">
                  <c:v>2306</c:v>
                </c:pt>
                <c:pt idx="72">
                  <c:v>631</c:v>
                </c:pt>
                <c:pt idx="73">
                  <c:v>1105</c:v>
                </c:pt>
                <c:pt idx="74">
                  <c:v>148</c:v>
                </c:pt>
                <c:pt idx="75">
                  <c:v>156</c:v>
                </c:pt>
                <c:pt idx="76">
                  <c:v>789</c:v>
                </c:pt>
                <c:pt idx="77">
                  <c:v>290</c:v>
                </c:pt>
                <c:pt idx="78">
                  <c:v>92</c:v>
                </c:pt>
                <c:pt idx="79">
                  <c:v>123</c:v>
                </c:pt>
                <c:pt idx="80">
                  <c:v>15</c:v>
                </c:pt>
                <c:pt idx="81">
                  <c:v>63</c:v>
                </c:pt>
                <c:pt idx="82">
                  <c:v>527</c:v>
                </c:pt>
                <c:pt idx="83">
                  <c:v>1067</c:v>
                </c:pt>
                <c:pt idx="84">
                  <c:v>328</c:v>
                </c:pt>
                <c:pt idx="85">
                  <c:v>180</c:v>
                </c:pt>
                <c:pt idx="86">
                  <c:v>264</c:v>
                </c:pt>
                <c:pt idx="87">
                  <c:v>111</c:v>
                </c:pt>
                <c:pt idx="88">
                  <c:v>114</c:v>
                </c:pt>
                <c:pt idx="89">
                  <c:v>45</c:v>
                </c:pt>
                <c:pt idx="90">
                  <c:v>18</c:v>
                </c:pt>
                <c:pt idx="91">
                  <c:v>153</c:v>
                </c:pt>
                <c:pt idx="92">
                  <c:v>401</c:v>
                </c:pt>
                <c:pt idx="93">
                  <c:v>350</c:v>
                </c:pt>
                <c:pt idx="94">
                  <c:v>176</c:v>
                </c:pt>
                <c:pt idx="95">
                  <c:v>212</c:v>
                </c:pt>
                <c:pt idx="96">
                  <c:v>263</c:v>
                </c:pt>
                <c:pt idx="97">
                  <c:v>42</c:v>
                </c:pt>
                <c:pt idx="98">
                  <c:v>182</c:v>
                </c:pt>
                <c:pt idx="99">
                  <c:v>161</c:v>
                </c:pt>
                <c:pt idx="100">
                  <c:v>568</c:v>
                </c:pt>
                <c:pt idx="101">
                  <c:v>309</c:v>
                </c:pt>
                <c:pt idx="102">
                  <c:v>218</c:v>
                </c:pt>
                <c:pt idx="103">
                  <c:v>41</c:v>
                </c:pt>
                <c:pt idx="104">
                  <c:v>82</c:v>
                </c:pt>
                <c:pt idx="105">
                  <c:v>113</c:v>
                </c:pt>
                <c:pt idx="106">
                  <c:v>547</c:v>
                </c:pt>
                <c:pt idx="107">
                  <c:v>632</c:v>
                </c:pt>
                <c:pt idx="108">
                  <c:v>1675</c:v>
                </c:pt>
                <c:pt idx="109">
                  <c:v>281</c:v>
                </c:pt>
                <c:pt idx="110">
                  <c:v>294</c:v>
                </c:pt>
                <c:pt idx="111">
                  <c:v>882</c:v>
                </c:pt>
                <c:pt idx="112">
                  <c:v>2975</c:v>
                </c:pt>
                <c:pt idx="113">
                  <c:v>846</c:v>
                </c:pt>
                <c:pt idx="114">
                  <c:v>196</c:v>
                </c:pt>
                <c:pt idx="115">
                  <c:v>27</c:v>
                </c:pt>
                <c:pt idx="116">
                  <c:v>264</c:v>
                </c:pt>
                <c:pt idx="117">
                  <c:v>514</c:v>
                </c:pt>
                <c:pt idx="118">
                  <c:v>612</c:v>
                </c:pt>
                <c:pt idx="119">
                  <c:v>493</c:v>
                </c:pt>
                <c:pt idx="120">
                  <c:v>307</c:v>
                </c:pt>
                <c:pt idx="121">
                  <c:v>189</c:v>
                </c:pt>
                <c:pt idx="122">
                  <c:v>38</c:v>
                </c:pt>
                <c:pt idx="123">
                  <c:v>3859</c:v>
                </c:pt>
                <c:pt idx="124">
                  <c:v>325</c:v>
                </c:pt>
                <c:pt idx="125">
                  <c:v>136</c:v>
                </c:pt>
                <c:pt idx="126">
                  <c:v>173</c:v>
                </c:pt>
                <c:pt idx="127">
                  <c:v>255</c:v>
                </c:pt>
                <c:pt idx="128">
                  <c:v>1775</c:v>
                </c:pt>
                <c:pt idx="129">
                  <c:v>103</c:v>
                </c:pt>
                <c:pt idx="130">
                  <c:v>11</c:v>
                </c:pt>
                <c:pt idx="131">
                  <c:v>80</c:v>
                </c:pt>
                <c:pt idx="132">
                  <c:v>534</c:v>
                </c:pt>
                <c:pt idx="133">
                  <c:v>111</c:v>
                </c:pt>
                <c:pt idx="134">
                  <c:v>958</c:v>
                </c:pt>
                <c:pt idx="135">
                  <c:v>298</c:v>
                </c:pt>
                <c:pt idx="136">
                  <c:v>189</c:v>
                </c:pt>
                <c:pt idx="137">
                  <c:v>499</c:v>
                </c:pt>
                <c:pt idx="138">
                  <c:v>52</c:v>
                </c:pt>
                <c:pt idx="139">
                  <c:v>32</c:v>
                </c:pt>
                <c:pt idx="140">
                  <c:v>175</c:v>
                </c:pt>
                <c:pt idx="141">
                  <c:v>351</c:v>
                </c:pt>
                <c:pt idx="142">
                  <c:v>253</c:v>
                </c:pt>
                <c:pt idx="143">
                  <c:v>77</c:v>
                </c:pt>
                <c:pt idx="144">
                  <c:v>165</c:v>
                </c:pt>
                <c:pt idx="145">
                  <c:v>219</c:v>
                </c:pt>
                <c:pt idx="146">
                  <c:v>186</c:v>
                </c:pt>
                <c:pt idx="147">
                  <c:v>75</c:v>
                </c:pt>
                <c:pt idx="148">
                  <c:v>183</c:v>
                </c:pt>
                <c:pt idx="149">
                  <c:v>263</c:v>
                </c:pt>
                <c:pt idx="150">
                  <c:v>172</c:v>
                </c:pt>
                <c:pt idx="151">
                  <c:v>6501</c:v>
                </c:pt>
                <c:pt idx="152">
                  <c:v>709</c:v>
                </c:pt>
                <c:pt idx="153">
                  <c:v>2550</c:v>
                </c:pt>
                <c:pt idx="154">
                  <c:v>67</c:v>
                </c:pt>
                <c:pt idx="155">
                  <c:v>1077</c:v>
                </c:pt>
                <c:pt idx="156">
                  <c:v>235</c:v>
                </c:pt>
                <c:pt idx="157">
                  <c:v>396</c:v>
                </c:pt>
                <c:pt idx="158">
                  <c:v>32</c:v>
                </c:pt>
                <c:pt idx="159">
                  <c:v>87</c:v>
                </c:pt>
                <c:pt idx="160">
                  <c:v>449</c:v>
                </c:pt>
                <c:pt idx="161">
                  <c:v>218</c:v>
                </c:pt>
                <c:pt idx="162">
                  <c:v>63</c:v>
                </c:pt>
                <c:pt idx="163">
                  <c:v>39</c:v>
                </c:pt>
                <c:pt idx="164">
                  <c:v>1397</c:v>
                </c:pt>
                <c:pt idx="165">
                  <c:v>329</c:v>
                </c:pt>
                <c:pt idx="166">
                  <c:v>324</c:v>
                </c:pt>
                <c:pt idx="167">
                  <c:v>252</c:v>
                </c:pt>
                <c:pt idx="168">
                  <c:v>103</c:v>
                </c:pt>
                <c:pt idx="169">
                  <c:v>270</c:v>
                </c:pt>
                <c:pt idx="170">
                  <c:v>381</c:v>
                </c:pt>
                <c:pt idx="171">
                  <c:v>121</c:v>
                </c:pt>
                <c:pt idx="172">
                  <c:v>36</c:v>
                </c:pt>
                <c:pt idx="173">
                  <c:v>78</c:v>
                </c:pt>
                <c:pt idx="174">
                  <c:v>450</c:v>
                </c:pt>
                <c:pt idx="175">
                  <c:v>114</c:v>
                </c:pt>
                <c:pt idx="176">
                  <c:v>721</c:v>
                </c:pt>
                <c:pt idx="177">
                  <c:v>305</c:v>
                </c:pt>
                <c:pt idx="178">
                  <c:v>474</c:v>
                </c:pt>
                <c:pt idx="179">
                  <c:v>724</c:v>
                </c:pt>
                <c:pt idx="180">
                  <c:v>489</c:v>
                </c:pt>
                <c:pt idx="181">
                  <c:v>356</c:v>
                </c:pt>
                <c:pt idx="182">
                  <c:v>1374</c:v>
                </c:pt>
                <c:pt idx="183">
                  <c:v>53</c:v>
                </c:pt>
                <c:pt idx="184">
                  <c:v>775</c:v>
                </c:pt>
                <c:pt idx="185">
                  <c:v>496</c:v>
                </c:pt>
                <c:pt idx="186">
                  <c:v>154</c:v>
                </c:pt>
                <c:pt idx="187">
                  <c:v>140</c:v>
                </c:pt>
                <c:pt idx="188">
                  <c:v>120</c:v>
                </c:pt>
                <c:pt idx="189">
                  <c:v>95</c:v>
                </c:pt>
                <c:pt idx="190">
                  <c:v>26</c:v>
                </c:pt>
                <c:pt idx="191">
                  <c:v>31</c:v>
                </c:pt>
                <c:pt idx="192">
                  <c:v>131</c:v>
                </c:pt>
                <c:pt idx="193">
                  <c:v>1219</c:v>
                </c:pt>
                <c:pt idx="194">
                  <c:v>130</c:v>
                </c:pt>
                <c:pt idx="195">
                  <c:v>197</c:v>
                </c:pt>
                <c:pt idx="196">
                  <c:v>159</c:v>
                </c:pt>
                <c:pt idx="197">
                  <c:v>412</c:v>
                </c:pt>
                <c:pt idx="198">
                  <c:v>685</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9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pt idx="197">
                  <c:v>Man Pya San Pya Resettlement</c:v>
                </c:pt>
                <c:pt idx="198">
                  <c:v>San Kar Resettlement</c:v>
                </c:pt>
              </c:strCache>
            </c:strRef>
          </c:cat>
          <c:val>
            <c:numRef>
              <c:f>'By Camps'!$B$34</c:f>
              <c:numCache>
                <c:formatCode>General</c:formatCode>
                <c:ptCount val="199"/>
                <c:pt idx="0">
                  <c:v>0</c:v>
                </c:pt>
                <c:pt idx="1">
                  <c:v>167</c:v>
                </c:pt>
                <c:pt idx="2">
                  <c:v>723</c:v>
                </c:pt>
                <c:pt idx="3">
                  <c:v>371</c:v>
                </c:pt>
                <c:pt idx="4">
                  <c:v>83</c:v>
                </c:pt>
                <c:pt idx="5">
                  <c:v>571</c:v>
                </c:pt>
                <c:pt idx="6">
                  <c:v>55</c:v>
                </c:pt>
                <c:pt idx="7">
                  <c:v>228</c:v>
                </c:pt>
                <c:pt idx="8">
                  <c:v>0</c:v>
                </c:pt>
                <c:pt idx="9">
                  <c:v>458</c:v>
                </c:pt>
                <c:pt idx="10">
                  <c:v>1887</c:v>
                </c:pt>
                <c:pt idx="11">
                  <c:v>31</c:v>
                </c:pt>
                <c:pt idx="12">
                  <c:v>830</c:v>
                </c:pt>
                <c:pt idx="13">
                  <c:v>377</c:v>
                </c:pt>
                <c:pt idx="14">
                  <c:v>197</c:v>
                </c:pt>
                <c:pt idx="15">
                  <c:v>458</c:v>
                </c:pt>
                <c:pt idx="16">
                  <c:v>0</c:v>
                </c:pt>
                <c:pt idx="17">
                  <c:v>0</c:v>
                </c:pt>
                <c:pt idx="18">
                  <c:v>875</c:v>
                </c:pt>
                <c:pt idx="19">
                  <c:v>132</c:v>
                </c:pt>
                <c:pt idx="20">
                  <c:v>0</c:v>
                </c:pt>
                <c:pt idx="21">
                  <c:v>0</c:v>
                </c:pt>
                <c:pt idx="22">
                  <c:v>553</c:v>
                </c:pt>
                <c:pt idx="23">
                  <c:v>519</c:v>
                </c:pt>
                <c:pt idx="24">
                  <c:v>0</c:v>
                </c:pt>
                <c:pt idx="25">
                  <c:v>3659</c:v>
                </c:pt>
                <c:pt idx="26">
                  <c:v>291</c:v>
                </c:pt>
                <c:pt idx="27">
                  <c:v>680</c:v>
                </c:pt>
                <c:pt idx="28">
                  <c:v>0</c:v>
                </c:pt>
                <c:pt idx="29">
                  <c:v>1050</c:v>
                </c:pt>
                <c:pt idx="30">
                  <c:v>430</c:v>
                </c:pt>
                <c:pt idx="31">
                  <c:v>4500</c:v>
                </c:pt>
                <c:pt idx="32">
                  <c:v>106</c:v>
                </c:pt>
                <c:pt idx="33">
                  <c:v>94</c:v>
                </c:pt>
                <c:pt idx="34">
                  <c:v>0</c:v>
                </c:pt>
                <c:pt idx="35">
                  <c:v>259</c:v>
                </c:pt>
                <c:pt idx="36">
                  <c:v>156</c:v>
                </c:pt>
                <c:pt idx="37">
                  <c:v>138</c:v>
                </c:pt>
                <c:pt idx="38">
                  <c:v>249</c:v>
                </c:pt>
                <c:pt idx="39">
                  <c:v>66</c:v>
                </c:pt>
                <c:pt idx="40">
                  <c:v>0</c:v>
                </c:pt>
                <c:pt idx="41">
                  <c:v>2691</c:v>
                </c:pt>
                <c:pt idx="42">
                  <c:v>672</c:v>
                </c:pt>
                <c:pt idx="43">
                  <c:v>500</c:v>
                </c:pt>
                <c:pt idx="44">
                  <c:v>500</c:v>
                </c:pt>
                <c:pt idx="45">
                  <c:v>895</c:v>
                </c:pt>
                <c:pt idx="46">
                  <c:v>103</c:v>
                </c:pt>
                <c:pt idx="47">
                  <c:v>60</c:v>
                </c:pt>
                <c:pt idx="48">
                  <c:v>800</c:v>
                </c:pt>
                <c:pt idx="49">
                  <c:v>146</c:v>
                </c:pt>
                <c:pt idx="50">
                  <c:v>209</c:v>
                </c:pt>
                <c:pt idx="51">
                  <c:v>310</c:v>
                </c:pt>
                <c:pt idx="52">
                  <c:v>1267</c:v>
                </c:pt>
                <c:pt idx="53">
                  <c:v>289</c:v>
                </c:pt>
                <c:pt idx="54">
                  <c:v>0</c:v>
                </c:pt>
                <c:pt idx="55">
                  <c:v>159</c:v>
                </c:pt>
                <c:pt idx="56">
                  <c:v>0</c:v>
                </c:pt>
                <c:pt idx="57">
                  <c:v>0</c:v>
                </c:pt>
                <c:pt idx="58">
                  <c:v>1481</c:v>
                </c:pt>
                <c:pt idx="59">
                  <c:v>2500</c:v>
                </c:pt>
                <c:pt idx="60">
                  <c:v>191</c:v>
                </c:pt>
                <c:pt idx="61">
                  <c:v>1900</c:v>
                </c:pt>
                <c:pt idx="62">
                  <c:v>694</c:v>
                </c:pt>
                <c:pt idx="63">
                  <c:v>290</c:v>
                </c:pt>
                <c:pt idx="64">
                  <c:v>741</c:v>
                </c:pt>
                <c:pt idx="65">
                  <c:v>607</c:v>
                </c:pt>
                <c:pt idx="66">
                  <c:v>547</c:v>
                </c:pt>
                <c:pt idx="67">
                  <c:v>0</c:v>
                </c:pt>
                <c:pt idx="68">
                  <c:v>10</c:v>
                </c:pt>
                <c:pt idx="69">
                  <c:v>500</c:v>
                </c:pt>
                <c:pt idx="70">
                  <c:v>0</c:v>
                </c:pt>
                <c:pt idx="71">
                  <c:v>500</c:v>
                </c:pt>
                <c:pt idx="72">
                  <c:v>0</c:v>
                </c:pt>
                <c:pt idx="73">
                  <c:v>0</c:v>
                </c:pt>
                <c:pt idx="74">
                  <c:v>148</c:v>
                </c:pt>
                <c:pt idx="75">
                  <c:v>156</c:v>
                </c:pt>
                <c:pt idx="76">
                  <c:v>789</c:v>
                </c:pt>
                <c:pt idx="77">
                  <c:v>0</c:v>
                </c:pt>
                <c:pt idx="78">
                  <c:v>0</c:v>
                </c:pt>
                <c:pt idx="79">
                  <c:v>123</c:v>
                </c:pt>
                <c:pt idx="80">
                  <c:v>0</c:v>
                </c:pt>
                <c:pt idx="81">
                  <c:v>0</c:v>
                </c:pt>
                <c:pt idx="82">
                  <c:v>527</c:v>
                </c:pt>
                <c:pt idx="83">
                  <c:v>0</c:v>
                </c:pt>
                <c:pt idx="84">
                  <c:v>328</c:v>
                </c:pt>
                <c:pt idx="85">
                  <c:v>180</c:v>
                </c:pt>
                <c:pt idx="86">
                  <c:v>264</c:v>
                </c:pt>
                <c:pt idx="87">
                  <c:v>111</c:v>
                </c:pt>
                <c:pt idx="88">
                  <c:v>114</c:v>
                </c:pt>
                <c:pt idx="89">
                  <c:v>45</c:v>
                </c:pt>
                <c:pt idx="90">
                  <c:v>0</c:v>
                </c:pt>
                <c:pt idx="91">
                  <c:v>0</c:v>
                </c:pt>
                <c:pt idx="92">
                  <c:v>401</c:v>
                </c:pt>
                <c:pt idx="93">
                  <c:v>0</c:v>
                </c:pt>
                <c:pt idx="94">
                  <c:v>176</c:v>
                </c:pt>
                <c:pt idx="95">
                  <c:v>212</c:v>
                </c:pt>
                <c:pt idx="96">
                  <c:v>263</c:v>
                </c:pt>
                <c:pt idx="97">
                  <c:v>42</c:v>
                </c:pt>
                <c:pt idx="98">
                  <c:v>182</c:v>
                </c:pt>
                <c:pt idx="99">
                  <c:v>161</c:v>
                </c:pt>
                <c:pt idx="100">
                  <c:v>0</c:v>
                </c:pt>
                <c:pt idx="101">
                  <c:v>309</c:v>
                </c:pt>
                <c:pt idx="102">
                  <c:v>218</c:v>
                </c:pt>
                <c:pt idx="103">
                  <c:v>41</c:v>
                </c:pt>
                <c:pt idx="104">
                  <c:v>0</c:v>
                </c:pt>
                <c:pt idx="105">
                  <c:v>113</c:v>
                </c:pt>
                <c:pt idx="106">
                  <c:v>547</c:v>
                </c:pt>
                <c:pt idx="107">
                  <c:v>632</c:v>
                </c:pt>
                <c:pt idx="108">
                  <c:v>1675</c:v>
                </c:pt>
                <c:pt idx="109">
                  <c:v>281</c:v>
                </c:pt>
                <c:pt idx="110">
                  <c:v>294</c:v>
                </c:pt>
                <c:pt idx="111">
                  <c:v>882</c:v>
                </c:pt>
                <c:pt idx="112">
                  <c:v>2975</c:v>
                </c:pt>
                <c:pt idx="113">
                  <c:v>846</c:v>
                </c:pt>
                <c:pt idx="114">
                  <c:v>196</c:v>
                </c:pt>
                <c:pt idx="115">
                  <c:v>27</c:v>
                </c:pt>
                <c:pt idx="116">
                  <c:v>0</c:v>
                </c:pt>
                <c:pt idx="117">
                  <c:v>514</c:v>
                </c:pt>
                <c:pt idx="118">
                  <c:v>612</c:v>
                </c:pt>
                <c:pt idx="119">
                  <c:v>0</c:v>
                </c:pt>
                <c:pt idx="120">
                  <c:v>307</c:v>
                </c:pt>
                <c:pt idx="121">
                  <c:v>0</c:v>
                </c:pt>
                <c:pt idx="122">
                  <c:v>38</c:v>
                </c:pt>
                <c:pt idx="123">
                  <c:v>3000</c:v>
                </c:pt>
                <c:pt idx="124">
                  <c:v>325</c:v>
                </c:pt>
                <c:pt idx="125">
                  <c:v>136</c:v>
                </c:pt>
                <c:pt idx="126">
                  <c:v>173</c:v>
                </c:pt>
                <c:pt idx="127">
                  <c:v>255</c:v>
                </c:pt>
                <c:pt idx="128">
                  <c:v>1775</c:v>
                </c:pt>
                <c:pt idx="129">
                  <c:v>103</c:v>
                </c:pt>
                <c:pt idx="130">
                  <c:v>0</c:v>
                </c:pt>
                <c:pt idx="131">
                  <c:v>80</c:v>
                </c:pt>
                <c:pt idx="132">
                  <c:v>534</c:v>
                </c:pt>
                <c:pt idx="133">
                  <c:v>0</c:v>
                </c:pt>
                <c:pt idx="134">
                  <c:v>0</c:v>
                </c:pt>
                <c:pt idx="135">
                  <c:v>298</c:v>
                </c:pt>
                <c:pt idx="136">
                  <c:v>189</c:v>
                </c:pt>
                <c:pt idx="137">
                  <c:v>499</c:v>
                </c:pt>
                <c:pt idx="138">
                  <c:v>52</c:v>
                </c:pt>
                <c:pt idx="139">
                  <c:v>0</c:v>
                </c:pt>
                <c:pt idx="140">
                  <c:v>30</c:v>
                </c:pt>
                <c:pt idx="141">
                  <c:v>351</c:v>
                </c:pt>
                <c:pt idx="142">
                  <c:v>253</c:v>
                </c:pt>
                <c:pt idx="143">
                  <c:v>0</c:v>
                </c:pt>
                <c:pt idx="144">
                  <c:v>165</c:v>
                </c:pt>
                <c:pt idx="145">
                  <c:v>219</c:v>
                </c:pt>
                <c:pt idx="146">
                  <c:v>0</c:v>
                </c:pt>
                <c:pt idx="147">
                  <c:v>0</c:v>
                </c:pt>
                <c:pt idx="148">
                  <c:v>183</c:v>
                </c:pt>
                <c:pt idx="149">
                  <c:v>0</c:v>
                </c:pt>
                <c:pt idx="150">
                  <c:v>172</c:v>
                </c:pt>
                <c:pt idx="151">
                  <c:v>6501</c:v>
                </c:pt>
                <c:pt idx="152">
                  <c:v>709</c:v>
                </c:pt>
                <c:pt idx="153">
                  <c:v>2550</c:v>
                </c:pt>
                <c:pt idx="154">
                  <c:v>67</c:v>
                </c:pt>
                <c:pt idx="155">
                  <c:v>1077</c:v>
                </c:pt>
                <c:pt idx="156">
                  <c:v>235</c:v>
                </c:pt>
                <c:pt idx="157">
                  <c:v>396</c:v>
                </c:pt>
                <c:pt idx="158">
                  <c:v>0</c:v>
                </c:pt>
                <c:pt idx="159">
                  <c:v>0</c:v>
                </c:pt>
                <c:pt idx="160">
                  <c:v>0</c:v>
                </c:pt>
                <c:pt idx="161">
                  <c:v>218</c:v>
                </c:pt>
                <c:pt idx="162">
                  <c:v>63</c:v>
                </c:pt>
                <c:pt idx="163">
                  <c:v>30</c:v>
                </c:pt>
                <c:pt idx="164">
                  <c:v>0</c:v>
                </c:pt>
                <c:pt idx="165">
                  <c:v>329</c:v>
                </c:pt>
                <c:pt idx="166">
                  <c:v>0</c:v>
                </c:pt>
                <c:pt idx="167">
                  <c:v>0</c:v>
                </c:pt>
                <c:pt idx="168">
                  <c:v>0</c:v>
                </c:pt>
                <c:pt idx="169">
                  <c:v>0</c:v>
                </c:pt>
                <c:pt idx="170">
                  <c:v>0</c:v>
                </c:pt>
                <c:pt idx="171">
                  <c:v>0</c:v>
                </c:pt>
                <c:pt idx="172">
                  <c:v>36</c:v>
                </c:pt>
                <c:pt idx="173">
                  <c:v>78</c:v>
                </c:pt>
                <c:pt idx="174">
                  <c:v>0</c:v>
                </c:pt>
                <c:pt idx="175">
                  <c:v>114</c:v>
                </c:pt>
                <c:pt idx="176">
                  <c:v>721</c:v>
                </c:pt>
                <c:pt idx="177">
                  <c:v>305</c:v>
                </c:pt>
                <c:pt idx="178">
                  <c:v>474</c:v>
                </c:pt>
                <c:pt idx="179">
                  <c:v>724</c:v>
                </c:pt>
                <c:pt idx="180">
                  <c:v>489</c:v>
                </c:pt>
                <c:pt idx="181">
                  <c:v>356</c:v>
                </c:pt>
                <c:pt idx="182">
                  <c:v>0</c:v>
                </c:pt>
                <c:pt idx="183">
                  <c:v>53</c:v>
                </c:pt>
                <c:pt idx="184">
                  <c:v>30</c:v>
                </c:pt>
                <c:pt idx="185">
                  <c:v>496</c:v>
                </c:pt>
                <c:pt idx="186">
                  <c:v>154</c:v>
                </c:pt>
                <c:pt idx="187">
                  <c:v>0</c:v>
                </c:pt>
                <c:pt idx="188">
                  <c:v>120</c:v>
                </c:pt>
                <c:pt idx="189">
                  <c:v>95</c:v>
                </c:pt>
                <c:pt idx="190">
                  <c:v>0</c:v>
                </c:pt>
                <c:pt idx="191">
                  <c:v>0</c:v>
                </c:pt>
                <c:pt idx="192">
                  <c:v>0</c:v>
                </c:pt>
                <c:pt idx="193">
                  <c:v>0</c:v>
                </c:pt>
                <c:pt idx="194">
                  <c:v>30</c:v>
                </c:pt>
                <c:pt idx="195">
                  <c:v>197</c:v>
                </c:pt>
                <c:pt idx="196">
                  <c:v>0</c:v>
                </c:pt>
                <c:pt idx="197">
                  <c:v>0</c:v>
                </c:pt>
                <c:pt idx="198">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9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pt idx="197">
                  <c:v>Man Pya San Pya Resettlement</c:v>
                </c:pt>
                <c:pt idx="198">
                  <c:v>San Kar Resettlement</c:v>
                </c:pt>
              </c:strCache>
            </c:strRef>
          </c:cat>
          <c:val>
            <c:numRef>
              <c:f>'By Camps'!$B$34</c:f>
              <c:numCache>
                <c:formatCode>General</c:formatCode>
                <c:ptCount val="199"/>
                <c:pt idx="0">
                  <c:v>0</c:v>
                </c:pt>
                <c:pt idx="1">
                  <c:v>167</c:v>
                </c:pt>
                <c:pt idx="2">
                  <c:v>723</c:v>
                </c:pt>
                <c:pt idx="3">
                  <c:v>371</c:v>
                </c:pt>
                <c:pt idx="4">
                  <c:v>83</c:v>
                </c:pt>
                <c:pt idx="5">
                  <c:v>560</c:v>
                </c:pt>
                <c:pt idx="6">
                  <c:v>40</c:v>
                </c:pt>
                <c:pt idx="7">
                  <c:v>200</c:v>
                </c:pt>
                <c:pt idx="8">
                  <c:v>0</c:v>
                </c:pt>
                <c:pt idx="9">
                  <c:v>458</c:v>
                </c:pt>
                <c:pt idx="10">
                  <c:v>1887</c:v>
                </c:pt>
                <c:pt idx="11">
                  <c:v>31</c:v>
                </c:pt>
                <c:pt idx="12">
                  <c:v>830</c:v>
                </c:pt>
                <c:pt idx="13">
                  <c:v>377</c:v>
                </c:pt>
                <c:pt idx="14">
                  <c:v>140</c:v>
                </c:pt>
                <c:pt idx="15">
                  <c:v>458</c:v>
                </c:pt>
                <c:pt idx="16">
                  <c:v>0</c:v>
                </c:pt>
                <c:pt idx="17">
                  <c:v>448</c:v>
                </c:pt>
                <c:pt idx="18">
                  <c:v>875</c:v>
                </c:pt>
                <c:pt idx="19">
                  <c:v>132</c:v>
                </c:pt>
                <c:pt idx="20">
                  <c:v>0</c:v>
                </c:pt>
                <c:pt idx="21">
                  <c:v>0</c:v>
                </c:pt>
                <c:pt idx="22">
                  <c:v>553</c:v>
                </c:pt>
                <c:pt idx="23">
                  <c:v>519</c:v>
                </c:pt>
                <c:pt idx="24">
                  <c:v>640</c:v>
                </c:pt>
                <c:pt idx="25">
                  <c:v>3659</c:v>
                </c:pt>
                <c:pt idx="26">
                  <c:v>140</c:v>
                </c:pt>
                <c:pt idx="27">
                  <c:v>680</c:v>
                </c:pt>
                <c:pt idx="28">
                  <c:v>0</c:v>
                </c:pt>
                <c:pt idx="29">
                  <c:v>860</c:v>
                </c:pt>
                <c:pt idx="30">
                  <c:v>430</c:v>
                </c:pt>
                <c:pt idx="31">
                  <c:v>640</c:v>
                </c:pt>
                <c:pt idx="32">
                  <c:v>80</c:v>
                </c:pt>
                <c:pt idx="33">
                  <c:v>94</c:v>
                </c:pt>
                <c:pt idx="34">
                  <c:v>0</c:v>
                </c:pt>
                <c:pt idx="35">
                  <c:v>240</c:v>
                </c:pt>
                <c:pt idx="36">
                  <c:v>156</c:v>
                </c:pt>
                <c:pt idx="37">
                  <c:v>138</c:v>
                </c:pt>
                <c:pt idx="38">
                  <c:v>249</c:v>
                </c:pt>
                <c:pt idx="39">
                  <c:v>66</c:v>
                </c:pt>
                <c:pt idx="40">
                  <c:v>0</c:v>
                </c:pt>
                <c:pt idx="41">
                  <c:v>2691</c:v>
                </c:pt>
                <c:pt idx="42">
                  <c:v>672</c:v>
                </c:pt>
                <c:pt idx="43">
                  <c:v>160</c:v>
                </c:pt>
                <c:pt idx="44">
                  <c:v>640</c:v>
                </c:pt>
                <c:pt idx="45">
                  <c:v>895</c:v>
                </c:pt>
                <c:pt idx="46">
                  <c:v>80</c:v>
                </c:pt>
                <c:pt idx="47">
                  <c:v>40</c:v>
                </c:pt>
                <c:pt idx="48">
                  <c:v>420</c:v>
                </c:pt>
                <c:pt idx="49">
                  <c:v>146</c:v>
                </c:pt>
                <c:pt idx="50">
                  <c:v>180</c:v>
                </c:pt>
                <c:pt idx="51">
                  <c:v>120</c:v>
                </c:pt>
                <c:pt idx="52">
                  <c:v>760</c:v>
                </c:pt>
                <c:pt idx="53">
                  <c:v>240</c:v>
                </c:pt>
                <c:pt idx="54">
                  <c:v>140</c:v>
                </c:pt>
                <c:pt idx="55">
                  <c:v>120</c:v>
                </c:pt>
                <c:pt idx="56">
                  <c:v>1801</c:v>
                </c:pt>
                <c:pt idx="57">
                  <c:v>600</c:v>
                </c:pt>
                <c:pt idx="58">
                  <c:v>1481</c:v>
                </c:pt>
                <c:pt idx="59">
                  <c:v>2500</c:v>
                </c:pt>
                <c:pt idx="60">
                  <c:v>191</c:v>
                </c:pt>
                <c:pt idx="61">
                  <c:v>1900</c:v>
                </c:pt>
                <c:pt idx="62">
                  <c:v>694</c:v>
                </c:pt>
                <c:pt idx="63">
                  <c:v>140</c:v>
                </c:pt>
                <c:pt idx="64">
                  <c:v>741</c:v>
                </c:pt>
                <c:pt idx="65">
                  <c:v>560</c:v>
                </c:pt>
                <c:pt idx="66">
                  <c:v>547</c:v>
                </c:pt>
                <c:pt idx="67">
                  <c:v>0</c:v>
                </c:pt>
                <c:pt idx="68">
                  <c:v>80</c:v>
                </c:pt>
                <c:pt idx="69">
                  <c:v>160</c:v>
                </c:pt>
                <c:pt idx="70">
                  <c:v>240</c:v>
                </c:pt>
                <c:pt idx="71">
                  <c:v>0</c:v>
                </c:pt>
                <c:pt idx="72">
                  <c:v>0</c:v>
                </c:pt>
                <c:pt idx="73">
                  <c:v>0</c:v>
                </c:pt>
                <c:pt idx="74">
                  <c:v>148</c:v>
                </c:pt>
                <c:pt idx="75">
                  <c:v>156</c:v>
                </c:pt>
                <c:pt idx="76">
                  <c:v>789</c:v>
                </c:pt>
                <c:pt idx="77">
                  <c:v>0</c:v>
                </c:pt>
                <c:pt idx="78">
                  <c:v>92</c:v>
                </c:pt>
                <c:pt idx="79">
                  <c:v>123</c:v>
                </c:pt>
                <c:pt idx="80">
                  <c:v>0</c:v>
                </c:pt>
                <c:pt idx="81">
                  <c:v>0</c:v>
                </c:pt>
                <c:pt idx="82">
                  <c:v>280</c:v>
                </c:pt>
                <c:pt idx="83">
                  <c:v>0</c:v>
                </c:pt>
                <c:pt idx="84">
                  <c:v>200</c:v>
                </c:pt>
                <c:pt idx="85">
                  <c:v>180</c:v>
                </c:pt>
                <c:pt idx="86">
                  <c:v>30</c:v>
                </c:pt>
                <c:pt idx="87">
                  <c:v>111</c:v>
                </c:pt>
                <c:pt idx="88">
                  <c:v>114</c:v>
                </c:pt>
                <c:pt idx="89">
                  <c:v>45</c:v>
                </c:pt>
                <c:pt idx="90">
                  <c:v>0</c:v>
                </c:pt>
                <c:pt idx="91">
                  <c:v>0</c:v>
                </c:pt>
                <c:pt idx="92">
                  <c:v>400</c:v>
                </c:pt>
                <c:pt idx="93">
                  <c:v>200</c:v>
                </c:pt>
                <c:pt idx="94">
                  <c:v>0</c:v>
                </c:pt>
                <c:pt idx="95">
                  <c:v>212</c:v>
                </c:pt>
                <c:pt idx="96">
                  <c:v>263</c:v>
                </c:pt>
                <c:pt idx="97">
                  <c:v>42</c:v>
                </c:pt>
                <c:pt idx="98">
                  <c:v>182</c:v>
                </c:pt>
                <c:pt idx="99">
                  <c:v>160</c:v>
                </c:pt>
                <c:pt idx="100">
                  <c:v>320</c:v>
                </c:pt>
                <c:pt idx="101">
                  <c:v>309</c:v>
                </c:pt>
                <c:pt idx="102">
                  <c:v>218</c:v>
                </c:pt>
                <c:pt idx="103">
                  <c:v>41</c:v>
                </c:pt>
                <c:pt idx="104">
                  <c:v>82</c:v>
                </c:pt>
                <c:pt idx="105">
                  <c:v>100</c:v>
                </c:pt>
                <c:pt idx="106">
                  <c:v>547</c:v>
                </c:pt>
                <c:pt idx="107">
                  <c:v>525</c:v>
                </c:pt>
                <c:pt idx="108">
                  <c:v>1675</c:v>
                </c:pt>
                <c:pt idx="109">
                  <c:v>281</c:v>
                </c:pt>
                <c:pt idx="110">
                  <c:v>294</c:v>
                </c:pt>
                <c:pt idx="111">
                  <c:v>882</c:v>
                </c:pt>
                <c:pt idx="112">
                  <c:v>2975</c:v>
                </c:pt>
                <c:pt idx="113">
                  <c:v>750</c:v>
                </c:pt>
                <c:pt idx="114">
                  <c:v>196</c:v>
                </c:pt>
                <c:pt idx="115">
                  <c:v>27</c:v>
                </c:pt>
                <c:pt idx="116">
                  <c:v>264</c:v>
                </c:pt>
                <c:pt idx="117">
                  <c:v>514</c:v>
                </c:pt>
                <c:pt idx="118">
                  <c:v>612</c:v>
                </c:pt>
                <c:pt idx="119">
                  <c:v>493</c:v>
                </c:pt>
                <c:pt idx="120">
                  <c:v>280</c:v>
                </c:pt>
                <c:pt idx="121">
                  <c:v>189</c:v>
                </c:pt>
                <c:pt idx="122">
                  <c:v>38</c:v>
                </c:pt>
                <c:pt idx="123">
                  <c:v>2920</c:v>
                </c:pt>
                <c:pt idx="124">
                  <c:v>325</c:v>
                </c:pt>
                <c:pt idx="125">
                  <c:v>136</c:v>
                </c:pt>
                <c:pt idx="126">
                  <c:v>173</c:v>
                </c:pt>
                <c:pt idx="127">
                  <c:v>255</c:v>
                </c:pt>
                <c:pt idx="128">
                  <c:v>1775</c:v>
                </c:pt>
                <c:pt idx="129">
                  <c:v>103</c:v>
                </c:pt>
                <c:pt idx="130">
                  <c:v>0</c:v>
                </c:pt>
                <c:pt idx="131">
                  <c:v>80</c:v>
                </c:pt>
                <c:pt idx="132">
                  <c:v>260</c:v>
                </c:pt>
                <c:pt idx="133">
                  <c:v>111</c:v>
                </c:pt>
                <c:pt idx="134">
                  <c:v>958</c:v>
                </c:pt>
                <c:pt idx="135">
                  <c:v>260</c:v>
                </c:pt>
                <c:pt idx="136">
                  <c:v>180</c:v>
                </c:pt>
                <c:pt idx="137">
                  <c:v>340</c:v>
                </c:pt>
                <c:pt idx="138">
                  <c:v>52</c:v>
                </c:pt>
                <c:pt idx="139">
                  <c:v>0</c:v>
                </c:pt>
                <c:pt idx="140">
                  <c:v>80</c:v>
                </c:pt>
                <c:pt idx="141">
                  <c:v>220</c:v>
                </c:pt>
                <c:pt idx="142">
                  <c:v>253</c:v>
                </c:pt>
                <c:pt idx="143">
                  <c:v>77</c:v>
                </c:pt>
                <c:pt idx="144">
                  <c:v>100</c:v>
                </c:pt>
                <c:pt idx="145">
                  <c:v>219</c:v>
                </c:pt>
                <c:pt idx="146">
                  <c:v>140</c:v>
                </c:pt>
                <c:pt idx="147">
                  <c:v>0</c:v>
                </c:pt>
                <c:pt idx="148">
                  <c:v>183</c:v>
                </c:pt>
                <c:pt idx="149">
                  <c:v>200</c:v>
                </c:pt>
                <c:pt idx="150">
                  <c:v>172</c:v>
                </c:pt>
                <c:pt idx="151">
                  <c:v>4700</c:v>
                </c:pt>
                <c:pt idx="152">
                  <c:v>0</c:v>
                </c:pt>
                <c:pt idx="153">
                  <c:v>0</c:v>
                </c:pt>
                <c:pt idx="154">
                  <c:v>67</c:v>
                </c:pt>
                <c:pt idx="155">
                  <c:v>1025</c:v>
                </c:pt>
                <c:pt idx="156">
                  <c:v>235</c:v>
                </c:pt>
                <c:pt idx="157">
                  <c:v>320</c:v>
                </c:pt>
                <c:pt idx="158">
                  <c:v>0</c:v>
                </c:pt>
                <c:pt idx="159">
                  <c:v>87</c:v>
                </c:pt>
                <c:pt idx="160">
                  <c:v>0</c:v>
                </c:pt>
                <c:pt idx="161">
                  <c:v>218</c:v>
                </c:pt>
                <c:pt idx="162">
                  <c:v>63</c:v>
                </c:pt>
                <c:pt idx="163">
                  <c:v>0</c:v>
                </c:pt>
                <c:pt idx="164">
                  <c:v>100</c:v>
                </c:pt>
                <c:pt idx="165">
                  <c:v>300</c:v>
                </c:pt>
                <c:pt idx="166">
                  <c:v>0</c:v>
                </c:pt>
                <c:pt idx="167">
                  <c:v>0</c:v>
                </c:pt>
                <c:pt idx="168">
                  <c:v>0</c:v>
                </c:pt>
                <c:pt idx="169">
                  <c:v>0</c:v>
                </c:pt>
                <c:pt idx="170">
                  <c:v>0</c:v>
                </c:pt>
                <c:pt idx="171">
                  <c:v>0</c:v>
                </c:pt>
                <c:pt idx="172">
                  <c:v>36</c:v>
                </c:pt>
                <c:pt idx="173">
                  <c:v>40</c:v>
                </c:pt>
                <c:pt idx="174">
                  <c:v>0</c:v>
                </c:pt>
                <c:pt idx="175">
                  <c:v>114</c:v>
                </c:pt>
                <c:pt idx="176">
                  <c:v>721</c:v>
                </c:pt>
                <c:pt idx="177">
                  <c:v>305</c:v>
                </c:pt>
                <c:pt idx="178">
                  <c:v>260</c:v>
                </c:pt>
                <c:pt idx="179">
                  <c:v>560</c:v>
                </c:pt>
                <c:pt idx="180">
                  <c:v>320</c:v>
                </c:pt>
                <c:pt idx="181">
                  <c:v>160</c:v>
                </c:pt>
                <c:pt idx="182">
                  <c:v>1260</c:v>
                </c:pt>
                <c:pt idx="183">
                  <c:v>0</c:v>
                </c:pt>
                <c:pt idx="184">
                  <c:v>360</c:v>
                </c:pt>
                <c:pt idx="185">
                  <c:v>496</c:v>
                </c:pt>
                <c:pt idx="186">
                  <c:v>154</c:v>
                </c:pt>
                <c:pt idx="187">
                  <c:v>0</c:v>
                </c:pt>
                <c:pt idx="188">
                  <c:v>120</c:v>
                </c:pt>
                <c:pt idx="189">
                  <c:v>95</c:v>
                </c:pt>
                <c:pt idx="190">
                  <c:v>0</c:v>
                </c:pt>
                <c:pt idx="191">
                  <c:v>0</c:v>
                </c:pt>
                <c:pt idx="192">
                  <c:v>0</c:v>
                </c:pt>
                <c:pt idx="193">
                  <c:v>0</c:v>
                </c:pt>
                <c:pt idx="194">
                  <c:v>80</c:v>
                </c:pt>
                <c:pt idx="195">
                  <c:v>144</c:v>
                </c:pt>
                <c:pt idx="196">
                  <c:v>0</c:v>
                </c:pt>
                <c:pt idx="197">
                  <c:v>100</c:v>
                </c:pt>
                <c:pt idx="198">
                  <c:v>685</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9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Hpakant Baptist Church, Nam Ma Hpit</c:v>
                </c:pt>
                <c:pt idx="24">
                  <c:v>Hpare Hkyer - BP6</c:v>
                </c:pt>
                <c:pt idx="25">
                  <c:v>Hpun Lum Yang </c:v>
                </c:pt>
                <c:pt idx="26">
                  <c:v>Htoi San Church</c:v>
                </c:pt>
                <c:pt idx="27">
                  <c:v>IDP Boarding School, A Len Bum</c:v>
                </c:pt>
                <c:pt idx="28">
                  <c:v>Inn Lel Yan - Host Families</c:v>
                </c:pt>
                <c:pt idx="29">
                  <c:v>Jan Mai Kawng Baptist Church</c:v>
                </c:pt>
                <c:pt idx="30">
                  <c:v>Jan Mai Kawng Catholic Church</c:v>
                </c:pt>
                <c:pt idx="31">
                  <c:v>Je Yang Hka </c:v>
                </c:pt>
                <c:pt idx="32">
                  <c:v>Kachin Su Baptist Church (ECCD)</c:v>
                </c:pt>
                <c:pt idx="33">
                  <c:v>Khar Nan (1) Baptist Church</c:v>
                </c:pt>
                <c:pt idx="34">
                  <c:v>Khun Sint Village</c:v>
                </c:pt>
                <c:pt idx="35">
                  <c:v>Kutkai downtown (KBC Church)</c:v>
                </c:pt>
                <c:pt idx="36">
                  <c:v>Kutkai downtown (KBC Church-2)</c:v>
                </c:pt>
                <c:pt idx="37">
                  <c:v>Kutkai downtown (RC Church)</c:v>
                </c:pt>
                <c:pt idx="38">
                  <c:v>Kyu Sot</c:v>
                </c:pt>
                <c:pt idx="39">
                  <c:v>Kyun Taw Baptist Church </c:v>
                </c:pt>
                <c:pt idx="40">
                  <c:v>Laiza Je Yang School</c:v>
                </c:pt>
                <c:pt idx="41">
                  <c:v>Lana Zup Ja</c:v>
                </c:pt>
                <c:pt idx="42">
                  <c:v>Lawng Hkang Shait Yang Camp​ ( Lel Pyin)​ </c:v>
                </c:pt>
                <c:pt idx="43">
                  <c:v>Le Kone Bethlehem Church</c:v>
                </c:pt>
                <c:pt idx="44">
                  <c:v>Le Kone Ziun Baptist Church </c:v>
                </c:pt>
                <c:pt idx="45">
                  <c:v>Lhaovao Baptist Church (LBC)</c:v>
                </c:pt>
                <c:pt idx="46">
                  <c:v>Lisu Baptist Church, Maw Shan Vil,. Seik Mu</c:v>
                </c:pt>
                <c:pt idx="47">
                  <c:v>Lisu Baptist Church, Maw Wan Ward</c:v>
                </c:pt>
                <c:pt idx="48">
                  <c:v>Lisu Boarding-House</c:v>
                </c:pt>
                <c:pt idx="49">
                  <c:v>Lisu Church Namtu</c:v>
                </c:pt>
                <c:pt idx="50">
                  <c:v>Loi Je Baptist Church</c:v>
                </c:pt>
                <c:pt idx="51">
                  <c:v>Loi Je Catholic Church</c:v>
                </c:pt>
                <c:pt idx="52">
                  <c:v>Loi Je Lisu Camp</c:v>
                </c:pt>
                <c:pt idx="53">
                  <c:v>Lung Sut</c:v>
                </c:pt>
                <c:pt idx="54">
                  <c:v>Lwegel High School</c:v>
                </c:pt>
                <c:pt idx="55">
                  <c:v>Mading Baptist Church</c:v>
                </c:pt>
                <c:pt idx="56">
                  <c:v>Maga Yang </c:v>
                </c:pt>
                <c:pt idx="57">
                  <c:v>Maina AG Church</c:v>
                </c:pt>
                <c:pt idx="58">
                  <c:v>Maina Catholic Church (St. Joseph)</c:v>
                </c:pt>
                <c:pt idx="59">
                  <c:v>Maina KBC (Bawng Ring)</c:v>
                </c:pt>
                <c:pt idx="60">
                  <c:v>Maina Lawang Baptist Church</c:v>
                </c:pt>
                <c:pt idx="61">
                  <c:v>Maing Khaung</c:v>
                </c:pt>
                <c:pt idx="62">
                  <c:v>Maing Khaung Catholic Church</c:v>
                </c:pt>
                <c:pt idx="63">
                  <c:v>Maliyang Baptist Church</c:v>
                </c:pt>
                <c:pt idx="64">
                  <c:v>Man Bung Catholic compound</c:v>
                </c:pt>
                <c:pt idx="65">
                  <c:v>Man Bung Edin Baptist Church</c:v>
                </c:pt>
                <c:pt idx="66">
                  <c:v>Man Hkring Baptist Church</c:v>
                </c:pt>
                <c:pt idx="67">
                  <c:v>Man Kaung/Naung Ti Kyar Village</c:v>
                </c:pt>
                <c:pt idx="68">
                  <c:v>Man Loi</c:v>
                </c:pt>
                <c:pt idx="69">
                  <c:v>Man Wing Baptist Church</c:v>
                </c:pt>
                <c:pt idx="70">
                  <c:v>Man Wing Baptist Church Cultural Compound</c:v>
                </c:pt>
                <c:pt idx="71">
                  <c:v>Man Wing Catholic Church</c:v>
                </c:pt>
                <c:pt idx="72">
                  <c:v>Man Wing Catholic Church II</c:v>
                </c:pt>
                <c:pt idx="73">
                  <c:v>Man Wing Host Families</c:v>
                </c:pt>
                <c:pt idx="74">
                  <c:v>Mandung - Jinghpaw</c:v>
                </c:pt>
                <c:pt idx="75">
                  <c:v>Mandung - RC</c:v>
                </c:pt>
                <c:pt idx="76">
                  <c:v>Mansi Baptist Church</c:v>
                </c:pt>
                <c:pt idx="77">
                  <c:v>Mansi_Host Families</c:v>
                </c:pt>
                <c:pt idx="78">
                  <c:v>Maw Hpawng Hka Nan Baptist Church</c:v>
                </c:pt>
                <c:pt idx="79">
                  <c:v>Maw Hpawng Lhaovo Baptist Church</c:v>
                </c:pt>
                <c:pt idx="80">
                  <c:v>Maw Wan, Mu-yin Baptist Church</c:v>
                </c:pt>
                <c:pt idx="81">
                  <c:v>Moenyin Host Families</c:v>
                </c:pt>
                <c:pt idx="82">
                  <c:v>Momauk Baptist Church</c:v>
                </c:pt>
                <c:pt idx="83">
                  <c:v>Momauk_Host Families</c:v>
                </c:pt>
                <c:pt idx="84">
                  <c:v>Mong Wee Shan</c:v>
                </c:pt>
                <c:pt idx="85">
                  <c:v>Mung Hawm </c:v>
                </c:pt>
                <c:pt idx="86">
                  <c:v>Mungji Pa Dabang (Baptist Church)</c:v>
                </c:pt>
                <c:pt idx="87">
                  <c:v>Mungji Pa Dabang (Catholic Church)</c:v>
                </c:pt>
                <c:pt idx="88">
                  <c:v>Muse Catholic Church</c:v>
                </c:pt>
                <c:pt idx="89">
                  <c:v>Mu-yin Baptist Church</c:v>
                </c:pt>
                <c:pt idx="90">
                  <c:v>Muyin church (Aung Yar pre-school compound)</c:v>
                </c:pt>
                <c:pt idx="91">
                  <c:v>Myo Thit </c:v>
                </c:pt>
                <c:pt idx="92">
                  <c:v>Nam Hkam - Nay Win Ni (Palawng)</c:v>
                </c:pt>
                <c:pt idx="93">
                  <c:v>Nam Hkam (KBC Jaw Wang)</c:v>
                </c:pt>
                <c:pt idx="94">
                  <c:v>Nam Hkam (KBC Jaw Wang) II</c:v>
                </c:pt>
                <c:pt idx="95">
                  <c:v>Nam Hkam Catholic Church ( St. Thomas I)</c:v>
                </c:pt>
                <c:pt idx="96">
                  <c:v>Nam Hpak Ka Mare </c:v>
                </c:pt>
                <c:pt idx="97">
                  <c:v>Nam Ma Phyit, COC</c:v>
                </c:pt>
                <c:pt idx="98">
                  <c:v>Nam Sa Larp</c:v>
                </c:pt>
                <c:pt idx="99">
                  <c:v>Nam Tu Baptist</c:v>
                </c:pt>
                <c:pt idx="100">
                  <c:v>Namhkan - Pang Long KBC</c:v>
                </c:pt>
                <c:pt idx="101">
                  <c:v>Nan Kway St. John Catholic Church</c:v>
                </c:pt>
                <c:pt idx="102">
                  <c:v>Nant Ma Hpit Catholic Church</c:v>
                </c:pt>
                <c:pt idx="103">
                  <c:v>Nat Gyi Kone Baptist Church </c:v>
                </c:pt>
                <c:pt idx="104">
                  <c:v>Nawng Hee Village</c:v>
                </c:pt>
                <c:pt idx="105">
                  <c:v>Nawng Ing (Indawgyi) Baptist Church </c:v>
                </c:pt>
                <c:pt idx="106">
                  <c:v>Ndup Yang</c:v>
                </c:pt>
                <c:pt idx="107">
                  <c:v>New Pang Ku </c:v>
                </c:pt>
                <c:pt idx="108">
                  <c:v>Nhkawng Pa </c:v>
                </c:pt>
                <c:pt idx="109">
                  <c:v>Njang Dung Baptist Church </c:v>
                </c:pt>
                <c:pt idx="110">
                  <c:v>Nyaung Na Pin </c:v>
                </c:pt>
                <c:pt idx="111">
                  <c:v>Pa Dauk Myaing(Pa La Na)</c:v>
                </c:pt>
                <c:pt idx="112">
                  <c:v>Pa Kahtawng </c:v>
                </c:pt>
                <c:pt idx="113">
                  <c:v>Pajau - Jan Mai</c:v>
                </c:pt>
                <c:pt idx="114">
                  <c:v>Pan Law</c:v>
                </c:pt>
                <c:pt idx="115">
                  <c:v>Pan Ta Pyae</c:v>
                </c:pt>
                <c:pt idx="116">
                  <c:v>Pan Wa</c:v>
                </c:pt>
                <c:pt idx="117">
                  <c:v>Phan Khar Kone</c:v>
                </c:pt>
                <c:pt idx="118">
                  <c:v>Post 6 Camp</c:v>
                </c:pt>
                <c:pt idx="119">
                  <c:v>Qtr. 2 Lhaovo Baptist Church</c:v>
                </c:pt>
                <c:pt idx="120">
                  <c:v>Qtr. 2 Myoma Baptist Church</c:v>
                </c:pt>
                <c:pt idx="121">
                  <c:v>Qtr. 3 Mu-yin  Baptist Church</c:v>
                </c:pt>
                <c:pt idx="122">
                  <c:v>Rawan Baptist Church, Maw Shan Vil., Seik Mu</c:v>
                </c:pt>
                <c:pt idx="123">
                  <c:v>Robert Church</c:v>
                </c:pt>
                <c:pt idx="124">
                  <c:v>Salang Yang</c:v>
                </c:pt>
                <c:pt idx="125">
                  <c:v>Sar Hmaw - KBC</c:v>
                </c:pt>
                <c:pt idx="126">
                  <c:v>Saw Zam</c:v>
                </c:pt>
                <c:pt idx="127">
                  <c:v>Seng Ja </c:v>
                </c:pt>
                <c:pt idx="128">
                  <c:v>Sha-It Yang</c:v>
                </c:pt>
                <c:pt idx="129">
                  <c:v>Shar Du Zut KBC church </c:v>
                </c:pt>
                <c:pt idx="130">
                  <c:v>Shar Du Zut RC church</c:v>
                </c:pt>
                <c:pt idx="131">
                  <c:v>Shar Du Zut SanPya</c:v>
                </c:pt>
                <c:pt idx="132">
                  <c:v>Shatapru Sut Ngai Tawng</c:v>
                </c:pt>
                <c:pt idx="133">
                  <c:v>Shatapru Thida Aye Baptist Church</c:v>
                </c:pt>
                <c:pt idx="134">
                  <c:v>Shing Jai</c:v>
                </c:pt>
                <c:pt idx="135">
                  <c:v>Shwe Gu Baptist Church</c:v>
                </c:pt>
                <c:pt idx="136">
                  <c:v>Shwe Gu Catholic Church</c:v>
                </c:pt>
                <c:pt idx="137">
                  <c:v>Shwe Zet Baptist Church</c:v>
                </c:pt>
                <c:pt idx="138">
                  <c:v>St. Patrick Catholic Church </c:v>
                </c:pt>
                <c:pt idx="139">
                  <c:v>Sumprabum</c:v>
                </c:pt>
                <c:pt idx="140">
                  <c:v>Tanai CoC</c:v>
                </c:pt>
                <c:pt idx="141">
                  <c:v>Tat Kone Baptist Church</c:v>
                </c:pt>
                <c:pt idx="142">
                  <c:v>Tat Kone COC Baptist - Tat Kone Htoi San</c:v>
                </c:pt>
                <c:pt idx="143">
                  <c:v>Tat Kone Emanuel Church</c:v>
                </c:pt>
                <c:pt idx="144">
                  <c:v>Tat Kone Galile Baptist Church</c:v>
                </c:pt>
                <c:pt idx="145">
                  <c:v>Tat Kone San Pya Baptist Church</c:v>
                </c:pt>
                <c:pt idx="146">
                  <c:v>Thargaya Lisu Baptist Church</c:v>
                </c:pt>
                <c:pt idx="147">
                  <c:v>Tote Tan Ward</c:v>
                </c:pt>
                <c:pt idx="148">
                  <c:v>Tsan Lun - Namjarap</c:v>
                </c:pt>
                <c:pt idx="149">
                  <c:v>Waingmaw AG Church</c:v>
                </c:pt>
                <c:pt idx="150">
                  <c:v>Ward 2 Sai Taung Baptist Church, Seik Mu </c:v>
                </c:pt>
                <c:pt idx="151">
                  <c:v>Woi Chyai </c:v>
                </c:pt>
                <c:pt idx="152">
                  <c:v>Woi Chyai (Mong Lai)</c:v>
                </c:pt>
                <c:pt idx="153">
                  <c:v>Woi Chyai host families</c:v>
                </c:pt>
                <c:pt idx="154">
                  <c:v>Yumar Baptist Church</c:v>
                </c:pt>
                <c:pt idx="155">
                  <c:v>Zup Aung Camp</c:v>
                </c:pt>
                <c:pt idx="156">
                  <c:v>Myo Oo St. Dominic RC Church</c:v>
                </c:pt>
                <c:pt idx="157">
                  <c:v>Lan Gwa St.Paul RC Church</c:v>
                </c:pt>
                <c:pt idx="158">
                  <c:v>Emmanuel AG Church</c:v>
                </c:pt>
                <c:pt idx="159">
                  <c:v>Ti Yang Zup</c:v>
                </c:pt>
                <c:pt idx="160">
                  <c:v>Sadung</c:v>
                </c:pt>
                <c:pt idx="161">
                  <c:v>Lawa RC Church</c:v>
                </c:pt>
                <c:pt idx="162">
                  <c:v>Karmaing RC Church</c:v>
                </c:pt>
                <c:pt idx="163">
                  <c:v>Ka Bu Dam CoC</c:v>
                </c:pt>
                <c:pt idx="164">
                  <c:v>Pang Hkawn Yang</c:v>
                </c:pt>
                <c:pt idx="165">
                  <c:v>Lone Khin Catholic Church</c:v>
                </c:pt>
                <c:pt idx="166">
                  <c:v>Zupra</c:v>
                </c:pt>
                <c:pt idx="167">
                  <c:v>Lawt Awng</c:v>
                </c:pt>
                <c:pt idx="168">
                  <c:v>Ban Dang</c:v>
                </c:pt>
                <c:pt idx="169">
                  <c:v>Sut Chyai</c:v>
                </c:pt>
                <c:pt idx="170">
                  <c:v>Da Wei</c:v>
                </c:pt>
                <c:pt idx="171">
                  <c:v>Htai Ra Yang</c:v>
                </c:pt>
                <c:pt idx="172">
                  <c:v>Namatee AG</c:v>
                </c:pt>
                <c:pt idx="173">
                  <c:v>Ma Hawng Baptist Church</c:v>
                </c:pt>
                <c:pt idx="174">
                  <c:v>Tanai KBC Camp</c:v>
                </c:pt>
                <c:pt idx="175">
                  <c:v>Nam Hpak Ka Ta'ang ( Aung Tha Pyay)</c:v>
                </c:pt>
                <c:pt idx="176">
                  <c:v>Mai Yu Lay New (Ta'ang)</c:v>
                </c:pt>
                <c:pt idx="177">
                  <c:v>Mine Yu Lay village ( Old)</c:v>
                </c:pt>
                <c:pt idx="178">
                  <c:v>Namti Labraw Yang KBC Camp</c:v>
                </c:pt>
                <c:pt idx="179">
                  <c:v>Trinity Camp</c:v>
                </c:pt>
                <c:pt idx="180">
                  <c:v>Jaw Masat Camp</c:v>
                </c:pt>
                <c:pt idx="181">
                  <c:v>Waimaw Baptist Zonal Office 2</c:v>
                </c:pt>
                <c:pt idx="182">
                  <c:v>Pa Dauk Myaing(Pa La Na)-II</c:v>
                </c:pt>
                <c:pt idx="183">
                  <c:v>Mee Pho Kone</c:v>
                </c:pt>
                <c:pt idx="184">
                  <c:v>St. Joseph Tanai RC camp </c:v>
                </c:pt>
                <c:pt idx="185">
                  <c:v>Galeng (Palaung) &amp; Kone Khem</c:v>
                </c:pt>
                <c:pt idx="186">
                  <c:v>Hu Hku &amp; Ho Hko</c:v>
                </c:pt>
                <c:pt idx="187">
                  <c:v>Hka Garan Yang </c:v>
                </c:pt>
                <c:pt idx="188">
                  <c:v>Htang Nya </c:v>
                </c:pt>
                <c:pt idx="189">
                  <c:v>Enai (Man Pyein)</c:v>
                </c:pt>
                <c:pt idx="190">
                  <c:v>Hpa Ji Shalat Boarding School ( Daw Hpum Yang)</c:v>
                </c:pt>
                <c:pt idx="191">
                  <c:v>Lwe Mauk Yang Boarding School</c:v>
                </c:pt>
                <c:pt idx="192">
                  <c:v>AD 2000 School</c:v>
                </c:pt>
                <c:pt idx="193">
                  <c:v>Robert -High school</c:v>
                </c:pt>
                <c:pt idx="194">
                  <c:v>Pamati Camp</c:v>
                </c:pt>
                <c:pt idx="195">
                  <c:v>Momauk IDP new extension camp (Kye Nan)</c:v>
                </c:pt>
                <c:pt idx="196">
                  <c:v>Sector 5 Pammati Quarter</c:v>
                </c:pt>
                <c:pt idx="197">
                  <c:v>Man Pya San Pya Resettlement</c:v>
                </c:pt>
                <c:pt idx="198">
                  <c:v>San Kar Resettlement</c:v>
                </c:pt>
              </c:strCache>
            </c:strRef>
          </c:cat>
          <c:val>
            <c:numRef>
              <c:f>'By Camps'!$B$34</c:f>
              <c:numCache>
                <c:formatCode>General</c:formatCode>
                <c:ptCount val="199"/>
                <c:pt idx="0">
                  <c:v>0</c:v>
                </c:pt>
                <c:pt idx="1">
                  <c:v>167</c:v>
                </c:pt>
                <c:pt idx="2">
                  <c:v>723</c:v>
                </c:pt>
                <c:pt idx="3">
                  <c:v>371</c:v>
                </c:pt>
                <c:pt idx="4">
                  <c:v>83</c:v>
                </c:pt>
                <c:pt idx="5">
                  <c:v>571</c:v>
                </c:pt>
                <c:pt idx="6">
                  <c:v>55</c:v>
                </c:pt>
                <c:pt idx="7">
                  <c:v>228</c:v>
                </c:pt>
                <c:pt idx="8">
                  <c:v>0</c:v>
                </c:pt>
                <c:pt idx="9">
                  <c:v>66.666666666666671</c:v>
                </c:pt>
                <c:pt idx="10">
                  <c:v>1887</c:v>
                </c:pt>
                <c:pt idx="11">
                  <c:v>0</c:v>
                </c:pt>
                <c:pt idx="12">
                  <c:v>66.666666666666671</c:v>
                </c:pt>
                <c:pt idx="13">
                  <c:v>0</c:v>
                </c:pt>
                <c:pt idx="14">
                  <c:v>197</c:v>
                </c:pt>
                <c:pt idx="15">
                  <c:v>66.666666666666671</c:v>
                </c:pt>
                <c:pt idx="16">
                  <c:v>0</c:v>
                </c:pt>
                <c:pt idx="17">
                  <c:v>448</c:v>
                </c:pt>
                <c:pt idx="18">
                  <c:v>66.666666666666671</c:v>
                </c:pt>
                <c:pt idx="19">
                  <c:v>132</c:v>
                </c:pt>
                <c:pt idx="20">
                  <c:v>0</c:v>
                </c:pt>
                <c:pt idx="21">
                  <c:v>0</c:v>
                </c:pt>
                <c:pt idx="22">
                  <c:v>0</c:v>
                </c:pt>
                <c:pt idx="23">
                  <c:v>519</c:v>
                </c:pt>
                <c:pt idx="24">
                  <c:v>66.666666666666671</c:v>
                </c:pt>
                <c:pt idx="25">
                  <c:v>1617.6</c:v>
                </c:pt>
                <c:pt idx="26">
                  <c:v>291</c:v>
                </c:pt>
                <c:pt idx="27">
                  <c:v>169.06666666666666</c:v>
                </c:pt>
                <c:pt idx="28">
                  <c:v>0</c:v>
                </c:pt>
                <c:pt idx="29">
                  <c:v>1050</c:v>
                </c:pt>
                <c:pt idx="30">
                  <c:v>400</c:v>
                </c:pt>
                <c:pt idx="31">
                  <c:v>400</c:v>
                </c:pt>
                <c:pt idx="32">
                  <c:v>106</c:v>
                </c:pt>
                <c:pt idx="33">
                  <c:v>94</c:v>
                </c:pt>
                <c:pt idx="34">
                  <c:v>0</c:v>
                </c:pt>
                <c:pt idx="35">
                  <c:v>259</c:v>
                </c:pt>
                <c:pt idx="36">
                  <c:v>156</c:v>
                </c:pt>
                <c:pt idx="37">
                  <c:v>0</c:v>
                </c:pt>
                <c:pt idx="38">
                  <c:v>249</c:v>
                </c:pt>
                <c:pt idx="39">
                  <c:v>66</c:v>
                </c:pt>
                <c:pt idx="40">
                  <c:v>500</c:v>
                </c:pt>
                <c:pt idx="41">
                  <c:v>1850</c:v>
                </c:pt>
                <c:pt idx="42">
                  <c:v>316.66666666666669</c:v>
                </c:pt>
                <c:pt idx="43">
                  <c:v>547</c:v>
                </c:pt>
                <c:pt idx="44">
                  <c:v>676</c:v>
                </c:pt>
                <c:pt idx="45">
                  <c:v>66.666666666666671</c:v>
                </c:pt>
                <c:pt idx="46">
                  <c:v>103</c:v>
                </c:pt>
                <c:pt idx="47">
                  <c:v>0</c:v>
                </c:pt>
                <c:pt idx="48">
                  <c:v>800</c:v>
                </c:pt>
                <c:pt idx="49">
                  <c:v>146</c:v>
                </c:pt>
                <c:pt idx="50">
                  <c:v>209</c:v>
                </c:pt>
                <c:pt idx="51">
                  <c:v>310</c:v>
                </c:pt>
                <c:pt idx="52">
                  <c:v>1267</c:v>
                </c:pt>
                <c:pt idx="53">
                  <c:v>289</c:v>
                </c:pt>
                <c:pt idx="54">
                  <c:v>1300</c:v>
                </c:pt>
                <c:pt idx="55">
                  <c:v>159</c:v>
                </c:pt>
                <c:pt idx="56">
                  <c:v>400</c:v>
                </c:pt>
                <c:pt idx="57">
                  <c:v>2065</c:v>
                </c:pt>
                <c:pt idx="58">
                  <c:v>1481</c:v>
                </c:pt>
                <c:pt idx="59">
                  <c:v>2500</c:v>
                </c:pt>
                <c:pt idx="60">
                  <c:v>191</c:v>
                </c:pt>
                <c:pt idx="61">
                  <c:v>1900</c:v>
                </c:pt>
                <c:pt idx="62">
                  <c:v>694</c:v>
                </c:pt>
                <c:pt idx="63">
                  <c:v>290</c:v>
                </c:pt>
                <c:pt idx="64">
                  <c:v>741</c:v>
                </c:pt>
                <c:pt idx="65">
                  <c:v>607</c:v>
                </c:pt>
                <c:pt idx="66">
                  <c:v>547</c:v>
                </c:pt>
                <c:pt idx="67">
                  <c:v>0</c:v>
                </c:pt>
                <c:pt idx="68">
                  <c:v>85</c:v>
                </c:pt>
                <c:pt idx="69">
                  <c:v>0</c:v>
                </c:pt>
                <c:pt idx="70">
                  <c:v>0</c:v>
                </c:pt>
                <c:pt idx="71">
                  <c:v>0</c:v>
                </c:pt>
                <c:pt idx="72">
                  <c:v>0</c:v>
                </c:pt>
                <c:pt idx="73">
                  <c:v>0</c:v>
                </c:pt>
                <c:pt idx="74">
                  <c:v>148</c:v>
                </c:pt>
                <c:pt idx="75">
                  <c:v>156</c:v>
                </c:pt>
                <c:pt idx="76">
                  <c:v>789</c:v>
                </c:pt>
                <c:pt idx="77">
                  <c:v>0</c:v>
                </c:pt>
                <c:pt idx="78">
                  <c:v>92</c:v>
                </c:pt>
                <c:pt idx="79">
                  <c:v>123</c:v>
                </c:pt>
                <c:pt idx="80">
                  <c:v>15</c:v>
                </c:pt>
                <c:pt idx="81">
                  <c:v>0</c:v>
                </c:pt>
                <c:pt idx="82">
                  <c:v>527</c:v>
                </c:pt>
                <c:pt idx="83">
                  <c:v>0</c:v>
                </c:pt>
                <c:pt idx="84">
                  <c:v>0</c:v>
                </c:pt>
                <c:pt idx="85">
                  <c:v>0</c:v>
                </c:pt>
                <c:pt idx="86">
                  <c:v>0</c:v>
                </c:pt>
                <c:pt idx="87">
                  <c:v>111</c:v>
                </c:pt>
                <c:pt idx="88">
                  <c:v>114</c:v>
                </c:pt>
                <c:pt idx="89">
                  <c:v>45</c:v>
                </c:pt>
                <c:pt idx="90">
                  <c:v>0</c:v>
                </c:pt>
                <c:pt idx="91">
                  <c:v>0</c:v>
                </c:pt>
                <c:pt idx="92">
                  <c:v>401</c:v>
                </c:pt>
                <c:pt idx="93">
                  <c:v>350</c:v>
                </c:pt>
                <c:pt idx="94">
                  <c:v>176</c:v>
                </c:pt>
                <c:pt idx="95">
                  <c:v>212</c:v>
                </c:pt>
                <c:pt idx="96">
                  <c:v>66.666666666666671</c:v>
                </c:pt>
                <c:pt idx="97">
                  <c:v>42</c:v>
                </c:pt>
                <c:pt idx="98">
                  <c:v>182</c:v>
                </c:pt>
                <c:pt idx="99">
                  <c:v>66.666666666666671</c:v>
                </c:pt>
                <c:pt idx="100">
                  <c:v>0</c:v>
                </c:pt>
                <c:pt idx="101">
                  <c:v>309</c:v>
                </c:pt>
                <c:pt idx="102">
                  <c:v>218</c:v>
                </c:pt>
                <c:pt idx="103">
                  <c:v>41</c:v>
                </c:pt>
                <c:pt idx="104">
                  <c:v>82</c:v>
                </c:pt>
                <c:pt idx="105">
                  <c:v>113</c:v>
                </c:pt>
                <c:pt idx="106">
                  <c:v>66.666666666666671</c:v>
                </c:pt>
                <c:pt idx="107">
                  <c:v>0</c:v>
                </c:pt>
                <c:pt idx="108">
                  <c:v>1500</c:v>
                </c:pt>
                <c:pt idx="109">
                  <c:v>281</c:v>
                </c:pt>
                <c:pt idx="110">
                  <c:v>294</c:v>
                </c:pt>
                <c:pt idx="111">
                  <c:v>882</c:v>
                </c:pt>
                <c:pt idx="112">
                  <c:v>1916.6666666666667</c:v>
                </c:pt>
                <c:pt idx="113">
                  <c:v>200</c:v>
                </c:pt>
                <c:pt idx="114">
                  <c:v>66.666666666666671</c:v>
                </c:pt>
                <c:pt idx="115">
                  <c:v>27</c:v>
                </c:pt>
                <c:pt idx="116">
                  <c:v>66.666666666666671</c:v>
                </c:pt>
                <c:pt idx="117">
                  <c:v>514</c:v>
                </c:pt>
                <c:pt idx="118">
                  <c:v>612</c:v>
                </c:pt>
                <c:pt idx="119">
                  <c:v>493</c:v>
                </c:pt>
                <c:pt idx="120">
                  <c:v>307</c:v>
                </c:pt>
                <c:pt idx="121">
                  <c:v>189</c:v>
                </c:pt>
                <c:pt idx="122">
                  <c:v>38</c:v>
                </c:pt>
                <c:pt idx="123">
                  <c:v>3859</c:v>
                </c:pt>
                <c:pt idx="124">
                  <c:v>66.666666666666671</c:v>
                </c:pt>
                <c:pt idx="125">
                  <c:v>136</c:v>
                </c:pt>
                <c:pt idx="126">
                  <c:v>0</c:v>
                </c:pt>
                <c:pt idx="127">
                  <c:v>255</c:v>
                </c:pt>
                <c:pt idx="128">
                  <c:v>266.66666666666669</c:v>
                </c:pt>
                <c:pt idx="129">
                  <c:v>103</c:v>
                </c:pt>
                <c:pt idx="130">
                  <c:v>0</c:v>
                </c:pt>
                <c:pt idx="131">
                  <c:v>80</c:v>
                </c:pt>
                <c:pt idx="132">
                  <c:v>534</c:v>
                </c:pt>
                <c:pt idx="133">
                  <c:v>111</c:v>
                </c:pt>
                <c:pt idx="134">
                  <c:v>66.666666666666671</c:v>
                </c:pt>
                <c:pt idx="135">
                  <c:v>298</c:v>
                </c:pt>
                <c:pt idx="136">
                  <c:v>189</c:v>
                </c:pt>
                <c:pt idx="137">
                  <c:v>499</c:v>
                </c:pt>
                <c:pt idx="138">
                  <c:v>52</c:v>
                </c:pt>
                <c:pt idx="139">
                  <c:v>0</c:v>
                </c:pt>
                <c:pt idx="140">
                  <c:v>175</c:v>
                </c:pt>
                <c:pt idx="141">
                  <c:v>351</c:v>
                </c:pt>
                <c:pt idx="142">
                  <c:v>253</c:v>
                </c:pt>
                <c:pt idx="143">
                  <c:v>77</c:v>
                </c:pt>
                <c:pt idx="144">
                  <c:v>165</c:v>
                </c:pt>
                <c:pt idx="145">
                  <c:v>219</c:v>
                </c:pt>
                <c:pt idx="146">
                  <c:v>186</c:v>
                </c:pt>
                <c:pt idx="147">
                  <c:v>0</c:v>
                </c:pt>
                <c:pt idx="148">
                  <c:v>183</c:v>
                </c:pt>
                <c:pt idx="149">
                  <c:v>263</c:v>
                </c:pt>
                <c:pt idx="150">
                  <c:v>172</c:v>
                </c:pt>
                <c:pt idx="151">
                  <c:v>595.14074074074074</c:v>
                </c:pt>
                <c:pt idx="152">
                  <c:v>0</c:v>
                </c:pt>
                <c:pt idx="153">
                  <c:v>0</c:v>
                </c:pt>
                <c:pt idx="154">
                  <c:v>0</c:v>
                </c:pt>
                <c:pt idx="155">
                  <c:v>1077</c:v>
                </c:pt>
                <c:pt idx="156">
                  <c:v>235</c:v>
                </c:pt>
                <c:pt idx="157">
                  <c:v>396</c:v>
                </c:pt>
                <c:pt idx="158">
                  <c:v>0</c:v>
                </c:pt>
                <c:pt idx="159">
                  <c:v>66.666666666666671</c:v>
                </c:pt>
                <c:pt idx="160">
                  <c:v>0</c:v>
                </c:pt>
                <c:pt idx="161">
                  <c:v>218</c:v>
                </c:pt>
                <c:pt idx="162">
                  <c:v>63</c:v>
                </c:pt>
                <c:pt idx="163">
                  <c:v>39</c:v>
                </c:pt>
                <c:pt idx="164">
                  <c:v>1397</c:v>
                </c:pt>
                <c:pt idx="165">
                  <c:v>329</c:v>
                </c:pt>
                <c:pt idx="166">
                  <c:v>0</c:v>
                </c:pt>
                <c:pt idx="167">
                  <c:v>0</c:v>
                </c:pt>
                <c:pt idx="168">
                  <c:v>0</c:v>
                </c:pt>
                <c:pt idx="169">
                  <c:v>0</c:v>
                </c:pt>
                <c:pt idx="170">
                  <c:v>0</c:v>
                </c:pt>
                <c:pt idx="171">
                  <c:v>0</c:v>
                </c:pt>
                <c:pt idx="172">
                  <c:v>36</c:v>
                </c:pt>
                <c:pt idx="173">
                  <c:v>78</c:v>
                </c:pt>
                <c:pt idx="174">
                  <c:v>0</c:v>
                </c:pt>
                <c:pt idx="175">
                  <c:v>114</c:v>
                </c:pt>
                <c:pt idx="176">
                  <c:v>0</c:v>
                </c:pt>
                <c:pt idx="177">
                  <c:v>66.666666666666671</c:v>
                </c:pt>
                <c:pt idx="178">
                  <c:v>400</c:v>
                </c:pt>
                <c:pt idx="179">
                  <c:v>724</c:v>
                </c:pt>
                <c:pt idx="180">
                  <c:v>489</c:v>
                </c:pt>
                <c:pt idx="181">
                  <c:v>356</c:v>
                </c:pt>
                <c:pt idx="182">
                  <c:v>933.33333333333337</c:v>
                </c:pt>
                <c:pt idx="183">
                  <c:v>0</c:v>
                </c:pt>
                <c:pt idx="184">
                  <c:v>566.66666666666663</c:v>
                </c:pt>
                <c:pt idx="185">
                  <c:v>0</c:v>
                </c:pt>
                <c:pt idx="186">
                  <c:v>0</c:v>
                </c:pt>
                <c:pt idx="187">
                  <c:v>0</c:v>
                </c:pt>
                <c:pt idx="188">
                  <c:v>120</c:v>
                </c:pt>
                <c:pt idx="189">
                  <c:v>95</c:v>
                </c:pt>
                <c:pt idx="190">
                  <c:v>0</c:v>
                </c:pt>
                <c:pt idx="191">
                  <c:v>0</c:v>
                </c:pt>
                <c:pt idx="192">
                  <c:v>0</c:v>
                </c:pt>
                <c:pt idx="193">
                  <c:v>1219</c:v>
                </c:pt>
                <c:pt idx="194">
                  <c:v>130</c:v>
                </c:pt>
                <c:pt idx="195">
                  <c:v>197</c:v>
                </c:pt>
                <c:pt idx="196">
                  <c:v>0</c:v>
                </c:pt>
                <c:pt idx="197">
                  <c:v>412</c:v>
                </c:pt>
                <c:pt idx="198">
                  <c:v>685</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[20201026_Myanmar_WASH_4W_2020_Q3_KachinShan_camp_Consolidate.xlsx]Tracking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Dashboard'!$L$5:$M$804</c:f>
              <c:multiLvlStrCache>
                <c:ptCount val="596"/>
                <c:lvl>
                  <c:pt idx="0">
                    <c:v>2020_Q1</c:v>
                  </c:pt>
                  <c:pt idx="1">
                    <c:v>2020_Q2</c:v>
                  </c:pt>
                  <c:pt idx="2">
                    <c:v>2020_Q3</c:v>
                  </c:pt>
                  <c:pt idx="3">
                    <c:v>2020_Q1</c:v>
                  </c:pt>
                  <c:pt idx="4">
                    <c:v>2020_Q2</c:v>
                  </c:pt>
                  <c:pt idx="5">
                    <c:v>2020_Q3</c:v>
                  </c:pt>
                  <c:pt idx="6">
                    <c:v>2020_Q1</c:v>
                  </c:pt>
                  <c:pt idx="7">
                    <c:v>2020_Q2</c:v>
                  </c:pt>
                  <c:pt idx="8">
                    <c:v>2020_Q3</c:v>
                  </c:pt>
                  <c:pt idx="9">
                    <c:v>2020_Q1</c:v>
                  </c:pt>
                  <c:pt idx="10">
                    <c:v>2020_Q2</c:v>
                  </c:pt>
                  <c:pt idx="11">
                    <c:v>2020_Q3</c:v>
                  </c:pt>
                  <c:pt idx="12">
                    <c:v>2020_Q1</c:v>
                  </c:pt>
                  <c:pt idx="13">
                    <c:v>2020_Q2</c:v>
                  </c:pt>
                  <c:pt idx="14">
                    <c:v>2020_Q3</c:v>
                  </c:pt>
                  <c:pt idx="15">
                    <c:v>2020_Q1</c:v>
                  </c:pt>
                  <c:pt idx="16">
                    <c:v>2020_Q2</c:v>
                  </c:pt>
                  <c:pt idx="17">
                    <c:v>2020_Q3</c:v>
                  </c:pt>
                  <c:pt idx="18">
                    <c:v>2020_Q1</c:v>
                  </c:pt>
                  <c:pt idx="19">
                    <c:v>2020_Q2</c:v>
                  </c:pt>
                  <c:pt idx="20">
                    <c:v>2020_Q3</c:v>
                  </c:pt>
                  <c:pt idx="21">
                    <c:v>2020_Q1</c:v>
                  </c:pt>
                  <c:pt idx="22">
                    <c:v>2020_Q2</c:v>
                  </c:pt>
                  <c:pt idx="23">
                    <c:v>2020_Q3</c:v>
                  </c:pt>
                  <c:pt idx="24">
                    <c:v>2020_Q1</c:v>
                  </c:pt>
                  <c:pt idx="25">
                    <c:v>2020_Q2</c:v>
                  </c:pt>
                  <c:pt idx="26">
                    <c:v>2020_Q3</c:v>
                  </c:pt>
                  <c:pt idx="27">
                    <c:v>2020_Q1</c:v>
                  </c:pt>
                  <c:pt idx="28">
                    <c:v>2020_Q2</c:v>
                  </c:pt>
                  <c:pt idx="29">
                    <c:v>2020_Q3</c:v>
                  </c:pt>
                  <c:pt idx="30">
                    <c:v>2020_Q1</c:v>
                  </c:pt>
                  <c:pt idx="31">
                    <c:v>2020_Q2</c:v>
                  </c:pt>
                  <c:pt idx="32">
                    <c:v>2020_Q3</c:v>
                  </c:pt>
                  <c:pt idx="33">
                    <c:v>2020_Q1</c:v>
                  </c:pt>
                  <c:pt idx="34">
                    <c:v>2020_Q2</c:v>
                  </c:pt>
                  <c:pt idx="35">
                    <c:v>2020_Q3</c:v>
                  </c:pt>
                  <c:pt idx="36">
                    <c:v>2020_Q1</c:v>
                  </c:pt>
                  <c:pt idx="37">
                    <c:v>2020_Q2</c:v>
                  </c:pt>
                  <c:pt idx="38">
                    <c:v>2020_Q3</c:v>
                  </c:pt>
                  <c:pt idx="39">
                    <c:v>2020_Q1</c:v>
                  </c:pt>
                  <c:pt idx="40">
                    <c:v>2020_Q2</c:v>
                  </c:pt>
                  <c:pt idx="41">
                    <c:v>2020_Q3</c:v>
                  </c:pt>
                  <c:pt idx="42">
                    <c:v>2020_Q1</c:v>
                  </c:pt>
                  <c:pt idx="43">
                    <c:v>2020_Q2</c:v>
                  </c:pt>
                  <c:pt idx="44">
                    <c:v>2020_Q3</c:v>
                  </c:pt>
                  <c:pt idx="45">
                    <c:v>2020_Q1</c:v>
                  </c:pt>
                  <c:pt idx="46">
                    <c:v>2020_Q2</c:v>
                  </c:pt>
                  <c:pt idx="47">
                    <c:v>2020_Q3</c:v>
                  </c:pt>
                  <c:pt idx="48">
                    <c:v>2020_Q1</c:v>
                  </c:pt>
                  <c:pt idx="49">
                    <c:v>2020_Q2</c:v>
                  </c:pt>
                  <c:pt idx="50">
                    <c:v>2020_Q3</c:v>
                  </c:pt>
                  <c:pt idx="51">
                    <c:v>2020_Q1</c:v>
                  </c:pt>
                  <c:pt idx="52">
                    <c:v>2020_Q2</c:v>
                  </c:pt>
                  <c:pt idx="53">
                    <c:v>2020_Q3</c:v>
                  </c:pt>
                  <c:pt idx="54">
                    <c:v>2020_Q1</c:v>
                  </c:pt>
                  <c:pt idx="55">
                    <c:v>2020_Q2</c:v>
                  </c:pt>
                  <c:pt idx="56">
                    <c:v>2020_Q3</c:v>
                  </c:pt>
                  <c:pt idx="57">
                    <c:v>2020_Q1</c:v>
                  </c:pt>
                  <c:pt idx="58">
                    <c:v>2020_Q2</c:v>
                  </c:pt>
                  <c:pt idx="59">
                    <c:v>2020_Q3</c:v>
                  </c:pt>
                  <c:pt idx="60">
                    <c:v>2020_Q1</c:v>
                  </c:pt>
                  <c:pt idx="61">
                    <c:v>2020_Q2</c:v>
                  </c:pt>
                  <c:pt idx="62">
                    <c:v>2020_Q3</c:v>
                  </c:pt>
                  <c:pt idx="63">
                    <c:v>2020_Q1</c:v>
                  </c:pt>
                  <c:pt idx="64">
                    <c:v>2020_Q2</c:v>
                  </c:pt>
                  <c:pt idx="65">
                    <c:v>2020_Q3</c:v>
                  </c:pt>
                  <c:pt idx="66">
                    <c:v>2020_Q1</c:v>
                  </c:pt>
                  <c:pt idx="67">
                    <c:v>2020_Q2</c:v>
                  </c:pt>
                  <c:pt idx="68">
                    <c:v>2020_Q3</c:v>
                  </c:pt>
                  <c:pt idx="69">
                    <c:v>2020_Q1</c:v>
                  </c:pt>
                  <c:pt idx="70">
                    <c:v>2020_Q2</c:v>
                  </c:pt>
                  <c:pt idx="71">
                    <c:v>2020_Q3</c:v>
                  </c:pt>
                  <c:pt idx="72">
                    <c:v>2020_Q1</c:v>
                  </c:pt>
                  <c:pt idx="73">
                    <c:v>2020_Q2</c:v>
                  </c:pt>
                  <c:pt idx="74">
                    <c:v>2020_Q3</c:v>
                  </c:pt>
                  <c:pt idx="75">
                    <c:v>2020_Q1</c:v>
                  </c:pt>
                  <c:pt idx="76">
                    <c:v>2020_Q2</c:v>
                  </c:pt>
                  <c:pt idx="77">
                    <c:v>2020_Q3</c:v>
                  </c:pt>
                  <c:pt idx="78">
                    <c:v>2020_Q1</c:v>
                  </c:pt>
                  <c:pt idx="79">
                    <c:v>2020_Q2</c:v>
                  </c:pt>
                  <c:pt idx="80">
                    <c:v>2020_Q3</c:v>
                  </c:pt>
                  <c:pt idx="81">
                    <c:v>2020_Q1</c:v>
                  </c:pt>
                  <c:pt idx="82">
                    <c:v>2020_Q2</c:v>
                  </c:pt>
                  <c:pt idx="83">
                    <c:v>2020_Q3</c:v>
                  </c:pt>
                  <c:pt idx="84">
                    <c:v>2020_Q1</c:v>
                  </c:pt>
                  <c:pt idx="85">
                    <c:v>2020_Q2</c:v>
                  </c:pt>
                  <c:pt idx="86">
                    <c:v>2020_Q3</c:v>
                  </c:pt>
                  <c:pt idx="87">
                    <c:v>2020_Q1</c:v>
                  </c:pt>
                  <c:pt idx="88">
                    <c:v>2020_Q2</c:v>
                  </c:pt>
                  <c:pt idx="89">
                    <c:v>2020_Q3</c:v>
                  </c:pt>
                  <c:pt idx="90">
                    <c:v>2020_Q1</c:v>
                  </c:pt>
                  <c:pt idx="91">
                    <c:v>2020_Q2</c:v>
                  </c:pt>
                  <c:pt idx="92">
                    <c:v>2020_Q3</c:v>
                  </c:pt>
                  <c:pt idx="93">
                    <c:v>2020_Q1</c:v>
                  </c:pt>
                  <c:pt idx="94">
                    <c:v>2020_Q2</c:v>
                  </c:pt>
                  <c:pt idx="95">
                    <c:v>2020_Q3</c:v>
                  </c:pt>
                  <c:pt idx="96">
                    <c:v>2020_Q1</c:v>
                  </c:pt>
                  <c:pt idx="97">
                    <c:v>2020_Q2</c:v>
                  </c:pt>
                  <c:pt idx="98">
                    <c:v>2020_Q3</c:v>
                  </c:pt>
                  <c:pt idx="99">
                    <c:v>2020_Q1</c:v>
                  </c:pt>
                  <c:pt idx="100">
                    <c:v>2020_Q2</c:v>
                  </c:pt>
                  <c:pt idx="101">
                    <c:v>2020_Q3</c:v>
                  </c:pt>
                  <c:pt idx="102">
                    <c:v>2020_Q1</c:v>
                  </c:pt>
                  <c:pt idx="103">
                    <c:v>2020_Q2</c:v>
                  </c:pt>
                  <c:pt idx="104">
                    <c:v>2020_Q3</c:v>
                  </c:pt>
                  <c:pt idx="105">
                    <c:v>2020_Q1</c:v>
                  </c:pt>
                  <c:pt idx="106">
                    <c:v>2020_Q2</c:v>
                  </c:pt>
                  <c:pt idx="107">
                    <c:v>2020_Q3</c:v>
                  </c:pt>
                  <c:pt idx="108">
                    <c:v>2020_Q1</c:v>
                  </c:pt>
                  <c:pt idx="109">
                    <c:v>2020_Q2</c:v>
                  </c:pt>
                  <c:pt idx="110">
                    <c:v>2020_Q3</c:v>
                  </c:pt>
                  <c:pt idx="111">
                    <c:v>2020_Q1</c:v>
                  </c:pt>
                  <c:pt idx="112">
                    <c:v>2020_Q2</c:v>
                  </c:pt>
                  <c:pt idx="113">
                    <c:v>2020_Q3</c:v>
                  </c:pt>
                  <c:pt idx="114">
                    <c:v>2020_Q1</c:v>
                  </c:pt>
                  <c:pt idx="115">
                    <c:v>2020_Q2</c:v>
                  </c:pt>
                  <c:pt idx="116">
                    <c:v>2020_Q3</c:v>
                  </c:pt>
                  <c:pt idx="117">
                    <c:v>2020_Q1</c:v>
                  </c:pt>
                  <c:pt idx="118">
                    <c:v>2020_Q2</c:v>
                  </c:pt>
                  <c:pt idx="119">
                    <c:v>2020_Q3</c:v>
                  </c:pt>
                  <c:pt idx="120">
                    <c:v>2020_Q1</c:v>
                  </c:pt>
                  <c:pt idx="121">
                    <c:v>2020_Q2</c:v>
                  </c:pt>
                  <c:pt idx="122">
                    <c:v>2020_Q3</c:v>
                  </c:pt>
                  <c:pt idx="123">
                    <c:v>2020_Q1</c:v>
                  </c:pt>
                  <c:pt idx="124">
                    <c:v>2020_Q2</c:v>
                  </c:pt>
                  <c:pt idx="125">
                    <c:v>2020_Q3</c:v>
                  </c:pt>
                  <c:pt idx="126">
                    <c:v>2020_Q1</c:v>
                  </c:pt>
                  <c:pt idx="127">
                    <c:v>2020_Q2</c:v>
                  </c:pt>
                  <c:pt idx="128">
                    <c:v>2020_Q3</c:v>
                  </c:pt>
                  <c:pt idx="129">
                    <c:v>2020_Q1</c:v>
                  </c:pt>
                  <c:pt idx="130">
                    <c:v>2020_Q2</c:v>
                  </c:pt>
                  <c:pt idx="131">
                    <c:v>2020_Q3</c:v>
                  </c:pt>
                  <c:pt idx="132">
                    <c:v>2020_Q1</c:v>
                  </c:pt>
                  <c:pt idx="133">
                    <c:v>2020_Q2</c:v>
                  </c:pt>
                  <c:pt idx="134">
                    <c:v>2020_Q3</c:v>
                  </c:pt>
                  <c:pt idx="135">
                    <c:v>2020_Q1</c:v>
                  </c:pt>
                  <c:pt idx="136">
                    <c:v>2020_Q2</c:v>
                  </c:pt>
                  <c:pt idx="137">
                    <c:v>2020_Q3</c:v>
                  </c:pt>
                  <c:pt idx="138">
                    <c:v>2020_Q1</c:v>
                  </c:pt>
                  <c:pt idx="139">
                    <c:v>2020_Q2</c:v>
                  </c:pt>
                  <c:pt idx="140">
                    <c:v>2020_Q3</c:v>
                  </c:pt>
                  <c:pt idx="141">
                    <c:v>2020_Q1</c:v>
                  </c:pt>
                  <c:pt idx="142">
                    <c:v>2020_Q2</c:v>
                  </c:pt>
                  <c:pt idx="143">
                    <c:v>2020_Q3</c:v>
                  </c:pt>
                  <c:pt idx="144">
                    <c:v>2020_Q1</c:v>
                  </c:pt>
                  <c:pt idx="145">
                    <c:v>2020_Q2</c:v>
                  </c:pt>
                  <c:pt idx="146">
                    <c:v>2020_Q3</c:v>
                  </c:pt>
                  <c:pt idx="147">
                    <c:v>2020_Q1</c:v>
                  </c:pt>
                  <c:pt idx="148">
                    <c:v>2020_Q2</c:v>
                  </c:pt>
                  <c:pt idx="149">
                    <c:v>2020_Q3</c:v>
                  </c:pt>
                  <c:pt idx="150">
                    <c:v>2020_Q1</c:v>
                  </c:pt>
                  <c:pt idx="151">
                    <c:v>2020_Q2</c:v>
                  </c:pt>
                  <c:pt idx="152">
                    <c:v>2020_Q3</c:v>
                  </c:pt>
                  <c:pt idx="153">
                    <c:v>2020_Q1</c:v>
                  </c:pt>
                  <c:pt idx="154">
                    <c:v>2020_Q2</c:v>
                  </c:pt>
                  <c:pt idx="155">
                    <c:v>2020_Q3</c:v>
                  </c:pt>
                  <c:pt idx="156">
                    <c:v>2020_Q1</c:v>
                  </c:pt>
                  <c:pt idx="157">
                    <c:v>2020_Q2</c:v>
                  </c:pt>
                  <c:pt idx="158">
                    <c:v>2020_Q3</c:v>
                  </c:pt>
                  <c:pt idx="159">
                    <c:v>2020_Q1</c:v>
                  </c:pt>
                  <c:pt idx="160">
                    <c:v>2020_Q2</c:v>
                  </c:pt>
                  <c:pt idx="161">
                    <c:v>2020_Q3</c:v>
                  </c:pt>
                  <c:pt idx="162">
                    <c:v>2020_Q1</c:v>
                  </c:pt>
                  <c:pt idx="163">
                    <c:v>2020_Q2</c:v>
                  </c:pt>
                  <c:pt idx="164">
                    <c:v>2020_Q3</c:v>
                  </c:pt>
                  <c:pt idx="165">
                    <c:v>2020_Q1</c:v>
                  </c:pt>
                  <c:pt idx="166">
                    <c:v>2020_Q2</c:v>
                  </c:pt>
                  <c:pt idx="167">
                    <c:v>2020_Q3</c:v>
                  </c:pt>
                  <c:pt idx="168">
                    <c:v>2020_Q1</c:v>
                  </c:pt>
                  <c:pt idx="169">
                    <c:v>2020_Q2</c:v>
                  </c:pt>
                  <c:pt idx="170">
                    <c:v>2020_Q3</c:v>
                  </c:pt>
                  <c:pt idx="171">
                    <c:v>2020_Q1</c:v>
                  </c:pt>
                  <c:pt idx="172">
                    <c:v>2020_Q2</c:v>
                  </c:pt>
                  <c:pt idx="173">
                    <c:v>2020_Q3</c:v>
                  </c:pt>
                  <c:pt idx="174">
                    <c:v>2020_Q1</c:v>
                  </c:pt>
                  <c:pt idx="175">
                    <c:v>2020_Q2</c:v>
                  </c:pt>
                  <c:pt idx="176">
                    <c:v>2020_Q3</c:v>
                  </c:pt>
                  <c:pt idx="177">
                    <c:v>2020_Q1</c:v>
                  </c:pt>
                  <c:pt idx="178">
                    <c:v>2020_Q2</c:v>
                  </c:pt>
                  <c:pt idx="179">
                    <c:v>2020_Q3</c:v>
                  </c:pt>
                  <c:pt idx="180">
                    <c:v>2020_Q1</c:v>
                  </c:pt>
                  <c:pt idx="181">
                    <c:v>2020_Q2</c:v>
                  </c:pt>
                  <c:pt idx="182">
                    <c:v>2020_Q3</c:v>
                  </c:pt>
                  <c:pt idx="183">
                    <c:v>2020_Q1</c:v>
                  </c:pt>
                  <c:pt idx="184">
                    <c:v>2020_Q2</c:v>
                  </c:pt>
                  <c:pt idx="185">
                    <c:v>2020_Q3</c:v>
                  </c:pt>
                  <c:pt idx="186">
                    <c:v>2020_Q1</c:v>
                  </c:pt>
                  <c:pt idx="187">
                    <c:v>2020_Q2</c:v>
                  </c:pt>
                  <c:pt idx="188">
                    <c:v>2020_Q3</c:v>
                  </c:pt>
                  <c:pt idx="189">
                    <c:v>2020_Q1</c:v>
                  </c:pt>
                  <c:pt idx="190">
                    <c:v>2020_Q2</c:v>
                  </c:pt>
                  <c:pt idx="191">
                    <c:v>2020_Q3</c:v>
                  </c:pt>
                  <c:pt idx="192">
                    <c:v>2020_Q1</c:v>
                  </c:pt>
                  <c:pt idx="193">
                    <c:v>2020_Q2</c:v>
                  </c:pt>
                  <c:pt idx="194">
                    <c:v>2020_Q3</c:v>
                  </c:pt>
                  <c:pt idx="195">
                    <c:v>2020_Q1</c:v>
                  </c:pt>
                  <c:pt idx="196">
                    <c:v>2020_Q2</c:v>
                  </c:pt>
                  <c:pt idx="197">
                    <c:v>2020_Q3</c:v>
                  </c:pt>
                  <c:pt idx="198">
                    <c:v>2020_Q1</c:v>
                  </c:pt>
                  <c:pt idx="199">
                    <c:v>2020_Q2</c:v>
                  </c:pt>
                  <c:pt idx="200">
                    <c:v>2020_Q3</c:v>
                  </c:pt>
                  <c:pt idx="201">
                    <c:v>2020_Q1</c:v>
                  </c:pt>
                  <c:pt idx="202">
                    <c:v>2020_Q2</c:v>
                  </c:pt>
                  <c:pt idx="203">
                    <c:v>2020_Q3</c:v>
                  </c:pt>
                  <c:pt idx="204">
                    <c:v>2020_Q1</c:v>
                  </c:pt>
                  <c:pt idx="205">
                    <c:v>2020_Q2</c:v>
                  </c:pt>
                  <c:pt idx="206">
                    <c:v>2020_Q3</c:v>
                  </c:pt>
                  <c:pt idx="207">
                    <c:v>2020_Q1</c:v>
                  </c:pt>
                  <c:pt idx="208">
                    <c:v>2020_Q2</c:v>
                  </c:pt>
                  <c:pt idx="209">
                    <c:v>2020_Q3</c:v>
                  </c:pt>
                  <c:pt idx="210">
                    <c:v>2020_Q1</c:v>
                  </c:pt>
                  <c:pt idx="211">
                    <c:v>2020_Q2</c:v>
                  </c:pt>
                  <c:pt idx="212">
                    <c:v>2020_Q3</c:v>
                  </c:pt>
                  <c:pt idx="213">
                    <c:v>2020_Q1</c:v>
                  </c:pt>
                  <c:pt idx="214">
                    <c:v>2020_Q2</c:v>
                  </c:pt>
                  <c:pt idx="215">
                    <c:v>2020_Q3</c:v>
                  </c:pt>
                  <c:pt idx="216">
                    <c:v>2020_Q1</c:v>
                  </c:pt>
                  <c:pt idx="217">
                    <c:v>2020_Q2</c:v>
                  </c:pt>
                  <c:pt idx="218">
                    <c:v>2020_Q3</c:v>
                  </c:pt>
                  <c:pt idx="219">
                    <c:v>2020_Q1</c:v>
                  </c:pt>
                  <c:pt idx="220">
                    <c:v>2020_Q2</c:v>
                  </c:pt>
                  <c:pt idx="221">
                    <c:v>2020_Q3</c:v>
                  </c:pt>
                  <c:pt idx="222">
                    <c:v>2020_Q1</c:v>
                  </c:pt>
                  <c:pt idx="223">
                    <c:v>2020_Q2</c:v>
                  </c:pt>
                  <c:pt idx="224">
                    <c:v>2020_Q3</c:v>
                  </c:pt>
                  <c:pt idx="225">
                    <c:v>2020_Q1</c:v>
                  </c:pt>
                  <c:pt idx="226">
                    <c:v>2020_Q2</c:v>
                  </c:pt>
                  <c:pt idx="227">
                    <c:v>2020_Q3</c:v>
                  </c:pt>
                  <c:pt idx="228">
                    <c:v>2020_Q1</c:v>
                  </c:pt>
                  <c:pt idx="229">
                    <c:v>2020_Q2</c:v>
                  </c:pt>
                  <c:pt idx="230">
                    <c:v>2020_Q3</c:v>
                  </c:pt>
                  <c:pt idx="231">
                    <c:v>2020_Q1</c:v>
                  </c:pt>
                  <c:pt idx="232">
                    <c:v>2020_Q2</c:v>
                  </c:pt>
                  <c:pt idx="233">
                    <c:v>2020_Q3</c:v>
                  </c:pt>
                  <c:pt idx="234">
                    <c:v>2020_Q1</c:v>
                  </c:pt>
                  <c:pt idx="235">
                    <c:v>2020_Q2</c:v>
                  </c:pt>
                  <c:pt idx="236">
                    <c:v>2020_Q3</c:v>
                  </c:pt>
                  <c:pt idx="237">
                    <c:v>2020_Q1</c:v>
                  </c:pt>
                  <c:pt idx="238">
                    <c:v>2020_Q2</c:v>
                  </c:pt>
                  <c:pt idx="239">
                    <c:v>2020_Q3</c:v>
                  </c:pt>
                  <c:pt idx="240">
                    <c:v>2020_Q1</c:v>
                  </c:pt>
                  <c:pt idx="241">
                    <c:v>2020_Q2</c:v>
                  </c:pt>
                  <c:pt idx="242">
                    <c:v>2020_Q3</c:v>
                  </c:pt>
                  <c:pt idx="243">
                    <c:v>2020_Q1</c:v>
                  </c:pt>
                  <c:pt idx="244">
                    <c:v>2020_Q2</c:v>
                  </c:pt>
                  <c:pt idx="245">
                    <c:v>2020_Q3</c:v>
                  </c:pt>
                  <c:pt idx="246">
                    <c:v>2020_Q1</c:v>
                  </c:pt>
                  <c:pt idx="247">
                    <c:v>2020_Q2</c:v>
                  </c:pt>
                  <c:pt idx="248">
                    <c:v>2020_Q3</c:v>
                  </c:pt>
                  <c:pt idx="249">
                    <c:v>2020_Q1</c:v>
                  </c:pt>
                  <c:pt idx="250">
                    <c:v>2020_Q2</c:v>
                  </c:pt>
                  <c:pt idx="251">
                    <c:v>2020_Q3</c:v>
                  </c:pt>
                  <c:pt idx="252">
                    <c:v>2020_Q1</c:v>
                  </c:pt>
                  <c:pt idx="253">
                    <c:v>2020_Q2</c:v>
                  </c:pt>
                  <c:pt idx="254">
                    <c:v>2020_Q3</c:v>
                  </c:pt>
                  <c:pt idx="255">
                    <c:v>2020_Q1</c:v>
                  </c:pt>
                  <c:pt idx="256">
                    <c:v>2020_Q2</c:v>
                  </c:pt>
                  <c:pt idx="257">
                    <c:v>2020_Q3</c:v>
                  </c:pt>
                  <c:pt idx="258">
                    <c:v>2020_Q1</c:v>
                  </c:pt>
                  <c:pt idx="259">
                    <c:v>2020_Q2</c:v>
                  </c:pt>
                  <c:pt idx="260">
                    <c:v>2020_Q3</c:v>
                  </c:pt>
                  <c:pt idx="261">
                    <c:v>2020_Q1</c:v>
                  </c:pt>
                  <c:pt idx="262">
                    <c:v>2020_Q2</c:v>
                  </c:pt>
                  <c:pt idx="263">
                    <c:v>2020_Q3</c:v>
                  </c:pt>
                  <c:pt idx="264">
                    <c:v>2020_Q1</c:v>
                  </c:pt>
                  <c:pt idx="265">
                    <c:v>2020_Q2</c:v>
                  </c:pt>
                  <c:pt idx="266">
                    <c:v>2020_Q3</c:v>
                  </c:pt>
                  <c:pt idx="267">
                    <c:v>2020_Q1</c:v>
                  </c:pt>
                  <c:pt idx="268">
                    <c:v>2020_Q1</c:v>
                  </c:pt>
                  <c:pt idx="269">
                    <c:v>2020_Q2</c:v>
                  </c:pt>
                  <c:pt idx="270">
                    <c:v>2020_Q3</c:v>
                  </c:pt>
                  <c:pt idx="271">
                    <c:v>2020_Q1</c:v>
                  </c:pt>
                  <c:pt idx="272">
                    <c:v>2020_Q2</c:v>
                  </c:pt>
                  <c:pt idx="273">
                    <c:v>2020_Q3</c:v>
                  </c:pt>
                  <c:pt idx="274">
                    <c:v>2020_Q1</c:v>
                  </c:pt>
                  <c:pt idx="275">
                    <c:v>2020_Q2</c:v>
                  </c:pt>
                  <c:pt idx="276">
                    <c:v>2020_Q3</c:v>
                  </c:pt>
                  <c:pt idx="277">
                    <c:v>2020_Q1</c:v>
                  </c:pt>
                  <c:pt idx="278">
                    <c:v>2020_Q2</c:v>
                  </c:pt>
                  <c:pt idx="279">
                    <c:v>2020_Q3</c:v>
                  </c:pt>
                  <c:pt idx="280">
                    <c:v>2020_Q1</c:v>
                  </c:pt>
                  <c:pt idx="281">
                    <c:v>2020_Q2</c:v>
                  </c:pt>
                  <c:pt idx="282">
                    <c:v>2020_Q3</c:v>
                  </c:pt>
                  <c:pt idx="283">
                    <c:v>2020_Q1</c:v>
                  </c:pt>
                  <c:pt idx="284">
                    <c:v>2020_Q2</c:v>
                  </c:pt>
                  <c:pt idx="285">
                    <c:v>2020_Q3</c:v>
                  </c:pt>
                  <c:pt idx="286">
                    <c:v>2020_Q1</c:v>
                  </c:pt>
                  <c:pt idx="287">
                    <c:v>2020_Q2</c:v>
                  </c:pt>
                  <c:pt idx="288">
                    <c:v>2020_Q3</c:v>
                  </c:pt>
                  <c:pt idx="289">
                    <c:v>2020_Q1</c:v>
                  </c:pt>
                  <c:pt idx="290">
                    <c:v>2020_Q2</c:v>
                  </c:pt>
                  <c:pt idx="291">
                    <c:v>2020_Q3</c:v>
                  </c:pt>
                  <c:pt idx="292">
                    <c:v>2020_Q1</c:v>
                  </c:pt>
                  <c:pt idx="293">
                    <c:v>2020_Q2</c:v>
                  </c:pt>
                  <c:pt idx="294">
                    <c:v>2020_Q3</c:v>
                  </c:pt>
                  <c:pt idx="295">
                    <c:v>2020_Q1</c:v>
                  </c:pt>
                  <c:pt idx="296">
                    <c:v>2020_Q2</c:v>
                  </c:pt>
                  <c:pt idx="297">
                    <c:v>2020_Q3</c:v>
                  </c:pt>
                  <c:pt idx="298">
                    <c:v>2020_Q1</c:v>
                  </c:pt>
                  <c:pt idx="299">
                    <c:v>2020_Q2</c:v>
                  </c:pt>
                  <c:pt idx="300">
                    <c:v>2020_Q3</c:v>
                  </c:pt>
                  <c:pt idx="301">
                    <c:v>2020_Q1</c:v>
                  </c:pt>
                  <c:pt idx="302">
                    <c:v>2020_Q2</c:v>
                  </c:pt>
                  <c:pt idx="303">
                    <c:v>2020_Q3</c:v>
                  </c:pt>
                  <c:pt idx="304">
                    <c:v>2020_Q1</c:v>
                  </c:pt>
                  <c:pt idx="305">
                    <c:v>2020_Q2</c:v>
                  </c:pt>
                  <c:pt idx="306">
                    <c:v>2020_Q3</c:v>
                  </c:pt>
                  <c:pt idx="307">
                    <c:v>2020_Q1</c:v>
                  </c:pt>
                  <c:pt idx="308">
                    <c:v>2020_Q2</c:v>
                  </c:pt>
                  <c:pt idx="309">
                    <c:v>2020_Q3</c:v>
                  </c:pt>
                  <c:pt idx="310">
                    <c:v>2020_Q1</c:v>
                  </c:pt>
                  <c:pt idx="311">
                    <c:v>2020_Q2</c:v>
                  </c:pt>
                  <c:pt idx="312">
                    <c:v>2020_Q3</c:v>
                  </c:pt>
                  <c:pt idx="313">
                    <c:v>2020_Q1</c:v>
                  </c:pt>
                  <c:pt idx="314">
                    <c:v>2020_Q2</c:v>
                  </c:pt>
                  <c:pt idx="315">
                    <c:v>2020_Q3</c:v>
                  </c:pt>
                  <c:pt idx="316">
                    <c:v>2020_Q1</c:v>
                  </c:pt>
                  <c:pt idx="317">
                    <c:v>2020_Q2</c:v>
                  </c:pt>
                  <c:pt idx="318">
                    <c:v>2020_Q3</c:v>
                  </c:pt>
                  <c:pt idx="319">
                    <c:v>2020_Q1</c:v>
                  </c:pt>
                  <c:pt idx="320">
                    <c:v>2020_Q2</c:v>
                  </c:pt>
                  <c:pt idx="321">
                    <c:v>2020_Q3</c:v>
                  </c:pt>
                  <c:pt idx="322">
                    <c:v>2020_Q1</c:v>
                  </c:pt>
                  <c:pt idx="323">
                    <c:v>2020_Q2</c:v>
                  </c:pt>
                  <c:pt idx="324">
                    <c:v>2020_Q3</c:v>
                  </c:pt>
                  <c:pt idx="325">
                    <c:v>2020_Q1</c:v>
                  </c:pt>
                  <c:pt idx="326">
                    <c:v>2020_Q2</c:v>
                  </c:pt>
                  <c:pt idx="327">
                    <c:v>2020_Q3</c:v>
                  </c:pt>
                  <c:pt idx="328">
                    <c:v>2020_Q1</c:v>
                  </c:pt>
                  <c:pt idx="329">
                    <c:v>2020_Q2</c:v>
                  </c:pt>
                  <c:pt idx="330">
                    <c:v>2020_Q3</c:v>
                  </c:pt>
                  <c:pt idx="331">
                    <c:v>2020_Q1</c:v>
                  </c:pt>
                  <c:pt idx="332">
                    <c:v>2020_Q2</c:v>
                  </c:pt>
                  <c:pt idx="333">
                    <c:v>2020_Q3</c:v>
                  </c:pt>
                  <c:pt idx="334">
                    <c:v>2020_Q1</c:v>
                  </c:pt>
                  <c:pt idx="335">
                    <c:v>2020_Q2</c:v>
                  </c:pt>
                  <c:pt idx="336">
                    <c:v>2020_Q3</c:v>
                  </c:pt>
                  <c:pt idx="337">
                    <c:v>2020_Q1</c:v>
                  </c:pt>
                  <c:pt idx="338">
                    <c:v>2020_Q2</c:v>
                  </c:pt>
                  <c:pt idx="339">
                    <c:v>2020_Q3</c:v>
                  </c:pt>
                  <c:pt idx="340">
                    <c:v>2020_Q1</c:v>
                  </c:pt>
                  <c:pt idx="341">
                    <c:v>2020_Q2</c:v>
                  </c:pt>
                  <c:pt idx="342">
                    <c:v>2020_Q3</c:v>
                  </c:pt>
                  <c:pt idx="343">
                    <c:v>2020_Q1</c:v>
                  </c:pt>
                  <c:pt idx="344">
                    <c:v>2020_Q2</c:v>
                  </c:pt>
                  <c:pt idx="345">
                    <c:v>2020_Q3</c:v>
                  </c:pt>
                  <c:pt idx="346">
                    <c:v>2020_Q1</c:v>
                  </c:pt>
                  <c:pt idx="347">
                    <c:v>2020_Q2</c:v>
                  </c:pt>
                  <c:pt idx="348">
                    <c:v>2020_Q3</c:v>
                  </c:pt>
                  <c:pt idx="349">
                    <c:v>2020_Q1</c:v>
                  </c:pt>
                  <c:pt idx="350">
                    <c:v>2020_Q2</c:v>
                  </c:pt>
                  <c:pt idx="351">
                    <c:v>2020_Q3</c:v>
                  </c:pt>
                  <c:pt idx="352">
                    <c:v>2020_Q1</c:v>
                  </c:pt>
                  <c:pt idx="353">
                    <c:v>2020_Q2</c:v>
                  </c:pt>
                  <c:pt idx="354">
                    <c:v>2020_Q3</c:v>
                  </c:pt>
                  <c:pt idx="355">
                    <c:v>2020_Q1</c:v>
                  </c:pt>
                  <c:pt idx="356">
                    <c:v>2020_Q2</c:v>
                  </c:pt>
                  <c:pt idx="357">
                    <c:v>2020_Q3</c:v>
                  </c:pt>
                  <c:pt idx="358">
                    <c:v>2020_Q1</c:v>
                  </c:pt>
                  <c:pt idx="359">
                    <c:v>2020_Q2</c:v>
                  </c:pt>
                  <c:pt idx="360">
                    <c:v>2020_Q3</c:v>
                  </c:pt>
                  <c:pt idx="361">
                    <c:v>2020_Q1</c:v>
                  </c:pt>
                  <c:pt idx="362">
                    <c:v>2020_Q2</c:v>
                  </c:pt>
                  <c:pt idx="363">
                    <c:v>2020_Q3</c:v>
                  </c:pt>
                  <c:pt idx="364">
                    <c:v>2020_Q1</c:v>
                  </c:pt>
                  <c:pt idx="365">
                    <c:v>2020_Q2</c:v>
                  </c:pt>
                  <c:pt idx="366">
                    <c:v>2020_Q3</c:v>
                  </c:pt>
                  <c:pt idx="367">
                    <c:v>2020_Q1</c:v>
                  </c:pt>
                  <c:pt idx="368">
                    <c:v>2020_Q2</c:v>
                  </c:pt>
                  <c:pt idx="369">
                    <c:v>2020_Q3</c:v>
                  </c:pt>
                  <c:pt idx="370">
                    <c:v>2020_Q1</c:v>
                  </c:pt>
                  <c:pt idx="371">
                    <c:v>2020_Q1</c:v>
                  </c:pt>
                  <c:pt idx="372">
                    <c:v>2020_Q2</c:v>
                  </c:pt>
                  <c:pt idx="373">
                    <c:v>2020_Q3</c:v>
                  </c:pt>
                  <c:pt idx="374">
                    <c:v>2020_Q1</c:v>
                  </c:pt>
                  <c:pt idx="375">
                    <c:v>2020_Q2</c:v>
                  </c:pt>
                  <c:pt idx="376">
                    <c:v>2020_Q3</c:v>
                  </c:pt>
                  <c:pt idx="377">
                    <c:v>2020_Q1</c:v>
                  </c:pt>
                  <c:pt idx="378">
                    <c:v>2020_Q2</c:v>
                  </c:pt>
                  <c:pt idx="379">
                    <c:v>2020_Q3</c:v>
                  </c:pt>
                  <c:pt idx="380">
                    <c:v>2020_Q1</c:v>
                  </c:pt>
                  <c:pt idx="381">
                    <c:v>2020_Q2</c:v>
                  </c:pt>
                  <c:pt idx="382">
                    <c:v>2020_Q3</c:v>
                  </c:pt>
                  <c:pt idx="383">
                    <c:v>2020_Q1</c:v>
                  </c:pt>
                  <c:pt idx="384">
                    <c:v>2020_Q2</c:v>
                  </c:pt>
                  <c:pt idx="385">
                    <c:v>2020_Q3</c:v>
                  </c:pt>
                  <c:pt idx="386">
                    <c:v>2020_Q1</c:v>
                  </c:pt>
                  <c:pt idx="387">
                    <c:v>2020_Q2</c:v>
                  </c:pt>
                  <c:pt idx="388">
                    <c:v>2020_Q3</c:v>
                  </c:pt>
                  <c:pt idx="389">
                    <c:v>2020_Q1</c:v>
                  </c:pt>
                  <c:pt idx="390">
                    <c:v>2020_Q2</c:v>
                  </c:pt>
                  <c:pt idx="391">
                    <c:v>2020_Q3</c:v>
                  </c:pt>
                  <c:pt idx="392">
                    <c:v>2020_Q1</c:v>
                  </c:pt>
                  <c:pt idx="393">
                    <c:v>2020_Q2</c:v>
                  </c:pt>
                  <c:pt idx="394">
                    <c:v>2020_Q3</c:v>
                  </c:pt>
                  <c:pt idx="395">
                    <c:v>2020_Q1</c:v>
                  </c:pt>
                  <c:pt idx="396">
                    <c:v>2020_Q2</c:v>
                  </c:pt>
                  <c:pt idx="397">
                    <c:v>2020_Q3</c:v>
                  </c:pt>
                  <c:pt idx="398">
                    <c:v>2020_Q1</c:v>
                  </c:pt>
                  <c:pt idx="399">
                    <c:v>2020_Q2</c:v>
                  </c:pt>
                  <c:pt idx="400">
                    <c:v>2020_Q3</c:v>
                  </c:pt>
                  <c:pt idx="401">
                    <c:v>2020_Q1</c:v>
                  </c:pt>
                  <c:pt idx="402">
                    <c:v>2020_Q2</c:v>
                  </c:pt>
                  <c:pt idx="403">
                    <c:v>2020_Q3</c:v>
                  </c:pt>
                  <c:pt idx="404">
                    <c:v>2020_Q1</c:v>
                  </c:pt>
                  <c:pt idx="405">
                    <c:v>2020_Q2</c:v>
                  </c:pt>
                  <c:pt idx="406">
                    <c:v>2020_Q3</c:v>
                  </c:pt>
                  <c:pt idx="407">
                    <c:v>2020_Q1</c:v>
                  </c:pt>
                  <c:pt idx="408">
                    <c:v>2020_Q2</c:v>
                  </c:pt>
                  <c:pt idx="409">
                    <c:v>2020_Q3</c:v>
                  </c:pt>
                  <c:pt idx="410">
                    <c:v>2020_Q1</c:v>
                  </c:pt>
                  <c:pt idx="411">
                    <c:v>2020_Q2</c:v>
                  </c:pt>
                  <c:pt idx="412">
                    <c:v>2020_Q3</c:v>
                  </c:pt>
                  <c:pt idx="413">
                    <c:v>2020_Q1</c:v>
                  </c:pt>
                  <c:pt idx="414">
                    <c:v>2020_Q2</c:v>
                  </c:pt>
                  <c:pt idx="415">
                    <c:v>2020_Q3</c:v>
                  </c:pt>
                  <c:pt idx="416">
                    <c:v>2020_Q1</c:v>
                  </c:pt>
                  <c:pt idx="417">
                    <c:v>2020_Q2</c:v>
                  </c:pt>
                  <c:pt idx="418">
                    <c:v>2020_Q3</c:v>
                  </c:pt>
                  <c:pt idx="419">
                    <c:v>2020_Q1</c:v>
                  </c:pt>
                  <c:pt idx="420">
                    <c:v>2020_Q2</c:v>
                  </c:pt>
                  <c:pt idx="421">
                    <c:v>2020_Q3</c:v>
                  </c:pt>
                  <c:pt idx="422">
                    <c:v>2020_Q1</c:v>
                  </c:pt>
                  <c:pt idx="423">
                    <c:v>2020_Q2</c:v>
                  </c:pt>
                  <c:pt idx="424">
                    <c:v>2020_Q3</c:v>
                  </c:pt>
                  <c:pt idx="425">
                    <c:v>2020_Q1</c:v>
                  </c:pt>
                  <c:pt idx="426">
                    <c:v>2020_Q2</c:v>
                  </c:pt>
                  <c:pt idx="427">
                    <c:v>2020_Q3</c:v>
                  </c:pt>
                  <c:pt idx="428">
                    <c:v>2020_Q1</c:v>
                  </c:pt>
                  <c:pt idx="429">
                    <c:v>2020_Q2</c:v>
                  </c:pt>
                  <c:pt idx="430">
                    <c:v>2020_Q3</c:v>
                  </c:pt>
                  <c:pt idx="431">
                    <c:v>2020_Q1</c:v>
                  </c:pt>
                  <c:pt idx="432">
                    <c:v>2020_Q2</c:v>
                  </c:pt>
                  <c:pt idx="433">
                    <c:v>2020_Q3</c:v>
                  </c:pt>
                  <c:pt idx="434">
                    <c:v>2020_Q1</c:v>
                  </c:pt>
                  <c:pt idx="435">
                    <c:v>2020_Q2</c:v>
                  </c:pt>
                  <c:pt idx="436">
                    <c:v>2020_Q3</c:v>
                  </c:pt>
                  <c:pt idx="437">
                    <c:v>2020_Q1</c:v>
                  </c:pt>
                  <c:pt idx="438">
                    <c:v>2020_Q2</c:v>
                  </c:pt>
                  <c:pt idx="439">
                    <c:v>2020_Q3</c:v>
                  </c:pt>
                  <c:pt idx="440">
                    <c:v>2020_Q1</c:v>
                  </c:pt>
                  <c:pt idx="441">
                    <c:v>2020_Q2</c:v>
                  </c:pt>
                  <c:pt idx="442">
                    <c:v>2020_Q3</c:v>
                  </c:pt>
                  <c:pt idx="443">
                    <c:v>2020_Q1</c:v>
                  </c:pt>
                  <c:pt idx="444">
                    <c:v>2020_Q2</c:v>
                  </c:pt>
                  <c:pt idx="445">
                    <c:v>2020_Q3</c:v>
                  </c:pt>
                  <c:pt idx="446">
                    <c:v>2020_Q1</c:v>
                  </c:pt>
                  <c:pt idx="447">
                    <c:v>2020_Q2</c:v>
                  </c:pt>
                  <c:pt idx="448">
                    <c:v>2020_Q3</c:v>
                  </c:pt>
                  <c:pt idx="449">
                    <c:v>2020_Q1</c:v>
                  </c:pt>
                  <c:pt idx="450">
                    <c:v>2020_Q2</c:v>
                  </c:pt>
                  <c:pt idx="451">
                    <c:v>2020_Q3</c:v>
                  </c:pt>
                  <c:pt idx="452">
                    <c:v>2020_Q1</c:v>
                  </c:pt>
                  <c:pt idx="453">
                    <c:v>2020_Q2</c:v>
                  </c:pt>
                  <c:pt idx="454">
                    <c:v>2020_Q3</c:v>
                  </c:pt>
                  <c:pt idx="455">
                    <c:v>2020_Q1</c:v>
                  </c:pt>
                  <c:pt idx="456">
                    <c:v>2020_Q2</c:v>
                  </c:pt>
                  <c:pt idx="457">
                    <c:v>2020_Q3</c:v>
                  </c:pt>
                  <c:pt idx="458">
                    <c:v>2020_Q1</c:v>
                  </c:pt>
                  <c:pt idx="459">
                    <c:v>2020_Q2</c:v>
                  </c:pt>
                  <c:pt idx="460">
                    <c:v>2020_Q3</c:v>
                  </c:pt>
                  <c:pt idx="461">
                    <c:v>2020_Q1</c:v>
                  </c:pt>
                  <c:pt idx="462">
                    <c:v>2020_Q2</c:v>
                  </c:pt>
                  <c:pt idx="463">
                    <c:v>2020_Q3</c:v>
                  </c:pt>
                  <c:pt idx="464">
                    <c:v>2020_Q1</c:v>
                  </c:pt>
                  <c:pt idx="465">
                    <c:v>2020_Q2</c:v>
                  </c:pt>
                  <c:pt idx="466">
                    <c:v>2020_Q3</c:v>
                  </c:pt>
                  <c:pt idx="467">
                    <c:v>2020_Q1</c:v>
                  </c:pt>
                  <c:pt idx="468">
                    <c:v>2020_Q2</c:v>
                  </c:pt>
                  <c:pt idx="469">
                    <c:v>2020_Q3</c:v>
                  </c:pt>
                  <c:pt idx="470">
                    <c:v>2020_Q1</c:v>
                  </c:pt>
                  <c:pt idx="471">
                    <c:v>2020_Q2</c:v>
                  </c:pt>
                  <c:pt idx="472">
                    <c:v>2020_Q3</c:v>
                  </c:pt>
                  <c:pt idx="473">
                    <c:v>2020_Q1</c:v>
                  </c:pt>
                  <c:pt idx="474">
                    <c:v>2020_Q2</c:v>
                  </c:pt>
                  <c:pt idx="475">
                    <c:v>2020_Q3</c:v>
                  </c:pt>
                  <c:pt idx="476">
                    <c:v>2020_Q1</c:v>
                  </c:pt>
                  <c:pt idx="477">
                    <c:v>2020_Q2</c:v>
                  </c:pt>
                  <c:pt idx="478">
                    <c:v>2020_Q3</c:v>
                  </c:pt>
                  <c:pt idx="479">
                    <c:v>2020_Q1</c:v>
                  </c:pt>
                  <c:pt idx="480">
                    <c:v>2020_Q2</c:v>
                  </c:pt>
                  <c:pt idx="481">
                    <c:v>2020_Q3</c:v>
                  </c:pt>
                  <c:pt idx="482">
                    <c:v>2020_Q1</c:v>
                  </c:pt>
                  <c:pt idx="483">
                    <c:v>2020_Q2</c:v>
                  </c:pt>
                  <c:pt idx="484">
                    <c:v>2020_Q3</c:v>
                  </c:pt>
                  <c:pt idx="485">
                    <c:v>2020_Q1</c:v>
                  </c:pt>
                  <c:pt idx="486">
                    <c:v>2020_Q2</c:v>
                  </c:pt>
                  <c:pt idx="487">
                    <c:v>2020_Q3</c:v>
                  </c:pt>
                  <c:pt idx="488">
                    <c:v>2020_Q1</c:v>
                  </c:pt>
                  <c:pt idx="489">
                    <c:v>2020_Q1</c:v>
                  </c:pt>
                  <c:pt idx="490">
                    <c:v>2020_Q2</c:v>
                  </c:pt>
                  <c:pt idx="491">
                    <c:v>2020_Q3</c:v>
                  </c:pt>
                  <c:pt idx="492">
                    <c:v>2020_Q1</c:v>
                  </c:pt>
                  <c:pt idx="493">
                    <c:v>2020_Q2</c:v>
                  </c:pt>
                  <c:pt idx="494">
                    <c:v>2020_Q3</c:v>
                  </c:pt>
                  <c:pt idx="495">
                    <c:v>2020_Q1</c:v>
                  </c:pt>
                  <c:pt idx="496">
                    <c:v>2020_Q2</c:v>
                  </c:pt>
                  <c:pt idx="497">
                    <c:v>2020_Q3</c:v>
                  </c:pt>
                  <c:pt idx="498">
                    <c:v>2020_Q1</c:v>
                  </c:pt>
                  <c:pt idx="499">
                    <c:v>2020_Q2</c:v>
                  </c:pt>
                  <c:pt idx="500">
                    <c:v>2020_Q3</c:v>
                  </c:pt>
                  <c:pt idx="501">
                    <c:v>2020_Q1</c:v>
                  </c:pt>
                  <c:pt idx="502">
                    <c:v>2020_Q2</c:v>
                  </c:pt>
                  <c:pt idx="503">
                    <c:v>2020_Q3</c:v>
                  </c:pt>
                  <c:pt idx="504">
                    <c:v>2020_Q1</c:v>
                  </c:pt>
                  <c:pt idx="505">
                    <c:v>2020_Q2</c:v>
                  </c:pt>
                  <c:pt idx="506">
                    <c:v>2020_Q3</c:v>
                  </c:pt>
                  <c:pt idx="507">
                    <c:v>2020_Q1</c:v>
                  </c:pt>
                  <c:pt idx="508">
                    <c:v>2020_Q2</c:v>
                  </c:pt>
                  <c:pt idx="509">
                    <c:v>2020_Q3</c:v>
                  </c:pt>
                  <c:pt idx="510">
                    <c:v>2020_Q1</c:v>
                  </c:pt>
                  <c:pt idx="511">
                    <c:v>2020_Q2</c:v>
                  </c:pt>
                  <c:pt idx="512">
                    <c:v>2020_Q3</c:v>
                  </c:pt>
                  <c:pt idx="513">
                    <c:v>2020_Q1</c:v>
                  </c:pt>
                  <c:pt idx="514">
                    <c:v>2020_Q2</c:v>
                  </c:pt>
                  <c:pt idx="515">
                    <c:v>2020_Q3</c:v>
                  </c:pt>
                  <c:pt idx="516">
                    <c:v>2020_Q1</c:v>
                  </c:pt>
                  <c:pt idx="517">
                    <c:v>2020_Q2</c:v>
                  </c:pt>
                  <c:pt idx="518">
                    <c:v>2020_Q3</c:v>
                  </c:pt>
                  <c:pt idx="519">
                    <c:v>2020_Q1</c:v>
                  </c:pt>
                  <c:pt idx="520">
                    <c:v>2020_Q2</c:v>
                  </c:pt>
                  <c:pt idx="521">
                    <c:v>2020_Q3</c:v>
                  </c:pt>
                  <c:pt idx="522">
                    <c:v>2020_Q1</c:v>
                  </c:pt>
                  <c:pt idx="523">
                    <c:v>2020_Q2</c:v>
                  </c:pt>
                  <c:pt idx="524">
                    <c:v>2020_Q3</c:v>
                  </c:pt>
                  <c:pt idx="525">
                    <c:v>2020_Q1</c:v>
                  </c:pt>
                  <c:pt idx="526">
                    <c:v>2020_Q2</c:v>
                  </c:pt>
                  <c:pt idx="527">
                    <c:v>2020_Q3</c:v>
                  </c:pt>
                  <c:pt idx="528">
                    <c:v>2020_Q1</c:v>
                  </c:pt>
                  <c:pt idx="529">
                    <c:v>2020_Q2</c:v>
                  </c:pt>
                  <c:pt idx="530">
                    <c:v>2020_Q3</c:v>
                  </c:pt>
                  <c:pt idx="531">
                    <c:v>2020_Q1</c:v>
                  </c:pt>
                  <c:pt idx="532">
                    <c:v>2020_Q2</c:v>
                  </c:pt>
                  <c:pt idx="533">
                    <c:v>2020_Q3</c:v>
                  </c:pt>
                  <c:pt idx="534">
                    <c:v>2020_Q1</c:v>
                  </c:pt>
                  <c:pt idx="535">
                    <c:v>2020_Q2</c:v>
                  </c:pt>
                  <c:pt idx="536">
                    <c:v>2020_Q3</c:v>
                  </c:pt>
                  <c:pt idx="537">
                    <c:v>2020_Q1</c:v>
                  </c:pt>
                  <c:pt idx="538">
                    <c:v>2020_Q2</c:v>
                  </c:pt>
                  <c:pt idx="539">
                    <c:v>2020_Q3</c:v>
                  </c:pt>
                  <c:pt idx="540">
                    <c:v>2020_Q1</c:v>
                  </c:pt>
                  <c:pt idx="541">
                    <c:v>2020_Q2</c:v>
                  </c:pt>
                  <c:pt idx="542">
                    <c:v>2020_Q3</c:v>
                  </c:pt>
                  <c:pt idx="543">
                    <c:v>2020_Q1</c:v>
                  </c:pt>
                  <c:pt idx="544">
                    <c:v>2020_Q2</c:v>
                  </c:pt>
                  <c:pt idx="545">
                    <c:v>2020_Q3</c:v>
                  </c:pt>
                  <c:pt idx="546">
                    <c:v>2020_Q1</c:v>
                  </c:pt>
                  <c:pt idx="547">
                    <c:v>2020_Q2</c:v>
                  </c:pt>
                  <c:pt idx="548">
                    <c:v>2020_Q3</c:v>
                  </c:pt>
                  <c:pt idx="549">
                    <c:v>2020_Q1</c:v>
                  </c:pt>
                  <c:pt idx="550">
                    <c:v>2020_Q2</c:v>
                  </c:pt>
                  <c:pt idx="551">
                    <c:v>2020_Q3</c:v>
                  </c:pt>
                  <c:pt idx="552">
                    <c:v>2020_Q1</c:v>
                  </c:pt>
                  <c:pt idx="553">
                    <c:v>2020_Q2</c:v>
                  </c:pt>
                  <c:pt idx="554">
                    <c:v>2020_Q3</c:v>
                  </c:pt>
                  <c:pt idx="555">
                    <c:v>2020_Q1</c:v>
                  </c:pt>
                  <c:pt idx="556">
                    <c:v>2020_Q1</c:v>
                  </c:pt>
                  <c:pt idx="557">
                    <c:v>2020_Q2</c:v>
                  </c:pt>
                  <c:pt idx="558">
                    <c:v>2020_Q3</c:v>
                  </c:pt>
                  <c:pt idx="559">
                    <c:v>2020_Q1</c:v>
                  </c:pt>
                  <c:pt idx="560">
                    <c:v>2020_Q2</c:v>
                  </c:pt>
                  <c:pt idx="561">
                    <c:v>2020_Q3</c:v>
                  </c:pt>
                  <c:pt idx="562">
                    <c:v>2020_Q1</c:v>
                  </c:pt>
                  <c:pt idx="563">
                    <c:v>2020_Q2</c:v>
                  </c:pt>
                  <c:pt idx="564">
                    <c:v>2020_Q3</c:v>
                  </c:pt>
                  <c:pt idx="565">
                    <c:v>2020_Q1</c:v>
                  </c:pt>
                  <c:pt idx="566">
                    <c:v>2020_Q2</c:v>
                  </c:pt>
                  <c:pt idx="567">
                    <c:v>2020_Q3</c:v>
                  </c:pt>
                  <c:pt idx="568">
                    <c:v>2020_Q1</c:v>
                  </c:pt>
                  <c:pt idx="569">
                    <c:v>2020_Q2</c:v>
                  </c:pt>
                  <c:pt idx="570">
                    <c:v>2020_Q3</c:v>
                  </c:pt>
                  <c:pt idx="571">
                    <c:v>2020_Q1</c:v>
                  </c:pt>
                  <c:pt idx="572">
                    <c:v>2020_Q2</c:v>
                  </c:pt>
                  <c:pt idx="573">
                    <c:v>2020_Q3</c:v>
                  </c:pt>
                  <c:pt idx="574">
                    <c:v>2020_Q1</c:v>
                  </c:pt>
                  <c:pt idx="575">
                    <c:v>2020_Q2</c:v>
                  </c:pt>
                  <c:pt idx="576">
                    <c:v>2020_Q3</c:v>
                  </c:pt>
                  <c:pt idx="577">
                    <c:v>2020_Q1</c:v>
                  </c:pt>
                  <c:pt idx="578">
                    <c:v>2020_Q2</c:v>
                  </c:pt>
                  <c:pt idx="579">
                    <c:v>2020_Q3</c:v>
                  </c:pt>
                  <c:pt idx="580">
                    <c:v>2020_Q1</c:v>
                  </c:pt>
                  <c:pt idx="581">
                    <c:v>2020_Q2</c:v>
                  </c:pt>
                  <c:pt idx="582">
                    <c:v>2020_Q3</c:v>
                  </c:pt>
                  <c:pt idx="583">
                    <c:v>2020_Q1</c:v>
                  </c:pt>
                  <c:pt idx="584">
                    <c:v>2020_Q2</c:v>
                  </c:pt>
                  <c:pt idx="585">
                    <c:v>2020_Q3</c:v>
                  </c:pt>
                  <c:pt idx="586">
                    <c:v>2020_Q2</c:v>
                  </c:pt>
                  <c:pt idx="587">
                    <c:v>2020_Q3</c:v>
                  </c:pt>
                  <c:pt idx="588">
                    <c:v>2020_Q1</c:v>
                  </c:pt>
                  <c:pt idx="589">
                    <c:v>2020_Q2</c:v>
                  </c:pt>
                  <c:pt idx="590">
                    <c:v>2020_Q3</c:v>
                  </c:pt>
                  <c:pt idx="591">
                    <c:v>2020_Q1</c:v>
                  </c:pt>
                  <c:pt idx="592">
                    <c:v>2020_Q2</c:v>
                  </c:pt>
                  <c:pt idx="593">
                    <c:v>2020_Q3</c:v>
                  </c:pt>
                  <c:pt idx="594">
                    <c:v>2020_Q3</c:v>
                  </c:pt>
                  <c:pt idx="595">
                    <c:v>2020_Q3</c:v>
                  </c:pt>
                </c:lvl>
                <c:lvl>
                  <c:pt idx="0">
                    <c:v>5 Ward RC Church(lon Khin)</c:v>
                  </c:pt>
                  <c:pt idx="3">
                    <c:v>AD-2000 Extension camp</c:v>
                  </c:pt>
                  <c:pt idx="6">
                    <c:v>AD-2000 Tharthana Compound</c:v>
                  </c:pt>
                  <c:pt idx="9">
                    <c:v>AG Church, Hmaw Si Sa</c:v>
                  </c:pt>
                  <c:pt idx="12">
                    <c:v>AG Church, Maw Wan</c:v>
                  </c:pt>
                  <c:pt idx="15">
                    <c:v>Agritural Compound (KBC)</c:v>
                  </c:pt>
                  <c:pt idx="18">
                    <c:v>Aung Thar Church</c:v>
                  </c:pt>
                  <c:pt idx="21">
                    <c:v>Ban Dang</c:v>
                  </c:pt>
                  <c:pt idx="24">
                    <c:v>Baptist Church, Hmaw Si Sar(Lon Khin)</c:v>
                  </c:pt>
                  <c:pt idx="27">
                    <c:v>Bhamo_Host Families</c:v>
                  </c:pt>
                  <c:pt idx="30">
                    <c:v>Border Post 8</c:v>
                  </c:pt>
                  <c:pt idx="33">
                    <c:v>Bum Tsit Pa</c:v>
                  </c:pt>
                  <c:pt idx="36">
                    <c:v>Chin Church, Seik Mu</c:v>
                  </c:pt>
                  <c:pt idx="39">
                    <c:v>Chipwi KBC camp</c:v>
                  </c:pt>
                  <c:pt idx="42">
                    <c:v>Da Wei</c:v>
                  </c:pt>
                  <c:pt idx="45">
                    <c:v>Dhama Rakhita, Nyein Chan Tar Yar Ward(Lon Khin)</c:v>
                  </c:pt>
                  <c:pt idx="48">
                    <c:v>Du Kahtawng Baptist</c:v>
                  </c:pt>
                  <c:pt idx="51">
                    <c:v>Dum Bung </c:v>
                  </c:pt>
                  <c:pt idx="54">
                    <c:v>Emmanuel AG Church</c:v>
                  </c:pt>
                  <c:pt idx="57">
                    <c:v>Galeng (Palaung) &amp; Kone Khem</c:v>
                  </c:pt>
                  <c:pt idx="60">
                    <c:v>Hka Shi</c:v>
                  </c:pt>
                  <c:pt idx="63">
                    <c:v>Hkat Cho </c:v>
                  </c:pt>
                  <c:pt idx="66">
                    <c:v>Hkau Shau (BP 12)</c:v>
                  </c:pt>
                  <c:pt idx="69">
                    <c:v>Hlaing Naung Baptist</c:v>
                  </c:pt>
                  <c:pt idx="72">
                    <c:v>Hmaw Wan, Anglican</c:v>
                  </c:pt>
                  <c:pt idx="75">
                    <c:v>Hopin Host Families</c:v>
                  </c:pt>
                  <c:pt idx="78">
                    <c:v>Hpai Kawng</c:v>
                  </c:pt>
                  <c:pt idx="81">
                    <c:v>Hpakant Baptist Church, Nam Ma Hpit</c:v>
                  </c:pt>
                  <c:pt idx="84">
                    <c:v>Hpare Hkyer - BP6</c:v>
                  </c:pt>
                  <c:pt idx="87">
                    <c:v>Hpun Lum Yang </c:v>
                  </c:pt>
                  <c:pt idx="90">
                    <c:v>Htai Ra Yang</c:v>
                  </c:pt>
                  <c:pt idx="93">
                    <c:v>Htoi San Church</c:v>
                  </c:pt>
                  <c:pt idx="96">
                    <c:v>Hu Hku &amp; Ho Hko</c:v>
                  </c:pt>
                  <c:pt idx="99">
                    <c:v>IDP Boarding School, A Len Bum</c:v>
                  </c:pt>
                  <c:pt idx="102">
                    <c:v>Inn Lel Yan - Host Families</c:v>
                  </c:pt>
                  <c:pt idx="105">
                    <c:v>Jan Mai Kawng Baptist Church</c:v>
                  </c:pt>
                  <c:pt idx="108">
                    <c:v>Jan Mai Kawng Catholic Church</c:v>
                  </c:pt>
                  <c:pt idx="111">
                    <c:v>Jaw Masat Camp</c:v>
                  </c:pt>
                  <c:pt idx="114">
                    <c:v>Je Yang Hka </c:v>
                  </c:pt>
                  <c:pt idx="117">
                    <c:v>Ka Bu Dam CoC</c:v>
                  </c:pt>
                  <c:pt idx="120">
                    <c:v>Kachin Su Baptist Church (ECCD)</c:v>
                  </c:pt>
                  <c:pt idx="123">
                    <c:v>Karmaing RC Church</c:v>
                  </c:pt>
                  <c:pt idx="126">
                    <c:v>Khar Nan (1) Baptist Church</c:v>
                  </c:pt>
                  <c:pt idx="129">
                    <c:v>Khun Sint Village</c:v>
                  </c:pt>
                  <c:pt idx="132">
                    <c:v>Kutkai downtown (KBC Church)</c:v>
                  </c:pt>
                  <c:pt idx="135">
                    <c:v>Kutkai downtown (KBC Church-2)</c:v>
                  </c:pt>
                  <c:pt idx="138">
                    <c:v>Kutkai downtown (RC Church)</c:v>
                  </c:pt>
                  <c:pt idx="141">
                    <c:v>Kyu Sot</c:v>
                  </c:pt>
                  <c:pt idx="144">
                    <c:v>Kyun Taw Baptist Church </c:v>
                  </c:pt>
                  <c:pt idx="147">
                    <c:v>Laiza Je Yang School</c:v>
                  </c:pt>
                  <c:pt idx="150">
                    <c:v>Lan Gwa St.Paul RC Church</c:v>
                  </c:pt>
                  <c:pt idx="153">
                    <c:v>Lana Zup Ja</c:v>
                  </c:pt>
                  <c:pt idx="156">
                    <c:v>Lawa RC Church</c:v>
                  </c:pt>
                  <c:pt idx="159">
                    <c:v>Lawng Hkang Shait Yang Camp​ ( Lel Pyin)​ </c:v>
                  </c:pt>
                  <c:pt idx="162">
                    <c:v>Lawt Awng</c:v>
                  </c:pt>
                  <c:pt idx="165">
                    <c:v>Le Kone Bethlehem Church</c:v>
                  </c:pt>
                  <c:pt idx="168">
                    <c:v>Le Kone Ziun Baptist Church </c:v>
                  </c:pt>
                  <c:pt idx="171">
                    <c:v>Lhaovao Baptist Church (LBC)</c:v>
                  </c:pt>
                  <c:pt idx="174">
                    <c:v>Lisu Baptist Church, Maw Shan Vil,. Seik Mu</c:v>
                  </c:pt>
                  <c:pt idx="177">
                    <c:v>Lisu Baptist Church, Maw Wan Ward</c:v>
                  </c:pt>
                  <c:pt idx="180">
                    <c:v>Lisu Boarding-House</c:v>
                  </c:pt>
                  <c:pt idx="183">
                    <c:v>Lisu Church Namtu</c:v>
                  </c:pt>
                  <c:pt idx="186">
                    <c:v>Loi Je Baptist Church</c:v>
                  </c:pt>
                  <c:pt idx="189">
                    <c:v>Loi Je Catholic Church</c:v>
                  </c:pt>
                  <c:pt idx="192">
                    <c:v>Loi Je Lisu Camp</c:v>
                  </c:pt>
                  <c:pt idx="195">
                    <c:v>Lone Khin Catholic Church</c:v>
                  </c:pt>
                  <c:pt idx="198">
                    <c:v>Lung Sut</c:v>
                  </c:pt>
                  <c:pt idx="201">
                    <c:v>Lwegel High School</c:v>
                  </c:pt>
                  <c:pt idx="204">
                    <c:v>Ma Hawng Baptist Church</c:v>
                  </c:pt>
                  <c:pt idx="207">
                    <c:v>Mading Baptist Church</c:v>
                  </c:pt>
                  <c:pt idx="210">
                    <c:v>Maga Yang </c:v>
                  </c:pt>
                  <c:pt idx="213">
                    <c:v>Mai Yu Lay New (Ta'ang)</c:v>
                  </c:pt>
                  <c:pt idx="216">
                    <c:v>Maina AG Church</c:v>
                  </c:pt>
                  <c:pt idx="219">
                    <c:v>Maina Catholic Church (St. Joseph)</c:v>
                  </c:pt>
                  <c:pt idx="222">
                    <c:v>Maina KBC (Bawng Ring)</c:v>
                  </c:pt>
                  <c:pt idx="225">
                    <c:v>Maina Lawang Baptist Church</c:v>
                  </c:pt>
                  <c:pt idx="228">
                    <c:v>Maing Khaung</c:v>
                  </c:pt>
                  <c:pt idx="231">
                    <c:v>Maing Khaung Catholic Church</c:v>
                  </c:pt>
                  <c:pt idx="234">
                    <c:v>Maliyang Baptist Church</c:v>
                  </c:pt>
                  <c:pt idx="237">
                    <c:v>Man Bung Catholic compound</c:v>
                  </c:pt>
                  <c:pt idx="240">
                    <c:v>Man Bung Edin Baptist Church</c:v>
                  </c:pt>
                  <c:pt idx="243">
                    <c:v>Man Hkring Baptist Church</c:v>
                  </c:pt>
                  <c:pt idx="246">
                    <c:v>Man Kaung/Naung Ti Kyar Village</c:v>
                  </c:pt>
                  <c:pt idx="249">
                    <c:v>Man Loi</c:v>
                  </c:pt>
                  <c:pt idx="252">
                    <c:v>Man Wing Baptist Church</c:v>
                  </c:pt>
                  <c:pt idx="255">
                    <c:v>Man Wing Baptist Church Cultural Compound</c:v>
                  </c:pt>
                  <c:pt idx="258">
                    <c:v>Man Wing Catholic Church</c:v>
                  </c:pt>
                  <c:pt idx="261">
                    <c:v>Man Wing Catholic Church II</c:v>
                  </c:pt>
                  <c:pt idx="264">
                    <c:v>Man Wing Host Families</c:v>
                  </c:pt>
                  <c:pt idx="267">
                    <c:v>Mandalay Monestry</c:v>
                  </c:pt>
                  <c:pt idx="268">
                    <c:v>Mandung - Jinghpaw</c:v>
                  </c:pt>
                  <c:pt idx="271">
                    <c:v>Mandung - RC</c:v>
                  </c:pt>
                  <c:pt idx="274">
                    <c:v>Mansi Baptist Church</c:v>
                  </c:pt>
                  <c:pt idx="277">
                    <c:v>Mansi_Host Families</c:v>
                  </c:pt>
                  <c:pt idx="280">
                    <c:v>Maw Hpawng Hka Nan Baptist Church</c:v>
                  </c:pt>
                  <c:pt idx="283">
                    <c:v>Maw Hpawng Lhaovo Baptist Church</c:v>
                  </c:pt>
                  <c:pt idx="286">
                    <c:v>Maw Wan, Mu-yin Baptist Church</c:v>
                  </c:pt>
                  <c:pt idx="289">
                    <c:v>Mee Pho Kone</c:v>
                  </c:pt>
                  <c:pt idx="292">
                    <c:v>Mine Yu Lay village ( Old)</c:v>
                  </c:pt>
                  <c:pt idx="295">
                    <c:v>Moenyin Host Families</c:v>
                  </c:pt>
                  <c:pt idx="298">
                    <c:v>Momauk Baptist Church</c:v>
                  </c:pt>
                  <c:pt idx="301">
                    <c:v>Momauk_Host Families</c:v>
                  </c:pt>
                  <c:pt idx="304">
                    <c:v>Mong Wee Shan</c:v>
                  </c:pt>
                  <c:pt idx="307">
                    <c:v>Mung Hawm </c:v>
                  </c:pt>
                  <c:pt idx="310">
                    <c:v>Mungji Pa Dabang (Baptist Church)</c:v>
                  </c:pt>
                  <c:pt idx="313">
                    <c:v>Mungji Pa Dabang (Catholic Church)</c:v>
                  </c:pt>
                  <c:pt idx="316">
                    <c:v>Muse Catholic Church</c:v>
                  </c:pt>
                  <c:pt idx="319">
                    <c:v>Mu-yin Baptist Church</c:v>
                  </c:pt>
                  <c:pt idx="322">
                    <c:v>Muyin church (Aung Yar pre-school compound)</c:v>
                  </c:pt>
                  <c:pt idx="325">
                    <c:v>Myo Oo St. Dominic RC Church</c:v>
                  </c:pt>
                  <c:pt idx="328">
                    <c:v>Myo Thit </c:v>
                  </c:pt>
                  <c:pt idx="331">
                    <c:v>Nam Hkam - Nay Win Ni (Palawng)</c:v>
                  </c:pt>
                  <c:pt idx="334">
                    <c:v>Nam Hkam (KBC Jaw Wang)</c:v>
                  </c:pt>
                  <c:pt idx="337">
                    <c:v>Nam Hkam (KBC Jaw Wang) II</c:v>
                  </c:pt>
                  <c:pt idx="340">
                    <c:v>Nam Hkam Catholic Church ( St. Thomas I)</c:v>
                  </c:pt>
                  <c:pt idx="343">
                    <c:v>Nam Hpak Ka Mare </c:v>
                  </c:pt>
                  <c:pt idx="346">
                    <c:v>Nam Hpak Ka Ta'ang ( Aung Tha Pyay)</c:v>
                  </c:pt>
                  <c:pt idx="349">
                    <c:v>Nam Ma Phyit, COC</c:v>
                  </c:pt>
                  <c:pt idx="352">
                    <c:v>Nam Sa Larp</c:v>
                  </c:pt>
                  <c:pt idx="355">
                    <c:v>Nam Tu Baptist</c:v>
                  </c:pt>
                  <c:pt idx="358">
                    <c:v>Namatee AG</c:v>
                  </c:pt>
                  <c:pt idx="361">
                    <c:v>Namhkan - Pang Long KBC</c:v>
                  </c:pt>
                  <c:pt idx="364">
                    <c:v>Namti Labraw Yang KBC Camp</c:v>
                  </c:pt>
                  <c:pt idx="367">
                    <c:v>Nan Kway St. John Catholic Church</c:v>
                  </c:pt>
                  <c:pt idx="370">
                    <c:v>Nant Hlaing Church</c:v>
                  </c:pt>
                  <c:pt idx="371">
                    <c:v>Nant Ma Hpit Catholic Church</c:v>
                  </c:pt>
                  <c:pt idx="374">
                    <c:v>Nat Gyi Kone Baptist Church </c:v>
                  </c:pt>
                  <c:pt idx="377">
                    <c:v>Nawng Hee Village</c:v>
                  </c:pt>
                  <c:pt idx="380">
                    <c:v>Nawng Ing (Indawgyi) Baptist Church </c:v>
                  </c:pt>
                  <c:pt idx="383">
                    <c:v>Ndup Yang</c:v>
                  </c:pt>
                  <c:pt idx="386">
                    <c:v>New Pang Ku </c:v>
                  </c:pt>
                  <c:pt idx="389">
                    <c:v>Nhkawng Pa </c:v>
                  </c:pt>
                  <c:pt idx="392">
                    <c:v>Njang Dung Baptist Church </c:v>
                  </c:pt>
                  <c:pt idx="395">
                    <c:v>Nyaung Na Pin </c:v>
                  </c:pt>
                  <c:pt idx="398">
                    <c:v>Pa Dauk Myaing(Pa La Na)</c:v>
                  </c:pt>
                  <c:pt idx="401">
                    <c:v>Pa Dauk Myaing(Pa La Na)-II</c:v>
                  </c:pt>
                  <c:pt idx="404">
                    <c:v>Pa Kahtawng </c:v>
                  </c:pt>
                  <c:pt idx="407">
                    <c:v>Pajau - Jan Mai</c:v>
                  </c:pt>
                  <c:pt idx="410">
                    <c:v>Pan Law</c:v>
                  </c:pt>
                  <c:pt idx="413">
                    <c:v>Pan Ta Pyae</c:v>
                  </c:pt>
                  <c:pt idx="416">
                    <c:v>Pan Wa</c:v>
                  </c:pt>
                  <c:pt idx="419">
                    <c:v>Pang Hkawn Yang</c:v>
                  </c:pt>
                  <c:pt idx="422">
                    <c:v>Phan Khar Kone</c:v>
                  </c:pt>
                  <c:pt idx="425">
                    <c:v>Post 6 Camp</c:v>
                  </c:pt>
                  <c:pt idx="428">
                    <c:v>Qtr. 2 Lhaovo Baptist Church</c:v>
                  </c:pt>
                  <c:pt idx="431">
                    <c:v>Qtr. 2 Myoma Baptist Church</c:v>
                  </c:pt>
                  <c:pt idx="434">
                    <c:v>Qtr. 3 Mu-yin  Baptist Church</c:v>
                  </c:pt>
                  <c:pt idx="437">
                    <c:v>Rawan Baptist Church, Maw Shan Vil., Seik Mu</c:v>
                  </c:pt>
                  <c:pt idx="440">
                    <c:v>Robert Church</c:v>
                  </c:pt>
                  <c:pt idx="443">
                    <c:v>Sadung</c:v>
                  </c:pt>
                  <c:pt idx="446">
                    <c:v>Salang Yang</c:v>
                  </c:pt>
                  <c:pt idx="449">
                    <c:v>Sar Hmaw - KBC</c:v>
                  </c:pt>
                  <c:pt idx="452">
                    <c:v>Saw Zam</c:v>
                  </c:pt>
                  <c:pt idx="455">
                    <c:v>Seng Ja </c:v>
                  </c:pt>
                  <c:pt idx="458">
                    <c:v>Sha-It Yang</c:v>
                  </c:pt>
                  <c:pt idx="461">
                    <c:v>Shar Du Zut KBC church </c:v>
                  </c:pt>
                  <c:pt idx="464">
                    <c:v>Shar Du Zut RC church</c:v>
                  </c:pt>
                  <c:pt idx="467">
                    <c:v>Shar Du Zut SanPya</c:v>
                  </c:pt>
                  <c:pt idx="470">
                    <c:v>Shatapru Sut Ngai Tawng</c:v>
                  </c:pt>
                  <c:pt idx="473">
                    <c:v>Shatapru Thida Aye Baptist Church</c:v>
                  </c:pt>
                  <c:pt idx="476">
                    <c:v>Shing Jai</c:v>
                  </c:pt>
                  <c:pt idx="479">
                    <c:v>Shwe Gu Baptist Church</c:v>
                  </c:pt>
                  <c:pt idx="482">
                    <c:v>Shwe Gu Catholic Church</c:v>
                  </c:pt>
                  <c:pt idx="485">
                    <c:v>Shwe Zet Baptist Church</c:v>
                  </c:pt>
                  <c:pt idx="488">
                    <c:v>Sin Bo</c:v>
                  </c:pt>
                  <c:pt idx="489">
                    <c:v>St. Joseph Tanai RC camp </c:v>
                  </c:pt>
                  <c:pt idx="492">
                    <c:v>St. Patrick Catholic Church </c:v>
                  </c:pt>
                  <c:pt idx="495">
                    <c:v>Sumprabum</c:v>
                  </c:pt>
                  <c:pt idx="498">
                    <c:v>Sut Chyai</c:v>
                  </c:pt>
                  <c:pt idx="501">
                    <c:v>Tanai CoC</c:v>
                  </c:pt>
                  <c:pt idx="504">
                    <c:v>Tanai KBC Camp</c:v>
                  </c:pt>
                  <c:pt idx="507">
                    <c:v>Tat Kone Baptist Church</c:v>
                  </c:pt>
                  <c:pt idx="510">
                    <c:v>Tat Kone COC Baptist - Tat Kone Htoi San</c:v>
                  </c:pt>
                  <c:pt idx="513">
                    <c:v>Tat Kone Emanuel Church</c:v>
                  </c:pt>
                  <c:pt idx="516">
                    <c:v>Tat Kone Galile Baptist Church</c:v>
                  </c:pt>
                  <c:pt idx="519">
                    <c:v>Tat Kone San Pya Baptist Church</c:v>
                  </c:pt>
                  <c:pt idx="522">
                    <c:v>Thargaya Lisu Baptist Church</c:v>
                  </c:pt>
                  <c:pt idx="525">
                    <c:v>Ti Yang Zup</c:v>
                  </c:pt>
                  <c:pt idx="528">
                    <c:v>Tote Tan Ward</c:v>
                  </c:pt>
                  <c:pt idx="531">
                    <c:v>Trinity Camp</c:v>
                  </c:pt>
                  <c:pt idx="534">
                    <c:v>Tsan Lun - Namjarap</c:v>
                  </c:pt>
                  <c:pt idx="537">
                    <c:v>Waimaw Baptist Zonal Office 2</c:v>
                  </c:pt>
                  <c:pt idx="540">
                    <c:v>Waingmaw AG Church</c:v>
                  </c:pt>
                  <c:pt idx="543">
                    <c:v>Ward 2 Sai Taung Baptist Church, Seik Mu </c:v>
                  </c:pt>
                  <c:pt idx="546">
                    <c:v>Woi Chyai </c:v>
                  </c:pt>
                  <c:pt idx="549">
                    <c:v>Woi Chyai (Mong Lai)</c:v>
                  </c:pt>
                  <c:pt idx="552">
                    <c:v>Woi Chyai host families</c:v>
                  </c:pt>
                  <c:pt idx="555">
                    <c:v>Yoe Kyi Monastery</c:v>
                  </c:pt>
                  <c:pt idx="556">
                    <c:v>Yumar Baptist Church</c:v>
                  </c:pt>
                  <c:pt idx="559">
                    <c:v>Zup Aung Camp</c:v>
                  </c:pt>
                  <c:pt idx="562">
                    <c:v>Zupra</c:v>
                  </c:pt>
                  <c:pt idx="565">
                    <c:v>Hka Garan Yang </c:v>
                  </c:pt>
                  <c:pt idx="568">
                    <c:v>Htang Nya </c:v>
                  </c:pt>
                  <c:pt idx="571">
                    <c:v>Enai (Man Pyein)</c:v>
                  </c:pt>
                  <c:pt idx="574">
                    <c:v>Hpa Ji Shalat Boarding School ( Daw Hpum Yang)</c:v>
                  </c:pt>
                  <c:pt idx="577">
                    <c:v>Lwe Mauk Yang Boarding School</c:v>
                  </c:pt>
                  <c:pt idx="580">
                    <c:v>AD 2000 School</c:v>
                  </c:pt>
                  <c:pt idx="583">
                    <c:v>Robert -High school</c:v>
                  </c:pt>
                  <c:pt idx="586">
                    <c:v>Pamati Camp</c:v>
                  </c:pt>
                  <c:pt idx="588">
                    <c:v>Momauk IDP new extension camp (Kye Nan)</c:v>
                  </c:pt>
                  <c:pt idx="591">
                    <c:v>Sector 5 Pammati Quarter</c:v>
                  </c:pt>
                  <c:pt idx="594">
                    <c:v>Man Pya San Pya Resettlement</c:v>
                  </c:pt>
                  <c:pt idx="595">
                    <c:v>San Kar Resettlement</c:v>
                  </c:pt>
                </c:lvl>
              </c:multiLvlStrCache>
            </c:multiLvlStrRef>
          </c:cat>
          <c:val>
            <c:numRef>
              <c:f>'Tracking Dashboard'!$N$5:$N$804</c:f>
              <c:numCache>
                <c:formatCode>General</c:formatCode>
                <c:ptCount val="596"/>
                <c:pt idx="0">
                  <c:v>0</c:v>
                </c:pt>
                <c:pt idx="1">
                  <c:v>0</c:v>
                </c:pt>
                <c:pt idx="2">
                  <c:v>0</c:v>
                </c:pt>
                <c:pt idx="3">
                  <c:v>276</c:v>
                </c:pt>
                <c:pt idx="4">
                  <c:v>167</c:v>
                </c:pt>
                <c:pt idx="5">
                  <c:v>167</c:v>
                </c:pt>
                <c:pt idx="6">
                  <c:v>745</c:v>
                </c:pt>
                <c:pt idx="7">
                  <c:v>723</c:v>
                </c:pt>
                <c:pt idx="8">
                  <c:v>723</c:v>
                </c:pt>
                <c:pt idx="9">
                  <c:v>371</c:v>
                </c:pt>
                <c:pt idx="10">
                  <c:v>371</c:v>
                </c:pt>
                <c:pt idx="11">
                  <c:v>371</c:v>
                </c:pt>
                <c:pt idx="12">
                  <c:v>83</c:v>
                </c:pt>
                <c:pt idx="13">
                  <c:v>83</c:v>
                </c:pt>
                <c:pt idx="14">
                  <c:v>83</c:v>
                </c:pt>
                <c:pt idx="15">
                  <c:v>0</c:v>
                </c:pt>
                <c:pt idx="16">
                  <c:v>571</c:v>
                </c:pt>
                <c:pt idx="17">
                  <c:v>571</c:v>
                </c:pt>
                <c:pt idx="18">
                  <c:v>0</c:v>
                </c:pt>
                <c:pt idx="19">
                  <c:v>55</c:v>
                </c:pt>
                <c:pt idx="20">
                  <c:v>55</c:v>
                </c:pt>
                <c:pt idx="21">
                  <c:v>0</c:v>
                </c:pt>
                <c:pt idx="22">
                  <c:v>0</c:v>
                </c:pt>
                <c:pt idx="23">
                  <c:v>0</c:v>
                </c:pt>
                <c:pt idx="24">
                  <c:v>228</c:v>
                </c:pt>
                <c:pt idx="25">
                  <c:v>228</c:v>
                </c:pt>
                <c:pt idx="26">
                  <c:v>228</c:v>
                </c:pt>
                <c:pt idx="27">
                  <c:v>0</c:v>
                </c:pt>
                <c:pt idx="28">
                  <c:v>0</c:v>
                </c:pt>
                <c:pt idx="29">
                  <c:v>0</c:v>
                </c:pt>
                <c:pt idx="30">
                  <c:v>458</c:v>
                </c:pt>
                <c:pt idx="31">
                  <c:v>458</c:v>
                </c:pt>
                <c:pt idx="32">
                  <c:v>458</c:v>
                </c:pt>
                <c:pt idx="33">
                  <c:v>1816</c:v>
                </c:pt>
                <c:pt idx="34">
                  <c:v>1887</c:v>
                </c:pt>
                <c:pt idx="35">
                  <c:v>1887</c:v>
                </c:pt>
                <c:pt idx="36">
                  <c:v>31</c:v>
                </c:pt>
                <c:pt idx="37">
                  <c:v>31</c:v>
                </c:pt>
                <c:pt idx="38">
                  <c:v>31</c:v>
                </c:pt>
                <c:pt idx="39">
                  <c:v>830</c:v>
                </c:pt>
                <c:pt idx="40">
                  <c:v>830</c:v>
                </c:pt>
                <c:pt idx="41">
                  <c:v>830</c:v>
                </c:pt>
                <c:pt idx="42">
                  <c:v>0</c:v>
                </c:pt>
                <c:pt idx="43">
                  <c:v>0</c:v>
                </c:pt>
                <c:pt idx="44">
                  <c:v>0</c:v>
                </c:pt>
                <c:pt idx="45">
                  <c:v>377</c:v>
                </c:pt>
                <c:pt idx="46">
                  <c:v>377</c:v>
                </c:pt>
                <c:pt idx="47">
                  <c:v>377</c:v>
                </c:pt>
                <c:pt idx="48">
                  <c:v>197</c:v>
                </c:pt>
                <c:pt idx="49">
                  <c:v>197</c:v>
                </c:pt>
                <c:pt idx="50">
                  <c:v>197</c:v>
                </c:pt>
                <c:pt idx="51">
                  <c:v>458</c:v>
                </c:pt>
                <c:pt idx="52">
                  <c:v>458</c:v>
                </c:pt>
                <c:pt idx="53">
                  <c:v>458</c:v>
                </c:pt>
                <c:pt idx="54">
                  <c:v>0</c:v>
                </c:pt>
                <c:pt idx="55">
                  <c:v>0</c:v>
                </c:pt>
                <c:pt idx="56">
                  <c:v>0</c:v>
                </c:pt>
                <c:pt idx="57">
                  <c:v>496</c:v>
                </c:pt>
                <c:pt idx="58">
                  <c:v>496</c:v>
                </c:pt>
                <c:pt idx="59">
                  <c:v>496</c:v>
                </c:pt>
                <c:pt idx="60">
                  <c:v>0</c:v>
                </c:pt>
                <c:pt idx="61">
                  <c:v>0</c:v>
                </c:pt>
                <c:pt idx="62">
                  <c:v>0</c:v>
                </c:pt>
                <c:pt idx="63">
                  <c:v>0</c:v>
                </c:pt>
                <c:pt idx="64">
                  <c:v>0</c:v>
                </c:pt>
                <c:pt idx="65">
                  <c:v>0</c:v>
                </c:pt>
                <c:pt idx="66">
                  <c:v>875</c:v>
                </c:pt>
                <c:pt idx="67">
                  <c:v>875</c:v>
                </c:pt>
                <c:pt idx="68">
                  <c:v>875</c:v>
                </c:pt>
                <c:pt idx="69">
                  <c:v>132</c:v>
                </c:pt>
                <c:pt idx="70">
                  <c:v>132</c:v>
                </c:pt>
                <c:pt idx="71">
                  <c:v>132</c:v>
                </c:pt>
                <c:pt idx="72">
                  <c:v>0</c:v>
                </c:pt>
                <c:pt idx="73">
                  <c:v>0</c:v>
                </c:pt>
                <c:pt idx="74">
                  <c:v>0</c:v>
                </c:pt>
                <c:pt idx="75">
                  <c:v>0</c:v>
                </c:pt>
                <c:pt idx="76">
                  <c:v>0</c:v>
                </c:pt>
                <c:pt idx="77">
                  <c:v>0</c:v>
                </c:pt>
                <c:pt idx="78">
                  <c:v>553</c:v>
                </c:pt>
                <c:pt idx="79">
                  <c:v>553</c:v>
                </c:pt>
                <c:pt idx="80">
                  <c:v>553</c:v>
                </c:pt>
                <c:pt idx="81">
                  <c:v>519</c:v>
                </c:pt>
                <c:pt idx="82">
                  <c:v>519</c:v>
                </c:pt>
                <c:pt idx="83">
                  <c:v>519</c:v>
                </c:pt>
                <c:pt idx="84">
                  <c:v>0</c:v>
                </c:pt>
                <c:pt idx="85">
                  <c:v>0</c:v>
                </c:pt>
                <c:pt idx="86">
                  <c:v>0</c:v>
                </c:pt>
                <c:pt idx="87">
                  <c:v>1500</c:v>
                </c:pt>
                <c:pt idx="88">
                  <c:v>3425</c:v>
                </c:pt>
                <c:pt idx="89">
                  <c:v>3659</c:v>
                </c:pt>
                <c:pt idx="90">
                  <c:v>0</c:v>
                </c:pt>
                <c:pt idx="91">
                  <c:v>0</c:v>
                </c:pt>
                <c:pt idx="92">
                  <c:v>0</c:v>
                </c:pt>
                <c:pt idx="93">
                  <c:v>0</c:v>
                </c:pt>
                <c:pt idx="94">
                  <c:v>291</c:v>
                </c:pt>
                <c:pt idx="95">
                  <c:v>291</c:v>
                </c:pt>
                <c:pt idx="96">
                  <c:v>154</c:v>
                </c:pt>
                <c:pt idx="97">
                  <c:v>154</c:v>
                </c:pt>
                <c:pt idx="98">
                  <c:v>154</c:v>
                </c:pt>
                <c:pt idx="99">
                  <c:v>0</c:v>
                </c:pt>
                <c:pt idx="100">
                  <c:v>0</c:v>
                </c:pt>
                <c:pt idx="101">
                  <c:v>680</c:v>
                </c:pt>
                <c:pt idx="102">
                  <c:v>0</c:v>
                </c:pt>
                <c:pt idx="103">
                  <c:v>0</c:v>
                </c:pt>
                <c:pt idx="104">
                  <c:v>0</c:v>
                </c:pt>
                <c:pt idx="105">
                  <c:v>1050</c:v>
                </c:pt>
                <c:pt idx="106">
                  <c:v>1050</c:v>
                </c:pt>
                <c:pt idx="107">
                  <c:v>1050</c:v>
                </c:pt>
                <c:pt idx="108">
                  <c:v>430</c:v>
                </c:pt>
                <c:pt idx="109">
                  <c:v>430</c:v>
                </c:pt>
                <c:pt idx="110">
                  <c:v>430</c:v>
                </c:pt>
                <c:pt idx="111">
                  <c:v>489</c:v>
                </c:pt>
                <c:pt idx="112">
                  <c:v>489</c:v>
                </c:pt>
                <c:pt idx="113">
                  <c:v>489</c:v>
                </c:pt>
                <c:pt idx="114">
                  <c:v>1000</c:v>
                </c:pt>
                <c:pt idx="115">
                  <c:v>8786</c:v>
                </c:pt>
                <c:pt idx="116">
                  <c:v>4500</c:v>
                </c:pt>
                <c:pt idx="117">
                  <c:v>39</c:v>
                </c:pt>
                <c:pt idx="118">
                  <c:v>30</c:v>
                </c:pt>
                <c:pt idx="119">
                  <c:v>30</c:v>
                </c:pt>
                <c:pt idx="120">
                  <c:v>0</c:v>
                </c:pt>
                <c:pt idx="121">
                  <c:v>106</c:v>
                </c:pt>
                <c:pt idx="122">
                  <c:v>106</c:v>
                </c:pt>
                <c:pt idx="123">
                  <c:v>63</c:v>
                </c:pt>
                <c:pt idx="124">
                  <c:v>63</c:v>
                </c:pt>
                <c:pt idx="125">
                  <c:v>63</c:v>
                </c:pt>
                <c:pt idx="126">
                  <c:v>0</c:v>
                </c:pt>
                <c:pt idx="127">
                  <c:v>94</c:v>
                </c:pt>
                <c:pt idx="128">
                  <c:v>94</c:v>
                </c:pt>
                <c:pt idx="129">
                  <c:v>0</c:v>
                </c:pt>
                <c:pt idx="130">
                  <c:v>0</c:v>
                </c:pt>
                <c:pt idx="131">
                  <c:v>0</c:v>
                </c:pt>
                <c:pt idx="132">
                  <c:v>259</c:v>
                </c:pt>
                <c:pt idx="133">
                  <c:v>259</c:v>
                </c:pt>
                <c:pt idx="134">
                  <c:v>259</c:v>
                </c:pt>
                <c:pt idx="135">
                  <c:v>156</c:v>
                </c:pt>
                <c:pt idx="136">
                  <c:v>156</c:v>
                </c:pt>
                <c:pt idx="137">
                  <c:v>156</c:v>
                </c:pt>
                <c:pt idx="138">
                  <c:v>138</c:v>
                </c:pt>
                <c:pt idx="139">
                  <c:v>138</c:v>
                </c:pt>
                <c:pt idx="140">
                  <c:v>138</c:v>
                </c:pt>
                <c:pt idx="141">
                  <c:v>267</c:v>
                </c:pt>
                <c:pt idx="142">
                  <c:v>267</c:v>
                </c:pt>
                <c:pt idx="143">
                  <c:v>249</c:v>
                </c:pt>
                <c:pt idx="144">
                  <c:v>66</c:v>
                </c:pt>
                <c:pt idx="145">
                  <c:v>66</c:v>
                </c:pt>
                <c:pt idx="146">
                  <c:v>66</c:v>
                </c:pt>
                <c:pt idx="147">
                  <c:v>0</c:v>
                </c:pt>
                <c:pt idx="148">
                  <c:v>0</c:v>
                </c:pt>
                <c:pt idx="149">
                  <c:v>0</c:v>
                </c:pt>
                <c:pt idx="150">
                  <c:v>396</c:v>
                </c:pt>
                <c:pt idx="151">
                  <c:v>396</c:v>
                </c:pt>
                <c:pt idx="152">
                  <c:v>396</c:v>
                </c:pt>
                <c:pt idx="153">
                  <c:v>2455</c:v>
                </c:pt>
                <c:pt idx="154">
                  <c:v>2691</c:v>
                </c:pt>
                <c:pt idx="155">
                  <c:v>2691</c:v>
                </c:pt>
                <c:pt idx="156">
                  <c:v>218</c:v>
                </c:pt>
                <c:pt idx="157">
                  <c:v>218</c:v>
                </c:pt>
                <c:pt idx="158">
                  <c:v>218</c:v>
                </c:pt>
                <c:pt idx="159">
                  <c:v>672</c:v>
                </c:pt>
                <c:pt idx="160">
                  <c:v>672</c:v>
                </c:pt>
                <c:pt idx="161">
                  <c:v>672</c:v>
                </c:pt>
                <c:pt idx="162">
                  <c:v>0</c:v>
                </c:pt>
                <c:pt idx="163">
                  <c:v>0</c:v>
                </c:pt>
                <c:pt idx="164">
                  <c:v>0</c:v>
                </c:pt>
                <c:pt idx="165">
                  <c:v>500</c:v>
                </c:pt>
                <c:pt idx="166">
                  <c:v>500</c:v>
                </c:pt>
                <c:pt idx="167">
                  <c:v>500</c:v>
                </c:pt>
                <c:pt idx="168">
                  <c:v>500</c:v>
                </c:pt>
                <c:pt idx="169">
                  <c:v>500</c:v>
                </c:pt>
                <c:pt idx="170">
                  <c:v>500</c:v>
                </c:pt>
                <c:pt idx="171">
                  <c:v>856</c:v>
                </c:pt>
                <c:pt idx="172">
                  <c:v>895</c:v>
                </c:pt>
                <c:pt idx="173">
                  <c:v>895</c:v>
                </c:pt>
                <c:pt idx="174">
                  <c:v>103</c:v>
                </c:pt>
                <c:pt idx="175">
                  <c:v>103</c:v>
                </c:pt>
                <c:pt idx="176">
                  <c:v>103</c:v>
                </c:pt>
                <c:pt idx="177">
                  <c:v>60</c:v>
                </c:pt>
                <c:pt idx="178">
                  <c:v>60</c:v>
                </c:pt>
                <c:pt idx="179">
                  <c:v>60</c:v>
                </c:pt>
                <c:pt idx="180">
                  <c:v>0</c:v>
                </c:pt>
                <c:pt idx="181">
                  <c:v>800</c:v>
                </c:pt>
                <c:pt idx="182">
                  <c:v>800</c:v>
                </c:pt>
                <c:pt idx="183">
                  <c:v>146</c:v>
                </c:pt>
                <c:pt idx="184">
                  <c:v>146</c:v>
                </c:pt>
                <c:pt idx="185">
                  <c:v>146</c:v>
                </c:pt>
                <c:pt idx="186">
                  <c:v>241</c:v>
                </c:pt>
                <c:pt idx="187">
                  <c:v>209</c:v>
                </c:pt>
                <c:pt idx="188">
                  <c:v>209</c:v>
                </c:pt>
                <c:pt idx="189">
                  <c:v>289</c:v>
                </c:pt>
                <c:pt idx="190">
                  <c:v>291</c:v>
                </c:pt>
                <c:pt idx="191">
                  <c:v>310</c:v>
                </c:pt>
                <c:pt idx="192">
                  <c:v>1138</c:v>
                </c:pt>
                <c:pt idx="193">
                  <c:v>1267</c:v>
                </c:pt>
                <c:pt idx="194">
                  <c:v>1267</c:v>
                </c:pt>
                <c:pt idx="195">
                  <c:v>329</c:v>
                </c:pt>
                <c:pt idx="196">
                  <c:v>329</c:v>
                </c:pt>
                <c:pt idx="197">
                  <c:v>329</c:v>
                </c:pt>
                <c:pt idx="198">
                  <c:v>289</c:v>
                </c:pt>
                <c:pt idx="199">
                  <c:v>289</c:v>
                </c:pt>
                <c:pt idx="200">
                  <c:v>289</c:v>
                </c:pt>
                <c:pt idx="201">
                  <c:v>0</c:v>
                </c:pt>
                <c:pt idx="202">
                  <c:v>0</c:v>
                </c:pt>
                <c:pt idx="203">
                  <c:v>0</c:v>
                </c:pt>
                <c:pt idx="204">
                  <c:v>78</c:v>
                </c:pt>
                <c:pt idx="205">
                  <c:v>78</c:v>
                </c:pt>
                <c:pt idx="206">
                  <c:v>78</c:v>
                </c:pt>
                <c:pt idx="207">
                  <c:v>159</c:v>
                </c:pt>
                <c:pt idx="208">
                  <c:v>159</c:v>
                </c:pt>
                <c:pt idx="209">
                  <c:v>159</c:v>
                </c:pt>
                <c:pt idx="210">
                  <c:v>0</c:v>
                </c:pt>
                <c:pt idx="211">
                  <c:v>0</c:v>
                </c:pt>
                <c:pt idx="212">
                  <c:v>0</c:v>
                </c:pt>
                <c:pt idx="213">
                  <c:v>500</c:v>
                </c:pt>
                <c:pt idx="214">
                  <c:v>500</c:v>
                </c:pt>
                <c:pt idx="215">
                  <c:v>721</c:v>
                </c:pt>
                <c:pt idx="216">
                  <c:v>0</c:v>
                </c:pt>
                <c:pt idx="217">
                  <c:v>0</c:v>
                </c:pt>
                <c:pt idx="218">
                  <c:v>0</c:v>
                </c:pt>
                <c:pt idx="219">
                  <c:v>1481</c:v>
                </c:pt>
                <c:pt idx="220">
                  <c:v>1481</c:v>
                </c:pt>
                <c:pt idx="221">
                  <c:v>1481</c:v>
                </c:pt>
                <c:pt idx="222">
                  <c:v>2500</c:v>
                </c:pt>
                <c:pt idx="223">
                  <c:v>2500</c:v>
                </c:pt>
                <c:pt idx="224">
                  <c:v>2500</c:v>
                </c:pt>
                <c:pt idx="225">
                  <c:v>191</c:v>
                </c:pt>
                <c:pt idx="226">
                  <c:v>191</c:v>
                </c:pt>
                <c:pt idx="227">
                  <c:v>191</c:v>
                </c:pt>
                <c:pt idx="228">
                  <c:v>1855</c:v>
                </c:pt>
                <c:pt idx="229">
                  <c:v>1900</c:v>
                </c:pt>
                <c:pt idx="230">
                  <c:v>1900</c:v>
                </c:pt>
                <c:pt idx="231">
                  <c:v>694</c:v>
                </c:pt>
                <c:pt idx="232">
                  <c:v>694</c:v>
                </c:pt>
                <c:pt idx="233">
                  <c:v>694</c:v>
                </c:pt>
                <c:pt idx="234">
                  <c:v>290</c:v>
                </c:pt>
                <c:pt idx="235">
                  <c:v>290</c:v>
                </c:pt>
                <c:pt idx="236">
                  <c:v>290</c:v>
                </c:pt>
                <c:pt idx="237">
                  <c:v>0</c:v>
                </c:pt>
                <c:pt idx="238">
                  <c:v>500</c:v>
                </c:pt>
                <c:pt idx="239">
                  <c:v>741</c:v>
                </c:pt>
                <c:pt idx="240">
                  <c:v>618</c:v>
                </c:pt>
                <c:pt idx="241">
                  <c:v>618</c:v>
                </c:pt>
                <c:pt idx="242">
                  <c:v>607</c:v>
                </c:pt>
                <c:pt idx="243">
                  <c:v>547</c:v>
                </c:pt>
                <c:pt idx="244">
                  <c:v>547</c:v>
                </c:pt>
                <c:pt idx="245">
                  <c:v>547</c:v>
                </c:pt>
                <c:pt idx="246">
                  <c:v>0</c:v>
                </c:pt>
                <c:pt idx="247">
                  <c:v>0</c:v>
                </c:pt>
                <c:pt idx="248">
                  <c:v>0</c:v>
                </c:pt>
                <c:pt idx="249">
                  <c:v>0</c:v>
                </c:pt>
                <c:pt idx="250">
                  <c:v>85</c:v>
                </c:pt>
                <c:pt idx="251">
                  <c:v>10</c:v>
                </c:pt>
                <c:pt idx="252">
                  <c:v>500</c:v>
                </c:pt>
                <c:pt idx="253">
                  <c:v>500</c:v>
                </c:pt>
                <c:pt idx="254">
                  <c:v>500</c:v>
                </c:pt>
                <c:pt idx="255">
                  <c:v>0</c:v>
                </c:pt>
                <c:pt idx="256">
                  <c:v>0</c:v>
                </c:pt>
                <c:pt idx="257">
                  <c:v>0</c:v>
                </c:pt>
                <c:pt idx="258">
                  <c:v>0</c:v>
                </c:pt>
                <c:pt idx="259">
                  <c:v>500</c:v>
                </c:pt>
                <c:pt idx="260">
                  <c:v>500</c:v>
                </c:pt>
                <c:pt idx="261">
                  <c:v>0</c:v>
                </c:pt>
                <c:pt idx="262">
                  <c:v>0</c:v>
                </c:pt>
                <c:pt idx="263">
                  <c:v>0</c:v>
                </c:pt>
                <c:pt idx="264">
                  <c:v>0</c:v>
                </c:pt>
                <c:pt idx="265">
                  <c:v>0</c:v>
                </c:pt>
                <c:pt idx="266">
                  <c:v>0</c:v>
                </c:pt>
                <c:pt idx="267">
                  <c:v>0</c:v>
                </c:pt>
                <c:pt idx="268">
                  <c:v>135</c:v>
                </c:pt>
                <c:pt idx="269">
                  <c:v>135</c:v>
                </c:pt>
                <c:pt idx="270">
                  <c:v>148</c:v>
                </c:pt>
                <c:pt idx="271">
                  <c:v>235</c:v>
                </c:pt>
                <c:pt idx="272">
                  <c:v>235</c:v>
                </c:pt>
                <c:pt idx="273">
                  <c:v>156</c:v>
                </c:pt>
                <c:pt idx="274">
                  <c:v>0</c:v>
                </c:pt>
                <c:pt idx="275">
                  <c:v>789</c:v>
                </c:pt>
                <c:pt idx="276">
                  <c:v>789</c:v>
                </c:pt>
                <c:pt idx="277">
                  <c:v>0</c:v>
                </c:pt>
                <c:pt idx="278">
                  <c:v>0</c:v>
                </c:pt>
                <c:pt idx="279">
                  <c:v>0</c:v>
                </c:pt>
                <c:pt idx="280">
                  <c:v>0</c:v>
                </c:pt>
                <c:pt idx="281">
                  <c:v>0</c:v>
                </c:pt>
                <c:pt idx="282">
                  <c:v>0</c:v>
                </c:pt>
                <c:pt idx="283">
                  <c:v>123</c:v>
                </c:pt>
                <c:pt idx="284">
                  <c:v>123</c:v>
                </c:pt>
                <c:pt idx="285">
                  <c:v>123</c:v>
                </c:pt>
                <c:pt idx="286">
                  <c:v>0</c:v>
                </c:pt>
                <c:pt idx="287">
                  <c:v>0</c:v>
                </c:pt>
                <c:pt idx="288">
                  <c:v>0</c:v>
                </c:pt>
                <c:pt idx="289">
                  <c:v>0</c:v>
                </c:pt>
                <c:pt idx="290">
                  <c:v>0</c:v>
                </c:pt>
                <c:pt idx="291">
                  <c:v>53</c:v>
                </c:pt>
                <c:pt idx="292">
                  <c:v>305</c:v>
                </c:pt>
                <c:pt idx="293">
                  <c:v>305</c:v>
                </c:pt>
                <c:pt idx="294">
                  <c:v>305</c:v>
                </c:pt>
                <c:pt idx="295">
                  <c:v>0</c:v>
                </c:pt>
                <c:pt idx="296">
                  <c:v>0</c:v>
                </c:pt>
                <c:pt idx="297">
                  <c:v>0</c:v>
                </c:pt>
                <c:pt idx="298">
                  <c:v>0</c:v>
                </c:pt>
                <c:pt idx="299">
                  <c:v>527</c:v>
                </c:pt>
                <c:pt idx="300">
                  <c:v>527</c:v>
                </c:pt>
                <c:pt idx="301">
                  <c:v>0</c:v>
                </c:pt>
                <c:pt idx="302">
                  <c:v>0</c:v>
                </c:pt>
                <c:pt idx="303">
                  <c:v>0</c:v>
                </c:pt>
                <c:pt idx="304">
                  <c:v>276</c:v>
                </c:pt>
                <c:pt idx="305">
                  <c:v>276</c:v>
                </c:pt>
                <c:pt idx="306">
                  <c:v>328</c:v>
                </c:pt>
                <c:pt idx="307">
                  <c:v>180</c:v>
                </c:pt>
                <c:pt idx="308">
                  <c:v>180</c:v>
                </c:pt>
                <c:pt idx="309">
                  <c:v>180</c:v>
                </c:pt>
                <c:pt idx="310">
                  <c:v>0</c:v>
                </c:pt>
                <c:pt idx="311">
                  <c:v>185</c:v>
                </c:pt>
                <c:pt idx="312">
                  <c:v>264</c:v>
                </c:pt>
                <c:pt idx="313">
                  <c:v>0</c:v>
                </c:pt>
                <c:pt idx="314">
                  <c:v>111</c:v>
                </c:pt>
                <c:pt idx="315">
                  <c:v>111</c:v>
                </c:pt>
                <c:pt idx="316">
                  <c:v>114</c:v>
                </c:pt>
                <c:pt idx="317">
                  <c:v>114</c:v>
                </c:pt>
                <c:pt idx="318">
                  <c:v>114</c:v>
                </c:pt>
                <c:pt idx="319">
                  <c:v>0</c:v>
                </c:pt>
                <c:pt idx="320">
                  <c:v>45</c:v>
                </c:pt>
                <c:pt idx="321">
                  <c:v>45</c:v>
                </c:pt>
                <c:pt idx="322">
                  <c:v>0</c:v>
                </c:pt>
                <c:pt idx="323">
                  <c:v>0</c:v>
                </c:pt>
                <c:pt idx="324">
                  <c:v>0</c:v>
                </c:pt>
                <c:pt idx="325">
                  <c:v>235</c:v>
                </c:pt>
                <c:pt idx="326">
                  <c:v>235</c:v>
                </c:pt>
                <c:pt idx="327">
                  <c:v>235</c:v>
                </c:pt>
                <c:pt idx="328">
                  <c:v>0</c:v>
                </c:pt>
                <c:pt idx="329">
                  <c:v>0</c:v>
                </c:pt>
                <c:pt idx="330">
                  <c:v>0</c:v>
                </c:pt>
                <c:pt idx="331">
                  <c:v>390</c:v>
                </c:pt>
                <c:pt idx="332">
                  <c:v>390</c:v>
                </c:pt>
                <c:pt idx="333">
                  <c:v>401</c:v>
                </c:pt>
                <c:pt idx="334">
                  <c:v>0</c:v>
                </c:pt>
                <c:pt idx="335">
                  <c:v>0</c:v>
                </c:pt>
                <c:pt idx="336">
                  <c:v>0</c:v>
                </c:pt>
                <c:pt idx="337">
                  <c:v>176</c:v>
                </c:pt>
                <c:pt idx="338">
                  <c:v>176</c:v>
                </c:pt>
                <c:pt idx="339">
                  <c:v>176</c:v>
                </c:pt>
                <c:pt idx="340">
                  <c:v>212</c:v>
                </c:pt>
                <c:pt idx="341">
                  <c:v>212</c:v>
                </c:pt>
                <c:pt idx="342">
                  <c:v>212</c:v>
                </c:pt>
                <c:pt idx="343">
                  <c:v>263</c:v>
                </c:pt>
                <c:pt idx="344">
                  <c:v>263</c:v>
                </c:pt>
                <c:pt idx="345">
                  <c:v>263</c:v>
                </c:pt>
                <c:pt idx="346">
                  <c:v>114</c:v>
                </c:pt>
                <c:pt idx="347">
                  <c:v>114</c:v>
                </c:pt>
                <c:pt idx="348">
                  <c:v>114</c:v>
                </c:pt>
                <c:pt idx="349">
                  <c:v>42</c:v>
                </c:pt>
                <c:pt idx="350">
                  <c:v>42</c:v>
                </c:pt>
                <c:pt idx="351">
                  <c:v>42</c:v>
                </c:pt>
                <c:pt idx="352">
                  <c:v>182</c:v>
                </c:pt>
                <c:pt idx="353">
                  <c:v>182</c:v>
                </c:pt>
                <c:pt idx="354">
                  <c:v>182</c:v>
                </c:pt>
                <c:pt idx="355">
                  <c:v>161</c:v>
                </c:pt>
                <c:pt idx="356">
                  <c:v>161</c:v>
                </c:pt>
                <c:pt idx="357">
                  <c:v>161</c:v>
                </c:pt>
                <c:pt idx="358">
                  <c:v>36</c:v>
                </c:pt>
                <c:pt idx="359">
                  <c:v>36</c:v>
                </c:pt>
                <c:pt idx="360">
                  <c:v>36</c:v>
                </c:pt>
                <c:pt idx="361">
                  <c:v>0</c:v>
                </c:pt>
                <c:pt idx="362">
                  <c:v>0</c:v>
                </c:pt>
                <c:pt idx="363">
                  <c:v>0</c:v>
                </c:pt>
                <c:pt idx="364">
                  <c:v>474</c:v>
                </c:pt>
                <c:pt idx="365">
                  <c:v>474</c:v>
                </c:pt>
                <c:pt idx="366">
                  <c:v>474</c:v>
                </c:pt>
                <c:pt idx="367">
                  <c:v>309</c:v>
                </c:pt>
                <c:pt idx="368">
                  <c:v>309</c:v>
                </c:pt>
                <c:pt idx="369">
                  <c:v>309</c:v>
                </c:pt>
                <c:pt idx="370">
                  <c:v>0</c:v>
                </c:pt>
                <c:pt idx="371">
                  <c:v>218</c:v>
                </c:pt>
                <c:pt idx="372">
                  <c:v>218</c:v>
                </c:pt>
                <c:pt idx="373">
                  <c:v>218</c:v>
                </c:pt>
                <c:pt idx="374">
                  <c:v>41</c:v>
                </c:pt>
                <c:pt idx="375">
                  <c:v>41</c:v>
                </c:pt>
                <c:pt idx="376">
                  <c:v>41</c:v>
                </c:pt>
                <c:pt idx="377">
                  <c:v>0</c:v>
                </c:pt>
                <c:pt idx="378">
                  <c:v>0</c:v>
                </c:pt>
                <c:pt idx="379">
                  <c:v>0</c:v>
                </c:pt>
                <c:pt idx="380">
                  <c:v>113</c:v>
                </c:pt>
                <c:pt idx="381">
                  <c:v>113</c:v>
                </c:pt>
                <c:pt idx="382">
                  <c:v>113</c:v>
                </c:pt>
                <c:pt idx="383">
                  <c:v>547</c:v>
                </c:pt>
                <c:pt idx="384">
                  <c:v>547</c:v>
                </c:pt>
                <c:pt idx="385">
                  <c:v>547</c:v>
                </c:pt>
                <c:pt idx="386">
                  <c:v>500</c:v>
                </c:pt>
                <c:pt idx="387">
                  <c:v>540</c:v>
                </c:pt>
                <c:pt idx="388">
                  <c:v>632</c:v>
                </c:pt>
                <c:pt idx="389">
                  <c:v>1658</c:v>
                </c:pt>
                <c:pt idx="390">
                  <c:v>1675</c:v>
                </c:pt>
                <c:pt idx="391">
                  <c:v>1675</c:v>
                </c:pt>
                <c:pt idx="392">
                  <c:v>281</c:v>
                </c:pt>
                <c:pt idx="393">
                  <c:v>281</c:v>
                </c:pt>
                <c:pt idx="394">
                  <c:v>281</c:v>
                </c:pt>
                <c:pt idx="395">
                  <c:v>294</c:v>
                </c:pt>
                <c:pt idx="396">
                  <c:v>294</c:v>
                </c:pt>
                <c:pt idx="397">
                  <c:v>294</c:v>
                </c:pt>
                <c:pt idx="398">
                  <c:v>882</c:v>
                </c:pt>
                <c:pt idx="399">
                  <c:v>882</c:v>
                </c:pt>
                <c:pt idx="400">
                  <c:v>882</c:v>
                </c:pt>
                <c:pt idx="401">
                  <c:v>0</c:v>
                </c:pt>
                <c:pt idx="402">
                  <c:v>0</c:v>
                </c:pt>
                <c:pt idx="403">
                  <c:v>0</c:v>
                </c:pt>
                <c:pt idx="404">
                  <c:v>3050</c:v>
                </c:pt>
                <c:pt idx="405">
                  <c:v>2975</c:v>
                </c:pt>
                <c:pt idx="406">
                  <c:v>2975</c:v>
                </c:pt>
                <c:pt idx="407">
                  <c:v>846</c:v>
                </c:pt>
                <c:pt idx="408">
                  <c:v>846</c:v>
                </c:pt>
                <c:pt idx="409">
                  <c:v>846</c:v>
                </c:pt>
                <c:pt idx="410">
                  <c:v>196</c:v>
                </c:pt>
                <c:pt idx="411">
                  <c:v>196</c:v>
                </c:pt>
                <c:pt idx="412">
                  <c:v>196</c:v>
                </c:pt>
                <c:pt idx="413">
                  <c:v>0</c:v>
                </c:pt>
                <c:pt idx="414">
                  <c:v>20</c:v>
                </c:pt>
                <c:pt idx="415">
                  <c:v>27</c:v>
                </c:pt>
                <c:pt idx="416">
                  <c:v>0</c:v>
                </c:pt>
                <c:pt idx="417">
                  <c:v>0</c:v>
                </c:pt>
                <c:pt idx="418">
                  <c:v>0</c:v>
                </c:pt>
                <c:pt idx="419">
                  <c:v>0</c:v>
                </c:pt>
                <c:pt idx="420">
                  <c:v>0</c:v>
                </c:pt>
                <c:pt idx="421">
                  <c:v>0</c:v>
                </c:pt>
                <c:pt idx="422">
                  <c:v>514</c:v>
                </c:pt>
                <c:pt idx="423">
                  <c:v>514</c:v>
                </c:pt>
                <c:pt idx="424">
                  <c:v>514</c:v>
                </c:pt>
                <c:pt idx="425">
                  <c:v>612</c:v>
                </c:pt>
                <c:pt idx="426">
                  <c:v>612</c:v>
                </c:pt>
                <c:pt idx="427">
                  <c:v>612</c:v>
                </c:pt>
                <c:pt idx="428">
                  <c:v>0</c:v>
                </c:pt>
                <c:pt idx="429">
                  <c:v>0</c:v>
                </c:pt>
                <c:pt idx="430">
                  <c:v>0</c:v>
                </c:pt>
                <c:pt idx="431">
                  <c:v>307</c:v>
                </c:pt>
                <c:pt idx="432">
                  <c:v>307</c:v>
                </c:pt>
                <c:pt idx="433">
                  <c:v>307</c:v>
                </c:pt>
                <c:pt idx="434">
                  <c:v>0</c:v>
                </c:pt>
                <c:pt idx="435">
                  <c:v>0</c:v>
                </c:pt>
                <c:pt idx="436">
                  <c:v>0</c:v>
                </c:pt>
                <c:pt idx="437">
                  <c:v>38</c:v>
                </c:pt>
                <c:pt idx="438">
                  <c:v>38</c:v>
                </c:pt>
                <c:pt idx="439">
                  <c:v>38</c:v>
                </c:pt>
                <c:pt idx="440">
                  <c:v>3140</c:v>
                </c:pt>
                <c:pt idx="441">
                  <c:v>3000</c:v>
                </c:pt>
                <c:pt idx="442">
                  <c:v>3000</c:v>
                </c:pt>
                <c:pt idx="443">
                  <c:v>0</c:v>
                </c:pt>
                <c:pt idx="444">
                  <c:v>0</c:v>
                </c:pt>
                <c:pt idx="445">
                  <c:v>0</c:v>
                </c:pt>
                <c:pt idx="446">
                  <c:v>325</c:v>
                </c:pt>
                <c:pt idx="447">
                  <c:v>325</c:v>
                </c:pt>
                <c:pt idx="448">
                  <c:v>325</c:v>
                </c:pt>
                <c:pt idx="449">
                  <c:v>136</c:v>
                </c:pt>
                <c:pt idx="450">
                  <c:v>136</c:v>
                </c:pt>
                <c:pt idx="451">
                  <c:v>136</c:v>
                </c:pt>
                <c:pt idx="452">
                  <c:v>173</c:v>
                </c:pt>
                <c:pt idx="453">
                  <c:v>173</c:v>
                </c:pt>
                <c:pt idx="454">
                  <c:v>173</c:v>
                </c:pt>
                <c:pt idx="455">
                  <c:v>250</c:v>
                </c:pt>
                <c:pt idx="456">
                  <c:v>255</c:v>
                </c:pt>
                <c:pt idx="457">
                  <c:v>255</c:v>
                </c:pt>
                <c:pt idx="458">
                  <c:v>1775</c:v>
                </c:pt>
                <c:pt idx="459">
                  <c:v>1775</c:v>
                </c:pt>
                <c:pt idx="460">
                  <c:v>1775</c:v>
                </c:pt>
                <c:pt idx="461">
                  <c:v>103</c:v>
                </c:pt>
                <c:pt idx="462">
                  <c:v>103</c:v>
                </c:pt>
                <c:pt idx="463">
                  <c:v>103</c:v>
                </c:pt>
                <c:pt idx="464">
                  <c:v>0</c:v>
                </c:pt>
                <c:pt idx="465">
                  <c:v>0</c:v>
                </c:pt>
                <c:pt idx="466">
                  <c:v>0</c:v>
                </c:pt>
                <c:pt idx="467">
                  <c:v>80</c:v>
                </c:pt>
                <c:pt idx="468">
                  <c:v>80</c:v>
                </c:pt>
                <c:pt idx="469">
                  <c:v>80</c:v>
                </c:pt>
                <c:pt idx="470">
                  <c:v>534</c:v>
                </c:pt>
                <c:pt idx="471">
                  <c:v>534</c:v>
                </c:pt>
                <c:pt idx="472">
                  <c:v>534</c:v>
                </c:pt>
                <c:pt idx="473">
                  <c:v>0</c:v>
                </c:pt>
                <c:pt idx="474">
                  <c:v>0</c:v>
                </c:pt>
                <c:pt idx="475">
                  <c:v>0</c:v>
                </c:pt>
                <c:pt idx="476">
                  <c:v>0</c:v>
                </c:pt>
                <c:pt idx="477">
                  <c:v>0</c:v>
                </c:pt>
                <c:pt idx="478">
                  <c:v>0</c:v>
                </c:pt>
                <c:pt idx="479">
                  <c:v>0</c:v>
                </c:pt>
                <c:pt idx="480">
                  <c:v>298</c:v>
                </c:pt>
                <c:pt idx="481">
                  <c:v>298</c:v>
                </c:pt>
                <c:pt idx="482">
                  <c:v>0</c:v>
                </c:pt>
                <c:pt idx="483">
                  <c:v>189</c:v>
                </c:pt>
                <c:pt idx="484">
                  <c:v>189</c:v>
                </c:pt>
                <c:pt idx="485">
                  <c:v>499</c:v>
                </c:pt>
                <c:pt idx="486">
                  <c:v>499</c:v>
                </c:pt>
                <c:pt idx="487">
                  <c:v>499</c:v>
                </c:pt>
                <c:pt idx="488">
                  <c:v>122</c:v>
                </c:pt>
                <c:pt idx="489">
                  <c:v>0</c:v>
                </c:pt>
                <c:pt idx="490">
                  <c:v>30</c:v>
                </c:pt>
                <c:pt idx="491">
                  <c:v>30</c:v>
                </c:pt>
                <c:pt idx="492">
                  <c:v>52</c:v>
                </c:pt>
                <c:pt idx="493">
                  <c:v>52</c:v>
                </c:pt>
                <c:pt idx="494">
                  <c:v>52</c:v>
                </c:pt>
                <c:pt idx="495">
                  <c:v>0</c:v>
                </c:pt>
                <c:pt idx="496">
                  <c:v>0</c:v>
                </c:pt>
                <c:pt idx="497">
                  <c:v>0</c:v>
                </c:pt>
                <c:pt idx="498">
                  <c:v>0</c:v>
                </c:pt>
                <c:pt idx="499">
                  <c:v>0</c:v>
                </c:pt>
                <c:pt idx="500">
                  <c:v>0</c:v>
                </c:pt>
                <c:pt idx="501">
                  <c:v>0</c:v>
                </c:pt>
                <c:pt idx="502">
                  <c:v>30</c:v>
                </c:pt>
                <c:pt idx="503">
                  <c:v>30</c:v>
                </c:pt>
                <c:pt idx="504">
                  <c:v>0</c:v>
                </c:pt>
                <c:pt idx="505">
                  <c:v>0</c:v>
                </c:pt>
                <c:pt idx="506">
                  <c:v>0</c:v>
                </c:pt>
                <c:pt idx="507">
                  <c:v>351</c:v>
                </c:pt>
                <c:pt idx="508">
                  <c:v>351</c:v>
                </c:pt>
                <c:pt idx="509">
                  <c:v>351</c:v>
                </c:pt>
                <c:pt idx="510">
                  <c:v>253</c:v>
                </c:pt>
                <c:pt idx="511">
                  <c:v>253</c:v>
                </c:pt>
                <c:pt idx="512">
                  <c:v>253</c:v>
                </c:pt>
                <c:pt idx="513">
                  <c:v>0</c:v>
                </c:pt>
                <c:pt idx="514">
                  <c:v>0</c:v>
                </c:pt>
                <c:pt idx="515">
                  <c:v>0</c:v>
                </c:pt>
                <c:pt idx="516">
                  <c:v>165</c:v>
                </c:pt>
                <c:pt idx="517">
                  <c:v>165</c:v>
                </c:pt>
                <c:pt idx="518">
                  <c:v>165</c:v>
                </c:pt>
                <c:pt idx="519">
                  <c:v>219</c:v>
                </c:pt>
                <c:pt idx="520">
                  <c:v>219</c:v>
                </c:pt>
                <c:pt idx="521">
                  <c:v>219</c:v>
                </c:pt>
                <c:pt idx="522">
                  <c:v>0</c:v>
                </c:pt>
                <c:pt idx="523">
                  <c:v>0</c:v>
                </c:pt>
                <c:pt idx="524">
                  <c:v>0</c:v>
                </c:pt>
                <c:pt idx="525">
                  <c:v>0</c:v>
                </c:pt>
                <c:pt idx="526">
                  <c:v>0</c:v>
                </c:pt>
                <c:pt idx="527">
                  <c:v>0</c:v>
                </c:pt>
                <c:pt idx="528">
                  <c:v>0</c:v>
                </c:pt>
                <c:pt idx="529">
                  <c:v>0</c:v>
                </c:pt>
                <c:pt idx="530">
                  <c:v>0</c:v>
                </c:pt>
                <c:pt idx="531">
                  <c:v>724</c:v>
                </c:pt>
                <c:pt idx="532">
                  <c:v>724</c:v>
                </c:pt>
                <c:pt idx="533">
                  <c:v>724</c:v>
                </c:pt>
                <c:pt idx="534">
                  <c:v>183</c:v>
                </c:pt>
                <c:pt idx="535">
                  <c:v>183</c:v>
                </c:pt>
                <c:pt idx="536">
                  <c:v>183</c:v>
                </c:pt>
                <c:pt idx="537">
                  <c:v>356</c:v>
                </c:pt>
                <c:pt idx="538">
                  <c:v>356</c:v>
                </c:pt>
                <c:pt idx="539">
                  <c:v>356</c:v>
                </c:pt>
                <c:pt idx="540">
                  <c:v>0</c:v>
                </c:pt>
                <c:pt idx="541">
                  <c:v>0</c:v>
                </c:pt>
                <c:pt idx="542">
                  <c:v>0</c:v>
                </c:pt>
                <c:pt idx="543">
                  <c:v>172</c:v>
                </c:pt>
                <c:pt idx="544">
                  <c:v>172</c:v>
                </c:pt>
                <c:pt idx="545">
                  <c:v>172</c:v>
                </c:pt>
                <c:pt idx="546">
                  <c:v>3000</c:v>
                </c:pt>
                <c:pt idx="547">
                  <c:v>6225</c:v>
                </c:pt>
                <c:pt idx="548">
                  <c:v>6501</c:v>
                </c:pt>
                <c:pt idx="549">
                  <c:v>0</c:v>
                </c:pt>
                <c:pt idx="550">
                  <c:v>0</c:v>
                </c:pt>
                <c:pt idx="551">
                  <c:v>709</c:v>
                </c:pt>
                <c:pt idx="552">
                  <c:v>0</c:v>
                </c:pt>
                <c:pt idx="553">
                  <c:v>0</c:v>
                </c:pt>
                <c:pt idx="554">
                  <c:v>2550</c:v>
                </c:pt>
                <c:pt idx="555">
                  <c:v>0</c:v>
                </c:pt>
                <c:pt idx="556">
                  <c:v>67</c:v>
                </c:pt>
                <c:pt idx="557">
                  <c:v>67</c:v>
                </c:pt>
                <c:pt idx="558">
                  <c:v>67</c:v>
                </c:pt>
                <c:pt idx="559">
                  <c:v>500</c:v>
                </c:pt>
                <c:pt idx="560">
                  <c:v>1035</c:v>
                </c:pt>
                <c:pt idx="561">
                  <c:v>1077</c:v>
                </c:pt>
                <c:pt idx="562">
                  <c:v>0</c:v>
                </c:pt>
                <c:pt idx="563">
                  <c:v>0</c:v>
                </c:pt>
                <c:pt idx="564">
                  <c:v>0</c:v>
                </c:pt>
                <c:pt idx="565">
                  <c:v>0</c:v>
                </c:pt>
                <c:pt idx="566">
                  <c:v>0</c:v>
                </c:pt>
                <c:pt idx="567">
                  <c:v>0</c:v>
                </c:pt>
                <c:pt idx="568">
                  <c:v>93</c:v>
                </c:pt>
                <c:pt idx="569">
                  <c:v>120</c:v>
                </c:pt>
                <c:pt idx="570">
                  <c:v>120</c:v>
                </c:pt>
                <c:pt idx="571">
                  <c:v>0</c:v>
                </c:pt>
                <c:pt idx="572">
                  <c:v>95</c:v>
                </c:pt>
                <c:pt idx="573">
                  <c:v>95</c:v>
                </c:pt>
                <c:pt idx="574">
                  <c:v>0</c:v>
                </c:pt>
                <c:pt idx="575">
                  <c:v>0</c:v>
                </c:pt>
                <c:pt idx="576">
                  <c:v>0</c:v>
                </c:pt>
                <c:pt idx="577">
                  <c:v>0</c:v>
                </c:pt>
                <c:pt idx="578">
                  <c:v>0</c:v>
                </c:pt>
                <c:pt idx="579">
                  <c:v>0</c:v>
                </c:pt>
                <c:pt idx="580">
                  <c:v>0</c:v>
                </c:pt>
                <c:pt idx="581">
                  <c:v>0</c:v>
                </c:pt>
                <c:pt idx="582">
                  <c:v>0</c:v>
                </c:pt>
                <c:pt idx="583">
                  <c:v>0</c:v>
                </c:pt>
                <c:pt idx="584">
                  <c:v>0</c:v>
                </c:pt>
                <c:pt idx="585">
                  <c:v>0</c:v>
                </c:pt>
                <c:pt idx="586">
                  <c:v>30</c:v>
                </c:pt>
                <c:pt idx="587">
                  <c:v>30</c:v>
                </c:pt>
                <c:pt idx="588">
                  <c:v>161</c:v>
                </c:pt>
                <c:pt idx="589">
                  <c:v>197</c:v>
                </c:pt>
                <c:pt idx="590">
                  <c:v>197</c:v>
                </c:pt>
                <c:pt idx="591">
                  <c:v>0</c:v>
                </c:pt>
                <c:pt idx="592">
                  <c:v>0</c:v>
                </c:pt>
                <c:pt idx="593">
                  <c:v>0</c:v>
                </c:pt>
                <c:pt idx="594">
                  <c:v>0</c:v>
                </c:pt>
                <c:pt idx="595">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Dashboard'!$L$5:$M$804</c:f>
              <c:multiLvlStrCache>
                <c:ptCount val="596"/>
                <c:lvl>
                  <c:pt idx="0">
                    <c:v>2020_Q1</c:v>
                  </c:pt>
                  <c:pt idx="1">
                    <c:v>2020_Q2</c:v>
                  </c:pt>
                  <c:pt idx="2">
                    <c:v>2020_Q3</c:v>
                  </c:pt>
                  <c:pt idx="3">
                    <c:v>2020_Q1</c:v>
                  </c:pt>
                  <c:pt idx="4">
                    <c:v>2020_Q2</c:v>
                  </c:pt>
                  <c:pt idx="5">
                    <c:v>2020_Q3</c:v>
                  </c:pt>
                  <c:pt idx="6">
                    <c:v>2020_Q1</c:v>
                  </c:pt>
                  <c:pt idx="7">
                    <c:v>2020_Q2</c:v>
                  </c:pt>
                  <c:pt idx="8">
                    <c:v>2020_Q3</c:v>
                  </c:pt>
                  <c:pt idx="9">
                    <c:v>2020_Q1</c:v>
                  </c:pt>
                  <c:pt idx="10">
                    <c:v>2020_Q2</c:v>
                  </c:pt>
                  <c:pt idx="11">
                    <c:v>2020_Q3</c:v>
                  </c:pt>
                  <c:pt idx="12">
                    <c:v>2020_Q1</c:v>
                  </c:pt>
                  <c:pt idx="13">
                    <c:v>2020_Q2</c:v>
                  </c:pt>
                  <c:pt idx="14">
                    <c:v>2020_Q3</c:v>
                  </c:pt>
                  <c:pt idx="15">
                    <c:v>2020_Q1</c:v>
                  </c:pt>
                  <c:pt idx="16">
                    <c:v>2020_Q2</c:v>
                  </c:pt>
                  <c:pt idx="17">
                    <c:v>2020_Q3</c:v>
                  </c:pt>
                  <c:pt idx="18">
                    <c:v>2020_Q1</c:v>
                  </c:pt>
                  <c:pt idx="19">
                    <c:v>2020_Q2</c:v>
                  </c:pt>
                  <c:pt idx="20">
                    <c:v>2020_Q3</c:v>
                  </c:pt>
                  <c:pt idx="21">
                    <c:v>2020_Q1</c:v>
                  </c:pt>
                  <c:pt idx="22">
                    <c:v>2020_Q2</c:v>
                  </c:pt>
                  <c:pt idx="23">
                    <c:v>2020_Q3</c:v>
                  </c:pt>
                  <c:pt idx="24">
                    <c:v>2020_Q1</c:v>
                  </c:pt>
                  <c:pt idx="25">
                    <c:v>2020_Q2</c:v>
                  </c:pt>
                  <c:pt idx="26">
                    <c:v>2020_Q3</c:v>
                  </c:pt>
                  <c:pt idx="27">
                    <c:v>2020_Q1</c:v>
                  </c:pt>
                  <c:pt idx="28">
                    <c:v>2020_Q2</c:v>
                  </c:pt>
                  <c:pt idx="29">
                    <c:v>2020_Q3</c:v>
                  </c:pt>
                  <c:pt idx="30">
                    <c:v>2020_Q1</c:v>
                  </c:pt>
                  <c:pt idx="31">
                    <c:v>2020_Q2</c:v>
                  </c:pt>
                  <c:pt idx="32">
                    <c:v>2020_Q3</c:v>
                  </c:pt>
                  <c:pt idx="33">
                    <c:v>2020_Q1</c:v>
                  </c:pt>
                  <c:pt idx="34">
                    <c:v>2020_Q2</c:v>
                  </c:pt>
                  <c:pt idx="35">
                    <c:v>2020_Q3</c:v>
                  </c:pt>
                  <c:pt idx="36">
                    <c:v>2020_Q1</c:v>
                  </c:pt>
                  <c:pt idx="37">
                    <c:v>2020_Q2</c:v>
                  </c:pt>
                  <c:pt idx="38">
                    <c:v>2020_Q3</c:v>
                  </c:pt>
                  <c:pt idx="39">
                    <c:v>2020_Q1</c:v>
                  </c:pt>
                  <c:pt idx="40">
                    <c:v>2020_Q2</c:v>
                  </c:pt>
                  <c:pt idx="41">
                    <c:v>2020_Q3</c:v>
                  </c:pt>
                  <c:pt idx="42">
                    <c:v>2020_Q1</c:v>
                  </c:pt>
                  <c:pt idx="43">
                    <c:v>2020_Q2</c:v>
                  </c:pt>
                  <c:pt idx="44">
                    <c:v>2020_Q3</c:v>
                  </c:pt>
                  <c:pt idx="45">
                    <c:v>2020_Q1</c:v>
                  </c:pt>
                  <c:pt idx="46">
                    <c:v>2020_Q2</c:v>
                  </c:pt>
                  <c:pt idx="47">
                    <c:v>2020_Q3</c:v>
                  </c:pt>
                  <c:pt idx="48">
                    <c:v>2020_Q1</c:v>
                  </c:pt>
                  <c:pt idx="49">
                    <c:v>2020_Q2</c:v>
                  </c:pt>
                  <c:pt idx="50">
                    <c:v>2020_Q3</c:v>
                  </c:pt>
                  <c:pt idx="51">
                    <c:v>2020_Q1</c:v>
                  </c:pt>
                  <c:pt idx="52">
                    <c:v>2020_Q2</c:v>
                  </c:pt>
                  <c:pt idx="53">
                    <c:v>2020_Q3</c:v>
                  </c:pt>
                  <c:pt idx="54">
                    <c:v>2020_Q1</c:v>
                  </c:pt>
                  <c:pt idx="55">
                    <c:v>2020_Q2</c:v>
                  </c:pt>
                  <c:pt idx="56">
                    <c:v>2020_Q3</c:v>
                  </c:pt>
                  <c:pt idx="57">
                    <c:v>2020_Q1</c:v>
                  </c:pt>
                  <c:pt idx="58">
                    <c:v>2020_Q2</c:v>
                  </c:pt>
                  <c:pt idx="59">
                    <c:v>2020_Q3</c:v>
                  </c:pt>
                  <c:pt idx="60">
                    <c:v>2020_Q1</c:v>
                  </c:pt>
                  <c:pt idx="61">
                    <c:v>2020_Q2</c:v>
                  </c:pt>
                  <c:pt idx="62">
                    <c:v>2020_Q3</c:v>
                  </c:pt>
                  <c:pt idx="63">
                    <c:v>2020_Q1</c:v>
                  </c:pt>
                  <c:pt idx="64">
                    <c:v>2020_Q2</c:v>
                  </c:pt>
                  <c:pt idx="65">
                    <c:v>2020_Q3</c:v>
                  </c:pt>
                  <c:pt idx="66">
                    <c:v>2020_Q1</c:v>
                  </c:pt>
                  <c:pt idx="67">
                    <c:v>2020_Q2</c:v>
                  </c:pt>
                  <c:pt idx="68">
                    <c:v>2020_Q3</c:v>
                  </c:pt>
                  <c:pt idx="69">
                    <c:v>2020_Q1</c:v>
                  </c:pt>
                  <c:pt idx="70">
                    <c:v>2020_Q2</c:v>
                  </c:pt>
                  <c:pt idx="71">
                    <c:v>2020_Q3</c:v>
                  </c:pt>
                  <c:pt idx="72">
                    <c:v>2020_Q1</c:v>
                  </c:pt>
                  <c:pt idx="73">
                    <c:v>2020_Q2</c:v>
                  </c:pt>
                  <c:pt idx="74">
                    <c:v>2020_Q3</c:v>
                  </c:pt>
                  <c:pt idx="75">
                    <c:v>2020_Q1</c:v>
                  </c:pt>
                  <c:pt idx="76">
                    <c:v>2020_Q2</c:v>
                  </c:pt>
                  <c:pt idx="77">
                    <c:v>2020_Q3</c:v>
                  </c:pt>
                  <c:pt idx="78">
                    <c:v>2020_Q1</c:v>
                  </c:pt>
                  <c:pt idx="79">
                    <c:v>2020_Q2</c:v>
                  </c:pt>
                  <c:pt idx="80">
                    <c:v>2020_Q3</c:v>
                  </c:pt>
                  <c:pt idx="81">
                    <c:v>2020_Q1</c:v>
                  </c:pt>
                  <c:pt idx="82">
                    <c:v>2020_Q2</c:v>
                  </c:pt>
                  <c:pt idx="83">
                    <c:v>2020_Q3</c:v>
                  </c:pt>
                  <c:pt idx="84">
                    <c:v>2020_Q1</c:v>
                  </c:pt>
                  <c:pt idx="85">
                    <c:v>2020_Q2</c:v>
                  </c:pt>
                  <c:pt idx="86">
                    <c:v>2020_Q3</c:v>
                  </c:pt>
                  <c:pt idx="87">
                    <c:v>2020_Q1</c:v>
                  </c:pt>
                  <c:pt idx="88">
                    <c:v>2020_Q2</c:v>
                  </c:pt>
                  <c:pt idx="89">
                    <c:v>2020_Q3</c:v>
                  </c:pt>
                  <c:pt idx="90">
                    <c:v>2020_Q1</c:v>
                  </c:pt>
                  <c:pt idx="91">
                    <c:v>2020_Q2</c:v>
                  </c:pt>
                  <c:pt idx="92">
                    <c:v>2020_Q3</c:v>
                  </c:pt>
                  <c:pt idx="93">
                    <c:v>2020_Q1</c:v>
                  </c:pt>
                  <c:pt idx="94">
                    <c:v>2020_Q2</c:v>
                  </c:pt>
                  <c:pt idx="95">
                    <c:v>2020_Q3</c:v>
                  </c:pt>
                  <c:pt idx="96">
                    <c:v>2020_Q1</c:v>
                  </c:pt>
                  <c:pt idx="97">
                    <c:v>2020_Q2</c:v>
                  </c:pt>
                  <c:pt idx="98">
                    <c:v>2020_Q3</c:v>
                  </c:pt>
                  <c:pt idx="99">
                    <c:v>2020_Q1</c:v>
                  </c:pt>
                  <c:pt idx="100">
                    <c:v>2020_Q2</c:v>
                  </c:pt>
                  <c:pt idx="101">
                    <c:v>2020_Q3</c:v>
                  </c:pt>
                  <c:pt idx="102">
                    <c:v>2020_Q1</c:v>
                  </c:pt>
                  <c:pt idx="103">
                    <c:v>2020_Q2</c:v>
                  </c:pt>
                  <c:pt idx="104">
                    <c:v>2020_Q3</c:v>
                  </c:pt>
                  <c:pt idx="105">
                    <c:v>2020_Q1</c:v>
                  </c:pt>
                  <c:pt idx="106">
                    <c:v>2020_Q2</c:v>
                  </c:pt>
                  <c:pt idx="107">
                    <c:v>2020_Q3</c:v>
                  </c:pt>
                  <c:pt idx="108">
                    <c:v>2020_Q1</c:v>
                  </c:pt>
                  <c:pt idx="109">
                    <c:v>2020_Q2</c:v>
                  </c:pt>
                  <c:pt idx="110">
                    <c:v>2020_Q3</c:v>
                  </c:pt>
                  <c:pt idx="111">
                    <c:v>2020_Q1</c:v>
                  </c:pt>
                  <c:pt idx="112">
                    <c:v>2020_Q2</c:v>
                  </c:pt>
                  <c:pt idx="113">
                    <c:v>2020_Q3</c:v>
                  </c:pt>
                  <c:pt idx="114">
                    <c:v>2020_Q1</c:v>
                  </c:pt>
                  <c:pt idx="115">
                    <c:v>2020_Q2</c:v>
                  </c:pt>
                  <c:pt idx="116">
                    <c:v>2020_Q3</c:v>
                  </c:pt>
                  <c:pt idx="117">
                    <c:v>2020_Q1</c:v>
                  </c:pt>
                  <c:pt idx="118">
                    <c:v>2020_Q2</c:v>
                  </c:pt>
                  <c:pt idx="119">
                    <c:v>2020_Q3</c:v>
                  </c:pt>
                  <c:pt idx="120">
                    <c:v>2020_Q1</c:v>
                  </c:pt>
                  <c:pt idx="121">
                    <c:v>2020_Q2</c:v>
                  </c:pt>
                  <c:pt idx="122">
                    <c:v>2020_Q3</c:v>
                  </c:pt>
                  <c:pt idx="123">
                    <c:v>2020_Q1</c:v>
                  </c:pt>
                  <c:pt idx="124">
                    <c:v>2020_Q2</c:v>
                  </c:pt>
                  <c:pt idx="125">
                    <c:v>2020_Q3</c:v>
                  </c:pt>
                  <c:pt idx="126">
                    <c:v>2020_Q1</c:v>
                  </c:pt>
                  <c:pt idx="127">
                    <c:v>2020_Q2</c:v>
                  </c:pt>
                  <c:pt idx="128">
                    <c:v>2020_Q3</c:v>
                  </c:pt>
                  <c:pt idx="129">
                    <c:v>2020_Q1</c:v>
                  </c:pt>
                  <c:pt idx="130">
                    <c:v>2020_Q2</c:v>
                  </c:pt>
                  <c:pt idx="131">
                    <c:v>2020_Q3</c:v>
                  </c:pt>
                  <c:pt idx="132">
                    <c:v>2020_Q1</c:v>
                  </c:pt>
                  <c:pt idx="133">
                    <c:v>2020_Q2</c:v>
                  </c:pt>
                  <c:pt idx="134">
                    <c:v>2020_Q3</c:v>
                  </c:pt>
                  <c:pt idx="135">
                    <c:v>2020_Q1</c:v>
                  </c:pt>
                  <c:pt idx="136">
                    <c:v>2020_Q2</c:v>
                  </c:pt>
                  <c:pt idx="137">
                    <c:v>2020_Q3</c:v>
                  </c:pt>
                  <c:pt idx="138">
                    <c:v>2020_Q1</c:v>
                  </c:pt>
                  <c:pt idx="139">
                    <c:v>2020_Q2</c:v>
                  </c:pt>
                  <c:pt idx="140">
                    <c:v>2020_Q3</c:v>
                  </c:pt>
                  <c:pt idx="141">
                    <c:v>2020_Q1</c:v>
                  </c:pt>
                  <c:pt idx="142">
                    <c:v>2020_Q2</c:v>
                  </c:pt>
                  <c:pt idx="143">
                    <c:v>2020_Q3</c:v>
                  </c:pt>
                  <c:pt idx="144">
                    <c:v>2020_Q1</c:v>
                  </c:pt>
                  <c:pt idx="145">
                    <c:v>2020_Q2</c:v>
                  </c:pt>
                  <c:pt idx="146">
                    <c:v>2020_Q3</c:v>
                  </c:pt>
                  <c:pt idx="147">
                    <c:v>2020_Q1</c:v>
                  </c:pt>
                  <c:pt idx="148">
                    <c:v>2020_Q2</c:v>
                  </c:pt>
                  <c:pt idx="149">
                    <c:v>2020_Q3</c:v>
                  </c:pt>
                  <c:pt idx="150">
                    <c:v>2020_Q1</c:v>
                  </c:pt>
                  <c:pt idx="151">
                    <c:v>2020_Q2</c:v>
                  </c:pt>
                  <c:pt idx="152">
                    <c:v>2020_Q3</c:v>
                  </c:pt>
                  <c:pt idx="153">
                    <c:v>2020_Q1</c:v>
                  </c:pt>
                  <c:pt idx="154">
                    <c:v>2020_Q2</c:v>
                  </c:pt>
                  <c:pt idx="155">
                    <c:v>2020_Q3</c:v>
                  </c:pt>
                  <c:pt idx="156">
                    <c:v>2020_Q1</c:v>
                  </c:pt>
                  <c:pt idx="157">
                    <c:v>2020_Q2</c:v>
                  </c:pt>
                  <c:pt idx="158">
                    <c:v>2020_Q3</c:v>
                  </c:pt>
                  <c:pt idx="159">
                    <c:v>2020_Q1</c:v>
                  </c:pt>
                  <c:pt idx="160">
                    <c:v>2020_Q2</c:v>
                  </c:pt>
                  <c:pt idx="161">
                    <c:v>2020_Q3</c:v>
                  </c:pt>
                  <c:pt idx="162">
                    <c:v>2020_Q1</c:v>
                  </c:pt>
                  <c:pt idx="163">
                    <c:v>2020_Q2</c:v>
                  </c:pt>
                  <c:pt idx="164">
                    <c:v>2020_Q3</c:v>
                  </c:pt>
                  <c:pt idx="165">
                    <c:v>2020_Q1</c:v>
                  </c:pt>
                  <c:pt idx="166">
                    <c:v>2020_Q2</c:v>
                  </c:pt>
                  <c:pt idx="167">
                    <c:v>2020_Q3</c:v>
                  </c:pt>
                  <c:pt idx="168">
                    <c:v>2020_Q1</c:v>
                  </c:pt>
                  <c:pt idx="169">
                    <c:v>2020_Q2</c:v>
                  </c:pt>
                  <c:pt idx="170">
                    <c:v>2020_Q3</c:v>
                  </c:pt>
                  <c:pt idx="171">
                    <c:v>2020_Q1</c:v>
                  </c:pt>
                  <c:pt idx="172">
                    <c:v>2020_Q2</c:v>
                  </c:pt>
                  <c:pt idx="173">
                    <c:v>2020_Q3</c:v>
                  </c:pt>
                  <c:pt idx="174">
                    <c:v>2020_Q1</c:v>
                  </c:pt>
                  <c:pt idx="175">
                    <c:v>2020_Q2</c:v>
                  </c:pt>
                  <c:pt idx="176">
                    <c:v>2020_Q3</c:v>
                  </c:pt>
                  <c:pt idx="177">
                    <c:v>2020_Q1</c:v>
                  </c:pt>
                  <c:pt idx="178">
                    <c:v>2020_Q2</c:v>
                  </c:pt>
                  <c:pt idx="179">
                    <c:v>2020_Q3</c:v>
                  </c:pt>
                  <c:pt idx="180">
                    <c:v>2020_Q1</c:v>
                  </c:pt>
                  <c:pt idx="181">
                    <c:v>2020_Q2</c:v>
                  </c:pt>
                  <c:pt idx="182">
                    <c:v>2020_Q3</c:v>
                  </c:pt>
                  <c:pt idx="183">
                    <c:v>2020_Q1</c:v>
                  </c:pt>
                  <c:pt idx="184">
                    <c:v>2020_Q2</c:v>
                  </c:pt>
                  <c:pt idx="185">
                    <c:v>2020_Q3</c:v>
                  </c:pt>
                  <c:pt idx="186">
                    <c:v>2020_Q1</c:v>
                  </c:pt>
                  <c:pt idx="187">
                    <c:v>2020_Q2</c:v>
                  </c:pt>
                  <c:pt idx="188">
                    <c:v>2020_Q3</c:v>
                  </c:pt>
                  <c:pt idx="189">
                    <c:v>2020_Q1</c:v>
                  </c:pt>
                  <c:pt idx="190">
                    <c:v>2020_Q2</c:v>
                  </c:pt>
                  <c:pt idx="191">
                    <c:v>2020_Q3</c:v>
                  </c:pt>
                  <c:pt idx="192">
                    <c:v>2020_Q1</c:v>
                  </c:pt>
                  <c:pt idx="193">
                    <c:v>2020_Q2</c:v>
                  </c:pt>
                  <c:pt idx="194">
                    <c:v>2020_Q3</c:v>
                  </c:pt>
                  <c:pt idx="195">
                    <c:v>2020_Q1</c:v>
                  </c:pt>
                  <c:pt idx="196">
                    <c:v>2020_Q2</c:v>
                  </c:pt>
                  <c:pt idx="197">
                    <c:v>2020_Q3</c:v>
                  </c:pt>
                  <c:pt idx="198">
                    <c:v>2020_Q1</c:v>
                  </c:pt>
                  <c:pt idx="199">
                    <c:v>2020_Q2</c:v>
                  </c:pt>
                  <c:pt idx="200">
                    <c:v>2020_Q3</c:v>
                  </c:pt>
                  <c:pt idx="201">
                    <c:v>2020_Q1</c:v>
                  </c:pt>
                  <c:pt idx="202">
                    <c:v>2020_Q2</c:v>
                  </c:pt>
                  <c:pt idx="203">
                    <c:v>2020_Q3</c:v>
                  </c:pt>
                  <c:pt idx="204">
                    <c:v>2020_Q1</c:v>
                  </c:pt>
                  <c:pt idx="205">
                    <c:v>2020_Q2</c:v>
                  </c:pt>
                  <c:pt idx="206">
                    <c:v>2020_Q3</c:v>
                  </c:pt>
                  <c:pt idx="207">
                    <c:v>2020_Q1</c:v>
                  </c:pt>
                  <c:pt idx="208">
                    <c:v>2020_Q2</c:v>
                  </c:pt>
                  <c:pt idx="209">
                    <c:v>2020_Q3</c:v>
                  </c:pt>
                  <c:pt idx="210">
                    <c:v>2020_Q1</c:v>
                  </c:pt>
                  <c:pt idx="211">
                    <c:v>2020_Q2</c:v>
                  </c:pt>
                  <c:pt idx="212">
                    <c:v>2020_Q3</c:v>
                  </c:pt>
                  <c:pt idx="213">
                    <c:v>2020_Q1</c:v>
                  </c:pt>
                  <c:pt idx="214">
                    <c:v>2020_Q2</c:v>
                  </c:pt>
                  <c:pt idx="215">
                    <c:v>2020_Q3</c:v>
                  </c:pt>
                  <c:pt idx="216">
                    <c:v>2020_Q1</c:v>
                  </c:pt>
                  <c:pt idx="217">
                    <c:v>2020_Q2</c:v>
                  </c:pt>
                  <c:pt idx="218">
                    <c:v>2020_Q3</c:v>
                  </c:pt>
                  <c:pt idx="219">
                    <c:v>2020_Q1</c:v>
                  </c:pt>
                  <c:pt idx="220">
                    <c:v>2020_Q2</c:v>
                  </c:pt>
                  <c:pt idx="221">
                    <c:v>2020_Q3</c:v>
                  </c:pt>
                  <c:pt idx="222">
                    <c:v>2020_Q1</c:v>
                  </c:pt>
                  <c:pt idx="223">
                    <c:v>2020_Q2</c:v>
                  </c:pt>
                  <c:pt idx="224">
                    <c:v>2020_Q3</c:v>
                  </c:pt>
                  <c:pt idx="225">
                    <c:v>2020_Q1</c:v>
                  </c:pt>
                  <c:pt idx="226">
                    <c:v>2020_Q2</c:v>
                  </c:pt>
                  <c:pt idx="227">
                    <c:v>2020_Q3</c:v>
                  </c:pt>
                  <c:pt idx="228">
                    <c:v>2020_Q1</c:v>
                  </c:pt>
                  <c:pt idx="229">
                    <c:v>2020_Q2</c:v>
                  </c:pt>
                  <c:pt idx="230">
                    <c:v>2020_Q3</c:v>
                  </c:pt>
                  <c:pt idx="231">
                    <c:v>2020_Q1</c:v>
                  </c:pt>
                  <c:pt idx="232">
                    <c:v>2020_Q2</c:v>
                  </c:pt>
                  <c:pt idx="233">
                    <c:v>2020_Q3</c:v>
                  </c:pt>
                  <c:pt idx="234">
                    <c:v>2020_Q1</c:v>
                  </c:pt>
                  <c:pt idx="235">
                    <c:v>2020_Q2</c:v>
                  </c:pt>
                  <c:pt idx="236">
                    <c:v>2020_Q3</c:v>
                  </c:pt>
                  <c:pt idx="237">
                    <c:v>2020_Q1</c:v>
                  </c:pt>
                  <c:pt idx="238">
                    <c:v>2020_Q2</c:v>
                  </c:pt>
                  <c:pt idx="239">
                    <c:v>2020_Q3</c:v>
                  </c:pt>
                  <c:pt idx="240">
                    <c:v>2020_Q1</c:v>
                  </c:pt>
                  <c:pt idx="241">
                    <c:v>2020_Q2</c:v>
                  </c:pt>
                  <c:pt idx="242">
                    <c:v>2020_Q3</c:v>
                  </c:pt>
                  <c:pt idx="243">
                    <c:v>2020_Q1</c:v>
                  </c:pt>
                  <c:pt idx="244">
                    <c:v>2020_Q2</c:v>
                  </c:pt>
                  <c:pt idx="245">
                    <c:v>2020_Q3</c:v>
                  </c:pt>
                  <c:pt idx="246">
                    <c:v>2020_Q1</c:v>
                  </c:pt>
                  <c:pt idx="247">
                    <c:v>2020_Q2</c:v>
                  </c:pt>
                  <c:pt idx="248">
                    <c:v>2020_Q3</c:v>
                  </c:pt>
                  <c:pt idx="249">
                    <c:v>2020_Q1</c:v>
                  </c:pt>
                  <c:pt idx="250">
                    <c:v>2020_Q2</c:v>
                  </c:pt>
                  <c:pt idx="251">
                    <c:v>2020_Q3</c:v>
                  </c:pt>
                  <c:pt idx="252">
                    <c:v>2020_Q1</c:v>
                  </c:pt>
                  <c:pt idx="253">
                    <c:v>2020_Q2</c:v>
                  </c:pt>
                  <c:pt idx="254">
                    <c:v>2020_Q3</c:v>
                  </c:pt>
                  <c:pt idx="255">
                    <c:v>2020_Q1</c:v>
                  </c:pt>
                  <c:pt idx="256">
                    <c:v>2020_Q2</c:v>
                  </c:pt>
                  <c:pt idx="257">
                    <c:v>2020_Q3</c:v>
                  </c:pt>
                  <c:pt idx="258">
                    <c:v>2020_Q1</c:v>
                  </c:pt>
                  <c:pt idx="259">
                    <c:v>2020_Q2</c:v>
                  </c:pt>
                  <c:pt idx="260">
                    <c:v>2020_Q3</c:v>
                  </c:pt>
                  <c:pt idx="261">
                    <c:v>2020_Q1</c:v>
                  </c:pt>
                  <c:pt idx="262">
                    <c:v>2020_Q2</c:v>
                  </c:pt>
                  <c:pt idx="263">
                    <c:v>2020_Q3</c:v>
                  </c:pt>
                  <c:pt idx="264">
                    <c:v>2020_Q1</c:v>
                  </c:pt>
                  <c:pt idx="265">
                    <c:v>2020_Q2</c:v>
                  </c:pt>
                  <c:pt idx="266">
                    <c:v>2020_Q3</c:v>
                  </c:pt>
                  <c:pt idx="267">
                    <c:v>2020_Q1</c:v>
                  </c:pt>
                  <c:pt idx="268">
                    <c:v>2020_Q1</c:v>
                  </c:pt>
                  <c:pt idx="269">
                    <c:v>2020_Q2</c:v>
                  </c:pt>
                  <c:pt idx="270">
                    <c:v>2020_Q3</c:v>
                  </c:pt>
                  <c:pt idx="271">
                    <c:v>2020_Q1</c:v>
                  </c:pt>
                  <c:pt idx="272">
                    <c:v>2020_Q2</c:v>
                  </c:pt>
                  <c:pt idx="273">
                    <c:v>2020_Q3</c:v>
                  </c:pt>
                  <c:pt idx="274">
                    <c:v>2020_Q1</c:v>
                  </c:pt>
                  <c:pt idx="275">
                    <c:v>2020_Q2</c:v>
                  </c:pt>
                  <c:pt idx="276">
                    <c:v>2020_Q3</c:v>
                  </c:pt>
                  <c:pt idx="277">
                    <c:v>2020_Q1</c:v>
                  </c:pt>
                  <c:pt idx="278">
                    <c:v>2020_Q2</c:v>
                  </c:pt>
                  <c:pt idx="279">
                    <c:v>2020_Q3</c:v>
                  </c:pt>
                  <c:pt idx="280">
                    <c:v>2020_Q1</c:v>
                  </c:pt>
                  <c:pt idx="281">
                    <c:v>2020_Q2</c:v>
                  </c:pt>
                  <c:pt idx="282">
                    <c:v>2020_Q3</c:v>
                  </c:pt>
                  <c:pt idx="283">
                    <c:v>2020_Q1</c:v>
                  </c:pt>
                  <c:pt idx="284">
                    <c:v>2020_Q2</c:v>
                  </c:pt>
                  <c:pt idx="285">
                    <c:v>2020_Q3</c:v>
                  </c:pt>
                  <c:pt idx="286">
                    <c:v>2020_Q1</c:v>
                  </c:pt>
                  <c:pt idx="287">
                    <c:v>2020_Q2</c:v>
                  </c:pt>
                  <c:pt idx="288">
                    <c:v>2020_Q3</c:v>
                  </c:pt>
                  <c:pt idx="289">
                    <c:v>2020_Q1</c:v>
                  </c:pt>
                  <c:pt idx="290">
                    <c:v>2020_Q2</c:v>
                  </c:pt>
                  <c:pt idx="291">
                    <c:v>2020_Q3</c:v>
                  </c:pt>
                  <c:pt idx="292">
                    <c:v>2020_Q1</c:v>
                  </c:pt>
                  <c:pt idx="293">
                    <c:v>2020_Q2</c:v>
                  </c:pt>
                  <c:pt idx="294">
                    <c:v>2020_Q3</c:v>
                  </c:pt>
                  <c:pt idx="295">
                    <c:v>2020_Q1</c:v>
                  </c:pt>
                  <c:pt idx="296">
                    <c:v>2020_Q2</c:v>
                  </c:pt>
                  <c:pt idx="297">
                    <c:v>2020_Q3</c:v>
                  </c:pt>
                  <c:pt idx="298">
                    <c:v>2020_Q1</c:v>
                  </c:pt>
                  <c:pt idx="299">
                    <c:v>2020_Q2</c:v>
                  </c:pt>
                  <c:pt idx="300">
                    <c:v>2020_Q3</c:v>
                  </c:pt>
                  <c:pt idx="301">
                    <c:v>2020_Q1</c:v>
                  </c:pt>
                  <c:pt idx="302">
                    <c:v>2020_Q2</c:v>
                  </c:pt>
                  <c:pt idx="303">
                    <c:v>2020_Q3</c:v>
                  </c:pt>
                  <c:pt idx="304">
                    <c:v>2020_Q1</c:v>
                  </c:pt>
                  <c:pt idx="305">
                    <c:v>2020_Q2</c:v>
                  </c:pt>
                  <c:pt idx="306">
                    <c:v>2020_Q3</c:v>
                  </c:pt>
                  <c:pt idx="307">
                    <c:v>2020_Q1</c:v>
                  </c:pt>
                  <c:pt idx="308">
                    <c:v>2020_Q2</c:v>
                  </c:pt>
                  <c:pt idx="309">
                    <c:v>2020_Q3</c:v>
                  </c:pt>
                  <c:pt idx="310">
                    <c:v>2020_Q1</c:v>
                  </c:pt>
                  <c:pt idx="311">
                    <c:v>2020_Q2</c:v>
                  </c:pt>
                  <c:pt idx="312">
                    <c:v>2020_Q3</c:v>
                  </c:pt>
                  <c:pt idx="313">
                    <c:v>2020_Q1</c:v>
                  </c:pt>
                  <c:pt idx="314">
                    <c:v>2020_Q2</c:v>
                  </c:pt>
                  <c:pt idx="315">
                    <c:v>2020_Q3</c:v>
                  </c:pt>
                  <c:pt idx="316">
                    <c:v>2020_Q1</c:v>
                  </c:pt>
                  <c:pt idx="317">
                    <c:v>2020_Q2</c:v>
                  </c:pt>
                  <c:pt idx="318">
                    <c:v>2020_Q3</c:v>
                  </c:pt>
                  <c:pt idx="319">
                    <c:v>2020_Q1</c:v>
                  </c:pt>
                  <c:pt idx="320">
                    <c:v>2020_Q2</c:v>
                  </c:pt>
                  <c:pt idx="321">
                    <c:v>2020_Q3</c:v>
                  </c:pt>
                  <c:pt idx="322">
                    <c:v>2020_Q1</c:v>
                  </c:pt>
                  <c:pt idx="323">
                    <c:v>2020_Q2</c:v>
                  </c:pt>
                  <c:pt idx="324">
                    <c:v>2020_Q3</c:v>
                  </c:pt>
                  <c:pt idx="325">
                    <c:v>2020_Q1</c:v>
                  </c:pt>
                  <c:pt idx="326">
                    <c:v>2020_Q2</c:v>
                  </c:pt>
                  <c:pt idx="327">
                    <c:v>2020_Q3</c:v>
                  </c:pt>
                  <c:pt idx="328">
                    <c:v>2020_Q1</c:v>
                  </c:pt>
                  <c:pt idx="329">
                    <c:v>2020_Q2</c:v>
                  </c:pt>
                  <c:pt idx="330">
                    <c:v>2020_Q3</c:v>
                  </c:pt>
                  <c:pt idx="331">
                    <c:v>2020_Q1</c:v>
                  </c:pt>
                  <c:pt idx="332">
                    <c:v>2020_Q2</c:v>
                  </c:pt>
                  <c:pt idx="333">
                    <c:v>2020_Q3</c:v>
                  </c:pt>
                  <c:pt idx="334">
                    <c:v>2020_Q1</c:v>
                  </c:pt>
                  <c:pt idx="335">
                    <c:v>2020_Q2</c:v>
                  </c:pt>
                  <c:pt idx="336">
                    <c:v>2020_Q3</c:v>
                  </c:pt>
                  <c:pt idx="337">
                    <c:v>2020_Q1</c:v>
                  </c:pt>
                  <c:pt idx="338">
                    <c:v>2020_Q2</c:v>
                  </c:pt>
                  <c:pt idx="339">
                    <c:v>2020_Q3</c:v>
                  </c:pt>
                  <c:pt idx="340">
                    <c:v>2020_Q1</c:v>
                  </c:pt>
                  <c:pt idx="341">
                    <c:v>2020_Q2</c:v>
                  </c:pt>
                  <c:pt idx="342">
                    <c:v>2020_Q3</c:v>
                  </c:pt>
                  <c:pt idx="343">
                    <c:v>2020_Q1</c:v>
                  </c:pt>
                  <c:pt idx="344">
                    <c:v>2020_Q2</c:v>
                  </c:pt>
                  <c:pt idx="345">
                    <c:v>2020_Q3</c:v>
                  </c:pt>
                  <c:pt idx="346">
                    <c:v>2020_Q1</c:v>
                  </c:pt>
                  <c:pt idx="347">
                    <c:v>2020_Q2</c:v>
                  </c:pt>
                  <c:pt idx="348">
                    <c:v>2020_Q3</c:v>
                  </c:pt>
                  <c:pt idx="349">
                    <c:v>2020_Q1</c:v>
                  </c:pt>
                  <c:pt idx="350">
                    <c:v>2020_Q2</c:v>
                  </c:pt>
                  <c:pt idx="351">
                    <c:v>2020_Q3</c:v>
                  </c:pt>
                  <c:pt idx="352">
                    <c:v>2020_Q1</c:v>
                  </c:pt>
                  <c:pt idx="353">
                    <c:v>2020_Q2</c:v>
                  </c:pt>
                  <c:pt idx="354">
                    <c:v>2020_Q3</c:v>
                  </c:pt>
                  <c:pt idx="355">
                    <c:v>2020_Q1</c:v>
                  </c:pt>
                  <c:pt idx="356">
                    <c:v>2020_Q2</c:v>
                  </c:pt>
                  <c:pt idx="357">
                    <c:v>2020_Q3</c:v>
                  </c:pt>
                  <c:pt idx="358">
                    <c:v>2020_Q1</c:v>
                  </c:pt>
                  <c:pt idx="359">
                    <c:v>2020_Q2</c:v>
                  </c:pt>
                  <c:pt idx="360">
                    <c:v>2020_Q3</c:v>
                  </c:pt>
                  <c:pt idx="361">
                    <c:v>2020_Q1</c:v>
                  </c:pt>
                  <c:pt idx="362">
                    <c:v>2020_Q2</c:v>
                  </c:pt>
                  <c:pt idx="363">
                    <c:v>2020_Q3</c:v>
                  </c:pt>
                  <c:pt idx="364">
                    <c:v>2020_Q1</c:v>
                  </c:pt>
                  <c:pt idx="365">
                    <c:v>2020_Q2</c:v>
                  </c:pt>
                  <c:pt idx="366">
                    <c:v>2020_Q3</c:v>
                  </c:pt>
                  <c:pt idx="367">
                    <c:v>2020_Q1</c:v>
                  </c:pt>
                  <c:pt idx="368">
                    <c:v>2020_Q2</c:v>
                  </c:pt>
                  <c:pt idx="369">
                    <c:v>2020_Q3</c:v>
                  </c:pt>
                  <c:pt idx="370">
                    <c:v>2020_Q1</c:v>
                  </c:pt>
                  <c:pt idx="371">
                    <c:v>2020_Q1</c:v>
                  </c:pt>
                  <c:pt idx="372">
                    <c:v>2020_Q2</c:v>
                  </c:pt>
                  <c:pt idx="373">
                    <c:v>2020_Q3</c:v>
                  </c:pt>
                  <c:pt idx="374">
                    <c:v>2020_Q1</c:v>
                  </c:pt>
                  <c:pt idx="375">
                    <c:v>2020_Q2</c:v>
                  </c:pt>
                  <c:pt idx="376">
                    <c:v>2020_Q3</c:v>
                  </c:pt>
                  <c:pt idx="377">
                    <c:v>2020_Q1</c:v>
                  </c:pt>
                  <c:pt idx="378">
                    <c:v>2020_Q2</c:v>
                  </c:pt>
                  <c:pt idx="379">
                    <c:v>2020_Q3</c:v>
                  </c:pt>
                  <c:pt idx="380">
                    <c:v>2020_Q1</c:v>
                  </c:pt>
                  <c:pt idx="381">
                    <c:v>2020_Q2</c:v>
                  </c:pt>
                  <c:pt idx="382">
                    <c:v>2020_Q3</c:v>
                  </c:pt>
                  <c:pt idx="383">
                    <c:v>2020_Q1</c:v>
                  </c:pt>
                  <c:pt idx="384">
                    <c:v>2020_Q2</c:v>
                  </c:pt>
                  <c:pt idx="385">
                    <c:v>2020_Q3</c:v>
                  </c:pt>
                  <c:pt idx="386">
                    <c:v>2020_Q1</c:v>
                  </c:pt>
                  <c:pt idx="387">
                    <c:v>2020_Q2</c:v>
                  </c:pt>
                  <c:pt idx="388">
                    <c:v>2020_Q3</c:v>
                  </c:pt>
                  <c:pt idx="389">
                    <c:v>2020_Q1</c:v>
                  </c:pt>
                  <c:pt idx="390">
                    <c:v>2020_Q2</c:v>
                  </c:pt>
                  <c:pt idx="391">
                    <c:v>2020_Q3</c:v>
                  </c:pt>
                  <c:pt idx="392">
                    <c:v>2020_Q1</c:v>
                  </c:pt>
                  <c:pt idx="393">
                    <c:v>2020_Q2</c:v>
                  </c:pt>
                  <c:pt idx="394">
                    <c:v>2020_Q3</c:v>
                  </c:pt>
                  <c:pt idx="395">
                    <c:v>2020_Q1</c:v>
                  </c:pt>
                  <c:pt idx="396">
                    <c:v>2020_Q2</c:v>
                  </c:pt>
                  <c:pt idx="397">
                    <c:v>2020_Q3</c:v>
                  </c:pt>
                  <c:pt idx="398">
                    <c:v>2020_Q1</c:v>
                  </c:pt>
                  <c:pt idx="399">
                    <c:v>2020_Q2</c:v>
                  </c:pt>
                  <c:pt idx="400">
                    <c:v>2020_Q3</c:v>
                  </c:pt>
                  <c:pt idx="401">
                    <c:v>2020_Q1</c:v>
                  </c:pt>
                  <c:pt idx="402">
                    <c:v>2020_Q2</c:v>
                  </c:pt>
                  <c:pt idx="403">
                    <c:v>2020_Q3</c:v>
                  </c:pt>
                  <c:pt idx="404">
                    <c:v>2020_Q1</c:v>
                  </c:pt>
                  <c:pt idx="405">
                    <c:v>2020_Q2</c:v>
                  </c:pt>
                  <c:pt idx="406">
                    <c:v>2020_Q3</c:v>
                  </c:pt>
                  <c:pt idx="407">
                    <c:v>2020_Q1</c:v>
                  </c:pt>
                  <c:pt idx="408">
                    <c:v>2020_Q2</c:v>
                  </c:pt>
                  <c:pt idx="409">
                    <c:v>2020_Q3</c:v>
                  </c:pt>
                  <c:pt idx="410">
                    <c:v>2020_Q1</c:v>
                  </c:pt>
                  <c:pt idx="411">
                    <c:v>2020_Q2</c:v>
                  </c:pt>
                  <c:pt idx="412">
                    <c:v>2020_Q3</c:v>
                  </c:pt>
                  <c:pt idx="413">
                    <c:v>2020_Q1</c:v>
                  </c:pt>
                  <c:pt idx="414">
                    <c:v>2020_Q2</c:v>
                  </c:pt>
                  <c:pt idx="415">
                    <c:v>2020_Q3</c:v>
                  </c:pt>
                  <c:pt idx="416">
                    <c:v>2020_Q1</c:v>
                  </c:pt>
                  <c:pt idx="417">
                    <c:v>2020_Q2</c:v>
                  </c:pt>
                  <c:pt idx="418">
                    <c:v>2020_Q3</c:v>
                  </c:pt>
                  <c:pt idx="419">
                    <c:v>2020_Q1</c:v>
                  </c:pt>
                  <c:pt idx="420">
                    <c:v>2020_Q2</c:v>
                  </c:pt>
                  <c:pt idx="421">
                    <c:v>2020_Q3</c:v>
                  </c:pt>
                  <c:pt idx="422">
                    <c:v>2020_Q1</c:v>
                  </c:pt>
                  <c:pt idx="423">
                    <c:v>2020_Q2</c:v>
                  </c:pt>
                  <c:pt idx="424">
                    <c:v>2020_Q3</c:v>
                  </c:pt>
                  <c:pt idx="425">
                    <c:v>2020_Q1</c:v>
                  </c:pt>
                  <c:pt idx="426">
                    <c:v>2020_Q2</c:v>
                  </c:pt>
                  <c:pt idx="427">
                    <c:v>2020_Q3</c:v>
                  </c:pt>
                  <c:pt idx="428">
                    <c:v>2020_Q1</c:v>
                  </c:pt>
                  <c:pt idx="429">
                    <c:v>2020_Q2</c:v>
                  </c:pt>
                  <c:pt idx="430">
                    <c:v>2020_Q3</c:v>
                  </c:pt>
                  <c:pt idx="431">
                    <c:v>2020_Q1</c:v>
                  </c:pt>
                  <c:pt idx="432">
                    <c:v>2020_Q2</c:v>
                  </c:pt>
                  <c:pt idx="433">
                    <c:v>2020_Q3</c:v>
                  </c:pt>
                  <c:pt idx="434">
                    <c:v>2020_Q1</c:v>
                  </c:pt>
                  <c:pt idx="435">
                    <c:v>2020_Q2</c:v>
                  </c:pt>
                  <c:pt idx="436">
                    <c:v>2020_Q3</c:v>
                  </c:pt>
                  <c:pt idx="437">
                    <c:v>2020_Q1</c:v>
                  </c:pt>
                  <c:pt idx="438">
                    <c:v>2020_Q2</c:v>
                  </c:pt>
                  <c:pt idx="439">
                    <c:v>2020_Q3</c:v>
                  </c:pt>
                  <c:pt idx="440">
                    <c:v>2020_Q1</c:v>
                  </c:pt>
                  <c:pt idx="441">
                    <c:v>2020_Q2</c:v>
                  </c:pt>
                  <c:pt idx="442">
                    <c:v>2020_Q3</c:v>
                  </c:pt>
                  <c:pt idx="443">
                    <c:v>2020_Q1</c:v>
                  </c:pt>
                  <c:pt idx="444">
                    <c:v>2020_Q2</c:v>
                  </c:pt>
                  <c:pt idx="445">
                    <c:v>2020_Q3</c:v>
                  </c:pt>
                  <c:pt idx="446">
                    <c:v>2020_Q1</c:v>
                  </c:pt>
                  <c:pt idx="447">
                    <c:v>2020_Q2</c:v>
                  </c:pt>
                  <c:pt idx="448">
                    <c:v>2020_Q3</c:v>
                  </c:pt>
                  <c:pt idx="449">
                    <c:v>2020_Q1</c:v>
                  </c:pt>
                  <c:pt idx="450">
                    <c:v>2020_Q2</c:v>
                  </c:pt>
                  <c:pt idx="451">
                    <c:v>2020_Q3</c:v>
                  </c:pt>
                  <c:pt idx="452">
                    <c:v>2020_Q1</c:v>
                  </c:pt>
                  <c:pt idx="453">
                    <c:v>2020_Q2</c:v>
                  </c:pt>
                  <c:pt idx="454">
                    <c:v>2020_Q3</c:v>
                  </c:pt>
                  <c:pt idx="455">
                    <c:v>2020_Q1</c:v>
                  </c:pt>
                  <c:pt idx="456">
                    <c:v>2020_Q2</c:v>
                  </c:pt>
                  <c:pt idx="457">
                    <c:v>2020_Q3</c:v>
                  </c:pt>
                  <c:pt idx="458">
                    <c:v>2020_Q1</c:v>
                  </c:pt>
                  <c:pt idx="459">
                    <c:v>2020_Q2</c:v>
                  </c:pt>
                  <c:pt idx="460">
                    <c:v>2020_Q3</c:v>
                  </c:pt>
                  <c:pt idx="461">
                    <c:v>2020_Q1</c:v>
                  </c:pt>
                  <c:pt idx="462">
                    <c:v>2020_Q2</c:v>
                  </c:pt>
                  <c:pt idx="463">
                    <c:v>2020_Q3</c:v>
                  </c:pt>
                  <c:pt idx="464">
                    <c:v>2020_Q1</c:v>
                  </c:pt>
                  <c:pt idx="465">
                    <c:v>2020_Q2</c:v>
                  </c:pt>
                  <c:pt idx="466">
                    <c:v>2020_Q3</c:v>
                  </c:pt>
                  <c:pt idx="467">
                    <c:v>2020_Q1</c:v>
                  </c:pt>
                  <c:pt idx="468">
                    <c:v>2020_Q2</c:v>
                  </c:pt>
                  <c:pt idx="469">
                    <c:v>2020_Q3</c:v>
                  </c:pt>
                  <c:pt idx="470">
                    <c:v>2020_Q1</c:v>
                  </c:pt>
                  <c:pt idx="471">
                    <c:v>2020_Q2</c:v>
                  </c:pt>
                  <c:pt idx="472">
                    <c:v>2020_Q3</c:v>
                  </c:pt>
                  <c:pt idx="473">
                    <c:v>2020_Q1</c:v>
                  </c:pt>
                  <c:pt idx="474">
                    <c:v>2020_Q2</c:v>
                  </c:pt>
                  <c:pt idx="475">
                    <c:v>2020_Q3</c:v>
                  </c:pt>
                  <c:pt idx="476">
                    <c:v>2020_Q1</c:v>
                  </c:pt>
                  <c:pt idx="477">
                    <c:v>2020_Q2</c:v>
                  </c:pt>
                  <c:pt idx="478">
                    <c:v>2020_Q3</c:v>
                  </c:pt>
                  <c:pt idx="479">
                    <c:v>2020_Q1</c:v>
                  </c:pt>
                  <c:pt idx="480">
                    <c:v>2020_Q2</c:v>
                  </c:pt>
                  <c:pt idx="481">
                    <c:v>2020_Q3</c:v>
                  </c:pt>
                  <c:pt idx="482">
                    <c:v>2020_Q1</c:v>
                  </c:pt>
                  <c:pt idx="483">
                    <c:v>2020_Q2</c:v>
                  </c:pt>
                  <c:pt idx="484">
                    <c:v>2020_Q3</c:v>
                  </c:pt>
                  <c:pt idx="485">
                    <c:v>2020_Q1</c:v>
                  </c:pt>
                  <c:pt idx="486">
                    <c:v>2020_Q2</c:v>
                  </c:pt>
                  <c:pt idx="487">
                    <c:v>2020_Q3</c:v>
                  </c:pt>
                  <c:pt idx="488">
                    <c:v>2020_Q1</c:v>
                  </c:pt>
                  <c:pt idx="489">
                    <c:v>2020_Q1</c:v>
                  </c:pt>
                  <c:pt idx="490">
                    <c:v>2020_Q2</c:v>
                  </c:pt>
                  <c:pt idx="491">
                    <c:v>2020_Q3</c:v>
                  </c:pt>
                  <c:pt idx="492">
                    <c:v>2020_Q1</c:v>
                  </c:pt>
                  <c:pt idx="493">
                    <c:v>2020_Q2</c:v>
                  </c:pt>
                  <c:pt idx="494">
                    <c:v>2020_Q3</c:v>
                  </c:pt>
                  <c:pt idx="495">
                    <c:v>2020_Q1</c:v>
                  </c:pt>
                  <c:pt idx="496">
                    <c:v>2020_Q2</c:v>
                  </c:pt>
                  <c:pt idx="497">
                    <c:v>2020_Q3</c:v>
                  </c:pt>
                  <c:pt idx="498">
                    <c:v>2020_Q1</c:v>
                  </c:pt>
                  <c:pt idx="499">
                    <c:v>2020_Q2</c:v>
                  </c:pt>
                  <c:pt idx="500">
                    <c:v>2020_Q3</c:v>
                  </c:pt>
                  <c:pt idx="501">
                    <c:v>2020_Q1</c:v>
                  </c:pt>
                  <c:pt idx="502">
                    <c:v>2020_Q2</c:v>
                  </c:pt>
                  <c:pt idx="503">
                    <c:v>2020_Q3</c:v>
                  </c:pt>
                  <c:pt idx="504">
                    <c:v>2020_Q1</c:v>
                  </c:pt>
                  <c:pt idx="505">
                    <c:v>2020_Q2</c:v>
                  </c:pt>
                  <c:pt idx="506">
                    <c:v>2020_Q3</c:v>
                  </c:pt>
                  <c:pt idx="507">
                    <c:v>2020_Q1</c:v>
                  </c:pt>
                  <c:pt idx="508">
                    <c:v>2020_Q2</c:v>
                  </c:pt>
                  <c:pt idx="509">
                    <c:v>2020_Q3</c:v>
                  </c:pt>
                  <c:pt idx="510">
                    <c:v>2020_Q1</c:v>
                  </c:pt>
                  <c:pt idx="511">
                    <c:v>2020_Q2</c:v>
                  </c:pt>
                  <c:pt idx="512">
                    <c:v>2020_Q3</c:v>
                  </c:pt>
                  <c:pt idx="513">
                    <c:v>2020_Q1</c:v>
                  </c:pt>
                  <c:pt idx="514">
                    <c:v>2020_Q2</c:v>
                  </c:pt>
                  <c:pt idx="515">
                    <c:v>2020_Q3</c:v>
                  </c:pt>
                  <c:pt idx="516">
                    <c:v>2020_Q1</c:v>
                  </c:pt>
                  <c:pt idx="517">
                    <c:v>2020_Q2</c:v>
                  </c:pt>
                  <c:pt idx="518">
                    <c:v>2020_Q3</c:v>
                  </c:pt>
                  <c:pt idx="519">
                    <c:v>2020_Q1</c:v>
                  </c:pt>
                  <c:pt idx="520">
                    <c:v>2020_Q2</c:v>
                  </c:pt>
                  <c:pt idx="521">
                    <c:v>2020_Q3</c:v>
                  </c:pt>
                  <c:pt idx="522">
                    <c:v>2020_Q1</c:v>
                  </c:pt>
                  <c:pt idx="523">
                    <c:v>2020_Q2</c:v>
                  </c:pt>
                  <c:pt idx="524">
                    <c:v>2020_Q3</c:v>
                  </c:pt>
                  <c:pt idx="525">
                    <c:v>2020_Q1</c:v>
                  </c:pt>
                  <c:pt idx="526">
                    <c:v>2020_Q2</c:v>
                  </c:pt>
                  <c:pt idx="527">
                    <c:v>2020_Q3</c:v>
                  </c:pt>
                  <c:pt idx="528">
                    <c:v>2020_Q1</c:v>
                  </c:pt>
                  <c:pt idx="529">
                    <c:v>2020_Q2</c:v>
                  </c:pt>
                  <c:pt idx="530">
                    <c:v>2020_Q3</c:v>
                  </c:pt>
                  <c:pt idx="531">
                    <c:v>2020_Q1</c:v>
                  </c:pt>
                  <c:pt idx="532">
                    <c:v>2020_Q2</c:v>
                  </c:pt>
                  <c:pt idx="533">
                    <c:v>2020_Q3</c:v>
                  </c:pt>
                  <c:pt idx="534">
                    <c:v>2020_Q1</c:v>
                  </c:pt>
                  <c:pt idx="535">
                    <c:v>2020_Q2</c:v>
                  </c:pt>
                  <c:pt idx="536">
                    <c:v>2020_Q3</c:v>
                  </c:pt>
                  <c:pt idx="537">
                    <c:v>2020_Q1</c:v>
                  </c:pt>
                  <c:pt idx="538">
                    <c:v>2020_Q2</c:v>
                  </c:pt>
                  <c:pt idx="539">
                    <c:v>2020_Q3</c:v>
                  </c:pt>
                  <c:pt idx="540">
                    <c:v>2020_Q1</c:v>
                  </c:pt>
                  <c:pt idx="541">
                    <c:v>2020_Q2</c:v>
                  </c:pt>
                  <c:pt idx="542">
                    <c:v>2020_Q3</c:v>
                  </c:pt>
                  <c:pt idx="543">
                    <c:v>2020_Q1</c:v>
                  </c:pt>
                  <c:pt idx="544">
                    <c:v>2020_Q2</c:v>
                  </c:pt>
                  <c:pt idx="545">
                    <c:v>2020_Q3</c:v>
                  </c:pt>
                  <c:pt idx="546">
                    <c:v>2020_Q1</c:v>
                  </c:pt>
                  <c:pt idx="547">
                    <c:v>2020_Q2</c:v>
                  </c:pt>
                  <c:pt idx="548">
                    <c:v>2020_Q3</c:v>
                  </c:pt>
                  <c:pt idx="549">
                    <c:v>2020_Q1</c:v>
                  </c:pt>
                  <c:pt idx="550">
                    <c:v>2020_Q2</c:v>
                  </c:pt>
                  <c:pt idx="551">
                    <c:v>2020_Q3</c:v>
                  </c:pt>
                  <c:pt idx="552">
                    <c:v>2020_Q1</c:v>
                  </c:pt>
                  <c:pt idx="553">
                    <c:v>2020_Q2</c:v>
                  </c:pt>
                  <c:pt idx="554">
                    <c:v>2020_Q3</c:v>
                  </c:pt>
                  <c:pt idx="555">
                    <c:v>2020_Q1</c:v>
                  </c:pt>
                  <c:pt idx="556">
                    <c:v>2020_Q1</c:v>
                  </c:pt>
                  <c:pt idx="557">
                    <c:v>2020_Q2</c:v>
                  </c:pt>
                  <c:pt idx="558">
                    <c:v>2020_Q3</c:v>
                  </c:pt>
                  <c:pt idx="559">
                    <c:v>2020_Q1</c:v>
                  </c:pt>
                  <c:pt idx="560">
                    <c:v>2020_Q2</c:v>
                  </c:pt>
                  <c:pt idx="561">
                    <c:v>2020_Q3</c:v>
                  </c:pt>
                  <c:pt idx="562">
                    <c:v>2020_Q1</c:v>
                  </c:pt>
                  <c:pt idx="563">
                    <c:v>2020_Q2</c:v>
                  </c:pt>
                  <c:pt idx="564">
                    <c:v>2020_Q3</c:v>
                  </c:pt>
                  <c:pt idx="565">
                    <c:v>2020_Q1</c:v>
                  </c:pt>
                  <c:pt idx="566">
                    <c:v>2020_Q2</c:v>
                  </c:pt>
                  <c:pt idx="567">
                    <c:v>2020_Q3</c:v>
                  </c:pt>
                  <c:pt idx="568">
                    <c:v>2020_Q1</c:v>
                  </c:pt>
                  <c:pt idx="569">
                    <c:v>2020_Q2</c:v>
                  </c:pt>
                  <c:pt idx="570">
                    <c:v>2020_Q3</c:v>
                  </c:pt>
                  <c:pt idx="571">
                    <c:v>2020_Q1</c:v>
                  </c:pt>
                  <c:pt idx="572">
                    <c:v>2020_Q2</c:v>
                  </c:pt>
                  <c:pt idx="573">
                    <c:v>2020_Q3</c:v>
                  </c:pt>
                  <c:pt idx="574">
                    <c:v>2020_Q1</c:v>
                  </c:pt>
                  <c:pt idx="575">
                    <c:v>2020_Q2</c:v>
                  </c:pt>
                  <c:pt idx="576">
                    <c:v>2020_Q3</c:v>
                  </c:pt>
                  <c:pt idx="577">
                    <c:v>2020_Q1</c:v>
                  </c:pt>
                  <c:pt idx="578">
                    <c:v>2020_Q2</c:v>
                  </c:pt>
                  <c:pt idx="579">
                    <c:v>2020_Q3</c:v>
                  </c:pt>
                  <c:pt idx="580">
                    <c:v>2020_Q1</c:v>
                  </c:pt>
                  <c:pt idx="581">
                    <c:v>2020_Q2</c:v>
                  </c:pt>
                  <c:pt idx="582">
                    <c:v>2020_Q3</c:v>
                  </c:pt>
                  <c:pt idx="583">
                    <c:v>2020_Q1</c:v>
                  </c:pt>
                  <c:pt idx="584">
                    <c:v>2020_Q2</c:v>
                  </c:pt>
                  <c:pt idx="585">
                    <c:v>2020_Q3</c:v>
                  </c:pt>
                  <c:pt idx="586">
                    <c:v>2020_Q2</c:v>
                  </c:pt>
                  <c:pt idx="587">
                    <c:v>2020_Q3</c:v>
                  </c:pt>
                  <c:pt idx="588">
                    <c:v>2020_Q1</c:v>
                  </c:pt>
                  <c:pt idx="589">
                    <c:v>2020_Q2</c:v>
                  </c:pt>
                  <c:pt idx="590">
                    <c:v>2020_Q3</c:v>
                  </c:pt>
                  <c:pt idx="591">
                    <c:v>2020_Q1</c:v>
                  </c:pt>
                  <c:pt idx="592">
                    <c:v>2020_Q2</c:v>
                  </c:pt>
                  <c:pt idx="593">
                    <c:v>2020_Q3</c:v>
                  </c:pt>
                  <c:pt idx="594">
                    <c:v>2020_Q3</c:v>
                  </c:pt>
                  <c:pt idx="595">
                    <c:v>2020_Q3</c:v>
                  </c:pt>
                </c:lvl>
                <c:lvl>
                  <c:pt idx="0">
                    <c:v>5 Ward RC Church(lon Khin)</c:v>
                  </c:pt>
                  <c:pt idx="3">
                    <c:v>AD-2000 Extension camp</c:v>
                  </c:pt>
                  <c:pt idx="6">
                    <c:v>AD-2000 Tharthana Compound</c:v>
                  </c:pt>
                  <c:pt idx="9">
                    <c:v>AG Church, Hmaw Si Sa</c:v>
                  </c:pt>
                  <c:pt idx="12">
                    <c:v>AG Church, Maw Wan</c:v>
                  </c:pt>
                  <c:pt idx="15">
                    <c:v>Agritural Compound (KBC)</c:v>
                  </c:pt>
                  <c:pt idx="18">
                    <c:v>Aung Thar Church</c:v>
                  </c:pt>
                  <c:pt idx="21">
                    <c:v>Ban Dang</c:v>
                  </c:pt>
                  <c:pt idx="24">
                    <c:v>Baptist Church, Hmaw Si Sar(Lon Khin)</c:v>
                  </c:pt>
                  <c:pt idx="27">
                    <c:v>Bhamo_Host Families</c:v>
                  </c:pt>
                  <c:pt idx="30">
                    <c:v>Border Post 8</c:v>
                  </c:pt>
                  <c:pt idx="33">
                    <c:v>Bum Tsit Pa</c:v>
                  </c:pt>
                  <c:pt idx="36">
                    <c:v>Chin Church, Seik Mu</c:v>
                  </c:pt>
                  <c:pt idx="39">
                    <c:v>Chipwi KBC camp</c:v>
                  </c:pt>
                  <c:pt idx="42">
                    <c:v>Da Wei</c:v>
                  </c:pt>
                  <c:pt idx="45">
                    <c:v>Dhama Rakhita, Nyein Chan Tar Yar Ward(Lon Khin)</c:v>
                  </c:pt>
                  <c:pt idx="48">
                    <c:v>Du Kahtawng Baptist</c:v>
                  </c:pt>
                  <c:pt idx="51">
                    <c:v>Dum Bung </c:v>
                  </c:pt>
                  <c:pt idx="54">
                    <c:v>Emmanuel AG Church</c:v>
                  </c:pt>
                  <c:pt idx="57">
                    <c:v>Galeng (Palaung) &amp; Kone Khem</c:v>
                  </c:pt>
                  <c:pt idx="60">
                    <c:v>Hka Shi</c:v>
                  </c:pt>
                  <c:pt idx="63">
                    <c:v>Hkat Cho </c:v>
                  </c:pt>
                  <c:pt idx="66">
                    <c:v>Hkau Shau (BP 12)</c:v>
                  </c:pt>
                  <c:pt idx="69">
                    <c:v>Hlaing Naung Baptist</c:v>
                  </c:pt>
                  <c:pt idx="72">
                    <c:v>Hmaw Wan, Anglican</c:v>
                  </c:pt>
                  <c:pt idx="75">
                    <c:v>Hopin Host Families</c:v>
                  </c:pt>
                  <c:pt idx="78">
                    <c:v>Hpai Kawng</c:v>
                  </c:pt>
                  <c:pt idx="81">
                    <c:v>Hpakant Baptist Church, Nam Ma Hpit</c:v>
                  </c:pt>
                  <c:pt idx="84">
                    <c:v>Hpare Hkyer - BP6</c:v>
                  </c:pt>
                  <c:pt idx="87">
                    <c:v>Hpun Lum Yang </c:v>
                  </c:pt>
                  <c:pt idx="90">
                    <c:v>Htai Ra Yang</c:v>
                  </c:pt>
                  <c:pt idx="93">
                    <c:v>Htoi San Church</c:v>
                  </c:pt>
                  <c:pt idx="96">
                    <c:v>Hu Hku &amp; Ho Hko</c:v>
                  </c:pt>
                  <c:pt idx="99">
                    <c:v>IDP Boarding School, A Len Bum</c:v>
                  </c:pt>
                  <c:pt idx="102">
                    <c:v>Inn Lel Yan - Host Families</c:v>
                  </c:pt>
                  <c:pt idx="105">
                    <c:v>Jan Mai Kawng Baptist Church</c:v>
                  </c:pt>
                  <c:pt idx="108">
                    <c:v>Jan Mai Kawng Catholic Church</c:v>
                  </c:pt>
                  <c:pt idx="111">
                    <c:v>Jaw Masat Camp</c:v>
                  </c:pt>
                  <c:pt idx="114">
                    <c:v>Je Yang Hka </c:v>
                  </c:pt>
                  <c:pt idx="117">
                    <c:v>Ka Bu Dam CoC</c:v>
                  </c:pt>
                  <c:pt idx="120">
                    <c:v>Kachin Su Baptist Church (ECCD)</c:v>
                  </c:pt>
                  <c:pt idx="123">
                    <c:v>Karmaing RC Church</c:v>
                  </c:pt>
                  <c:pt idx="126">
                    <c:v>Khar Nan (1) Baptist Church</c:v>
                  </c:pt>
                  <c:pt idx="129">
                    <c:v>Khun Sint Village</c:v>
                  </c:pt>
                  <c:pt idx="132">
                    <c:v>Kutkai downtown (KBC Church)</c:v>
                  </c:pt>
                  <c:pt idx="135">
                    <c:v>Kutkai downtown (KBC Church-2)</c:v>
                  </c:pt>
                  <c:pt idx="138">
                    <c:v>Kutkai downtown (RC Church)</c:v>
                  </c:pt>
                  <c:pt idx="141">
                    <c:v>Kyu Sot</c:v>
                  </c:pt>
                  <c:pt idx="144">
                    <c:v>Kyun Taw Baptist Church </c:v>
                  </c:pt>
                  <c:pt idx="147">
                    <c:v>Laiza Je Yang School</c:v>
                  </c:pt>
                  <c:pt idx="150">
                    <c:v>Lan Gwa St.Paul RC Church</c:v>
                  </c:pt>
                  <c:pt idx="153">
                    <c:v>Lana Zup Ja</c:v>
                  </c:pt>
                  <c:pt idx="156">
                    <c:v>Lawa RC Church</c:v>
                  </c:pt>
                  <c:pt idx="159">
                    <c:v>Lawng Hkang Shait Yang Camp​ ( Lel Pyin)​ </c:v>
                  </c:pt>
                  <c:pt idx="162">
                    <c:v>Lawt Awng</c:v>
                  </c:pt>
                  <c:pt idx="165">
                    <c:v>Le Kone Bethlehem Church</c:v>
                  </c:pt>
                  <c:pt idx="168">
                    <c:v>Le Kone Ziun Baptist Church </c:v>
                  </c:pt>
                  <c:pt idx="171">
                    <c:v>Lhaovao Baptist Church (LBC)</c:v>
                  </c:pt>
                  <c:pt idx="174">
                    <c:v>Lisu Baptist Church, Maw Shan Vil,. Seik Mu</c:v>
                  </c:pt>
                  <c:pt idx="177">
                    <c:v>Lisu Baptist Church, Maw Wan Ward</c:v>
                  </c:pt>
                  <c:pt idx="180">
                    <c:v>Lisu Boarding-House</c:v>
                  </c:pt>
                  <c:pt idx="183">
                    <c:v>Lisu Church Namtu</c:v>
                  </c:pt>
                  <c:pt idx="186">
                    <c:v>Loi Je Baptist Church</c:v>
                  </c:pt>
                  <c:pt idx="189">
                    <c:v>Loi Je Catholic Church</c:v>
                  </c:pt>
                  <c:pt idx="192">
                    <c:v>Loi Je Lisu Camp</c:v>
                  </c:pt>
                  <c:pt idx="195">
                    <c:v>Lone Khin Catholic Church</c:v>
                  </c:pt>
                  <c:pt idx="198">
                    <c:v>Lung Sut</c:v>
                  </c:pt>
                  <c:pt idx="201">
                    <c:v>Lwegel High School</c:v>
                  </c:pt>
                  <c:pt idx="204">
                    <c:v>Ma Hawng Baptist Church</c:v>
                  </c:pt>
                  <c:pt idx="207">
                    <c:v>Mading Baptist Church</c:v>
                  </c:pt>
                  <c:pt idx="210">
                    <c:v>Maga Yang </c:v>
                  </c:pt>
                  <c:pt idx="213">
                    <c:v>Mai Yu Lay New (Ta'ang)</c:v>
                  </c:pt>
                  <c:pt idx="216">
                    <c:v>Maina AG Church</c:v>
                  </c:pt>
                  <c:pt idx="219">
                    <c:v>Maina Catholic Church (St. Joseph)</c:v>
                  </c:pt>
                  <c:pt idx="222">
                    <c:v>Maina KBC (Bawng Ring)</c:v>
                  </c:pt>
                  <c:pt idx="225">
                    <c:v>Maina Lawang Baptist Church</c:v>
                  </c:pt>
                  <c:pt idx="228">
                    <c:v>Maing Khaung</c:v>
                  </c:pt>
                  <c:pt idx="231">
                    <c:v>Maing Khaung Catholic Church</c:v>
                  </c:pt>
                  <c:pt idx="234">
                    <c:v>Maliyang Baptist Church</c:v>
                  </c:pt>
                  <c:pt idx="237">
                    <c:v>Man Bung Catholic compound</c:v>
                  </c:pt>
                  <c:pt idx="240">
                    <c:v>Man Bung Edin Baptist Church</c:v>
                  </c:pt>
                  <c:pt idx="243">
                    <c:v>Man Hkring Baptist Church</c:v>
                  </c:pt>
                  <c:pt idx="246">
                    <c:v>Man Kaung/Naung Ti Kyar Village</c:v>
                  </c:pt>
                  <c:pt idx="249">
                    <c:v>Man Loi</c:v>
                  </c:pt>
                  <c:pt idx="252">
                    <c:v>Man Wing Baptist Church</c:v>
                  </c:pt>
                  <c:pt idx="255">
                    <c:v>Man Wing Baptist Church Cultural Compound</c:v>
                  </c:pt>
                  <c:pt idx="258">
                    <c:v>Man Wing Catholic Church</c:v>
                  </c:pt>
                  <c:pt idx="261">
                    <c:v>Man Wing Catholic Church II</c:v>
                  </c:pt>
                  <c:pt idx="264">
                    <c:v>Man Wing Host Families</c:v>
                  </c:pt>
                  <c:pt idx="267">
                    <c:v>Mandalay Monestry</c:v>
                  </c:pt>
                  <c:pt idx="268">
                    <c:v>Mandung - Jinghpaw</c:v>
                  </c:pt>
                  <c:pt idx="271">
                    <c:v>Mandung - RC</c:v>
                  </c:pt>
                  <c:pt idx="274">
                    <c:v>Mansi Baptist Church</c:v>
                  </c:pt>
                  <c:pt idx="277">
                    <c:v>Mansi_Host Families</c:v>
                  </c:pt>
                  <c:pt idx="280">
                    <c:v>Maw Hpawng Hka Nan Baptist Church</c:v>
                  </c:pt>
                  <c:pt idx="283">
                    <c:v>Maw Hpawng Lhaovo Baptist Church</c:v>
                  </c:pt>
                  <c:pt idx="286">
                    <c:v>Maw Wan, Mu-yin Baptist Church</c:v>
                  </c:pt>
                  <c:pt idx="289">
                    <c:v>Mee Pho Kone</c:v>
                  </c:pt>
                  <c:pt idx="292">
                    <c:v>Mine Yu Lay village ( Old)</c:v>
                  </c:pt>
                  <c:pt idx="295">
                    <c:v>Moenyin Host Families</c:v>
                  </c:pt>
                  <c:pt idx="298">
                    <c:v>Momauk Baptist Church</c:v>
                  </c:pt>
                  <c:pt idx="301">
                    <c:v>Momauk_Host Families</c:v>
                  </c:pt>
                  <c:pt idx="304">
                    <c:v>Mong Wee Shan</c:v>
                  </c:pt>
                  <c:pt idx="307">
                    <c:v>Mung Hawm </c:v>
                  </c:pt>
                  <c:pt idx="310">
                    <c:v>Mungji Pa Dabang (Baptist Church)</c:v>
                  </c:pt>
                  <c:pt idx="313">
                    <c:v>Mungji Pa Dabang (Catholic Church)</c:v>
                  </c:pt>
                  <c:pt idx="316">
                    <c:v>Muse Catholic Church</c:v>
                  </c:pt>
                  <c:pt idx="319">
                    <c:v>Mu-yin Baptist Church</c:v>
                  </c:pt>
                  <c:pt idx="322">
                    <c:v>Muyin church (Aung Yar pre-school compound)</c:v>
                  </c:pt>
                  <c:pt idx="325">
                    <c:v>Myo Oo St. Dominic RC Church</c:v>
                  </c:pt>
                  <c:pt idx="328">
                    <c:v>Myo Thit </c:v>
                  </c:pt>
                  <c:pt idx="331">
                    <c:v>Nam Hkam - Nay Win Ni (Palawng)</c:v>
                  </c:pt>
                  <c:pt idx="334">
                    <c:v>Nam Hkam (KBC Jaw Wang)</c:v>
                  </c:pt>
                  <c:pt idx="337">
                    <c:v>Nam Hkam (KBC Jaw Wang) II</c:v>
                  </c:pt>
                  <c:pt idx="340">
                    <c:v>Nam Hkam Catholic Church ( St. Thomas I)</c:v>
                  </c:pt>
                  <c:pt idx="343">
                    <c:v>Nam Hpak Ka Mare </c:v>
                  </c:pt>
                  <c:pt idx="346">
                    <c:v>Nam Hpak Ka Ta'ang ( Aung Tha Pyay)</c:v>
                  </c:pt>
                  <c:pt idx="349">
                    <c:v>Nam Ma Phyit, COC</c:v>
                  </c:pt>
                  <c:pt idx="352">
                    <c:v>Nam Sa Larp</c:v>
                  </c:pt>
                  <c:pt idx="355">
                    <c:v>Nam Tu Baptist</c:v>
                  </c:pt>
                  <c:pt idx="358">
                    <c:v>Namatee AG</c:v>
                  </c:pt>
                  <c:pt idx="361">
                    <c:v>Namhkan - Pang Long KBC</c:v>
                  </c:pt>
                  <c:pt idx="364">
                    <c:v>Namti Labraw Yang KBC Camp</c:v>
                  </c:pt>
                  <c:pt idx="367">
                    <c:v>Nan Kway St. John Catholic Church</c:v>
                  </c:pt>
                  <c:pt idx="370">
                    <c:v>Nant Hlaing Church</c:v>
                  </c:pt>
                  <c:pt idx="371">
                    <c:v>Nant Ma Hpit Catholic Church</c:v>
                  </c:pt>
                  <c:pt idx="374">
                    <c:v>Nat Gyi Kone Baptist Church </c:v>
                  </c:pt>
                  <c:pt idx="377">
                    <c:v>Nawng Hee Village</c:v>
                  </c:pt>
                  <c:pt idx="380">
                    <c:v>Nawng Ing (Indawgyi) Baptist Church </c:v>
                  </c:pt>
                  <c:pt idx="383">
                    <c:v>Ndup Yang</c:v>
                  </c:pt>
                  <c:pt idx="386">
                    <c:v>New Pang Ku </c:v>
                  </c:pt>
                  <c:pt idx="389">
                    <c:v>Nhkawng Pa </c:v>
                  </c:pt>
                  <c:pt idx="392">
                    <c:v>Njang Dung Baptist Church </c:v>
                  </c:pt>
                  <c:pt idx="395">
                    <c:v>Nyaung Na Pin </c:v>
                  </c:pt>
                  <c:pt idx="398">
                    <c:v>Pa Dauk Myaing(Pa La Na)</c:v>
                  </c:pt>
                  <c:pt idx="401">
                    <c:v>Pa Dauk Myaing(Pa La Na)-II</c:v>
                  </c:pt>
                  <c:pt idx="404">
                    <c:v>Pa Kahtawng </c:v>
                  </c:pt>
                  <c:pt idx="407">
                    <c:v>Pajau - Jan Mai</c:v>
                  </c:pt>
                  <c:pt idx="410">
                    <c:v>Pan Law</c:v>
                  </c:pt>
                  <c:pt idx="413">
                    <c:v>Pan Ta Pyae</c:v>
                  </c:pt>
                  <c:pt idx="416">
                    <c:v>Pan Wa</c:v>
                  </c:pt>
                  <c:pt idx="419">
                    <c:v>Pang Hkawn Yang</c:v>
                  </c:pt>
                  <c:pt idx="422">
                    <c:v>Phan Khar Kone</c:v>
                  </c:pt>
                  <c:pt idx="425">
                    <c:v>Post 6 Camp</c:v>
                  </c:pt>
                  <c:pt idx="428">
                    <c:v>Qtr. 2 Lhaovo Baptist Church</c:v>
                  </c:pt>
                  <c:pt idx="431">
                    <c:v>Qtr. 2 Myoma Baptist Church</c:v>
                  </c:pt>
                  <c:pt idx="434">
                    <c:v>Qtr. 3 Mu-yin  Baptist Church</c:v>
                  </c:pt>
                  <c:pt idx="437">
                    <c:v>Rawan Baptist Church, Maw Shan Vil., Seik Mu</c:v>
                  </c:pt>
                  <c:pt idx="440">
                    <c:v>Robert Church</c:v>
                  </c:pt>
                  <c:pt idx="443">
                    <c:v>Sadung</c:v>
                  </c:pt>
                  <c:pt idx="446">
                    <c:v>Salang Yang</c:v>
                  </c:pt>
                  <c:pt idx="449">
                    <c:v>Sar Hmaw - KBC</c:v>
                  </c:pt>
                  <c:pt idx="452">
                    <c:v>Saw Zam</c:v>
                  </c:pt>
                  <c:pt idx="455">
                    <c:v>Seng Ja </c:v>
                  </c:pt>
                  <c:pt idx="458">
                    <c:v>Sha-It Yang</c:v>
                  </c:pt>
                  <c:pt idx="461">
                    <c:v>Shar Du Zut KBC church </c:v>
                  </c:pt>
                  <c:pt idx="464">
                    <c:v>Shar Du Zut RC church</c:v>
                  </c:pt>
                  <c:pt idx="467">
                    <c:v>Shar Du Zut SanPya</c:v>
                  </c:pt>
                  <c:pt idx="470">
                    <c:v>Shatapru Sut Ngai Tawng</c:v>
                  </c:pt>
                  <c:pt idx="473">
                    <c:v>Shatapru Thida Aye Baptist Church</c:v>
                  </c:pt>
                  <c:pt idx="476">
                    <c:v>Shing Jai</c:v>
                  </c:pt>
                  <c:pt idx="479">
                    <c:v>Shwe Gu Baptist Church</c:v>
                  </c:pt>
                  <c:pt idx="482">
                    <c:v>Shwe Gu Catholic Church</c:v>
                  </c:pt>
                  <c:pt idx="485">
                    <c:v>Shwe Zet Baptist Church</c:v>
                  </c:pt>
                  <c:pt idx="488">
                    <c:v>Sin Bo</c:v>
                  </c:pt>
                  <c:pt idx="489">
                    <c:v>St. Joseph Tanai RC camp </c:v>
                  </c:pt>
                  <c:pt idx="492">
                    <c:v>St. Patrick Catholic Church </c:v>
                  </c:pt>
                  <c:pt idx="495">
                    <c:v>Sumprabum</c:v>
                  </c:pt>
                  <c:pt idx="498">
                    <c:v>Sut Chyai</c:v>
                  </c:pt>
                  <c:pt idx="501">
                    <c:v>Tanai CoC</c:v>
                  </c:pt>
                  <c:pt idx="504">
                    <c:v>Tanai KBC Camp</c:v>
                  </c:pt>
                  <c:pt idx="507">
                    <c:v>Tat Kone Baptist Church</c:v>
                  </c:pt>
                  <c:pt idx="510">
                    <c:v>Tat Kone COC Baptist - Tat Kone Htoi San</c:v>
                  </c:pt>
                  <c:pt idx="513">
                    <c:v>Tat Kone Emanuel Church</c:v>
                  </c:pt>
                  <c:pt idx="516">
                    <c:v>Tat Kone Galile Baptist Church</c:v>
                  </c:pt>
                  <c:pt idx="519">
                    <c:v>Tat Kone San Pya Baptist Church</c:v>
                  </c:pt>
                  <c:pt idx="522">
                    <c:v>Thargaya Lisu Baptist Church</c:v>
                  </c:pt>
                  <c:pt idx="525">
                    <c:v>Ti Yang Zup</c:v>
                  </c:pt>
                  <c:pt idx="528">
                    <c:v>Tote Tan Ward</c:v>
                  </c:pt>
                  <c:pt idx="531">
                    <c:v>Trinity Camp</c:v>
                  </c:pt>
                  <c:pt idx="534">
                    <c:v>Tsan Lun - Namjarap</c:v>
                  </c:pt>
                  <c:pt idx="537">
                    <c:v>Waimaw Baptist Zonal Office 2</c:v>
                  </c:pt>
                  <c:pt idx="540">
                    <c:v>Waingmaw AG Church</c:v>
                  </c:pt>
                  <c:pt idx="543">
                    <c:v>Ward 2 Sai Taung Baptist Church, Seik Mu </c:v>
                  </c:pt>
                  <c:pt idx="546">
                    <c:v>Woi Chyai </c:v>
                  </c:pt>
                  <c:pt idx="549">
                    <c:v>Woi Chyai (Mong Lai)</c:v>
                  </c:pt>
                  <c:pt idx="552">
                    <c:v>Woi Chyai host families</c:v>
                  </c:pt>
                  <c:pt idx="555">
                    <c:v>Yoe Kyi Monastery</c:v>
                  </c:pt>
                  <c:pt idx="556">
                    <c:v>Yumar Baptist Church</c:v>
                  </c:pt>
                  <c:pt idx="559">
                    <c:v>Zup Aung Camp</c:v>
                  </c:pt>
                  <c:pt idx="562">
                    <c:v>Zupra</c:v>
                  </c:pt>
                  <c:pt idx="565">
                    <c:v>Hka Garan Yang </c:v>
                  </c:pt>
                  <c:pt idx="568">
                    <c:v>Htang Nya </c:v>
                  </c:pt>
                  <c:pt idx="571">
                    <c:v>Enai (Man Pyein)</c:v>
                  </c:pt>
                  <c:pt idx="574">
                    <c:v>Hpa Ji Shalat Boarding School ( Daw Hpum Yang)</c:v>
                  </c:pt>
                  <c:pt idx="577">
                    <c:v>Lwe Mauk Yang Boarding School</c:v>
                  </c:pt>
                  <c:pt idx="580">
                    <c:v>AD 2000 School</c:v>
                  </c:pt>
                  <c:pt idx="583">
                    <c:v>Robert -High school</c:v>
                  </c:pt>
                  <c:pt idx="586">
                    <c:v>Pamati Camp</c:v>
                  </c:pt>
                  <c:pt idx="588">
                    <c:v>Momauk IDP new extension camp (Kye Nan)</c:v>
                  </c:pt>
                  <c:pt idx="591">
                    <c:v>Sector 5 Pammati Quarter</c:v>
                  </c:pt>
                  <c:pt idx="594">
                    <c:v>Man Pya San Pya Resettlement</c:v>
                  </c:pt>
                  <c:pt idx="595">
                    <c:v>San Kar Resettlement</c:v>
                  </c:pt>
                </c:lvl>
              </c:multiLvlStrCache>
            </c:multiLvlStrRef>
          </c:cat>
          <c:val>
            <c:numRef>
              <c:f>'Tracking Dashboard'!$O$5:$O$804</c:f>
              <c:numCache>
                <c:formatCode>General</c:formatCode>
                <c:ptCount val="596"/>
                <c:pt idx="0">
                  <c:v>0</c:v>
                </c:pt>
                <c:pt idx="1">
                  <c:v>0</c:v>
                </c:pt>
                <c:pt idx="2">
                  <c:v>0</c:v>
                </c:pt>
                <c:pt idx="3">
                  <c:v>261</c:v>
                </c:pt>
                <c:pt idx="4">
                  <c:v>167</c:v>
                </c:pt>
                <c:pt idx="5">
                  <c:v>167</c:v>
                </c:pt>
                <c:pt idx="6">
                  <c:v>745</c:v>
                </c:pt>
                <c:pt idx="7">
                  <c:v>723</c:v>
                </c:pt>
                <c:pt idx="8">
                  <c:v>723</c:v>
                </c:pt>
                <c:pt idx="9">
                  <c:v>371</c:v>
                </c:pt>
                <c:pt idx="10">
                  <c:v>371</c:v>
                </c:pt>
                <c:pt idx="11">
                  <c:v>371</c:v>
                </c:pt>
                <c:pt idx="12">
                  <c:v>83</c:v>
                </c:pt>
                <c:pt idx="13">
                  <c:v>83</c:v>
                </c:pt>
                <c:pt idx="14">
                  <c:v>83</c:v>
                </c:pt>
                <c:pt idx="15">
                  <c:v>560</c:v>
                </c:pt>
                <c:pt idx="16">
                  <c:v>560</c:v>
                </c:pt>
                <c:pt idx="17">
                  <c:v>560</c:v>
                </c:pt>
                <c:pt idx="18">
                  <c:v>40</c:v>
                </c:pt>
                <c:pt idx="19">
                  <c:v>40</c:v>
                </c:pt>
                <c:pt idx="20">
                  <c:v>40</c:v>
                </c:pt>
                <c:pt idx="21">
                  <c:v>0</c:v>
                </c:pt>
                <c:pt idx="22">
                  <c:v>0</c:v>
                </c:pt>
                <c:pt idx="23">
                  <c:v>0</c:v>
                </c:pt>
                <c:pt idx="24">
                  <c:v>200</c:v>
                </c:pt>
                <c:pt idx="25">
                  <c:v>200</c:v>
                </c:pt>
                <c:pt idx="26">
                  <c:v>200</c:v>
                </c:pt>
                <c:pt idx="27">
                  <c:v>0</c:v>
                </c:pt>
                <c:pt idx="28">
                  <c:v>0</c:v>
                </c:pt>
                <c:pt idx="29">
                  <c:v>0</c:v>
                </c:pt>
                <c:pt idx="30">
                  <c:v>458</c:v>
                </c:pt>
                <c:pt idx="31">
                  <c:v>458</c:v>
                </c:pt>
                <c:pt idx="32">
                  <c:v>458</c:v>
                </c:pt>
                <c:pt idx="33">
                  <c:v>1816</c:v>
                </c:pt>
                <c:pt idx="34">
                  <c:v>1887</c:v>
                </c:pt>
                <c:pt idx="35">
                  <c:v>1887</c:v>
                </c:pt>
                <c:pt idx="36">
                  <c:v>31</c:v>
                </c:pt>
                <c:pt idx="37">
                  <c:v>31</c:v>
                </c:pt>
                <c:pt idx="38">
                  <c:v>31</c:v>
                </c:pt>
                <c:pt idx="39">
                  <c:v>830</c:v>
                </c:pt>
                <c:pt idx="40">
                  <c:v>830</c:v>
                </c:pt>
                <c:pt idx="41">
                  <c:v>830</c:v>
                </c:pt>
                <c:pt idx="42">
                  <c:v>260</c:v>
                </c:pt>
                <c:pt idx="43">
                  <c:v>0</c:v>
                </c:pt>
                <c:pt idx="44">
                  <c:v>0</c:v>
                </c:pt>
                <c:pt idx="45">
                  <c:v>377</c:v>
                </c:pt>
                <c:pt idx="46">
                  <c:v>377</c:v>
                </c:pt>
                <c:pt idx="47">
                  <c:v>377</c:v>
                </c:pt>
                <c:pt idx="48">
                  <c:v>197</c:v>
                </c:pt>
                <c:pt idx="49">
                  <c:v>140</c:v>
                </c:pt>
                <c:pt idx="50">
                  <c:v>140</c:v>
                </c:pt>
                <c:pt idx="51">
                  <c:v>458</c:v>
                </c:pt>
                <c:pt idx="52">
                  <c:v>458</c:v>
                </c:pt>
                <c:pt idx="53">
                  <c:v>458</c:v>
                </c:pt>
                <c:pt idx="54">
                  <c:v>0</c:v>
                </c:pt>
                <c:pt idx="55">
                  <c:v>0</c:v>
                </c:pt>
                <c:pt idx="56">
                  <c:v>0</c:v>
                </c:pt>
                <c:pt idx="57">
                  <c:v>0</c:v>
                </c:pt>
                <c:pt idx="58">
                  <c:v>0</c:v>
                </c:pt>
                <c:pt idx="59">
                  <c:v>496</c:v>
                </c:pt>
                <c:pt idx="60">
                  <c:v>0</c:v>
                </c:pt>
                <c:pt idx="61">
                  <c:v>0</c:v>
                </c:pt>
                <c:pt idx="62">
                  <c:v>0</c:v>
                </c:pt>
                <c:pt idx="63">
                  <c:v>448</c:v>
                </c:pt>
                <c:pt idx="64">
                  <c:v>448</c:v>
                </c:pt>
                <c:pt idx="65">
                  <c:v>448</c:v>
                </c:pt>
                <c:pt idx="66">
                  <c:v>20</c:v>
                </c:pt>
                <c:pt idx="67">
                  <c:v>875</c:v>
                </c:pt>
                <c:pt idx="68">
                  <c:v>875</c:v>
                </c:pt>
                <c:pt idx="69">
                  <c:v>132</c:v>
                </c:pt>
                <c:pt idx="70">
                  <c:v>132</c:v>
                </c:pt>
                <c:pt idx="71">
                  <c:v>132</c:v>
                </c:pt>
                <c:pt idx="72">
                  <c:v>0</c:v>
                </c:pt>
                <c:pt idx="73">
                  <c:v>0</c:v>
                </c:pt>
                <c:pt idx="74">
                  <c:v>0</c:v>
                </c:pt>
                <c:pt idx="75">
                  <c:v>0</c:v>
                </c:pt>
                <c:pt idx="76">
                  <c:v>0</c:v>
                </c:pt>
                <c:pt idx="77">
                  <c:v>0</c:v>
                </c:pt>
                <c:pt idx="78">
                  <c:v>553</c:v>
                </c:pt>
                <c:pt idx="79">
                  <c:v>553</c:v>
                </c:pt>
                <c:pt idx="80">
                  <c:v>553</c:v>
                </c:pt>
                <c:pt idx="81">
                  <c:v>519</c:v>
                </c:pt>
                <c:pt idx="82">
                  <c:v>519</c:v>
                </c:pt>
                <c:pt idx="83">
                  <c:v>519</c:v>
                </c:pt>
                <c:pt idx="84">
                  <c:v>360</c:v>
                </c:pt>
                <c:pt idx="85">
                  <c:v>640</c:v>
                </c:pt>
                <c:pt idx="86">
                  <c:v>640</c:v>
                </c:pt>
                <c:pt idx="87">
                  <c:v>3659</c:v>
                </c:pt>
                <c:pt idx="88">
                  <c:v>3659</c:v>
                </c:pt>
                <c:pt idx="89">
                  <c:v>3659</c:v>
                </c:pt>
                <c:pt idx="90">
                  <c:v>121</c:v>
                </c:pt>
                <c:pt idx="91">
                  <c:v>0</c:v>
                </c:pt>
                <c:pt idx="92">
                  <c:v>0</c:v>
                </c:pt>
                <c:pt idx="93">
                  <c:v>140</c:v>
                </c:pt>
                <c:pt idx="94">
                  <c:v>140</c:v>
                </c:pt>
                <c:pt idx="95">
                  <c:v>140</c:v>
                </c:pt>
                <c:pt idx="96">
                  <c:v>154</c:v>
                </c:pt>
                <c:pt idx="97">
                  <c:v>154</c:v>
                </c:pt>
                <c:pt idx="98">
                  <c:v>154</c:v>
                </c:pt>
                <c:pt idx="99">
                  <c:v>0</c:v>
                </c:pt>
                <c:pt idx="100">
                  <c:v>680</c:v>
                </c:pt>
                <c:pt idx="101">
                  <c:v>680</c:v>
                </c:pt>
                <c:pt idx="102">
                  <c:v>0</c:v>
                </c:pt>
                <c:pt idx="103">
                  <c:v>0</c:v>
                </c:pt>
                <c:pt idx="104">
                  <c:v>0</c:v>
                </c:pt>
                <c:pt idx="105">
                  <c:v>140</c:v>
                </c:pt>
                <c:pt idx="106">
                  <c:v>860</c:v>
                </c:pt>
                <c:pt idx="107">
                  <c:v>860</c:v>
                </c:pt>
                <c:pt idx="108">
                  <c:v>430</c:v>
                </c:pt>
                <c:pt idx="109">
                  <c:v>430</c:v>
                </c:pt>
                <c:pt idx="110">
                  <c:v>430</c:v>
                </c:pt>
                <c:pt idx="111">
                  <c:v>489</c:v>
                </c:pt>
                <c:pt idx="112">
                  <c:v>320</c:v>
                </c:pt>
                <c:pt idx="113">
                  <c:v>320</c:v>
                </c:pt>
                <c:pt idx="114">
                  <c:v>560</c:v>
                </c:pt>
                <c:pt idx="115">
                  <c:v>640</c:v>
                </c:pt>
                <c:pt idx="116">
                  <c:v>640</c:v>
                </c:pt>
                <c:pt idx="117">
                  <c:v>39</c:v>
                </c:pt>
                <c:pt idx="118">
                  <c:v>0</c:v>
                </c:pt>
                <c:pt idx="119">
                  <c:v>0</c:v>
                </c:pt>
                <c:pt idx="120">
                  <c:v>80</c:v>
                </c:pt>
                <c:pt idx="121">
                  <c:v>80</c:v>
                </c:pt>
                <c:pt idx="122">
                  <c:v>80</c:v>
                </c:pt>
                <c:pt idx="123">
                  <c:v>63</c:v>
                </c:pt>
                <c:pt idx="124">
                  <c:v>63</c:v>
                </c:pt>
                <c:pt idx="125">
                  <c:v>63</c:v>
                </c:pt>
                <c:pt idx="126">
                  <c:v>94</c:v>
                </c:pt>
                <c:pt idx="127">
                  <c:v>94</c:v>
                </c:pt>
                <c:pt idx="128">
                  <c:v>94</c:v>
                </c:pt>
                <c:pt idx="129">
                  <c:v>0</c:v>
                </c:pt>
                <c:pt idx="130">
                  <c:v>0</c:v>
                </c:pt>
                <c:pt idx="131">
                  <c:v>0</c:v>
                </c:pt>
                <c:pt idx="132">
                  <c:v>240</c:v>
                </c:pt>
                <c:pt idx="133">
                  <c:v>240</c:v>
                </c:pt>
                <c:pt idx="134">
                  <c:v>240</c:v>
                </c:pt>
                <c:pt idx="135">
                  <c:v>156</c:v>
                </c:pt>
                <c:pt idx="136">
                  <c:v>156</c:v>
                </c:pt>
                <c:pt idx="137">
                  <c:v>156</c:v>
                </c:pt>
                <c:pt idx="138">
                  <c:v>138</c:v>
                </c:pt>
                <c:pt idx="139">
                  <c:v>138</c:v>
                </c:pt>
                <c:pt idx="140">
                  <c:v>138</c:v>
                </c:pt>
                <c:pt idx="141">
                  <c:v>267</c:v>
                </c:pt>
                <c:pt idx="142">
                  <c:v>267</c:v>
                </c:pt>
                <c:pt idx="143">
                  <c:v>249</c:v>
                </c:pt>
                <c:pt idx="144">
                  <c:v>66</c:v>
                </c:pt>
                <c:pt idx="145">
                  <c:v>66</c:v>
                </c:pt>
                <c:pt idx="146">
                  <c:v>66</c:v>
                </c:pt>
                <c:pt idx="147">
                  <c:v>960</c:v>
                </c:pt>
                <c:pt idx="148">
                  <c:v>0</c:v>
                </c:pt>
                <c:pt idx="149">
                  <c:v>0</c:v>
                </c:pt>
                <c:pt idx="150">
                  <c:v>120</c:v>
                </c:pt>
                <c:pt idx="151">
                  <c:v>320</c:v>
                </c:pt>
                <c:pt idx="152">
                  <c:v>320</c:v>
                </c:pt>
                <c:pt idx="153">
                  <c:v>2455</c:v>
                </c:pt>
                <c:pt idx="154">
                  <c:v>2691</c:v>
                </c:pt>
                <c:pt idx="155">
                  <c:v>2691</c:v>
                </c:pt>
                <c:pt idx="156">
                  <c:v>218</c:v>
                </c:pt>
                <c:pt idx="157">
                  <c:v>218</c:v>
                </c:pt>
                <c:pt idx="158">
                  <c:v>218</c:v>
                </c:pt>
                <c:pt idx="159">
                  <c:v>672</c:v>
                </c:pt>
                <c:pt idx="160">
                  <c:v>672</c:v>
                </c:pt>
                <c:pt idx="161">
                  <c:v>672</c:v>
                </c:pt>
                <c:pt idx="162">
                  <c:v>252</c:v>
                </c:pt>
                <c:pt idx="163">
                  <c:v>0</c:v>
                </c:pt>
                <c:pt idx="164">
                  <c:v>0</c:v>
                </c:pt>
                <c:pt idx="165">
                  <c:v>0</c:v>
                </c:pt>
                <c:pt idx="166">
                  <c:v>160</c:v>
                </c:pt>
                <c:pt idx="167">
                  <c:v>160</c:v>
                </c:pt>
                <c:pt idx="168">
                  <c:v>320</c:v>
                </c:pt>
                <c:pt idx="169">
                  <c:v>640</c:v>
                </c:pt>
                <c:pt idx="170">
                  <c:v>640</c:v>
                </c:pt>
                <c:pt idx="171">
                  <c:v>856</c:v>
                </c:pt>
                <c:pt idx="172">
                  <c:v>895</c:v>
                </c:pt>
                <c:pt idx="173">
                  <c:v>895</c:v>
                </c:pt>
                <c:pt idx="174">
                  <c:v>80</c:v>
                </c:pt>
                <c:pt idx="175">
                  <c:v>80</c:v>
                </c:pt>
                <c:pt idx="176">
                  <c:v>80</c:v>
                </c:pt>
                <c:pt idx="177">
                  <c:v>40</c:v>
                </c:pt>
                <c:pt idx="178">
                  <c:v>40</c:v>
                </c:pt>
                <c:pt idx="179">
                  <c:v>40</c:v>
                </c:pt>
                <c:pt idx="180">
                  <c:v>420</c:v>
                </c:pt>
                <c:pt idx="181">
                  <c:v>420</c:v>
                </c:pt>
                <c:pt idx="182">
                  <c:v>420</c:v>
                </c:pt>
                <c:pt idx="183">
                  <c:v>146</c:v>
                </c:pt>
                <c:pt idx="184">
                  <c:v>146</c:v>
                </c:pt>
                <c:pt idx="185">
                  <c:v>146</c:v>
                </c:pt>
                <c:pt idx="186">
                  <c:v>180</c:v>
                </c:pt>
                <c:pt idx="187">
                  <c:v>180</c:v>
                </c:pt>
                <c:pt idx="188">
                  <c:v>180</c:v>
                </c:pt>
                <c:pt idx="189">
                  <c:v>289</c:v>
                </c:pt>
                <c:pt idx="190">
                  <c:v>291</c:v>
                </c:pt>
                <c:pt idx="191">
                  <c:v>120</c:v>
                </c:pt>
                <c:pt idx="192">
                  <c:v>760</c:v>
                </c:pt>
                <c:pt idx="193">
                  <c:v>760</c:v>
                </c:pt>
                <c:pt idx="194">
                  <c:v>760</c:v>
                </c:pt>
                <c:pt idx="195">
                  <c:v>160</c:v>
                </c:pt>
                <c:pt idx="196">
                  <c:v>300</c:v>
                </c:pt>
                <c:pt idx="197">
                  <c:v>300</c:v>
                </c:pt>
                <c:pt idx="198">
                  <c:v>240</c:v>
                </c:pt>
                <c:pt idx="199">
                  <c:v>240</c:v>
                </c:pt>
                <c:pt idx="200">
                  <c:v>240</c:v>
                </c:pt>
                <c:pt idx="201">
                  <c:v>140</c:v>
                </c:pt>
                <c:pt idx="202">
                  <c:v>140</c:v>
                </c:pt>
                <c:pt idx="203">
                  <c:v>140</c:v>
                </c:pt>
                <c:pt idx="204">
                  <c:v>40</c:v>
                </c:pt>
                <c:pt idx="205">
                  <c:v>40</c:v>
                </c:pt>
                <c:pt idx="206">
                  <c:v>40</c:v>
                </c:pt>
                <c:pt idx="207">
                  <c:v>120</c:v>
                </c:pt>
                <c:pt idx="208">
                  <c:v>120</c:v>
                </c:pt>
                <c:pt idx="209">
                  <c:v>120</c:v>
                </c:pt>
                <c:pt idx="210">
                  <c:v>1801</c:v>
                </c:pt>
                <c:pt idx="211">
                  <c:v>1801</c:v>
                </c:pt>
                <c:pt idx="212">
                  <c:v>1801</c:v>
                </c:pt>
                <c:pt idx="213">
                  <c:v>721</c:v>
                </c:pt>
                <c:pt idx="214">
                  <c:v>721</c:v>
                </c:pt>
                <c:pt idx="215">
                  <c:v>721</c:v>
                </c:pt>
                <c:pt idx="216">
                  <c:v>600</c:v>
                </c:pt>
                <c:pt idx="217">
                  <c:v>600</c:v>
                </c:pt>
                <c:pt idx="218">
                  <c:v>600</c:v>
                </c:pt>
                <c:pt idx="219">
                  <c:v>1481</c:v>
                </c:pt>
                <c:pt idx="220">
                  <c:v>1481</c:v>
                </c:pt>
                <c:pt idx="221">
                  <c:v>1481</c:v>
                </c:pt>
                <c:pt idx="222">
                  <c:v>2500</c:v>
                </c:pt>
                <c:pt idx="223">
                  <c:v>2500</c:v>
                </c:pt>
                <c:pt idx="224">
                  <c:v>2500</c:v>
                </c:pt>
                <c:pt idx="225">
                  <c:v>191</c:v>
                </c:pt>
                <c:pt idx="226">
                  <c:v>191</c:v>
                </c:pt>
                <c:pt idx="227">
                  <c:v>191</c:v>
                </c:pt>
                <c:pt idx="228">
                  <c:v>1855</c:v>
                </c:pt>
                <c:pt idx="229">
                  <c:v>1900</c:v>
                </c:pt>
                <c:pt idx="230">
                  <c:v>1900</c:v>
                </c:pt>
                <c:pt idx="231">
                  <c:v>694</c:v>
                </c:pt>
                <c:pt idx="232">
                  <c:v>694</c:v>
                </c:pt>
                <c:pt idx="233">
                  <c:v>694</c:v>
                </c:pt>
                <c:pt idx="234">
                  <c:v>140</c:v>
                </c:pt>
                <c:pt idx="235">
                  <c:v>140</c:v>
                </c:pt>
                <c:pt idx="236">
                  <c:v>140</c:v>
                </c:pt>
                <c:pt idx="237">
                  <c:v>741</c:v>
                </c:pt>
                <c:pt idx="238">
                  <c:v>741</c:v>
                </c:pt>
                <c:pt idx="239">
                  <c:v>741</c:v>
                </c:pt>
                <c:pt idx="240">
                  <c:v>560</c:v>
                </c:pt>
                <c:pt idx="241">
                  <c:v>560</c:v>
                </c:pt>
                <c:pt idx="242">
                  <c:v>560</c:v>
                </c:pt>
                <c:pt idx="243">
                  <c:v>547</c:v>
                </c:pt>
                <c:pt idx="244">
                  <c:v>547</c:v>
                </c:pt>
                <c:pt idx="245">
                  <c:v>547</c:v>
                </c:pt>
                <c:pt idx="246">
                  <c:v>0</c:v>
                </c:pt>
                <c:pt idx="247">
                  <c:v>0</c:v>
                </c:pt>
                <c:pt idx="248">
                  <c:v>0</c:v>
                </c:pt>
                <c:pt idx="249">
                  <c:v>0</c:v>
                </c:pt>
                <c:pt idx="250">
                  <c:v>80</c:v>
                </c:pt>
                <c:pt idx="251">
                  <c:v>80</c:v>
                </c:pt>
                <c:pt idx="252">
                  <c:v>160</c:v>
                </c:pt>
                <c:pt idx="253">
                  <c:v>160</c:v>
                </c:pt>
                <c:pt idx="254">
                  <c:v>160</c:v>
                </c:pt>
                <c:pt idx="255">
                  <c:v>240</c:v>
                </c:pt>
                <c:pt idx="256">
                  <c:v>240</c:v>
                </c:pt>
                <c:pt idx="257">
                  <c:v>240</c:v>
                </c:pt>
                <c:pt idx="258">
                  <c:v>0</c:v>
                </c:pt>
                <c:pt idx="259">
                  <c:v>0</c:v>
                </c:pt>
                <c:pt idx="260">
                  <c:v>0</c:v>
                </c:pt>
                <c:pt idx="261">
                  <c:v>0</c:v>
                </c:pt>
                <c:pt idx="262">
                  <c:v>0</c:v>
                </c:pt>
                <c:pt idx="263">
                  <c:v>0</c:v>
                </c:pt>
                <c:pt idx="264">
                  <c:v>0</c:v>
                </c:pt>
                <c:pt idx="265">
                  <c:v>0</c:v>
                </c:pt>
                <c:pt idx="266">
                  <c:v>0</c:v>
                </c:pt>
                <c:pt idx="267">
                  <c:v>19</c:v>
                </c:pt>
                <c:pt idx="268">
                  <c:v>135</c:v>
                </c:pt>
                <c:pt idx="269">
                  <c:v>135</c:v>
                </c:pt>
                <c:pt idx="270">
                  <c:v>148</c:v>
                </c:pt>
                <c:pt idx="271">
                  <c:v>160</c:v>
                </c:pt>
                <c:pt idx="272">
                  <c:v>160</c:v>
                </c:pt>
                <c:pt idx="273">
                  <c:v>156</c:v>
                </c:pt>
                <c:pt idx="274">
                  <c:v>800</c:v>
                </c:pt>
                <c:pt idx="275">
                  <c:v>789</c:v>
                </c:pt>
                <c:pt idx="276">
                  <c:v>789</c:v>
                </c:pt>
                <c:pt idx="277">
                  <c:v>0</c:v>
                </c:pt>
                <c:pt idx="278">
                  <c:v>0</c:v>
                </c:pt>
                <c:pt idx="279">
                  <c:v>0</c:v>
                </c:pt>
                <c:pt idx="280">
                  <c:v>92</c:v>
                </c:pt>
                <c:pt idx="281">
                  <c:v>92</c:v>
                </c:pt>
                <c:pt idx="282">
                  <c:v>92</c:v>
                </c:pt>
                <c:pt idx="283">
                  <c:v>123</c:v>
                </c:pt>
                <c:pt idx="284">
                  <c:v>123</c:v>
                </c:pt>
                <c:pt idx="285">
                  <c:v>123</c:v>
                </c:pt>
                <c:pt idx="286">
                  <c:v>0</c:v>
                </c:pt>
                <c:pt idx="287">
                  <c:v>0</c:v>
                </c:pt>
                <c:pt idx="288">
                  <c:v>0</c:v>
                </c:pt>
                <c:pt idx="289">
                  <c:v>0</c:v>
                </c:pt>
                <c:pt idx="290">
                  <c:v>0</c:v>
                </c:pt>
                <c:pt idx="291">
                  <c:v>0</c:v>
                </c:pt>
                <c:pt idx="292">
                  <c:v>305</c:v>
                </c:pt>
                <c:pt idx="293">
                  <c:v>305</c:v>
                </c:pt>
                <c:pt idx="294">
                  <c:v>305</c:v>
                </c:pt>
                <c:pt idx="295">
                  <c:v>0</c:v>
                </c:pt>
                <c:pt idx="296">
                  <c:v>0</c:v>
                </c:pt>
                <c:pt idx="297">
                  <c:v>0</c:v>
                </c:pt>
                <c:pt idx="298">
                  <c:v>280</c:v>
                </c:pt>
                <c:pt idx="299">
                  <c:v>280</c:v>
                </c:pt>
                <c:pt idx="300">
                  <c:v>280</c:v>
                </c:pt>
                <c:pt idx="301">
                  <c:v>0</c:v>
                </c:pt>
                <c:pt idx="302">
                  <c:v>0</c:v>
                </c:pt>
                <c:pt idx="303">
                  <c:v>0</c:v>
                </c:pt>
                <c:pt idx="304">
                  <c:v>200</c:v>
                </c:pt>
                <c:pt idx="305">
                  <c:v>200</c:v>
                </c:pt>
                <c:pt idx="306">
                  <c:v>200</c:v>
                </c:pt>
                <c:pt idx="307">
                  <c:v>180</c:v>
                </c:pt>
                <c:pt idx="308">
                  <c:v>180</c:v>
                </c:pt>
                <c:pt idx="309">
                  <c:v>180</c:v>
                </c:pt>
                <c:pt idx="310">
                  <c:v>30</c:v>
                </c:pt>
                <c:pt idx="311">
                  <c:v>30</c:v>
                </c:pt>
                <c:pt idx="312">
                  <c:v>30</c:v>
                </c:pt>
                <c:pt idx="313">
                  <c:v>111</c:v>
                </c:pt>
                <c:pt idx="314">
                  <c:v>111</c:v>
                </c:pt>
                <c:pt idx="315">
                  <c:v>111</c:v>
                </c:pt>
                <c:pt idx="316">
                  <c:v>114</c:v>
                </c:pt>
                <c:pt idx="317">
                  <c:v>114</c:v>
                </c:pt>
                <c:pt idx="318">
                  <c:v>114</c:v>
                </c:pt>
                <c:pt idx="319">
                  <c:v>45</c:v>
                </c:pt>
                <c:pt idx="320">
                  <c:v>45</c:v>
                </c:pt>
                <c:pt idx="321">
                  <c:v>45</c:v>
                </c:pt>
                <c:pt idx="322">
                  <c:v>0</c:v>
                </c:pt>
                <c:pt idx="323">
                  <c:v>0</c:v>
                </c:pt>
                <c:pt idx="324">
                  <c:v>0</c:v>
                </c:pt>
                <c:pt idx="325">
                  <c:v>160</c:v>
                </c:pt>
                <c:pt idx="326">
                  <c:v>235</c:v>
                </c:pt>
                <c:pt idx="327">
                  <c:v>235</c:v>
                </c:pt>
                <c:pt idx="328">
                  <c:v>0</c:v>
                </c:pt>
                <c:pt idx="329">
                  <c:v>0</c:v>
                </c:pt>
                <c:pt idx="330">
                  <c:v>0</c:v>
                </c:pt>
                <c:pt idx="331">
                  <c:v>390</c:v>
                </c:pt>
                <c:pt idx="332">
                  <c:v>390</c:v>
                </c:pt>
                <c:pt idx="333">
                  <c:v>400</c:v>
                </c:pt>
                <c:pt idx="334">
                  <c:v>200</c:v>
                </c:pt>
                <c:pt idx="335">
                  <c:v>200</c:v>
                </c:pt>
                <c:pt idx="336">
                  <c:v>200</c:v>
                </c:pt>
                <c:pt idx="337">
                  <c:v>0</c:v>
                </c:pt>
                <c:pt idx="338">
                  <c:v>0</c:v>
                </c:pt>
                <c:pt idx="339">
                  <c:v>0</c:v>
                </c:pt>
                <c:pt idx="340">
                  <c:v>212</c:v>
                </c:pt>
                <c:pt idx="341">
                  <c:v>212</c:v>
                </c:pt>
                <c:pt idx="342">
                  <c:v>212</c:v>
                </c:pt>
                <c:pt idx="343">
                  <c:v>263</c:v>
                </c:pt>
                <c:pt idx="344">
                  <c:v>263</c:v>
                </c:pt>
                <c:pt idx="345">
                  <c:v>263</c:v>
                </c:pt>
                <c:pt idx="346">
                  <c:v>114</c:v>
                </c:pt>
                <c:pt idx="347">
                  <c:v>114</c:v>
                </c:pt>
                <c:pt idx="348">
                  <c:v>114</c:v>
                </c:pt>
                <c:pt idx="349">
                  <c:v>42</c:v>
                </c:pt>
                <c:pt idx="350">
                  <c:v>42</c:v>
                </c:pt>
                <c:pt idx="351">
                  <c:v>42</c:v>
                </c:pt>
                <c:pt idx="352">
                  <c:v>182</c:v>
                </c:pt>
                <c:pt idx="353">
                  <c:v>182</c:v>
                </c:pt>
                <c:pt idx="354">
                  <c:v>182</c:v>
                </c:pt>
                <c:pt idx="355">
                  <c:v>160</c:v>
                </c:pt>
                <c:pt idx="356">
                  <c:v>160</c:v>
                </c:pt>
                <c:pt idx="357">
                  <c:v>160</c:v>
                </c:pt>
                <c:pt idx="358">
                  <c:v>36</c:v>
                </c:pt>
                <c:pt idx="359">
                  <c:v>36</c:v>
                </c:pt>
                <c:pt idx="360">
                  <c:v>36</c:v>
                </c:pt>
                <c:pt idx="361">
                  <c:v>320</c:v>
                </c:pt>
                <c:pt idx="362">
                  <c:v>320</c:v>
                </c:pt>
                <c:pt idx="363">
                  <c:v>320</c:v>
                </c:pt>
                <c:pt idx="364">
                  <c:v>260</c:v>
                </c:pt>
                <c:pt idx="365">
                  <c:v>260</c:v>
                </c:pt>
                <c:pt idx="366">
                  <c:v>260</c:v>
                </c:pt>
                <c:pt idx="367">
                  <c:v>309</c:v>
                </c:pt>
                <c:pt idx="368">
                  <c:v>309</c:v>
                </c:pt>
                <c:pt idx="369">
                  <c:v>309</c:v>
                </c:pt>
                <c:pt idx="370">
                  <c:v>76</c:v>
                </c:pt>
                <c:pt idx="371">
                  <c:v>218</c:v>
                </c:pt>
                <c:pt idx="372">
                  <c:v>218</c:v>
                </c:pt>
                <c:pt idx="373">
                  <c:v>218</c:v>
                </c:pt>
                <c:pt idx="374">
                  <c:v>41</c:v>
                </c:pt>
                <c:pt idx="375">
                  <c:v>41</c:v>
                </c:pt>
                <c:pt idx="376">
                  <c:v>41</c:v>
                </c:pt>
                <c:pt idx="377">
                  <c:v>82</c:v>
                </c:pt>
                <c:pt idx="378">
                  <c:v>82</c:v>
                </c:pt>
                <c:pt idx="379">
                  <c:v>82</c:v>
                </c:pt>
                <c:pt idx="380">
                  <c:v>100</c:v>
                </c:pt>
                <c:pt idx="381">
                  <c:v>100</c:v>
                </c:pt>
                <c:pt idx="382">
                  <c:v>100</c:v>
                </c:pt>
                <c:pt idx="383">
                  <c:v>547</c:v>
                </c:pt>
                <c:pt idx="384">
                  <c:v>547</c:v>
                </c:pt>
                <c:pt idx="385">
                  <c:v>547</c:v>
                </c:pt>
                <c:pt idx="386">
                  <c:v>525</c:v>
                </c:pt>
                <c:pt idx="387">
                  <c:v>525</c:v>
                </c:pt>
                <c:pt idx="388">
                  <c:v>525</c:v>
                </c:pt>
                <c:pt idx="389">
                  <c:v>1658</c:v>
                </c:pt>
                <c:pt idx="390">
                  <c:v>1675</c:v>
                </c:pt>
                <c:pt idx="391">
                  <c:v>1675</c:v>
                </c:pt>
                <c:pt idx="392">
                  <c:v>281</c:v>
                </c:pt>
                <c:pt idx="393">
                  <c:v>281</c:v>
                </c:pt>
                <c:pt idx="394">
                  <c:v>281</c:v>
                </c:pt>
                <c:pt idx="395">
                  <c:v>294</c:v>
                </c:pt>
                <c:pt idx="396">
                  <c:v>294</c:v>
                </c:pt>
                <c:pt idx="397">
                  <c:v>294</c:v>
                </c:pt>
                <c:pt idx="398">
                  <c:v>882</c:v>
                </c:pt>
                <c:pt idx="399">
                  <c:v>882</c:v>
                </c:pt>
                <c:pt idx="400">
                  <c:v>882</c:v>
                </c:pt>
                <c:pt idx="401">
                  <c:v>0</c:v>
                </c:pt>
                <c:pt idx="402">
                  <c:v>1260</c:v>
                </c:pt>
                <c:pt idx="403">
                  <c:v>1260</c:v>
                </c:pt>
                <c:pt idx="404">
                  <c:v>3050</c:v>
                </c:pt>
                <c:pt idx="405">
                  <c:v>2975</c:v>
                </c:pt>
                <c:pt idx="406">
                  <c:v>2975</c:v>
                </c:pt>
                <c:pt idx="407">
                  <c:v>750</c:v>
                </c:pt>
                <c:pt idx="408">
                  <c:v>750</c:v>
                </c:pt>
                <c:pt idx="409">
                  <c:v>750</c:v>
                </c:pt>
                <c:pt idx="410">
                  <c:v>196</c:v>
                </c:pt>
                <c:pt idx="411">
                  <c:v>196</c:v>
                </c:pt>
                <c:pt idx="412">
                  <c:v>196</c:v>
                </c:pt>
                <c:pt idx="413">
                  <c:v>27</c:v>
                </c:pt>
                <c:pt idx="414">
                  <c:v>27</c:v>
                </c:pt>
                <c:pt idx="415">
                  <c:v>27</c:v>
                </c:pt>
                <c:pt idx="416">
                  <c:v>264</c:v>
                </c:pt>
                <c:pt idx="417">
                  <c:v>264</c:v>
                </c:pt>
                <c:pt idx="418">
                  <c:v>264</c:v>
                </c:pt>
                <c:pt idx="419">
                  <c:v>0</c:v>
                </c:pt>
                <c:pt idx="420">
                  <c:v>100</c:v>
                </c:pt>
                <c:pt idx="421">
                  <c:v>100</c:v>
                </c:pt>
                <c:pt idx="422">
                  <c:v>514</c:v>
                </c:pt>
                <c:pt idx="423">
                  <c:v>514</c:v>
                </c:pt>
                <c:pt idx="424">
                  <c:v>514</c:v>
                </c:pt>
                <c:pt idx="425">
                  <c:v>612</c:v>
                </c:pt>
                <c:pt idx="426">
                  <c:v>612</c:v>
                </c:pt>
                <c:pt idx="427">
                  <c:v>612</c:v>
                </c:pt>
                <c:pt idx="428">
                  <c:v>493</c:v>
                </c:pt>
                <c:pt idx="429">
                  <c:v>493</c:v>
                </c:pt>
                <c:pt idx="430">
                  <c:v>493</c:v>
                </c:pt>
                <c:pt idx="431">
                  <c:v>280</c:v>
                </c:pt>
                <c:pt idx="432">
                  <c:v>280</c:v>
                </c:pt>
                <c:pt idx="433">
                  <c:v>280</c:v>
                </c:pt>
                <c:pt idx="434">
                  <c:v>189</c:v>
                </c:pt>
                <c:pt idx="435">
                  <c:v>189</c:v>
                </c:pt>
                <c:pt idx="436">
                  <c:v>189</c:v>
                </c:pt>
                <c:pt idx="437">
                  <c:v>38</c:v>
                </c:pt>
                <c:pt idx="438">
                  <c:v>38</c:v>
                </c:pt>
                <c:pt idx="439">
                  <c:v>38</c:v>
                </c:pt>
                <c:pt idx="440">
                  <c:v>3000</c:v>
                </c:pt>
                <c:pt idx="441">
                  <c:v>3000</c:v>
                </c:pt>
                <c:pt idx="442">
                  <c:v>2920</c:v>
                </c:pt>
                <c:pt idx="443">
                  <c:v>0</c:v>
                </c:pt>
                <c:pt idx="444">
                  <c:v>0</c:v>
                </c:pt>
                <c:pt idx="445">
                  <c:v>0</c:v>
                </c:pt>
                <c:pt idx="446">
                  <c:v>325</c:v>
                </c:pt>
                <c:pt idx="447">
                  <c:v>325</c:v>
                </c:pt>
                <c:pt idx="448">
                  <c:v>325</c:v>
                </c:pt>
                <c:pt idx="449">
                  <c:v>136</c:v>
                </c:pt>
                <c:pt idx="450">
                  <c:v>136</c:v>
                </c:pt>
                <c:pt idx="451">
                  <c:v>136</c:v>
                </c:pt>
                <c:pt idx="452">
                  <c:v>173</c:v>
                </c:pt>
                <c:pt idx="453">
                  <c:v>173</c:v>
                </c:pt>
                <c:pt idx="454">
                  <c:v>173</c:v>
                </c:pt>
                <c:pt idx="455">
                  <c:v>250</c:v>
                </c:pt>
                <c:pt idx="456">
                  <c:v>255</c:v>
                </c:pt>
                <c:pt idx="457">
                  <c:v>255</c:v>
                </c:pt>
                <c:pt idx="458">
                  <c:v>1775</c:v>
                </c:pt>
                <c:pt idx="459">
                  <c:v>1775</c:v>
                </c:pt>
                <c:pt idx="460">
                  <c:v>1775</c:v>
                </c:pt>
                <c:pt idx="461">
                  <c:v>103</c:v>
                </c:pt>
                <c:pt idx="462">
                  <c:v>103</c:v>
                </c:pt>
                <c:pt idx="463">
                  <c:v>103</c:v>
                </c:pt>
                <c:pt idx="464">
                  <c:v>0</c:v>
                </c:pt>
                <c:pt idx="465">
                  <c:v>0</c:v>
                </c:pt>
                <c:pt idx="466">
                  <c:v>0</c:v>
                </c:pt>
                <c:pt idx="467">
                  <c:v>80</c:v>
                </c:pt>
                <c:pt idx="468">
                  <c:v>80</c:v>
                </c:pt>
                <c:pt idx="469">
                  <c:v>80</c:v>
                </c:pt>
                <c:pt idx="470">
                  <c:v>260</c:v>
                </c:pt>
                <c:pt idx="471">
                  <c:v>260</c:v>
                </c:pt>
                <c:pt idx="472">
                  <c:v>260</c:v>
                </c:pt>
                <c:pt idx="473">
                  <c:v>111</c:v>
                </c:pt>
                <c:pt idx="474">
                  <c:v>111</c:v>
                </c:pt>
                <c:pt idx="475">
                  <c:v>111</c:v>
                </c:pt>
                <c:pt idx="476">
                  <c:v>958</c:v>
                </c:pt>
                <c:pt idx="477">
                  <c:v>958</c:v>
                </c:pt>
                <c:pt idx="478">
                  <c:v>958</c:v>
                </c:pt>
                <c:pt idx="479">
                  <c:v>260</c:v>
                </c:pt>
                <c:pt idx="480">
                  <c:v>260</c:v>
                </c:pt>
                <c:pt idx="481">
                  <c:v>260</c:v>
                </c:pt>
                <c:pt idx="482">
                  <c:v>180</c:v>
                </c:pt>
                <c:pt idx="483">
                  <c:v>180</c:v>
                </c:pt>
                <c:pt idx="484">
                  <c:v>180</c:v>
                </c:pt>
                <c:pt idx="485">
                  <c:v>340</c:v>
                </c:pt>
                <c:pt idx="486">
                  <c:v>340</c:v>
                </c:pt>
                <c:pt idx="487">
                  <c:v>340</c:v>
                </c:pt>
                <c:pt idx="488">
                  <c:v>120</c:v>
                </c:pt>
                <c:pt idx="489">
                  <c:v>0</c:v>
                </c:pt>
                <c:pt idx="490">
                  <c:v>360</c:v>
                </c:pt>
                <c:pt idx="491">
                  <c:v>360</c:v>
                </c:pt>
                <c:pt idx="492">
                  <c:v>52</c:v>
                </c:pt>
                <c:pt idx="493">
                  <c:v>52</c:v>
                </c:pt>
                <c:pt idx="494">
                  <c:v>52</c:v>
                </c:pt>
                <c:pt idx="495">
                  <c:v>0</c:v>
                </c:pt>
                <c:pt idx="496">
                  <c:v>0</c:v>
                </c:pt>
                <c:pt idx="497">
                  <c:v>0</c:v>
                </c:pt>
                <c:pt idx="498">
                  <c:v>0</c:v>
                </c:pt>
                <c:pt idx="499">
                  <c:v>0</c:v>
                </c:pt>
                <c:pt idx="500">
                  <c:v>0</c:v>
                </c:pt>
                <c:pt idx="501">
                  <c:v>0</c:v>
                </c:pt>
                <c:pt idx="502">
                  <c:v>80</c:v>
                </c:pt>
                <c:pt idx="503">
                  <c:v>80</c:v>
                </c:pt>
                <c:pt idx="504">
                  <c:v>0</c:v>
                </c:pt>
                <c:pt idx="505">
                  <c:v>0</c:v>
                </c:pt>
                <c:pt idx="506">
                  <c:v>0</c:v>
                </c:pt>
                <c:pt idx="507">
                  <c:v>220</c:v>
                </c:pt>
                <c:pt idx="508">
                  <c:v>220</c:v>
                </c:pt>
                <c:pt idx="509">
                  <c:v>220</c:v>
                </c:pt>
                <c:pt idx="510">
                  <c:v>253</c:v>
                </c:pt>
                <c:pt idx="511">
                  <c:v>253</c:v>
                </c:pt>
                <c:pt idx="512">
                  <c:v>253</c:v>
                </c:pt>
                <c:pt idx="513">
                  <c:v>77</c:v>
                </c:pt>
                <c:pt idx="514">
                  <c:v>77</c:v>
                </c:pt>
                <c:pt idx="515">
                  <c:v>77</c:v>
                </c:pt>
                <c:pt idx="516">
                  <c:v>100</c:v>
                </c:pt>
                <c:pt idx="517">
                  <c:v>100</c:v>
                </c:pt>
                <c:pt idx="518">
                  <c:v>100</c:v>
                </c:pt>
                <c:pt idx="519">
                  <c:v>219</c:v>
                </c:pt>
                <c:pt idx="520">
                  <c:v>219</c:v>
                </c:pt>
                <c:pt idx="521">
                  <c:v>219</c:v>
                </c:pt>
                <c:pt idx="522">
                  <c:v>140</c:v>
                </c:pt>
                <c:pt idx="523">
                  <c:v>140</c:v>
                </c:pt>
                <c:pt idx="524">
                  <c:v>140</c:v>
                </c:pt>
                <c:pt idx="525">
                  <c:v>87</c:v>
                </c:pt>
                <c:pt idx="526">
                  <c:v>87</c:v>
                </c:pt>
                <c:pt idx="527">
                  <c:v>87</c:v>
                </c:pt>
                <c:pt idx="528">
                  <c:v>0</c:v>
                </c:pt>
                <c:pt idx="529">
                  <c:v>0</c:v>
                </c:pt>
                <c:pt idx="530">
                  <c:v>0</c:v>
                </c:pt>
                <c:pt idx="531">
                  <c:v>560</c:v>
                </c:pt>
                <c:pt idx="532">
                  <c:v>560</c:v>
                </c:pt>
                <c:pt idx="533">
                  <c:v>560</c:v>
                </c:pt>
                <c:pt idx="534">
                  <c:v>183</c:v>
                </c:pt>
                <c:pt idx="535">
                  <c:v>183</c:v>
                </c:pt>
                <c:pt idx="536">
                  <c:v>183</c:v>
                </c:pt>
                <c:pt idx="537">
                  <c:v>160</c:v>
                </c:pt>
                <c:pt idx="538">
                  <c:v>160</c:v>
                </c:pt>
                <c:pt idx="539">
                  <c:v>160</c:v>
                </c:pt>
                <c:pt idx="540">
                  <c:v>200</c:v>
                </c:pt>
                <c:pt idx="541">
                  <c:v>200</c:v>
                </c:pt>
                <c:pt idx="542">
                  <c:v>200</c:v>
                </c:pt>
                <c:pt idx="543">
                  <c:v>172</c:v>
                </c:pt>
                <c:pt idx="544">
                  <c:v>172</c:v>
                </c:pt>
                <c:pt idx="545">
                  <c:v>172</c:v>
                </c:pt>
                <c:pt idx="546">
                  <c:v>4540</c:v>
                </c:pt>
                <c:pt idx="547">
                  <c:v>4240</c:v>
                </c:pt>
                <c:pt idx="548">
                  <c:v>4700</c:v>
                </c:pt>
                <c:pt idx="549">
                  <c:v>0</c:v>
                </c:pt>
                <c:pt idx="550">
                  <c:v>0</c:v>
                </c:pt>
                <c:pt idx="551">
                  <c:v>0</c:v>
                </c:pt>
                <c:pt idx="552">
                  <c:v>0</c:v>
                </c:pt>
                <c:pt idx="553">
                  <c:v>0</c:v>
                </c:pt>
                <c:pt idx="554">
                  <c:v>0</c:v>
                </c:pt>
                <c:pt idx="555">
                  <c:v>59</c:v>
                </c:pt>
                <c:pt idx="556">
                  <c:v>67</c:v>
                </c:pt>
                <c:pt idx="557">
                  <c:v>67</c:v>
                </c:pt>
                <c:pt idx="558">
                  <c:v>67</c:v>
                </c:pt>
                <c:pt idx="559">
                  <c:v>1025</c:v>
                </c:pt>
                <c:pt idx="560">
                  <c:v>1025</c:v>
                </c:pt>
                <c:pt idx="561">
                  <c:v>1025</c:v>
                </c:pt>
                <c:pt idx="562">
                  <c:v>0</c:v>
                </c:pt>
                <c:pt idx="563">
                  <c:v>0</c:v>
                </c:pt>
                <c:pt idx="564">
                  <c:v>0</c:v>
                </c:pt>
                <c:pt idx="565">
                  <c:v>0</c:v>
                </c:pt>
                <c:pt idx="566">
                  <c:v>0</c:v>
                </c:pt>
                <c:pt idx="567">
                  <c:v>0</c:v>
                </c:pt>
                <c:pt idx="568">
                  <c:v>20</c:v>
                </c:pt>
                <c:pt idx="569">
                  <c:v>20</c:v>
                </c:pt>
                <c:pt idx="570">
                  <c:v>120</c:v>
                </c:pt>
                <c:pt idx="571">
                  <c:v>95</c:v>
                </c:pt>
                <c:pt idx="572">
                  <c:v>95</c:v>
                </c:pt>
                <c:pt idx="573">
                  <c:v>95</c:v>
                </c:pt>
                <c:pt idx="574">
                  <c:v>0</c:v>
                </c:pt>
                <c:pt idx="575">
                  <c:v>0</c:v>
                </c:pt>
                <c:pt idx="576">
                  <c:v>0</c:v>
                </c:pt>
                <c:pt idx="577">
                  <c:v>0</c:v>
                </c:pt>
                <c:pt idx="578">
                  <c:v>0</c:v>
                </c:pt>
                <c:pt idx="579">
                  <c:v>0</c:v>
                </c:pt>
                <c:pt idx="580">
                  <c:v>0</c:v>
                </c:pt>
                <c:pt idx="581">
                  <c:v>0</c:v>
                </c:pt>
                <c:pt idx="582">
                  <c:v>0</c:v>
                </c:pt>
                <c:pt idx="583">
                  <c:v>0</c:v>
                </c:pt>
                <c:pt idx="584">
                  <c:v>0</c:v>
                </c:pt>
                <c:pt idx="585">
                  <c:v>0</c:v>
                </c:pt>
                <c:pt idx="586">
                  <c:v>80</c:v>
                </c:pt>
                <c:pt idx="587">
                  <c:v>80</c:v>
                </c:pt>
                <c:pt idx="588">
                  <c:v>140</c:v>
                </c:pt>
                <c:pt idx="589">
                  <c:v>144</c:v>
                </c:pt>
                <c:pt idx="590">
                  <c:v>144</c:v>
                </c:pt>
                <c:pt idx="591">
                  <c:v>0</c:v>
                </c:pt>
                <c:pt idx="592">
                  <c:v>0</c:v>
                </c:pt>
                <c:pt idx="593">
                  <c:v>0</c:v>
                </c:pt>
                <c:pt idx="594">
                  <c:v>100</c:v>
                </c:pt>
                <c:pt idx="595">
                  <c:v>685</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Dashboard'!$L$5:$M$804</c:f>
              <c:multiLvlStrCache>
                <c:ptCount val="596"/>
                <c:lvl>
                  <c:pt idx="0">
                    <c:v>2020_Q1</c:v>
                  </c:pt>
                  <c:pt idx="1">
                    <c:v>2020_Q2</c:v>
                  </c:pt>
                  <c:pt idx="2">
                    <c:v>2020_Q3</c:v>
                  </c:pt>
                  <c:pt idx="3">
                    <c:v>2020_Q1</c:v>
                  </c:pt>
                  <c:pt idx="4">
                    <c:v>2020_Q2</c:v>
                  </c:pt>
                  <c:pt idx="5">
                    <c:v>2020_Q3</c:v>
                  </c:pt>
                  <c:pt idx="6">
                    <c:v>2020_Q1</c:v>
                  </c:pt>
                  <c:pt idx="7">
                    <c:v>2020_Q2</c:v>
                  </c:pt>
                  <c:pt idx="8">
                    <c:v>2020_Q3</c:v>
                  </c:pt>
                  <c:pt idx="9">
                    <c:v>2020_Q1</c:v>
                  </c:pt>
                  <c:pt idx="10">
                    <c:v>2020_Q2</c:v>
                  </c:pt>
                  <c:pt idx="11">
                    <c:v>2020_Q3</c:v>
                  </c:pt>
                  <c:pt idx="12">
                    <c:v>2020_Q1</c:v>
                  </c:pt>
                  <c:pt idx="13">
                    <c:v>2020_Q2</c:v>
                  </c:pt>
                  <c:pt idx="14">
                    <c:v>2020_Q3</c:v>
                  </c:pt>
                  <c:pt idx="15">
                    <c:v>2020_Q1</c:v>
                  </c:pt>
                  <c:pt idx="16">
                    <c:v>2020_Q2</c:v>
                  </c:pt>
                  <c:pt idx="17">
                    <c:v>2020_Q3</c:v>
                  </c:pt>
                  <c:pt idx="18">
                    <c:v>2020_Q1</c:v>
                  </c:pt>
                  <c:pt idx="19">
                    <c:v>2020_Q2</c:v>
                  </c:pt>
                  <c:pt idx="20">
                    <c:v>2020_Q3</c:v>
                  </c:pt>
                  <c:pt idx="21">
                    <c:v>2020_Q1</c:v>
                  </c:pt>
                  <c:pt idx="22">
                    <c:v>2020_Q2</c:v>
                  </c:pt>
                  <c:pt idx="23">
                    <c:v>2020_Q3</c:v>
                  </c:pt>
                  <c:pt idx="24">
                    <c:v>2020_Q1</c:v>
                  </c:pt>
                  <c:pt idx="25">
                    <c:v>2020_Q2</c:v>
                  </c:pt>
                  <c:pt idx="26">
                    <c:v>2020_Q3</c:v>
                  </c:pt>
                  <c:pt idx="27">
                    <c:v>2020_Q1</c:v>
                  </c:pt>
                  <c:pt idx="28">
                    <c:v>2020_Q2</c:v>
                  </c:pt>
                  <c:pt idx="29">
                    <c:v>2020_Q3</c:v>
                  </c:pt>
                  <c:pt idx="30">
                    <c:v>2020_Q1</c:v>
                  </c:pt>
                  <c:pt idx="31">
                    <c:v>2020_Q2</c:v>
                  </c:pt>
                  <c:pt idx="32">
                    <c:v>2020_Q3</c:v>
                  </c:pt>
                  <c:pt idx="33">
                    <c:v>2020_Q1</c:v>
                  </c:pt>
                  <c:pt idx="34">
                    <c:v>2020_Q2</c:v>
                  </c:pt>
                  <c:pt idx="35">
                    <c:v>2020_Q3</c:v>
                  </c:pt>
                  <c:pt idx="36">
                    <c:v>2020_Q1</c:v>
                  </c:pt>
                  <c:pt idx="37">
                    <c:v>2020_Q2</c:v>
                  </c:pt>
                  <c:pt idx="38">
                    <c:v>2020_Q3</c:v>
                  </c:pt>
                  <c:pt idx="39">
                    <c:v>2020_Q1</c:v>
                  </c:pt>
                  <c:pt idx="40">
                    <c:v>2020_Q2</c:v>
                  </c:pt>
                  <c:pt idx="41">
                    <c:v>2020_Q3</c:v>
                  </c:pt>
                  <c:pt idx="42">
                    <c:v>2020_Q1</c:v>
                  </c:pt>
                  <c:pt idx="43">
                    <c:v>2020_Q2</c:v>
                  </c:pt>
                  <c:pt idx="44">
                    <c:v>2020_Q3</c:v>
                  </c:pt>
                  <c:pt idx="45">
                    <c:v>2020_Q1</c:v>
                  </c:pt>
                  <c:pt idx="46">
                    <c:v>2020_Q2</c:v>
                  </c:pt>
                  <c:pt idx="47">
                    <c:v>2020_Q3</c:v>
                  </c:pt>
                  <c:pt idx="48">
                    <c:v>2020_Q1</c:v>
                  </c:pt>
                  <c:pt idx="49">
                    <c:v>2020_Q2</c:v>
                  </c:pt>
                  <c:pt idx="50">
                    <c:v>2020_Q3</c:v>
                  </c:pt>
                  <c:pt idx="51">
                    <c:v>2020_Q1</c:v>
                  </c:pt>
                  <c:pt idx="52">
                    <c:v>2020_Q2</c:v>
                  </c:pt>
                  <c:pt idx="53">
                    <c:v>2020_Q3</c:v>
                  </c:pt>
                  <c:pt idx="54">
                    <c:v>2020_Q1</c:v>
                  </c:pt>
                  <c:pt idx="55">
                    <c:v>2020_Q2</c:v>
                  </c:pt>
                  <c:pt idx="56">
                    <c:v>2020_Q3</c:v>
                  </c:pt>
                  <c:pt idx="57">
                    <c:v>2020_Q1</c:v>
                  </c:pt>
                  <c:pt idx="58">
                    <c:v>2020_Q2</c:v>
                  </c:pt>
                  <c:pt idx="59">
                    <c:v>2020_Q3</c:v>
                  </c:pt>
                  <c:pt idx="60">
                    <c:v>2020_Q1</c:v>
                  </c:pt>
                  <c:pt idx="61">
                    <c:v>2020_Q2</c:v>
                  </c:pt>
                  <c:pt idx="62">
                    <c:v>2020_Q3</c:v>
                  </c:pt>
                  <c:pt idx="63">
                    <c:v>2020_Q1</c:v>
                  </c:pt>
                  <c:pt idx="64">
                    <c:v>2020_Q2</c:v>
                  </c:pt>
                  <c:pt idx="65">
                    <c:v>2020_Q3</c:v>
                  </c:pt>
                  <c:pt idx="66">
                    <c:v>2020_Q1</c:v>
                  </c:pt>
                  <c:pt idx="67">
                    <c:v>2020_Q2</c:v>
                  </c:pt>
                  <c:pt idx="68">
                    <c:v>2020_Q3</c:v>
                  </c:pt>
                  <c:pt idx="69">
                    <c:v>2020_Q1</c:v>
                  </c:pt>
                  <c:pt idx="70">
                    <c:v>2020_Q2</c:v>
                  </c:pt>
                  <c:pt idx="71">
                    <c:v>2020_Q3</c:v>
                  </c:pt>
                  <c:pt idx="72">
                    <c:v>2020_Q1</c:v>
                  </c:pt>
                  <c:pt idx="73">
                    <c:v>2020_Q2</c:v>
                  </c:pt>
                  <c:pt idx="74">
                    <c:v>2020_Q3</c:v>
                  </c:pt>
                  <c:pt idx="75">
                    <c:v>2020_Q1</c:v>
                  </c:pt>
                  <c:pt idx="76">
                    <c:v>2020_Q2</c:v>
                  </c:pt>
                  <c:pt idx="77">
                    <c:v>2020_Q3</c:v>
                  </c:pt>
                  <c:pt idx="78">
                    <c:v>2020_Q1</c:v>
                  </c:pt>
                  <c:pt idx="79">
                    <c:v>2020_Q2</c:v>
                  </c:pt>
                  <c:pt idx="80">
                    <c:v>2020_Q3</c:v>
                  </c:pt>
                  <c:pt idx="81">
                    <c:v>2020_Q1</c:v>
                  </c:pt>
                  <c:pt idx="82">
                    <c:v>2020_Q2</c:v>
                  </c:pt>
                  <c:pt idx="83">
                    <c:v>2020_Q3</c:v>
                  </c:pt>
                  <c:pt idx="84">
                    <c:v>2020_Q1</c:v>
                  </c:pt>
                  <c:pt idx="85">
                    <c:v>2020_Q2</c:v>
                  </c:pt>
                  <c:pt idx="86">
                    <c:v>2020_Q3</c:v>
                  </c:pt>
                  <c:pt idx="87">
                    <c:v>2020_Q1</c:v>
                  </c:pt>
                  <c:pt idx="88">
                    <c:v>2020_Q2</c:v>
                  </c:pt>
                  <c:pt idx="89">
                    <c:v>2020_Q3</c:v>
                  </c:pt>
                  <c:pt idx="90">
                    <c:v>2020_Q1</c:v>
                  </c:pt>
                  <c:pt idx="91">
                    <c:v>2020_Q2</c:v>
                  </c:pt>
                  <c:pt idx="92">
                    <c:v>2020_Q3</c:v>
                  </c:pt>
                  <c:pt idx="93">
                    <c:v>2020_Q1</c:v>
                  </c:pt>
                  <c:pt idx="94">
                    <c:v>2020_Q2</c:v>
                  </c:pt>
                  <c:pt idx="95">
                    <c:v>2020_Q3</c:v>
                  </c:pt>
                  <c:pt idx="96">
                    <c:v>2020_Q1</c:v>
                  </c:pt>
                  <c:pt idx="97">
                    <c:v>2020_Q2</c:v>
                  </c:pt>
                  <c:pt idx="98">
                    <c:v>2020_Q3</c:v>
                  </c:pt>
                  <c:pt idx="99">
                    <c:v>2020_Q1</c:v>
                  </c:pt>
                  <c:pt idx="100">
                    <c:v>2020_Q2</c:v>
                  </c:pt>
                  <c:pt idx="101">
                    <c:v>2020_Q3</c:v>
                  </c:pt>
                  <c:pt idx="102">
                    <c:v>2020_Q1</c:v>
                  </c:pt>
                  <c:pt idx="103">
                    <c:v>2020_Q2</c:v>
                  </c:pt>
                  <c:pt idx="104">
                    <c:v>2020_Q3</c:v>
                  </c:pt>
                  <c:pt idx="105">
                    <c:v>2020_Q1</c:v>
                  </c:pt>
                  <c:pt idx="106">
                    <c:v>2020_Q2</c:v>
                  </c:pt>
                  <c:pt idx="107">
                    <c:v>2020_Q3</c:v>
                  </c:pt>
                  <c:pt idx="108">
                    <c:v>2020_Q1</c:v>
                  </c:pt>
                  <c:pt idx="109">
                    <c:v>2020_Q2</c:v>
                  </c:pt>
                  <c:pt idx="110">
                    <c:v>2020_Q3</c:v>
                  </c:pt>
                  <c:pt idx="111">
                    <c:v>2020_Q1</c:v>
                  </c:pt>
                  <c:pt idx="112">
                    <c:v>2020_Q2</c:v>
                  </c:pt>
                  <c:pt idx="113">
                    <c:v>2020_Q3</c:v>
                  </c:pt>
                  <c:pt idx="114">
                    <c:v>2020_Q1</c:v>
                  </c:pt>
                  <c:pt idx="115">
                    <c:v>2020_Q2</c:v>
                  </c:pt>
                  <c:pt idx="116">
                    <c:v>2020_Q3</c:v>
                  </c:pt>
                  <c:pt idx="117">
                    <c:v>2020_Q1</c:v>
                  </c:pt>
                  <c:pt idx="118">
                    <c:v>2020_Q2</c:v>
                  </c:pt>
                  <c:pt idx="119">
                    <c:v>2020_Q3</c:v>
                  </c:pt>
                  <c:pt idx="120">
                    <c:v>2020_Q1</c:v>
                  </c:pt>
                  <c:pt idx="121">
                    <c:v>2020_Q2</c:v>
                  </c:pt>
                  <c:pt idx="122">
                    <c:v>2020_Q3</c:v>
                  </c:pt>
                  <c:pt idx="123">
                    <c:v>2020_Q1</c:v>
                  </c:pt>
                  <c:pt idx="124">
                    <c:v>2020_Q2</c:v>
                  </c:pt>
                  <c:pt idx="125">
                    <c:v>2020_Q3</c:v>
                  </c:pt>
                  <c:pt idx="126">
                    <c:v>2020_Q1</c:v>
                  </c:pt>
                  <c:pt idx="127">
                    <c:v>2020_Q2</c:v>
                  </c:pt>
                  <c:pt idx="128">
                    <c:v>2020_Q3</c:v>
                  </c:pt>
                  <c:pt idx="129">
                    <c:v>2020_Q1</c:v>
                  </c:pt>
                  <c:pt idx="130">
                    <c:v>2020_Q2</c:v>
                  </c:pt>
                  <c:pt idx="131">
                    <c:v>2020_Q3</c:v>
                  </c:pt>
                  <c:pt idx="132">
                    <c:v>2020_Q1</c:v>
                  </c:pt>
                  <c:pt idx="133">
                    <c:v>2020_Q2</c:v>
                  </c:pt>
                  <c:pt idx="134">
                    <c:v>2020_Q3</c:v>
                  </c:pt>
                  <c:pt idx="135">
                    <c:v>2020_Q1</c:v>
                  </c:pt>
                  <c:pt idx="136">
                    <c:v>2020_Q2</c:v>
                  </c:pt>
                  <c:pt idx="137">
                    <c:v>2020_Q3</c:v>
                  </c:pt>
                  <c:pt idx="138">
                    <c:v>2020_Q1</c:v>
                  </c:pt>
                  <c:pt idx="139">
                    <c:v>2020_Q2</c:v>
                  </c:pt>
                  <c:pt idx="140">
                    <c:v>2020_Q3</c:v>
                  </c:pt>
                  <c:pt idx="141">
                    <c:v>2020_Q1</c:v>
                  </c:pt>
                  <c:pt idx="142">
                    <c:v>2020_Q2</c:v>
                  </c:pt>
                  <c:pt idx="143">
                    <c:v>2020_Q3</c:v>
                  </c:pt>
                  <c:pt idx="144">
                    <c:v>2020_Q1</c:v>
                  </c:pt>
                  <c:pt idx="145">
                    <c:v>2020_Q2</c:v>
                  </c:pt>
                  <c:pt idx="146">
                    <c:v>2020_Q3</c:v>
                  </c:pt>
                  <c:pt idx="147">
                    <c:v>2020_Q1</c:v>
                  </c:pt>
                  <c:pt idx="148">
                    <c:v>2020_Q2</c:v>
                  </c:pt>
                  <c:pt idx="149">
                    <c:v>2020_Q3</c:v>
                  </c:pt>
                  <c:pt idx="150">
                    <c:v>2020_Q1</c:v>
                  </c:pt>
                  <c:pt idx="151">
                    <c:v>2020_Q2</c:v>
                  </c:pt>
                  <c:pt idx="152">
                    <c:v>2020_Q3</c:v>
                  </c:pt>
                  <c:pt idx="153">
                    <c:v>2020_Q1</c:v>
                  </c:pt>
                  <c:pt idx="154">
                    <c:v>2020_Q2</c:v>
                  </c:pt>
                  <c:pt idx="155">
                    <c:v>2020_Q3</c:v>
                  </c:pt>
                  <c:pt idx="156">
                    <c:v>2020_Q1</c:v>
                  </c:pt>
                  <c:pt idx="157">
                    <c:v>2020_Q2</c:v>
                  </c:pt>
                  <c:pt idx="158">
                    <c:v>2020_Q3</c:v>
                  </c:pt>
                  <c:pt idx="159">
                    <c:v>2020_Q1</c:v>
                  </c:pt>
                  <c:pt idx="160">
                    <c:v>2020_Q2</c:v>
                  </c:pt>
                  <c:pt idx="161">
                    <c:v>2020_Q3</c:v>
                  </c:pt>
                  <c:pt idx="162">
                    <c:v>2020_Q1</c:v>
                  </c:pt>
                  <c:pt idx="163">
                    <c:v>2020_Q2</c:v>
                  </c:pt>
                  <c:pt idx="164">
                    <c:v>2020_Q3</c:v>
                  </c:pt>
                  <c:pt idx="165">
                    <c:v>2020_Q1</c:v>
                  </c:pt>
                  <c:pt idx="166">
                    <c:v>2020_Q2</c:v>
                  </c:pt>
                  <c:pt idx="167">
                    <c:v>2020_Q3</c:v>
                  </c:pt>
                  <c:pt idx="168">
                    <c:v>2020_Q1</c:v>
                  </c:pt>
                  <c:pt idx="169">
                    <c:v>2020_Q2</c:v>
                  </c:pt>
                  <c:pt idx="170">
                    <c:v>2020_Q3</c:v>
                  </c:pt>
                  <c:pt idx="171">
                    <c:v>2020_Q1</c:v>
                  </c:pt>
                  <c:pt idx="172">
                    <c:v>2020_Q2</c:v>
                  </c:pt>
                  <c:pt idx="173">
                    <c:v>2020_Q3</c:v>
                  </c:pt>
                  <c:pt idx="174">
                    <c:v>2020_Q1</c:v>
                  </c:pt>
                  <c:pt idx="175">
                    <c:v>2020_Q2</c:v>
                  </c:pt>
                  <c:pt idx="176">
                    <c:v>2020_Q3</c:v>
                  </c:pt>
                  <c:pt idx="177">
                    <c:v>2020_Q1</c:v>
                  </c:pt>
                  <c:pt idx="178">
                    <c:v>2020_Q2</c:v>
                  </c:pt>
                  <c:pt idx="179">
                    <c:v>2020_Q3</c:v>
                  </c:pt>
                  <c:pt idx="180">
                    <c:v>2020_Q1</c:v>
                  </c:pt>
                  <c:pt idx="181">
                    <c:v>2020_Q2</c:v>
                  </c:pt>
                  <c:pt idx="182">
                    <c:v>2020_Q3</c:v>
                  </c:pt>
                  <c:pt idx="183">
                    <c:v>2020_Q1</c:v>
                  </c:pt>
                  <c:pt idx="184">
                    <c:v>2020_Q2</c:v>
                  </c:pt>
                  <c:pt idx="185">
                    <c:v>2020_Q3</c:v>
                  </c:pt>
                  <c:pt idx="186">
                    <c:v>2020_Q1</c:v>
                  </c:pt>
                  <c:pt idx="187">
                    <c:v>2020_Q2</c:v>
                  </c:pt>
                  <c:pt idx="188">
                    <c:v>2020_Q3</c:v>
                  </c:pt>
                  <c:pt idx="189">
                    <c:v>2020_Q1</c:v>
                  </c:pt>
                  <c:pt idx="190">
                    <c:v>2020_Q2</c:v>
                  </c:pt>
                  <c:pt idx="191">
                    <c:v>2020_Q3</c:v>
                  </c:pt>
                  <c:pt idx="192">
                    <c:v>2020_Q1</c:v>
                  </c:pt>
                  <c:pt idx="193">
                    <c:v>2020_Q2</c:v>
                  </c:pt>
                  <c:pt idx="194">
                    <c:v>2020_Q3</c:v>
                  </c:pt>
                  <c:pt idx="195">
                    <c:v>2020_Q1</c:v>
                  </c:pt>
                  <c:pt idx="196">
                    <c:v>2020_Q2</c:v>
                  </c:pt>
                  <c:pt idx="197">
                    <c:v>2020_Q3</c:v>
                  </c:pt>
                  <c:pt idx="198">
                    <c:v>2020_Q1</c:v>
                  </c:pt>
                  <c:pt idx="199">
                    <c:v>2020_Q2</c:v>
                  </c:pt>
                  <c:pt idx="200">
                    <c:v>2020_Q3</c:v>
                  </c:pt>
                  <c:pt idx="201">
                    <c:v>2020_Q1</c:v>
                  </c:pt>
                  <c:pt idx="202">
                    <c:v>2020_Q2</c:v>
                  </c:pt>
                  <c:pt idx="203">
                    <c:v>2020_Q3</c:v>
                  </c:pt>
                  <c:pt idx="204">
                    <c:v>2020_Q1</c:v>
                  </c:pt>
                  <c:pt idx="205">
                    <c:v>2020_Q2</c:v>
                  </c:pt>
                  <c:pt idx="206">
                    <c:v>2020_Q3</c:v>
                  </c:pt>
                  <c:pt idx="207">
                    <c:v>2020_Q1</c:v>
                  </c:pt>
                  <c:pt idx="208">
                    <c:v>2020_Q2</c:v>
                  </c:pt>
                  <c:pt idx="209">
                    <c:v>2020_Q3</c:v>
                  </c:pt>
                  <c:pt idx="210">
                    <c:v>2020_Q1</c:v>
                  </c:pt>
                  <c:pt idx="211">
                    <c:v>2020_Q2</c:v>
                  </c:pt>
                  <c:pt idx="212">
                    <c:v>2020_Q3</c:v>
                  </c:pt>
                  <c:pt idx="213">
                    <c:v>2020_Q1</c:v>
                  </c:pt>
                  <c:pt idx="214">
                    <c:v>2020_Q2</c:v>
                  </c:pt>
                  <c:pt idx="215">
                    <c:v>2020_Q3</c:v>
                  </c:pt>
                  <c:pt idx="216">
                    <c:v>2020_Q1</c:v>
                  </c:pt>
                  <c:pt idx="217">
                    <c:v>2020_Q2</c:v>
                  </c:pt>
                  <c:pt idx="218">
                    <c:v>2020_Q3</c:v>
                  </c:pt>
                  <c:pt idx="219">
                    <c:v>2020_Q1</c:v>
                  </c:pt>
                  <c:pt idx="220">
                    <c:v>2020_Q2</c:v>
                  </c:pt>
                  <c:pt idx="221">
                    <c:v>2020_Q3</c:v>
                  </c:pt>
                  <c:pt idx="222">
                    <c:v>2020_Q1</c:v>
                  </c:pt>
                  <c:pt idx="223">
                    <c:v>2020_Q2</c:v>
                  </c:pt>
                  <c:pt idx="224">
                    <c:v>2020_Q3</c:v>
                  </c:pt>
                  <c:pt idx="225">
                    <c:v>2020_Q1</c:v>
                  </c:pt>
                  <c:pt idx="226">
                    <c:v>2020_Q2</c:v>
                  </c:pt>
                  <c:pt idx="227">
                    <c:v>2020_Q3</c:v>
                  </c:pt>
                  <c:pt idx="228">
                    <c:v>2020_Q1</c:v>
                  </c:pt>
                  <c:pt idx="229">
                    <c:v>2020_Q2</c:v>
                  </c:pt>
                  <c:pt idx="230">
                    <c:v>2020_Q3</c:v>
                  </c:pt>
                  <c:pt idx="231">
                    <c:v>2020_Q1</c:v>
                  </c:pt>
                  <c:pt idx="232">
                    <c:v>2020_Q2</c:v>
                  </c:pt>
                  <c:pt idx="233">
                    <c:v>2020_Q3</c:v>
                  </c:pt>
                  <c:pt idx="234">
                    <c:v>2020_Q1</c:v>
                  </c:pt>
                  <c:pt idx="235">
                    <c:v>2020_Q2</c:v>
                  </c:pt>
                  <c:pt idx="236">
                    <c:v>2020_Q3</c:v>
                  </c:pt>
                  <c:pt idx="237">
                    <c:v>2020_Q1</c:v>
                  </c:pt>
                  <c:pt idx="238">
                    <c:v>2020_Q2</c:v>
                  </c:pt>
                  <c:pt idx="239">
                    <c:v>2020_Q3</c:v>
                  </c:pt>
                  <c:pt idx="240">
                    <c:v>2020_Q1</c:v>
                  </c:pt>
                  <c:pt idx="241">
                    <c:v>2020_Q2</c:v>
                  </c:pt>
                  <c:pt idx="242">
                    <c:v>2020_Q3</c:v>
                  </c:pt>
                  <c:pt idx="243">
                    <c:v>2020_Q1</c:v>
                  </c:pt>
                  <c:pt idx="244">
                    <c:v>2020_Q2</c:v>
                  </c:pt>
                  <c:pt idx="245">
                    <c:v>2020_Q3</c:v>
                  </c:pt>
                  <c:pt idx="246">
                    <c:v>2020_Q1</c:v>
                  </c:pt>
                  <c:pt idx="247">
                    <c:v>2020_Q2</c:v>
                  </c:pt>
                  <c:pt idx="248">
                    <c:v>2020_Q3</c:v>
                  </c:pt>
                  <c:pt idx="249">
                    <c:v>2020_Q1</c:v>
                  </c:pt>
                  <c:pt idx="250">
                    <c:v>2020_Q2</c:v>
                  </c:pt>
                  <c:pt idx="251">
                    <c:v>2020_Q3</c:v>
                  </c:pt>
                  <c:pt idx="252">
                    <c:v>2020_Q1</c:v>
                  </c:pt>
                  <c:pt idx="253">
                    <c:v>2020_Q2</c:v>
                  </c:pt>
                  <c:pt idx="254">
                    <c:v>2020_Q3</c:v>
                  </c:pt>
                  <c:pt idx="255">
                    <c:v>2020_Q1</c:v>
                  </c:pt>
                  <c:pt idx="256">
                    <c:v>2020_Q2</c:v>
                  </c:pt>
                  <c:pt idx="257">
                    <c:v>2020_Q3</c:v>
                  </c:pt>
                  <c:pt idx="258">
                    <c:v>2020_Q1</c:v>
                  </c:pt>
                  <c:pt idx="259">
                    <c:v>2020_Q2</c:v>
                  </c:pt>
                  <c:pt idx="260">
                    <c:v>2020_Q3</c:v>
                  </c:pt>
                  <c:pt idx="261">
                    <c:v>2020_Q1</c:v>
                  </c:pt>
                  <c:pt idx="262">
                    <c:v>2020_Q2</c:v>
                  </c:pt>
                  <c:pt idx="263">
                    <c:v>2020_Q3</c:v>
                  </c:pt>
                  <c:pt idx="264">
                    <c:v>2020_Q1</c:v>
                  </c:pt>
                  <c:pt idx="265">
                    <c:v>2020_Q2</c:v>
                  </c:pt>
                  <c:pt idx="266">
                    <c:v>2020_Q3</c:v>
                  </c:pt>
                  <c:pt idx="267">
                    <c:v>2020_Q1</c:v>
                  </c:pt>
                  <c:pt idx="268">
                    <c:v>2020_Q1</c:v>
                  </c:pt>
                  <c:pt idx="269">
                    <c:v>2020_Q2</c:v>
                  </c:pt>
                  <c:pt idx="270">
                    <c:v>2020_Q3</c:v>
                  </c:pt>
                  <c:pt idx="271">
                    <c:v>2020_Q1</c:v>
                  </c:pt>
                  <c:pt idx="272">
                    <c:v>2020_Q2</c:v>
                  </c:pt>
                  <c:pt idx="273">
                    <c:v>2020_Q3</c:v>
                  </c:pt>
                  <c:pt idx="274">
                    <c:v>2020_Q1</c:v>
                  </c:pt>
                  <c:pt idx="275">
                    <c:v>2020_Q2</c:v>
                  </c:pt>
                  <c:pt idx="276">
                    <c:v>2020_Q3</c:v>
                  </c:pt>
                  <c:pt idx="277">
                    <c:v>2020_Q1</c:v>
                  </c:pt>
                  <c:pt idx="278">
                    <c:v>2020_Q2</c:v>
                  </c:pt>
                  <c:pt idx="279">
                    <c:v>2020_Q3</c:v>
                  </c:pt>
                  <c:pt idx="280">
                    <c:v>2020_Q1</c:v>
                  </c:pt>
                  <c:pt idx="281">
                    <c:v>2020_Q2</c:v>
                  </c:pt>
                  <c:pt idx="282">
                    <c:v>2020_Q3</c:v>
                  </c:pt>
                  <c:pt idx="283">
                    <c:v>2020_Q1</c:v>
                  </c:pt>
                  <c:pt idx="284">
                    <c:v>2020_Q2</c:v>
                  </c:pt>
                  <c:pt idx="285">
                    <c:v>2020_Q3</c:v>
                  </c:pt>
                  <c:pt idx="286">
                    <c:v>2020_Q1</c:v>
                  </c:pt>
                  <c:pt idx="287">
                    <c:v>2020_Q2</c:v>
                  </c:pt>
                  <c:pt idx="288">
                    <c:v>2020_Q3</c:v>
                  </c:pt>
                  <c:pt idx="289">
                    <c:v>2020_Q1</c:v>
                  </c:pt>
                  <c:pt idx="290">
                    <c:v>2020_Q2</c:v>
                  </c:pt>
                  <c:pt idx="291">
                    <c:v>2020_Q3</c:v>
                  </c:pt>
                  <c:pt idx="292">
                    <c:v>2020_Q1</c:v>
                  </c:pt>
                  <c:pt idx="293">
                    <c:v>2020_Q2</c:v>
                  </c:pt>
                  <c:pt idx="294">
                    <c:v>2020_Q3</c:v>
                  </c:pt>
                  <c:pt idx="295">
                    <c:v>2020_Q1</c:v>
                  </c:pt>
                  <c:pt idx="296">
                    <c:v>2020_Q2</c:v>
                  </c:pt>
                  <c:pt idx="297">
                    <c:v>2020_Q3</c:v>
                  </c:pt>
                  <c:pt idx="298">
                    <c:v>2020_Q1</c:v>
                  </c:pt>
                  <c:pt idx="299">
                    <c:v>2020_Q2</c:v>
                  </c:pt>
                  <c:pt idx="300">
                    <c:v>2020_Q3</c:v>
                  </c:pt>
                  <c:pt idx="301">
                    <c:v>2020_Q1</c:v>
                  </c:pt>
                  <c:pt idx="302">
                    <c:v>2020_Q2</c:v>
                  </c:pt>
                  <c:pt idx="303">
                    <c:v>2020_Q3</c:v>
                  </c:pt>
                  <c:pt idx="304">
                    <c:v>2020_Q1</c:v>
                  </c:pt>
                  <c:pt idx="305">
                    <c:v>2020_Q2</c:v>
                  </c:pt>
                  <c:pt idx="306">
                    <c:v>2020_Q3</c:v>
                  </c:pt>
                  <c:pt idx="307">
                    <c:v>2020_Q1</c:v>
                  </c:pt>
                  <c:pt idx="308">
                    <c:v>2020_Q2</c:v>
                  </c:pt>
                  <c:pt idx="309">
                    <c:v>2020_Q3</c:v>
                  </c:pt>
                  <c:pt idx="310">
                    <c:v>2020_Q1</c:v>
                  </c:pt>
                  <c:pt idx="311">
                    <c:v>2020_Q2</c:v>
                  </c:pt>
                  <c:pt idx="312">
                    <c:v>2020_Q3</c:v>
                  </c:pt>
                  <c:pt idx="313">
                    <c:v>2020_Q1</c:v>
                  </c:pt>
                  <c:pt idx="314">
                    <c:v>2020_Q2</c:v>
                  </c:pt>
                  <c:pt idx="315">
                    <c:v>2020_Q3</c:v>
                  </c:pt>
                  <c:pt idx="316">
                    <c:v>2020_Q1</c:v>
                  </c:pt>
                  <c:pt idx="317">
                    <c:v>2020_Q2</c:v>
                  </c:pt>
                  <c:pt idx="318">
                    <c:v>2020_Q3</c:v>
                  </c:pt>
                  <c:pt idx="319">
                    <c:v>2020_Q1</c:v>
                  </c:pt>
                  <c:pt idx="320">
                    <c:v>2020_Q2</c:v>
                  </c:pt>
                  <c:pt idx="321">
                    <c:v>2020_Q3</c:v>
                  </c:pt>
                  <c:pt idx="322">
                    <c:v>2020_Q1</c:v>
                  </c:pt>
                  <c:pt idx="323">
                    <c:v>2020_Q2</c:v>
                  </c:pt>
                  <c:pt idx="324">
                    <c:v>2020_Q3</c:v>
                  </c:pt>
                  <c:pt idx="325">
                    <c:v>2020_Q1</c:v>
                  </c:pt>
                  <c:pt idx="326">
                    <c:v>2020_Q2</c:v>
                  </c:pt>
                  <c:pt idx="327">
                    <c:v>2020_Q3</c:v>
                  </c:pt>
                  <c:pt idx="328">
                    <c:v>2020_Q1</c:v>
                  </c:pt>
                  <c:pt idx="329">
                    <c:v>2020_Q2</c:v>
                  </c:pt>
                  <c:pt idx="330">
                    <c:v>2020_Q3</c:v>
                  </c:pt>
                  <c:pt idx="331">
                    <c:v>2020_Q1</c:v>
                  </c:pt>
                  <c:pt idx="332">
                    <c:v>2020_Q2</c:v>
                  </c:pt>
                  <c:pt idx="333">
                    <c:v>2020_Q3</c:v>
                  </c:pt>
                  <c:pt idx="334">
                    <c:v>2020_Q1</c:v>
                  </c:pt>
                  <c:pt idx="335">
                    <c:v>2020_Q2</c:v>
                  </c:pt>
                  <c:pt idx="336">
                    <c:v>2020_Q3</c:v>
                  </c:pt>
                  <c:pt idx="337">
                    <c:v>2020_Q1</c:v>
                  </c:pt>
                  <c:pt idx="338">
                    <c:v>2020_Q2</c:v>
                  </c:pt>
                  <c:pt idx="339">
                    <c:v>2020_Q3</c:v>
                  </c:pt>
                  <c:pt idx="340">
                    <c:v>2020_Q1</c:v>
                  </c:pt>
                  <c:pt idx="341">
                    <c:v>2020_Q2</c:v>
                  </c:pt>
                  <c:pt idx="342">
                    <c:v>2020_Q3</c:v>
                  </c:pt>
                  <c:pt idx="343">
                    <c:v>2020_Q1</c:v>
                  </c:pt>
                  <c:pt idx="344">
                    <c:v>2020_Q2</c:v>
                  </c:pt>
                  <c:pt idx="345">
                    <c:v>2020_Q3</c:v>
                  </c:pt>
                  <c:pt idx="346">
                    <c:v>2020_Q1</c:v>
                  </c:pt>
                  <c:pt idx="347">
                    <c:v>2020_Q2</c:v>
                  </c:pt>
                  <c:pt idx="348">
                    <c:v>2020_Q3</c:v>
                  </c:pt>
                  <c:pt idx="349">
                    <c:v>2020_Q1</c:v>
                  </c:pt>
                  <c:pt idx="350">
                    <c:v>2020_Q2</c:v>
                  </c:pt>
                  <c:pt idx="351">
                    <c:v>2020_Q3</c:v>
                  </c:pt>
                  <c:pt idx="352">
                    <c:v>2020_Q1</c:v>
                  </c:pt>
                  <c:pt idx="353">
                    <c:v>2020_Q2</c:v>
                  </c:pt>
                  <c:pt idx="354">
                    <c:v>2020_Q3</c:v>
                  </c:pt>
                  <c:pt idx="355">
                    <c:v>2020_Q1</c:v>
                  </c:pt>
                  <c:pt idx="356">
                    <c:v>2020_Q2</c:v>
                  </c:pt>
                  <c:pt idx="357">
                    <c:v>2020_Q3</c:v>
                  </c:pt>
                  <c:pt idx="358">
                    <c:v>2020_Q1</c:v>
                  </c:pt>
                  <c:pt idx="359">
                    <c:v>2020_Q2</c:v>
                  </c:pt>
                  <c:pt idx="360">
                    <c:v>2020_Q3</c:v>
                  </c:pt>
                  <c:pt idx="361">
                    <c:v>2020_Q1</c:v>
                  </c:pt>
                  <c:pt idx="362">
                    <c:v>2020_Q2</c:v>
                  </c:pt>
                  <c:pt idx="363">
                    <c:v>2020_Q3</c:v>
                  </c:pt>
                  <c:pt idx="364">
                    <c:v>2020_Q1</c:v>
                  </c:pt>
                  <c:pt idx="365">
                    <c:v>2020_Q2</c:v>
                  </c:pt>
                  <c:pt idx="366">
                    <c:v>2020_Q3</c:v>
                  </c:pt>
                  <c:pt idx="367">
                    <c:v>2020_Q1</c:v>
                  </c:pt>
                  <c:pt idx="368">
                    <c:v>2020_Q2</c:v>
                  </c:pt>
                  <c:pt idx="369">
                    <c:v>2020_Q3</c:v>
                  </c:pt>
                  <c:pt idx="370">
                    <c:v>2020_Q1</c:v>
                  </c:pt>
                  <c:pt idx="371">
                    <c:v>2020_Q1</c:v>
                  </c:pt>
                  <c:pt idx="372">
                    <c:v>2020_Q2</c:v>
                  </c:pt>
                  <c:pt idx="373">
                    <c:v>2020_Q3</c:v>
                  </c:pt>
                  <c:pt idx="374">
                    <c:v>2020_Q1</c:v>
                  </c:pt>
                  <c:pt idx="375">
                    <c:v>2020_Q2</c:v>
                  </c:pt>
                  <c:pt idx="376">
                    <c:v>2020_Q3</c:v>
                  </c:pt>
                  <c:pt idx="377">
                    <c:v>2020_Q1</c:v>
                  </c:pt>
                  <c:pt idx="378">
                    <c:v>2020_Q2</c:v>
                  </c:pt>
                  <c:pt idx="379">
                    <c:v>2020_Q3</c:v>
                  </c:pt>
                  <c:pt idx="380">
                    <c:v>2020_Q1</c:v>
                  </c:pt>
                  <c:pt idx="381">
                    <c:v>2020_Q2</c:v>
                  </c:pt>
                  <c:pt idx="382">
                    <c:v>2020_Q3</c:v>
                  </c:pt>
                  <c:pt idx="383">
                    <c:v>2020_Q1</c:v>
                  </c:pt>
                  <c:pt idx="384">
                    <c:v>2020_Q2</c:v>
                  </c:pt>
                  <c:pt idx="385">
                    <c:v>2020_Q3</c:v>
                  </c:pt>
                  <c:pt idx="386">
                    <c:v>2020_Q1</c:v>
                  </c:pt>
                  <c:pt idx="387">
                    <c:v>2020_Q2</c:v>
                  </c:pt>
                  <c:pt idx="388">
                    <c:v>2020_Q3</c:v>
                  </c:pt>
                  <c:pt idx="389">
                    <c:v>2020_Q1</c:v>
                  </c:pt>
                  <c:pt idx="390">
                    <c:v>2020_Q2</c:v>
                  </c:pt>
                  <c:pt idx="391">
                    <c:v>2020_Q3</c:v>
                  </c:pt>
                  <c:pt idx="392">
                    <c:v>2020_Q1</c:v>
                  </c:pt>
                  <c:pt idx="393">
                    <c:v>2020_Q2</c:v>
                  </c:pt>
                  <c:pt idx="394">
                    <c:v>2020_Q3</c:v>
                  </c:pt>
                  <c:pt idx="395">
                    <c:v>2020_Q1</c:v>
                  </c:pt>
                  <c:pt idx="396">
                    <c:v>2020_Q2</c:v>
                  </c:pt>
                  <c:pt idx="397">
                    <c:v>2020_Q3</c:v>
                  </c:pt>
                  <c:pt idx="398">
                    <c:v>2020_Q1</c:v>
                  </c:pt>
                  <c:pt idx="399">
                    <c:v>2020_Q2</c:v>
                  </c:pt>
                  <c:pt idx="400">
                    <c:v>2020_Q3</c:v>
                  </c:pt>
                  <c:pt idx="401">
                    <c:v>2020_Q1</c:v>
                  </c:pt>
                  <c:pt idx="402">
                    <c:v>2020_Q2</c:v>
                  </c:pt>
                  <c:pt idx="403">
                    <c:v>2020_Q3</c:v>
                  </c:pt>
                  <c:pt idx="404">
                    <c:v>2020_Q1</c:v>
                  </c:pt>
                  <c:pt idx="405">
                    <c:v>2020_Q2</c:v>
                  </c:pt>
                  <c:pt idx="406">
                    <c:v>2020_Q3</c:v>
                  </c:pt>
                  <c:pt idx="407">
                    <c:v>2020_Q1</c:v>
                  </c:pt>
                  <c:pt idx="408">
                    <c:v>2020_Q2</c:v>
                  </c:pt>
                  <c:pt idx="409">
                    <c:v>2020_Q3</c:v>
                  </c:pt>
                  <c:pt idx="410">
                    <c:v>2020_Q1</c:v>
                  </c:pt>
                  <c:pt idx="411">
                    <c:v>2020_Q2</c:v>
                  </c:pt>
                  <c:pt idx="412">
                    <c:v>2020_Q3</c:v>
                  </c:pt>
                  <c:pt idx="413">
                    <c:v>2020_Q1</c:v>
                  </c:pt>
                  <c:pt idx="414">
                    <c:v>2020_Q2</c:v>
                  </c:pt>
                  <c:pt idx="415">
                    <c:v>2020_Q3</c:v>
                  </c:pt>
                  <c:pt idx="416">
                    <c:v>2020_Q1</c:v>
                  </c:pt>
                  <c:pt idx="417">
                    <c:v>2020_Q2</c:v>
                  </c:pt>
                  <c:pt idx="418">
                    <c:v>2020_Q3</c:v>
                  </c:pt>
                  <c:pt idx="419">
                    <c:v>2020_Q1</c:v>
                  </c:pt>
                  <c:pt idx="420">
                    <c:v>2020_Q2</c:v>
                  </c:pt>
                  <c:pt idx="421">
                    <c:v>2020_Q3</c:v>
                  </c:pt>
                  <c:pt idx="422">
                    <c:v>2020_Q1</c:v>
                  </c:pt>
                  <c:pt idx="423">
                    <c:v>2020_Q2</c:v>
                  </c:pt>
                  <c:pt idx="424">
                    <c:v>2020_Q3</c:v>
                  </c:pt>
                  <c:pt idx="425">
                    <c:v>2020_Q1</c:v>
                  </c:pt>
                  <c:pt idx="426">
                    <c:v>2020_Q2</c:v>
                  </c:pt>
                  <c:pt idx="427">
                    <c:v>2020_Q3</c:v>
                  </c:pt>
                  <c:pt idx="428">
                    <c:v>2020_Q1</c:v>
                  </c:pt>
                  <c:pt idx="429">
                    <c:v>2020_Q2</c:v>
                  </c:pt>
                  <c:pt idx="430">
                    <c:v>2020_Q3</c:v>
                  </c:pt>
                  <c:pt idx="431">
                    <c:v>2020_Q1</c:v>
                  </c:pt>
                  <c:pt idx="432">
                    <c:v>2020_Q2</c:v>
                  </c:pt>
                  <c:pt idx="433">
                    <c:v>2020_Q3</c:v>
                  </c:pt>
                  <c:pt idx="434">
                    <c:v>2020_Q1</c:v>
                  </c:pt>
                  <c:pt idx="435">
                    <c:v>2020_Q2</c:v>
                  </c:pt>
                  <c:pt idx="436">
                    <c:v>2020_Q3</c:v>
                  </c:pt>
                  <c:pt idx="437">
                    <c:v>2020_Q1</c:v>
                  </c:pt>
                  <c:pt idx="438">
                    <c:v>2020_Q2</c:v>
                  </c:pt>
                  <c:pt idx="439">
                    <c:v>2020_Q3</c:v>
                  </c:pt>
                  <c:pt idx="440">
                    <c:v>2020_Q1</c:v>
                  </c:pt>
                  <c:pt idx="441">
                    <c:v>2020_Q2</c:v>
                  </c:pt>
                  <c:pt idx="442">
                    <c:v>2020_Q3</c:v>
                  </c:pt>
                  <c:pt idx="443">
                    <c:v>2020_Q1</c:v>
                  </c:pt>
                  <c:pt idx="444">
                    <c:v>2020_Q2</c:v>
                  </c:pt>
                  <c:pt idx="445">
                    <c:v>2020_Q3</c:v>
                  </c:pt>
                  <c:pt idx="446">
                    <c:v>2020_Q1</c:v>
                  </c:pt>
                  <c:pt idx="447">
                    <c:v>2020_Q2</c:v>
                  </c:pt>
                  <c:pt idx="448">
                    <c:v>2020_Q3</c:v>
                  </c:pt>
                  <c:pt idx="449">
                    <c:v>2020_Q1</c:v>
                  </c:pt>
                  <c:pt idx="450">
                    <c:v>2020_Q2</c:v>
                  </c:pt>
                  <c:pt idx="451">
                    <c:v>2020_Q3</c:v>
                  </c:pt>
                  <c:pt idx="452">
                    <c:v>2020_Q1</c:v>
                  </c:pt>
                  <c:pt idx="453">
                    <c:v>2020_Q2</c:v>
                  </c:pt>
                  <c:pt idx="454">
                    <c:v>2020_Q3</c:v>
                  </c:pt>
                  <c:pt idx="455">
                    <c:v>2020_Q1</c:v>
                  </c:pt>
                  <c:pt idx="456">
                    <c:v>2020_Q2</c:v>
                  </c:pt>
                  <c:pt idx="457">
                    <c:v>2020_Q3</c:v>
                  </c:pt>
                  <c:pt idx="458">
                    <c:v>2020_Q1</c:v>
                  </c:pt>
                  <c:pt idx="459">
                    <c:v>2020_Q2</c:v>
                  </c:pt>
                  <c:pt idx="460">
                    <c:v>2020_Q3</c:v>
                  </c:pt>
                  <c:pt idx="461">
                    <c:v>2020_Q1</c:v>
                  </c:pt>
                  <c:pt idx="462">
                    <c:v>2020_Q2</c:v>
                  </c:pt>
                  <c:pt idx="463">
                    <c:v>2020_Q3</c:v>
                  </c:pt>
                  <c:pt idx="464">
                    <c:v>2020_Q1</c:v>
                  </c:pt>
                  <c:pt idx="465">
                    <c:v>2020_Q2</c:v>
                  </c:pt>
                  <c:pt idx="466">
                    <c:v>2020_Q3</c:v>
                  </c:pt>
                  <c:pt idx="467">
                    <c:v>2020_Q1</c:v>
                  </c:pt>
                  <c:pt idx="468">
                    <c:v>2020_Q2</c:v>
                  </c:pt>
                  <c:pt idx="469">
                    <c:v>2020_Q3</c:v>
                  </c:pt>
                  <c:pt idx="470">
                    <c:v>2020_Q1</c:v>
                  </c:pt>
                  <c:pt idx="471">
                    <c:v>2020_Q2</c:v>
                  </c:pt>
                  <c:pt idx="472">
                    <c:v>2020_Q3</c:v>
                  </c:pt>
                  <c:pt idx="473">
                    <c:v>2020_Q1</c:v>
                  </c:pt>
                  <c:pt idx="474">
                    <c:v>2020_Q2</c:v>
                  </c:pt>
                  <c:pt idx="475">
                    <c:v>2020_Q3</c:v>
                  </c:pt>
                  <c:pt idx="476">
                    <c:v>2020_Q1</c:v>
                  </c:pt>
                  <c:pt idx="477">
                    <c:v>2020_Q2</c:v>
                  </c:pt>
                  <c:pt idx="478">
                    <c:v>2020_Q3</c:v>
                  </c:pt>
                  <c:pt idx="479">
                    <c:v>2020_Q1</c:v>
                  </c:pt>
                  <c:pt idx="480">
                    <c:v>2020_Q2</c:v>
                  </c:pt>
                  <c:pt idx="481">
                    <c:v>2020_Q3</c:v>
                  </c:pt>
                  <c:pt idx="482">
                    <c:v>2020_Q1</c:v>
                  </c:pt>
                  <c:pt idx="483">
                    <c:v>2020_Q2</c:v>
                  </c:pt>
                  <c:pt idx="484">
                    <c:v>2020_Q3</c:v>
                  </c:pt>
                  <c:pt idx="485">
                    <c:v>2020_Q1</c:v>
                  </c:pt>
                  <c:pt idx="486">
                    <c:v>2020_Q2</c:v>
                  </c:pt>
                  <c:pt idx="487">
                    <c:v>2020_Q3</c:v>
                  </c:pt>
                  <c:pt idx="488">
                    <c:v>2020_Q1</c:v>
                  </c:pt>
                  <c:pt idx="489">
                    <c:v>2020_Q1</c:v>
                  </c:pt>
                  <c:pt idx="490">
                    <c:v>2020_Q2</c:v>
                  </c:pt>
                  <c:pt idx="491">
                    <c:v>2020_Q3</c:v>
                  </c:pt>
                  <c:pt idx="492">
                    <c:v>2020_Q1</c:v>
                  </c:pt>
                  <c:pt idx="493">
                    <c:v>2020_Q2</c:v>
                  </c:pt>
                  <c:pt idx="494">
                    <c:v>2020_Q3</c:v>
                  </c:pt>
                  <c:pt idx="495">
                    <c:v>2020_Q1</c:v>
                  </c:pt>
                  <c:pt idx="496">
                    <c:v>2020_Q2</c:v>
                  </c:pt>
                  <c:pt idx="497">
                    <c:v>2020_Q3</c:v>
                  </c:pt>
                  <c:pt idx="498">
                    <c:v>2020_Q1</c:v>
                  </c:pt>
                  <c:pt idx="499">
                    <c:v>2020_Q2</c:v>
                  </c:pt>
                  <c:pt idx="500">
                    <c:v>2020_Q3</c:v>
                  </c:pt>
                  <c:pt idx="501">
                    <c:v>2020_Q1</c:v>
                  </c:pt>
                  <c:pt idx="502">
                    <c:v>2020_Q2</c:v>
                  </c:pt>
                  <c:pt idx="503">
                    <c:v>2020_Q3</c:v>
                  </c:pt>
                  <c:pt idx="504">
                    <c:v>2020_Q1</c:v>
                  </c:pt>
                  <c:pt idx="505">
                    <c:v>2020_Q2</c:v>
                  </c:pt>
                  <c:pt idx="506">
                    <c:v>2020_Q3</c:v>
                  </c:pt>
                  <c:pt idx="507">
                    <c:v>2020_Q1</c:v>
                  </c:pt>
                  <c:pt idx="508">
                    <c:v>2020_Q2</c:v>
                  </c:pt>
                  <c:pt idx="509">
                    <c:v>2020_Q3</c:v>
                  </c:pt>
                  <c:pt idx="510">
                    <c:v>2020_Q1</c:v>
                  </c:pt>
                  <c:pt idx="511">
                    <c:v>2020_Q2</c:v>
                  </c:pt>
                  <c:pt idx="512">
                    <c:v>2020_Q3</c:v>
                  </c:pt>
                  <c:pt idx="513">
                    <c:v>2020_Q1</c:v>
                  </c:pt>
                  <c:pt idx="514">
                    <c:v>2020_Q2</c:v>
                  </c:pt>
                  <c:pt idx="515">
                    <c:v>2020_Q3</c:v>
                  </c:pt>
                  <c:pt idx="516">
                    <c:v>2020_Q1</c:v>
                  </c:pt>
                  <c:pt idx="517">
                    <c:v>2020_Q2</c:v>
                  </c:pt>
                  <c:pt idx="518">
                    <c:v>2020_Q3</c:v>
                  </c:pt>
                  <c:pt idx="519">
                    <c:v>2020_Q1</c:v>
                  </c:pt>
                  <c:pt idx="520">
                    <c:v>2020_Q2</c:v>
                  </c:pt>
                  <c:pt idx="521">
                    <c:v>2020_Q3</c:v>
                  </c:pt>
                  <c:pt idx="522">
                    <c:v>2020_Q1</c:v>
                  </c:pt>
                  <c:pt idx="523">
                    <c:v>2020_Q2</c:v>
                  </c:pt>
                  <c:pt idx="524">
                    <c:v>2020_Q3</c:v>
                  </c:pt>
                  <c:pt idx="525">
                    <c:v>2020_Q1</c:v>
                  </c:pt>
                  <c:pt idx="526">
                    <c:v>2020_Q2</c:v>
                  </c:pt>
                  <c:pt idx="527">
                    <c:v>2020_Q3</c:v>
                  </c:pt>
                  <c:pt idx="528">
                    <c:v>2020_Q1</c:v>
                  </c:pt>
                  <c:pt idx="529">
                    <c:v>2020_Q2</c:v>
                  </c:pt>
                  <c:pt idx="530">
                    <c:v>2020_Q3</c:v>
                  </c:pt>
                  <c:pt idx="531">
                    <c:v>2020_Q1</c:v>
                  </c:pt>
                  <c:pt idx="532">
                    <c:v>2020_Q2</c:v>
                  </c:pt>
                  <c:pt idx="533">
                    <c:v>2020_Q3</c:v>
                  </c:pt>
                  <c:pt idx="534">
                    <c:v>2020_Q1</c:v>
                  </c:pt>
                  <c:pt idx="535">
                    <c:v>2020_Q2</c:v>
                  </c:pt>
                  <c:pt idx="536">
                    <c:v>2020_Q3</c:v>
                  </c:pt>
                  <c:pt idx="537">
                    <c:v>2020_Q1</c:v>
                  </c:pt>
                  <c:pt idx="538">
                    <c:v>2020_Q2</c:v>
                  </c:pt>
                  <c:pt idx="539">
                    <c:v>2020_Q3</c:v>
                  </c:pt>
                  <c:pt idx="540">
                    <c:v>2020_Q1</c:v>
                  </c:pt>
                  <c:pt idx="541">
                    <c:v>2020_Q2</c:v>
                  </c:pt>
                  <c:pt idx="542">
                    <c:v>2020_Q3</c:v>
                  </c:pt>
                  <c:pt idx="543">
                    <c:v>2020_Q1</c:v>
                  </c:pt>
                  <c:pt idx="544">
                    <c:v>2020_Q2</c:v>
                  </c:pt>
                  <c:pt idx="545">
                    <c:v>2020_Q3</c:v>
                  </c:pt>
                  <c:pt idx="546">
                    <c:v>2020_Q1</c:v>
                  </c:pt>
                  <c:pt idx="547">
                    <c:v>2020_Q2</c:v>
                  </c:pt>
                  <c:pt idx="548">
                    <c:v>2020_Q3</c:v>
                  </c:pt>
                  <c:pt idx="549">
                    <c:v>2020_Q1</c:v>
                  </c:pt>
                  <c:pt idx="550">
                    <c:v>2020_Q2</c:v>
                  </c:pt>
                  <c:pt idx="551">
                    <c:v>2020_Q3</c:v>
                  </c:pt>
                  <c:pt idx="552">
                    <c:v>2020_Q1</c:v>
                  </c:pt>
                  <c:pt idx="553">
                    <c:v>2020_Q2</c:v>
                  </c:pt>
                  <c:pt idx="554">
                    <c:v>2020_Q3</c:v>
                  </c:pt>
                  <c:pt idx="555">
                    <c:v>2020_Q1</c:v>
                  </c:pt>
                  <c:pt idx="556">
                    <c:v>2020_Q1</c:v>
                  </c:pt>
                  <c:pt idx="557">
                    <c:v>2020_Q2</c:v>
                  </c:pt>
                  <c:pt idx="558">
                    <c:v>2020_Q3</c:v>
                  </c:pt>
                  <c:pt idx="559">
                    <c:v>2020_Q1</c:v>
                  </c:pt>
                  <c:pt idx="560">
                    <c:v>2020_Q2</c:v>
                  </c:pt>
                  <c:pt idx="561">
                    <c:v>2020_Q3</c:v>
                  </c:pt>
                  <c:pt idx="562">
                    <c:v>2020_Q1</c:v>
                  </c:pt>
                  <c:pt idx="563">
                    <c:v>2020_Q2</c:v>
                  </c:pt>
                  <c:pt idx="564">
                    <c:v>2020_Q3</c:v>
                  </c:pt>
                  <c:pt idx="565">
                    <c:v>2020_Q1</c:v>
                  </c:pt>
                  <c:pt idx="566">
                    <c:v>2020_Q2</c:v>
                  </c:pt>
                  <c:pt idx="567">
                    <c:v>2020_Q3</c:v>
                  </c:pt>
                  <c:pt idx="568">
                    <c:v>2020_Q1</c:v>
                  </c:pt>
                  <c:pt idx="569">
                    <c:v>2020_Q2</c:v>
                  </c:pt>
                  <c:pt idx="570">
                    <c:v>2020_Q3</c:v>
                  </c:pt>
                  <c:pt idx="571">
                    <c:v>2020_Q1</c:v>
                  </c:pt>
                  <c:pt idx="572">
                    <c:v>2020_Q2</c:v>
                  </c:pt>
                  <c:pt idx="573">
                    <c:v>2020_Q3</c:v>
                  </c:pt>
                  <c:pt idx="574">
                    <c:v>2020_Q1</c:v>
                  </c:pt>
                  <c:pt idx="575">
                    <c:v>2020_Q2</c:v>
                  </c:pt>
                  <c:pt idx="576">
                    <c:v>2020_Q3</c:v>
                  </c:pt>
                  <c:pt idx="577">
                    <c:v>2020_Q1</c:v>
                  </c:pt>
                  <c:pt idx="578">
                    <c:v>2020_Q2</c:v>
                  </c:pt>
                  <c:pt idx="579">
                    <c:v>2020_Q3</c:v>
                  </c:pt>
                  <c:pt idx="580">
                    <c:v>2020_Q1</c:v>
                  </c:pt>
                  <c:pt idx="581">
                    <c:v>2020_Q2</c:v>
                  </c:pt>
                  <c:pt idx="582">
                    <c:v>2020_Q3</c:v>
                  </c:pt>
                  <c:pt idx="583">
                    <c:v>2020_Q1</c:v>
                  </c:pt>
                  <c:pt idx="584">
                    <c:v>2020_Q2</c:v>
                  </c:pt>
                  <c:pt idx="585">
                    <c:v>2020_Q3</c:v>
                  </c:pt>
                  <c:pt idx="586">
                    <c:v>2020_Q2</c:v>
                  </c:pt>
                  <c:pt idx="587">
                    <c:v>2020_Q3</c:v>
                  </c:pt>
                  <c:pt idx="588">
                    <c:v>2020_Q1</c:v>
                  </c:pt>
                  <c:pt idx="589">
                    <c:v>2020_Q2</c:v>
                  </c:pt>
                  <c:pt idx="590">
                    <c:v>2020_Q3</c:v>
                  </c:pt>
                  <c:pt idx="591">
                    <c:v>2020_Q1</c:v>
                  </c:pt>
                  <c:pt idx="592">
                    <c:v>2020_Q2</c:v>
                  </c:pt>
                  <c:pt idx="593">
                    <c:v>2020_Q3</c:v>
                  </c:pt>
                  <c:pt idx="594">
                    <c:v>2020_Q3</c:v>
                  </c:pt>
                  <c:pt idx="595">
                    <c:v>2020_Q3</c:v>
                  </c:pt>
                </c:lvl>
                <c:lvl>
                  <c:pt idx="0">
                    <c:v>5 Ward RC Church(lon Khin)</c:v>
                  </c:pt>
                  <c:pt idx="3">
                    <c:v>AD-2000 Extension camp</c:v>
                  </c:pt>
                  <c:pt idx="6">
                    <c:v>AD-2000 Tharthana Compound</c:v>
                  </c:pt>
                  <c:pt idx="9">
                    <c:v>AG Church, Hmaw Si Sa</c:v>
                  </c:pt>
                  <c:pt idx="12">
                    <c:v>AG Church, Maw Wan</c:v>
                  </c:pt>
                  <c:pt idx="15">
                    <c:v>Agritural Compound (KBC)</c:v>
                  </c:pt>
                  <c:pt idx="18">
                    <c:v>Aung Thar Church</c:v>
                  </c:pt>
                  <c:pt idx="21">
                    <c:v>Ban Dang</c:v>
                  </c:pt>
                  <c:pt idx="24">
                    <c:v>Baptist Church, Hmaw Si Sar(Lon Khin)</c:v>
                  </c:pt>
                  <c:pt idx="27">
                    <c:v>Bhamo_Host Families</c:v>
                  </c:pt>
                  <c:pt idx="30">
                    <c:v>Border Post 8</c:v>
                  </c:pt>
                  <c:pt idx="33">
                    <c:v>Bum Tsit Pa</c:v>
                  </c:pt>
                  <c:pt idx="36">
                    <c:v>Chin Church, Seik Mu</c:v>
                  </c:pt>
                  <c:pt idx="39">
                    <c:v>Chipwi KBC camp</c:v>
                  </c:pt>
                  <c:pt idx="42">
                    <c:v>Da Wei</c:v>
                  </c:pt>
                  <c:pt idx="45">
                    <c:v>Dhama Rakhita, Nyein Chan Tar Yar Ward(Lon Khin)</c:v>
                  </c:pt>
                  <c:pt idx="48">
                    <c:v>Du Kahtawng Baptist</c:v>
                  </c:pt>
                  <c:pt idx="51">
                    <c:v>Dum Bung </c:v>
                  </c:pt>
                  <c:pt idx="54">
                    <c:v>Emmanuel AG Church</c:v>
                  </c:pt>
                  <c:pt idx="57">
                    <c:v>Galeng (Palaung) &amp; Kone Khem</c:v>
                  </c:pt>
                  <c:pt idx="60">
                    <c:v>Hka Shi</c:v>
                  </c:pt>
                  <c:pt idx="63">
                    <c:v>Hkat Cho </c:v>
                  </c:pt>
                  <c:pt idx="66">
                    <c:v>Hkau Shau (BP 12)</c:v>
                  </c:pt>
                  <c:pt idx="69">
                    <c:v>Hlaing Naung Baptist</c:v>
                  </c:pt>
                  <c:pt idx="72">
                    <c:v>Hmaw Wan, Anglican</c:v>
                  </c:pt>
                  <c:pt idx="75">
                    <c:v>Hopin Host Families</c:v>
                  </c:pt>
                  <c:pt idx="78">
                    <c:v>Hpai Kawng</c:v>
                  </c:pt>
                  <c:pt idx="81">
                    <c:v>Hpakant Baptist Church, Nam Ma Hpit</c:v>
                  </c:pt>
                  <c:pt idx="84">
                    <c:v>Hpare Hkyer - BP6</c:v>
                  </c:pt>
                  <c:pt idx="87">
                    <c:v>Hpun Lum Yang </c:v>
                  </c:pt>
                  <c:pt idx="90">
                    <c:v>Htai Ra Yang</c:v>
                  </c:pt>
                  <c:pt idx="93">
                    <c:v>Htoi San Church</c:v>
                  </c:pt>
                  <c:pt idx="96">
                    <c:v>Hu Hku &amp; Ho Hko</c:v>
                  </c:pt>
                  <c:pt idx="99">
                    <c:v>IDP Boarding School, A Len Bum</c:v>
                  </c:pt>
                  <c:pt idx="102">
                    <c:v>Inn Lel Yan - Host Families</c:v>
                  </c:pt>
                  <c:pt idx="105">
                    <c:v>Jan Mai Kawng Baptist Church</c:v>
                  </c:pt>
                  <c:pt idx="108">
                    <c:v>Jan Mai Kawng Catholic Church</c:v>
                  </c:pt>
                  <c:pt idx="111">
                    <c:v>Jaw Masat Camp</c:v>
                  </c:pt>
                  <c:pt idx="114">
                    <c:v>Je Yang Hka </c:v>
                  </c:pt>
                  <c:pt idx="117">
                    <c:v>Ka Bu Dam CoC</c:v>
                  </c:pt>
                  <c:pt idx="120">
                    <c:v>Kachin Su Baptist Church (ECCD)</c:v>
                  </c:pt>
                  <c:pt idx="123">
                    <c:v>Karmaing RC Church</c:v>
                  </c:pt>
                  <c:pt idx="126">
                    <c:v>Khar Nan (1) Baptist Church</c:v>
                  </c:pt>
                  <c:pt idx="129">
                    <c:v>Khun Sint Village</c:v>
                  </c:pt>
                  <c:pt idx="132">
                    <c:v>Kutkai downtown (KBC Church)</c:v>
                  </c:pt>
                  <c:pt idx="135">
                    <c:v>Kutkai downtown (KBC Church-2)</c:v>
                  </c:pt>
                  <c:pt idx="138">
                    <c:v>Kutkai downtown (RC Church)</c:v>
                  </c:pt>
                  <c:pt idx="141">
                    <c:v>Kyu Sot</c:v>
                  </c:pt>
                  <c:pt idx="144">
                    <c:v>Kyun Taw Baptist Church </c:v>
                  </c:pt>
                  <c:pt idx="147">
                    <c:v>Laiza Je Yang School</c:v>
                  </c:pt>
                  <c:pt idx="150">
                    <c:v>Lan Gwa St.Paul RC Church</c:v>
                  </c:pt>
                  <c:pt idx="153">
                    <c:v>Lana Zup Ja</c:v>
                  </c:pt>
                  <c:pt idx="156">
                    <c:v>Lawa RC Church</c:v>
                  </c:pt>
                  <c:pt idx="159">
                    <c:v>Lawng Hkang Shait Yang Camp​ ( Lel Pyin)​ </c:v>
                  </c:pt>
                  <c:pt idx="162">
                    <c:v>Lawt Awng</c:v>
                  </c:pt>
                  <c:pt idx="165">
                    <c:v>Le Kone Bethlehem Church</c:v>
                  </c:pt>
                  <c:pt idx="168">
                    <c:v>Le Kone Ziun Baptist Church </c:v>
                  </c:pt>
                  <c:pt idx="171">
                    <c:v>Lhaovao Baptist Church (LBC)</c:v>
                  </c:pt>
                  <c:pt idx="174">
                    <c:v>Lisu Baptist Church, Maw Shan Vil,. Seik Mu</c:v>
                  </c:pt>
                  <c:pt idx="177">
                    <c:v>Lisu Baptist Church, Maw Wan Ward</c:v>
                  </c:pt>
                  <c:pt idx="180">
                    <c:v>Lisu Boarding-House</c:v>
                  </c:pt>
                  <c:pt idx="183">
                    <c:v>Lisu Church Namtu</c:v>
                  </c:pt>
                  <c:pt idx="186">
                    <c:v>Loi Je Baptist Church</c:v>
                  </c:pt>
                  <c:pt idx="189">
                    <c:v>Loi Je Catholic Church</c:v>
                  </c:pt>
                  <c:pt idx="192">
                    <c:v>Loi Je Lisu Camp</c:v>
                  </c:pt>
                  <c:pt idx="195">
                    <c:v>Lone Khin Catholic Church</c:v>
                  </c:pt>
                  <c:pt idx="198">
                    <c:v>Lung Sut</c:v>
                  </c:pt>
                  <c:pt idx="201">
                    <c:v>Lwegel High School</c:v>
                  </c:pt>
                  <c:pt idx="204">
                    <c:v>Ma Hawng Baptist Church</c:v>
                  </c:pt>
                  <c:pt idx="207">
                    <c:v>Mading Baptist Church</c:v>
                  </c:pt>
                  <c:pt idx="210">
                    <c:v>Maga Yang </c:v>
                  </c:pt>
                  <c:pt idx="213">
                    <c:v>Mai Yu Lay New (Ta'ang)</c:v>
                  </c:pt>
                  <c:pt idx="216">
                    <c:v>Maina AG Church</c:v>
                  </c:pt>
                  <c:pt idx="219">
                    <c:v>Maina Catholic Church (St. Joseph)</c:v>
                  </c:pt>
                  <c:pt idx="222">
                    <c:v>Maina KBC (Bawng Ring)</c:v>
                  </c:pt>
                  <c:pt idx="225">
                    <c:v>Maina Lawang Baptist Church</c:v>
                  </c:pt>
                  <c:pt idx="228">
                    <c:v>Maing Khaung</c:v>
                  </c:pt>
                  <c:pt idx="231">
                    <c:v>Maing Khaung Catholic Church</c:v>
                  </c:pt>
                  <c:pt idx="234">
                    <c:v>Maliyang Baptist Church</c:v>
                  </c:pt>
                  <c:pt idx="237">
                    <c:v>Man Bung Catholic compound</c:v>
                  </c:pt>
                  <c:pt idx="240">
                    <c:v>Man Bung Edin Baptist Church</c:v>
                  </c:pt>
                  <c:pt idx="243">
                    <c:v>Man Hkring Baptist Church</c:v>
                  </c:pt>
                  <c:pt idx="246">
                    <c:v>Man Kaung/Naung Ti Kyar Village</c:v>
                  </c:pt>
                  <c:pt idx="249">
                    <c:v>Man Loi</c:v>
                  </c:pt>
                  <c:pt idx="252">
                    <c:v>Man Wing Baptist Church</c:v>
                  </c:pt>
                  <c:pt idx="255">
                    <c:v>Man Wing Baptist Church Cultural Compound</c:v>
                  </c:pt>
                  <c:pt idx="258">
                    <c:v>Man Wing Catholic Church</c:v>
                  </c:pt>
                  <c:pt idx="261">
                    <c:v>Man Wing Catholic Church II</c:v>
                  </c:pt>
                  <c:pt idx="264">
                    <c:v>Man Wing Host Families</c:v>
                  </c:pt>
                  <c:pt idx="267">
                    <c:v>Mandalay Monestry</c:v>
                  </c:pt>
                  <c:pt idx="268">
                    <c:v>Mandung - Jinghpaw</c:v>
                  </c:pt>
                  <c:pt idx="271">
                    <c:v>Mandung - RC</c:v>
                  </c:pt>
                  <c:pt idx="274">
                    <c:v>Mansi Baptist Church</c:v>
                  </c:pt>
                  <c:pt idx="277">
                    <c:v>Mansi_Host Families</c:v>
                  </c:pt>
                  <c:pt idx="280">
                    <c:v>Maw Hpawng Hka Nan Baptist Church</c:v>
                  </c:pt>
                  <c:pt idx="283">
                    <c:v>Maw Hpawng Lhaovo Baptist Church</c:v>
                  </c:pt>
                  <c:pt idx="286">
                    <c:v>Maw Wan, Mu-yin Baptist Church</c:v>
                  </c:pt>
                  <c:pt idx="289">
                    <c:v>Mee Pho Kone</c:v>
                  </c:pt>
                  <c:pt idx="292">
                    <c:v>Mine Yu Lay village ( Old)</c:v>
                  </c:pt>
                  <c:pt idx="295">
                    <c:v>Moenyin Host Families</c:v>
                  </c:pt>
                  <c:pt idx="298">
                    <c:v>Momauk Baptist Church</c:v>
                  </c:pt>
                  <c:pt idx="301">
                    <c:v>Momauk_Host Families</c:v>
                  </c:pt>
                  <c:pt idx="304">
                    <c:v>Mong Wee Shan</c:v>
                  </c:pt>
                  <c:pt idx="307">
                    <c:v>Mung Hawm </c:v>
                  </c:pt>
                  <c:pt idx="310">
                    <c:v>Mungji Pa Dabang (Baptist Church)</c:v>
                  </c:pt>
                  <c:pt idx="313">
                    <c:v>Mungji Pa Dabang (Catholic Church)</c:v>
                  </c:pt>
                  <c:pt idx="316">
                    <c:v>Muse Catholic Church</c:v>
                  </c:pt>
                  <c:pt idx="319">
                    <c:v>Mu-yin Baptist Church</c:v>
                  </c:pt>
                  <c:pt idx="322">
                    <c:v>Muyin church (Aung Yar pre-school compound)</c:v>
                  </c:pt>
                  <c:pt idx="325">
                    <c:v>Myo Oo St. Dominic RC Church</c:v>
                  </c:pt>
                  <c:pt idx="328">
                    <c:v>Myo Thit </c:v>
                  </c:pt>
                  <c:pt idx="331">
                    <c:v>Nam Hkam - Nay Win Ni (Palawng)</c:v>
                  </c:pt>
                  <c:pt idx="334">
                    <c:v>Nam Hkam (KBC Jaw Wang)</c:v>
                  </c:pt>
                  <c:pt idx="337">
                    <c:v>Nam Hkam (KBC Jaw Wang) II</c:v>
                  </c:pt>
                  <c:pt idx="340">
                    <c:v>Nam Hkam Catholic Church ( St. Thomas I)</c:v>
                  </c:pt>
                  <c:pt idx="343">
                    <c:v>Nam Hpak Ka Mare </c:v>
                  </c:pt>
                  <c:pt idx="346">
                    <c:v>Nam Hpak Ka Ta'ang ( Aung Tha Pyay)</c:v>
                  </c:pt>
                  <c:pt idx="349">
                    <c:v>Nam Ma Phyit, COC</c:v>
                  </c:pt>
                  <c:pt idx="352">
                    <c:v>Nam Sa Larp</c:v>
                  </c:pt>
                  <c:pt idx="355">
                    <c:v>Nam Tu Baptist</c:v>
                  </c:pt>
                  <c:pt idx="358">
                    <c:v>Namatee AG</c:v>
                  </c:pt>
                  <c:pt idx="361">
                    <c:v>Namhkan - Pang Long KBC</c:v>
                  </c:pt>
                  <c:pt idx="364">
                    <c:v>Namti Labraw Yang KBC Camp</c:v>
                  </c:pt>
                  <c:pt idx="367">
                    <c:v>Nan Kway St. John Catholic Church</c:v>
                  </c:pt>
                  <c:pt idx="370">
                    <c:v>Nant Hlaing Church</c:v>
                  </c:pt>
                  <c:pt idx="371">
                    <c:v>Nant Ma Hpit Catholic Church</c:v>
                  </c:pt>
                  <c:pt idx="374">
                    <c:v>Nat Gyi Kone Baptist Church </c:v>
                  </c:pt>
                  <c:pt idx="377">
                    <c:v>Nawng Hee Village</c:v>
                  </c:pt>
                  <c:pt idx="380">
                    <c:v>Nawng Ing (Indawgyi) Baptist Church </c:v>
                  </c:pt>
                  <c:pt idx="383">
                    <c:v>Ndup Yang</c:v>
                  </c:pt>
                  <c:pt idx="386">
                    <c:v>New Pang Ku </c:v>
                  </c:pt>
                  <c:pt idx="389">
                    <c:v>Nhkawng Pa </c:v>
                  </c:pt>
                  <c:pt idx="392">
                    <c:v>Njang Dung Baptist Church </c:v>
                  </c:pt>
                  <c:pt idx="395">
                    <c:v>Nyaung Na Pin </c:v>
                  </c:pt>
                  <c:pt idx="398">
                    <c:v>Pa Dauk Myaing(Pa La Na)</c:v>
                  </c:pt>
                  <c:pt idx="401">
                    <c:v>Pa Dauk Myaing(Pa La Na)-II</c:v>
                  </c:pt>
                  <c:pt idx="404">
                    <c:v>Pa Kahtawng </c:v>
                  </c:pt>
                  <c:pt idx="407">
                    <c:v>Pajau - Jan Mai</c:v>
                  </c:pt>
                  <c:pt idx="410">
                    <c:v>Pan Law</c:v>
                  </c:pt>
                  <c:pt idx="413">
                    <c:v>Pan Ta Pyae</c:v>
                  </c:pt>
                  <c:pt idx="416">
                    <c:v>Pan Wa</c:v>
                  </c:pt>
                  <c:pt idx="419">
                    <c:v>Pang Hkawn Yang</c:v>
                  </c:pt>
                  <c:pt idx="422">
                    <c:v>Phan Khar Kone</c:v>
                  </c:pt>
                  <c:pt idx="425">
                    <c:v>Post 6 Camp</c:v>
                  </c:pt>
                  <c:pt idx="428">
                    <c:v>Qtr. 2 Lhaovo Baptist Church</c:v>
                  </c:pt>
                  <c:pt idx="431">
                    <c:v>Qtr. 2 Myoma Baptist Church</c:v>
                  </c:pt>
                  <c:pt idx="434">
                    <c:v>Qtr. 3 Mu-yin  Baptist Church</c:v>
                  </c:pt>
                  <c:pt idx="437">
                    <c:v>Rawan Baptist Church, Maw Shan Vil., Seik Mu</c:v>
                  </c:pt>
                  <c:pt idx="440">
                    <c:v>Robert Church</c:v>
                  </c:pt>
                  <c:pt idx="443">
                    <c:v>Sadung</c:v>
                  </c:pt>
                  <c:pt idx="446">
                    <c:v>Salang Yang</c:v>
                  </c:pt>
                  <c:pt idx="449">
                    <c:v>Sar Hmaw - KBC</c:v>
                  </c:pt>
                  <c:pt idx="452">
                    <c:v>Saw Zam</c:v>
                  </c:pt>
                  <c:pt idx="455">
                    <c:v>Seng Ja </c:v>
                  </c:pt>
                  <c:pt idx="458">
                    <c:v>Sha-It Yang</c:v>
                  </c:pt>
                  <c:pt idx="461">
                    <c:v>Shar Du Zut KBC church </c:v>
                  </c:pt>
                  <c:pt idx="464">
                    <c:v>Shar Du Zut RC church</c:v>
                  </c:pt>
                  <c:pt idx="467">
                    <c:v>Shar Du Zut SanPya</c:v>
                  </c:pt>
                  <c:pt idx="470">
                    <c:v>Shatapru Sut Ngai Tawng</c:v>
                  </c:pt>
                  <c:pt idx="473">
                    <c:v>Shatapru Thida Aye Baptist Church</c:v>
                  </c:pt>
                  <c:pt idx="476">
                    <c:v>Shing Jai</c:v>
                  </c:pt>
                  <c:pt idx="479">
                    <c:v>Shwe Gu Baptist Church</c:v>
                  </c:pt>
                  <c:pt idx="482">
                    <c:v>Shwe Gu Catholic Church</c:v>
                  </c:pt>
                  <c:pt idx="485">
                    <c:v>Shwe Zet Baptist Church</c:v>
                  </c:pt>
                  <c:pt idx="488">
                    <c:v>Sin Bo</c:v>
                  </c:pt>
                  <c:pt idx="489">
                    <c:v>St. Joseph Tanai RC camp </c:v>
                  </c:pt>
                  <c:pt idx="492">
                    <c:v>St. Patrick Catholic Church </c:v>
                  </c:pt>
                  <c:pt idx="495">
                    <c:v>Sumprabum</c:v>
                  </c:pt>
                  <c:pt idx="498">
                    <c:v>Sut Chyai</c:v>
                  </c:pt>
                  <c:pt idx="501">
                    <c:v>Tanai CoC</c:v>
                  </c:pt>
                  <c:pt idx="504">
                    <c:v>Tanai KBC Camp</c:v>
                  </c:pt>
                  <c:pt idx="507">
                    <c:v>Tat Kone Baptist Church</c:v>
                  </c:pt>
                  <c:pt idx="510">
                    <c:v>Tat Kone COC Baptist - Tat Kone Htoi San</c:v>
                  </c:pt>
                  <c:pt idx="513">
                    <c:v>Tat Kone Emanuel Church</c:v>
                  </c:pt>
                  <c:pt idx="516">
                    <c:v>Tat Kone Galile Baptist Church</c:v>
                  </c:pt>
                  <c:pt idx="519">
                    <c:v>Tat Kone San Pya Baptist Church</c:v>
                  </c:pt>
                  <c:pt idx="522">
                    <c:v>Thargaya Lisu Baptist Church</c:v>
                  </c:pt>
                  <c:pt idx="525">
                    <c:v>Ti Yang Zup</c:v>
                  </c:pt>
                  <c:pt idx="528">
                    <c:v>Tote Tan Ward</c:v>
                  </c:pt>
                  <c:pt idx="531">
                    <c:v>Trinity Camp</c:v>
                  </c:pt>
                  <c:pt idx="534">
                    <c:v>Tsan Lun - Namjarap</c:v>
                  </c:pt>
                  <c:pt idx="537">
                    <c:v>Waimaw Baptist Zonal Office 2</c:v>
                  </c:pt>
                  <c:pt idx="540">
                    <c:v>Waingmaw AG Church</c:v>
                  </c:pt>
                  <c:pt idx="543">
                    <c:v>Ward 2 Sai Taung Baptist Church, Seik Mu </c:v>
                  </c:pt>
                  <c:pt idx="546">
                    <c:v>Woi Chyai </c:v>
                  </c:pt>
                  <c:pt idx="549">
                    <c:v>Woi Chyai (Mong Lai)</c:v>
                  </c:pt>
                  <c:pt idx="552">
                    <c:v>Woi Chyai host families</c:v>
                  </c:pt>
                  <c:pt idx="555">
                    <c:v>Yoe Kyi Monastery</c:v>
                  </c:pt>
                  <c:pt idx="556">
                    <c:v>Yumar Baptist Church</c:v>
                  </c:pt>
                  <c:pt idx="559">
                    <c:v>Zup Aung Camp</c:v>
                  </c:pt>
                  <c:pt idx="562">
                    <c:v>Zupra</c:v>
                  </c:pt>
                  <c:pt idx="565">
                    <c:v>Hka Garan Yang </c:v>
                  </c:pt>
                  <c:pt idx="568">
                    <c:v>Htang Nya </c:v>
                  </c:pt>
                  <c:pt idx="571">
                    <c:v>Enai (Man Pyein)</c:v>
                  </c:pt>
                  <c:pt idx="574">
                    <c:v>Hpa Ji Shalat Boarding School ( Daw Hpum Yang)</c:v>
                  </c:pt>
                  <c:pt idx="577">
                    <c:v>Lwe Mauk Yang Boarding School</c:v>
                  </c:pt>
                  <c:pt idx="580">
                    <c:v>AD 2000 School</c:v>
                  </c:pt>
                  <c:pt idx="583">
                    <c:v>Robert -High school</c:v>
                  </c:pt>
                  <c:pt idx="586">
                    <c:v>Pamati Camp</c:v>
                  </c:pt>
                  <c:pt idx="588">
                    <c:v>Momauk IDP new extension camp (Kye Nan)</c:v>
                  </c:pt>
                  <c:pt idx="591">
                    <c:v>Sector 5 Pammati Quarter</c:v>
                  </c:pt>
                  <c:pt idx="594">
                    <c:v>Man Pya San Pya Resettlement</c:v>
                  </c:pt>
                  <c:pt idx="595">
                    <c:v>San Kar Resettlement</c:v>
                  </c:pt>
                </c:lvl>
              </c:multiLvlStrCache>
            </c:multiLvlStrRef>
          </c:cat>
          <c:val>
            <c:numRef>
              <c:f>'Tracking Dashboard'!$P$5:$P$804</c:f>
              <c:numCache>
                <c:formatCode>General</c:formatCode>
                <c:ptCount val="596"/>
                <c:pt idx="0">
                  <c:v>0</c:v>
                </c:pt>
                <c:pt idx="1">
                  <c:v>0</c:v>
                </c:pt>
                <c:pt idx="2">
                  <c:v>0</c:v>
                </c:pt>
                <c:pt idx="3">
                  <c:v>276</c:v>
                </c:pt>
                <c:pt idx="4">
                  <c:v>167</c:v>
                </c:pt>
                <c:pt idx="5">
                  <c:v>167</c:v>
                </c:pt>
                <c:pt idx="6">
                  <c:v>745</c:v>
                </c:pt>
                <c:pt idx="7">
                  <c:v>723</c:v>
                </c:pt>
                <c:pt idx="8">
                  <c:v>723</c:v>
                </c:pt>
                <c:pt idx="9">
                  <c:v>371</c:v>
                </c:pt>
                <c:pt idx="10">
                  <c:v>371</c:v>
                </c:pt>
                <c:pt idx="11">
                  <c:v>371</c:v>
                </c:pt>
                <c:pt idx="12">
                  <c:v>83</c:v>
                </c:pt>
                <c:pt idx="13">
                  <c:v>83</c:v>
                </c:pt>
                <c:pt idx="14">
                  <c:v>83</c:v>
                </c:pt>
                <c:pt idx="15">
                  <c:v>665</c:v>
                </c:pt>
                <c:pt idx="16">
                  <c:v>571</c:v>
                </c:pt>
                <c:pt idx="17">
                  <c:v>571</c:v>
                </c:pt>
                <c:pt idx="18">
                  <c:v>55</c:v>
                </c:pt>
                <c:pt idx="19">
                  <c:v>55</c:v>
                </c:pt>
                <c:pt idx="20">
                  <c:v>55</c:v>
                </c:pt>
                <c:pt idx="21">
                  <c:v>0</c:v>
                </c:pt>
                <c:pt idx="22">
                  <c:v>0</c:v>
                </c:pt>
                <c:pt idx="23">
                  <c:v>0</c:v>
                </c:pt>
                <c:pt idx="24">
                  <c:v>228</c:v>
                </c:pt>
                <c:pt idx="25">
                  <c:v>228</c:v>
                </c:pt>
                <c:pt idx="26">
                  <c:v>228</c:v>
                </c:pt>
                <c:pt idx="27">
                  <c:v>0</c:v>
                </c:pt>
                <c:pt idx="28">
                  <c:v>0</c:v>
                </c:pt>
                <c:pt idx="29">
                  <c:v>0</c:v>
                </c:pt>
                <c:pt idx="30">
                  <c:v>66.666666666666671</c:v>
                </c:pt>
                <c:pt idx="31">
                  <c:v>66.666666666666671</c:v>
                </c:pt>
                <c:pt idx="32">
                  <c:v>66.666666666666671</c:v>
                </c:pt>
                <c:pt idx="33">
                  <c:v>1816</c:v>
                </c:pt>
                <c:pt idx="34">
                  <c:v>1887</c:v>
                </c:pt>
                <c:pt idx="35">
                  <c:v>1887</c:v>
                </c:pt>
                <c:pt idx="36">
                  <c:v>0</c:v>
                </c:pt>
                <c:pt idx="37">
                  <c:v>0</c:v>
                </c:pt>
                <c:pt idx="38">
                  <c:v>0</c:v>
                </c:pt>
                <c:pt idx="39">
                  <c:v>66.666666666666671</c:v>
                </c:pt>
                <c:pt idx="40">
                  <c:v>66.666666666666671</c:v>
                </c:pt>
                <c:pt idx="41">
                  <c:v>66.666666666666671</c:v>
                </c:pt>
                <c:pt idx="42">
                  <c:v>0</c:v>
                </c:pt>
                <c:pt idx="43">
                  <c:v>0</c:v>
                </c:pt>
                <c:pt idx="44">
                  <c:v>0</c:v>
                </c:pt>
                <c:pt idx="45">
                  <c:v>0</c:v>
                </c:pt>
                <c:pt idx="46">
                  <c:v>0</c:v>
                </c:pt>
                <c:pt idx="47">
                  <c:v>0</c:v>
                </c:pt>
                <c:pt idx="48">
                  <c:v>197</c:v>
                </c:pt>
                <c:pt idx="49">
                  <c:v>197</c:v>
                </c:pt>
                <c:pt idx="50">
                  <c:v>197</c:v>
                </c:pt>
                <c:pt idx="51">
                  <c:v>66.666666666666671</c:v>
                </c:pt>
                <c:pt idx="52">
                  <c:v>66.666666666666671</c:v>
                </c:pt>
                <c:pt idx="53">
                  <c:v>66.666666666666671</c:v>
                </c:pt>
                <c:pt idx="54">
                  <c:v>0</c:v>
                </c:pt>
                <c:pt idx="55">
                  <c:v>0</c:v>
                </c:pt>
                <c:pt idx="56">
                  <c:v>0</c:v>
                </c:pt>
                <c:pt idx="57">
                  <c:v>0</c:v>
                </c:pt>
                <c:pt idx="58">
                  <c:v>0</c:v>
                </c:pt>
                <c:pt idx="59">
                  <c:v>0</c:v>
                </c:pt>
                <c:pt idx="60">
                  <c:v>0</c:v>
                </c:pt>
                <c:pt idx="61">
                  <c:v>0</c:v>
                </c:pt>
                <c:pt idx="62">
                  <c:v>0</c:v>
                </c:pt>
                <c:pt idx="63">
                  <c:v>448</c:v>
                </c:pt>
                <c:pt idx="64">
                  <c:v>448</c:v>
                </c:pt>
                <c:pt idx="65">
                  <c:v>448</c:v>
                </c:pt>
                <c:pt idx="66">
                  <c:v>66.666666666666671</c:v>
                </c:pt>
                <c:pt idx="67">
                  <c:v>66.666666666666671</c:v>
                </c:pt>
                <c:pt idx="68">
                  <c:v>66.666666666666671</c:v>
                </c:pt>
                <c:pt idx="69">
                  <c:v>132</c:v>
                </c:pt>
                <c:pt idx="70">
                  <c:v>132</c:v>
                </c:pt>
                <c:pt idx="71">
                  <c:v>132</c:v>
                </c:pt>
                <c:pt idx="72">
                  <c:v>0</c:v>
                </c:pt>
                <c:pt idx="73">
                  <c:v>0</c:v>
                </c:pt>
                <c:pt idx="74">
                  <c:v>0</c:v>
                </c:pt>
                <c:pt idx="75">
                  <c:v>0</c:v>
                </c:pt>
                <c:pt idx="76">
                  <c:v>0</c:v>
                </c:pt>
                <c:pt idx="77">
                  <c:v>0</c:v>
                </c:pt>
                <c:pt idx="78">
                  <c:v>553</c:v>
                </c:pt>
                <c:pt idx="79">
                  <c:v>553</c:v>
                </c:pt>
                <c:pt idx="80">
                  <c:v>0</c:v>
                </c:pt>
                <c:pt idx="81">
                  <c:v>519</c:v>
                </c:pt>
                <c:pt idx="82">
                  <c:v>519</c:v>
                </c:pt>
                <c:pt idx="83">
                  <c:v>519</c:v>
                </c:pt>
                <c:pt idx="84">
                  <c:v>66.666666666666671</c:v>
                </c:pt>
                <c:pt idx="85">
                  <c:v>66.666666666666671</c:v>
                </c:pt>
                <c:pt idx="86">
                  <c:v>66.666666666666671</c:v>
                </c:pt>
                <c:pt idx="87">
                  <c:v>1400</c:v>
                </c:pt>
                <c:pt idx="88">
                  <c:v>1617.6</c:v>
                </c:pt>
                <c:pt idx="89">
                  <c:v>1617.6</c:v>
                </c:pt>
                <c:pt idx="90">
                  <c:v>0</c:v>
                </c:pt>
                <c:pt idx="91">
                  <c:v>0</c:v>
                </c:pt>
                <c:pt idx="92">
                  <c:v>0</c:v>
                </c:pt>
                <c:pt idx="93">
                  <c:v>235</c:v>
                </c:pt>
                <c:pt idx="94">
                  <c:v>291</c:v>
                </c:pt>
                <c:pt idx="95">
                  <c:v>291</c:v>
                </c:pt>
                <c:pt idx="96">
                  <c:v>154</c:v>
                </c:pt>
                <c:pt idx="97">
                  <c:v>154</c:v>
                </c:pt>
                <c:pt idx="98">
                  <c:v>0</c:v>
                </c:pt>
                <c:pt idx="99">
                  <c:v>20.148148148148149</c:v>
                </c:pt>
                <c:pt idx="100">
                  <c:v>169.06666666666666</c:v>
                </c:pt>
                <c:pt idx="101">
                  <c:v>169.06666666666666</c:v>
                </c:pt>
                <c:pt idx="102">
                  <c:v>0</c:v>
                </c:pt>
                <c:pt idx="103">
                  <c:v>0</c:v>
                </c:pt>
                <c:pt idx="104">
                  <c:v>0</c:v>
                </c:pt>
                <c:pt idx="105">
                  <c:v>1050</c:v>
                </c:pt>
                <c:pt idx="106">
                  <c:v>1050</c:v>
                </c:pt>
                <c:pt idx="107">
                  <c:v>1050</c:v>
                </c:pt>
                <c:pt idx="108">
                  <c:v>400</c:v>
                </c:pt>
                <c:pt idx="109">
                  <c:v>400</c:v>
                </c:pt>
                <c:pt idx="110">
                  <c:v>400</c:v>
                </c:pt>
                <c:pt idx="111">
                  <c:v>489</c:v>
                </c:pt>
                <c:pt idx="112">
                  <c:v>489</c:v>
                </c:pt>
                <c:pt idx="113">
                  <c:v>489</c:v>
                </c:pt>
                <c:pt idx="114">
                  <c:v>400</c:v>
                </c:pt>
                <c:pt idx="115">
                  <c:v>1666.6666666666667</c:v>
                </c:pt>
                <c:pt idx="116">
                  <c:v>400</c:v>
                </c:pt>
                <c:pt idx="117">
                  <c:v>39</c:v>
                </c:pt>
                <c:pt idx="118">
                  <c:v>39</c:v>
                </c:pt>
                <c:pt idx="119">
                  <c:v>39</c:v>
                </c:pt>
                <c:pt idx="120">
                  <c:v>106</c:v>
                </c:pt>
                <c:pt idx="121">
                  <c:v>106</c:v>
                </c:pt>
                <c:pt idx="122">
                  <c:v>106</c:v>
                </c:pt>
                <c:pt idx="123">
                  <c:v>63</c:v>
                </c:pt>
                <c:pt idx="124">
                  <c:v>63</c:v>
                </c:pt>
                <c:pt idx="125">
                  <c:v>63</c:v>
                </c:pt>
                <c:pt idx="126">
                  <c:v>94</c:v>
                </c:pt>
                <c:pt idx="127">
                  <c:v>94</c:v>
                </c:pt>
                <c:pt idx="128">
                  <c:v>94</c:v>
                </c:pt>
                <c:pt idx="129">
                  <c:v>0</c:v>
                </c:pt>
                <c:pt idx="130">
                  <c:v>0</c:v>
                </c:pt>
                <c:pt idx="131">
                  <c:v>0</c:v>
                </c:pt>
                <c:pt idx="132">
                  <c:v>259</c:v>
                </c:pt>
                <c:pt idx="133">
                  <c:v>259</c:v>
                </c:pt>
                <c:pt idx="134">
                  <c:v>259</c:v>
                </c:pt>
                <c:pt idx="135">
                  <c:v>156</c:v>
                </c:pt>
                <c:pt idx="136">
                  <c:v>156</c:v>
                </c:pt>
                <c:pt idx="137">
                  <c:v>156</c:v>
                </c:pt>
                <c:pt idx="138">
                  <c:v>138</c:v>
                </c:pt>
                <c:pt idx="139">
                  <c:v>138</c:v>
                </c:pt>
                <c:pt idx="140">
                  <c:v>0</c:v>
                </c:pt>
                <c:pt idx="141">
                  <c:v>267</c:v>
                </c:pt>
                <c:pt idx="142">
                  <c:v>267</c:v>
                </c:pt>
                <c:pt idx="143">
                  <c:v>249</c:v>
                </c:pt>
                <c:pt idx="144">
                  <c:v>66</c:v>
                </c:pt>
                <c:pt idx="145">
                  <c:v>66</c:v>
                </c:pt>
                <c:pt idx="146">
                  <c:v>66</c:v>
                </c:pt>
                <c:pt idx="147">
                  <c:v>500</c:v>
                </c:pt>
                <c:pt idx="148">
                  <c:v>500</c:v>
                </c:pt>
                <c:pt idx="149">
                  <c:v>500</c:v>
                </c:pt>
                <c:pt idx="150">
                  <c:v>396</c:v>
                </c:pt>
                <c:pt idx="151">
                  <c:v>396</c:v>
                </c:pt>
                <c:pt idx="152">
                  <c:v>396</c:v>
                </c:pt>
                <c:pt idx="153">
                  <c:v>2455</c:v>
                </c:pt>
                <c:pt idx="154">
                  <c:v>1850</c:v>
                </c:pt>
                <c:pt idx="155">
                  <c:v>1850</c:v>
                </c:pt>
                <c:pt idx="156">
                  <c:v>66.666666666666671</c:v>
                </c:pt>
                <c:pt idx="157">
                  <c:v>218</c:v>
                </c:pt>
                <c:pt idx="158">
                  <c:v>218</c:v>
                </c:pt>
                <c:pt idx="159">
                  <c:v>316.66740740740738</c:v>
                </c:pt>
                <c:pt idx="160">
                  <c:v>316.66666666666669</c:v>
                </c:pt>
                <c:pt idx="161">
                  <c:v>316.66666666666669</c:v>
                </c:pt>
                <c:pt idx="162">
                  <c:v>0</c:v>
                </c:pt>
                <c:pt idx="163">
                  <c:v>0</c:v>
                </c:pt>
                <c:pt idx="164">
                  <c:v>0</c:v>
                </c:pt>
                <c:pt idx="165">
                  <c:v>547</c:v>
                </c:pt>
                <c:pt idx="166">
                  <c:v>547</c:v>
                </c:pt>
                <c:pt idx="167">
                  <c:v>547</c:v>
                </c:pt>
                <c:pt idx="168">
                  <c:v>676</c:v>
                </c:pt>
                <c:pt idx="169">
                  <c:v>676</c:v>
                </c:pt>
                <c:pt idx="170">
                  <c:v>676</c:v>
                </c:pt>
                <c:pt idx="171">
                  <c:v>66.666666666666671</c:v>
                </c:pt>
                <c:pt idx="172">
                  <c:v>66.666666666666671</c:v>
                </c:pt>
                <c:pt idx="173">
                  <c:v>66.666666666666671</c:v>
                </c:pt>
                <c:pt idx="174">
                  <c:v>103</c:v>
                </c:pt>
                <c:pt idx="175">
                  <c:v>103</c:v>
                </c:pt>
                <c:pt idx="176">
                  <c:v>103</c:v>
                </c:pt>
                <c:pt idx="177">
                  <c:v>7.4074074074074081E-4</c:v>
                </c:pt>
                <c:pt idx="178">
                  <c:v>0</c:v>
                </c:pt>
                <c:pt idx="179">
                  <c:v>0</c:v>
                </c:pt>
                <c:pt idx="180">
                  <c:v>800</c:v>
                </c:pt>
                <c:pt idx="181">
                  <c:v>800</c:v>
                </c:pt>
                <c:pt idx="182">
                  <c:v>800</c:v>
                </c:pt>
                <c:pt idx="183">
                  <c:v>146</c:v>
                </c:pt>
                <c:pt idx="184">
                  <c:v>146</c:v>
                </c:pt>
                <c:pt idx="185">
                  <c:v>146</c:v>
                </c:pt>
                <c:pt idx="186">
                  <c:v>241</c:v>
                </c:pt>
                <c:pt idx="187">
                  <c:v>209</c:v>
                </c:pt>
                <c:pt idx="188">
                  <c:v>209</c:v>
                </c:pt>
                <c:pt idx="189">
                  <c:v>289</c:v>
                </c:pt>
                <c:pt idx="190">
                  <c:v>291</c:v>
                </c:pt>
                <c:pt idx="191">
                  <c:v>310</c:v>
                </c:pt>
                <c:pt idx="192">
                  <c:v>1138</c:v>
                </c:pt>
                <c:pt idx="193">
                  <c:v>1267</c:v>
                </c:pt>
                <c:pt idx="194">
                  <c:v>1267</c:v>
                </c:pt>
                <c:pt idx="195">
                  <c:v>329</c:v>
                </c:pt>
                <c:pt idx="196">
                  <c:v>329</c:v>
                </c:pt>
                <c:pt idx="197">
                  <c:v>329</c:v>
                </c:pt>
                <c:pt idx="198">
                  <c:v>289</c:v>
                </c:pt>
                <c:pt idx="199">
                  <c:v>289</c:v>
                </c:pt>
                <c:pt idx="200">
                  <c:v>289</c:v>
                </c:pt>
                <c:pt idx="201">
                  <c:v>1300</c:v>
                </c:pt>
                <c:pt idx="202">
                  <c:v>1300</c:v>
                </c:pt>
                <c:pt idx="203">
                  <c:v>1300</c:v>
                </c:pt>
                <c:pt idx="204">
                  <c:v>78</c:v>
                </c:pt>
                <c:pt idx="205">
                  <c:v>78</c:v>
                </c:pt>
                <c:pt idx="206">
                  <c:v>78</c:v>
                </c:pt>
                <c:pt idx="207">
                  <c:v>159</c:v>
                </c:pt>
                <c:pt idx="208">
                  <c:v>159</c:v>
                </c:pt>
                <c:pt idx="209">
                  <c:v>159</c:v>
                </c:pt>
                <c:pt idx="210">
                  <c:v>400</c:v>
                </c:pt>
                <c:pt idx="211">
                  <c:v>400</c:v>
                </c:pt>
                <c:pt idx="212">
                  <c:v>400</c:v>
                </c:pt>
                <c:pt idx="213">
                  <c:v>721</c:v>
                </c:pt>
                <c:pt idx="214">
                  <c:v>721</c:v>
                </c:pt>
                <c:pt idx="215">
                  <c:v>0</c:v>
                </c:pt>
                <c:pt idx="216">
                  <c:v>2065</c:v>
                </c:pt>
                <c:pt idx="217">
                  <c:v>2065</c:v>
                </c:pt>
                <c:pt idx="218">
                  <c:v>2065</c:v>
                </c:pt>
                <c:pt idx="219">
                  <c:v>1481</c:v>
                </c:pt>
                <c:pt idx="220">
                  <c:v>1481</c:v>
                </c:pt>
                <c:pt idx="221">
                  <c:v>1481</c:v>
                </c:pt>
                <c:pt idx="222">
                  <c:v>2500</c:v>
                </c:pt>
                <c:pt idx="223">
                  <c:v>2500</c:v>
                </c:pt>
                <c:pt idx="224">
                  <c:v>2500</c:v>
                </c:pt>
                <c:pt idx="225">
                  <c:v>191</c:v>
                </c:pt>
                <c:pt idx="226">
                  <c:v>191</c:v>
                </c:pt>
                <c:pt idx="227">
                  <c:v>191</c:v>
                </c:pt>
                <c:pt idx="228">
                  <c:v>1855</c:v>
                </c:pt>
                <c:pt idx="229">
                  <c:v>1500</c:v>
                </c:pt>
                <c:pt idx="230">
                  <c:v>1900</c:v>
                </c:pt>
                <c:pt idx="231">
                  <c:v>694</c:v>
                </c:pt>
                <c:pt idx="232">
                  <c:v>694</c:v>
                </c:pt>
                <c:pt idx="233">
                  <c:v>694</c:v>
                </c:pt>
                <c:pt idx="234">
                  <c:v>290</c:v>
                </c:pt>
                <c:pt idx="235">
                  <c:v>290</c:v>
                </c:pt>
                <c:pt idx="236">
                  <c:v>290</c:v>
                </c:pt>
                <c:pt idx="237">
                  <c:v>741</c:v>
                </c:pt>
                <c:pt idx="238">
                  <c:v>741</c:v>
                </c:pt>
                <c:pt idx="239">
                  <c:v>741</c:v>
                </c:pt>
                <c:pt idx="240">
                  <c:v>618</c:v>
                </c:pt>
                <c:pt idx="241">
                  <c:v>618</c:v>
                </c:pt>
                <c:pt idx="242">
                  <c:v>607</c:v>
                </c:pt>
                <c:pt idx="243">
                  <c:v>547</c:v>
                </c:pt>
                <c:pt idx="244">
                  <c:v>547</c:v>
                </c:pt>
                <c:pt idx="245">
                  <c:v>547</c:v>
                </c:pt>
                <c:pt idx="246">
                  <c:v>0</c:v>
                </c:pt>
                <c:pt idx="247">
                  <c:v>0</c:v>
                </c:pt>
                <c:pt idx="248">
                  <c:v>0</c:v>
                </c:pt>
                <c:pt idx="249">
                  <c:v>0</c:v>
                </c:pt>
                <c:pt idx="250">
                  <c:v>0</c:v>
                </c:pt>
                <c:pt idx="251">
                  <c:v>85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19</c:v>
                </c:pt>
                <c:pt idx="268">
                  <c:v>135</c:v>
                </c:pt>
                <c:pt idx="269">
                  <c:v>135</c:v>
                </c:pt>
                <c:pt idx="270">
                  <c:v>148</c:v>
                </c:pt>
                <c:pt idx="271">
                  <c:v>235</c:v>
                </c:pt>
                <c:pt idx="272">
                  <c:v>235</c:v>
                </c:pt>
                <c:pt idx="273">
                  <c:v>156</c:v>
                </c:pt>
                <c:pt idx="274">
                  <c:v>809</c:v>
                </c:pt>
                <c:pt idx="275">
                  <c:v>789</c:v>
                </c:pt>
                <c:pt idx="276">
                  <c:v>789</c:v>
                </c:pt>
                <c:pt idx="277">
                  <c:v>0</c:v>
                </c:pt>
                <c:pt idx="278">
                  <c:v>0</c:v>
                </c:pt>
                <c:pt idx="279">
                  <c:v>0</c:v>
                </c:pt>
                <c:pt idx="280">
                  <c:v>92</c:v>
                </c:pt>
                <c:pt idx="281">
                  <c:v>92</c:v>
                </c:pt>
                <c:pt idx="282">
                  <c:v>92</c:v>
                </c:pt>
                <c:pt idx="283">
                  <c:v>123</c:v>
                </c:pt>
                <c:pt idx="284">
                  <c:v>123</c:v>
                </c:pt>
                <c:pt idx="285">
                  <c:v>123</c:v>
                </c:pt>
                <c:pt idx="286">
                  <c:v>15</c:v>
                </c:pt>
                <c:pt idx="287">
                  <c:v>15</c:v>
                </c:pt>
                <c:pt idx="288">
                  <c:v>15</c:v>
                </c:pt>
                <c:pt idx="289">
                  <c:v>0</c:v>
                </c:pt>
                <c:pt idx="290">
                  <c:v>0</c:v>
                </c:pt>
                <c:pt idx="291">
                  <c:v>0</c:v>
                </c:pt>
                <c:pt idx="292">
                  <c:v>305</c:v>
                </c:pt>
                <c:pt idx="293">
                  <c:v>305</c:v>
                </c:pt>
                <c:pt idx="294">
                  <c:v>66.666666666666671</c:v>
                </c:pt>
                <c:pt idx="295">
                  <c:v>0</c:v>
                </c:pt>
                <c:pt idx="296">
                  <c:v>0</c:v>
                </c:pt>
                <c:pt idx="297">
                  <c:v>0</c:v>
                </c:pt>
                <c:pt idx="298">
                  <c:v>800</c:v>
                </c:pt>
                <c:pt idx="299">
                  <c:v>527</c:v>
                </c:pt>
                <c:pt idx="300">
                  <c:v>527</c:v>
                </c:pt>
                <c:pt idx="301">
                  <c:v>0</c:v>
                </c:pt>
                <c:pt idx="302">
                  <c:v>0</c:v>
                </c:pt>
                <c:pt idx="303">
                  <c:v>0</c:v>
                </c:pt>
                <c:pt idx="304">
                  <c:v>276</c:v>
                </c:pt>
                <c:pt idx="305">
                  <c:v>276</c:v>
                </c:pt>
                <c:pt idx="306">
                  <c:v>0</c:v>
                </c:pt>
                <c:pt idx="307">
                  <c:v>180</c:v>
                </c:pt>
                <c:pt idx="308">
                  <c:v>180</c:v>
                </c:pt>
                <c:pt idx="309">
                  <c:v>0</c:v>
                </c:pt>
                <c:pt idx="310">
                  <c:v>0</c:v>
                </c:pt>
                <c:pt idx="311">
                  <c:v>66.666666666666671</c:v>
                </c:pt>
                <c:pt idx="312">
                  <c:v>0</c:v>
                </c:pt>
                <c:pt idx="313">
                  <c:v>111</c:v>
                </c:pt>
                <c:pt idx="314">
                  <c:v>111</c:v>
                </c:pt>
                <c:pt idx="315">
                  <c:v>111</c:v>
                </c:pt>
                <c:pt idx="316">
                  <c:v>114</c:v>
                </c:pt>
                <c:pt idx="317">
                  <c:v>114</c:v>
                </c:pt>
                <c:pt idx="318">
                  <c:v>114</c:v>
                </c:pt>
                <c:pt idx="319">
                  <c:v>45</c:v>
                </c:pt>
                <c:pt idx="320">
                  <c:v>45</c:v>
                </c:pt>
                <c:pt idx="321">
                  <c:v>45</c:v>
                </c:pt>
                <c:pt idx="322">
                  <c:v>0</c:v>
                </c:pt>
                <c:pt idx="323">
                  <c:v>0</c:v>
                </c:pt>
                <c:pt idx="324">
                  <c:v>0</c:v>
                </c:pt>
                <c:pt idx="325">
                  <c:v>235</c:v>
                </c:pt>
                <c:pt idx="326">
                  <c:v>235</c:v>
                </c:pt>
                <c:pt idx="327">
                  <c:v>235</c:v>
                </c:pt>
                <c:pt idx="328">
                  <c:v>0</c:v>
                </c:pt>
                <c:pt idx="329">
                  <c:v>0</c:v>
                </c:pt>
                <c:pt idx="330">
                  <c:v>0</c:v>
                </c:pt>
                <c:pt idx="331">
                  <c:v>390</c:v>
                </c:pt>
                <c:pt idx="332">
                  <c:v>390</c:v>
                </c:pt>
                <c:pt idx="333">
                  <c:v>401</c:v>
                </c:pt>
                <c:pt idx="334">
                  <c:v>350</c:v>
                </c:pt>
                <c:pt idx="335">
                  <c:v>350</c:v>
                </c:pt>
                <c:pt idx="336">
                  <c:v>350</c:v>
                </c:pt>
                <c:pt idx="337">
                  <c:v>176</c:v>
                </c:pt>
                <c:pt idx="338">
                  <c:v>176</c:v>
                </c:pt>
                <c:pt idx="339">
                  <c:v>176</c:v>
                </c:pt>
                <c:pt idx="340">
                  <c:v>212</c:v>
                </c:pt>
                <c:pt idx="341">
                  <c:v>212</c:v>
                </c:pt>
                <c:pt idx="342">
                  <c:v>212</c:v>
                </c:pt>
                <c:pt idx="343">
                  <c:v>263</c:v>
                </c:pt>
                <c:pt idx="344">
                  <c:v>263</c:v>
                </c:pt>
                <c:pt idx="345">
                  <c:v>66.666666666666671</c:v>
                </c:pt>
                <c:pt idx="346">
                  <c:v>114</c:v>
                </c:pt>
                <c:pt idx="347">
                  <c:v>114</c:v>
                </c:pt>
                <c:pt idx="348">
                  <c:v>114</c:v>
                </c:pt>
                <c:pt idx="349">
                  <c:v>42</c:v>
                </c:pt>
                <c:pt idx="350">
                  <c:v>42</c:v>
                </c:pt>
                <c:pt idx="351">
                  <c:v>42</c:v>
                </c:pt>
                <c:pt idx="352">
                  <c:v>182</c:v>
                </c:pt>
                <c:pt idx="353">
                  <c:v>182</c:v>
                </c:pt>
                <c:pt idx="354">
                  <c:v>182</c:v>
                </c:pt>
                <c:pt idx="355">
                  <c:v>161</c:v>
                </c:pt>
                <c:pt idx="356">
                  <c:v>161</c:v>
                </c:pt>
                <c:pt idx="357">
                  <c:v>66.666666666666671</c:v>
                </c:pt>
                <c:pt idx="358">
                  <c:v>36</c:v>
                </c:pt>
                <c:pt idx="359">
                  <c:v>36</c:v>
                </c:pt>
                <c:pt idx="360">
                  <c:v>36</c:v>
                </c:pt>
                <c:pt idx="361">
                  <c:v>66.666666666666671</c:v>
                </c:pt>
                <c:pt idx="362">
                  <c:v>66.666666666666671</c:v>
                </c:pt>
                <c:pt idx="363">
                  <c:v>0</c:v>
                </c:pt>
                <c:pt idx="364">
                  <c:v>400</c:v>
                </c:pt>
                <c:pt idx="365">
                  <c:v>400</c:v>
                </c:pt>
                <c:pt idx="366">
                  <c:v>400</c:v>
                </c:pt>
                <c:pt idx="367">
                  <c:v>309</c:v>
                </c:pt>
                <c:pt idx="368">
                  <c:v>309</c:v>
                </c:pt>
                <c:pt idx="369">
                  <c:v>309</c:v>
                </c:pt>
                <c:pt idx="370">
                  <c:v>76</c:v>
                </c:pt>
                <c:pt idx="371">
                  <c:v>218</c:v>
                </c:pt>
                <c:pt idx="372">
                  <c:v>218</c:v>
                </c:pt>
                <c:pt idx="373">
                  <c:v>218</c:v>
                </c:pt>
                <c:pt idx="374">
                  <c:v>41</c:v>
                </c:pt>
                <c:pt idx="375">
                  <c:v>41</c:v>
                </c:pt>
                <c:pt idx="376">
                  <c:v>41</c:v>
                </c:pt>
                <c:pt idx="377">
                  <c:v>82</c:v>
                </c:pt>
                <c:pt idx="378">
                  <c:v>82</c:v>
                </c:pt>
                <c:pt idx="379">
                  <c:v>82</c:v>
                </c:pt>
                <c:pt idx="380">
                  <c:v>113</c:v>
                </c:pt>
                <c:pt idx="381">
                  <c:v>113</c:v>
                </c:pt>
                <c:pt idx="382">
                  <c:v>113</c:v>
                </c:pt>
                <c:pt idx="383">
                  <c:v>0</c:v>
                </c:pt>
                <c:pt idx="384">
                  <c:v>66.666666666666671</c:v>
                </c:pt>
                <c:pt idx="385">
                  <c:v>66.666666666666671</c:v>
                </c:pt>
                <c:pt idx="386">
                  <c:v>632</c:v>
                </c:pt>
                <c:pt idx="387">
                  <c:v>632</c:v>
                </c:pt>
                <c:pt idx="388">
                  <c:v>0</c:v>
                </c:pt>
                <c:pt idx="389">
                  <c:v>1658</c:v>
                </c:pt>
                <c:pt idx="390">
                  <c:v>1500</c:v>
                </c:pt>
                <c:pt idx="391">
                  <c:v>1500</c:v>
                </c:pt>
                <c:pt idx="392">
                  <c:v>281</c:v>
                </c:pt>
                <c:pt idx="393">
                  <c:v>281</c:v>
                </c:pt>
                <c:pt idx="394">
                  <c:v>281</c:v>
                </c:pt>
                <c:pt idx="395">
                  <c:v>294</c:v>
                </c:pt>
                <c:pt idx="396">
                  <c:v>294</c:v>
                </c:pt>
                <c:pt idx="397">
                  <c:v>294</c:v>
                </c:pt>
                <c:pt idx="398">
                  <c:v>882</c:v>
                </c:pt>
                <c:pt idx="399">
                  <c:v>882</c:v>
                </c:pt>
                <c:pt idx="400">
                  <c:v>882</c:v>
                </c:pt>
                <c:pt idx="401">
                  <c:v>0</c:v>
                </c:pt>
                <c:pt idx="402">
                  <c:v>933.33333333333337</c:v>
                </c:pt>
                <c:pt idx="403">
                  <c:v>933.33333333333337</c:v>
                </c:pt>
                <c:pt idx="404">
                  <c:v>1916.6666666666667</c:v>
                </c:pt>
                <c:pt idx="405">
                  <c:v>1916.6666666666667</c:v>
                </c:pt>
                <c:pt idx="406">
                  <c:v>1916.6666666666667</c:v>
                </c:pt>
                <c:pt idx="407">
                  <c:v>200</c:v>
                </c:pt>
                <c:pt idx="408">
                  <c:v>200</c:v>
                </c:pt>
                <c:pt idx="409">
                  <c:v>200</c:v>
                </c:pt>
                <c:pt idx="410">
                  <c:v>196</c:v>
                </c:pt>
                <c:pt idx="411">
                  <c:v>196</c:v>
                </c:pt>
                <c:pt idx="412">
                  <c:v>66.666666666666671</c:v>
                </c:pt>
                <c:pt idx="413">
                  <c:v>0</c:v>
                </c:pt>
                <c:pt idx="414">
                  <c:v>0</c:v>
                </c:pt>
                <c:pt idx="415">
                  <c:v>27</c:v>
                </c:pt>
                <c:pt idx="416">
                  <c:v>66.666666666666671</c:v>
                </c:pt>
                <c:pt idx="417">
                  <c:v>66.666666666666671</c:v>
                </c:pt>
                <c:pt idx="418">
                  <c:v>66.666666666666671</c:v>
                </c:pt>
                <c:pt idx="419">
                  <c:v>1015</c:v>
                </c:pt>
                <c:pt idx="420">
                  <c:v>1397</c:v>
                </c:pt>
                <c:pt idx="421">
                  <c:v>1397</c:v>
                </c:pt>
                <c:pt idx="422">
                  <c:v>514</c:v>
                </c:pt>
                <c:pt idx="423">
                  <c:v>514</c:v>
                </c:pt>
                <c:pt idx="424">
                  <c:v>514</c:v>
                </c:pt>
                <c:pt idx="425">
                  <c:v>66.666666666666671</c:v>
                </c:pt>
                <c:pt idx="426">
                  <c:v>66.666666666666671</c:v>
                </c:pt>
                <c:pt idx="427">
                  <c:v>612</c:v>
                </c:pt>
                <c:pt idx="428">
                  <c:v>493</c:v>
                </c:pt>
                <c:pt idx="429">
                  <c:v>493</c:v>
                </c:pt>
                <c:pt idx="430">
                  <c:v>493</c:v>
                </c:pt>
                <c:pt idx="431">
                  <c:v>307</c:v>
                </c:pt>
                <c:pt idx="432">
                  <c:v>307</c:v>
                </c:pt>
                <c:pt idx="433">
                  <c:v>307</c:v>
                </c:pt>
                <c:pt idx="434">
                  <c:v>189</c:v>
                </c:pt>
                <c:pt idx="435">
                  <c:v>189</c:v>
                </c:pt>
                <c:pt idx="436">
                  <c:v>189</c:v>
                </c:pt>
                <c:pt idx="437">
                  <c:v>38</c:v>
                </c:pt>
                <c:pt idx="438">
                  <c:v>38</c:v>
                </c:pt>
                <c:pt idx="439">
                  <c:v>38</c:v>
                </c:pt>
                <c:pt idx="440">
                  <c:v>4024</c:v>
                </c:pt>
                <c:pt idx="441">
                  <c:v>3876</c:v>
                </c:pt>
                <c:pt idx="442">
                  <c:v>3859</c:v>
                </c:pt>
                <c:pt idx="443">
                  <c:v>0</c:v>
                </c:pt>
                <c:pt idx="444">
                  <c:v>0</c:v>
                </c:pt>
                <c:pt idx="445">
                  <c:v>0</c:v>
                </c:pt>
                <c:pt idx="446">
                  <c:v>0</c:v>
                </c:pt>
                <c:pt idx="447">
                  <c:v>66.666666666666671</c:v>
                </c:pt>
                <c:pt idx="448">
                  <c:v>66.666666666666671</c:v>
                </c:pt>
                <c:pt idx="449">
                  <c:v>136</c:v>
                </c:pt>
                <c:pt idx="450">
                  <c:v>136</c:v>
                </c:pt>
                <c:pt idx="451">
                  <c:v>136</c:v>
                </c:pt>
                <c:pt idx="452">
                  <c:v>0</c:v>
                </c:pt>
                <c:pt idx="453">
                  <c:v>0</c:v>
                </c:pt>
                <c:pt idx="454">
                  <c:v>0</c:v>
                </c:pt>
                <c:pt idx="455">
                  <c:v>250</c:v>
                </c:pt>
                <c:pt idx="456">
                  <c:v>255</c:v>
                </c:pt>
                <c:pt idx="457">
                  <c:v>255</c:v>
                </c:pt>
                <c:pt idx="458">
                  <c:v>266.66666666666669</c:v>
                </c:pt>
                <c:pt idx="459">
                  <c:v>266.66666666666669</c:v>
                </c:pt>
                <c:pt idx="460">
                  <c:v>266.66666666666669</c:v>
                </c:pt>
                <c:pt idx="461">
                  <c:v>103</c:v>
                </c:pt>
                <c:pt idx="462">
                  <c:v>103</c:v>
                </c:pt>
                <c:pt idx="463">
                  <c:v>103</c:v>
                </c:pt>
                <c:pt idx="464">
                  <c:v>0</c:v>
                </c:pt>
                <c:pt idx="465">
                  <c:v>0</c:v>
                </c:pt>
                <c:pt idx="466">
                  <c:v>0</c:v>
                </c:pt>
                <c:pt idx="467">
                  <c:v>80</c:v>
                </c:pt>
                <c:pt idx="468">
                  <c:v>80</c:v>
                </c:pt>
                <c:pt idx="469">
                  <c:v>80</c:v>
                </c:pt>
                <c:pt idx="470">
                  <c:v>534</c:v>
                </c:pt>
                <c:pt idx="471">
                  <c:v>534</c:v>
                </c:pt>
                <c:pt idx="472">
                  <c:v>534</c:v>
                </c:pt>
                <c:pt idx="473">
                  <c:v>111</c:v>
                </c:pt>
                <c:pt idx="474">
                  <c:v>111</c:v>
                </c:pt>
                <c:pt idx="475">
                  <c:v>111</c:v>
                </c:pt>
                <c:pt idx="476">
                  <c:v>0</c:v>
                </c:pt>
                <c:pt idx="477">
                  <c:v>66.666666666666671</c:v>
                </c:pt>
                <c:pt idx="478">
                  <c:v>66.666666666666671</c:v>
                </c:pt>
                <c:pt idx="479">
                  <c:v>285</c:v>
                </c:pt>
                <c:pt idx="480">
                  <c:v>298</c:v>
                </c:pt>
                <c:pt idx="481">
                  <c:v>298</c:v>
                </c:pt>
                <c:pt idx="482">
                  <c:v>189</c:v>
                </c:pt>
                <c:pt idx="483">
                  <c:v>189</c:v>
                </c:pt>
                <c:pt idx="484">
                  <c:v>189</c:v>
                </c:pt>
                <c:pt idx="485">
                  <c:v>499</c:v>
                </c:pt>
                <c:pt idx="486">
                  <c:v>499</c:v>
                </c:pt>
                <c:pt idx="487">
                  <c:v>499</c:v>
                </c:pt>
                <c:pt idx="488">
                  <c:v>122</c:v>
                </c:pt>
                <c:pt idx="489">
                  <c:v>0</c:v>
                </c:pt>
                <c:pt idx="490">
                  <c:v>566.66666666666663</c:v>
                </c:pt>
                <c:pt idx="491">
                  <c:v>566.66666666666663</c:v>
                </c:pt>
                <c:pt idx="492">
                  <c:v>52</c:v>
                </c:pt>
                <c:pt idx="493">
                  <c:v>52</c:v>
                </c:pt>
                <c:pt idx="494">
                  <c:v>52</c:v>
                </c:pt>
                <c:pt idx="495">
                  <c:v>0</c:v>
                </c:pt>
                <c:pt idx="496">
                  <c:v>0</c:v>
                </c:pt>
                <c:pt idx="497">
                  <c:v>0</c:v>
                </c:pt>
                <c:pt idx="498">
                  <c:v>0</c:v>
                </c:pt>
                <c:pt idx="499">
                  <c:v>0</c:v>
                </c:pt>
                <c:pt idx="500">
                  <c:v>0</c:v>
                </c:pt>
                <c:pt idx="501">
                  <c:v>0</c:v>
                </c:pt>
                <c:pt idx="502">
                  <c:v>175</c:v>
                </c:pt>
                <c:pt idx="503">
                  <c:v>175</c:v>
                </c:pt>
                <c:pt idx="504">
                  <c:v>0</c:v>
                </c:pt>
                <c:pt idx="505">
                  <c:v>0</c:v>
                </c:pt>
                <c:pt idx="506">
                  <c:v>0</c:v>
                </c:pt>
                <c:pt idx="507">
                  <c:v>351</c:v>
                </c:pt>
                <c:pt idx="508">
                  <c:v>351</c:v>
                </c:pt>
                <c:pt idx="509">
                  <c:v>351</c:v>
                </c:pt>
                <c:pt idx="510">
                  <c:v>253</c:v>
                </c:pt>
                <c:pt idx="511">
                  <c:v>253</c:v>
                </c:pt>
                <c:pt idx="512">
                  <c:v>253</c:v>
                </c:pt>
                <c:pt idx="513">
                  <c:v>77</c:v>
                </c:pt>
                <c:pt idx="514">
                  <c:v>77</c:v>
                </c:pt>
                <c:pt idx="515">
                  <c:v>77</c:v>
                </c:pt>
                <c:pt idx="516">
                  <c:v>165</c:v>
                </c:pt>
                <c:pt idx="517">
                  <c:v>165</c:v>
                </c:pt>
                <c:pt idx="518">
                  <c:v>165</c:v>
                </c:pt>
                <c:pt idx="519">
                  <c:v>219</c:v>
                </c:pt>
                <c:pt idx="520">
                  <c:v>219</c:v>
                </c:pt>
                <c:pt idx="521">
                  <c:v>219</c:v>
                </c:pt>
                <c:pt idx="522">
                  <c:v>186</c:v>
                </c:pt>
                <c:pt idx="523">
                  <c:v>186</c:v>
                </c:pt>
                <c:pt idx="524">
                  <c:v>186</c:v>
                </c:pt>
                <c:pt idx="525">
                  <c:v>66.666666666666671</c:v>
                </c:pt>
                <c:pt idx="526">
                  <c:v>66.666666666666671</c:v>
                </c:pt>
                <c:pt idx="527">
                  <c:v>66.666666666666671</c:v>
                </c:pt>
                <c:pt idx="528">
                  <c:v>0</c:v>
                </c:pt>
                <c:pt idx="529">
                  <c:v>0</c:v>
                </c:pt>
                <c:pt idx="530">
                  <c:v>0</c:v>
                </c:pt>
                <c:pt idx="531">
                  <c:v>7.5555555555555554</c:v>
                </c:pt>
                <c:pt idx="532">
                  <c:v>724</c:v>
                </c:pt>
                <c:pt idx="533">
                  <c:v>724</c:v>
                </c:pt>
                <c:pt idx="534">
                  <c:v>183</c:v>
                </c:pt>
                <c:pt idx="535">
                  <c:v>183</c:v>
                </c:pt>
                <c:pt idx="536">
                  <c:v>183</c:v>
                </c:pt>
                <c:pt idx="537">
                  <c:v>356</c:v>
                </c:pt>
                <c:pt idx="538">
                  <c:v>356</c:v>
                </c:pt>
                <c:pt idx="539">
                  <c:v>356</c:v>
                </c:pt>
                <c:pt idx="540">
                  <c:v>263</c:v>
                </c:pt>
                <c:pt idx="541">
                  <c:v>263</c:v>
                </c:pt>
                <c:pt idx="542">
                  <c:v>263</c:v>
                </c:pt>
                <c:pt idx="543">
                  <c:v>172</c:v>
                </c:pt>
                <c:pt idx="544">
                  <c:v>172</c:v>
                </c:pt>
                <c:pt idx="545">
                  <c:v>172</c:v>
                </c:pt>
                <c:pt idx="546">
                  <c:v>465.37037037037038</c:v>
                </c:pt>
                <c:pt idx="547">
                  <c:v>595.14074074074074</c:v>
                </c:pt>
                <c:pt idx="548">
                  <c:v>595.14074074074074</c:v>
                </c:pt>
                <c:pt idx="549">
                  <c:v>0</c:v>
                </c:pt>
                <c:pt idx="550">
                  <c:v>0</c:v>
                </c:pt>
                <c:pt idx="551">
                  <c:v>0</c:v>
                </c:pt>
                <c:pt idx="552">
                  <c:v>0</c:v>
                </c:pt>
                <c:pt idx="553">
                  <c:v>0</c:v>
                </c:pt>
                <c:pt idx="554">
                  <c:v>0</c:v>
                </c:pt>
                <c:pt idx="555">
                  <c:v>59</c:v>
                </c:pt>
                <c:pt idx="556">
                  <c:v>0</c:v>
                </c:pt>
                <c:pt idx="557">
                  <c:v>0</c:v>
                </c:pt>
                <c:pt idx="558">
                  <c:v>0</c:v>
                </c:pt>
                <c:pt idx="559">
                  <c:v>1077</c:v>
                </c:pt>
                <c:pt idx="560">
                  <c:v>1077</c:v>
                </c:pt>
                <c:pt idx="561">
                  <c:v>1077</c:v>
                </c:pt>
                <c:pt idx="562">
                  <c:v>0</c:v>
                </c:pt>
                <c:pt idx="563">
                  <c:v>0</c:v>
                </c:pt>
                <c:pt idx="564">
                  <c:v>0</c:v>
                </c:pt>
                <c:pt idx="565">
                  <c:v>0</c:v>
                </c:pt>
                <c:pt idx="566">
                  <c:v>0</c:v>
                </c:pt>
                <c:pt idx="567">
                  <c:v>0</c:v>
                </c:pt>
                <c:pt idx="568">
                  <c:v>93</c:v>
                </c:pt>
                <c:pt idx="569">
                  <c:v>120</c:v>
                </c:pt>
                <c:pt idx="570">
                  <c:v>120</c:v>
                </c:pt>
                <c:pt idx="571">
                  <c:v>0</c:v>
                </c:pt>
                <c:pt idx="572">
                  <c:v>0</c:v>
                </c:pt>
                <c:pt idx="573">
                  <c:v>95</c:v>
                </c:pt>
                <c:pt idx="574">
                  <c:v>0</c:v>
                </c:pt>
                <c:pt idx="575">
                  <c:v>0</c:v>
                </c:pt>
                <c:pt idx="576">
                  <c:v>0</c:v>
                </c:pt>
                <c:pt idx="577">
                  <c:v>0</c:v>
                </c:pt>
                <c:pt idx="578">
                  <c:v>0</c:v>
                </c:pt>
                <c:pt idx="579">
                  <c:v>0</c:v>
                </c:pt>
                <c:pt idx="580">
                  <c:v>0</c:v>
                </c:pt>
                <c:pt idx="581">
                  <c:v>0</c:v>
                </c:pt>
                <c:pt idx="582">
                  <c:v>0</c:v>
                </c:pt>
                <c:pt idx="583">
                  <c:v>1219</c:v>
                </c:pt>
                <c:pt idx="584">
                  <c:v>1219</c:v>
                </c:pt>
                <c:pt idx="585">
                  <c:v>1219</c:v>
                </c:pt>
                <c:pt idx="586">
                  <c:v>130</c:v>
                </c:pt>
                <c:pt idx="587">
                  <c:v>130</c:v>
                </c:pt>
                <c:pt idx="588">
                  <c:v>161</c:v>
                </c:pt>
                <c:pt idx="589">
                  <c:v>197</c:v>
                </c:pt>
                <c:pt idx="590">
                  <c:v>197</c:v>
                </c:pt>
                <c:pt idx="591">
                  <c:v>0</c:v>
                </c:pt>
                <c:pt idx="592">
                  <c:v>0</c:v>
                </c:pt>
                <c:pt idx="593">
                  <c:v>0</c:v>
                </c:pt>
                <c:pt idx="594">
                  <c:v>412</c:v>
                </c:pt>
                <c:pt idx="595">
                  <c:v>685</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Analysis!$B$170</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Analysis!$C$167:$F$167</c:f>
              <c:strCache>
                <c:ptCount val="4"/>
                <c:pt idx="0">
                  <c:v>Functional</c:v>
                </c:pt>
                <c:pt idx="1">
                  <c:v>NA</c:v>
                </c:pt>
                <c:pt idx="2">
                  <c:v>Not_Functional</c:v>
                </c:pt>
                <c:pt idx="3">
                  <c:v>Not_inPlace</c:v>
                </c:pt>
              </c:strCache>
            </c:strRef>
          </c:cat>
          <c:val>
            <c:numRef>
              <c:f>Analysis!$C$170:$F$170</c:f>
              <c:numCache>
                <c:formatCode>General</c:formatCode>
                <c:ptCount val="4"/>
                <c:pt idx="0">
                  <c:v>15</c:v>
                </c:pt>
                <c:pt idx="1">
                  <c:v>7</c:v>
                </c:pt>
                <c:pt idx="2">
                  <c:v>6</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5">
  <a:schemeClr val="accent2"/>
</cs:colorStyle>
</file>

<file path=xl/charts/colors49.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5">
  <a:schemeClr val="accent2"/>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5">
  <a:schemeClr val="accent2"/>
</cs:colorStyle>
</file>

<file path=xl/charts/colors75.xml><?xml version="1.0" encoding="utf-8"?>
<cs:colorStyle xmlns:cs="http://schemas.microsoft.com/office/drawing/2012/chartStyle" xmlns:a="http://schemas.openxmlformats.org/drawingml/2006/main" meth="withinLinear" id="15">
  <a:schemeClr val="accent2"/>
</cs:colorStyle>
</file>

<file path=xl/charts/colors76.xml><?xml version="1.0" encoding="utf-8"?>
<cs:colorStyle xmlns:cs="http://schemas.microsoft.com/office/drawing/2012/chartStyle" xmlns:a="http://schemas.openxmlformats.org/drawingml/2006/main" meth="withinLinear" id="15">
  <a:schemeClr val="accent2"/>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9">
  <a:schemeClr val="accent6"/>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21" Type="http://schemas.openxmlformats.org/officeDocument/2006/relationships/chart" Target="../charts/chart27.xml"/><Relationship Id="rId34" Type="http://schemas.openxmlformats.org/officeDocument/2006/relationships/chart" Target="../charts/chart40.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33" Type="http://schemas.openxmlformats.org/officeDocument/2006/relationships/chart" Target="../charts/chart39.xml"/><Relationship Id="rId38" Type="http://schemas.openxmlformats.org/officeDocument/2006/relationships/chart" Target="../charts/chart44.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32" Type="http://schemas.openxmlformats.org/officeDocument/2006/relationships/chart" Target="../charts/chart38.xml"/><Relationship Id="rId37" Type="http://schemas.openxmlformats.org/officeDocument/2006/relationships/chart" Target="../charts/chart43.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36" Type="http://schemas.openxmlformats.org/officeDocument/2006/relationships/chart" Target="../charts/chart42.xml"/><Relationship Id="rId10" Type="http://schemas.openxmlformats.org/officeDocument/2006/relationships/chart" Target="../charts/chart16.xml"/><Relationship Id="rId19" Type="http://schemas.openxmlformats.org/officeDocument/2006/relationships/chart" Target="../charts/chart25.xml"/><Relationship Id="rId31" Type="http://schemas.openxmlformats.org/officeDocument/2006/relationships/chart" Target="../charts/chart37.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 Id="rId35" Type="http://schemas.openxmlformats.org/officeDocument/2006/relationships/chart" Target="../charts/chart41.xml"/><Relationship Id="rId8" Type="http://schemas.openxmlformats.org/officeDocument/2006/relationships/chart" Target="../charts/chart14.xml"/><Relationship Id="rId3"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2.xml"/><Relationship Id="rId13" Type="http://schemas.openxmlformats.org/officeDocument/2006/relationships/chart" Target="../charts/chart57.xml"/><Relationship Id="rId18" Type="http://schemas.openxmlformats.org/officeDocument/2006/relationships/chart" Target="../charts/chart62.xml"/><Relationship Id="rId3" Type="http://schemas.openxmlformats.org/officeDocument/2006/relationships/chart" Target="../charts/chart47.xml"/><Relationship Id="rId21" Type="http://schemas.openxmlformats.org/officeDocument/2006/relationships/image" Target="../media/image2.jpeg"/><Relationship Id="rId7" Type="http://schemas.openxmlformats.org/officeDocument/2006/relationships/chart" Target="../charts/chart51.xml"/><Relationship Id="rId12" Type="http://schemas.openxmlformats.org/officeDocument/2006/relationships/chart" Target="../charts/chart56.xml"/><Relationship Id="rId17" Type="http://schemas.openxmlformats.org/officeDocument/2006/relationships/chart" Target="../charts/chart61.xml"/><Relationship Id="rId2" Type="http://schemas.openxmlformats.org/officeDocument/2006/relationships/hyperlink" Target="#Analysis!A329"/><Relationship Id="rId16" Type="http://schemas.openxmlformats.org/officeDocument/2006/relationships/chart" Target="../charts/chart60.xml"/><Relationship Id="rId20" Type="http://schemas.openxmlformats.org/officeDocument/2006/relationships/chart" Target="../charts/chart63.xml"/><Relationship Id="rId1" Type="http://schemas.openxmlformats.org/officeDocument/2006/relationships/chart" Target="../charts/chart46.xml"/><Relationship Id="rId6" Type="http://schemas.openxmlformats.org/officeDocument/2006/relationships/chart" Target="../charts/chart50.xml"/><Relationship Id="rId11" Type="http://schemas.openxmlformats.org/officeDocument/2006/relationships/chart" Target="../charts/chart55.xml"/><Relationship Id="rId5" Type="http://schemas.openxmlformats.org/officeDocument/2006/relationships/chart" Target="../charts/chart49.xml"/><Relationship Id="rId15" Type="http://schemas.openxmlformats.org/officeDocument/2006/relationships/chart" Target="../charts/chart59.xml"/><Relationship Id="rId23" Type="http://schemas.openxmlformats.org/officeDocument/2006/relationships/chart" Target="../charts/chart65.xml"/><Relationship Id="rId10" Type="http://schemas.openxmlformats.org/officeDocument/2006/relationships/chart" Target="../charts/chart54.xml"/><Relationship Id="rId19" Type="http://schemas.openxmlformats.org/officeDocument/2006/relationships/hyperlink" Target="#'AAP-community Feedback'!A2"/><Relationship Id="rId4" Type="http://schemas.openxmlformats.org/officeDocument/2006/relationships/chart" Target="../charts/chart48.xml"/><Relationship Id="rId9" Type="http://schemas.openxmlformats.org/officeDocument/2006/relationships/chart" Target="../charts/chart53.xml"/><Relationship Id="rId14" Type="http://schemas.openxmlformats.org/officeDocument/2006/relationships/chart" Target="../charts/chart58.xml"/><Relationship Id="rId22"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6.xml"/><Relationship Id="rId18" Type="http://schemas.openxmlformats.org/officeDocument/2006/relationships/image" Target="../media/image3.jpeg"/><Relationship Id="rId3" Type="http://schemas.openxmlformats.org/officeDocument/2006/relationships/hyperlink" Target="#Analysis!A329"/><Relationship Id="rId7" Type="http://schemas.openxmlformats.org/officeDocument/2006/relationships/chart" Target="../charts/chart71.xml"/><Relationship Id="rId12" Type="http://schemas.openxmlformats.org/officeDocument/2006/relationships/chart" Target="../charts/chart75.xml"/><Relationship Id="rId17" Type="http://schemas.openxmlformats.org/officeDocument/2006/relationships/chart" Target="../charts/chart80.xml"/><Relationship Id="rId2" Type="http://schemas.openxmlformats.org/officeDocument/2006/relationships/chart" Target="../charts/chart67.xml"/><Relationship Id="rId16" Type="http://schemas.openxmlformats.org/officeDocument/2006/relationships/chart" Target="../charts/chart79.xml"/><Relationship Id="rId20" Type="http://schemas.openxmlformats.org/officeDocument/2006/relationships/chart" Target="../charts/chart82.xml"/><Relationship Id="rId1" Type="http://schemas.openxmlformats.org/officeDocument/2006/relationships/chart" Target="../charts/chart66.xml"/><Relationship Id="rId6" Type="http://schemas.openxmlformats.org/officeDocument/2006/relationships/chart" Target="../charts/chart70.xml"/><Relationship Id="rId11" Type="http://schemas.openxmlformats.org/officeDocument/2006/relationships/hyperlink" Target="#'AAP-community Feedback'!A2"/><Relationship Id="rId5" Type="http://schemas.openxmlformats.org/officeDocument/2006/relationships/chart" Target="../charts/chart69.xml"/><Relationship Id="rId15" Type="http://schemas.openxmlformats.org/officeDocument/2006/relationships/chart" Target="../charts/chart78.xml"/><Relationship Id="rId10" Type="http://schemas.openxmlformats.org/officeDocument/2006/relationships/chart" Target="../charts/chart74.xml"/><Relationship Id="rId19" Type="http://schemas.openxmlformats.org/officeDocument/2006/relationships/chart" Target="../charts/chart81.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oneCellAnchor>
    <xdr:from>
      <xdr:col>1</xdr:col>
      <xdr:colOff>561975</xdr:colOff>
      <xdr:row>79</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43000" y="4753927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0.64166</cdr:x>
      <cdr:y>0.15874</cdr:y>
    </cdr:from>
    <cdr:to>
      <cdr:x>0.79476</cdr:x>
      <cdr:y>0.25249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3110210" y="537055"/>
          <a:ext cx="742124" cy="317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0.64535</cdr:x>
      <cdr:y>0.33136</cdr:y>
    </cdr:from>
    <cdr:to>
      <cdr:x>0.78821</cdr:x>
      <cdr:y>0.42511</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3128113" y="1121090"/>
          <a:ext cx="692470" cy="317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userShapes>
</file>

<file path=xl/drawings/drawing11.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3463</xdr:colOff>
      <xdr:row>80</xdr:row>
      <xdr:rowOff>562841</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51213" y="4753061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645004</xdr:colOff>
      <xdr:row>63</xdr:row>
      <xdr:rowOff>192830</xdr:rowOff>
    </xdr:from>
    <xdr:to>
      <xdr:col>15</xdr:col>
      <xdr:colOff>988218</xdr:colOff>
      <xdr:row>72</xdr:row>
      <xdr:rowOff>11906</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517262</xdr:colOff>
      <xdr:row>78</xdr:row>
      <xdr:rowOff>47623</xdr:rowOff>
    </xdr:from>
    <xdr:to>
      <xdr:col>15</xdr:col>
      <xdr:colOff>666750</xdr:colOff>
      <xdr:row>89</xdr:row>
      <xdr:rowOff>23811</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716005</xdr:colOff>
      <xdr:row>95</xdr:row>
      <xdr:rowOff>154783</xdr:rowOff>
    </xdr:from>
    <xdr:to>
      <xdr:col>16</xdr:col>
      <xdr:colOff>559593</xdr:colOff>
      <xdr:row>112</xdr:row>
      <xdr:rowOff>11906</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149575</xdr:colOff>
      <xdr:row>66</xdr:row>
      <xdr:rowOff>34437</xdr:rowOff>
    </xdr:from>
    <xdr:to>
      <xdr:col>25</xdr:col>
      <xdr:colOff>655639</xdr:colOff>
      <xdr:row>71</xdr:row>
      <xdr:rowOff>16669</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14550</xdr:colOff>
      <xdr:row>65</xdr:row>
      <xdr:rowOff>135463</xdr:rowOff>
    </xdr:from>
    <xdr:to>
      <xdr:col>40</xdr:col>
      <xdr:colOff>1686718</xdr:colOff>
      <xdr:row>73</xdr:row>
      <xdr:rowOff>16668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475299</xdr:colOff>
      <xdr:row>16</xdr:row>
      <xdr:rowOff>0</xdr:rowOff>
    </xdr:from>
    <xdr:to>
      <xdr:col>29</xdr:col>
      <xdr:colOff>69851</xdr:colOff>
      <xdr:row>52</xdr:row>
      <xdr:rowOff>228600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1055913</xdr:colOff>
      <xdr:row>86</xdr:row>
      <xdr:rowOff>707572</xdr:rowOff>
    </xdr:from>
    <xdr:to>
      <xdr:col>15</xdr:col>
      <xdr:colOff>752474</xdr:colOff>
      <xdr:row>87</xdr:row>
      <xdr:rowOff>174172</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7819913" y="31654297"/>
          <a:ext cx="78241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44546A"/>
              </a:solidFill>
            </a:rPr>
            <a:t>+13,394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1210875</xdr:colOff>
      <xdr:row>222</xdr:row>
      <xdr:rowOff>140065</xdr:rowOff>
    </xdr:from>
    <xdr:to>
      <xdr:col>9</xdr:col>
      <xdr:colOff>423332</xdr:colOff>
      <xdr:row>238</xdr:row>
      <xdr:rowOff>21167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111702</xdr:colOff>
      <xdr:row>156</xdr:row>
      <xdr:rowOff>122094</xdr:rowOff>
    </xdr:from>
    <xdr:to>
      <xdr:col>10</xdr:col>
      <xdr:colOff>609600</xdr:colOff>
      <xdr:row>170</xdr:row>
      <xdr:rowOff>141143</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353</xdr:colOff>
      <xdr:row>156</xdr:row>
      <xdr:rowOff>100542</xdr:rowOff>
    </xdr:from>
    <xdr:to>
      <xdr:col>15</xdr:col>
      <xdr:colOff>457553</xdr:colOff>
      <xdr:row>170</xdr:row>
      <xdr:rowOff>52917</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114300</xdr:colOff>
      <xdr:row>173</xdr:row>
      <xdr:rowOff>76200</xdr:rowOff>
    </xdr:from>
    <xdr:to>
      <xdr:col>10</xdr:col>
      <xdr:colOff>581026</xdr:colOff>
      <xdr:row>185</xdr:row>
      <xdr:rowOff>95250</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173</xdr:row>
      <xdr:rowOff>38100</xdr:rowOff>
    </xdr:from>
    <xdr:to>
      <xdr:col>15</xdr:col>
      <xdr:colOff>552450</xdr:colOff>
      <xdr:row>185</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296335</xdr:colOff>
      <xdr:row>37</xdr:row>
      <xdr:rowOff>184149</xdr:rowOff>
    </xdr:from>
    <xdr:to>
      <xdr:col>7</xdr:col>
      <xdr:colOff>810685</xdr:colOff>
      <xdr:row>50</xdr:row>
      <xdr:rowOff>165099</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423862</xdr:colOff>
      <xdr:row>37</xdr:row>
      <xdr:rowOff>133351</xdr:rowOff>
    </xdr:from>
    <xdr:to>
      <xdr:col>15</xdr:col>
      <xdr:colOff>652462</xdr:colOff>
      <xdr:row>50</xdr:row>
      <xdr:rowOff>85726</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647140</xdr:colOff>
      <xdr:row>222</xdr:row>
      <xdr:rowOff>162200</xdr:rowOff>
    </xdr:from>
    <xdr:to>
      <xdr:col>4</xdr:col>
      <xdr:colOff>1136793</xdr:colOff>
      <xdr:row>238</xdr:row>
      <xdr:rowOff>114154</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324</xdr:row>
      <xdr:rowOff>142875</xdr:rowOff>
    </xdr:from>
    <xdr:to>
      <xdr:col>14</xdr:col>
      <xdr:colOff>986276</xdr:colOff>
      <xdr:row>334</xdr:row>
      <xdr:rowOff>73022</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626320</xdr:colOff>
      <xdr:row>136</xdr:row>
      <xdr:rowOff>164544</xdr:rowOff>
    </xdr:from>
    <xdr:to>
      <xdr:col>7</xdr:col>
      <xdr:colOff>674763</xdr:colOff>
      <xdr:row>152</xdr:row>
      <xdr:rowOff>19159</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626320" y="27497766"/>
          <a:ext cx="7393276" cy="4017393"/>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8</xdr:col>
      <xdr:colOff>1196461</xdr:colOff>
      <xdr:row>135</xdr:row>
      <xdr:rowOff>159462</xdr:rowOff>
    </xdr:from>
    <xdr:to>
      <xdr:col>16</xdr:col>
      <xdr:colOff>860823</xdr:colOff>
      <xdr:row>151</xdr:row>
      <xdr:rowOff>142215</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1229461" y="27295129"/>
          <a:ext cx="8243918" cy="4159642"/>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386</xdr:row>
      <xdr:rowOff>121443</xdr:rowOff>
    </xdr:from>
    <xdr:to>
      <xdr:col>6</xdr:col>
      <xdr:colOff>766762</xdr:colOff>
      <xdr:row>401</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762000</xdr:colOff>
      <xdr:row>386</xdr:row>
      <xdr:rowOff>180975</xdr:rowOff>
    </xdr:from>
    <xdr:to>
      <xdr:col>12</xdr:col>
      <xdr:colOff>276225</xdr:colOff>
      <xdr:row>402</xdr:row>
      <xdr:rowOff>28575</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155365</xdr:colOff>
      <xdr:row>296</xdr:row>
      <xdr:rowOff>164770</xdr:rowOff>
    </xdr:from>
    <xdr:to>
      <xdr:col>5</xdr:col>
      <xdr:colOff>994268</xdr:colOff>
      <xdr:row>316</xdr:row>
      <xdr:rowOff>62796</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246846</xdr:colOff>
      <xdr:row>297</xdr:row>
      <xdr:rowOff>3364</xdr:rowOff>
    </xdr:from>
    <xdr:to>
      <xdr:col>11</xdr:col>
      <xdr:colOff>1075586</xdr:colOff>
      <xdr:row>316</xdr:row>
      <xdr:rowOff>21517</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407533</xdr:colOff>
      <xdr:row>81</xdr:row>
      <xdr:rowOff>186417</xdr:rowOff>
    </xdr:from>
    <xdr:to>
      <xdr:col>11</xdr:col>
      <xdr:colOff>576262</xdr:colOff>
      <xdr:row>99</xdr:row>
      <xdr:rowOff>180975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516110</xdr:colOff>
      <xdr:row>102</xdr:row>
      <xdr:rowOff>160046</xdr:rowOff>
    </xdr:from>
    <xdr:to>
      <xdr:col>8</xdr:col>
      <xdr:colOff>680509</xdr:colOff>
      <xdr:row>118</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368155</xdr:colOff>
      <xdr:row>190</xdr:row>
      <xdr:rowOff>132066</xdr:rowOff>
    </xdr:from>
    <xdr:to>
      <xdr:col>10</xdr:col>
      <xdr:colOff>535112</xdr:colOff>
      <xdr:row>208</xdr:row>
      <xdr:rowOff>0</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250432</xdr:colOff>
      <xdr:row>190</xdr:row>
      <xdr:rowOff>46448</xdr:rowOff>
    </xdr:from>
    <xdr:to>
      <xdr:col>20</xdr:col>
      <xdr:colOff>391702</xdr:colOff>
      <xdr:row>205</xdr:row>
      <xdr:rowOff>171450</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268</xdr:row>
      <xdr:rowOff>195657</xdr:rowOff>
    </xdr:from>
    <xdr:to>
      <xdr:col>9</xdr:col>
      <xdr:colOff>640772</xdr:colOff>
      <xdr:row>286</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267</xdr:row>
      <xdr:rowOff>164523</xdr:rowOff>
    </xdr:from>
    <xdr:to>
      <xdr:col>19</xdr:col>
      <xdr:colOff>122102</xdr:colOff>
      <xdr:row>286</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324</xdr:row>
      <xdr:rowOff>160627</xdr:rowOff>
    </xdr:from>
    <xdr:to>
      <xdr:col>17</xdr:col>
      <xdr:colOff>42645</xdr:colOff>
      <xdr:row>342</xdr:row>
      <xdr:rowOff>109970</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335</xdr:row>
      <xdr:rowOff>117115</xdr:rowOff>
    </xdr:from>
    <xdr:to>
      <xdr:col>14</xdr:col>
      <xdr:colOff>987855</xdr:colOff>
      <xdr:row>345</xdr:row>
      <xdr:rowOff>149226</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43745</xdr:colOff>
      <xdr:row>64</xdr:row>
      <xdr:rowOff>145911</xdr:rowOff>
    </xdr:from>
    <xdr:to>
      <xdr:col>3</xdr:col>
      <xdr:colOff>649112</xdr:colOff>
      <xdr:row>76</xdr:row>
      <xdr:rowOff>91581</xdr:rowOff>
    </xdr:to>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940434</xdr:colOff>
      <xdr:row>64</xdr:row>
      <xdr:rowOff>126507</xdr:rowOff>
    </xdr:from>
    <xdr:to>
      <xdr:col>6</xdr:col>
      <xdr:colOff>292734</xdr:colOff>
      <xdr:row>76</xdr:row>
      <xdr:rowOff>60537</xdr:rowOff>
    </xdr:to>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94966</xdr:colOff>
      <xdr:row>64</xdr:row>
      <xdr:rowOff>100330</xdr:rowOff>
    </xdr:from>
    <xdr:to>
      <xdr:col>14</xdr:col>
      <xdr:colOff>63501</xdr:colOff>
      <xdr:row>76</xdr:row>
      <xdr:rowOff>34360</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771630</xdr:colOff>
      <xdr:row>64</xdr:row>
      <xdr:rowOff>106469</xdr:rowOff>
    </xdr:from>
    <xdr:to>
      <xdr:col>19</xdr:col>
      <xdr:colOff>411903</xdr:colOff>
      <xdr:row>77</xdr:row>
      <xdr:rowOff>144357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xdr:col>
      <xdr:colOff>7832</xdr:colOff>
      <xdr:row>72</xdr:row>
      <xdr:rowOff>492</xdr:rowOff>
    </xdr:from>
    <xdr:to>
      <xdr:col>22</xdr:col>
      <xdr:colOff>776112</xdr:colOff>
      <xdr:row>84</xdr:row>
      <xdr:rowOff>7056</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259537</xdr:colOff>
      <xdr:row>64</xdr:row>
      <xdr:rowOff>24837</xdr:rowOff>
    </xdr:from>
    <xdr:to>
      <xdr:col>29</xdr:col>
      <xdr:colOff>113910</xdr:colOff>
      <xdr:row>78</xdr:row>
      <xdr:rowOff>82834</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596899</xdr:colOff>
      <xdr:row>407</xdr:row>
      <xdr:rowOff>133350</xdr:rowOff>
    </xdr:from>
    <xdr:to>
      <xdr:col>15</xdr:col>
      <xdr:colOff>590550</xdr:colOff>
      <xdr:row>421</xdr:row>
      <xdr:rowOff>171450</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609599</xdr:colOff>
      <xdr:row>423</xdr:row>
      <xdr:rowOff>28575</xdr:rowOff>
    </xdr:from>
    <xdr:to>
      <xdr:col>15</xdr:col>
      <xdr:colOff>647699</xdr:colOff>
      <xdr:row>437</xdr:row>
      <xdr:rowOff>38100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600673</xdr:colOff>
      <xdr:row>249</xdr:row>
      <xdr:rowOff>114300</xdr:rowOff>
    </xdr:from>
    <xdr:to>
      <xdr:col>9</xdr:col>
      <xdr:colOff>367311</xdr:colOff>
      <xdr:row>264</xdr:row>
      <xdr:rowOff>122766</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xdr:col>
      <xdr:colOff>1070293</xdr:colOff>
      <xdr:row>249</xdr:row>
      <xdr:rowOff>193040</xdr:rowOff>
    </xdr:from>
    <xdr:to>
      <xdr:col>15</xdr:col>
      <xdr:colOff>169333</xdr:colOff>
      <xdr:row>265</xdr:row>
      <xdr:rowOff>50799</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110490</xdr:colOff>
      <xdr:row>121</xdr:row>
      <xdr:rowOff>125730</xdr:rowOff>
    </xdr:from>
    <xdr:to>
      <xdr:col>22</xdr:col>
      <xdr:colOff>407670</xdr:colOff>
      <xdr:row>134</xdr:row>
      <xdr:rowOff>156210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26</xdr:col>
      <xdr:colOff>224790</xdr:colOff>
      <xdr:row>121</xdr:row>
      <xdr:rowOff>163830</xdr:rowOff>
    </xdr:from>
    <xdr:to>
      <xdr:col>31</xdr:col>
      <xdr:colOff>1139190</xdr:colOff>
      <xdr:row>134</xdr:row>
      <xdr:rowOff>194310</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0.68969</cdr:x>
      <cdr:y>0.19444</cdr:y>
    </cdr:from>
    <cdr:to>
      <cdr:x>0.78596</cdr:x>
      <cdr:y>0.28819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5800726" y="533399"/>
          <a:ext cx="8096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0.6912</cdr:x>
      <cdr:y>0.33449</cdr:y>
    </cdr:from>
    <cdr:to>
      <cdr:x>0.78747</cdr:x>
      <cdr:y>0.42824</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5813425" y="917575"/>
          <a:ext cx="8096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300994</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138380</xdr:rowOff>
    </xdr:from>
    <xdr:to>
      <xdr:col>20</xdr:col>
      <xdr:colOff>679131</xdr:colOff>
      <xdr:row>7</xdr:row>
      <xdr:rowOff>190501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2796309" y="138380"/>
              <a:ext cx="1836947" cy="14411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655105</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616583</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55869</xdr:colOff>
      <xdr:row>97</xdr:row>
      <xdr:rowOff>170699</xdr:rowOff>
    </xdr:from>
    <xdr:to>
      <xdr:col>8</xdr:col>
      <xdr:colOff>9639</xdr:colOff>
      <xdr:row>110</xdr:row>
      <xdr:rowOff>133350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43182" y="20054137"/>
          <a:ext cx="7057832" cy="2542338"/>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94203</xdr:colOff>
      <xdr:row>24</xdr:row>
      <xdr:rowOff>105833</xdr:rowOff>
    </xdr:from>
    <xdr:to>
      <xdr:col>19</xdr:col>
      <xdr:colOff>314011</xdr:colOff>
      <xdr:row>39</xdr:row>
      <xdr:rowOff>51210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58924</xdr:colOff>
      <xdr:row>57</xdr:row>
      <xdr:rowOff>79064</xdr:rowOff>
    </xdr:from>
    <xdr:to>
      <xdr:col>19</xdr:col>
      <xdr:colOff>301624</xdr:colOff>
      <xdr:row>83</xdr:row>
      <xdr:rowOff>166046</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7250299" y="11564627"/>
          <a:ext cx="9172388" cy="5706732"/>
          <a:chOff x="6660257" y="9530245"/>
          <a:chExt cx="8916400" cy="4902152"/>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9762365" y="12045872"/>
          <a:ext cx="2987157" cy="236324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2812892" y="12027300"/>
          <a:ext cx="2763765" cy="237223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6660257" y="12043214"/>
          <a:ext cx="3014098" cy="238918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9752097" y="9538983"/>
          <a:ext cx="3004519" cy="245258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2809306" y="9530245"/>
          <a:ext cx="2763765" cy="2440809"/>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8</xdr:col>
      <xdr:colOff>59210</xdr:colOff>
      <xdr:row>55</xdr:row>
      <xdr:rowOff>21440</xdr:rowOff>
    </xdr:from>
    <xdr:to>
      <xdr:col>19</xdr:col>
      <xdr:colOff>341150</xdr:colOff>
      <xdr:row>57</xdr:row>
      <xdr:rowOff>4951</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81038</xdr:colOff>
      <xdr:row>84</xdr:row>
      <xdr:rowOff>42815</xdr:rowOff>
    </xdr:from>
    <xdr:to>
      <xdr:col>19</xdr:col>
      <xdr:colOff>362978</xdr:colOff>
      <xdr:row>86</xdr:row>
      <xdr:rowOff>90337</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94824</xdr:colOff>
      <xdr:row>39</xdr:row>
      <xdr:rowOff>94800</xdr:rowOff>
    </xdr:from>
    <xdr:to>
      <xdr:col>19</xdr:col>
      <xdr:colOff>376764</xdr:colOff>
      <xdr:row>42</xdr:row>
      <xdr:rowOff>61979</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6496034" y="7253913"/>
          <a:ext cx="9243633" cy="45879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73269</xdr:colOff>
      <xdr:row>99</xdr:row>
      <xdr:rowOff>120462</xdr:rowOff>
    </xdr:from>
    <xdr:to>
      <xdr:col>19</xdr:col>
      <xdr:colOff>344128</xdr:colOff>
      <xdr:row>110</xdr:row>
      <xdr:rowOff>123828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105811</xdr:colOff>
      <xdr:row>42</xdr:row>
      <xdr:rowOff>82368</xdr:rowOff>
    </xdr:from>
    <xdr:to>
      <xdr:col>19</xdr:col>
      <xdr:colOff>361951</xdr:colOff>
      <xdr:row>54</xdr:row>
      <xdr:rowOff>190500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297186" y="7829368"/>
          <a:ext cx="9185828" cy="3132320"/>
          <a:chOff x="6497086" y="7530918"/>
          <a:chExt cx="9209640" cy="2937057"/>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30918"/>
          <a:ext cx="3094589" cy="290848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33" name="Chart 32">
            <a:extLst>
              <a:ext uri="{FF2B5EF4-FFF2-40B4-BE49-F238E27FC236}">
                <a16:creationId xmlns:a16="http://schemas.microsoft.com/office/drawing/2014/main" id="{00000000-0008-0000-0C00-000021000000}"/>
              </a:ext>
            </a:extLst>
          </xdr:cNvPr>
          <xdr:cNvGraphicFramePr>
            <a:graphicFrameLocks/>
          </xdr:cNvGraphicFramePr>
        </xdr:nvGraphicFramePr>
        <xdr:xfrm>
          <a:off x="11220449" y="8715374"/>
          <a:ext cx="1609725" cy="1733549"/>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799"/>
          <a:ext cx="2847975" cy="292417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36" name="Chart 35">
            <a:extLst>
              <a:ext uri="{FF2B5EF4-FFF2-40B4-BE49-F238E27FC236}">
                <a16:creationId xmlns:a16="http://schemas.microsoft.com/office/drawing/2014/main" id="{00000000-0008-0000-0C00-000024000000}"/>
              </a:ext>
            </a:extLst>
          </xdr:cNvPr>
          <xdr:cNvGraphicFramePr>
            <a:graphicFrameLocks/>
          </xdr:cNvGraphicFramePr>
        </xdr:nvGraphicFramePr>
        <xdr:xfrm>
          <a:off x="14249400" y="8639175"/>
          <a:ext cx="1457326" cy="1781176"/>
        </xdr:xfrm>
        <a:graphic>
          <a:graphicData uri="http://schemas.openxmlformats.org/drawingml/2006/chart">
            <c:chart xmlns:c="http://schemas.openxmlformats.org/drawingml/2006/chart" xmlns:r="http://schemas.openxmlformats.org/officeDocument/2006/relationships" r:id="rId14"/>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582275" y="8410575"/>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Connector: Elbow 41">
            <a:extLst>
              <a:ext uri="{FF2B5EF4-FFF2-40B4-BE49-F238E27FC236}">
                <a16:creationId xmlns:a16="http://schemas.microsoft.com/office/drawing/2014/main" id="{00000000-0008-0000-0C00-00002A000000}"/>
              </a:ext>
            </a:extLst>
          </xdr:cNvPr>
          <xdr:cNvCxnSpPr/>
        </xdr:nvCxnSpPr>
        <xdr:spPr>
          <a:xfrm>
            <a:off x="13754100" y="8410575"/>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104670</xdr:colOff>
      <xdr:row>3</xdr:row>
      <xdr:rowOff>129388</xdr:rowOff>
    </xdr:from>
    <xdr:to>
      <xdr:col>19</xdr:col>
      <xdr:colOff>308732</xdr:colOff>
      <xdr:row>24</xdr:row>
      <xdr:rowOff>0</xdr:rowOff>
    </xdr:to>
    <xdr:graphicFrame macro="">
      <xdr:nvGraphicFramePr>
        <xdr:cNvPr id="37" name="Chart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68036</xdr:colOff>
      <xdr:row>86</xdr:row>
      <xdr:rowOff>167472</xdr:rowOff>
    </xdr:from>
    <xdr:to>
      <xdr:col>12</xdr:col>
      <xdr:colOff>523603</xdr:colOff>
      <xdr:row>99</xdr:row>
      <xdr:rowOff>70242</xdr:rowOff>
    </xdr:to>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571499</xdr:colOff>
      <xdr:row>86</xdr:row>
      <xdr:rowOff>145596</xdr:rowOff>
    </xdr:from>
    <xdr:to>
      <xdr:col>15</xdr:col>
      <xdr:colOff>1017269</xdr:colOff>
      <xdr:row>99</xdr:row>
      <xdr:rowOff>54428</xdr:rowOff>
    </xdr:to>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204838</xdr:colOff>
      <xdr:row>34</xdr:row>
      <xdr:rowOff>24581</xdr:rowOff>
    </xdr:from>
    <xdr:to>
      <xdr:col>19</xdr:col>
      <xdr:colOff>366018</xdr:colOff>
      <xdr:row>36</xdr:row>
      <xdr:rowOff>28795</xdr:rowOff>
    </xdr:to>
    <xdr:sp macro="" textlink="">
      <xdr:nvSpPr>
        <xdr:cNvPr id="47" name="TextBox 46">
          <a:extLst>
            <a:ext uri="{FF2B5EF4-FFF2-40B4-BE49-F238E27FC236}">
              <a16:creationId xmlns:a16="http://schemas.microsoft.com/office/drawing/2014/main" id="{00000000-0008-0000-0C00-00002F000000}"/>
            </a:ext>
          </a:extLst>
        </xdr:cNvPr>
        <xdr:cNvSpPr txBox="1"/>
      </xdr:nvSpPr>
      <xdr:spPr>
        <a:xfrm>
          <a:off x="15485806" y="6604000"/>
          <a:ext cx="849438" cy="34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44546A"/>
              </a:solidFill>
            </a:rPr>
            <a:t>+13,394</a:t>
          </a:r>
        </a:p>
      </xdr:txBody>
    </xdr:sp>
    <xdr:clientData/>
  </xdr:twoCellAnchor>
  <xdr:twoCellAnchor>
    <xdr:from>
      <xdr:col>8</xdr:col>
      <xdr:colOff>58923</xdr:colOff>
      <xdr:row>57</xdr:row>
      <xdr:rowOff>79065</xdr:rowOff>
    </xdr:from>
    <xdr:to>
      <xdr:col>12</xdr:col>
      <xdr:colOff>491612</xdr:colOff>
      <xdr:row>69</xdr:row>
      <xdr:rowOff>105833</xdr:rowOff>
    </xdr:to>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27</xdr:col>
      <xdr:colOff>0</xdr:colOff>
      <xdr:row>22</xdr:row>
      <xdr:rowOff>0</xdr:rowOff>
    </xdr:from>
    <xdr:to>
      <xdr:col>28</xdr:col>
      <xdr:colOff>882406</xdr:colOff>
      <xdr:row>25</xdr:row>
      <xdr:rowOff>210574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20795226" y="4154129"/>
          <a:ext cx="1570664" cy="726768"/>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1073355</xdr:colOff>
      <xdr:row>86</xdr:row>
      <xdr:rowOff>155677</xdr:rowOff>
    </xdr:from>
    <xdr:to>
      <xdr:col>19</xdr:col>
      <xdr:colOff>327741</xdr:colOff>
      <xdr:row>99</xdr:row>
      <xdr:rowOff>81935</xdr:rowOff>
    </xdr:to>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58616</xdr:colOff>
      <xdr:row>93</xdr:row>
      <xdr:rowOff>108858</xdr:rowOff>
    </xdr:from>
    <xdr:to>
      <xdr:col>8</xdr:col>
      <xdr:colOff>16748</xdr:colOff>
      <xdr:row>97</xdr:row>
      <xdr:rowOff>100483</xdr:rowOff>
    </xdr:to>
    <xdr:sp macro="" textlink="">
      <xdr:nvSpPr>
        <xdr:cNvPr id="51" name="Rectangle 50">
          <a:extLst>
            <a:ext uri="{FF2B5EF4-FFF2-40B4-BE49-F238E27FC236}">
              <a16:creationId xmlns:a16="http://schemas.microsoft.com/office/drawing/2014/main" id="{2DC4A18F-38A0-4F76-96E4-BEA564D96C71}"/>
            </a:ext>
          </a:extLst>
        </xdr:cNvPr>
        <xdr:cNvSpPr/>
      </xdr:nvSpPr>
      <xdr:spPr>
        <a:xfrm>
          <a:off x="159100" y="19167232"/>
          <a:ext cx="6858000" cy="795493"/>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BMZ, Canada, Christian Aid, ECHO, GFFO, HARP, LIFT, MHF, OFDA, TEAR Australia, UASID/Japan-fund, UNICEF, USAID, WHH AA, World Concern </a:t>
          </a:r>
          <a:endParaRPr lang="en-US" sz="1400" b="0">
            <a:solidFill>
              <a:schemeClr val="bg1">
                <a:lumMod val="50000"/>
              </a:schemeClr>
            </a:solidFill>
          </a:endParaRPr>
        </a:p>
      </xdr:txBody>
    </xdr:sp>
    <xdr:clientData/>
  </xdr:twoCellAnchor>
  <xdr:twoCellAnchor editAs="oneCell">
    <xdr:from>
      <xdr:col>1</xdr:col>
      <xdr:colOff>13957</xdr:colOff>
      <xdr:row>1</xdr:row>
      <xdr:rowOff>55824</xdr:rowOff>
    </xdr:from>
    <xdr:to>
      <xdr:col>8</xdr:col>
      <xdr:colOff>27911</xdr:colOff>
      <xdr:row>46</xdr:row>
      <xdr:rowOff>139560</xdr:rowOff>
    </xdr:to>
    <xdr:pic>
      <xdr:nvPicPr>
        <xdr:cNvPr id="8" name="Picture 7">
          <a:extLst>
            <a:ext uri="{FF2B5EF4-FFF2-40B4-BE49-F238E27FC236}">
              <a16:creationId xmlns:a16="http://schemas.microsoft.com/office/drawing/2014/main" id="{1F499854-2BB0-45DC-8DFF-D46D03A7BCB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671" y="593132"/>
          <a:ext cx="7124559" cy="8108461"/>
        </a:xfrm>
        <a:prstGeom prst="rect">
          <a:avLst/>
        </a:prstGeom>
      </xdr:spPr>
    </xdr:pic>
    <xdr:clientData/>
  </xdr:twoCellAnchor>
  <xdr:twoCellAnchor>
    <xdr:from>
      <xdr:col>1</xdr:col>
      <xdr:colOff>46904</xdr:colOff>
      <xdr:row>69</xdr:row>
      <xdr:rowOff>119063</xdr:rowOff>
    </xdr:from>
    <xdr:to>
      <xdr:col>7</xdr:col>
      <xdr:colOff>914453</xdr:colOff>
      <xdr:row>81</xdr:row>
      <xdr:rowOff>23813</xdr:rowOff>
    </xdr:to>
    <xdr:graphicFrame macro="">
      <xdr:nvGraphicFramePr>
        <xdr:cNvPr id="45" name="Chart 44">
          <a:extLst>
            <a:ext uri="{FF2B5EF4-FFF2-40B4-BE49-F238E27FC236}">
              <a16:creationId xmlns:a16="http://schemas.microsoft.com/office/drawing/2014/main" id="{135E778C-4967-44E3-BDED-44CFE2435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39687</xdr:colOff>
      <xdr:row>81</xdr:row>
      <xdr:rowOff>138545</xdr:rowOff>
    </xdr:from>
    <xdr:to>
      <xdr:col>8</xdr:col>
      <xdr:colOff>0</xdr:colOff>
      <xdr:row>93</xdr:row>
      <xdr:rowOff>43295</xdr:rowOff>
    </xdr:to>
    <xdr:graphicFrame macro="">
      <xdr:nvGraphicFramePr>
        <xdr:cNvPr id="46" name="Chart 45">
          <a:extLst>
            <a:ext uri="{FF2B5EF4-FFF2-40B4-BE49-F238E27FC236}">
              <a16:creationId xmlns:a16="http://schemas.microsoft.com/office/drawing/2014/main" id="{B3B25A05-5D99-4EDF-9BDF-C2A1A9635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127000</xdr:colOff>
      <xdr:row>3</xdr:row>
      <xdr:rowOff>95248</xdr:rowOff>
    </xdr:from>
    <xdr:to>
      <xdr:col>19</xdr:col>
      <xdr:colOff>402168</xdr:colOff>
      <xdr:row>23</xdr:row>
      <xdr:rowOff>134195</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64943</xdr:colOff>
      <xdr:row>91</xdr:row>
      <xdr:rowOff>14432</xdr:rowOff>
    </xdr:from>
    <xdr:to>
      <xdr:col>7</xdr:col>
      <xdr:colOff>830285</xdr:colOff>
      <xdr:row>102</xdr:row>
      <xdr:rowOff>91568</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64943" y="20002500"/>
          <a:ext cx="7122558" cy="2220261"/>
          <a:chOff x="9960463" y="4190884"/>
          <a:chExt cx="5602819"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3" y="4190884"/>
          <a:ext cx="5602819" cy="18129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8</xdr:col>
      <xdr:colOff>143110</xdr:colOff>
      <xdr:row>24</xdr:row>
      <xdr:rowOff>21161</xdr:rowOff>
    </xdr:from>
    <xdr:to>
      <xdr:col>19</xdr:col>
      <xdr:colOff>402167</xdr:colOff>
      <xdr:row>34</xdr:row>
      <xdr:rowOff>33861</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130545</xdr:colOff>
      <xdr:row>34</xdr:row>
      <xdr:rowOff>80537</xdr:rowOff>
    </xdr:from>
    <xdr:to>
      <xdr:col>19</xdr:col>
      <xdr:colOff>450847</xdr:colOff>
      <xdr:row>35</xdr:row>
      <xdr:rowOff>300683</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608217" y="7196916"/>
          <a:ext cx="9418320" cy="46100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93029</xdr:colOff>
      <xdr:row>46</xdr:row>
      <xdr:rowOff>39812</xdr:rowOff>
    </xdr:from>
    <xdr:to>
      <xdr:col>19</xdr:col>
      <xdr:colOff>452197</xdr:colOff>
      <xdr:row>47</xdr:row>
      <xdr:rowOff>54743</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6895226" y="10526933"/>
          <a:ext cx="9345380" cy="48637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9</xdr:col>
      <xdr:colOff>3019</xdr:colOff>
      <xdr:row>68</xdr:row>
      <xdr:rowOff>52688</xdr:rowOff>
    </xdr:from>
    <xdr:to>
      <xdr:col>19</xdr:col>
      <xdr:colOff>471439</xdr:colOff>
      <xdr:row>70</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94192</xdr:colOff>
      <xdr:row>88</xdr:row>
      <xdr:rowOff>128988</xdr:rowOff>
    </xdr:from>
    <xdr:to>
      <xdr:col>19</xdr:col>
      <xdr:colOff>419100</xdr:colOff>
      <xdr:row>102</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2254</xdr:colOff>
      <xdr:row>35</xdr:row>
      <xdr:rowOff>333059</xdr:rowOff>
    </xdr:from>
    <xdr:to>
      <xdr:col>19</xdr:col>
      <xdr:colOff>442576</xdr:colOff>
      <xdr:row>46</xdr:row>
      <xdr:rowOff>137</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283106" y="7700502"/>
          <a:ext cx="9301459" cy="2784351"/>
          <a:chOff x="7589349" y="7572058"/>
          <a:chExt cx="9372348" cy="2831359"/>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69112" y="7588250"/>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869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926971"/>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137584</xdr:colOff>
      <xdr:row>19</xdr:row>
      <xdr:rowOff>95251</xdr:rowOff>
    </xdr:from>
    <xdr:to>
      <xdr:col>11</xdr:col>
      <xdr:colOff>179332</xdr:colOff>
      <xdr:row>23</xdr:row>
      <xdr:rowOff>146461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7101417" y="3566584"/>
          <a:ext cx="1565748" cy="68621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9</xdr:col>
      <xdr:colOff>38486</xdr:colOff>
      <xdr:row>47</xdr:row>
      <xdr:rowOff>80146</xdr:rowOff>
    </xdr:from>
    <xdr:to>
      <xdr:col>19</xdr:col>
      <xdr:colOff>471441</xdr:colOff>
      <xdr:row>67</xdr:row>
      <xdr:rowOff>142589</xdr:rowOff>
    </xdr:to>
    <xdr:grpSp>
      <xdr:nvGrpSpPr>
        <xdr:cNvPr id="25" name="Group 24">
          <a:extLst>
            <a:ext uri="{FF2B5EF4-FFF2-40B4-BE49-F238E27FC236}">
              <a16:creationId xmlns:a16="http://schemas.microsoft.com/office/drawing/2014/main" id="{00000000-0008-0000-0D00-000019000000}"/>
            </a:ext>
          </a:extLst>
        </xdr:cNvPr>
        <xdr:cNvGrpSpPr/>
      </xdr:nvGrpSpPr>
      <xdr:grpSpPr>
        <a:xfrm>
          <a:off x="7319338" y="11026680"/>
          <a:ext cx="9294092" cy="4428068"/>
          <a:chOff x="7404151" y="10131040"/>
          <a:chExt cx="8878009" cy="4272109"/>
        </a:xfrm>
      </xdr:grpSpPr>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10303595" y="12229462"/>
          <a:ext cx="2940667" cy="215664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13306218" y="12246508"/>
          <a:ext cx="2975942" cy="215664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11867255" y="10131040"/>
          <a:ext cx="4411000" cy="1980184"/>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7404151" y="12245673"/>
          <a:ext cx="2859062" cy="2156641"/>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9</xdr:col>
      <xdr:colOff>0</xdr:colOff>
      <xdr:row>71</xdr:row>
      <xdr:rowOff>0</xdr:rowOff>
    </xdr:from>
    <xdr:to>
      <xdr:col>19</xdr:col>
      <xdr:colOff>442576</xdr:colOff>
      <xdr:row>87</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9621</xdr:colOff>
      <xdr:row>47</xdr:row>
      <xdr:rowOff>80145</xdr:rowOff>
    </xdr:from>
    <xdr:to>
      <xdr:col>14</xdr:col>
      <xdr:colOff>752474</xdr:colOff>
      <xdr:row>57</xdr:row>
      <xdr:rowOff>57728</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142875</xdr:colOff>
      <xdr:row>14</xdr:row>
      <xdr:rowOff>9525</xdr:rowOff>
    </xdr:from>
    <xdr:to>
      <xdr:col>16</xdr:col>
      <xdr:colOff>482929</xdr:colOff>
      <xdr:row>16</xdr:row>
      <xdr:rowOff>4246</xdr:rowOff>
    </xdr:to>
    <xdr:sp macro="" textlink="">
      <xdr:nvSpPr>
        <xdr:cNvPr id="48" name="TextBox 1">
          <a:extLst>
            <a:ext uri="{FF2B5EF4-FFF2-40B4-BE49-F238E27FC236}">
              <a16:creationId xmlns:a16="http://schemas.microsoft.com/office/drawing/2014/main" id="{00000000-0008-0000-0D00-000030000000}"/>
            </a:ext>
          </a:extLst>
        </xdr:cNvPr>
        <xdr:cNvSpPr txBox="1"/>
      </xdr:nvSpPr>
      <xdr:spPr>
        <a:xfrm>
          <a:off x="12992100" y="280987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xdr:from>
      <xdr:col>15</xdr:col>
      <xdr:colOff>142875</xdr:colOff>
      <xdr:row>17</xdr:row>
      <xdr:rowOff>123825</xdr:rowOff>
    </xdr:from>
    <xdr:to>
      <xdr:col>16</xdr:col>
      <xdr:colOff>482929</xdr:colOff>
      <xdr:row>19</xdr:row>
      <xdr:rowOff>118546</xdr:rowOff>
    </xdr:to>
    <xdr:sp macro="" textlink="">
      <xdr:nvSpPr>
        <xdr:cNvPr id="49" name="TextBox 1">
          <a:extLst>
            <a:ext uri="{FF2B5EF4-FFF2-40B4-BE49-F238E27FC236}">
              <a16:creationId xmlns:a16="http://schemas.microsoft.com/office/drawing/2014/main" id="{00000000-0008-0000-0D00-000031000000}"/>
            </a:ext>
          </a:extLst>
        </xdr:cNvPr>
        <xdr:cNvSpPr txBox="1"/>
      </xdr:nvSpPr>
      <xdr:spPr>
        <a:xfrm>
          <a:off x="12992100" y="343852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editAs="oneCell">
    <xdr:from>
      <xdr:col>1</xdr:col>
      <xdr:colOff>9070</xdr:colOff>
      <xdr:row>1</xdr:row>
      <xdr:rowOff>54428</xdr:rowOff>
    </xdr:from>
    <xdr:to>
      <xdr:col>7</xdr:col>
      <xdr:colOff>837044</xdr:colOff>
      <xdr:row>45</xdr:row>
      <xdr:rowOff>116944</xdr:rowOff>
    </xdr:to>
    <xdr:pic>
      <xdr:nvPicPr>
        <xdr:cNvPr id="15" name="Picture 14">
          <a:extLst>
            <a:ext uri="{FF2B5EF4-FFF2-40B4-BE49-F238E27FC236}">
              <a16:creationId xmlns:a16="http://schemas.microsoft.com/office/drawing/2014/main" id="{24F176BE-3E71-4E23-8C5F-E15DFC69DAA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8445" y="501814"/>
          <a:ext cx="7105815" cy="9926664"/>
        </a:xfrm>
        <a:prstGeom prst="rect">
          <a:avLst/>
        </a:prstGeom>
        <a:ln>
          <a:solidFill>
            <a:schemeClr val="bg1">
              <a:lumMod val="65000"/>
            </a:schemeClr>
          </a:solidFill>
        </a:ln>
      </xdr:spPr>
    </xdr:pic>
    <xdr:clientData/>
  </xdr:twoCellAnchor>
  <xdr:twoCellAnchor>
    <xdr:from>
      <xdr:col>0</xdr:col>
      <xdr:colOff>64944</xdr:colOff>
      <xdr:row>86</xdr:row>
      <xdr:rowOff>125273</xdr:rowOff>
    </xdr:from>
    <xdr:to>
      <xdr:col>7</xdr:col>
      <xdr:colOff>829830</xdr:colOff>
      <xdr:row>90</xdr:row>
      <xdr:rowOff>158750</xdr:rowOff>
    </xdr:to>
    <xdr:sp macro="" textlink="">
      <xdr:nvSpPr>
        <xdr:cNvPr id="37" name="Rectangle 36">
          <a:extLst>
            <a:ext uri="{FF2B5EF4-FFF2-40B4-BE49-F238E27FC236}">
              <a16:creationId xmlns:a16="http://schemas.microsoft.com/office/drawing/2014/main" id="{A307643E-EE76-4BEC-B164-4C4385766275}"/>
            </a:ext>
          </a:extLst>
        </xdr:cNvPr>
        <xdr:cNvSpPr/>
      </xdr:nvSpPr>
      <xdr:spPr>
        <a:xfrm>
          <a:off x="64944" y="19139193"/>
          <a:ext cx="7122102" cy="812796"/>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BMZ, Canada, Christian Aid, ECHO, GFFO, HARP, LIFT, MHF, OFDA, TEAR Australia, UASID/Japan-fund, UNICEF, USAID, WHH AA, World Concern </a:t>
          </a:r>
          <a:endParaRPr lang="en-US" sz="1400" b="0">
            <a:solidFill>
              <a:schemeClr val="bg1">
                <a:lumMod val="50000"/>
              </a:schemeClr>
            </a:solidFill>
          </a:endParaRPr>
        </a:p>
      </xdr:txBody>
    </xdr:sp>
    <xdr:clientData/>
  </xdr:twoCellAnchor>
  <xdr:twoCellAnchor>
    <xdr:from>
      <xdr:col>0</xdr:col>
      <xdr:colOff>64944</xdr:colOff>
      <xdr:row>64</xdr:row>
      <xdr:rowOff>21649</xdr:rowOff>
    </xdr:from>
    <xdr:to>
      <xdr:col>7</xdr:col>
      <xdr:colOff>815398</xdr:colOff>
      <xdr:row>75</xdr:row>
      <xdr:rowOff>32172</xdr:rowOff>
    </xdr:to>
    <xdr:graphicFrame macro="">
      <xdr:nvGraphicFramePr>
        <xdr:cNvPr id="34" name="Chart 33">
          <a:extLst>
            <a:ext uri="{FF2B5EF4-FFF2-40B4-BE49-F238E27FC236}">
              <a16:creationId xmlns:a16="http://schemas.microsoft.com/office/drawing/2014/main" id="{59219A10-2BFA-4864-BFB4-B9657CC8D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57727</xdr:colOff>
      <xdr:row>75</xdr:row>
      <xdr:rowOff>64944</xdr:rowOff>
    </xdr:from>
    <xdr:to>
      <xdr:col>7</xdr:col>
      <xdr:colOff>829829</xdr:colOff>
      <xdr:row>86</xdr:row>
      <xdr:rowOff>50513</xdr:rowOff>
    </xdr:to>
    <xdr:graphicFrame macro="">
      <xdr:nvGraphicFramePr>
        <xdr:cNvPr id="47" name="Chart 46">
          <a:extLst>
            <a:ext uri="{FF2B5EF4-FFF2-40B4-BE49-F238E27FC236}">
              <a16:creationId xmlns:a16="http://schemas.microsoft.com/office/drawing/2014/main" id="{3CCABED6-131B-4E47-A889-EF5759748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C_Camp%20Info/2.%20CCCM%20Camp%20list/Kachin/2019/shelter-nfi-cccm_kachin_northern_shan_cluster_analysis_report_oct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0/2020_Q3/20201026_Funding%20Matrix_2020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CM Dashboard"/>
      <sheetName val="Shelter Dashboard"/>
      <sheetName val="NFI Dashboard"/>
      <sheetName val="Shelter-coverage"/>
      <sheetName val="IDP locations"/>
      <sheetName val="DistanceToCamp"/>
      <sheetName val="Definition"/>
      <sheetName val="Graphs"/>
      <sheetName val="IDP location Analysis"/>
      <sheetName val="CCCM_TownshipIDPs"/>
      <sheetName val="ForGIS"/>
      <sheetName val="Shelter Cross Check"/>
      <sheetName val="IDP locations (printable)"/>
      <sheetName val="Relocation"/>
      <sheetName val="Shelter Gap Analysis"/>
      <sheetName val="Define_TCL"/>
      <sheetName val="Shelter Coverage Camp"/>
      <sheetName val="Shelter Solution"/>
      <sheetName val="NFI Stock and Pipeline"/>
      <sheetName val="NFI summary graphs"/>
      <sheetName val="NFI Distributions"/>
      <sheetName val="Winter Item"/>
      <sheetName val="P_Code"/>
      <sheetName val="data"/>
    </sheetNames>
    <sheetDataSet>
      <sheetData sheetId="0"/>
      <sheetData sheetId="1"/>
      <sheetData sheetId="2"/>
      <sheetData sheetId="3"/>
      <sheetData sheetId="4">
        <row r="5">
          <cell r="N5" t="str">
            <v>MMR001CMP010</v>
          </cell>
          <cell r="O5" t="str">
            <v>Open</v>
          </cell>
          <cell r="P5">
            <v>97.382997575757599</v>
          </cell>
          <cell r="Q5">
            <v>25.3959740909091</v>
          </cell>
        </row>
        <row r="6">
          <cell r="N6" t="str">
            <v>MMR001CMP018</v>
          </cell>
          <cell r="O6" t="str">
            <v>Open</v>
          </cell>
          <cell r="P6">
            <v>97.370900000000006</v>
          </cell>
          <cell r="Q6">
            <v>25.397850999999999</v>
          </cell>
        </row>
        <row r="7">
          <cell r="N7" t="str">
            <v>MMR001CMP019</v>
          </cell>
          <cell r="O7" t="str">
            <v>Open</v>
          </cell>
          <cell r="P7">
            <v>97.373361000000003</v>
          </cell>
          <cell r="Q7">
            <v>25.403476999999999</v>
          </cell>
        </row>
        <row r="8">
          <cell r="N8" t="str">
            <v>MMR001CMP265</v>
          </cell>
          <cell r="O8" t="str">
            <v>Open</v>
          </cell>
        </row>
        <row r="9">
          <cell r="N9" t="str">
            <v>MMR001CMP256</v>
          </cell>
          <cell r="O9" t="str">
            <v>Open</v>
          </cell>
        </row>
        <row r="10">
          <cell r="N10" t="str">
            <v>MMR001CMP015</v>
          </cell>
          <cell r="O10" t="str">
            <v>Open</v>
          </cell>
          <cell r="P10">
            <v>97.409035000000003</v>
          </cell>
          <cell r="Q10">
            <v>25.362420757575801</v>
          </cell>
        </row>
        <row r="11">
          <cell r="N11" t="str">
            <v>MMR001CMP014</v>
          </cell>
          <cell r="O11" t="str">
            <v>Open</v>
          </cell>
          <cell r="P11">
            <v>97.403402307692303</v>
          </cell>
          <cell r="Q11">
            <v>25.3510167948718</v>
          </cell>
        </row>
        <row r="12">
          <cell r="N12" t="str">
            <v>MMR001CMP016</v>
          </cell>
          <cell r="O12" t="str">
            <v>Open</v>
          </cell>
          <cell r="P12">
            <v>97.4113064583333</v>
          </cell>
          <cell r="Q12">
            <v>25.360463124999999</v>
          </cell>
        </row>
        <row r="13">
          <cell r="N13" t="str">
            <v>MMR001CMP008</v>
          </cell>
          <cell r="O13" t="str">
            <v>Open</v>
          </cell>
          <cell r="P13">
            <v>97.418694000000002</v>
          </cell>
          <cell r="Q13">
            <v>25.428910999999999</v>
          </cell>
        </row>
        <row r="14">
          <cell r="N14" t="str">
            <v>MMR001CMP020</v>
          </cell>
          <cell r="O14" t="str">
            <v>Open</v>
          </cell>
          <cell r="P14">
            <v>97.2843958974359</v>
          </cell>
          <cell r="Q14">
            <v>25.374343974359</v>
          </cell>
        </row>
        <row r="15">
          <cell r="N15" t="str">
            <v>MMR001CMP013</v>
          </cell>
          <cell r="O15" t="str">
            <v>Closed</v>
          </cell>
          <cell r="P15">
            <v>97.405202777777802</v>
          </cell>
          <cell r="Q15">
            <v>25.3660036111111</v>
          </cell>
        </row>
        <row r="16">
          <cell r="N16" t="str">
            <v>MMR001CMP021</v>
          </cell>
          <cell r="O16" t="str">
            <v>Open</v>
          </cell>
          <cell r="P16">
            <v>97.290952037037002</v>
          </cell>
          <cell r="Q16">
            <v>25.371049444444399</v>
          </cell>
        </row>
        <row r="17">
          <cell r="N17" t="str">
            <v>MMR001CMP024</v>
          </cell>
          <cell r="O17" t="str">
            <v>Open</v>
          </cell>
          <cell r="P17">
            <v>97.359320179999997</v>
          </cell>
          <cell r="Q17">
            <v>25.410569299999999</v>
          </cell>
        </row>
        <row r="18">
          <cell r="N18" t="str">
            <v>MMR001CMP002</v>
          </cell>
          <cell r="O18" t="str">
            <v>Open</v>
          </cell>
          <cell r="P18">
            <v>97.394547000000003</v>
          </cell>
          <cell r="Q18">
            <v>25.422194000000001</v>
          </cell>
        </row>
        <row r="19">
          <cell r="N19" t="str">
            <v>MMR001CMP017</v>
          </cell>
          <cell r="O19" t="str">
            <v>Closed</v>
          </cell>
          <cell r="P19">
            <v>97.376671999999999</v>
          </cell>
          <cell r="Q19">
            <v>25.387862999999999</v>
          </cell>
        </row>
        <row r="20">
          <cell r="N20" t="str">
            <v>MMR001CMP162</v>
          </cell>
          <cell r="O20" t="str">
            <v>Open</v>
          </cell>
          <cell r="P20">
            <v>97.4345</v>
          </cell>
          <cell r="Q20">
            <v>25.493819999999999</v>
          </cell>
        </row>
        <row r="21">
          <cell r="N21" t="str">
            <v>MMR001CMP271</v>
          </cell>
          <cell r="O21" t="str">
            <v>Open</v>
          </cell>
          <cell r="P21">
            <v>97.4345</v>
          </cell>
          <cell r="Q21">
            <v>25.493819999999999</v>
          </cell>
        </row>
        <row r="22">
          <cell r="N22" t="str">
            <v>MMR001CMP276</v>
          </cell>
          <cell r="O22" t="str">
            <v>Open</v>
          </cell>
          <cell r="P22">
            <v>97.325181999999998</v>
          </cell>
          <cell r="Q22">
            <v>25.387892000000001</v>
          </cell>
        </row>
        <row r="23">
          <cell r="N23" t="str">
            <v>MMR001CMP006</v>
          </cell>
          <cell r="O23" t="str">
            <v>Open</v>
          </cell>
          <cell r="P23">
            <v>97.399628000000007</v>
          </cell>
          <cell r="Q23">
            <v>25.412313000000001</v>
          </cell>
        </row>
        <row r="24">
          <cell r="N24" t="str">
            <v>MMR001CMP022</v>
          </cell>
          <cell r="O24" t="str">
            <v>Closed</v>
          </cell>
          <cell r="P24">
            <v>97.403878500000005</v>
          </cell>
          <cell r="Q24">
            <v>25.377038166666701</v>
          </cell>
        </row>
        <row r="25">
          <cell r="N25" t="str">
            <v>MMR001CMP007</v>
          </cell>
          <cell r="O25" t="str">
            <v>Open</v>
          </cell>
          <cell r="P25">
            <v>97.418004999999994</v>
          </cell>
          <cell r="Q25">
            <v>25.423817</v>
          </cell>
        </row>
        <row r="26">
          <cell r="N26" t="str">
            <v>MMR001CMP009</v>
          </cell>
          <cell r="O26" t="str">
            <v>Open</v>
          </cell>
          <cell r="P26">
            <v>97.419403000000003</v>
          </cell>
          <cell r="Q26">
            <v>25.440928</v>
          </cell>
        </row>
        <row r="27">
          <cell r="N27" t="str">
            <v>MMR001CMP025</v>
          </cell>
          <cell r="O27" t="str">
            <v>Open</v>
          </cell>
          <cell r="P27">
            <v>97.438432380952406</v>
          </cell>
          <cell r="Q27">
            <v>25.351724999999998</v>
          </cell>
        </row>
        <row r="28">
          <cell r="N28" t="str">
            <v>MMR001CMP026</v>
          </cell>
          <cell r="O28" t="str">
            <v>Closed</v>
          </cell>
          <cell r="P28">
            <v>97.432495000000003</v>
          </cell>
          <cell r="Q28">
            <v>25.350809000000002</v>
          </cell>
        </row>
        <row r="29">
          <cell r="N29" t="str">
            <v>MMR001CMP027</v>
          </cell>
          <cell r="O29" t="str">
            <v>Open</v>
          </cell>
          <cell r="P29">
            <v>97.451965000000001</v>
          </cell>
          <cell r="Q29">
            <v>25.356632000000001</v>
          </cell>
        </row>
        <row r="30">
          <cell r="N30" t="str">
            <v>MMR001CMP028</v>
          </cell>
          <cell r="O30" t="str">
            <v>Open</v>
          </cell>
          <cell r="P30">
            <v>97.404195925926004</v>
          </cell>
          <cell r="Q30">
            <v>25.321710740740698</v>
          </cell>
        </row>
        <row r="31">
          <cell r="N31" t="str">
            <v>MMR001CMP029</v>
          </cell>
          <cell r="O31" t="str">
            <v>Open</v>
          </cell>
          <cell r="P31">
            <v>97.437782499999997</v>
          </cell>
          <cell r="Q31">
            <v>25.415667500000001</v>
          </cell>
        </row>
        <row r="32">
          <cell r="N32" t="str">
            <v>MMR001CMP030</v>
          </cell>
          <cell r="O32" t="str">
            <v>Open</v>
          </cell>
          <cell r="P32">
            <v>97.437472666666693</v>
          </cell>
          <cell r="Q32">
            <v>25.345918166666699</v>
          </cell>
        </row>
        <row r="33">
          <cell r="N33" t="str">
            <v>MMR001CMP031</v>
          </cell>
          <cell r="O33" t="str">
            <v>Open</v>
          </cell>
          <cell r="P33">
            <v>97.433419259259296</v>
          </cell>
          <cell r="Q33">
            <v>25.424529444444399</v>
          </cell>
        </row>
        <row r="34">
          <cell r="N34" t="str">
            <v>MMR001CMP032</v>
          </cell>
          <cell r="O34" t="str">
            <v>Open</v>
          </cell>
          <cell r="P34">
            <v>97.441166388888902</v>
          </cell>
          <cell r="Q34">
            <v>25.3540362037037</v>
          </cell>
        </row>
        <row r="35">
          <cell r="N35" t="str">
            <v>MMR001CMP033</v>
          </cell>
          <cell r="O35" t="str">
            <v>Open</v>
          </cell>
          <cell r="P35">
            <v>97.345039</v>
          </cell>
          <cell r="Q35">
            <v>25.351965</v>
          </cell>
        </row>
        <row r="36">
          <cell r="N36" t="str">
            <v>MMR001CMP034</v>
          </cell>
          <cell r="O36" t="str">
            <v>Closed</v>
          </cell>
        </row>
        <row r="37">
          <cell r="N37" t="str">
            <v>MMR001CMP035</v>
          </cell>
          <cell r="O37" t="str">
            <v>Closed</v>
          </cell>
          <cell r="P37">
            <v>97.421104</v>
          </cell>
          <cell r="Q37">
            <v>25.328987000000001</v>
          </cell>
        </row>
        <row r="38">
          <cell r="N38" t="str">
            <v>MMR001CMP036</v>
          </cell>
          <cell r="O38" t="str">
            <v>Closed</v>
          </cell>
          <cell r="P38">
            <v>97.438259000000002</v>
          </cell>
          <cell r="Q38">
            <v>25.355841999999999</v>
          </cell>
        </row>
        <row r="39">
          <cell r="N39" t="str">
            <v>MMR001CMP037</v>
          </cell>
          <cell r="O39" t="str">
            <v>Open</v>
          </cell>
          <cell r="P39">
            <v>97.428251153846105</v>
          </cell>
          <cell r="Q39">
            <v>25.333683333333301</v>
          </cell>
        </row>
        <row r="40">
          <cell r="N40" t="str">
            <v>MMR001CMP038</v>
          </cell>
          <cell r="O40" t="str">
            <v>Open</v>
          </cell>
          <cell r="P40">
            <v>97.444283730158702</v>
          </cell>
          <cell r="Q40">
            <v>25.351250396825399</v>
          </cell>
        </row>
        <row r="41">
          <cell r="N41" t="str">
            <v>MMR001CMP039</v>
          </cell>
          <cell r="O41" t="str">
            <v>Open</v>
          </cell>
          <cell r="P41">
            <v>97.426536944444507</v>
          </cell>
          <cell r="Q41">
            <v>25.409612685185198</v>
          </cell>
        </row>
        <row r="42">
          <cell r="N42" t="str">
            <v>MMR001CMP040</v>
          </cell>
          <cell r="O42" t="str">
            <v>Open</v>
          </cell>
          <cell r="P42">
            <v>97.434855869565197</v>
          </cell>
          <cell r="Q42">
            <v>25.4118005797101</v>
          </cell>
        </row>
        <row r="43">
          <cell r="N43" t="str">
            <v>MMR001CMP041</v>
          </cell>
          <cell r="O43" t="str">
            <v>Open</v>
          </cell>
          <cell r="P43">
            <v>98.025662999999994</v>
          </cell>
          <cell r="Q43">
            <v>25.418084</v>
          </cell>
        </row>
        <row r="44">
          <cell r="N44" t="str">
            <v>MMR001CMP042</v>
          </cell>
          <cell r="O44" t="str">
            <v>Open</v>
          </cell>
          <cell r="P44">
            <v>98.131550000000004</v>
          </cell>
          <cell r="Q44">
            <v>25.889410000000002</v>
          </cell>
        </row>
        <row r="45">
          <cell r="N45" t="str">
            <v>MMR001CMP043</v>
          </cell>
          <cell r="O45" t="str">
            <v>Open</v>
          </cell>
          <cell r="P45">
            <v>98.475719999999995</v>
          </cell>
          <cell r="Q45">
            <v>25.754110000000001</v>
          </cell>
        </row>
        <row r="46">
          <cell r="N46" t="str">
            <v>MMR001CMP044</v>
          </cell>
          <cell r="O46" t="str">
            <v>Closed</v>
          </cell>
        </row>
        <row r="47">
          <cell r="N47" t="str">
            <v>MMR001CMP045</v>
          </cell>
          <cell r="O47" t="str">
            <v>Closed</v>
          </cell>
          <cell r="P47">
            <v>98.354146999999998</v>
          </cell>
          <cell r="Q47">
            <v>25.708763000000001</v>
          </cell>
        </row>
        <row r="48">
          <cell r="N48" t="str">
            <v>MMR001CMP046</v>
          </cell>
          <cell r="O48" t="str">
            <v>Closed</v>
          </cell>
        </row>
        <row r="49">
          <cell r="N49" t="str">
            <v>MMR001CMP047</v>
          </cell>
          <cell r="O49" t="str">
            <v>Open</v>
          </cell>
          <cell r="P49">
            <v>97.229116811594196</v>
          </cell>
          <cell r="Q49">
            <v>24.268292826086999</v>
          </cell>
        </row>
        <row r="50">
          <cell r="N50" t="str">
            <v>MMR001CMP048</v>
          </cell>
          <cell r="O50" t="str">
            <v>Closed</v>
          </cell>
          <cell r="P50">
            <v>97.221556500999995</v>
          </cell>
          <cell r="Q50">
            <v>24.262418020999998</v>
          </cell>
        </row>
        <row r="51">
          <cell r="N51" t="str">
            <v>MMR001CMP049</v>
          </cell>
          <cell r="O51" t="str">
            <v>Open</v>
          </cell>
          <cell r="P51">
            <v>97.240183461538507</v>
          </cell>
          <cell r="Q51">
            <v>24.2631743589744</v>
          </cell>
        </row>
        <row r="52">
          <cell r="N52" t="str">
            <v>MMR001CMP050</v>
          </cell>
          <cell r="O52" t="str">
            <v>Open</v>
          </cell>
          <cell r="P52">
            <v>97.238829999999993</v>
          </cell>
          <cell r="Q52">
            <v>24.260719999999999</v>
          </cell>
        </row>
        <row r="53">
          <cell r="N53" t="str">
            <v>MMR001CMP051</v>
          </cell>
          <cell r="O53" t="str">
            <v>Open</v>
          </cell>
          <cell r="P53">
            <v>97.234200000000001</v>
          </cell>
          <cell r="Q53">
            <v>24.253067000000001</v>
          </cell>
        </row>
        <row r="54">
          <cell r="N54" t="str">
            <v>MMR001CMP052</v>
          </cell>
          <cell r="O54" t="str">
            <v>Open</v>
          </cell>
          <cell r="P54">
            <v>97.236919999999998</v>
          </cell>
          <cell r="Q54">
            <v>24.24766</v>
          </cell>
        </row>
        <row r="55">
          <cell r="N55" t="str">
            <v>MMR001CMP053</v>
          </cell>
          <cell r="O55" t="str">
            <v>Closed</v>
          </cell>
          <cell r="P55">
            <v>97.240639999999999</v>
          </cell>
          <cell r="Q55">
            <v>24.24953</v>
          </cell>
        </row>
        <row r="56">
          <cell r="N56" t="str">
            <v>MMR001CMP054</v>
          </cell>
          <cell r="O56" t="str">
            <v>Closed</v>
          </cell>
          <cell r="P56">
            <v>97.315860000000001</v>
          </cell>
          <cell r="Q56">
            <v>24.32638</v>
          </cell>
        </row>
        <row r="57">
          <cell r="N57" t="str">
            <v>MMR001CMP055</v>
          </cell>
          <cell r="O57" t="str">
            <v>Closed</v>
          </cell>
          <cell r="P57">
            <v>97.227789999999999</v>
          </cell>
          <cell r="Q57">
            <v>24.29138</v>
          </cell>
        </row>
        <row r="58">
          <cell r="N58" t="str">
            <v>MMR001CMP123</v>
          </cell>
          <cell r="O58" t="str">
            <v>Open</v>
          </cell>
          <cell r="P58">
            <v>97.537099999999995</v>
          </cell>
          <cell r="Q58">
            <v>24.461033</v>
          </cell>
        </row>
        <row r="59">
          <cell r="N59" t="str">
            <v>MMR001CMP057</v>
          </cell>
          <cell r="O59" t="str">
            <v>Closed</v>
          </cell>
          <cell r="P59">
            <v>97.346950000000007</v>
          </cell>
          <cell r="Q59">
            <v>24.25177</v>
          </cell>
        </row>
        <row r="60">
          <cell r="N60" t="str">
            <v>MMR001CMP058</v>
          </cell>
          <cell r="O60" t="str">
            <v>Closed</v>
          </cell>
          <cell r="P60">
            <v>97.346940000000004</v>
          </cell>
          <cell r="Q60">
            <v>24.251860000000001</v>
          </cell>
        </row>
        <row r="61">
          <cell r="N61" t="str">
            <v>MMR001CMP059</v>
          </cell>
          <cell r="O61" t="str">
            <v>Closed</v>
          </cell>
          <cell r="P61">
            <v>97.347740000000002</v>
          </cell>
          <cell r="Q61">
            <v>24.253769999999999</v>
          </cell>
        </row>
        <row r="62">
          <cell r="N62" t="str">
            <v>MMR001CMP060</v>
          </cell>
          <cell r="O62" t="str">
            <v>Closed</v>
          </cell>
          <cell r="P62">
            <v>97.416826999999998</v>
          </cell>
          <cell r="Q62">
            <v>24.492493</v>
          </cell>
        </row>
        <row r="63">
          <cell r="N63" t="str">
            <v>MMR001CMP274</v>
          </cell>
          <cell r="O63" t="str">
            <v>Open</v>
          </cell>
          <cell r="P63">
            <v>97.461727999999994</v>
          </cell>
          <cell r="Q63">
            <v>24.613662999999999</v>
          </cell>
        </row>
        <row r="64">
          <cell r="N64" t="str">
            <v>MMR001CMP122</v>
          </cell>
          <cell r="O64" t="str">
            <v>Open</v>
          </cell>
          <cell r="P64">
            <v>97.573126000000002</v>
          </cell>
          <cell r="Q64">
            <v>24.661905999999998</v>
          </cell>
        </row>
        <row r="65">
          <cell r="N65" t="str">
            <v>MMR001CMP063</v>
          </cell>
          <cell r="O65" t="str">
            <v>Closed</v>
          </cell>
          <cell r="P65">
            <v>97.321659999999994</v>
          </cell>
          <cell r="Q65">
            <v>24.410008999999999</v>
          </cell>
        </row>
        <row r="66">
          <cell r="N66" t="str">
            <v>MMR001CMP064</v>
          </cell>
          <cell r="O66" t="str">
            <v>Closed</v>
          </cell>
          <cell r="P66">
            <v>97.409474000000003</v>
          </cell>
          <cell r="Q66">
            <v>24.441697000000001</v>
          </cell>
        </row>
        <row r="67">
          <cell r="N67" t="str">
            <v>MMR001CMP065</v>
          </cell>
          <cell r="O67" t="str">
            <v>Closed</v>
          </cell>
          <cell r="P67">
            <v>97.429860000000005</v>
          </cell>
          <cell r="Q67">
            <v>24.630859999999998</v>
          </cell>
        </row>
        <row r="68">
          <cell r="N68" t="str">
            <v>MMR001CMP066</v>
          </cell>
          <cell r="O68" t="str">
            <v>Open</v>
          </cell>
          <cell r="P68">
            <v>97.291820000000001</v>
          </cell>
          <cell r="Q68">
            <v>24.129059999999999</v>
          </cell>
        </row>
        <row r="69">
          <cell r="N69" t="str">
            <v>MMR001CMP067</v>
          </cell>
          <cell r="O69" t="str">
            <v>Open</v>
          </cell>
          <cell r="P69">
            <v>96.807353000000006</v>
          </cell>
          <cell r="Q69">
            <v>24.200361000000001</v>
          </cell>
        </row>
        <row r="70">
          <cell r="N70" t="str">
            <v>MMR001CMP068</v>
          </cell>
          <cell r="O70" t="str">
            <v>Open</v>
          </cell>
          <cell r="P70">
            <v>96.807353000000006</v>
          </cell>
          <cell r="Q70">
            <v>24.200367</v>
          </cell>
        </row>
        <row r="71">
          <cell r="N71" t="str">
            <v>MMR001CMP197</v>
          </cell>
          <cell r="O71" t="str">
            <v>Open</v>
          </cell>
          <cell r="P71">
            <v>97.348405</v>
          </cell>
          <cell r="Q71">
            <v>24.251232000000002</v>
          </cell>
        </row>
        <row r="72">
          <cell r="N72" t="str">
            <v>MMR001CMP121</v>
          </cell>
          <cell r="O72" t="str">
            <v>Open</v>
          </cell>
          <cell r="P72">
            <v>97.568331999999998</v>
          </cell>
          <cell r="Q72">
            <v>24.688338999999999</v>
          </cell>
        </row>
        <row r="73">
          <cell r="N73" t="str">
            <v>MMR001CMP200</v>
          </cell>
          <cell r="O73" t="str">
            <v>Open</v>
          </cell>
          <cell r="P73">
            <v>97.343406999999999</v>
          </cell>
          <cell r="Q73">
            <v>24.377054000000001</v>
          </cell>
        </row>
        <row r="74">
          <cell r="N74" t="str">
            <v>MMR001CMP071</v>
          </cell>
          <cell r="O74" t="str">
            <v>Open</v>
          </cell>
          <cell r="P74">
            <v>97.718582999999995</v>
          </cell>
          <cell r="Q74">
            <v>24.200972</v>
          </cell>
        </row>
        <row r="75">
          <cell r="N75" t="str">
            <v>MMR001CMP069</v>
          </cell>
          <cell r="O75" t="str">
            <v>Open</v>
          </cell>
          <cell r="P75">
            <v>97.724566999999993</v>
          </cell>
          <cell r="Q75">
            <v>24.205417000000001</v>
          </cell>
        </row>
        <row r="76">
          <cell r="N76" t="str">
            <v>MMR001CMP074</v>
          </cell>
          <cell r="O76" t="str">
            <v>Closed</v>
          </cell>
          <cell r="P76">
            <v>98.144502500000002</v>
          </cell>
          <cell r="Q76">
            <v>26.890058</v>
          </cell>
        </row>
        <row r="77">
          <cell r="N77" t="str">
            <v>MMR001CMP075</v>
          </cell>
          <cell r="O77" t="str">
            <v>Open</v>
          </cell>
          <cell r="P77">
            <v>97.415289999999999</v>
          </cell>
          <cell r="Q77">
            <v>27.311699999999998</v>
          </cell>
        </row>
        <row r="78">
          <cell r="N78" t="str">
            <v>MMR001CMP077</v>
          </cell>
          <cell r="O78" t="str">
            <v>Open</v>
          </cell>
          <cell r="P78">
            <v>96.942279999999997</v>
          </cell>
          <cell r="Q78">
            <v>25.296579999999999</v>
          </cell>
        </row>
        <row r="79">
          <cell r="N79" t="str">
            <v>MMR001CMP078</v>
          </cell>
          <cell r="O79" t="str">
            <v>Open</v>
          </cell>
          <cell r="P79">
            <v>96.922619999999995</v>
          </cell>
          <cell r="Q79">
            <v>25.305669999999999</v>
          </cell>
        </row>
        <row r="80">
          <cell r="N80" t="str">
            <v>MMR001CMP079</v>
          </cell>
          <cell r="O80" t="str">
            <v>Open</v>
          </cell>
          <cell r="P80">
            <v>96.948740000000001</v>
          </cell>
          <cell r="Q80">
            <v>25.30442</v>
          </cell>
        </row>
        <row r="81">
          <cell r="N81" t="str">
            <v>MMR001CMP080</v>
          </cell>
          <cell r="O81" t="str">
            <v>Open</v>
          </cell>
          <cell r="P81">
            <v>96.367059999999995</v>
          </cell>
          <cell r="Q81">
            <v>24.764800000000001</v>
          </cell>
        </row>
        <row r="82">
          <cell r="N82" t="str">
            <v>MMR001CMP081</v>
          </cell>
          <cell r="O82" t="str">
            <v>Closed</v>
          </cell>
          <cell r="P82">
            <v>96.364949999999993</v>
          </cell>
          <cell r="Q82">
            <v>24.998349999999999</v>
          </cell>
        </row>
        <row r="83">
          <cell r="N83" t="str">
            <v>MMR001CMP082</v>
          </cell>
          <cell r="O83" t="str">
            <v>Closed</v>
          </cell>
          <cell r="P83">
            <v>96.312790000000007</v>
          </cell>
          <cell r="Q83">
            <v>25.611160000000002</v>
          </cell>
        </row>
        <row r="84">
          <cell r="N84" t="str">
            <v>MMR001CMP083</v>
          </cell>
          <cell r="O84" t="str">
            <v>Closed</v>
          </cell>
          <cell r="P84">
            <v>96.31326</v>
          </cell>
          <cell r="Q84">
            <v>25.611899999999999</v>
          </cell>
        </row>
        <row r="85">
          <cell r="N85" t="str">
            <v>MMR001CMP084</v>
          </cell>
          <cell r="O85" t="str">
            <v>Closed</v>
          </cell>
        </row>
        <row r="86">
          <cell r="N86" t="str">
            <v>MMR001CMP085</v>
          </cell>
          <cell r="O86" t="str">
            <v>Closed</v>
          </cell>
          <cell r="P86">
            <v>96.316210999999996</v>
          </cell>
          <cell r="Q86">
            <v>25.619221</v>
          </cell>
        </row>
        <row r="87">
          <cell r="N87" t="str">
            <v>MMR001CMP086</v>
          </cell>
          <cell r="O87" t="str">
            <v>Closed</v>
          </cell>
        </row>
        <row r="88">
          <cell r="N88" t="str">
            <v>MMR001CMP088</v>
          </cell>
          <cell r="O88" t="str">
            <v>Closed</v>
          </cell>
        </row>
        <row r="89">
          <cell r="N89" t="str">
            <v>MMR001CMP090</v>
          </cell>
          <cell r="O89" t="str">
            <v>Closed</v>
          </cell>
        </row>
        <row r="90">
          <cell r="N90" t="str">
            <v>MMR001CMP091</v>
          </cell>
          <cell r="O90" t="str">
            <v>Open</v>
          </cell>
          <cell r="P90">
            <v>96.319829999999996</v>
          </cell>
          <cell r="Q90">
            <v>25.6145</v>
          </cell>
        </row>
        <row r="91">
          <cell r="N91" t="str">
            <v>MMR001CMP092</v>
          </cell>
          <cell r="O91" t="str">
            <v>Closed</v>
          </cell>
        </row>
        <row r="92">
          <cell r="N92" t="str">
            <v>MMR001CMP093</v>
          </cell>
          <cell r="O92" t="str">
            <v>Closed</v>
          </cell>
        </row>
        <row r="93">
          <cell r="N93" t="str">
            <v>MMR001CMP094</v>
          </cell>
          <cell r="O93" t="str">
            <v>Closed</v>
          </cell>
          <cell r="P93">
            <v>96.310928000000004</v>
          </cell>
          <cell r="Q93">
            <v>25.609179999999999</v>
          </cell>
        </row>
        <row r="94">
          <cell r="N94" t="str">
            <v>MMR001CMP095</v>
          </cell>
          <cell r="O94" t="str">
            <v>Closed</v>
          </cell>
        </row>
        <row r="95">
          <cell r="N95" t="str">
            <v>MMR001CMP096</v>
          </cell>
          <cell r="O95" t="str">
            <v>Closed</v>
          </cell>
        </row>
        <row r="96">
          <cell r="N96" t="str">
            <v>MMR001CMP097</v>
          </cell>
          <cell r="O96" t="str">
            <v>Closed</v>
          </cell>
        </row>
        <row r="97">
          <cell r="N97" t="str">
            <v>MMR001CMP098</v>
          </cell>
          <cell r="O97" t="str">
            <v>Closed</v>
          </cell>
        </row>
        <row r="98">
          <cell r="N98" t="str">
            <v>MMR001CMP099</v>
          </cell>
          <cell r="O98" t="str">
            <v>Closed</v>
          </cell>
        </row>
        <row r="99">
          <cell r="N99" t="str">
            <v>MMR001CMP100</v>
          </cell>
          <cell r="O99" t="str">
            <v>Closed</v>
          </cell>
        </row>
        <row r="100">
          <cell r="N100" t="str">
            <v>MMR001CMP101</v>
          </cell>
          <cell r="O100" t="str">
            <v>Closed</v>
          </cell>
        </row>
        <row r="101">
          <cell r="N101" t="str">
            <v>MMR001CMP102</v>
          </cell>
          <cell r="O101" t="str">
            <v>Closed</v>
          </cell>
        </row>
        <row r="102">
          <cell r="N102" t="str">
            <v>MMR001CMP103</v>
          </cell>
          <cell r="O102" t="str">
            <v>Open</v>
          </cell>
          <cell r="P102">
            <v>96.341352999999998</v>
          </cell>
          <cell r="Q102">
            <v>25.613894999999999</v>
          </cell>
        </row>
        <row r="103">
          <cell r="N103" t="str">
            <v>MMR001CMP104</v>
          </cell>
          <cell r="O103" t="str">
            <v>Closed</v>
          </cell>
        </row>
        <row r="104">
          <cell r="N104" t="str">
            <v>MMR001CMP105</v>
          </cell>
          <cell r="O104" t="str">
            <v>Open</v>
          </cell>
          <cell r="P104">
            <v>96.306910999999999</v>
          </cell>
          <cell r="Q104">
            <v>25.599250000000001</v>
          </cell>
        </row>
        <row r="105">
          <cell r="N105" t="str">
            <v>MMR001CMP106</v>
          </cell>
          <cell r="O105" t="str">
            <v>Closed</v>
          </cell>
          <cell r="P105">
            <v>96.343350000000001</v>
          </cell>
          <cell r="Q105">
            <v>25.6447</v>
          </cell>
        </row>
        <row r="106">
          <cell r="N106" t="str">
            <v>MMR001CMP107</v>
          </cell>
          <cell r="O106" t="str">
            <v>Closed</v>
          </cell>
        </row>
        <row r="107">
          <cell r="N107" t="str">
            <v>MMR001CMP108</v>
          </cell>
          <cell r="O107" t="str">
            <v>Closed</v>
          </cell>
        </row>
        <row r="108">
          <cell r="N108" t="str">
            <v>MMR001CMP109</v>
          </cell>
          <cell r="O108" t="str">
            <v>Open</v>
          </cell>
          <cell r="P108">
            <v>96.283377000000002</v>
          </cell>
          <cell r="Q108">
            <v>25.582065</v>
          </cell>
        </row>
        <row r="109">
          <cell r="N109" t="str">
            <v>MMR001CMP110</v>
          </cell>
          <cell r="O109" t="str">
            <v>Closed</v>
          </cell>
        </row>
        <row r="110">
          <cell r="N110" t="str">
            <v>MMR001CMP111</v>
          </cell>
          <cell r="O110" t="str">
            <v>Closed</v>
          </cell>
          <cell r="P110">
            <v>97.756789999999995</v>
          </cell>
          <cell r="Q110">
            <v>25.106670000000001</v>
          </cell>
        </row>
        <row r="111">
          <cell r="N111" t="str">
            <v>MMR001CMP113</v>
          </cell>
          <cell r="O111" t="str">
            <v>Open</v>
          </cell>
          <cell r="P111">
            <v>97.915833000000006</v>
          </cell>
          <cell r="Q111">
            <v>25.220278</v>
          </cell>
        </row>
        <row r="112">
          <cell r="N112" t="str">
            <v>MMR001CMP114</v>
          </cell>
          <cell r="O112" t="str">
            <v>Closed</v>
          </cell>
          <cell r="P112">
            <v>97.837778</v>
          </cell>
          <cell r="Q112">
            <v>25.273333000000001</v>
          </cell>
        </row>
        <row r="113">
          <cell r="N113" t="str">
            <v>MMR001CMP115</v>
          </cell>
          <cell r="O113" t="str">
            <v>Open</v>
          </cell>
          <cell r="P113">
            <v>97.807182999999995</v>
          </cell>
          <cell r="Q113">
            <v>25.200333000000001</v>
          </cell>
        </row>
        <row r="114">
          <cell r="N114" t="str">
            <v>MMR001CMP116</v>
          </cell>
          <cell r="O114" t="str">
            <v>Open</v>
          </cell>
          <cell r="P114">
            <v>97.546893999999995</v>
          </cell>
          <cell r="Q114">
            <v>24.755253</v>
          </cell>
        </row>
        <row r="115">
          <cell r="N115" t="str">
            <v>MMR001CMP117</v>
          </cell>
          <cell r="O115" t="str">
            <v>Closed</v>
          </cell>
          <cell r="P115">
            <v>97.551507000000001</v>
          </cell>
          <cell r="Q115">
            <v>24.747212999999999</v>
          </cell>
        </row>
        <row r="116">
          <cell r="N116" t="str">
            <v>MMR001CMP118</v>
          </cell>
          <cell r="O116" t="str">
            <v>Closed</v>
          </cell>
          <cell r="P116">
            <v>97.550267000000005</v>
          </cell>
          <cell r="Q116">
            <v>24.747966999999999</v>
          </cell>
        </row>
        <row r="117">
          <cell r="N117" t="str">
            <v>MMR001CMP119</v>
          </cell>
          <cell r="O117" t="str">
            <v>Open</v>
          </cell>
          <cell r="P117">
            <v>97.715230000000005</v>
          </cell>
          <cell r="Q117">
            <v>24.980250000000002</v>
          </cell>
        </row>
        <row r="118">
          <cell r="N118" t="str">
            <v>MMR001CMP120</v>
          </cell>
          <cell r="O118" t="str">
            <v>Open</v>
          </cell>
          <cell r="P118">
            <v>97.751389000000003</v>
          </cell>
          <cell r="Q118">
            <v>24.831944</v>
          </cell>
        </row>
        <row r="119">
          <cell r="N119" t="str">
            <v>MMR001CMP070</v>
          </cell>
          <cell r="O119" t="str">
            <v>Open</v>
          </cell>
          <cell r="P119">
            <v>97.717133000000004</v>
          </cell>
          <cell r="Q119">
            <v>24.200433</v>
          </cell>
        </row>
        <row r="120">
          <cell r="N120" t="str">
            <v>MMR001CMP275</v>
          </cell>
          <cell r="O120" t="str">
            <v>Open</v>
          </cell>
          <cell r="P120">
            <v>97.721878000000004</v>
          </cell>
          <cell r="Q120">
            <v>24.721878</v>
          </cell>
        </row>
        <row r="121">
          <cell r="N121" t="str">
            <v>MMR001CMP062</v>
          </cell>
          <cell r="O121" t="str">
            <v>Open</v>
          </cell>
          <cell r="P121">
            <v>97.325019999999995</v>
          </cell>
          <cell r="Q121">
            <v>24.245100000000001</v>
          </cell>
        </row>
        <row r="122">
          <cell r="N122" t="str">
            <v>MMR001CMP056</v>
          </cell>
          <cell r="O122" t="str">
            <v>Open</v>
          </cell>
          <cell r="P122">
            <v>97.344359999999995</v>
          </cell>
          <cell r="Q122">
            <v>24.250689999999999</v>
          </cell>
        </row>
        <row r="123">
          <cell r="N123" t="str">
            <v>MMR001CMP128</v>
          </cell>
          <cell r="O123" t="str">
            <v>Open</v>
          </cell>
          <cell r="P123">
            <v>97.625617000000005</v>
          </cell>
          <cell r="Q123">
            <v>24.056132999999999</v>
          </cell>
        </row>
        <row r="124">
          <cell r="N124" t="str">
            <v>MMR001CMP129</v>
          </cell>
          <cell r="O124" t="str">
            <v>Open</v>
          </cell>
          <cell r="P124">
            <v>97.609832999999995</v>
          </cell>
          <cell r="Q124">
            <v>24.002433</v>
          </cell>
        </row>
        <row r="125">
          <cell r="N125" t="str">
            <v>MMR001CMP061</v>
          </cell>
          <cell r="O125" t="str">
            <v>Open</v>
          </cell>
          <cell r="P125">
            <v>97.407787999999996</v>
          </cell>
          <cell r="Q125">
            <v>24.404876999999999</v>
          </cell>
        </row>
        <row r="126">
          <cell r="N126" t="str">
            <v>MMR001CMP132</v>
          </cell>
          <cell r="O126" t="str">
            <v>Open</v>
          </cell>
          <cell r="P126">
            <v>97.578490000000002</v>
          </cell>
          <cell r="Q126">
            <v>23.835319999999999</v>
          </cell>
        </row>
        <row r="127">
          <cell r="N127" t="str">
            <v>MMR001CMP133</v>
          </cell>
          <cell r="O127" t="str">
            <v>Open</v>
          </cell>
          <cell r="P127">
            <v>97.589979999999997</v>
          </cell>
          <cell r="Q127">
            <v>23.83013</v>
          </cell>
        </row>
        <row r="128">
          <cell r="N128" t="str">
            <v>MMR001CMP134</v>
          </cell>
          <cell r="O128" t="str">
            <v>Open</v>
          </cell>
          <cell r="P128">
            <v>97.588291999999996</v>
          </cell>
          <cell r="Q128">
            <v>23.827870999999998</v>
          </cell>
        </row>
        <row r="129">
          <cell r="N129" t="str">
            <v>MMR001CMP135</v>
          </cell>
          <cell r="O129" t="str">
            <v>Closed</v>
          </cell>
          <cell r="P129">
            <v>97.585667000000001</v>
          </cell>
          <cell r="Q129">
            <v>23.9055</v>
          </cell>
        </row>
        <row r="130">
          <cell r="N130" t="str">
            <v>MMR001CMP136</v>
          </cell>
          <cell r="O130" t="str">
            <v>Closed</v>
          </cell>
        </row>
        <row r="131">
          <cell r="N131" t="str">
            <v>MMR001CMP137</v>
          </cell>
          <cell r="O131" t="str">
            <v>Closed</v>
          </cell>
          <cell r="P131">
            <v>97.132339999999999</v>
          </cell>
          <cell r="Q131">
            <v>23.75817</v>
          </cell>
        </row>
        <row r="132">
          <cell r="N132" t="str">
            <v>MMR001CMP146</v>
          </cell>
          <cell r="O132" t="str">
            <v>Closed</v>
          </cell>
        </row>
        <row r="133">
          <cell r="N133" t="str">
            <v>MMR001CMP147</v>
          </cell>
          <cell r="O133" t="str">
            <v>Closed</v>
          </cell>
        </row>
        <row r="134">
          <cell r="N134" t="str">
            <v>MMR001CMP148</v>
          </cell>
          <cell r="O134" t="str">
            <v>Open</v>
          </cell>
          <cell r="P134">
            <v>96.705960000000005</v>
          </cell>
          <cell r="Q134">
            <v>25.51352</v>
          </cell>
        </row>
        <row r="135">
          <cell r="N135" t="str">
            <v>MMR001CMP152</v>
          </cell>
          <cell r="O135" t="str">
            <v>Open</v>
          </cell>
          <cell r="P135">
            <v>96.364949999999993</v>
          </cell>
          <cell r="Q135">
            <v>24.998349999999999</v>
          </cell>
        </row>
        <row r="136">
          <cell r="N136" t="str">
            <v>MMR001CMP153</v>
          </cell>
          <cell r="O136" t="str">
            <v>Closed</v>
          </cell>
        </row>
        <row r="137">
          <cell r="N137" t="str">
            <v>MMR001CMP160</v>
          </cell>
          <cell r="O137" t="str">
            <v>Open</v>
          </cell>
          <cell r="P137">
            <v>97.990555999999998</v>
          </cell>
          <cell r="Q137">
            <v>25.265277999999999</v>
          </cell>
        </row>
        <row r="138">
          <cell r="N138" t="str">
            <v>MMR001CMP001</v>
          </cell>
          <cell r="O138" t="str">
            <v>Open</v>
          </cell>
          <cell r="P138">
            <v>97.386718999999999</v>
          </cell>
          <cell r="Q138">
            <v>25.415482000000001</v>
          </cell>
        </row>
        <row r="139">
          <cell r="N139" t="str">
            <v>MMR001CMP163</v>
          </cell>
          <cell r="O139" t="str">
            <v>Open</v>
          </cell>
          <cell r="P139">
            <v>97.228835000000004</v>
          </cell>
          <cell r="Q139">
            <v>24.263786</v>
          </cell>
        </row>
        <row r="140">
          <cell r="N140" t="str">
            <v>MMR001CMP167</v>
          </cell>
          <cell r="O140" t="str">
            <v>Open</v>
          </cell>
          <cell r="P140">
            <v>96.316400000000002</v>
          </cell>
          <cell r="Q140">
            <v>25.61842</v>
          </cell>
        </row>
        <row r="141">
          <cell r="N141" t="str">
            <v>MMR001CMP168</v>
          </cell>
          <cell r="O141" t="str">
            <v>Open</v>
          </cell>
          <cell r="P141">
            <v>96.361609999999999</v>
          </cell>
          <cell r="Q141">
            <v>25.656009999999998</v>
          </cell>
        </row>
        <row r="142">
          <cell r="N142" t="str">
            <v>MMR001CMP169</v>
          </cell>
          <cell r="O142" t="str">
            <v>Open</v>
          </cell>
          <cell r="P142">
            <v>96.346469999999997</v>
          </cell>
          <cell r="Q142">
            <v>25.647649999999999</v>
          </cell>
        </row>
        <row r="143">
          <cell r="N143" t="str">
            <v>MMR001CMP170</v>
          </cell>
          <cell r="O143" t="str">
            <v>Closed</v>
          </cell>
          <cell r="P143">
            <v>96.339870000000005</v>
          </cell>
          <cell r="Q143">
            <v>25.655989999999999</v>
          </cell>
        </row>
        <row r="144">
          <cell r="N144" t="str">
            <v>MMR001CMP171</v>
          </cell>
          <cell r="O144" t="str">
            <v>Closed</v>
          </cell>
          <cell r="P144">
            <v>96.359549999999999</v>
          </cell>
          <cell r="Q144">
            <v>25.658650000000002</v>
          </cell>
        </row>
        <row r="145">
          <cell r="N145" t="str">
            <v>MMR001CMP172</v>
          </cell>
          <cell r="O145" t="str">
            <v>Closed</v>
          </cell>
          <cell r="P145">
            <v>96.353070000000002</v>
          </cell>
          <cell r="Q145">
            <v>25.668469999999999</v>
          </cell>
        </row>
        <row r="146">
          <cell r="N146" t="str">
            <v>MMR001CMP173</v>
          </cell>
          <cell r="O146" t="str">
            <v>Closed</v>
          </cell>
        </row>
        <row r="147">
          <cell r="N147" t="str">
            <v>MMR001CMP174</v>
          </cell>
          <cell r="O147" t="str">
            <v>Open</v>
          </cell>
          <cell r="P147">
            <v>96.35257</v>
          </cell>
          <cell r="Q147">
            <v>25.637309999999999</v>
          </cell>
        </row>
        <row r="148">
          <cell r="N148" t="str">
            <v>MMR001CMP175</v>
          </cell>
          <cell r="O148" t="str">
            <v>Closed</v>
          </cell>
        </row>
        <row r="149">
          <cell r="N149" t="str">
            <v>MMR001CMP176</v>
          </cell>
          <cell r="O149" t="str">
            <v>Open</v>
          </cell>
          <cell r="P149">
            <v>96.345569999999995</v>
          </cell>
          <cell r="Q149">
            <v>25.635300000000001</v>
          </cell>
        </row>
        <row r="150">
          <cell r="N150" t="str">
            <v>MMR001CMP177</v>
          </cell>
          <cell r="O150" t="str">
            <v>Closed</v>
          </cell>
          <cell r="P150">
            <v>96.354159999999993</v>
          </cell>
          <cell r="Q150">
            <v>25.658670000000001</v>
          </cell>
        </row>
        <row r="151">
          <cell r="N151" t="str">
            <v>MMR001CMP178</v>
          </cell>
          <cell r="O151" t="str">
            <v>Closed</v>
          </cell>
          <cell r="P151">
            <v>96.359309999999994</v>
          </cell>
          <cell r="Q151">
            <v>25.651440000000001</v>
          </cell>
        </row>
        <row r="152">
          <cell r="N152" t="str">
            <v>MMR001CMP179</v>
          </cell>
          <cell r="O152" t="str">
            <v>Closed</v>
          </cell>
          <cell r="P152">
            <v>96.355270000000004</v>
          </cell>
          <cell r="Q152">
            <v>25.656130000000001</v>
          </cell>
        </row>
        <row r="153">
          <cell r="N153" t="str">
            <v>MMR001CMP180</v>
          </cell>
          <cell r="O153" t="str">
            <v>Closed</v>
          </cell>
        </row>
        <row r="154">
          <cell r="N154" t="str">
            <v>MMR001CMP181</v>
          </cell>
          <cell r="O154" t="str">
            <v>Open</v>
          </cell>
          <cell r="P154">
            <v>96.269199999999998</v>
          </cell>
          <cell r="Q154">
            <v>25.566510000000001</v>
          </cell>
        </row>
        <row r="155">
          <cell r="N155" t="str">
            <v>MMR001CMP182</v>
          </cell>
          <cell r="O155" t="str">
            <v>Open</v>
          </cell>
          <cell r="P155">
            <v>96.279200000000003</v>
          </cell>
          <cell r="Q155">
            <v>25.56551</v>
          </cell>
        </row>
        <row r="156">
          <cell r="N156" t="str">
            <v>MMR001CMP183</v>
          </cell>
          <cell r="O156" t="str">
            <v>Closed</v>
          </cell>
          <cell r="P156">
            <v>96.353030000000004</v>
          </cell>
          <cell r="Q156">
            <v>25.668399999999998</v>
          </cell>
        </row>
        <row r="157">
          <cell r="N157" t="str">
            <v>MMR001CMP184</v>
          </cell>
          <cell r="O157" t="str">
            <v>Open</v>
          </cell>
          <cell r="P157">
            <v>96.286680000000004</v>
          </cell>
          <cell r="Q157">
            <v>25.577559999999998</v>
          </cell>
        </row>
        <row r="158">
          <cell r="N158" t="str">
            <v>MMR001CMP185</v>
          </cell>
          <cell r="O158" t="str">
            <v>Closed</v>
          </cell>
          <cell r="P158">
            <v>96.288250000000005</v>
          </cell>
          <cell r="Q158">
            <v>25.57921</v>
          </cell>
        </row>
        <row r="159">
          <cell r="N159" t="str">
            <v>MMR001CMP186</v>
          </cell>
          <cell r="O159" t="str">
            <v>Closed</v>
          </cell>
        </row>
        <row r="160">
          <cell r="N160" t="str">
            <v>MMR001CMP188</v>
          </cell>
          <cell r="O160" t="str">
            <v>Closed</v>
          </cell>
          <cell r="P160">
            <v>96.673805000000002</v>
          </cell>
          <cell r="Q160">
            <v>25.728653000000001</v>
          </cell>
        </row>
        <row r="161">
          <cell r="N161" t="str">
            <v>MMR001CMP189</v>
          </cell>
          <cell r="O161" t="str">
            <v>Closed</v>
          </cell>
        </row>
        <row r="162">
          <cell r="N162" t="str">
            <v>MMR001CMP190</v>
          </cell>
          <cell r="O162" t="str">
            <v>Open</v>
          </cell>
          <cell r="P162">
            <v>96.317350000000005</v>
          </cell>
          <cell r="Q162">
            <v>25.616509000000001</v>
          </cell>
        </row>
        <row r="163">
          <cell r="N163" t="str">
            <v>MMR001CMP191</v>
          </cell>
          <cell r="O163" t="str">
            <v>Open</v>
          </cell>
          <cell r="P163">
            <v>96.316564</v>
          </cell>
          <cell r="Q163">
            <v>25.615960999999999</v>
          </cell>
        </row>
        <row r="164">
          <cell r="N164" t="str">
            <v>MMR001CMP192</v>
          </cell>
          <cell r="O164" t="str">
            <v>Open</v>
          </cell>
          <cell r="P164">
            <v>96.339590000000001</v>
          </cell>
          <cell r="Q164">
            <v>25.617998</v>
          </cell>
        </row>
        <row r="165">
          <cell r="N165" t="str">
            <v>MMR001CMP193</v>
          </cell>
          <cell r="O165" t="str">
            <v>Open</v>
          </cell>
          <cell r="P165">
            <v>97.252650000000003</v>
          </cell>
          <cell r="Q165">
            <v>24.222349999999999</v>
          </cell>
        </row>
        <row r="166">
          <cell r="N166" t="str">
            <v>MMR001CMP194</v>
          </cell>
          <cell r="O166" t="str">
            <v>Open</v>
          </cell>
          <cell r="P166">
            <v>97.252650000000003</v>
          </cell>
          <cell r="Q166">
            <v>24.260466999999998</v>
          </cell>
        </row>
        <row r="167">
          <cell r="N167" t="str">
            <v>MMR001CMP195</v>
          </cell>
          <cell r="O167" t="str">
            <v>Open</v>
          </cell>
          <cell r="P167">
            <v>98.129990000000006</v>
          </cell>
          <cell r="Q167">
            <v>25.887339999999998</v>
          </cell>
        </row>
        <row r="168">
          <cell r="N168" t="str">
            <v>MMR001CMP196</v>
          </cell>
          <cell r="O168" t="str">
            <v>Open</v>
          </cell>
          <cell r="P168">
            <v>97.298055000000005</v>
          </cell>
          <cell r="Q168">
            <v>24.118618999999999</v>
          </cell>
        </row>
        <row r="169">
          <cell r="N169" t="str">
            <v>MMR001CMP131</v>
          </cell>
          <cell r="O169" t="str">
            <v>Open</v>
          </cell>
          <cell r="P169">
            <v>97.669366999999994</v>
          </cell>
          <cell r="Q169">
            <v>24.378167000000001</v>
          </cell>
        </row>
        <row r="170">
          <cell r="N170" t="str">
            <v>MMR001CMP198</v>
          </cell>
          <cell r="O170" t="str">
            <v>Closed</v>
          </cell>
          <cell r="P170">
            <v>97.276591999999994</v>
          </cell>
          <cell r="Q170">
            <v>24.759551999999999</v>
          </cell>
        </row>
        <row r="171">
          <cell r="N171" t="str">
            <v>MMR001CMP199</v>
          </cell>
          <cell r="O171" t="str">
            <v>Closed</v>
          </cell>
          <cell r="P171">
            <v>96.793177</v>
          </cell>
          <cell r="Q171">
            <v>24.224830999999998</v>
          </cell>
        </row>
        <row r="172">
          <cell r="N172" t="str">
            <v>MMR001CMP072</v>
          </cell>
          <cell r="O172" t="str">
            <v>Open</v>
          </cell>
          <cell r="P172">
            <v>97.724483000000006</v>
          </cell>
          <cell r="Q172">
            <v>24.205417000000001</v>
          </cell>
        </row>
        <row r="173">
          <cell r="N173" t="str">
            <v>MMR001CMP201</v>
          </cell>
          <cell r="O173" t="str">
            <v>Closed</v>
          </cell>
          <cell r="P173">
            <v>96.315601999999998</v>
          </cell>
          <cell r="Q173">
            <v>25.615006000000001</v>
          </cell>
        </row>
        <row r="174">
          <cell r="N174" t="str">
            <v>MMR001CMP202</v>
          </cell>
          <cell r="O174" t="str">
            <v>Closed</v>
          </cell>
          <cell r="P174">
            <v>97.601243999999994</v>
          </cell>
          <cell r="Q174">
            <v>23.867713999999999</v>
          </cell>
        </row>
        <row r="175">
          <cell r="N175" t="str">
            <v>MMR001CMP203</v>
          </cell>
          <cell r="O175" t="str">
            <v>Closed</v>
          </cell>
          <cell r="P175">
            <v>96.808850000000007</v>
          </cell>
          <cell r="Q175">
            <v>24.20645</v>
          </cell>
        </row>
        <row r="176">
          <cell r="N176" t="str">
            <v>MMR001CMP204</v>
          </cell>
          <cell r="O176" t="str">
            <v>Closed</v>
          </cell>
          <cell r="P176">
            <v>97.132339999999999</v>
          </cell>
          <cell r="Q176">
            <v>23.75817</v>
          </cell>
        </row>
        <row r="177">
          <cell r="N177" t="str">
            <v>MMR001CMP206</v>
          </cell>
          <cell r="O177" t="str">
            <v>Open</v>
          </cell>
          <cell r="P177">
            <v>97.568836000000005</v>
          </cell>
          <cell r="Q177">
            <v>26.541930000000001</v>
          </cell>
        </row>
        <row r="178">
          <cell r="N178" t="str">
            <v>MMR001CMP208</v>
          </cell>
          <cell r="O178" t="str">
            <v>Open</v>
          </cell>
          <cell r="P178">
            <v>97.541793999999996</v>
          </cell>
          <cell r="Q178">
            <v>24.752471</v>
          </cell>
        </row>
        <row r="179">
          <cell r="N179" t="str">
            <v>MMR001CMP209</v>
          </cell>
          <cell r="O179" t="str">
            <v>Closed</v>
          </cell>
        </row>
        <row r="180">
          <cell r="N180" t="str">
            <v>MMR001CMP210</v>
          </cell>
          <cell r="O180" t="str">
            <v>Open</v>
          </cell>
          <cell r="P180">
            <v>98.377780000000001</v>
          </cell>
          <cell r="Q180">
            <v>25.60867</v>
          </cell>
        </row>
        <row r="181">
          <cell r="N181" t="str">
            <v>MMR001CMP211</v>
          </cell>
          <cell r="O181" t="str">
            <v>Closed</v>
          </cell>
        </row>
        <row r="182">
          <cell r="N182" t="str">
            <v>MMR001CMP212</v>
          </cell>
          <cell r="O182" t="str">
            <v>Closed</v>
          </cell>
          <cell r="P182">
            <v>97.710989999999995</v>
          </cell>
          <cell r="Q182">
            <v>24.181640000000002</v>
          </cell>
        </row>
        <row r="183">
          <cell r="N183" t="str">
            <v>MMR001CMP213</v>
          </cell>
          <cell r="O183" t="str">
            <v>Closed</v>
          </cell>
          <cell r="P183">
            <v>97.710989999999995</v>
          </cell>
          <cell r="Q183">
            <v>24.181640000000002</v>
          </cell>
        </row>
        <row r="184">
          <cell r="N184" t="str">
            <v>MMR001CMP214</v>
          </cell>
          <cell r="O184" t="str">
            <v>Closed</v>
          </cell>
        </row>
        <row r="185">
          <cell r="N185" t="str">
            <v>MMR001CMP215</v>
          </cell>
          <cell r="O185" t="str">
            <v>Closed</v>
          </cell>
        </row>
        <row r="186">
          <cell r="N186" t="str">
            <v>MMR001CMP216</v>
          </cell>
          <cell r="O186" t="str">
            <v>Closed</v>
          </cell>
        </row>
        <row r="187">
          <cell r="N187" t="str">
            <v>MMR001CMP217</v>
          </cell>
          <cell r="O187" t="str">
            <v>Closed</v>
          </cell>
        </row>
        <row r="188">
          <cell r="N188" t="str">
            <v>MMR001CMP218</v>
          </cell>
          <cell r="O188" t="str">
            <v>Open</v>
          </cell>
          <cell r="P188">
            <v>97.225881000000001</v>
          </cell>
          <cell r="Q188">
            <v>23.972453000000002</v>
          </cell>
        </row>
        <row r="189">
          <cell r="N189" t="str">
            <v>MMR001CMP219</v>
          </cell>
          <cell r="O189" t="str">
            <v>Closed</v>
          </cell>
        </row>
        <row r="190">
          <cell r="N190" t="str">
            <v>MMR001CMP220</v>
          </cell>
          <cell r="O190" t="str">
            <v>Closed</v>
          </cell>
          <cell r="P190">
            <v>97.58184</v>
          </cell>
          <cell r="Q190">
            <v>27.270199999999999</v>
          </cell>
        </row>
        <row r="191">
          <cell r="N191" t="str">
            <v>MMR001CMP221</v>
          </cell>
          <cell r="O191" t="str">
            <v>Closed</v>
          </cell>
          <cell r="P191">
            <v>97.586470000000006</v>
          </cell>
          <cell r="Q191">
            <v>27.274059999999999</v>
          </cell>
        </row>
        <row r="192">
          <cell r="N192" t="str">
            <v>MMR001CMP222</v>
          </cell>
          <cell r="O192" t="str">
            <v>Closed</v>
          </cell>
        </row>
        <row r="193">
          <cell r="N193" t="str">
            <v>MMR001CMP223</v>
          </cell>
          <cell r="O193" t="str">
            <v>Open</v>
          </cell>
          <cell r="P193">
            <v>97.227057000000002</v>
          </cell>
          <cell r="Q193">
            <v>23.976571</v>
          </cell>
        </row>
        <row r="194">
          <cell r="N194" t="str">
            <v>MMR001CMP224</v>
          </cell>
          <cell r="O194" t="str">
            <v>Closed</v>
          </cell>
          <cell r="P194">
            <v>97.239130000000003</v>
          </cell>
          <cell r="Q194">
            <v>24.229189999999999</v>
          </cell>
        </row>
        <row r="195">
          <cell r="N195" t="str">
            <v>MMR001CMP225</v>
          </cell>
          <cell r="O195" t="str">
            <v>Open</v>
          </cell>
          <cell r="P195">
            <v>98.356260000000006</v>
          </cell>
          <cell r="Q195">
            <v>25.645959999999999</v>
          </cell>
        </row>
        <row r="196">
          <cell r="N196" t="str">
            <v>MMR001CMP226</v>
          </cell>
          <cell r="O196" t="str">
            <v>Closed</v>
          </cell>
          <cell r="P196">
            <v>97.608249999999998</v>
          </cell>
          <cell r="Q196">
            <v>24.000250000000001</v>
          </cell>
        </row>
        <row r="197">
          <cell r="N197" t="str">
            <v>MMR001CMP227</v>
          </cell>
          <cell r="O197" t="str">
            <v>Open</v>
          </cell>
          <cell r="P197">
            <v>97.561105999999995</v>
          </cell>
          <cell r="Q197">
            <v>27.248964999999998</v>
          </cell>
        </row>
        <row r="198">
          <cell r="N198" t="str">
            <v>MMR001CMP228</v>
          </cell>
          <cell r="O198" t="str">
            <v>Open</v>
          </cell>
          <cell r="P198">
            <v>97.578367</v>
          </cell>
          <cell r="Q198">
            <v>23.833477999999999</v>
          </cell>
        </row>
        <row r="199">
          <cell r="N199" t="str">
            <v>MMR001CMP229</v>
          </cell>
          <cell r="O199" t="str">
            <v>Open</v>
          </cell>
          <cell r="P199">
            <v>96.312790000000007</v>
          </cell>
          <cell r="Q199">
            <v>25.611160000000002</v>
          </cell>
        </row>
        <row r="200">
          <cell r="N200" t="str">
            <v>MMR001CMP230</v>
          </cell>
          <cell r="O200" t="str">
            <v>Open</v>
          </cell>
          <cell r="P200">
            <v>97.590767</v>
          </cell>
          <cell r="Q200">
            <v>23.829599000000002</v>
          </cell>
        </row>
        <row r="201">
          <cell r="N201" t="str">
            <v>MMR001CMP231</v>
          </cell>
          <cell r="O201" t="str">
            <v>Closed</v>
          </cell>
          <cell r="P201">
            <v>96.637</v>
          </cell>
          <cell r="Q201">
            <v>25.806999999999999</v>
          </cell>
        </row>
        <row r="202">
          <cell r="N202" t="str">
            <v>MMR001CMP232</v>
          </cell>
          <cell r="O202" t="str">
            <v>Open</v>
          </cell>
          <cell r="P202">
            <v>96.52534</v>
          </cell>
          <cell r="Q202">
            <v>24.996279999999999</v>
          </cell>
        </row>
        <row r="203">
          <cell r="N203" t="str">
            <v>MMR001CMP233</v>
          </cell>
          <cell r="O203" t="str">
            <v>Open</v>
          </cell>
          <cell r="P203">
            <v>96.366919999999993</v>
          </cell>
          <cell r="Q203">
            <v>24.764959999999999</v>
          </cell>
        </row>
        <row r="204">
          <cell r="N204" t="str">
            <v>MMR001CMP234</v>
          </cell>
          <cell r="O204" t="str">
            <v>Open</v>
          </cell>
          <cell r="P204">
            <v>97.416121000000004</v>
          </cell>
          <cell r="Q204">
            <v>27.337499999999999</v>
          </cell>
        </row>
        <row r="205">
          <cell r="N205" t="str">
            <v>MMR001CMP235</v>
          </cell>
          <cell r="O205" t="str">
            <v>Closed</v>
          </cell>
          <cell r="P205">
            <v>96.793999999999997</v>
          </cell>
          <cell r="Q205">
            <v>25.225000000000001</v>
          </cell>
        </row>
        <row r="206">
          <cell r="N206" t="str">
            <v>MMR001CMP236</v>
          </cell>
          <cell r="O206" t="str">
            <v>Open</v>
          </cell>
          <cell r="P206">
            <v>96.793999999999997</v>
          </cell>
          <cell r="Q206">
            <v>25.225000000000001</v>
          </cell>
        </row>
        <row r="207">
          <cell r="N207" t="str">
            <v>MMR001CMP237</v>
          </cell>
          <cell r="O207" t="str">
            <v>Closed</v>
          </cell>
          <cell r="P207">
            <v>96.942279999999997</v>
          </cell>
          <cell r="Q207">
            <v>25.299679999999999</v>
          </cell>
        </row>
        <row r="208">
          <cell r="N208" t="str">
            <v>MMR001CMP238</v>
          </cell>
          <cell r="O208" t="str">
            <v>Open</v>
          </cell>
          <cell r="P208">
            <v>97.745480999999998</v>
          </cell>
          <cell r="Q208">
            <v>26.569633</v>
          </cell>
        </row>
        <row r="209">
          <cell r="N209" t="str">
            <v>MMR001CMP239</v>
          </cell>
          <cell r="O209" t="str">
            <v>Open</v>
          </cell>
          <cell r="P209">
            <v>97.75609</v>
          </cell>
          <cell r="Q209">
            <v>26.548506</v>
          </cell>
        </row>
        <row r="210">
          <cell r="N210" t="str">
            <v>MMR001CMP240</v>
          </cell>
          <cell r="O210" t="str">
            <v>Closed</v>
          </cell>
          <cell r="P210">
            <v>97.461271999999994</v>
          </cell>
          <cell r="Q210">
            <v>24.613976000000001</v>
          </cell>
        </row>
        <row r="211">
          <cell r="N211" t="str">
            <v>MMR001CMP241</v>
          </cell>
          <cell r="O211" t="str">
            <v>Closed</v>
          </cell>
          <cell r="P211">
            <v>97.174999999999997</v>
          </cell>
          <cell r="Q211">
            <v>23.867000000000001</v>
          </cell>
        </row>
        <row r="212">
          <cell r="N212" t="str">
            <v>MMR001CMP242</v>
          </cell>
          <cell r="O212" t="str">
            <v>Closed</v>
          </cell>
          <cell r="P212">
            <v>96.637</v>
          </cell>
          <cell r="Q212">
            <v>25.806999999999999</v>
          </cell>
        </row>
        <row r="213">
          <cell r="N213" t="str">
            <v>MMR001CMP243</v>
          </cell>
          <cell r="O213" t="str">
            <v>Closed</v>
          </cell>
          <cell r="P213">
            <v>96.662092000000001</v>
          </cell>
          <cell r="Q213">
            <v>25.920006000000001</v>
          </cell>
        </row>
        <row r="214">
          <cell r="N214" t="str">
            <v>MMR001CMP244</v>
          </cell>
          <cell r="O214" t="str">
            <v>Open</v>
          </cell>
          <cell r="P214">
            <v>96.662092000000001</v>
          </cell>
          <cell r="Q214">
            <v>25.920006000000001</v>
          </cell>
        </row>
        <row r="215">
          <cell r="N215" t="str">
            <v>MMR001CMP245</v>
          </cell>
          <cell r="O215" t="str">
            <v>Closed</v>
          </cell>
          <cell r="P215">
            <v>96.662092000000001</v>
          </cell>
          <cell r="Q215">
            <v>25.920006000000001</v>
          </cell>
        </row>
        <row r="216">
          <cell r="N216" t="str">
            <v>MMR001CMP246</v>
          </cell>
          <cell r="O216" t="str">
            <v>Open</v>
          </cell>
          <cell r="P216">
            <v>96.662092000000001</v>
          </cell>
          <cell r="Q216">
            <v>25.920006000000001</v>
          </cell>
        </row>
        <row r="217">
          <cell r="N217" t="str">
            <v>MMR001CMP247</v>
          </cell>
          <cell r="O217" t="str">
            <v>Open</v>
          </cell>
          <cell r="P217">
            <v>96.662092000000001</v>
          </cell>
          <cell r="Q217">
            <v>25.920006000000001</v>
          </cell>
        </row>
        <row r="218">
          <cell r="N218" t="str">
            <v>MMR001CMP248</v>
          </cell>
          <cell r="O218" t="str">
            <v>Open</v>
          </cell>
          <cell r="P218">
            <v>97.430321000000006</v>
          </cell>
          <cell r="Q218">
            <v>25.305008999999998</v>
          </cell>
        </row>
        <row r="219">
          <cell r="N219" t="str">
            <v>MMR001CMP249</v>
          </cell>
          <cell r="O219" t="str">
            <v>Open</v>
          </cell>
        </row>
        <row r="220">
          <cell r="N220" t="str">
            <v>MMR001CMP250</v>
          </cell>
          <cell r="O220" t="str">
            <v>Open</v>
          </cell>
        </row>
        <row r="221">
          <cell r="N221" t="str">
            <v>MMR001CMP251</v>
          </cell>
          <cell r="O221" t="str">
            <v>Open</v>
          </cell>
          <cell r="P221">
            <v>96.711387999999999</v>
          </cell>
          <cell r="Q221">
            <v>26.350176000000001</v>
          </cell>
        </row>
        <row r="222">
          <cell r="N222" t="str">
            <v>MMR001CMP252</v>
          </cell>
          <cell r="O222" t="str">
            <v>Closed</v>
          </cell>
        </row>
        <row r="223">
          <cell r="N223" t="str">
            <v>MMR001CMP253</v>
          </cell>
          <cell r="O223" t="str">
            <v>Open</v>
          </cell>
        </row>
        <row r="224">
          <cell r="N224" t="str">
            <v>MMR015CMP001</v>
          </cell>
          <cell r="O224" t="str">
            <v>Open</v>
          </cell>
          <cell r="P224">
            <v>97.669557999999995</v>
          </cell>
          <cell r="Q224">
            <v>23.828520000000001</v>
          </cell>
        </row>
        <row r="225">
          <cell r="N225" t="str">
            <v>MMR001CMP254</v>
          </cell>
          <cell r="O225" t="str">
            <v>Open</v>
          </cell>
          <cell r="P225">
            <v>96.690871999999999</v>
          </cell>
          <cell r="Q225">
            <v>26.351690999999999</v>
          </cell>
        </row>
        <row r="226">
          <cell r="N226" t="str">
            <v>MMR015CMP002</v>
          </cell>
          <cell r="O226" t="str">
            <v>Closed</v>
          </cell>
        </row>
        <row r="227">
          <cell r="N227" t="str">
            <v>MMR001CMP255</v>
          </cell>
          <cell r="O227" t="str">
            <v>Closed</v>
          </cell>
        </row>
        <row r="228">
          <cell r="N228" t="str">
            <v>MMR015CMP003</v>
          </cell>
          <cell r="O228" t="str">
            <v>Open</v>
          </cell>
          <cell r="P228">
            <v>97.670360000000002</v>
          </cell>
          <cell r="Q228">
            <v>23.828150000000001</v>
          </cell>
        </row>
        <row r="229">
          <cell r="N229" t="str">
            <v>MMR015CMP004</v>
          </cell>
          <cell r="O229" t="str">
            <v>Open</v>
          </cell>
          <cell r="P229">
            <v>97.681970000000007</v>
          </cell>
          <cell r="Q229">
            <v>23.821380000000001</v>
          </cell>
        </row>
        <row r="230">
          <cell r="N230" t="str">
            <v>MMR015CMP005</v>
          </cell>
          <cell r="O230" t="str">
            <v>Closed</v>
          </cell>
          <cell r="P230">
            <v>98.054946000000001</v>
          </cell>
          <cell r="Q230">
            <v>24.008452999999999</v>
          </cell>
        </row>
        <row r="231">
          <cell r="N231" t="str">
            <v>MMR015CMP006</v>
          </cell>
          <cell r="O231" t="str">
            <v>Open</v>
          </cell>
          <cell r="P231">
            <v>98.220614999999995</v>
          </cell>
          <cell r="Q231">
            <v>23.400155999999999</v>
          </cell>
        </row>
        <row r="232">
          <cell r="N232" t="str">
            <v>MMR015CMP007</v>
          </cell>
          <cell r="O232" t="str">
            <v>Open</v>
          </cell>
          <cell r="P232">
            <v>97.818979999999996</v>
          </cell>
          <cell r="Q232">
            <v>23.694130000000001</v>
          </cell>
        </row>
        <row r="233">
          <cell r="N233" t="str">
            <v>MMR015CMP009</v>
          </cell>
          <cell r="O233" t="str">
            <v>Open</v>
          </cell>
          <cell r="P233">
            <v>97.124403000000001</v>
          </cell>
          <cell r="Q233">
            <v>23.250678000000001</v>
          </cell>
        </row>
        <row r="234">
          <cell r="N234" t="str">
            <v>MMR015CMP010</v>
          </cell>
          <cell r="O234" t="str">
            <v>Closed</v>
          </cell>
          <cell r="P234">
            <v>98.116817999999995</v>
          </cell>
          <cell r="Q234">
            <v>23.917631</v>
          </cell>
        </row>
        <row r="235">
          <cell r="N235" t="str">
            <v>MMR015CMP011</v>
          </cell>
          <cell r="O235" t="str">
            <v>Closed</v>
          </cell>
          <cell r="P235">
            <v>98.129380999999995</v>
          </cell>
          <cell r="Q235">
            <v>23.978088</v>
          </cell>
        </row>
        <row r="236">
          <cell r="N236" t="str">
            <v>MMR015CMP012</v>
          </cell>
          <cell r="O236" t="str">
            <v>Closed</v>
          </cell>
          <cell r="P236">
            <v>98.320651999999995</v>
          </cell>
          <cell r="Q236">
            <v>24.101320999999999</v>
          </cell>
        </row>
        <row r="237">
          <cell r="N237" t="str">
            <v>MMR015CMP014</v>
          </cell>
          <cell r="O237" t="str">
            <v>Open</v>
          </cell>
          <cell r="P237">
            <v>97.404089999999997</v>
          </cell>
          <cell r="Q237">
            <v>23.094290000000001</v>
          </cell>
        </row>
        <row r="238">
          <cell r="N238" t="str">
            <v>MMR015CMP015</v>
          </cell>
          <cell r="O238" t="str">
            <v>Closed</v>
          </cell>
          <cell r="P238">
            <v>97.848529999999997</v>
          </cell>
          <cell r="Q238">
            <v>23.4008</v>
          </cell>
        </row>
        <row r="239">
          <cell r="N239" t="str">
            <v>MMR015CMP016</v>
          </cell>
          <cell r="O239" t="str">
            <v>Open</v>
          </cell>
          <cell r="P239">
            <v>97.926813999999993</v>
          </cell>
          <cell r="Q239">
            <v>23.450914000000001</v>
          </cell>
        </row>
        <row r="240">
          <cell r="N240" t="str">
            <v>MMR015CMP017</v>
          </cell>
          <cell r="O240" t="str">
            <v>Open</v>
          </cell>
          <cell r="P240">
            <v>97.947360000000003</v>
          </cell>
          <cell r="Q240">
            <v>23.460349999999998</v>
          </cell>
        </row>
        <row r="241">
          <cell r="N241" t="str">
            <v>MMR015CMP018</v>
          </cell>
          <cell r="O241" t="str">
            <v>Open</v>
          </cell>
          <cell r="P241">
            <v>97.793019999999999</v>
          </cell>
          <cell r="Q241">
            <v>23.588920000000002</v>
          </cell>
        </row>
        <row r="242">
          <cell r="N242" t="str">
            <v>MMR015CMP019</v>
          </cell>
          <cell r="O242" t="str">
            <v>Closed</v>
          </cell>
          <cell r="P242">
            <v>98.213958000000005</v>
          </cell>
          <cell r="Q242">
            <v>23.391741</v>
          </cell>
        </row>
        <row r="243">
          <cell r="N243" t="str">
            <v>MMR015CMP020</v>
          </cell>
          <cell r="O243" t="str">
            <v>Open</v>
          </cell>
          <cell r="P243">
            <v>97.837040000000002</v>
          </cell>
          <cell r="Q243">
            <v>23.38503</v>
          </cell>
        </row>
        <row r="244">
          <cell r="N244" t="str">
            <v>MMR015CMP022</v>
          </cell>
          <cell r="O244" t="str">
            <v>Closed</v>
          </cell>
          <cell r="P244">
            <v>98.115809999999996</v>
          </cell>
          <cell r="Q244">
            <v>24.08738</v>
          </cell>
        </row>
        <row r="245">
          <cell r="N245" t="str">
            <v>MMR015CMP024</v>
          </cell>
          <cell r="O245" t="str">
            <v>Closed</v>
          </cell>
          <cell r="P245">
            <v>97.678299999999993</v>
          </cell>
          <cell r="Q245">
            <v>23.82152</v>
          </cell>
        </row>
        <row r="246">
          <cell r="N246" t="str">
            <v>MMR015CMP139</v>
          </cell>
          <cell r="O246" t="str">
            <v>Closed</v>
          </cell>
          <cell r="P246">
            <v>98.139397000000002</v>
          </cell>
          <cell r="Q246">
            <v>23.933098999999999</v>
          </cell>
        </row>
        <row r="247">
          <cell r="N247" t="str">
            <v>MMR015CMP207</v>
          </cell>
          <cell r="O247" t="str">
            <v>Closed</v>
          </cell>
          <cell r="P247">
            <v>98.352670000000003</v>
          </cell>
          <cell r="Q247">
            <v>23.372409999999999</v>
          </cell>
        </row>
        <row r="248">
          <cell r="N248" t="str">
            <v>MMR015CMP209</v>
          </cell>
          <cell r="O248" t="str">
            <v>Open</v>
          </cell>
          <cell r="P248">
            <v>97.116680000000002</v>
          </cell>
          <cell r="Q248">
            <v>23.24661</v>
          </cell>
        </row>
        <row r="249">
          <cell r="N249" t="str">
            <v>MMR015CMP210</v>
          </cell>
          <cell r="O249" t="str">
            <v>Closed</v>
          </cell>
          <cell r="P249">
            <v>97.398989</v>
          </cell>
          <cell r="Q249">
            <v>23.088058</v>
          </cell>
        </row>
        <row r="250">
          <cell r="N250" t="str">
            <v>MMR015CMP211</v>
          </cell>
          <cell r="O250" t="str">
            <v>Closed</v>
          </cell>
        </row>
        <row r="251">
          <cell r="N251" t="str">
            <v>MMR015CMP212</v>
          </cell>
          <cell r="O251" t="str">
            <v>Open</v>
          </cell>
        </row>
        <row r="252">
          <cell r="N252" t="str">
            <v>MMR015CMP213</v>
          </cell>
          <cell r="O252" t="str">
            <v>Closed</v>
          </cell>
          <cell r="P252">
            <v>97.909400000000005</v>
          </cell>
          <cell r="Q252">
            <v>24.006319999999999</v>
          </cell>
        </row>
        <row r="253">
          <cell r="N253" t="str">
            <v>MMR015CMP214</v>
          </cell>
          <cell r="O253" t="str">
            <v>Open</v>
          </cell>
          <cell r="P253">
            <v>97.700940000000003</v>
          </cell>
          <cell r="Q253">
            <v>23.841646999999998</v>
          </cell>
        </row>
        <row r="254">
          <cell r="N254" t="str">
            <v>MMR015CMP215</v>
          </cell>
          <cell r="O254" t="str">
            <v>Open</v>
          </cell>
          <cell r="P254">
            <v>97.709879999999998</v>
          </cell>
          <cell r="Q254">
            <v>23.838190000000001</v>
          </cell>
        </row>
        <row r="255">
          <cell r="N255" t="str">
            <v>MMR015CMP216</v>
          </cell>
          <cell r="O255" t="str">
            <v>Open</v>
          </cell>
          <cell r="P255">
            <v>97.911647000000002</v>
          </cell>
          <cell r="Q255">
            <v>24.006789000000001</v>
          </cell>
        </row>
        <row r="256">
          <cell r="N256" t="str">
            <v>MMR015CMP217</v>
          </cell>
          <cell r="O256" t="str">
            <v>Open</v>
          </cell>
          <cell r="P256">
            <v>98.248999999999995</v>
          </cell>
          <cell r="Q256">
            <v>23.463000000000001</v>
          </cell>
        </row>
        <row r="257">
          <cell r="N257" t="str">
            <v>MMR015CMP218</v>
          </cell>
          <cell r="O257" t="str">
            <v>Open</v>
          </cell>
          <cell r="P257">
            <v>98.218626999999998</v>
          </cell>
          <cell r="Q257">
            <v>23.354268999999999</v>
          </cell>
        </row>
        <row r="258">
          <cell r="N258" t="str">
            <v>MMR015CMP219</v>
          </cell>
          <cell r="O258" t="str">
            <v>Open</v>
          </cell>
          <cell r="P258">
            <v>97.868876999999998</v>
          </cell>
          <cell r="Q258">
            <v>23.447111</v>
          </cell>
        </row>
        <row r="259">
          <cell r="N259" t="str">
            <v>MMR015CMP220</v>
          </cell>
          <cell r="O259" t="str">
            <v>Open</v>
          </cell>
          <cell r="P259">
            <v>97.796999999999997</v>
          </cell>
          <cell r="Q259">
            <v>23.591999999999999</v>
          </cell>
        </row>
        <row r="260">
          <cell r="N260" t="str">
            <v>MMR015CMP221</v>
          </cell>
          <cell r="O260" t="str">
            <v>Open</v>
          </cell>
          <cell r="P260">
            <v>97.358999999999995</v>
          </cell>
          <cell r="Q260">
            <v>22.765999999999998</v>
          </cell>
        </row>
        <row r="261">
          <cell r="N261" t="str">
            <v>MMR015CMP222</v>
          </cell>
          <cell r="O261" t="str">
            <v>Closed</v>
          </cell>
        </row>
        <row r="262">
          <cell r="N262" t="str">
            <v>MMR015CMP223</v>
          </cell>
          <cell r="O262" t="str">
            <v>Closed</v>
          </cell>
          <cell r="P262">
            <v>97.504999999999995</v>
          </cell>
          <cell r="Q262">
            <v>23.611999999999998</v>
          </cell>
        </row>
        <row r="263">
          <cell r="N263" t="str">
            <v>MMR015CMP224</v>
          </cell>
          <cell r="O263" t="str">
            <v>Open</v>
          </cell>
          <cell r="P263">
            <v>97.506</v>
          </cell>
          <cell r="Q263">
            <v>23.611999999999998</v>
          </cell>
        </row>
        <row r="264">
          <cell r="N264" t="str">
            <v>MMR015CMP225</v>
          </cell>
          <cell r="O264" t="str">
            <v>Open</v>
          </cell>
          <cell r="P264">
            <v>97.810101000000003</v>
          </cell>
          <cell r="Q264">
            <v>23.682887999999998</v>
          </cell>
        </row>
        <row r="265">
          <cell r="N265" t="str">
            <v>MMR015CMP226</v>
          </cell>
          <cell r="O265" t="str">
            <v>Closed</v>
          </cell>
          <cell r="P265">
            <v>98.221000000000004</v>
          </cell>
          <cell r="Q265">
            <v>23.353999999999999</v>
          </cell>
        </row>
        <row r="266">
          <cell r="N266" t="str">
            <v>MMR015CMP227</v>
          </cell>
          <cell r="O266" t="str">
            <v>Open</v>
          </cell>
          <cell r="P266">
            <v>98.337999999999994</v>
          </cell>
          <cell r="Q266">
            <v>23.850999999999999</v>
          </cell>
        </row>
        <row r="267">
          <cell r="N267" t="str">
            <v>MMR015CMP228</v>
          </cell>
          <cell r="O267" t="str">
            <v>Closed</v>
          </cell>
          <cell r="P267">
            <v>97.400671000000003</v>
          </cell>
          <cell r="Q267">
            <v>23.099304</v>
          </cell>
        </row>
        <row r="268">
          <cell r="N268" t="str">
            <v>MMR015CMP229</v>
          </cell>
          <cell r="O268" t="str">
            <v>Closed</v>
          </cell>
        </row>
        <row r="269">
          <cell r="N269" t="str">
            <v>MMR001CMP023</v>
          </cell>
          <cell r="O269" t="str">
            <v>Open</v>
          </cell>
          <cell r="P269">
            <v>97.379987</v>
          </cell>
          <cell r="Q269">
            <v>25.423209</v>
          </cell>
        </row>
        <row r="270">
          <cell r="N270" t="str">
            <v>MMR001CMP257</v>
          </cell>
          <cell r="O270" t="str">
            <v>Closed</v>
          </cell>
        </row>
        <row r="271">
          <cell r="N271" t="str">
            <v>MMR001CMP258</v>
          </cell>
          <cell r="O271" t="str">
            <v>Open</v>
          </cell>
          <cell r="P271">
            <v>97.898184999999998</v>
          </cell>
          <cell r="Q271">
            <v>25.391428000000001</v>
          </cell>
        </row>
        <row r="272">
          <cell r="N272" t="str">
            <v>MMR001CMP259</v>
          </cell>
          <cell r="O272" t="str">
            <v>Open</v>
          </cell>
          <cell r="P272">
            <v>97.010629910000006</v>
          </cell>
          <cell r="Q272">
            <v>25.370330525559201</v>
          </cell>
        </row>
        <row r="273">
          <cell r="N273" t="str">
            <v>MMR001CMP260</v>
          </cell>
          <cell r="O273" t="str">
            <v>Open</v>
          </cell>
          <cell r="P273">
            <v>97.013800000000003</v>
          </cell>
          <cell r="Q273">
            <v>25.383465999999999</v>
          </cell>
        </row>
        <row r="274">
          <cell r="N274" t="str">
            <v>MMR015CMP230</v>
          </cell>
          <cell r="O274" t="str">
            <v>Closed</v>
          </cell>
        </row>
        <row r="275">
          <cell r="N275" t="str">
            <v>MMR015CMP231</v>
          </cell>
          <cell r="O275" t="str">
            <v>Closed</v>
          </cell>
        </row>
        <row r="276">
          <cell r="N276" t="str">
            <v>MMR015CMP232</v>
          </cell>
          <cell r="O276" t="str">
            <v>Open</v>
          </cell>
        </row>
        <row r="277">
          <cell r="N277" t="str">
            <v>MMR001CMP261</v>
          </cell>
          <cell r="O277" t="str">
            <v>Open</v>
          </cell>
          <cell r="P277">
            <v>97.104997409999996</v>
          </cell>
          <cell r="Q277">
            <v>25.379014999999999</v>
          </cell>
        </row>
        <row r="278">
          <cell r="N278" t="str">
            <v>MMR001CMP262</v>
          </cell>
          <cell r="O278" t="str">
            <v>Open</v>
          </cell>
        </row>
        <row r="279">
          <cell r="N279" t="str">
            <v>MMR015CMP233</v>
          </cell>
          <cell r="O279" t="str">
            <v>Closed</v>
          </cell>
        </row>
        <row r="280">
          <cell r="N280" t="str">
            <v>MMR001CMP004</v>
          </cell>
          <cell r="O280" t="str">
            <v>Open</v>
          </cell>
          <cell r="P280">
            <v>97.389778000000007</v>
          </cell>
          <cell r="Q280">
            <v>25.417733999999999</v>
          </cell>
        </row>
        <row r="281">
          <cell r="N281" t="str">
            <v>MMR015CMP234</v>
          </cell>
          <cell r="O281" t="str">
            <v>Closed</v>
          </cell>
        </row>
        <row r="282">
          <cell r="N282" t="str">
            <v>MMR015CMP235</v>
          </cell>
          <cell r="O282" t="str">
            <v>Closed</v>
          </cell>
        </row>
        <row r="283">
          <cell r="N283" t="str">
            <v>MMR015CMP236</v>
          </cell>
          <cell r="O283" t="str">
            <v>Closed</v>
          </cell>
        </row>
        <row r="284">
          <cell r="N284" t="str">
            <v>MMR015CMP237</v>
          </cell>
          <cell r="O284" t="str">
            <v>Closed</v>
          </cell>
        </row>
        <row r="285">
          <cell r="N285" t="str">
            <v>MMR001CMP264</v>
          </cell>
          <cell r="O285" t="str">
            <v>Closed</v>
          </cell>
          <cell r="P285">
            <v>97.49136</v>
          </cell>
          <cell r="Q285">
            <v>25.717300000000002</v>
          </cell>
        </row>
        <row r="286">
          <cell r="N286" t="str">
            <v>MMR015CMP238</v>
          </cell>
          <cell r="O286" t="str">
            <v>Closed</v>
          </cell>
        </row>
        <row r="287">
          <cell r="N287" t="str">
            <v>MMR015CMP239</v>
          </cell>
          <cell r="O287" t="str">
            <v>Closed</v>
          </cell>
        </row>
        <row r="288">
          <cell r="N288" t="str">
            <v>MMR015CMP240</v>
          </cell>
          <cell r="O288" t="str">
            <v>Closed</v>
          </cell>
        </row>
        <row r="289">
          <cell r="N289" t="str">
            <v>MMR015CMP241</v>
          </cell>
          <cell r="O289" t="str">
            <v>Closed</v>
          </cell>
        </row>
        <row r="290">
          <cell r="N290" t="str">
            <v>MMR015CMP242</v>
          </cell>
          <cell r="O290" t="str">
            <v>Closed</v>
          </cell>
        </row>
        <row r="291">
          <cell r="N291" t="str">
            <v>MMR015CMP243</v>
          </cell>
          <cell r="O291" t="str">
            <v>Closed</v>
          </cell>
        </row>
        <row r="292">
          <cell r="N292" t="str">
            <v>MMR015CMP244</v>
          </cell>
          <cell r="O292" t="str">
            <v>Open</v>
          </cell>
          <cell r="P292">
            <v>97.314762999999999</v>
          </cell>
          <cell r="Q292">
            <v>22.677008000000001</v>
          </cell>
        </row>
        <row r="293">
          <cell r="N293" t="str">
            <v>MMR015CMP245</v>
          </cell>
          <cell r="O293" t="str">
            <v>Open</v>
          </cell>
          <cell r="P293">
            <v>97.947360000000003</v>
          </cell>
          <cell r="Q293">
            <v>23.460349999999998</v>
          </cell>
        </row>
        <row r="294">
          <cell r="N294" t="str">
            <v>MMR015CMP246</v>
          </cell>
          <cell r="O294" t="str">
            <v>Open</v>
          </cell>
        </row>
        <row r="295">
          <cell r="N295" t="str">
            <v>MMR015CMP247</v>
          </cell>
          <cell r="O295" t="str">
            <v>Open</v>
          </cell>
          <cell r="P295">
            <v>98.115809999999996</v>
          </cell>
          <cell r="Q295">
            <v>24.08738</v>
          </cell>
        </row>
        <row r="296">
          <cell r="N296" t="str">
            <v>MMR015CMP248</v>
          </cell>
          <cell r="O296" t="str">
            <v>Open</v>
          </cell>
          <cell r="P296">
            <v>97.400671000000003</v>
          </cell>
          <cell r="Q296">
            <v>23.099304</v>
          </cell>
        </row>
        <row r="297">
          <cell r="N297" t="str">
            <v>MMR001CMP003</v>
          </cell>
          <cell r="O297" t="str">
            <v>Open</v>
          </cell>
          <cell r="P297">
            <v>97.377662999999998</v>
          </cell>
          <cell r="Q297">
            <v>25.404752999999999</v>
          </cell>
        </row>
        <row r="298">
          <cell r="N298" t="str">
            <v>MMR001CMP005</v>
          </cell>
          <cell r="O298" t="str">
            <v>Open</v>
          </cell>
          <cell r="P298">
            <v>97.387276</v>
          </cell>
          <cell r="Q298">
            <v>25.437125999999999</v>
          </cell>
        </row>
        <row r="299">
          <cell r="N299" t="str">
            <v>MMR001CMP268</v>
          </cell>
          <cell r="O299" t="str">
            <v>Open</v>
          </cell>
        </row>
        <row r="300">
          <cell r="N300" t="str">
            <v>MMR001CMP269</v>
          </cell>
          <cell r="O300" t="str">
            <v>Open</v>
          </cell>
        </row>
        <row r="301">
          <cell r="N301" t="str">
            <v>MMR001CMP270</v>
          </cell>
          <cell r="O301" t="str">
            <v>Open</v>
          </cell>
        </row>
        <row r="302">
          <cell r="N302" t="str">
            <v>MMR001CMP267</v>
          </cell>
          <cell r="O302" t="str">
            <v>Open</v>
          </cell>
        </row>
        <row r="303">
          <cell r="N303" t="str">
            <v>MMR001CMP277</v>
          </cell>
          <cell r="O303" t="str">
            <v>Relocated</v>
          </cell>
          <cell r="P303">
            <v>97.437782499999997</v>
          </cell>
          <cell r="Q303">
            <v>25.415667500000001</v>
          </cell>
        </row>
        <row r="304">
          <cell r="N304" t="str">
            <v>MMR015CMP249</v>
          </cell>
          <cell r="O304" t="str">
            <v>Open</v>
          </cell>
        </row>
        <row r="305">
          <cell r="N305" t="str">
            <v>MMR001CMP272</v>
          </cell>
          <cell r="O305" t="str">
            <v>Open</v>
          </cell>
          <cell r="P305">
            <v>97.487258999999995</v>
          </cell>
          <cell r="Q305">
            <v>26.299828999999999</v>
          </cell>
        </row>
        <row r="306">
          <cell r="N306" t="str">
            <v>MMR015CMP250</v>
          </cell>
          <cell r="O306" t="str">
            <v>Open</v>
          </cell>
        </row>
        <row r="307">
          <cell r="N307" t="str">
            <v>MMR001CMP273</v>
          </cell>
          <cell r="O307" t="str">
            <v>Open</v>
          </cell>
        </row>
        <row r="308">
          <cell r="N308" t="str">
            <v>MMR001CMP126</v>
          </cell>
          <cell r="O308" t="str">
            <v>Open</v>
          </cell>
          <cell r="P308">
            <v>97.752667000000002</v>
          </cell>
          <cell r="Q308">
            <v>24.2744</v>
          </cell>
        </row>
        <row r="309">
          <cell r="N309" t="str">
            <v>MMR001CMP073</v>
          </cell>
          <cell r="O309" t="str">
            <v>Open</v>
          </cell>
          <cell r="P309">
            <v>97.710864000000001</v>
          </cell>
          <cell r="Q309">
            <v>24.207332999999998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Analysis"/>
      <sheetName val="Other_States_funding_matrix"/>
      <sheetName val="Funding Tracking"/>
      <sheetName val="draft"/>
      <sheetName val="Timelinebysite"/>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F3" t="str">
            <v>HRP Fund</v>
          </cell>
          <cell r="G3" t="str">
            <v>Covid fund</v>
          </cell>
          <cell r="I3" t="str">
            <v>Gap</v>
          </cell>
        </row>
        <row r="5">
          <cell r="B5" t="str">
            <v>Kachin/Shan</v>
          </cell>
          <cell r="F5">
            <v>4903238.4312157091</v>
          </cell>
          <cell r="G5">
            <v>80709.268571428576</v>
          </cell>
          <cell r="I5">
            <v>6587333.8725025654</v>
          </cell>
        </row>
      </sheetData>
      <sheetData sheetId="13" refreshError="1"/>
      <sheetData sheetId="14" refreshError="1"/>
      <sheetData sheetId="15" refreshError="1"/>
      <sheetData sheetId="16" refreshError="1"/>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130.658335069442" backgroundQuery="1" createdVersion="6" refreshedVersion="6" minRefreshableVersion="3" recordCount="0" supportSubquery="1" supportAdvancedDrill="1" xr:uid="{2424A037-BCF7-4B15-A4AE-1757238DB756}">
  <cacheSource type="external" connectionId="1"/>
  <cacheFields count="5">
    <cacheField name="[WWWW].[State].[State]" caption="State" numFmtId="0" hierarchy="4" level="1">
      <sharedItems count="1">
        <s v="Kachin"/>
      </sharedItems>
    </cacheField>
    <cacheField name="[WWWW].[Covered].[Covered]" caption="Covered" numFmtId="0" hierarchy="13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42"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s>
  <cacheHierarchies count="14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20"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 caption="#_Constructed/Existing hand washing stations at TLS" attribute="1" defaultMemberUniqueName="[WWWW].[#_Constructed/Existing hand washing stations at TLS].[All]" allUniqueName="[WWWW].[#_Constructed/Existing hand washing stations at TLS].[All]" dimensionUniqueName="[WWWW]" displayFolder="" count="0" memberValueDatatype="20" unbalanced="0"/>
    <cacheHierarchy uniqueName="[WWWW].[#_of water points in TLS/CFS /THF]" caption="#_of water points in TLS/CFS /THF" attribute="1" defaultMemberUniqueName="[WWWW].[#_of water points in TLS/CFS /THF].[All]" allUniqueName="[WWWW].[#_of water points in TLS/CFS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5"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130.658338773152" backgroundQuery="1" createdVersion="6" refreshedVersion="6"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3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42" level="32767"/>
  </cacheFields>
  <cacheHierarchies count="14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20"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 caption="#_Constructed/Existing hand washing stations at TLS" attribute="1" defaultMemberUniqueName="[WWWW].[#_Constructed/Existing hand washing stations at TLS].[All]" allUniqueName="[WWWW].[#_Constructed/Existing hand washing stations at TLS].[All]" dimensionUniqueName="[WWWW]" displayFolder="" count="0" memberValueDatatype="20" unbalanced="0"/>
    <cacheHierarchy uniqueName="[WWWW].[#_of water points in TLS/CFS /THF]" caption="#_of water points in TLS/CFS /THF" attribute="1" defaultMemberUniqueName="[WWWW].[#_of water points in TLS/CFS /THF].[All]" allUniqueName="[WWWW].[#_of water points in TLS/CFS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5]" caption="# People access to functioning latrines in THF_HRP5" attribute="1" defaultMemberUniqueName="[WWWW].[# People access to functioning latrines in THF_HRP5].[All]" allUniqueName="[WWWW].[# People access to functioning latrines in THF_HRP5].[All]" dimensionUniqueName="[WWWW]" displayFolder="" count="0" memberValueDatatype="20" unbalanced="0"/>
    <cacheHierarchy uniqueName="[WWWW].[# People access to functioning latrines in TLS/CFS/THF_HRP5]" caption="# People access to functioning latrines in TLS/CFS/THF_HRP5" attribute="1" defaultMemberUniqueName="[WWWW].[# People access to functioning latrines in TLS/CFS/THF_HRP5].[All]" allUniqueName="[WWWW].[# People access to functioning latrines in TLS/CFS/THF_HRP5].[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5"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130.658341550923" createdVersion="6" refreshedVersion="6" minRefreshableVersion="3" recordCount="596" xr:uid="{00000000-000A-0000-FFFF-FFFF00000000}">
  <cacheSource type="worksheet">
    <worksheetSource name="WWWW"/>
  </cacheSource>
  <cacheFields count="147">
    <cacheField name="Reporting Period" numFmtId="167">
      <sharedItems containsBlank="1" count="17">
        <s v="2020_Q1"/>
        <s v="2020_Q2"/>
        <s v="2020_Q3"/>
        <m u="1"/>
        <s v="2018-Q1" u="1"/>
        <s v="2018  Q1" u="1"/>
        <s v="2019_Q1" u="1"/>
        <s v="2019_Q2" u="1"/>
        <s v="2018_Q1" u="1"/>
        <s v="2019_Q3" u="1"/>
        <s v="2018_Q2" u="1"/>
        <s v="2019_Q4" u="1"/>
        <s v="2018_Q3" u="1"/>
        <s v="2018_Q4" u="1"/>
        <s v="2017_Q3" u="1"/>
        <s v="2017_Q4" u="1"/>
        <s v="2018 -Q1" u="1"/>
      </sharedItems>
    </cacheField>
    <cacheField name="WASH project agency" numFmtId="0">
      <sharedItems containsBlank="1" count="53">
        <s v="KBC"/>
        <s v="KMSS"/>
        <s v="Metta"/>
        <s v="Metta, KMSS"/>
        <s v="None"/>
        <s v="Shalom"/>
        <s v="SI"/>
        <s v="WPN"/>
        <s v="KBC,HPA"/>
        <s v="Metta,KBC"/>
        <s v="KMSS, KBC"/>
        <s v="SI,KBC"/>
        <s v="WPN,HPA"/>
        <s v="WCM"/>
        <m u="1"/>
        <s v="OXSI(Oxfam), MA_UK" u="1"/>
        <s v="MRCS" u="1"/>
        <s v="MRCS,Others/ WVI" u="1"/>
        <s v="MRCS,Others,UNICEF/ACF" u="1"/>
        <s v="PIN" u="1"/>
        <s v="SCI" u="1"/>
        <s v="MRCS,others" u="1"/>
        <s v="MA_UK" u="1"/>
        <s v="OXSI (Oxfam),ACF" u="1"/>
        <s v="Others/ WVI" u="1"/>
        <s v="KBC, KMSS" u="1"/>
        <s v="Others,MRCS" u="1"/>
        <s v="Others" u="1"/>
        <s v="MRCS, PLAN, RI,Others" u="1"/>
        <s v="KMSS,Metta" u="1"/>
        <s v="UNICEF" u="1"/>
        <s v="ACF" u="1"/>
        <s v="DRC" u="1"/>
        <s v="UNICEF,Others" u="1"/>
        <s v="MRCS, PLAN, RI" u="1"/>
        <s v="MRCS, Others" u="1"/>
        <s v="CDA" u="1"/>
        <s v="GIZ" u="1"/>
        <s v="WVI" u="1"/>
        <s v="OXSI (Oxfam)" u="1"/>
        <s v="RI" u="1"/>
        <s v="MRCS,Others,UNICEF" u="1"/>
        <s v="CARE" u="1"/>
        <s v="KMSS, Metta" u="1"/>
        <s v="CARE,Others" u="1"/>
        <s v="OXSI (SI)" u="1"/>
        <s v="SCI,Metta" u="1"/>
        <s v="MRCS,UNICEF" u="1"/>
        <s v="OXSI (SI), ACF" u="1"/>
        <s v="Malteser" u="1"/>
        <s v="SCI, Metta" u="1"/>
        <s v="CDN" u="1"/>
        <s v="HPA" u="1"/>
      </sharedItems>
    </cacheField>
    <cacheField name="WASH implementing agency" numFmtId="0">
      <sharedItems containsBlank="1" count="52">
        <s v="KBC"/>
        <s v="KMSS"/>
        <s v="Metta"/>
        <s v="Metta, KMSS"/>
        <s v="None"/>
        <s v="Shalom"/>
        <s v="SI"/>
        <s v="WPN"/>
        <s v="KBC,HPA"/>
        <s v="Metta,KBC"/>
        <s v="KMSS, KBC"/>
        <s v="SI,KBC"/>
        <s v="WPN,HPA"/>
        <s v="WCM"/>
        <m u="1"/>
        <s v="OXSI(Oxfam), MA_UK" u="1"/>
        <s v="MRCS" u="1"/>
        <s v="MRCS,Others/ WVI" u="1"/>
        <s v="SCI" u="1"/>
        <s v="MRCS,others" u="1"/>
        <s v="MA_UK" u="1"/>
        <s v="Others/ WVI" u="1"/>
        <s v="KBC, KMSS" u="1"/>
        <s v="MHDO" u="1"/>
        <s v="Others,MRCS" u="1"/>
        <s v="Others" u="1"/>
        <s v="MRCS, PLAN, RI,Others" u="1"/>
        <s v="KMSS,Metta" u="1"/>
        <s v="UNICEF" u="1"/>
        <s v="ACF" u="1"/>
        <s v="DRC" u="1"/>
        <s v="MRCS, ACF" u="1"/>
        <s v="UNICEF/ UNHCR/UNFPA" u="1"/>
        <s v="UNICEF,Others" u="1"/>
        <s v="WFP" u="1"/>
        <s v="MRCS, PLAN, RI" u="1"/>
        <s v="MRCS, Others" u="1"/>
        <s v="MRCS,Others,ACF" u="1"/>
        <s v="CDA" u="1"/>
        <s v="GIZ" u="1"/>
        <s v="OXSI (Oxfam)" u="1"/>
        <s v="RI" u="1"/>
        <s v="CARE" u="1"/>
        <s v="KMSS, Metta" u="1"/>
        <s v="CARE,Others" u="1"/>
        <s v="OXSI (SI)" u="1"/>
        <s v="SCI,Metta" u="1"/>
        <s v="Malteser" u="1"/>
        <s v="SCI, Metta" u="1"/>
        <s v="CDN" u="1"/>
        <s v="HPA" u="1"/>
        <s v="MRCS,ACF" u="1"/>
      </sharedItems>
    </cacheField>
    <cacheField name="Primary Donor covering WASH activities at site " numFmtId="0">
      <sharedItems containsBlank="1"/>
    </cacheField>
    <cacheField name="State" numFmtId="0">
      <sharedItems containsBlank="1" count="6">
        <s v="Kachin"/>
        <s v="Shan (North)"/>
        <m u="1"/>
        <s v="Central Rakhine" u="1"/>
        <s v="Rakhine" u="1"/>
        <s v="Northern Rakhine" u="1"/>
      </sharedItems>
    </cacheField>
    <cacheField name="Township" numFmtId="0">
      <sharedItems containsBlank="1" count="45">
        <s v="Myitkyina"/>
        <s v="Shwegu"/>
        <s v="Waingmaw"/>
        <s v="Hpakant"/>
        <s v="Chipwi"/>
        <s v="Mohnyin"/>
        <s v="Mogaung"/>
        <s v="Momauk"/>
        <s v="Puta-O"/>
        <s v="Mansi"/>
        <s v="Bhamo"/>
        <s v="Sumprabum"/>
        <s v="Lashio"/>
        <s v="Kutkai"/>
        <s v="Muse"/>
        <s v="Namtu"/>
        <s v="Manton"/>
        <s v="Nawnghkio"/>
        <s v="Namhkan"/>
        <s v="Hseni"/>
        <s v="Hsipaw"/>
        <s v="Tanai"/>
        <m u="1"/>
        <s v="Mohyin" u="1"/>
        <s v="Kyauktaw" u="1"/>
        <s v="kyaukme" u="1"/>
        <s v="Injangyang" u="1"/>
        <s v="Pangsang" u="1"/>
        <s v="Namhsan" u="1"/>
        <s v="Minbya" u="1"/>
        <s v="Ann" u="1"/>
        <s v="Pauktaw" u="1"/>
        <s v="Namatee" u="1"/>
        <s v="Laukkaing (Kokang SAZ)" u="1"/>
        <s v="Myebon" u="1"/>
        <s v="Buthidaung " u="1"/>
        <s v="Maungdaw" u="1"/>
        <s v="Ponnagyun" u="1"/>
        <s v="Kyaukpyu" u="1"/>
        <s v="Sittwe" u="1"/>
        <s v="Rathedaung" u="1"/>
        <s v="Mai Ja Yang " u="1"/>
        <s v="Mrauk-U" u="1"/>
        <s v="Buthidaung" u="1"/>
        <s v="Ramree" u="1"/>
      </sharedItems>
    </cacheField>
    <cacheField name="Location Type" numFmtId="0">
      <sharedItems count="11">
        <s v="Camp_not registered"/>
        <s v="Camp"/>
        <s v="Town_New_Displaced" u="1"/>
        <s v="Town" u="1"/>
        <e v="#N/A" u="1"/>
        <s v="New Temporary Site" u="1"/>
        <s v="Village_New_Displaced" u="1"/>
        <s v="New Site" u="1"/>
        <s v="Camp not registered" u="1"/>
        <s v="Village" u="1"/>
        <s v="Village_Not HRP" u="1"/>
      </sharedItems>
    </cacheField>
    <cacheField name="Site Name" numFmtId="0">
      <sharedItems containsBlank="1" count="1015">
        <s v="Ban Dang"/>
        <s v="Da Wei"/>
        <s v="Du Kahtawng Baptist"/>
        <s v="Hkau Shau (BP 12)"/>
        <s v="Hlaing Naung Baptist"/>
        <s v="Hpare Hkyer - BP6"/>
        <s v="Htai Ra Yang"/>
        <s v="Jan Mai Kawng Baptist Church"/>
        <s v="Jaw Masat Camp"/>
        <s v="Kyun Taw Baptist Church "/>
        <s v="Laiza Je Yang School"/>
        <s v="Lawt Awng"/>
        <s v="Le Kone Bethlehem Church"/>
        <s v="Le Kone Ziun Baptist Church "/>
        <s v="Lung Sut"/>
        <s v="Ma Hawng Baptist Church"/>
        <s v="Mading Baptist Church"/>
        <s v="Maina KBC (Bawng Ring)"/>
        <s v="Maina Lawang Baptist Church"/>
        <s v="Maing Khaung"/>
        <s v="Maliyang Baptist Church"/>
        <s v="Man Hkring Baptist Church"/>
        <s v="Momauk IDP new extension camp (Kye Nan)"/>
        <s v="Namatee AG"/>
        <s v="Namti Labraw Yang KBC Camp"/>
        <s v="Nat Gyi Kone Baptist Church "/>
        <s v="Nawng Ing (Indawgyi) Baptist Church "/>
        <s v="Ndup Yang"/>
        <s v="Njang Dung Baptist Church "/>
        <s v="Pajau - Jan Mai"/>
        <s v="Pang Hkawn Yang"/>
        <s v="Qtr. 2 Myoma Baptist Church"/>
        <s v="Salang Yang"/>
        <s v="Sar Hmaw - KBC"/>
        <s v="Sha-It Yang"/>
        <s v="Shar Du Zut KBC church "/>
        <s v="Shar Du Zut SanPya"/>
        <s v="Shatapru Sut Ngai Tawng"/>
        <s v="Shing Jai"/>
        <s v="Shwe Zet Baptist Church"/>
        <s v="Sut Chyai"/>
        <s v="Tat Kone Baptist Church"/>
        <s v="Tat Kone Galile Baptist Church"/>
        <s v="Tat Kone San Pya Baptist Church"/>
        <s v="Ti Yang Zup"/>
        <s v="Trinity Camp"/>
        <s v="Waimaw Baptist Zonal Office 2"/>
        <s v="Zupra"/>
        <s v="Border Post 8"/>
        <s v="Dum Bung "/>
        <s v="Jan Mai Kawng Catholic Church"/>
        <s v="Je Yang Hka "/>
        <s v="Ka Bu Dam CoC"/>
        <s v="Karmaing RC Church"/>
        <s v="Lan Gwa St.Paul RC Church"/>
        <s v="Lawa RC Church"/>
        <s v="Lone Khin Catholic Church"/>
        <s v="Maina Catholic Church (St. Joseph)"/>
        <s v="Maing Khaung Catholic Church"/>
        <s v="Myo Oo St. Dominic RC Church"/>
        <s v="Nan Kway St. John Catholic Church"/>
        <s v="Nant Ma Hpit Catholic Church"/>
        <s v="Pa Dauk Myaing(Pa La Na)"/>
        <s v="Pa Dauk Myaing(Pa La Na)-II"/>
        <s v="Pan Wa"/>
        <s v="Post 6 Camp"/>
        <s v="Saw Zam"/>
        <s v="Sin Bo"/>
        <s v="St. Patrick Catholic Church "/>
        <s v="Agritural Compound (KBC)"/>
        <s v="Aung Thar Church"/>
        <s v="Enai (Man Pyein)"/>
        <s v="Galeng (Palaung) &amp; Kone Khem"/>
        <s v="Hpai Kawng"/>
        <s v="Hpun Lum Yang "/>
        <s v="Htoi San Church"/>
        <s v="Hu Hku &amp; Ho Hko"/>
        <s v="IDP Boarding School, A Len Bum"/>
        <s v="Kachin Su Baptist Church (ECCD)"/>
        <s v="Khar Nan (1) Baptist Church"/>
        <s v="Kutkai downtown (KBC Church)"/>
        <s v="Kutkai downtown (KBC Church-2)"/>
        <s v="Kutkai downtown (RC Church)"/>
        <s v="Kyu Sot"/>
        <s v="Lisu Boarding-House"/>
        <s v="Lisu Church Namtu"/>
        <s v="Mai Yu Lay New (Ta'ang)"/>
        <s v="Man Bung Catholic compound"/>
        <s v="Man Loi"/>
        <s v="Man Wing Baptist Church"/>
        <s v="Man Wing Baptist Church Cultural Compound"/>
        <s v="Man Wing Catholic Church"/>
        <s v="Man Wing Catholic Church II"/>
        <s v="Man Wing Host Families"/>
        <s v="Mandalay Monestry"/>
        <s v="Mandung - Jinghpaw"/>
        <s v="Mansi Baptist Church"/>
        <s v="Mee Pho Kone"/>
        <s v="Mine Yu Lay village ( Old)"/>
        <s v="Momauk Baptist Church"/>
        <s v="Mong Wee Shan"/>
        <s v="Mung Hawm "/>
        <s v="Mungji Pa Dabang (Baptist Church)"/>
        <s v="Mungji Pa Dabang (Catholic Church)"/>
        <s v="Muse Catholic Church"/>
        <s v="Mu-yin Baptist Church"/>
        <s v="Nam Hkam (KBC Jaw Wang)"/>
        <s v="Nam Hkam (KBC Jaw Wang) II"/>
        <s v="Nam Hpak Ka Mare "/>
        <s v="Nam Hpak Ka Ta'ang ( Aung Tha Pyay)"/>
        <s v="Nam Sa Larp"/>
        <s v="Nam Tu Baptist"/>
        <s v="Namhkan - Pang Long KBC"/>
        <s v="Nant Hlaing Church"/>
        <s v="New Pang Ku "/>
        <s v="Pan Law"/>
        <s v="Pan Ta Pyae"/>
        <s v="Shwe Gu Baptist Church"/>
        <s v="Shwe Gu Catholic Church"/>
        <s v="Tsan Lun - Namjarap"/>
        <s v="Woi Chyai "/>
        <s v="Woi Chyai (Mong Lai)"/>
        <s v="Woi Chyai host families"/>
        <s v="Yoe Kyi Monastery"/>
        <s v="Zup Aung Camp"/>
        <s v="Mandung - RC"/>
        <s v="Nam Hkam - Nay Win Ni (Palawng)"/>
        <s v="Nam Hkam Catholic Church ( St. Thomas I)"/>
        <s v="Bhamo_Host Families"/>
        <s v="Emmanuel AG Church"/>
        <s v="Hka Garan Yang "/>
        <s v="Hka Shi"/>
        <s v="Hopin Host Families"/>
        <s v="Hpa Ji Shalat Boarding School ( Daw Hpum Yang)"/>
        <s v="Inn Lel Yan - Host Families"/>
        <s v="Khun Sint Village"/>
        <s v="Lwe Mauk Yang Boarding School"/>
        <s v="Maga Yang "/>
        <s v="Man Kaung/Naung Ti Kyar Village"/>
        <s v="Mansi_Host Families"/>
        <s v="Maw Wan, Mu-yin Baptist Church"/>
        <s v="Moenyin Host Families"/>
        <s v="Momauk_Host Families"/>
        <s v="Muyin church (Aung Yar pre-school compound)"/>
        <s v="Myo Thit "/>
        <s v="Sadung"/>
        <s v="Sector 5 Pammati Quarter"/>
        <s v="Shar Du Zut RC church"/>
        <s v="St. Joseph Tanai RC camp "/>
        <s v="Sumprabum"/>
        <s v="Tanai CoC"/>
        <s v="Tanai KBC Camp"/>
        <s v="Tote Tan Ward"/>
        <s v="5 Ward RC Church(lon Khin)"/>
        <s v="AG Church, Hmaw Si Sa"/>
        <s v="AG Church, Maw Wan"/>
        <s v="Baptist Church, Hmaw Si Sar(Lon Khin)"/>
        <s v="Chin Church, Seik Mu"/>
        <s v="Chipwi KBC camp"/>
        <s v="Dhama Rakhita, Nyein Chan Tar Yar Ward(Lon Khin)"/>
        <s v="Hkat Cho "/>
        <s v="Hmaw Wan, Anglican"/>
        <s v="Hpakant Baptist Church, Nam Ma Hpit"/>
        <s v="Lawng Hkang Shait Yang Camp​ ( Lel Pyin)​ "/>
        <s v="Lhaovao Baptist Church (LBC)"/>
        <s v="Lisu Baptist Church, Maw Shan Vil,. Seik Mu"/>
        <s v="Lisu Baptist Church, Maw Wan Ward"/>
        <s v="Maina AG Church"/>
        <s v="Maw Hpawng Hka Nan Baptist Church"/>
        <s v="Maw Hpawng Lhaovo Baptist Church"/>
        <s v="Nam Ma Phyit, COC"/>
        <s v="Nawng Hee Village"/>
        <s v="Qtr. 2 Lhaovo Baptist Church"/>
        <s v="Qtr. 3 Mu-yin  Baptist Church"/>
        <s v="Rawan Baptist Church, Maw Shan Vil., Seik Mu"/>
        <s v="Shatapru Thida Aye Baptist Church"/>
        <s v="Tat Kone COC Baptist - Tat Kone Htoi San"/>
        <s v="Tat Kone Emanuel Church"/>
        <s v="Thargaya Lisu Baptist Church"/>
        <s v="Waingmaw AG Church"/>
        <s v="Ward 2 Sai Taung Baptist Church, Seik Mu "/>
        <s v="Yumar Baptist Church"/>
        <s v="AD 2000 School"/>
        <s v="AD-2000 Extension camp"/>
        <s v="AD-2000 Tharthana Compound"/>
        <s v="Htang Nya "/>
        <s v="Loi Je Baptist Church"/>
        <s v="Loi Je Catholic Church"/>
        <s v="Loi Je Lisu Camp"/>
        <s v="Lwegel High School"/>
        <s v="Man Bung Edin Baptist Church"/>
        <s v="Nyaung Na Pin "/>
        <s v="Phan Khar Kone"/>
        <s v="Robert Church"/>
        <s v="Robert -High school"/>
        <s v="Seng Ja "/>
        <s v="Bum Tsit Pa"/>
        <s v="Lana Zup Ja"/>
        <s v="Nhkawng Pa "/>
        <s v="Pa Kahtawng "/>
        <s v="Pamati Camp"/>
        <s v="Man Pya San Pya Resettlement"/>
        <s v="San Kar Resettlement"/>
        <m u="1"/>
        <s v="Thet Kae Pyin Village (IDPs in host family)" u="1"/>
        <s v="Ramree Town" u="1"/>
        <s v="Set Yone Su 1" u="1"/>
        <s v="Tanai KBC Church " u="1"/>
        <s v="Gyit Chaung" u="1"/>
        <s v="Let Than Chi (Ywar Thit)"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Hla Nyo Kan" u="1"/>
        <s v="Baw Du Pha Village (IDP in host families)" u="1"/>
        <s v="Ywa Haung" u="1"/>
        <s v="Aung Taing" u="1"/>
        <s v="HlaKhaing" u="1"/>
        <s v="Pyu Chaing" u="1"/>
        <s v="Taung Htaung Ha Yar" u="1"/>
        <s v="Dam ( Zup Ngai Yang)" u="1"/>
        <s v="Shwe Zin Khin (Rakhine)" u="1"/>
        <s v="Shwe Thee " u="1"/>
        <s v="Hindu" u="1"/>
        <s v="Sin Kae (High School)" u="1"/>
        <s v="Cheit Taung" u="1"/>
        <s v="Za Yan Gyi Monastery" u="1"/>
        <s v="Ba Ra War Monastery" u="1"/>
        <s v="Wah Net Yone " u="1"/>
        <s v="Zay Di Taung" u="1"/>
        <s v="Thein Taung pyin (Dine Net)" u="1"/>
        <s v="Tha Yet Taung" u="1"/>
        <s v="Aung Tha Pyay" u="1"/>
        <s v="Ywa Gyi (Tha Yet Kin Ma Nu)" u="1"/>
        <s v="Hpaung Taw Pyin" u="1"/>
        <s v="Ba laung Chaung" u="1"/>
        <s v="YinYeKan" u="1"/>
        <s v="Maw Htet" u="1"/>
        <s v="Zee Khaung"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Mingalar on" u="1"/>
        <s v="Zedi Pyin" u="1"/>
        <s v="Zin Kha Mar" u="1"/>
        <s v="Kyone Pyin" u="1"/>
        <s v="Mardilla" u="1"/>
        <s v="Ah Htet Gar Pu" u="1"/>
        <s v="Thar Yar Kone (M)" u="1"/>
        <s v="Lu Fan Pyin" u="1"/>
        <s v="Taik Maw" u="1"/>
        <s v="Kha Tin Pike Gyi" u="1"/>
        <s v="Taung Poke Kay" u="1"/>
        <s v="Kyee Kan Pyin ( Temoprary Tent)" u="1"/>
        <s v="Muslim (Aley Ywa)" u="1"/>
        <s v="Kar Di" u="1"/>
        <s v="Kyauk Ta Lone" u="1"/>
        <s v="Ohn Chaung" u="1"/>
        <s v="Langui" u="1"/>
        <s v="Kat Pa Kaung" u="1"/>
        <s v="Inn Chaung (Muslim)" u="1"/>
        <s v="Nyaung Pin Gyi (Rakhine)" u="1"/>
        <s v="Dar Paing Ywar Thit" u="1"/>
        <s v="War Bo" u="1"/>
        <s v="Nant Yar Gaing (Nant Yar Gaing)" u="1"/>
        <s v="Taung Myint" u="1"/>
        <s v="Set Yone Su 3" u="1"/>
        <s v="Qtr. 4 Monestry (Thargaya Thayett Taw)" u="1"/>
        <s v="Laung Don (Myo)" u="1"/>
        <s v="Tha Yet Cho" u="1"/>
        <s v="Shauk Chaung" u="1"/>
        <s v="Har Ra Paing" u="1"/>
        <s v="NiDin" u="1"/>
        <s v="Koe Tan Kauk" u="1"/>
        <s v="Naw Wai" u="1"/>
        <s v="Trinity KBC Church" u="1"/>
        <s v="U Htoe Dan " u="1"/>
        <s v="Shwe Zar (Middle)" u="1"/>
        <s v="Kwayt Shey Ywar Thit_x000a_(Kwayt Shay)"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PyunTo" u="1"/>
        <s v="Ta Man Thar Ah Nauk (Rakhine)" u="1"/>
        <s v="Tein Nyo" u="1"/>
        <s v="Chaung New Min Gan" u="1"/>
        <s v="Nur Ru Lar" u="1"/>
        <s v="Wa Lan Kone" u="1"/>
        <s v="Baw Du Pha 2" u="1"/>
        <s v="Ma Ji Bum" u="1"/>
        <s v="Ngan Chaung_Gone Nar" u="1"/>
        <s v="Ta Khun Taing" u="1"/>
        <s v="Let Kauk Zay Monastery" u="1"/>
        <s v="Kyar Ma Thauk" u="1"/>
        <s v="Kyauk Yan (Rakhine)" u="1"/>
        <s v="Kyauk Yit (Rakhine)" u="1"/>
        <s v="Nga/ Pun Ywar Shey" u="1"/>
        <s v="Inn Din (Rakhine)" u="1"/>
        <s v="Chin Ywa(Pyaing Taung)" u="1"/>
        <s v="Ba Da Nar" u="1"/>
        <s v="Kon Tan (U Daung Ah Nauk)" u="1"/>
        <s v="Oke Taung Pyin" u="1"/>
        <s v="Ohn Taw Gyi (South)" u="1"/>
        <s v="Thein Taung pyin (Muslim)" u="1"/>
        <s v="Taung Yin" u="1"/>
        <s v="Thein Tan (Rakhine)" u="1"/>
        <s v="Kyauk Pan Du (NTL)" u="1"/>
        <s v="Tha Yet Oke Ywar Thit" u="1"/>
        <s v="Nat Maw (Upper)" u="1"/>
        <s v="Palay Taung Ywa Thit" u="1"/>
        <s v="Man Li" u="1"/>
        <s v="Ahr Kar Taung" u="1"/>
        <s v="Kyet Taw Pyin"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DPA" u="1"/>
        <s v="Nget Chaung 2" u="1"/>
        <s v="Shwe Zar (North)" u="1"/>
        <s v="Mai Yu Lay Ta'ang" u="1"/>
        <s v="Ywar Gyi (Middle)" u="1"/>
        <s v="Ywar Haung Ah Htet" u="1"/>
        <s v="Me la zi Kone" u="1"/>
        <s v="Ku Lar Te" u="1"/>
        <s v="Ah Twin Hnget Thay" u="1"/>
        <s v="Bomu Ywa" u="1"/>
        <s v="Ngar Sar Kyu" u="1"/>
        <s v="Kyauk Tan Chay" u="1"/>
        <s v="Auk Myat Hle" u="1"/>
        <s v="Ashit Ywa_M" u="1"/>
        <s v="Bar Sa Yar Host" u="1"/>
        <s v="Ka Yar Lane , 74 Miles"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Koe Song (2) Village" u="1"/>
        <s v="Mee Chaung Zay_Ywar Thit" u="1"/>
        <s v="Khat Pa Kaung" u="1"/>
        <s v="Bu May Ohn Daw Chay"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Thae Chaung(Rakhine)" u="1"/>
        <s v="Sasana 2500 monastery" u="1"/>
        <s v="N-bau Tu" u="1"/>
        <s v="Ka Yin" u="1"/>
        <s v="Than Shin Ywar Thit" u="1"/>
        <s v="Thin Baw Hla (Rakhine) (Thar Yar Gone)" u="1"/>
        <s v="Kyu Taw Chaing" u="1"/>
        <s v="Auk Tha Kan" u="1"/>
        <s v="Na Htoe Pyin" u="1"/>
        <s v="Phwe Yar Kone" u="1"/>
        <s v="Shaw Me (primary school)" u="1"/>
        <s v="Nga Sin Rine Kine Primary School" u="1"/>
        <s v="Tha Yet Oke" u="1"/>
        <s v="Man Sa" u="1"/>
        <s v="Sin Tet Maw Rakhine(Baw Da Li)" u="1"/>
        <s v="Gwa Sone Chin" u="1"/>
        <s v="Thaing Ta Poke" u="1"/>
        <s v="Kha Yu Chaung (Muslim)" u="1"/>
        <s v="Ku Lar Thein" u="1"/>
        <s v="Khaung Doke Khar 2 (Hmanzi)"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Htan Ma Rit (Kwet Thit)" u="1"/>
        <s v="Myaung Nar" u="1"/>
        <s v="KAT_Nyaung Chaung" u="1"/>
        <s v="Aung Tat Ward (Naratsar Hpayar Thin)" u="1"/>
        <s v="Hin Thar Ra" u="1"/>
        <s v="Sin Khone Taing" u="1"/>
        <s v="Sin U Taik" u="1"/>
        <s v="Aung Tat Ward (Dein Kyi Monastery)" u="1"/>
        <s v="Aung Tat Ward (Myo Thit Monastery)" u="1"/>
        <s v="Pyin Shey Ku lar" u="1"/>
        <s v="Pon Sar" u="1"/>
        <s v="Dar Pai (IDP in host families)" u="1"/>
        <s v="Saw Kina Ma" u="1"/>
        <s v="Phwe Ra" u="1"/>
        <s v="Taung (Pale Taung)" u="1"/>
        <s v="Nga Let Kya" u="1"/>
        <s v="Shwe Hlaing" u="1"/>
        <s v="Shwe Yin Aye (NaTaLa)" u="1"/>
        <s v="Aung Zay Ya" u="1"/>
        <s v="Lian Bang village" u="1"/>
        <s v="Nam Hkawng" u="1"/>
        <s v="Kho Long" u="1"/>
        <s v="Yae Nauk Ngar Thar (Daing Nat)" u="1"/>
        <s v="Jwan Jaw KBC" u="1"/>
        <s v="That Kaing Nyar (Thet)" u="1"/>
        <s v="Laung Chaung (Daing Net)" u="1"/>
        <s v="Zu Kaing" u="1"/>
        <s v="Thin Pan Kaing" u="1"/>
        <s v="Ah Htet Nan Yar (Rakhine)" u="1"/>
        <s v="Nga Khu Ya" u="1"/>
        <s v="Kan Beit"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Yet Khone Taing" u="1"/>
        <s v="Goke Pi Htaunt (Rakhine)" u="1"/>
        <s v="Thea Chaung Pyu Su" u="1"/>
        <s v="Tha Dar" u="1"/>
        <s v="Zin Paing Nyar" u="1"/>
        <s v="MinPauk" u="1"/>
        <s v="Thin Pon Tan" u="1"/>
        <s v="Gar Pu (Lower)" u="1"/>
        <s v="Zay Teit Taung" u="1"/>
        <s v="Thone Saung" u="1"/>
        <s v="Chaung Thit Monastery" u="1"/>
        <s v="Say Tha Ma Gyi" u="1"/>
        <s v="Ah Htet Myat Hle" u="1"/>
        <s v="Quarter -7 , Lashio" u="1"/>
        <s v="Inn Hpauk" u="1"/>
        <s v="Aung Ba La" u="1"/>
        <s v="Let Wea Det Pyin Shey_Tha Pyay Taw" u="1"/>
        <s v="Pyin Shey" u="1"/>
        <s v="Sa Bai Pin Yin" u="1"/>
        <s v="Yat Khone Taing" u="1"/>
        <s v="Mya Ta Saung Monastery" u="1"/>
        <s v="Bethela KBC church" u="1"/>
        <s v="Ohn Taw Gyi (North)" u="1"/>
        <s v="Kan Pyin Ywa Haung" u="1"/>
        <s v="Taung Chauk" u="1"/>
        <s v="N-gum La" u="1"/>
        <s v="Kun Taung" u="1"/>
        <s v="Shwe Taung Monastery" u="1"/>
        <s v="Tauk Sone" u="1"/>
        <s v="Hpai Kawng Mare" u="1"/>
        <s v="Kan Za Li" u="1"/>
        <s v="Khaung Htoke"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Sin Tet Maw (Host)" u="1"/>
        <s v="Yar Tan" u="1"/>
        <s v="Chein Khar Li" u="1"/>
        <s v="Doke Kan Chaung Monastery" u="1"/>
        <s v="Kin Taung" u="1"/>
        <s v="Nga Ku Ya (Ku Lar)" u="1"/>
        <s v="Goke Pi Htaunt" u="1"/>
        <s v="Kyauk Yan Thar Si" u="1"/>
        <s v="Raza Bil" u="1"/>
        <s v="Sat Roe Kya 1" u="1"/>
        <s v="Kan Tha Ya" u="1"/>
        <s v="Taung Pauk" u="1"/>
        <s v="Pyar Lay Chaung Ywar Haung" u="1"/>
        <s v="Yay Myet" u="1"/>
        <s v="SGZ " u="1"/>
        <s v="Gye Kyaung"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Lawk Awng Mare D. (Sinbo Area)" u="1"/>
        <s v="Win Zar" u="1"/>
        <s v="Baw Li " u="1"/>
        <s v="Baw Ya Par" u="1"/>
        <s v="Gwa Sone (Muslim)" u="1"/>
        <s v="NgweTwinDway" u="1"/>
        <s v="Wa Khote Chaung" u="1"/>
        <s v="Kyar Nyo Pyin (Rakhine)_x000a_+ Pyar Yae" u="1"/>
        <s v="Alay Mushee" u="1"/>
        <s v="Sin Khone Taing (Rakhine)" u="1"/>
        <s v="Du Than Dar" u="1"/>
        <s v="Sin Aing" u="1"/>
        <s v="Sat Roe Kya 2" u="1"/>
        <s v="Pyin Hpyu Maw" u="1"/>
        <s v="Pyaing Taung (Rakhine)" u="1"/>
        <s v="U Yin Thar" u="1"/>
        <s v="Ah Kyaw (Arisha Para)" u="1"/>
        <s v="Myin Kan Seik" u="1"/>
        <s v="Kyar Nyo Pyin" u="1"/>
        <s v="Lian He village" u="1"/>
        <s v="Nga Kyi Tauk Daing Nat" u="1"/>
        <s v="Thet Kaing Ngyar" u="1"/>
        <s v="Sin Thay Pyin (Zay Di Pyin)" u="1"/>
        <s v="Shwe Zar Kat Pa Kaung" u="1"/>
        <s v="Sin Thi Pein Hne Taw (Sin Tae)" u="1"/>
        <s v="Wa Lar Kann" u="1"/>
        <s v="U Gar Hton" u="1"/>
        <s v="Ah Nauk Ywe" u="1"/>
        <s v="Tanai AG Church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in Kha Maung (NaTaLa)"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Done Pyin Village" u="1"/>
        <s v="Oke Kan" u="1"/>
        <s v="Ah Lel Ywa" u="1"/>
        <s v="Mra_Zay Di Taung" u="1"/>
        <s v="Ar Kya" u="1"/>
        <s v="La Baw Zar" u="1"/>
        <s v="Kyein Chaung" u="1"/>
        <s v="Kan Thar Htwat Wa" u="1"/>
        <s v="Baw Li (Rakhine)" u="1"/>
        <s v="Kyet Yoe Pyin (Ywa Ma)" u="1"/>
        <s v="War Taung Camp" u="1"/>
        <s v="Hpar Wut Chaung (Ywar Thit)" u="1"/>
        <s v="Tan Chaung"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Tha Ray Kon Baung" u="1"/>
        <s v="Ward-6 (Lay Myaing)" u="1"/>
        <s v="Ka Doe Seik" u="1"/>
        <s v="Kyan Taw" u="1"/>
        <s v="Nyaung Bin Hla Village" u="1"/>
        <s v="Pann Phaw Pyin" u="1"/>
        <s v="Aung Zay Yar" u="1"/>
        <s v="Ywar Thar Yar"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Let Saung Kauk" u="1"/>
        <s v="Than Du" u="1"/>
        <s v="Yoe Ta Yote" u="1"/>
      </sharedItems>
    </cacheField>
    <cacheField name="Total HH" numFmtId="164">
      <sharedItems containsString="0" containsBlank="1" containsNumber="1" minValue="2" maxValue="1538"/>
    </cacheField>
    <cacheField name="Total PoP " numFmtId="164">
      <sharedItems containsSemiMixedTypes="0" containsString="0" containsNumber="1" containsInteger="1" minValue="11" maxValue="8786"/>
    </cacheField>
    <cacheField name="Project start date" numFmtId="0">
      <sharedItems containsDate="1" containsBlank="1" containsMixedTypes="1" minDate="2018-08-01T00:00:00" maxDate="2020-02-14T00:00:00"/>
    </cacheField>
    <cacheField name="Project end date" numFmtId="165">
      <sharedItems containsDate="1" containsBlank="1" containsMixedTypes="1" minDate="2018-06-30T00:00:00" maxDate="2023-01-01T00:00:00"/>
    </cacheField>
    <cacheField name="#_students at TLS_CFS" numFmtId="164">
      <sharedItems containsString="0" containsBlank="1" containsNumber="1" containsInteger="1" minValue="6" maxValue="2373"/>
    </cacheField>
    <cacheField name="#_ paid camp based WASH skilled labor" numFmtId="164">
      <sharedItems containsString="0" containsBlank="1" containsNumber="1" containsInteger="1" minValue="0" maxValue="30"/>
    </cacheField>
    <cacheField name="#_paid camp based unskilled WASH unskilled labor" numFmtId="164">
      <sharedItems containsString="0" containsBlank="1" containsNumber="1" containsInteger="1" minValue="0" maxValue="149"/>
    </cacheField>
    <cacheField name="# Work days (approx) lost in this site due to access restrictions" numFmtId="164">
      <sharedItems containsString="0" containsBlank="1" containsNumber="1" containsInteger="1" minValue="0" maxValue="30"/>
    </cacheField>
    <cacheField name="WASH Focal in camp management structure?" numFmtId="1">
      <sharedItems containsBlank="1"/>
    </cacheField>
    <cacheField name="#_men on camp WASH team" numFmtId="164">
      <sharedItems containsString="0" containsBlank="1" containsNumber="1" containsInteger="1" minValue="0" maxValue="28"/>
    </cacheField>
    <cacheField name="#_women on camp WASH team" numFmtId="164">
      <sharedItems containsString="0" containsBlank="1" containsNumber="1" containsInteger="1" minValue="0" maxValue="151"/>
    </cacheField>
    <cacheField name="#_Constructed/existing protected hand dug well" numFmtId="164">
      <sharedItems containsString="0" containsBlank="1" containsNumber="1" containsInteger="1" minValue="0" maxValue="13"/>
    </cacheField>
    <cacheField name="#_Non-functional protected hand dug well" numFmtId="164">
      <sharedItems containsString="0" containsBlank="1" containsNumber="1" containsInteger="1" minValue="1" maxValue="1"/>
    </cacheField>
    <cacheField name="#_Operation &amp; Maintenance of hand dug well" numFmtId="164">
      <sharedItems containsString="0" containsBlank="1" containsNumber="1" containsInteger="1" minValue="1" maxValue="1"/>
    </cacheField>
    <cacheField name="#_Constructed/Existing tube wells/boreholes/handpumps_WASH_agency" numFmtId="164">
      <sharedItems containsString="0" containsBlank="1" containsNumber="1" containsInteger="1" minValue="0" maxValue="45"/>
    </cacheField>
    <cacheField name="#_Non-Cluster partner water tube-wells/boreholes/handpumps" numFmtId="164">
      <sharedItems containsString="0" containsBlank="1" containsNumber="1" containsInteger="1" minValue="0" maxValue="3"/>
    </cacheField>
    <cacheField name="#_Non-functional tube wells/boreholes/handpumps" numFmtId="164">
      <sharedItems containsString="0" containsBlank="1" containsNumber="1" containsInteger="1" minValue="1" maxValue="4"/>
    </cacheField>
    <cacheField name="#_Operation &amp; Maintenance of tube wells/boreholes/handpumps" numFmtId="164">
      <sharedItems containsString="0" containsBlank="1" containsNumber="1" containsInteger="1" minValue="1" maxValue="3"/>
    </cacheField>
    <cacheField name="#_Constructed/Existingwater storage tank with gravity fed reticulation system" numFmtId="164">
      <sharedItems containsString="0" containsBlank="1" containsNumber="1" containsInteger="1" minValue="0" maxValue="99"/>
    </cacheField>
    <cacheField name="#_Non-functional storage tank gravity fed reticulation system" numFmtId="164">
      <sharedItems containsString="0" containsBlank="1" containsNumber="1" containsInteger="1" minValue="1" maxValue="1"/>
    </cacheField>
    <cacheField name="#_Operation &amp; maintenance of storage tank and reticulation system" numFmtId="164">
      <sharedItems containsString="0" containsBlank="1" containsNumber="1" containsInteger="1" minValue="1" maxValue="10"/>
    </cacheField>
    <cacheField name="#_Water_Liters_supplied_by_Water boating or water trucking" numFmtId="164">
      <sharedItems containsString="0" containsBlank="1" containsNumber="1" containsInteger="1" minValue="0" maxValue="10200"/>
    </cacheField>
    <cacheField name="#_Constructed/Existing protected/fenced ponds" numFmtId="164">
      <sharedItems containsString="0" containsBlank="1" containsNumber="1" containsInteger="1" minValue="0" maxValue="6"/>
    </cacheField>
    <cacheField name="#_Water_Liters_from_Constructed/Existing water distribution system from river or natural spring" numFmtId="164">
      <sharedItems containsString="0" containsBlank="1" containsNumber="1" containsInteger="1" minValue="0" maxValue="533440"/>
    </cacheField>
    <cacheField name="#_committes/technicians trained and maintaining the water points" numFmtId="164">
      <sharedItems containsString="0" containsBlank="1" containsNumber="1" containsInteger="1" minValue="0" maxValue="11"/>
    </cacheField>
    <cacheField name="#_Water points fully handed over" numFmtId="164">
      <sharedItems containsString="0" containsBlank="1" containsNumber="1" containsInteger="1" minValue="0" maxValue="14"/>
    </cacheField>
    <cacheField name="#_Water sources tested for fecal coliform " numFmtId="164">
      <sharedItems containsString="0" containsBlank="1" containsNumber="1" containsInteger="1" minValue="1" maxValue="16"/>
    </cacheField>
    <cacheField name="#_Water sources passed" numFmtId="164">
      <sharedItems containsString="0" containsBlank="1" containsNumber="1" containsInteger="1" minValue="0" maxValue="14"/>
    </cacheField>
    <cacheField name="#_Household water samples tested for fecal coliform" numFmtId="164">
      <sharedItems containsString="0" containsBlank="1" containsNumber="1" containsInteger="1" minValue="1" maxValue="81"/>
    </cacheField>
    <cacheField name="#_Household passed" numFmtId="164">
      <sharedItems containsString="0" containsBlank="1" containsNumber="1" containsInteger="1" minValue="1" maxValue="31"/>
    </cacheField>
    <cacheField name="#_Constructed/Existing hand washing stations at TLS" numFmtId="164">
      <sharedItems containsString="0" containsBlank="1" containsNumber="1" containsInteger="1" minValue="0" maxValue="21"/>
    </cacheField>
    <cacheField name="#_of water points in TLS/CFS /THF" numFmtId="164">
      <sharedItems containsString="0" containsBlank="1" containsNumber="1" containsInteger="1" minValue="0" maxValue="6"/>
    </cacheField>
    <cacheField name="WATER Comments" numFmtId="0">
      <sharedItems containsBlank="1"/>
    </cacheField>
    <cacheField name="#_Constructed latrines_by_WASHAgencies" numFmtId="164">
      <sharedItems containsString="0" containsBlank="1" containsNumber="1" containsInteger="1" minValue="0" maxValue="438"/>
    </cacheField>
    <cacheField name="#_Non Cluster partner latrines" numFmtId="164">
      <sharedItems containsString="0" containsBlank="1" containsNumber="1" containsInteger="1" minValue="0" maxValue="20"/>
    </cacheField>
    <cacheField name="Name of Non-Cluster partner who constructed latrines" numFmtId="9">
      <sharedItems containsBlank="1"/>
    </cacheField>
    <cacheField name="#_Non-functional latrines" numFmtId="164">
      <sharedItems containsString="0" containsBlank="1" containsNumber="1" containsInteger="1" minValue="4" maxValue="95"/>
    </cacheField>
    <cacheField name="#_Operation &amp; maintenance of latrines" numFmtId="164">
      <sharedItems containsString="0" containsBlank="1" containsNumber="1" containsInteger="1" minValue="1" maxValue="37"/>
    </cacheField>
    <cacheField name="#_Latrines desludged during the past quarter" numFmtId="164">
      <sharedItems containsString="0" containsBlank="1" containsNumber="1" containsInteger="1" minValue="1" maxValue="75"/>
    </cacheField>
    <cacheField name="#_Cubic meters of desludging in past quarter" numFmtId="164">
      <sharedItems containsString="0" containsBlank="1" containsNumber="1" minValue="6" maxValue="52800"/>
    </cacheField>
    <cacheField name="#_Latrines fully handed over" numFmtId="164">
      <sharedItems containsString="0" containsBlank="1" containsNumber="1" containsInteger="1" minValue="0" maxValue="413"/>
    </cacheField>
    <cacheField name="Is there provision of solid waste management equipment?" numFmtId="0">
      <sharedItems containsBlank="1" count="4">
        <m/>
        <s v="Yes"/>
        <s v="No"/>
        <s v="NA"/>
      </sharedItems>
    </cacheField>
    <cacheField name="Is there constructed surface water drainage system?_x000a_" numFmtId="0">
      <sharedItems containsBlank="1" count="6">
        <m/>
        <s v="Functional"/>
        <s v="Not_Functional"/>
        <s v="NA"/>
        <s v="No"/>
        <s v="Yes" u="1"/>
      </sharedItems>
    </cacheField>
    <cacheField name="#_Constructed/Existing child friendly latrines" numFmtId="164">
      <sharedItems containsString="0" containsBlank="1" containsNumber="1" containsInteger="1" minValue="0" maxValue="13"/>
    </cacheField>
    <cacheField name="#_Constructed/Existing disabled &amp; elderly friendly latrines " numFmtId="164">
      <sharedItems containsString="0" containsBlank="1" containsNumber="1" containsInteger="1" minValue="0" maxValue="274"/>
    </cacheField>
    <cacheField name="# of functional latrines in TLS/CFS supported by WASH partners during the reporting period" numFmtId="164">
      <sharedItems containsString="0" containsBlank="1" containsNumber="1" containsInteger="1" minValue="0" maxValue="97"/>
    </cacheField>
    <cacheField name="# of functional latrines in THF supported by WASH partners during the reporting period2" numFmtId="164">
      <sharedItems containsString="0" containsBlank="1" containsNumber="1" containsInteger="1" minValue="2" maxValue="2"/>
    </cacheField>
    <cacheField name="#_of_persons_with_disabilities_with_adapted_sanitation_option" numFmtId="164">
      <sharedItems containsString="0" containsBlank="1" containsNumber="1" containsInteger="1" minValue="0" maxValue="76"/>
    </cacheField>
    <cacheField name="Sanitation Comments" numFmtId="0">
      <sharedItems containsBlank="1"/>
    </cacheField>
    <cacheField name="#_Constructed/Existing hand washing stations" numFmtId="164">
      <sharedItems containsString="0" containsBlank="1" containsNumber="1" containsInteger="1" minValue="0" maxValue="413"/>
    </cacheField>
    <cacheField name="#_Non-Functional_hand_washing_stations" numFmtId="164">
      <sharedItems containsString="0" containsBlank="1" containsNumber="1" containsInteger="1" minValue="0" maxValue="14"/>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tring="0" containsBlank="1" containsNumber="1" containsInteger="1" minValue="0" maxValue="22"/>
    </cacheField>
    <cacheField name="#_Non-Functional communal_bathing spaces " numFmtId="164">
      <sharedItems containsString="0" containsBlank="1" containsNumber="1" containsInteger="1" minValue="1" maxValue="2"/>
    </cacheField>
    <cacheField name="#_male hygiene promoters" numFmtId="164">
      <sharedItems containsString="0" containsBlank="1" containsNumber="1" containsInteger="1" minValue="0" maxValue="8"/>
    </cacheField>
    <cacheField name="#_female hygiene promoters" numFmtId="164">
      <sharedItems containsString="0" containsBlank="1" containsNumber="1" containsInteger="1" minValue="0" maxValue="43"/>
    </cacheField>
    <cacheField name="#_households that received standard amount of soap for this quarter" numFmtId="164">
      <sharedItems containsString="0" containsBlank="1" containsNumber="1" containsInteger="1" minValue="2" maxValue="1538"/>
    </cacheField>
    <cacheField name="# of affected women and girls receiving a sufficient quantity of sanitary pads from direct distribution or from MHM room facilities" numFmtId="164">
      <sharedItems containsString="0" containsBlank="1" containsNumber="1" containsInteger="1" minValue="16" maxValue="1183"/>
    </cacheField>
    <cacheField name="Is sufficient soap available for TLS? (Yes/No)" numFmtId="0">
      <sharedItems containsBlank="1"/>
    </cacheField>
    <cacheField name="#_Hygiene Promotion activities (sessions) in TLS?" numFmtId="0">
      <sharedItems containsString="0" containsBlank="1" containsNumber="1" containsInteger="1" minValue="3" maxValue="10"/>
    </cacheField>
    <cacheField name="% of students reached by HP activities" numFmtId="9">
      <sharedItems containsString="0" containsBlank="1" containsNumber="1" minValue="0.3" maxValue="0.8"/>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3" maxValue="1"/>
    </cacheField>
    <cacheField name="%_of_affected_people_surveyed_who_report_feeling_satistfied_with_the_water_point_design_and_water_service" numFmtId="9">
      <sharedItems containsString="0" containsBlank="1" containsNumber="1" minValue="0.3" maxValue="1"/>
    </cacheField>
    <cacheField name="#_of_affected_people_surveyed_who_report_feeling_informed_about_the_different_WASH_services_available_to_them" numFmtId="0">
      <sharedItems containsString="0" containsBlank="1" containsNumber="1" containsInteger="1" minValue="2" maxValue="8786"/>
    </cacheField>
    <cacheField name="%_of_complaints_received_that_result_in_timely_corrective_action_and_feedback_to_the_community" numFmtId="9">
      <sharedItems containsString="0" containsBlank="1" containsNumber="1" minValue="0"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4" maxValue="16"/>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6" maxValue="6"/>
    </cacheField>
    <cacheField name="# of sanitation facilities (bathing spaces) built following risk-sensitive programming and consultation with communities" numFmtId="164">
      <sharedItems containsString="0" containsBlank="1" containsNumber="1" containsInteger="1" minValue="2" maxValue="2"/>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13"/>
    </cacheField>
    <cacheField name="Functional tube wells/boreholes/handpumps (including non-cluster partners)" numFmtId="1">
      <sharedItems containsSemiMixedTypes="0" containsString="0" containsNumber="1" containsInteger="1" minValue="0" maxValue="45"/>
    </cacheField>
    <cacheField name="Functional storage tank with gravity fed reticulation system" numFmtId="1">
      <sharedItems containsSemiMixedTypes="0" containsString="0" containsNumber="1" containsInteger="1" minValue="0" maxValue="99"/>
    </cacheField>
    <cacheField name="Liters_Water boating or water trucking" numFmtId="1">
      <sharedItems containsSemiMixedTypes="0" containsString="0" containsNumber="1" minValue="0" maxValue="7.5555555555555554"/>
    </cacheField>
    <cacheField name="Liters_Constructed water distribution system from river" numFmtId="1">
      <sharedItems containsSemiMixedTypes="0" containsString="0" containsNumber="1" minValue="0" maxValue="395.14074074074074"/>
    </cacheField>
    <cacheField name="# People access to functional water points or water provision supported by WASH partners in TLS/CFS/THF_HRP5" numFmtId="1">
      <sharedItems containsSemiMixedTypes="0" containsString="0" containsNumber="1" containsInteger="1" minValue="0" maxValue="3000"/>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4024"/>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4024"/>
    </cacheField>
    <cacheField name="#Water points coverage" numFmtId="1">
      <sharedItems containsSemiMixedTypes="0" containsString="0" containsNumber="1" minValue="0" maxValue="8.048"/>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8086"/>
    </cacheField>
    <cacheField name="#Potential required new water points" numFmtId="1">
      <sharedItems containsSemiMixedTypes="0" containsString="0" containsNumber="1" minValue="0" maxValue="16.2"/>
    </cacheField>
    <cacheField name="Total required water points" numFmtId="1">
      <sharedItems containsSemiMixedTypes="0" containsString="0" containsNumber="1" containsInteger="1" minValue="1" maxValue="18"/>
    </cacheField>
    <cacheField name="# of Functioning latrine" numFmtId="1">
      <sharedItems containsSemiMixedTypes="0" containsString="0" containsNumber="1" containsInteger="1" minValue="0" maxValue="438"/>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4700"/>
    </cacheField>
    <cacheField name="# people access to continuous sanitation services desluding" numFmtId="1">
      <sharedItems containsSemiMixedTypes="0" containsString="0" containsNumber="1" containsInteger="1" minValue="0" maxValue="1160"/>
    </cacheField>
    <cacheField name="# students access to functioning school latrines_HRP5" numFmtId="1">
      <sharedItems containsSemiMixedTypes="0" containsString="0" containsNumber="1" containsInteger="1" minValue="0" maxValue="2174"/>
    </cacheField>
    <cacheField name="# People access to functioning latrines in THF_HRP5" numFmtId="1">
      <sharedItems containsSemiMixedTypes="0" containsString="0" containsNumber="1" containsInteger="1" minValue="0" maxValue="100"/>
    </cacheField>
    <cacheField name="# People access to functioning latrines in TLS/CFS/THF_HRP5" numFmtId="1">
      <sharedItems containsSemiMixedTypes="0" containsString="0" containsNumber="1" containsInteger="1" minValue="0" maxValue="2174"/>
    </cacheField>
    <cacheField name="Total required Latrines" numFmtId="1">
      <sharedItems containsSemiMixedTypes="0" containsString="0" containsNumber="1" containsInteger="1" minValue="1" maxValue="439"/>
    </cacheField>
    <cacheField name="# potential required new latrines" numFmtId="1">
      <sharedItems containsSemiMixedTypes="0" containsString="0" containsNumber="1" containsInteger="1" minValue="0" maxValue="413"/>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95"/>
    </cacheField>
    <cacheField name="# people reached by regular dedicated hygiene promotion_5" numFmtId="1">
      <sharedItems containsSemiMixedTypes="0" containsString="0" containsNumber="1" containsInteger="1" minValue="0" maxValue="4500"/>
    </cacheField>
    <cacheField name="# People with access to soap" numFmtId="1">
      <sharedItems containsSemiMixedTypes="0" containsString="0" containsNumber="1" containsInteger="1" minValue="0" maxValue="8786"/>
    </cacheField>
    <cacheField name="# People with access to Sanity Pads" numFmtId="1">
      <sharedItems containsSemiMixedTypes="0" containsString="0" containsNumber="1" containsInteger="1" minValue="0" maxValue="1183"/>
    </cacheField>
    <cacheField name="# People received regular supply of hygiene items_6" numFmtId="1">
      <sharedItems containsSemiMixedTypes="0" containsString="0" containsNumber="1" containsInteger="1" minValue="0" maxValue="8786"/>
    </cacheField>
    <cacheField name="HRP3" numFmtId="1">
      <sharedItems containsSemiMixedTypes="0" containsString="0" containsNumber="1" containsInteger="1" minValue="0" maxValue="8786"/>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MixedTypes="1" containsNumber="1" minValue="0" maxValue="1"/>
    </cacheField>
    <cacheField name="% of HH with access to Sanitary Pad" numFmtId="9">
      <sharedItems containsMixedTypes="1" containsNumber="1" minValue="0" maxValue="1"/>
    </cacheField>
    <cacheField name="# Functional hand washing stations during reporting period" numFmtId="1">
      <sharedItems containsSemiMixedTypes="0" containsString="0" containsNumber="1" containsInteger="1" minValue="-3" maxValue="413"/>
    </cacheField>
    <cacheField name="#HH with access to Hand Washing Station" numFmtId="1">
      <sharedItems containsSemiMixedTypes="0" containsString="0" containsNumber="1" minValue="-60" maxValue="1000"/>
    </cacheField>
    <cacheField name="# of hand washing stations with soap in TLS" numFmtId="1">
      <sharedItems containsSemiMixedTypes="0" containsString="0" containsNumber="1" containsInteger="1" minValue="0" maxValue="21"/>
    </cacheField>
    <cacheField name="# People access to Handwashing Station" numFmtId="1">
      <sharedItems containsSemiMixedTypes="0" containsString="0" containsNumber="1" containsInteger="1" minValue="-300" maxValue="5000"/>
    </cacheField>
    <cacheField name="Sites with TLS" numFmtId="1">
      <sharedItems/>
    </cacheField>
    <cacheField name="%_of_affected_people_surveyed_who_report_feeling_informed_about_the_different_WASH_services_available_to_them2" numFmtId="9">
      <sharedItems containsMixedTypes="1" containsNumber="1" minValue="8.1026333558406483E-3" maxValue="1"/>
    </cacheField>
    <cacheField name="HRP4" numFmtId="164">
      <sharedItems containsSemiMixedTypes="0" containsString="0" containsNumber="1" containsInteger="1" minValue="0" maxValue="24"/>
    </cacheField>
    <cacheField name="HRP5" numFmtId="164">
      <sharedItems containsSemiMixedTypes="0" containsString="0" containsNumber="1" containsInteger="1" minValue="0" maxValue="3000"/>
    </cacheField>
    <cacheField name="CCCM Management" numFmtId="0">
      <sharedItems containsBlank="1" containsMixedTypes="1" containsNumber="1" containsInteger="1" minValue="0" maxValue="0"/>
    </cacheField>
    <cacheField name="CCCM Focal Agency" numFmtId="0">
      <sharedItems containsBlank="1" containsMixedTypes="1" containsNumber="1" containsInteger="1" minValue="0" maxValue="0"/>
    </cacheField>
    <cacheField name="Location Type 1" numFmtId="0">
      <sharedItems containsBlank="1" count="8">
        <s v="Camp"/>
        <s v="Village Type Camp"/>
        <m u="1"/>
        <s v="Temporary location" u="1"/>
        <s v="Camp like setting" u="1"/>
        <s v="Town" u="1"/>
        <e v="#N/A" u="1"/>
        <s v="Village" u="1"/>
      </sharedItems>
    </cacheField>
    <cacheField name="Type of accommodation" numFmtId="0">
      <sharedItems containsMixedTypes="1" containsNumber="1" containsInteger="1" minValue="0" maxValue="0" count="7">
        <s v="Camp like setting"/>
        <s v="Camp"/>
        <s v="School"/>
        <s v="Boarding School"/>
        <s v="Host Families"/>
        <s v="Closed Camp"/>
        <n v="0" u="1"/>
      </sharedItems>
    </cacheField>
    <cacheField name="Ethnic or GCA/NGCA" numFmtId="0">
      <sharedItems containsMixedTypes="1" containsNumber="1" minValue="0" maxValue="97.49136" count="341">
        <s v="NGCA"/>
        <s v="GCA"/>
        <n v="0" u="1"/>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SemiMixedTypes="0" containsString="0" containsNumber="1" minValue="0" maxValue="27.337499999999999"/>
    </cacheField>
    <cacheField name="Long" numFmtId="0">
      <sharedItems containsSemiMixedTypes="0" containsString="0" containsNumber="1" minValue="0" maxValue="98.475719999999995"/>
    </cacheField>
    <cacheField name="Pcode" numFmtId="0">
      <sharedItems containsMixedTypes="1" containsNumber="1" containsInteger="1" minValue="0" maxValue="165777"/>
    </cacheField>
    <cacheField name="Covered" numFmtId="0">
      <sharedItems containsBlank="1" count="5">
        <s v="Covered"/>
        <s v="Notcovered"/>
        <m u="1"/>
        <s v="cccm_2019July" u="1"/>
        <e v="#REF!" u="1"/>
      </sharedItems>
    </cacheField>
    <cacheField name="Remark" numFmtId="0">
      <sharedItems containsBlank="1" containsMixedTypes="1" containsNumber="1" containsInteger="1" minValue="0" maxValue="0"/>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6">
  <r>
    <x v="0"/>
    <x v="0"/>
    <x v="0"/>
    <m/>
    <x v="0"/>
    <x v="0"/>
    <x v="0"/>
    <x v="0"/>
    <n v="24"/>
    <n v="103"/>
    <m/>
    <m/>
    <m/>
    <m/>
    <m/>
    <m/>
    <m/>
    <m/>
    <n v="1"/>
    <m/>
    <m/>
    <m/>
    <m/>
    <m/>
    <m/>
    <m/>
    <m/>
    <m/>
    <m/>
    <m/>
    <m/>
    <m/>
    <m/>
    <m/>
    <m/>
    <m/>
    <m/>
    <m/>
    <m/>
    <m/>
    <m/>
    <n v="0"/>
    <m/>
    <m/>
    <m/>
    <m/>
    <m/>
    <m/>
    <m/>
    <x v="0"/>
    <x v="0"/>
    <m/>
    <m/>
    <m/>
    <m/>
    <m/>
    <m/>
    <m/>
    <m/>
    <m/>
    <m/>
    <m/>
    <m/>
    <m/>
    <m/>
    <m/>
    <m/>
    <m/>
    <m/>
    <m/>
    <m/>
    <m/>
    <m/>
    <m/>
    <m/>
    <m/>
    <m/>
    <s v="no test"/>
    <s v="no test"/>
    <s v="No Test"/>
    <n v="0"/>
    <n v="0"/>
    <n v="0"/>
    <n v="0"/>
    <n v="0"/>
    <n v="0"/>
    <n v="0"/>
    <n v="0"/>
    <n v="0"/>
    <n v="0"/>
    <n v="0"/>
    <n v="0"/>
    <n v="0"/>
    <n v="0"/>
    <n v="0"/>
    <n v="1"/>
    <n v="103"/>
    <n v="1"/>
    <n v="1"/>
    <n v="0"/>
    <n v="0"/>
    <n v="0"/>
    <n v="0"/>
    <n v="0"/>
    <n v="0"/>
    <n v="0"/>
    <n v="5"/>
    <n v="5"/>
    <n v="1"/>
    <n v="0"/>
    <n v="0"/>
    <n v="0"/>
    <n v="0"/>
    <n v="0"/>
    <n v="0"/>
    <n v="0"/>
    <n v="1"/>
    <n v="0"/>
    <n v="0"/>
    <n v="0"/>
    <n v="0"/>
    <n v="0"/>
    <n v="0"/>
    <n v="0"/>
    <s v="No"/>
    <s v=""/>
    <n v="0"/>
    <n v="0"/>
    <n v="0"/>
    <n v="0"/>
    <x v="0"/>
    <x v="0"/>
    <x v="0"/>
    <n v="0"/>
    <n v="0"/>
    <n v="0"/>
    <x v="0"/>
    <n v="0"/>
  </r>
  <r>
    <x v="0"/>
    <x v="0"/>
    <x v="0"/>
    <m/>
    <x v="0"/>
    <x v="1"/>
    <x v="0"/>
    <x v="1"/>
    <n v="86"/>
    <n v="381"/>
    <m/>
    <m/>
    <m/>
    <m/>
    <m/>
    <m/>
    <m/>
    <m/>
    <n v="4"/>
    <m/>
    <m/>
    <m/>
    <m/>
    <m/>
    <m/>
    <m/>
    <m/>
    <m/>
    <m/>
    <m/>
    <m/>
    <m/>
    <m/>
    <m/>
    <m/>
    <m/>
    <m/>
    <m/>
    <m/>
    <m/>
    <m/>
    <n v="13"/>
    <m/>
    <m/>
    <m/>
    <m/>
    <m/>
    <m/>
    <m/>
    <x v="0"/>
    <x v="0"/>
    <m/>
    <m/>
    <m/>
    <m/>
    <m/>
    <m/>
    <m/>
    <m/>
    <m/>
    <m/>
    <m/>
    <m/>
    <m/>
    <m/>
    <m/>
    <m/>
    <m/>
    <m/>
    <m/>
    <m/>
    <m/>
    <m/>
    <m/>
    <m/>
    <m/>
    <m/>
    <s v="no test"/>
    <s v="no test"/>
    <s v="No Test"/>
    <n v="0"/>
    <n v="0"/>
    <n v="0"/>
    <n v="0"/>
    <n v="0"/>
    <n v="0"/>
    <n v="0"/>
    <n v="0"/>
    <n v="0"/>
    <n v="0"/>
    <n v="0"/>
    <n v="0"/>
    <n v="0"/>
    <n v="0"/>
    <n v="0"/>
    <n v="1"/>
    <n v="381"/>
    <n v="1"/>
    <n v="1"/>
    <n v="13"/>
    <n v="0.6824146981627297"/>
    <n v="260"/>
    <n v="0"/>
    <n v="0"/>
    <n v="0"/>
    <n v="0"/>
    <n v="19"/>
    <n v="6"/>
    <n v="0.3175853018372703"/>
    <n v="0"/>
    <n v="0"/>
    <n v="0"/>
    <n v="0"/>
    <n v="0"/>
    <n v="0"/>
    <n v="0"/>
    <n v="1"/>
    <n v="0"/>
    <n v="0"/>
    <n v="0"/>
    <n v="0"/>
    <n v="0"/>
    <n v="0"/>
    <n v="0"/>
    <s v="No"/>
    <s v=""/>
    <n v="0"/>
    <n v="0"/>
    <n v="0"/>
    <n v="0"/>
    <x v="0"/>
    <x v="0"/>
    <x v="0"/>
    <n v="0"/>
    <n v="0"/>
    <n v="0"/>
    <x v="0"/>
    <n v="0"/>
  </r>
  <r>
    <x v="0"/>
    <x v="0"/>
    <x v="0"/>
    <s v="PLAN(GFFO),MHF13490"/>
    <x v="0"/>
    <x v="0"/>
    <x v="1"/>
    <x v="2"/>
    <n v="43"/>
    <n v="197"/>
    <s v="5-1-2019,10-1-2019"/>
    <s v="9-30-2020,7-31-2020"/>
    <m/>
    <m/>
    <m/>
    <m/>
    <s v="Yes"/>
    <m/>
    <n v="4"/>
    <n v="0"/>
    <m/>
    <m/>
    <n v="3"/>
    <m/>
    <m/>
    <m/>
    <m/>
    <m/>
    <m/>
    <m/>
    <m/>
    <m/>
    <m/>
    <n v="3"/>
    <m/>
    <m/>
    <m/>
    <m/>
    <m/>
    <m/>
    <m/>
    <n v="38"/>
    <m/>
    <m/>
    <m/>
    <m/>
    <m/>
    <m/>
    <n v="7"/>
    <x v="1"/>
    <x v="1"/>
    <m/>
    <m/>
    <m/>
    <m/>
    <m/>
    <m/>
    <n v="3"/>
    <m/>
    <m/>
    <n v="3"/>
    <m/>
    <m/>
    <n v="2"/>
    <m/>
    <m/>
    <m/>
    <m/>
    <m/>
    <m/>
    <m/>
    <m/>
    <m/>
    <m/>
    <m/>
    <m/>
    <m/>
    <s v="no test"/>
    <s v="no test"/>
    <s v="No Test"/>
    <n v="0"/>
    <n v="3"/>
    <n v="0"/>
    <n v="0"/>
    <n v="0"/>
    <n v="0"/>
    <n v="1"/>
    <n v="1"/>
    <n v="1"/>
    <n v="197"/>
    <n v="0"/>
    <n v="0"/>
    <n v="1"/>
    <n v="197"/>
    <n v="0.39400000000000002"/>
    <n v="0"/>
    <n v="0"/>
    <n v="0.60599999999999998"/>
    <n v="1"/>
    <n v="38"/>
    <n v="1"/>
    <n v="197"/>
    <n v="0"/>
    <n v="0"/>
    <n v="0"/>
    <n v="0"/>
    <n v="10"/>
    <n v="0"/>
    <n v="0"/>
    <n v="0"/>
    <n v="197"/>
    <n v="0"/>
    <n v="0"/>
    <n v="0"/>
    <n v="197"/>
    <n v="1"/>
    <n v="0"/>
    <n v="1"/>
    <n v="0"/>
    <n v="0"/>
    <n v="3"/>
    <n v="43"/>
    <n v="0"/>
    <n v="197"/>
    <s v="No"/>
    <s v=""/>
    <n v="0"/>
    <n v="0"/>
    <s v="Yes"/>
    <s v="KBC-MYT"/>
    <x v="0"/>
    <x v="1"/>
    <x v="1"/>
    <n v="25.3959740909091"/>
    <n v="97.382997575757599"/>
    <s v="MMR001CMP010"/>
    <x v="0"/>
    <s v="cccm_2019OCT"/>
  </r>
  <r>
    <x v="0"/>
    <x v="0"/>
    <x v="0"/>
    <s v="MHF13490"/>
    <x v="0"/>
    <x v="2"/>
    <x v="1"/>
    <x v="3"/>
    <n v="140"/>
    <n v="875"/>
    <d v="2019-01-10T00:00:00"/>
    <s v="31-7-2020"/>
    <m/>
    <m/>
    <m/>
    <m/>
    <s v="Yes"/>
    <m/>
    <m/>
    <n v="0"/>
    <m/>
    <m/>
    <n v="0"/>
    <m/>
    <m/>
    <m/>
    <n v="1"/>
    <m/>
    <m/>
    <m/>
    <m/>
    <m/>
    <m/>
    <n v="0"/>
    <m/>
    <m/>
    <m/>
    <m/>
    <m/>
    <m/>
    <m/>
    <n v="1"/>
    <m/>
    <m/>
    <m/>
    <m/>
    <m/>
    <m/>
    <n v="50"/>
    <x v="1"/>
    <x v="1"/>
    <m/>
    <m/>
    <m/>
    <m/>
    <m/>
    <m/>
    <n v="50"/>
    <m/>
    <m/>
    <n v="4"/>
    <m/>
    <m/>
    <n v="3"/>
    <m/>
    <m/>
    <m/>
    <m/>
    <m/>
    <m/>
    <m/>
    <m/>
    <m/>
    <m/>
    <m/>
    <m/>
    <m/>
    <s v="no test"/>
    <s v="no test"/>
    <s v="No Test"/>
    <n v="0"/>
    <n v="0"/>
    <n v="1"/>
    <n v="0"/>
    <n v="0"/>
    <n v="0"/>
    <n v="7.6190476190476197E-2"/>
    <n v="7.6190476190476197E-2"/>
    <n v="7.6190476190476197E-2"/>
    <n v="66.666666666666671"/>
    <n v="0"/>
    <n v="0"/>
    <n v="7.6190476190476197E-2"/>
    <n v="66.666666666666671"/>
    <n v="0.13333333333333333"/>
    <n v="0.92380952380952386"/>
    <n v="808.33333333333337"/>
    <n v="1.8666666666666667"/>
    <n v="2"/>
    <n v="1"/>
    <n v="2.2857142857142857E-2"/>
    <n v="20"/>
    <n v="0"/>
    <n v="0"/>
    <n v="0"/>
    <n v="0"/>
    <n v="44"/>
    <n v="43"/>
    <n v="0.97714285714285709"/>
    <n v="0"/>
    <n v="875"/>
    <n v="0"/>
    <n v="0"/>
    <n v="0"/>
    <n v="875"/>
    <n v="1"/>
    <n v="0"/>
    <n v="1"/>
    <n v="0"/>
    <n v="0"/>
    <n v="50"/>
    <n v="140"/>
    <n v="0"/>
    <n v="875"/>
    <s v="No"/>
    <s v=""/>
    <n v="0"/>
    <n v="0"/>
    <s v="Yes"/>
    <s v="KBC-MYT"/>
    <x v="0"/>
    <x v="1"/>
    <x v="0"/>
    <n v="25.200333000000001"/>
    <n v="97.807182999999995"/>
    <s v="MMR001CMP115"/>
    <x v="0"/>
    <s v="cccm_2019OCT"/>
  </r>
  <r>
    <x v="0"/>
    <x v="0"/>
    <x v="0"/>
    <s v="PLAN(GFFO),MHF13490"/>
    <x v="0"/>
    <x v="3"/>
    <x v="1"/>
    <x v="4"/>
    <n v="31"/>
    <n v="132"/>
    <s v="5-1-2019,10-1-2019"/>
    <s v="9-30-2020,7-31-2020"/>
    <m/>
    <m/>
    <m/>
    <m/>
    <s v="Yes"/>
    <m/>
    <n v="4"/>
    <n v="0"/>
    <m/>
    <m/>
    <n v="1"/>
    <m/>
    <m/>
    <m/>
    <m/>
    <m/>
    <m/>
    <m/>
    <m/>
    <m/>
    <m/>
    <n v="0"/>
    <m/>
    <m/>
    <m/>
    <m/>
    <m/>
    <m/>
    <m/>
    <n v="9"/>
    <m/>
    <m/>
    <m/>
    <m/>
    <m/>
    <m/>
    <n v="4"/>
    <x v="1"/>
    <x v="1"/>
    <m/>
    <m/>
    <m/>
    <m/>
    <m/>
    <m/>
    <n v="1"/>
    <m/>
    <m/>
    <n v="2"/>
    <m/>
    <m/>
    <n v="1"/>
    <m/>
    <m/>
    <m/>
    <m/>
    <m/>
    <m/>
    <m/>
    <m/>
    <m/>
    <m/>
    <m/>
    <m/>
    <m/>
    <s v="no test"/>
    <s v="no test"/>
    <s v="No Test"/>
    <n v="0"/>
    <n v="1"/>
    <n v="0"/>
    <n v="0"/>
    <n v="0"/>
    <n v="0"/>
    <n v="1"/>
    <n v="1"/>
    <n v="1"/>
    <n v="132"/>
    <n v="0"/>
    <n v="0"/>
    <n v="1"/>
    <n v="132"/>
    <n v="0.26400000000000001"/>
    <n v="0"/>
    <n v="0"/>
    <n v="0.73599999999999999"/>
    <n v="1"/>
    <n v="9"/>
    <n v="1"/>
    <n v="132"/>
    <n v="0"/>
    <n v="0"/>
    <n v="0"/>
    <n v="0"/>
    <n v="7"/>
    <n v="0"/>
    <n v="0"/>
    <n v="0"/>
    <n v="132"/>
    <n v="0"/>
    <n v="0"/>
    <n v="0"/>
    <n v="132"/>
    <n v="1"/>
    <n v="0"/>
    <n v="1"/>
    <n v="0"/>
    <n v="0"/>
    <n v="1"/>
    <n v="20"/>
    <n v="0"/>
    <n v="100"/>
    <s v="No"/>
    <s v=""/>
    <n v="0"/>
    <n v="0"/>
    <s v="Yes"/>
    <s v="KBC-MYT"/>
    <x v="0"/>
    <x v="1"/>
    <x v="1"/>
    <n v="25.51352"/>
    <n v="96.705960000000005"/>
    <s v="MMR001CMP148"/>
    <x v="0"/>
    <s v="cccm_2019OCT"/>
  </r>
  <r>
    <x v="0"/>
    <x v="0"/>
    <x v="0"/>
    <m/>
    <x v="0"/>
    <x v="4"/>
    <x v="1"/>
    <x v="5"/>
    <n v="169"/>
    <n v="837"/>
    <m/>
    <m/>
    <n v="238"/>
    <m/>
    <m/>
    <m/>
    <s v="Yes"/>
    <m/>
    <n v="5"/>
    <n v="0"/>
    <m/>
    <m/>
    <n v="0"/>
    <m/>
    <m/>
    <m/>
    <n v="1"/>
    <m/>
    <m/>
    <m/>
    <m/>
    <m/>
    <m/>
    <n v="0"/>
    <m/>
    <m/>
    <m/>
    <m/>
    <m/>
    <m/>
    <m/>
    <n v="18"/>
    <m/>
    <m/>
    <m/>
    <m/>
    <m/>
    <m/>
    <n v="32"/>
    <x v="1"/>
    <x v="1"/>
    <m/>
    <m/>
    <n v="5"/>
    <m/>
    <m/>
    <m/>
    <m/>
    <m/>
    <m/>
    <n v="4"/>
    <m/>
    <m/>
    <m/>
    <m/>
    <m/>
    <m/>
    <m/>
    <m/>
    <m/>
    <m/>
    <m/>
    <m/>
    <m/>
    <m/>
    <m/>
    <m/>
    <s v="no test"/>
    <s v="no test"/>
    <s v="No Test"/>
    <n v="0"/>
    <n v="0"/>
    <n v="1"/>
    <n v="0"/>
    <n v="0"/>
    <n v="0"/>
    <n v="7.9649542015133412E-2"/>
    <n v="7.9649542015133412E-2"/>
    <n v="7.9649542015133412E-2"/>
    <n v="66.666666666666671"/>
    <n v="0"/>
    <n v="0"/>
    <n v="7.9649542015133412E-2"/>
    <n v="66.666666666666671"/>
    <n v="0.13333333333333333"/>
    <n v="0.92035045798486659"/>
    <n v="770.33333333333337"/>
    <n v="1.8666666666666667"/>
    <n v="2"/>
    <n v="18"/>
    <n v="0.43010752688172044"/>
    <n v="360"/>
    <n v="0"/>
    <n v="238"/>
    <n v="0"/>
    <n v="238"/>
    <n v="42"/>
    <n v="24"/>
    <n v="0.56989247311827951"/>
    <n v="0"/>
    <n v="0"/>
    <n v="0"/>
    <n v="0"/>
    <n v="0"/>
    <n v="0"/>
    <n v="0"/>
    <n v="1"/>
    <n v="0"/>
    <n v="0"/>
    <n v="0"/>
    <n v="0"/>
    <n v="0"/>
    <n v="0"/>
    <n v="0"/>
    <s v="Yes"/>
    <s v=""/>
    <n v="0"/>
    <n v="238"/>
    <s v="Yes"/>
    <s v="KBC-MYT"/>
    <x v="0"/>
    <x v="1"/>
    <x v="0"/>
    <n v="25.754110000000001"/>
    <n v="98.475719999999995"/>
    <s v="MMR001CMP043"/>
    <x v="0"/>
    <s v="cccm_2019OCT"/>
  </r>
  <r>
    <x v="0"/>
    <x v="0"/>
    <x v="0"/>
    <m/>
    <x v="0"/>
    <x v="5"/>
    <x v="0"/>
    <x v="6"/>
    <n v="39"/>
    <n v="121"/>
    <m/>
    <m/>
    <m/>
    <m/>
    <m/>
    <m/>
    <m/>
    <m/>
    <n v="1"/>
    <m/>
    <m/>
    <m/>
    <m/>
    <m/>
    <m/>
    <m/>
    <m/>
    <m/>
    <m/>
    <m/>
    <m/>
    <m/>
    <m/>
    <m/>
    <m/>
    <m/>
    <m/>
    <m/>
    <m/>
    <m/>
    <m/>
    <n v="38"/>
    <m/>
    <m/>
    <m/>
    <m/>
    <m/>
    <m/>
    <m/>
    <x v="0"/>
    <x v="0"/>
    <m/>
    <m/>
    <m/>
    <m/>
    <m/>
    <m/>
    <m/>
    <m/>
    <m/>
    <m/>
    <m/>
    <m/>
    <m/>
    <m/>
    <m/>
    <m/>
    <m/>
    <m/>
    <m/>
    <m/>
    <m/>
    <m/>
    <m/>
    <m/>
    <m/>
    <m/>
    <s v="no test"/>
    <s v="no test"/>
    <s v="No Test"/>
    <n v="0"/>
    <n v="0"/>
    <n v="0"/>
    <n v="0"/>
    <n v="0"/>
    <n v="0"/>
    <n v="0"/>
    <n v="0"/>
    <n v="0"/>
    <n v="0"/>
    <n v="0"/>
    <n v="0"/>
    <n v="0"/>
    <n v="0"/>
    <n v="0"/>
    <n v="1"/>
    <n v="121"/>
    <n v="1"/>
    <n v="1"/>
    <n v="38"/>
    <n v="1"/>
    <n v="121"/>
    <n v="0"/>
    <n v="0"/>
    <n v="0"/>
    <n v="0"/>
    <n v="6"/>
    <n v="0"/>
    <n v="0"/>
    <n v="0"/>
    <n v="0"/>
    <n v="0"/>
    <n v="0"/>
    <n v="0"/>
    <n v="0"/>
    <n v="0"/>
    <n v="1"/>
    <n v="0"/>
    <n v="0"/>
    <n v="0"/>
    <n v="0"/>
    <n v="0"/>
    <n v="0"/>
    <n v="0"/>
    <s v="No"/>
    <s v=""/>
    <n v="0"/>
    <n v="0"/>
    <n v="0"/>
    <n v="0"/>
    <x v="0"/>
    <x v="0"/>
    <x v="0"/>
    <n v="0"/>
    <n v="0"/>
    <n v="0"/>
    <x v="0"/>
    <n v="0"/>
  </r>
  <r>
    <x v="0"/>
    <x v="0"/>
    <x v="0"/>
    <s v="PLAN(GFFO),MHF13490"/>
    <x v="0"/>
    <x v="0"/>
    <x v="1"/>
    <x v="7"/>
    <n v="197"/>
    <n v="1050"/>
    <s v="5-1-2019,10-1-2019"/>
    <s v="9-30-2020,7-31-2020"/>
    <m/>
    <m/>
    <m/>
    <m/>
    <s v="Yes"/>
    <m/>
    <n v="4"/>
    <n v="1"/>
    <m/>
    <m/>
    <n v="4"/>
    <m/>
    <m/>
    <m/>
    <m/>
    <m/>
    <m/>
    <m/>
    <m/>
    <m/>
    <m/>
    <n v="5"/>
    <m/>
    <m/>
    <m/>
    <m/>
    <m/>
    <m/>
    <m/>
    <n v="7"/>
    <m/>
    <m/>
    <m/>
    <m/>
    <m/>
    <m/>
    <n v="43"/>
    <x v="1"/>
    <x v="1"/>
    <m/>
    <m/>
    <m/>
    <m/>
    <m/>
    <m/>
    <n v="6"/>
    <m/>
    <m/>
    <n v="3"/>
    <m/>
    <m/>
    <n v="5"/>
    <m/>
    <m/>
    <m/>
    <m/>
    <m/>
    <m/>
    <m/>
    <m/>
    <m/>
    <m/>
    <m/>
    <m/>
    <m/>
    <s v="no test"/>
    <s v="no test"/>
    <s v="No Test"/>
    <n v="1"/>
    <n v="4"/>
    <n v="0"/>
    <n v="0"/>
    <n v="0"/>
    <n v="0"/>
    <n v="1"/>
    <n v="1"/>
    <n v="1"/>
    <n v="1050"/>
    <n v="0"/>
    <n v="0"/>
    <n v="1"/>
    <n v="1050"/>
    <n v="2.1"/>
    <n v="0"/>
    <n v="0"/>
    <n v="0"/>
    <n v="2"/>
    <n v="7"/>
    <n v="0.13333333333333333"/>
    <n v="140"/>
    <n v="0"/>
    <n v="0"/>
    <n v="0"/>
    <n v="0"/>
    <n v="53"/>
    <n v="46"/>
    <n v="0.8666666666666667"/>
    <n v="0"/>
    <n v="1050"/>
    <n v="0"/>
    <n v="0"/>
    <n v="0"/>
    <n v="1050"/>
    <n v="1"/>
    <n v="0"/>
    <n v="1"/>
    <n v="0"/>
    <n v="0"/>
    <n v="6"/>
    <n v="120"/>
    <n v="0"/>
    <n v="600"/>
    <s v="No"/>
    <s v=""/>
    <n v="0"/>
    <n v="0"/>
    <s v="Yes"/>
    <s v="KBC-MYT"/>
    <x v="0"/>
    <x v="1"/>
    <x v="1"/>
    <n v="25.397850999999999"/>
    <n v="97.370900000000006"/>
    <s v="MMR001CMP018"/>
    <x v="0"/>
    <s v="cccm_2019OCT"/>
  </r>
  <r>
    <x v="0"/>
    <x v="0"/>
    <x v="0"/>
    <s v="PLAN(GFFO),MHF13490"/>
    <x v="0"/>
    <x v="0"/>
    <x v="1"/>
    <x v="8"/>
    <n v="118"/>
    <n v="489"/>
    <s v="5-1-2019,10-1-2019"/>
    <s v="9-30-2020,7-31-2020"/>
    <m/>
    <m/>
    <m/>
    <m/>
    <s v="Yes"/>
    <m/>
    <n v="4"/>
    <n v="1"/>
    <m/>
    <m/>
    <n v="7"/>
    <m/>
    <n v="4"/>
    <n v="3"/>
    <m/>
    <m/>
    <m/>
    <m/>
    <m/>
    <m/>
    <m/>
    <n v="6"/>
    <m/>
    <m/>
    <m/>
    <m/>
    <m/>
    <m/>
    <m/>
    <n v="28"/>
    <m/>
    <m/>
    <m/>
    <m/>
    <m/>
    <m/>
    <n v="16"/>
    <x v="1"/>
    <x v="1"/>
    <m/>
    <m/>
    <m/>
    <m/>
    <m/>
    <m/>
    <n v="6"/>
    <m/>
    <m/>
    <n v="0"/>
    <m/>
    <m/>
    <n v="2"/>
    <m/>
    <m/>
    <m/>
    <m/>
    <m/>
    <m/>
    <m/>
    <m/>
    <m/>
    <m/>
    <m/>
    <m/>
    <m/>
    <s v="no test"/>
    <s v="no test"/>
    <s v="No Test"/>
    <n v="1"/>
    <n v="3"/>
    <n v="0"/>
    <n v="0"/>
    <n v="0"/>
    <n v="0"/>
    <n v="1"/>
    <n v="1"/>
    <n v="1"/>
    <n v="489"/>
    <n v="0"/>
    <n v="0"/>
    <n v="1"/>
    <n v="489"/>
    <n v="0.97799999999999998"/>
    <n v="0"/>
    <n v="0"/>
    <n v="2.200000000000002E-2"/>
    <n v="1"/>
    <n v="28"/>
    <n v="1"/>
    <n v="489"/>
    <n v="0"/>
    <n v="0"/>
    <n v="0"/>
    <n v="0"/>
    <n v="24"/>
    <n v="0"/>
    <n v="0"/>
    <n v="0"/>
    <n v="489"/>
    <n v="0"/>
    <n v="0"/>
    <n v="0"/>
    <n v="489"/>
    <n v="1"/>
    <n v="0"/>
    <n v="1"/>
    <n v="0"/>
    <n v="0"/>
    <n v="6"/>
    <n v="118"/>
    <n v="0"/>
    <n v="489"/>
    <s v="No"/>
    <s v=""/>
    <n v="0"/>
    <n v="0"/>
    <n v="0"/>
    <s v="KBC-MYT"/>
    <x v="0"/>
    <x v="1"/>
    <x v="1"/>
    <n v="0"/>
    <n v="0"/>
    <s v="MMR001CMP265"/>
    <x v="0"/>
    <s v="cccm_2019OCT"/>
  </r>
  <r>
    <x v="0"/>
    <x v="0"/>
    <x v="0"/>
    <s v="PLAN(GFFO),MHF13490"/>
    <x v="0"/>
    <x v="6"/>
    <x v="1"/>
    <x v="9"/>
    <n v="13"/>
    <n v="66"/>
    <s v="5-1-2019,10-1-2019"/>
    <s v="9-30-2020,7-31-2020"/>
    <m/>
    <m/>
    <m/>
    <m/>
    <s v="Yes"/>
    <m/>
    <n v="5"/>
    <n v="0"/>
    <m/>
    <m/>
    <n v="1"/>
    <m/>
    <m/>
    <m/>
    <m/>
    <m/>
    <m/>
    <m/>
    <m/>
    <m/>
    <m/>
    <n v="2"/>
    <m/>
    <m/>
    <m/>
    <m/>
    <m/>
    <m/>
    <m/>
    <n v="18"/>
    <m/>
    <m/>
    <m/>
    <m/>
    <m/>
    <m/>
    <n v="6"/>
    <x v="1"/>
    <x v="2"/>
    <m/>
    <m/>
    <m/>
    <m/>
    <m/>
    <m/>
    <n v="2"/>
    <m/>
    <m/>
    <n v="2"/>
    <m/>
    <m/>
    <n v="1"/>
    <m/>
    <m/>
    <m/>
    <m/>
    <m/>
    <m/>
    <m/>
    <m/>
    <m/>
    <m/>
    <m/>
    <m/>
    <m/>
    <s v="no test"/>
    <s v="no test"/>
    <s v="No Test"/>
    <n v="0"/>
    <n v="1"/>
    <n v="0"/>
    <n v="0"/>
    <n v="0"/>
    <n v="0"/>
    <n v="1"/>
    <n v="1"/>
    <n v="1"/>
    <n v="66"/>
    <n v="0"/>
    <n v="0"/>
    <n v="1"/>
    <n v="66"/>
    <n v="0.13200000000000001"/>
    <n v="0"/>
    <n v="0"/>
    <n v="0.86799999999999999"/>
    <n v="1"/>
    <n v="18"/>
    <n v="1"/>
    <n v="66"/>
    <n v="0"/>
    <n v="0"/>
    <n v="0"/>
    <n v="0"/>
    <n v="3"/>
    <n v="0"/>
    <n v="0"/>
    <n v="0"/>
    <n v="66"/>
    <n v="0"/>
    <n v="0"/>
    <n v="0"/>
    <n v="66"/>
    <n v="1"/>
    <n v="0"/>
    <n v="1"/>
    <n v="0"/>
    <n v="0"/>
    <n v="2"/>
    <n v="13"/>
    <n v="0"/>
    <n v="66"/>
    <s v="No"/>
    <s v=""/>
    <n v="0"/>
    <n v="0"/>
    <s v="Yes"/>
    <s v="KBC-MYT"/>
    <x v="0"/>
    <x v="1"/>
    <x v="1"/>
    <n v="25.305669999999999"/>
    <n v="96.922619999999995"/>
    <s v="MMR001CMP078"/>
    <x v="0"/>
    <s v="cccm_2019OCT"/>
  </r>
  <r>
    <x v="0"/>
    <x v="0"/>
    <x v="0"/>
    <s v="OFDA"/>
    <x v="0"/>
    <x v="7"/>
    <x v="0"/>
    <x v="10"/>
    <n v="440"/>
    <n v="2199"/>
    <d v="2019-07-01T00:00:00"/>
    <d v="2020-06-30T00:00:00"/>
    <n v="2098"/>
    <m/>
    <m/>
    <m/>
    <s v="Yes"/>
    <m/>
    <n v="4"/>
    <m/>
    <m/>
    <m/>
    <n v="1"/>
    <n v="0"/>
    <m/>
    <m/>
    <m/>
    <m/>
    <m/>
    <n v="0"/>
    <n v="0"/>
    <m/>
    <n v="0"/>
    <n v="0"/>
    <m/>
    <m/>
    <m/>
    <m/>
    <n v="20"/>
    <m/>
    <m/>
    <n v="48"/>
    <n v="0"/>
    <m/>
    <m/>
    <m/>
    <m/>
    <m/>
    <n v="0"/>
    <x v="0"/>
    <x v="0"/>
    <m/>
    <m/>
    <n v="51"/>
    <m/>
    <m/>
    <m/>
    <m/>
    <m/>
    <m/>
    <n v="0"/>
    <m/>
    <m/>
    <m/>
    <m/>
    <m/>
    <m/>
    <m/>
    <m/>
    <m/>
    <m/>
    <m/>
    <m/>
    <m/>
    <m/>
    <m/>
    <m/>
    <s v="no test"/>
    <s v="no test"/>
    <s v="No Test"/>
    <n v="0"/>
    <n v="1"/>
    <n v="0"/>
    <n v="0"/>
    <n v="0"/>
    <n v="0"/>
    <n v="0.22737608003638018"/>
    <n v="0.11368804001819009"/>
    <n v="0.22737608003638018"/>
    <n v="500"/>
    <n v="0"/>
    <n v="0"/>
    <n v="0.22737608003638018"/>
    <n v="500"/>
    <n v="1"/>
    <n v="0.77262391996361979"/>
    <n v="1699"/>
    <n v="3"/>
    <n v="4"/>
    <n v="48"/>
    <n v="0.43656207366984995"/>
    <n v="960"/>
    <n v="0"/>
    <n v="2098"/>
    <n v="0"/>
    <n v="2098"/>
    <n v="110"/>
    <n v="62"/>
    <n v="0.56343792633015011"/>
    <n v="0"/>
    <n v="0"/>
    <n v="0"/>
    <n v="0"/>
    <n v="0"/>
    <n v="0"/>
    <n v="0"/>
    <n v="1"/>
    <n v="0"/>
    <n v="0"/>
    <n v="0"/>
    <n v="0"/>
    <n v="0"/>
    <n v="0"/>
    <n v="0"/>
    <s v="Yes"/>
    <s v=""/>
    <n v="0"/>
    <n v="2098"/>
    <n v="0"/>
    <n v="0"/>
    <x v="0"/>
    <x v="2"/>
    <x v="0"/>
    <n v="0"/>
    <n v="0"/>
    <n v="0"/>
    <x v="0"/>
    <n v="0"/>
  </r>
  <r>
    <x v="0"/>
    <x v="0"/>
    <x v="0"/>
    <m/>
    <x v="0"/>
    <x v="0"/>
    <x v="0"/>
    <x v="11"/>
    <n v="51"/>
    <n v="252"/>
    <m/>
    <m/>
    <m/>
    <m/>
    <m/>
    <m/>
    <m/>
    <m/>
    <n v="2"/>
    <n v="0"/>
    <m/>
    <m/>
    <n v="0"/>
    <m/>
    <m/>
    <m/>
    <m/>
    <m/>
    <m/>
    <m/>
    <m/>
    <m/>
    <m/>
    <n v="0"/>
    <m/>
    <m/>
    <m/>
    <m/>
    <m/>
    <m/>
    <m/>
    <n v="150"/>
    <m/>
    <m/>
    <m/>
    <m/>
    <m/>
    <m/>
    <n v="0"/>
    <x v="0"/>
    <x v="0"/>
    <m/>
    <m/>
    <m/>
    <m/>
    <m/>
    <m/>
    <m/>
    <m/>
    <m/>
    <n v="0"/>
    <m/>
    <m/>
    <m/>
    <m/>
    <m/>
    <m/>
    <m/>
    <m/>
    <m/>
    <m/>
    <m/>
    <m/>
    <m/>
    <m/>
    <m/>
    <m/>
    <s v="no test"/>
    <s v="no test"/>
    <s v="No Test"/>
    <n v="0"/>
    <n v="0"/>
    <n v="0"/>
    <n v="0"/>
    <n v="0"/>
    <n v="0"/>
    <n v="0"/>
    <n v="0"/>
    <n v="0"/>
    <n v="0"/>
    <n v="0"/>
    <n v="0"/>
    <n v="0"/>
    <n v="0"/>
    <n v="0"/>
    <n v="1"/>
    <n v="252"/>
    <n v="1"/>
    <n v="1"/>
    <n v="150"/>
    <n v="1"/>
    <n v="252"/>
    <n v="0"/>
    <n v="0"/>
    <n v="0"/>
    <n v="0"/>
    <n v="13"/>
    <n v="0"/>
    <n v="0"/>
    <n v="0"/>
    <n v="0"/>
    <n v="0"/>
    <n v="0"/>
    <n v="0"/>
    <n v="0"/>
    <n v="0"/>
    <n v="1"/>
    <n v="0"/>
    <n v="0"/>
    <n v="0"/>
    <n v="0"/>
    <n v="0"/>
    <n v="0"/>
    <n v="0"/>
    <s v="No"/>
    <s v=""/>
    <n v="0"/>
    <n v="0"/>
    <n v="0"/>
    <n v="0"/>
    <x v="0"/>
    <x v="0"/>
    <x v="0"/>
    <n v="0"/>
    <n v="0"/>
    <n v="0"/>
    <x v="0"/>
    <m/>
  </r>
  <r>
    <x v="0"/>
    <x v="0"/>
    <x v="0"/>
    <s v="PLAN(GFFO),MHF13490"/>
    <x v="0"/>
    <x v="0"/>
    <x v="1"/>
    <x v="12"/>
    <n v="99"/>
    <n v="547"/>
    <s v="5-1-2019,10-1-2019"/>
    <s v="9-30-2020,7-31-2020"/>
    <m/>
    <m/>
    <m/>
    <m/>
    <s v="Yes"/>
    <m/>
    <n v="3"/>
    <n v="0"/>
    <m/>
    <m/>
    <n v="3"/>
    <m/>
    <m/>
    <n v="1"/>
    <m/>
    <m/>
    <m/>
    <m/>
    <m/>
    <m/>
    <m/>
    <n v="2"/>
    <m/>
    <m/>
    <m/>
    <m/>
    <m/>
    <m/>
    <m/>
    <m/>
    <m/>
    <m/>
    <m/>
    <m/>
    <m/>
    <m/>
    <n v="8"/>
    <x v="1"/>
    <x v="2"/>
    <m/>
    <m/>
    <m/>
    <m/>
    <m/>
    <m/>
    <n v="5"/>
    <m/>
    <m/>
    <n v="2"/>
    <m/>
    <m/>
    <n v="1"/>
    <m/>
    <m/>
    <m/>
    <m/>
    <m/>
    <m/>
    <m/>
    <m/>
    <m/>
    <m/>
    <m/>
    <m/>
    <m/>
    <s v="no test"/>
    <s v="no test"/>
    <s v="No Test"/>
    <n v="0"/>
    <n v="3"/>
    <n v="0"/>
    <n v="0"/>
    <n v="0"/>
    <n v="0"/>
    <n v="1"/>
    <n v="1"/>
    <n v="1"/>
    <n v="547"/>
    <n v="0"/>
    <n v="0"/>
    <n v="1"/>
    <n v="547"/>
    <n v="1.0940000000000001"/>
    <n v="0"/>
    <n v="0"/>
    <n v="0"/>
    <n v="1"/>
    <n v="0"/>
    <n v="0"/>
    <n v="0"/>
    <n v="0"/>
    <n v="0"/>
    <n v="0"/>
    <n v="0"/>
    <n v="27"/>
    <n v="27"/>
    <n v="1"/>
    <n v="0"/>
    <n v="500"/>
    <n v="0"/>
    <n v="0"/>
    <n v="0"/>
    <n v="500"/>
    <n v="0.91407678244972579"/>
    <n v="8.5923217550274211E-2"/>
    <n v="0.91407678244972579"/>
    <n v="0"/>
    <n v="0"/>
    <n v="5"/>
    <n v="99"/>
    <n v="0"/>
    <n v="500"/>
    <s v="No"/>
    <s v=""/>
    <n v="0"/>
    <n v="0"/>
    <s v="Yes"/>
    <s v="KBC-MYT"/>
    <x v="0"/>
    <x v="1"/>
    <x v="1"/>
    <n v="25.362420757575801"/>
    <n v="97.409035000000003"/>
    <s v="MMR001CMP015"/>
    <x v="0"/>
    <s v="cccm_2019OCT"/>
  </r>
  <r>
    <x v="0"/>
    <x v="0"/>
    <x v="0"/>
    <s v="PLAN(GFFO),MHF13490"/>
    <x v="0"/>
    <x v="0"/>
    <x v="1"/>
    <x v="13"/>
    <n v="132"/>
    <n v="676"/>
    <s v="5-1-2019,10-1-2019"/>
    <s v="9-30-2020,7-31-2020"/>
    <m/>
    <m/>
    <m/>
    <m/>
    <s v="Yes"/>
    <m/>
    <n v="3"/>
    <n v="0"/>
    <m/>
    <m/>
    <n v="3"/>
    <m/>
    <m/>
    <m/>
    <m/>
    <m/>
    <m/>
    <m/>
    <m/>
    <m/>
    <m/>
    <n v="2"/>
    <m/>
    <m/>
    <m/>
    <m/>
    <m/>
    <m/>
    <m/>
    <n v="16"/>
    <m/>
    <m/>
    <m/>
    <m/>
    <m/>
    <m/>
    <n v="32"/>
    <x v="1"/>
    <x v="1"/>
    <m/>
    <m/>
    <m/>
    <m/>
    <m/>
    <m/>
    <n v="4"/>
    <m/>
    <m/>
    <n v="2"/>
    <m/>
    <m/>
    <n v="1"/>
    <m/>
    <m/>
    <m/>
    <m/>
    <m/>
    <m/>
    <m/>
    <m/>
    <m/>
    <m/>
    <m/>
    <m/>
    <m/>
    <s v="no test"/>
    <s v="no test"/>
    <s v="No Test"/>
    <n v="0"/>
    <n v="3"/>
    <n v="0"/>
    <n v="0"/>
    <n v="0"/>
    <n v="0"/>
    <n v="1"/>
    <n v="1"/>
    <n v="1"/>
    <n v="676"/>
    <n v="0"/>
    <n v="0"/>
    <n v="1"/>
    <n v="676"/>
    <n v="1.3520000000000001"/>
    <n v="0"/>
    <n v="0"/>
    <n v="0"/>
    <n v="1"/>
    <n v="16"/>
    <n v="0.47337278106508873"/>
    <n v="320"/>
    <n v="0"/>
    <n v="0"/>
    <n v="0"/>
    <n v="0"/>
    <n v="34"/>
    <n v="18"/>
    <n v="0.52662721893491127"/>
    <n v="0"/>
    <n v="500"/>
    <n v="0"/>
    <n v="0"/>
    <n v="0"/>
    <n v="500"/>
    <n v="0.73964497041420119"/>
    <n v="0.26035502958579881"/>
    <n v="0.73964497041420119"/>
    <n v="0"/>
    <n v="0"/>
    <n v="4"/>
    <n v="80"/>
    <n v="0"/>
    <n v="400"/>
    <s v="No"/>
    <s v=""/>
    <n v="0"/>
    <n v="0"/>
    <s v="Yes"/>
    <s v="KBC-MYT"/>
    <x v="0"/>
    <x v="1"/>
    <x v="1"/>
    <n v="25.3510167948718"/>
    <n v="97.403402307692303"/>
    <s v="MMR001CMP014"/>
    <x v="0"/>
    <s v="cccm_2019OCT"/>
  </r>
  <r>
    <x v="0"/>
    <x v="0"/>
    <x v="0"/>
    <s v="PLAN(GFFO),MHF13490"/>
    <x v="0"/>
    <x v="8"/>
    <x v="1"/>
    <x v="14"/>
    <n v="60"/>
    <n v="289"/>
    <s v="5-1-2019,10-1-2019"/>
    <s v="9-30-2020,7-31-2020"/>
    <m/>
    <m/>
    <m/>
    <m/>
    <s v="Yes"/>
    <m/>
    <n v="5"/>
    <n v="1"/>
    <m/>
    <m/>
    <m/>
    <m/>
    <m/>
    <m/>
    <m/>
    <m/>
    <m/>
    <m/>
    <n v="1"/>
    <m/>
    <m/>
    <n v="1"/>
    <m/>
    <m/>
    <m/>
    <m/>
    <m/>
    <m/>
    <m/>
    <n v="12"/>
    <m/>
    <m/>
    <m/>
    <m/>
    <m/>
    <m/>
    <n v="12"/>
    <x v="1"/>
    <x v="1"/>
    <m/>
    <m/>
    <m/>
    <m/>
    <m/>
    <m/>
    <n v="4"/>
    <m/>
    <m/>
    <n v="2"/>
    <m/>
    <m/>
    <n v="2"/>
    <n v="366"/>
    <n v="122"/>
    <m/>
    <m/>
    <m/>
    <m/>
    <m/>
    <m/>
    <m/>
    <m/>
    <m/>
    <m/>
    <m/>
    <s v="no test"/>
    <s v="no test"/>
    <s v="No Test"/>
    <n v="1"/>
    <n v="0"/>
    <n v="0"/>
    <n v="0"/>
    <n v="0"/>
    <n v="0"/>
    <n v="1"/>
    <n v="0.86505190311418689"/>
    <n v="1"/>
    <n v="289"/>
    <n v="0.86505190311418689"/>
    <n v="250"/>
    <n v="1"/>
    <n v="289"/>
    <n v="0.57799999999999996"/>
    <n v="0"/>
    <n v="0"/>
    <n v="0.42200000000000004"/>
    <n v="1"/>
    <n v="12"/>
    <n v="0.83044982698961933"/>
    <n v="240"/>
    <n v="0"/>
    <n v="0"/>
    <n v="0"/>
    <n v="0"/>
    <n v="14"/>
    <n v="2"/>
    <n v="0.16955017301038067"/>
    <n v="0"/>
    <n v="289"/>
    <n v="289"/>
    <n v="122"/>
    <n v="289"/>
    <n v="289"/>
    <n v="1"/>
    <n v="0"/>
    <n v="1"/>
    <n v="1"/>
    <n v="1"/>
    <n v="4"/>
    <n v="60"/>
    <n v="0"/>
    <n v="289"/>
    <s v="No"/>
    <s v=""/>
    <n v="0"/>
    <n v="0"/>
    <s v="Yes"/>
    <s v="KBC-MYT"/>
    <x v="0"/>
    <x v="1"/>
    <x v="1"/>
    <n v="27.337499999999999"/>
    <n v="97.416121000000004"/>
    <s v="MMR001CMP234"/>
    <x v="0"/>
    <s v="cccm_2019OCT"/>
  </r>
  <r>
    <x v="0"/>
    <x v="0"/>
    <x v="0"/>
    <s v="PLAN(GFFO),MHF13490"/>
    <x v="0"/>
    <x v="6"/>
    <x v="1"/>
    <x v="15"/>
    <n v="16"/>
    <n v="78"/>
    <s v="5-1-2019,10-1-2019"/>
    <s v="9-30-2020,7-31-2020"/>
    <m/>
    <m/>
    <m/>
    <m/>
    <s v="Yes"/>
    <m/>
    <n v="5"/>
    <n v="0"/>
    <m/>
    <m/>
    <n v="1"/>
    <m/>
    <m/>
    <m/>
    <m/>
    <m/>
    <m/>
    <m/>
    <m/>
    <m/>
    <m/>
    <n v="2"/>
    <m/>
    <m/>
    <m/>
    <m/>
    <m/>
    <m/>
    <m/>
    <n v="2"/>
    <m/>
    <m/>
    <m/>
    <m/>
    <m/>
    <m/>
    <n v="2"/>
    <x v="1"/>
    <x v="1"/>
    <m/>
    <m/>
    <m/>
    <m/>
    <m/>
    <m/>
    <n v="2"/>
    <m/>
    <m/>
    <n v="2"/>
    <m/>
    <m/>
    <n v="1"/>
    <m/>
    <m/>
    <m/>
    <m/>
    <m/>
    <m/>
    <m/>
    <m/>
    <m/>
    <m/>
    <m/>
    <m/>
    <m/>
    <s v="no test"/>
    <s v="no test"/>
    <s v="No Test"/>
    <n v="0"/>
    <n v="1"/>
    <n v="0"/>
    <n v="0"/>
    <n v="0"/>
    <n v="0"/>
    <n v="1"/>
    <n v="1"/>
    <n v="1"/>
    <n v="78"/>
    <n v="0"/>
    <n v="0"/>
    <n v="1"/>
    <n v="78"/>
    <n v="0.156"/>
    <n v="0"/>
    <n v="0"/>
    <n v="0.84399999999999997"/>
    <n v="1"/>
    <n v="2"/>
    <n v="0.51282051282051277"/>
    <n v="40"/>
    <n v="0"/>
    <n v="0"/>
    <n v="0"/>
    <n v="0"/>
    <n v="4"/>
    <n v="2"/>
    <n v="0.48717948717948723"/>
    <n v="0"/>
    <n v="78"/>
    <n v="0"/>
    <n v="0"/>
    <n v="0"/>
    <n v="78"/>
    <n v="1"/>
    <n v="0"/>
    <n v="1"/>
    <n v="0"/>
    <n v="0"/>
    <n v="2"/>
    <n v="16"/>
    <n v="0"/>
    <n v="78"/>
    <s v="No"/>
    <s v=""/>
    <n v="0"/>
    <n v="0"/>
    <s v="Yes"/>
    <s v="KBC-MYT"/>
    <x v="0"/>
    <x v="1"/>
    <x v="1"/>
    <n v="25.296579999999999"/>
    <n v="96.942279999999997"/>
    <s v="MMR001CMP077"/>
    <x v="0"/>
    <s v="cccm_2019OCT"/>
  </r>
  <r>
    <x v="0"/>
    <x v="0"/>
    <x v="0"/>
    <s v="PLAN(GFFO),MHF13490"/>
    <x v="0"/>
    <x v="2"/>
    <x v="1"/>
    <x v="16"/>
    <n v="28"/>
    <n v="159"/>
    <s v="5-1-2019,10-1-2019"/>
    <s v="9-30-2020,7-31-2020"/>
    <m/>
    <m/>
    <m/>
    <m/>
    <s v="Yes"/>
    <m/>
    <n v="4"/>
    <n v="2"/>
    <m/>
    <m/>
    <n v="1"/>
    <m/>
    <m/>
    <m/>
    <n v="0"/>
    <m/>
    <m/>
    <m/>
    <m/>
    <m/>
    <m/>
    <n v="3"/>
    <m/>
    <m/>
    <m/>
    <m/>
    <m/>
    <m/>
    <m/>
    <n v="6"/>
    <m/>
    <m/>
    <m/>
    <m/>
    <m/>
    <m/>
    <n v="6"/>
    <x v="1"/>
    <x v="1"/>
    <m/>
    <m/>
    <m/>
    <m/>
    <m/>
    <m/>
    <n v="2"/>
    <m/>
    <m/>
    <n v="3"/>
    <m/>
    <m/>
    <n v="1"/>
    <m/>
    <m/>
    <m/>
    <m/>
    <m/>
    <m/>
    <m/>
    <m/>
    <m/>
    <m/>
    <m/>
    <m/>
    <m/>
    <s v="no test"/>
    <s v="no test"/>
    <s v="No Test"/>
    <n v="2"/>
    <n v="1"/>
    <n v="0"/>
    <n v="0"/>
    <n v="0"/>
    <n v="0"/>
    <n v="1"/>
    <n v="1"/>
    <n v="1"/>
    <n v="159"/>
    <n v="0"/>
    <n v="0"/>
    <n v="1"/>
    <n v="159"/>
    <n v="0.318"/>
    <n v="0"/>
    <n v="0"/>
    <n v="0.68199999999999994"/>
    <n v="1"/>
    <n v="6"/>
    <n v="0.75471698113207553"/>
    <n v="120"/>
    <n v="0"/>
    <n v="0"/>
    <n v="0"/>
    <n v="0"/>
    <n v="8"/>
    <n v="2"/>
    <n v="0.24528301886792447"/>
    <n v="0"/>
    <n v="159"/>
    <n v="0"/>
    <n v="0"/>
    <n v="0"/>
    <n v="159"/>
    <n v="1"/>
    <n v="0"/>
    <n v="1"/>
    <n v="0"/>
    <n v="0"/>
    <n v="2"/>
    <n v="28"/>
    <n v="0"/>
    <n v="159"/>
    <s v="No"/>
    <s v=""/>
    <n v="0"/>
    <n v="0"/>
    <s v="Yes"/>
    <s v="KBC-MYT"/>
    <x v="0"/>
    <x v="1"/>
    <x v="1"/>
    <n v="25.356632000000001"/>
    <n v="97.451965000000001"/>
    <s v="MMR001CMP027"/>
    <x v="0"/>
    <s v="cccm_2019OCT"/>
  </r>
  <r>
    <x v="0"/>
    <x v="0"/>
    <x v="0"/>
    <s v="PLAN(GFFO),MHF13490"/>
    <x v="0"/>
    <x v="2"/>
    <x v="1"/>
    <x v="17"/>
    <n v="494"/>
    <n v="2500"/>
    <s v="5-1-2019,10-1-2019"/>
    <s v="9-30-2020,7-31-2020"/>
    <m/>
    <m/>
    <m/>
    <m/>
    <s v="Yes"/>
    <m/>
    <n v="5"/>
    <n v="9"/>
    <m/>
    <m/>
    <n v="2"/>
    <m/>
    <m/>
    <m/>
    <m/>
    <m/>
    <m/>
    <n v="9000"/>
    <m/>
    <m/>
    <m/>
    <n v="9"/>
    <m/>
    <m/>
    <m/>
    <m/>
    <m/>
    <m/>
    <m/>
    <n v="130"/>
    <m/>
    <m/>
    <m/>
    <m/>
    <m/>
    <m/>
    <n v="130"/>
    <x v="1"/>
    <x v="1"/>
    <m/>
    <m/>
    <m/>
    <m/>
    <m/>
    <m/>
    <n v="2"/>
    <m/>
    <m/>
    <n v="6"/>
    <m/>
    <m/>
    <n v="5"/>
    <m/>
    <m/>
    <m/>
    <m/>
    <m/>
    <m/>
    <m/>
    <m/>
    <m/>
    <m/>
    <m/>
    <m/>
    <m/>
    <s v="no test"/>
    <s v="no test"/>
    <s v="No Test"/>
    <n v="9"/>
    <n v="2"/>
    <n v="0"/>
    <n v="6.666666666666667"/>
    <n v="0"/>
    <n v="0"/>
    <n v="1"/>
    <n v="1"/>
    <n v="1"/>
    <n v="2500"/>
    <n v="0"/>
    <n v="0"/>
    <n v="1"/>
    <n v="2500"/>
    <n v="5"/>
    <n v="0"/>
    <n v="0"/>
    <n v="0"/>
    <n v="5"/>
    <n v="130"/>
    <n v="1"/>
    <n v="2500"/>
    <n v="0"/>
    <n v="0"/>
    <n v="0"/>
    <n v="0"/>
    <n v="125"/>
    <n v="0"/>
    <n v="0"/>
    <n v="0"/>
    <n v="2500"/>
    <n v="0"/>
    <n v="0"/>
    <n v="0"/>
    <n v="2500"/>
    <n v="1"/>
    <n v="0"/>
    <n v="1"/>
    <n v="0"/>
    <n v="0"/>
    <n v="2"/>
    <n v="40"/>
    <n v="0"/>
    <n v="200"/>
    <s v="No"/>
    <s v=""/>
    <n v="0"/>
    <n v="0"/>
    <s v="Yes"/>
    <s v="KBC-MYT"/>
    <x v="0"/>
    <x v="1"/>
    <x v="1"/>
    <n v="25.4118005797101"/>
    <n v="97.434855869565197"/>
    <s v="MMR001CMP040"/>
    <x v="0"/>
    <s v="cccm_2019OCT"/>
  </r>
  <r>
    <x v="0"/>
    <x v="0"/>
    <x v="0"/>
    <s v="PLAN(GFFO),MHF13490"/>
    <x v="0"/>
    <x v="2"/>
    <x v="1"/>
    <x v="18"/>
    <n v="43"/>
    <n v="191"/>
    <s v="5-1-2019,10-1-2019"/>
    <s v="9-30-2020,7-31-2020"/>
    <m/>
    <m/>
    <m/>
    <m/>
    <s v="Yes"/>
    <m/>
    <n v="5"/>
    <n v="1"/>
    <m/>
    <m/>
    <n v="0"/>
    <m/>
    <m/>
    <m/>
    <m/>
    <m/>
    <m/>
    <m/>
    <m/>
    <m/>
    <m/>
    <n v="2"/>
    <m/>
    <m/>
    <m/>
    <m/>
    <m/>
    <m/>
    <m/>
    <n v="10"/>
    <m/>
    <m/>
    <m/>
    <m/>
    <m/>
    <m/>
    <n v="10"/>
    <x v="1"/>
    <x v="1"/>
    <m/>
    <m/>
    <m/>
    <m/>
    <m/>
    <m/>
    <n v="2"/>
    <m/>
    <m/>
    <n v="2"/>
    <m/>
    <m/>
    <n v="1"/>
    <m/>
    <m/>
    <m/>
    <m/>
    <m/>
    <m/>
    <m/>
    <m/>
    <m/>
    <m/>
    <m/>
    <m/>
    <m/>
    <s v="no test"/>
    <s v="no test"/>
    <s v="No Test"/>
    <n v="1"/>
    <n v="0"/>
    <n v="0"/>
    <n v="0"/>
    <n v="0"/>
    <n v="0"/>
    <n v="1"/>
    <n v="1"/>
    <n v="1"/>
    <n v="191"/>
    <n v="0"/>
    <n v="0"/>
    <n v="1"/>
    <n v="191"/>
    <n v="0.38200000000000001"/>
    <n v="0"/>
    <n v="0"/>
    <n v="0.61799999999999999"/>
    <n v="1"/>
    <n v="10"/>
    <n v="1"/>
    <n v="191"/>
    <n v="0"/>
    <n v="0"/>
    <n v="0"/>
    <n v="0"/>
    <n v="10"/>
    <n v="0"/>
    <n v="0"/>
    <n v="0"/>
    <n v="191"/>
    <n v="0"/>
    <n v="0"/>
    <n v="0"/>
    <n v="191"/>
    <n v="1"/>
    <n v="0"/>
    <n v="1"/>
    <n v="0"/>
    <n v="0"/>
    <n v="2"/>
    <n v="40"/>
    <n v="0"/>
    <n v="191"/>
    <s v="No"/>
    <s v=""/>
    <n v="0"/>
    <n v="0"/>
    <s v="Yes"/>
    <s v="KBC-MYT"/>
    <x v="0"/>
    <x v="1"/>
    <x v="1"/>
    <n v="25.409612685185198"/>
    <n v="97.426536944444507"/>
    <s v="MMR001CMP039"/>
    <x v="0"/>
    <s v="cccm_2019OCT"/>
  </r>
  <r>
    <x v="0"/>
    <x v="0"/>
    <x v="0"/>
    <s v="PLAN(GFFO),MHF13490"/>
    <x v="0"/>
    <x v="9"/>
    <x v="1"/>
    <x v="19"/>
    <n v="435"/>
    <n v="1855"/>
    <s v="5-1-2019,10-1-2019"/>
    <s v="9-30-2020,7-31-2020"/>
    <m/>
    <m/>
    <m/>
    <m/>
    <s v="Yes"/>
    <m/>
    <n v="3"/>
    <n v="0"/>
    <m/>
    <m/>
    <n v="4"/>
    <m/>
    <m/>
    <m/>
    <m/>
    <m/>
    <m/>
    <m/>
    <m/>
    <m/>
    <m/>
    <m/>
    <m/>
    <m/>
    <m/>
    <m/>
    <m/>
    <m/>
    <m/>
    <n v="110"/>
    <m/>
    <m/>
    <m/>
    <m/>
    <m/>
    <m/>
    <n v="110"/>
    <x v="1"/>
    <x v="1"/>
    <m/>
    <m/>
    <m/>
    <m/>
    <m/>
    <m/>
    <m/>
    <m/>
    <m/>
    <n v="10"/>
    <m/>
    <m/>
    <n v="6"/>
    <m/>
    <m/>
    <m/>
    <m/>
    <m/>
    <m/>
    <m/>
    <m/>
    <m/>
    <m/>
    <m/>
    <m/>
    <m/>
    <s v="no test"/>
    <s v="no test"/>
    <s v="No Test"/>
    <n v="0"/>
    <n v="4"/>
    <n v="0"/>
    <n v="0"/>
    <n v="0"/>
    <n v="0"/>
    <n v="1"/>
    <n v="0.53908355795148244"/>
    <n v="1"/>
    <n v="1855"/>
    <n v="0"/>
    <n v="0"/>
    <n v="1"/>
    <n v="1855"/>
    <n v="3.71"/>
    <n v="0"/>
    <n v="0"/>
    <n v="0.29000000000000004"/>
    <n v="4"/>
    <n v="110"/>
    <n v="1"/>
    <n v="1855"/>
    <n v="0"/>
    <n v="0"/>
    <n v="0"/>
    <n v="0"/>
    <n v="93"/>
    <n v="0"/>
    <n v="0"/>
    <n v="0"/>
    <n v="1855"/>
    <n v="0"/>
    <n v="0"/>
    <n v="0"/>
    <n v="1855"/>
    <n v="1"/>
    <n v="0"/>
    <n v="1"/>
    <n v="0"/>
    <n v="0"/>
    <n v="0"/>
    <n v="0"/>
    <n v="0"/>
    <n v="0"/>
    <s v="No"/>
    <s v=""/>
    <n v="0"/>
    <n v="0"/>
    <s v="Yes"/>
    <s v="KBC-BMO"/>
    <x v="0"/>
    <x v="1"/>
    <x v="1"/>
    <n v="23.972453000000002"/>
    <n v="97.225881000000001"/>
    <s v="MMR001CMP218"/>
    <x v="0"/>
    <s v="cccm_2019OCT"/>
  </r>
  <r>
    <x v="0"/>
    <x v="0"/>
    <x v="0"/>
    <s v="PLAN(GFFO),MHF13490"/>
    <x v="0"/>
    <x v="0"/>
    <x v="1"/>
    <x v="20"/>
    <n v="61"/>
    <n v="290"/>
    <s v="5-1-2019,10-1-2019"/>
    <s v="9-30-2020,7-31-2020"/>
    <m/>
    <m/>
    <m/>
    <m/>
    <s v="Yes"/>
    <m/>
    <m/>
    <n v="1"/>
    <m/>
    <m/>
    <n v="1"/>
    <m/>
    <m/>
    <m/>
    <m/>
    <m/>
    <m/>
    <m/>
    <m/>
    <m/>
    <m/>
    <n v="2"/>
    <m/>
    <m/>
    <m/>
    <m/>
    <m/>
    <m/>
    <m/>
    <n v="7"/>
    <m/>
    <m/>
    <m/>
    <m/>
    <m/>
    <m/>
    <n v="7"/>
    <x v="1"/>
    <x v="2"/>
    <m/>
    <m/>
    <m/>
    <m/>
    <m/>
    <m/>
    <n v="3"/>
    <m/>
    <m/>
    <n v="3"/>
    <m/>
    <m/>
    <n v="1"/>
    <m/>
    <m/>
    <m/>
    <m/>
    <m/>
    <m/>
    <m/>
    <m/>
    <m/>
    <m/>
    <m/>
    <m/>
    <m/>
    <s v="no test"/>
    <s v="no test"/>
    <s v="No Test"/>
    <n v="1"/>
    <n v="1"/>
    <n v="0"/>
    <n v="0"/>
    <n v="0"/>
    <n v="0"/>
    <n v="1"/>
    <n v="1"/>
    <n v="1"/>
    <n v="290"/>
    <n v="0"/>
    <n v="0"/>
    <n v="1"/>
    <n v="290"/>
    <n v="0.57999999999999996"/>
    <n v="0"/>
    <n v="0"/>
    <n v="0.42000000000000004"/>
    <n v="1"/>
    <n v="7"/>
    <n v="0.48275862068965519"/>
    <n v="140"/>
    <n v="0"/>
    <n v="0"/>
    <n v="0"/>
    <n v="0"/>
    <n v="15"/>
    <n v="8"/>
    <n v="0.51724137931034475"/>
    <n v="0"/>
    <n v="290"/>
    <n v="0"/>
    <n v="0"/>
    <n v="0"/>
    <n v="290"/>
    <n v="1"/>
    <n v="0"/>
    <n v="1"/>
    <n v="0"/>
    <n v="0"/>
    <n v="3"/>
    <n v="60"/>
    <n v="0"/>
    <n v="290"/>
    <s v="No"/>
    <s v=""/>
    <n v="0"/>
    <n v="0"/>
    <s v="Yes"/>
    <s v="KBC-MYT"/>
    <x v="0"/>
    <x v="1"/>
    <x v="1"/>
    <n v="25.360463124999999"/>
    <n v="97.4113064583333"/>
    <s v="MMR001CMP016"/>
    <x v="0"/>
    <s v="cccm_2019OCT"/>
  </r>
  <r>
    <x v="0"/>
    <x v="0"/>
    <x v="0"/>
    <s v="PLAN(GFFO),MHF13490"/>
    <x v="0"/>
    <x v="0"/>
    <x v="1"/>
    <x v="21"/>
    <n v="101"/>
    <n v="547"/>
    <s v="5-1-2019,10-1-2019"/>
    <s v="9-30-2020,7-31-2020"/>
    <m/>
    <m/>
    <m/>
    <m/>
    <s v="Yes"/>
    <m/>
    <n v="3"/>
    <n v="0"/>
    <m/>
    <m/>
    <n v="2"/>
    <m/>
    <m/>
    <m/>
    <m/>
    <m/>
    <m/>
    <m/>
    <m/>
    <m/>
    <m/>
    <n v="3"/>
    <m/>
    <m/>
    <m/>
    <m/>
    <m/>
    <m/>
    <m/>
    <n v="34"/>
    <m/>
    <m/>
    <m/>
    <m/>
    <m/>
    <m/>
    <n v="34"/>
    <x v="1"/>
    <x v="2"/>
    <m/>
    <m/>
    <m/>
    <m/>
    <m/>
    <m/>
    <n v="2"/>
    <m/>
    <m/>
    <n v="2"/>
    <m/>
    <m/>
    <n v="2"/>
    <m/>
    <m/>
    <m/>
    <m/>
    <m/>
    <m/>
    <m/>
    <m/>
    <m/>
    <m/>
    <m/>
    <m/>
    <m/>
    <s v="no test"/>
    <s v="no test"/>
    <s v="No Test"/>
    <n v="0"/>
    <n v="2"/>
    <n v="0"/>
    <n v="0"/>
    <n v="0"/>
    <n v="0"/>
    <n v="1"/>
    <n v="0.91407678244972579"/>
    <n v="1"/>
    <n v="547"/>
    <n v="0"/>
    <n v="0"/>
    <n v="1"/>
    <n v="547"/>
    <n v="1.0940000000000001"/>
    <n v="0"/>
    <n v="0"/>
    <n v="0"/>
    <n v="1"/>
    <n v="34"/>
    <n v="1"/>
    <n v="547"/>
    <n v="0"/>
    <n v="0"/>
    <n v="0"/>
    <n v="0"/>
    <n v="27"/>
    <n v="0"/>
    <n v="0"/>
    <n v="0"/>
    <n v="547"/>
    <n v="0"/>
    <n v="0"/>
    <n v="0"/>
    <n v="547"/>
    <n v="1"/>
    <n v="0"/>
    <n v="1"/>
    <n v="0"/>
    <n v="0"/>
    <n v="2"/>
    <n v="40"/>
    <n v="0"/>
    <n v="200"/>
    <s v="No"/>
    <s v=""/>
    <n v="0"/>
    <n v="0"/>
    <s v="Yes"/>
    <s v="KBC-MYT"/>
    <x v="0"/>
    <x v="1"/>
    <x v="1"/>
    <n v="25.428910999999999"/>
    <n v="97.418694000000002"/>
    <s v="MMR001CMP008"/>
    <x v="0"/>
    <s v="cccm_2019OCT"/>
  </r>
  <r>
    <x v="0"/>
    <x v="0"/>
    <x v="0"/>
    <s v="PLAN(GFFO),MHF13490"/>
    <x v="0"/>
    <x v="10"/>
    <x v="0"/>
    <x v="22"/>
    <n v="37"/>
    <n v="161"/>
    <s v="5-1-2019,10-1-2019"/>
    <s v="9-30-2020,7-31-2020"/>
    <m/>
    <m/>
    <m/>
    <m/>
    <m/>
    <m/>
    <n v="3"/>
    <m/>
    <m/>
    <m/>
    <n v="2"/>
    <m/>
    <m/>
    <m/>
    <m/>
    <m/>
    <m/>
    <m/>
    <m/>
    <m/>
    <m/>
    <n v="2"/>
    <m/>
    <m/>
    <m/>
    <m/>
    <n v="0"/>
    <m/>
    <m/>
    <n v="7"/>
    <m/>
    <m/>
    <m/>
    <m/>
    <m/>
    <m/>
    <n v="6"/>
    <x v="1"/>
    <x v="1"/>
    <m/>
    <m/>
    <m/>
    <m/>
    <m/>
    <m/>
    <m/>
    <m/>
    <m/>
    <n v="2"/>
    <m/>
    <m/>
    <n v="1"/>
    <m/>
    <m/>
    <m/>
    <m/>
    <m/>
    <m/>
    <m/>
    <m/>
    <m/>
    <m/>
    <m/>
    <m/>
    <m/>
    <s v="no test"/>
    <s v="no test"/>
    <s v="No Test"/>
    <n v="0"/>
    <n v="2"/>
    <n v="0"/>
    <n v="0"/>
    <n v="0"/>
    <n v="0"/>
    <n v="1"/>
    <n v="1"/>
    <n v="1"/>
    <n v="161"/>
    <n v="0"/>
    <n v="0"/>
    <n v="1"/>
    <n v="161"/>
    <n v="0.32200000000000001"/>
    <n v="0"/>
    <n v="0"/>
    <n v="0.67799999999999994"/>
    <n v="1"/>
    <n v="7"/>
    <n v="0.86956521739130432"/>
    <n v="140"/>
    <n v="0"/>
    <n v="0"/>
    <n v="0"/>
    <n v="0"/>
    <n v="8"/>
    <n v="1"/>
    <n v="0.13043478260869568"/>
    <n v="0"/>
    <n v="161"/>
    <n v="0"/>
    <n v="0"/>
    <n v="0"/>
    <n v="161"/>
    <n v="1"/>
    <n v="0"/>
    <n v="1"/>
    <n v="0"/>
    <n v="0"/>
    <n v="0"/>
    <n v="0"/>
    <n v="0"/>
    <n v="0"/>
    <s v="No"/>
    <s v=""/>
    <n v="0"/>
    <n v="0"/>
    <n v="0"/>
    <n v="0"/>
    <x v="0"/>
    <x v="0"/>
    <x v="1"/>
    <n v="0"/>
    <n v="0"/>
    <n v="0"/>
    <x v="0"/>
    <m/>
  </r>
  <r>
    <x v="0"/>
    <x v="0"/>
    <x v="0"/>
    <s v="PLAN(GFFO),MHF13490"/>
    <x v="0"/>
    <x v="6"/>
    <x v="0"/>
    <x v="23"/>
    <n v="6"/>
    <n v="36"/>
    <s v="5-1-2019,10-1-2019"/>
    <s v="9-30-2020,7-31-2020"/>
    <m/>
    <m/>
    <m/>
    <m/>
    <s v="Yes"/>
    <m/>
    <n v="4"/>
    <n v="0"/>
    <m/>
    <m/>
    <n v="1"/>
    <m/>
    <m/>
    <m/>
    <m/>
    <m/>
    <m/>
    <m/>
    <m/>
    <m/>
    <m/>
    <n v="3"/>
    <m/>
    <m/>
    <m/>
    <m/>
    <m/>
    <m/>
    <m/>
    <n v="2"/>
    <m/>
    <m/>
    <m/>
    <m/>
    <m/>
    <m/>
    <n v="2"/>
    <x v="1"/>
    <x v="1"/>
    <m/>
    <m/>
    <m/>
    <m/>
    <m/>
    <m/>
    <n v="1"/>
    <m/>
    <m/>
    <n v="0"/>
    <m/>
    <m/>
    <n v="1"/>
    <m/>
    <m/>
    <m/>
    <m/>
    <m/>
    <m/>
    <m/>
    <m/>
    <m/>
    <m/>
    <m/>
    <m/>
    <m/>
    <s v="no test"/>
    <s v="no test"/>
    <s v="No Test"/>
    <n v="0"/>
    <n v="1"/>
    <n v="0"/>
    <n v="0"/>
    <n v="0"/>
    <n v="0"/>
    <n v="1"/>
    <n v="1"/>
    <n v="1"/>
    <n v="36"/>
    <n v="0"/>
    <n v="0"/>
    <n v="1"/>
    <n v="36"/>
    <n v="7.1999999999999995E-2"/>
    <n v="0"/>
    <n v="0"/>
    <n v="0.92800000000000005"/>
    <n v="1"/>
    <n v="2"/>
    <n v="1"/>
    <n v="36"/>
    <n v="0"/>
    <n v="0"/>
    <n v="0"/>
    <n v="0"/>
    <n v="2"/>
    <n v="0"/>
    <n v="0"/>
    <n v="0"/>
    <n v="36"/>
    <n v="0"/>
    <n v="0"/>
    <n v="0"/>
    <n v="36"/>
    <n v="1"/>
    <n v="0"/>
    <n v="1"/>
    <n v="0"/>
    <n v="0"/>
    <n v="1"/>
    <n v="6"/>
    <n v="0"/>
    <n v="36"/>
    <s v="No"/>
    <s v=""/>
    <n v="0"/>
    <n v="0"/>
    <n v="0"/>
    <n v="0"/>
    <x v="0"/>
    <x v="0"/>
    <x v="1"/>
    <n v="0"/>
    <n v="0"/>
    <n v="0"/>
    <x v="0"/>
    <m/>
  </r>
  <r>
    <x v="0"/>
    <x v="0"/>
    <x v="0"/>
    <s v="PLAN(GFFO),MHF13490"/>
    <x v="0"/>
    <x v="6"/>
    <x v="1"/>
    <x v="24"/>
    <n v="105"/>
    <n v="474"/>
    <s v="5-1-2019,10-1-2019"/>
    <s v="9-30-2020,7-31-2020"/>
    <m/>
    <m/>
    <m/>
    <m/>
    <s v="Yes"/>
    <m/>
    <n v="4"/>
    <n v="1"/>
    <m/>
    <m/>
    <m/>
    <m/>
    <m/>
    <m/>
    <m/>
    <m/>
    <m/>
    <m/>
    <m/>
    <m/>
    <m/>
    <n v="2"/>
    <m/>
    <m/>
    <m/>
    <m/>
    <m/>
    <m/>
    <m/>
    <n v="13"/>
    <m/>
    <m/>
    <m/>
    <m/>
    <m/>
    <m/>
    <n v="12"/>
    <x v="1"/>
    <x v="1"/>
    <m/>
    <m/>
    <m/>
    <m/>
    <m/>
    <m/>
    <n v="3"/>
    <m/>
    <m/>
    <n v="3"/>
    <m/>
    <m/>
    <n v="2"/>
    <m/>
    <m/>
    <m/>
    <m/>
    <m/>
    <m/>
    <m/>
    <m/>
    <m/>
    <m/>
    <m/>
    <m/>
    <m/>
    <s v="no test"/>
    <s v="no test"/>
    <s v="No Test"/>
    <n v="1"/>
    <n v="0"/>
    <n v="0"/>
    <n v="0"/>
    <n v="0"/>
    <n v="0"/>
    <n v="0.84388185654008441"/>
    <n v="0.52742616033755274"/>
    <n v="0.84388185654008441"/>
    <n v="400"/>
    <n v="0"/>
    <n v="0"/>
    <n v="0.84388185654008441"/>
    <n v="400"/>
    <n v="0.8"/>
    <n v="0.15611814345991559"/>
    <n v="73.999999999999986"/>
    <n v="0.19999999999999996"/>
    <n v="1"/>
    <n v="13"/>
    <n v="0.54852320675105481"/>
    <n v="260"/>
    <n v="0"/>
    <n v="0"/>
    <n v="0"/>
    <n v="0"/>
    <n v="24"/>
    <n v="11"/>
    <n v="0.45147679324894519"/>
    <n v="0"/>
    <n v="474"/>
    <n v="0"/>
    <n v="0"/>
    <n v="0"/>
    <n v="474"/>
    <n v="1"/>
    <n v="0"/>
    <n v="1"/>
    <n v="0"/>
    <n v="0"/>
    <n v="3"/>
    <n v="60"/>
    <n v="0"/>
    <n v="300"/>
    <s v="No"/>
    <s v=""/>
    <n v="0"/>
    <n v="0"/>
    <n v="0"/>
    <s v="KBC-MYT"/>
    <x v="0"/>
    <x v="1"/>
    <x v="1"/>
    <n v="25.379014999999999"/>
    <n v="97.104997409999996"/>
    <s v="MMR001CMP261"/>
    <x v="0"/>
    <s v="cccm_2019OCT"/>
  </r>
  <r>
    <x v="0"/>
    <x v="0"/>
    <x v="0"/>
    <s v="PLAN(GFFO),MHF13490"/>
    <x v="0"/>
    <x v="6"/>
    <x v="1"/>
    <x v="25"/>
    <n v="10"/>
    <n v="41"/>
    <s v="5-1-2019,10-1-2019"/>
    <s v="9-30-2020,7-31-2020"/>
    <m/>
    <m/>
    <m/>
    <m/>
    <s v="Yes"/>
    <m/>
    <n v="4"/>
    <n v="1"/>
    <m/>
    <m/>
    <m/>
    <m/>
    <m/>
    <m/>
    <m/>
    <m/>
    <m/>
    <m/>
    <m/>
    <m/>
    <m/>
    <n v="3"/>
    <m/>
    <m/>
    <m/>
    <m/>
    <m/>
    <m/>
    <m/>
    <n v="3"/>
    <m/>
    <m/>
    <m/>
    <m/>
    <m/>
    <m/>
    <n v="3"/>
    <x v="1"/>
    <x v="1"/>
    <m/>
    <m/>
    <m/>
    <m/>
    <m/>
    <m/>
    <n v="2"/>
    <m/>
    <m/>
    <n v="2"/>
    <m/>
    <m/>
    <n v="1"/>
    <m/>
    <m/>
    <m/>
    <m/>
    <m/>
    <m/>
    <m/>
    <m/>
    <m/>
    <m/>
    <m/>
    <m/>
    <m/>
    <s v="no test"/>
    <s v="no test"/>
    <s v="No Test"/>
    <n v="1"/>
    <n v="0"/>
    <n v="0"/>
    <n v="0"/>
    <n v="0"/>
    <n v="0"/>
    <n v="1"/>
    <n v="1"/>
    <n v="1"/>
    <n v="41"/>
    <n v="0"/>
    <n v="0"/>
    <n v="1"/>
    <n v="41"/>
    <n v="8.2000000000000003E-2"/>
    <n v="0"/>
    <n v="0"/>
    <n v="0.91800000000000004"/>
    <n v="1"/>
    <n v="3"/>
    <n v="1"/>
    <n v="41"/>
    <n v="0"/>
    <n v="0"/>
    <n v="0"/>
    <n v="0"/>
    <n v="2"/>
    <n v="0"/>
    <n v="0"/>
    <n v="0"/>
    <n v="41"/>
    <n v="0"/>
    <n v="0"/>
    <n v="0"/>
    <n v="41"/>
    <n v="1"/>
    <n v="0"/>
    <n v="1"/>
    <n v="0"/>
    <n v="0"/>
    <n v="2"/>
    <n v="10"/>
    <n v="0"/>
    <n v="41"/>
    <s v="No"/>
    <s v=""/>
    <n v="0"/>
    <n v="0"/>
    <s v="Yes"/>
    <s v="KBC-MYT"/>
    <x v="0"/>
    <x v="1"/>
    <x v="1"/>
    <n v="25.30442"/>
    <n v="96.948740000000001"/>
    <s v="MMR001CMP079"/>
    <x v="0"/>
    <s v="cccm_2019OCT"/>
  </r>
  <r>
    <x v="0"/>
    <x v="0"/>
    <x v="0"/>
    <s v="PLAN(GFFO),MHF13490"/>
    <x v="0"/>
    <x v="5"/>
    <x v="1"/>
    <x v="26"/>
    <n v="22"/>
    <n v="113"/>
    <s v="5-1-2019,10-1-2019"/>
    <s v="9-30-2020,7-31-2020"/>
    <m/>
    <m/>
    <m/>
    <m/>
    <s v="Yes"/>
    <m/>
    <n v="4"/>
    <n v="0"/>
    <m/>
    <m/>
    <n v="3"/>
    <m/>
    <m/>
    <m/>
    <m/>
    <m/>
    <m/>
    <m/>
    <m/>
    <m/>
    <m/>
    <n v="0"/>
    <m/>
    <m/>
    <m/>
    <m/>
    <m/>
    <m/>
    <m/>
    <n v="5"/>
    <m/>
    <m/>
    <m/>
    <m/>
    <m/>
    <m/>
    <m/>
    <x v="1"/>
    <x v="2"/>
    <m/>
    <m/>
    <m/>
    <m/>
    <m/>
    <m/>
    <n v="2"/>
    <m/>
    <m/>
    <n v="2"/>
    <m/>
    <m/>
    <n v="1"/>
    <m/>
    <m/>
    <m/>
    <m/>
    <m/>
    <m/>
    <m/>
    <m/>
    <m/>
    <m/>
    <m/>
    <m/>
    <m/>
    <s v="no test"/>
    <s v="no test"/>
    <s v="No Test"/>
    <n v="0"/>
    <n v="3"/>
    <n v="0"/>
    <n v="0"/>
    <n v="0"/>
    <n v="0"/>
    <n v="1"/>
    <n v="1"/>
    <n v="1"/>
    <n v="113"/>
    <n v="0"/>
    <n v="0"/>
    <n v="1"/>
    <n v="113"/>
    <n v="0.22600000000000001"/>
    <n v="0"/>
    <n v="0"/>
    <n v="0.77400000000000002"/>
    <n v="1"/>
    <n v="5"/>
    <n v="0.88495575221238942"/>
    <n v="100"/>
    <n v="0"/>
    <n v="0"/>
    <n v="0"/>
    <n v="0"/>
    <n v="6"/>
    <n v="1"/>
    <n v="0.11504424778761058"/>
    <n v="0"/>
    <n v="113"/>
    <n v="0"/>
    <n v="0"/>
    <n v="0"/>
    <n v="113"/>
    <n v="1"/>
    <n v="0"/>
    <n v="1"/>
    <n v="0"/>
    <n v="0"/>
    <n v="2"/>
    <n v="22"/>
    <n v="0"/>
    <n v="113"/>
    <s v="No"/>
    <s v=""/>
    <n v="0"/>
    <n v="0"/>
    <s v="Yes"/>
    <s v="KBC-MYT"/>
    <x v="0"/>
    <x v="1"/>
    <x v="1"/>
    <n v="24.998349999999999"/>
    <n v="96.364949999999993"/>
    <s v="MMR001CMP152"/>
    <x v="0"/>
    <s v="cccm_2019OCT"/>
  </r>
  <r>
    <x v="0"/>
    <x v="0"/>
    <x v="0"/>
    <s v="MHF13490"/>
    <x v="0"/>
    <x v="11"/>
    <x v="1"/>
    <x v="27"/>
    <n v="127"/>
    <n v="547"/>
    <d v="2019-01-10T00:00:00"/>
    <s v="31-7-2020"/>
    <m/>
    <m/>
    <m/>
    <m/>
    <s v="Yes"/>
    <m/>
    <n v="3"/>
    <n v="0"/>
    <m/>
    <m/>
    <n v="0"/>
    <m/>
    <m/>
    <m/>
    <n v="1"/>
    <n v="1"/>
    <m/>
    <m/>
    <m/>
    <m/>
    <m/>
    <n v="0"/>
    <m/>
    <m/>
    <m/>
    <m/>
    <m/>
    <m/>
    <m/>
    <n v="90"/>
    <m/>
    <m/>
    <m/>
    <m/>
    <m/>
    <m/>
    <n v="90"/>
    <x v="1"/>
    <x v="1"/>
    <m/>
    <m/>
    <m/>
    <m/>
    <m/>
    <m/>
    <n v="90"/>
    <m/>
    <m/>
    <n v="0"/>
    <m/>
    <m/>
    <n v="2"/>
    <m/>
    <m/>
    <m/>
    <m/>
    <m/>
    <m/>
    <m/>
    <m/>
    <m/>
    <m/>
    <m/>
    <m/>
    <m/>
    <s v="no test"/>
    <s v="no test"/>
    <s v="No Test"/>
    <n v="0"/>
    <n v="0"/>
    <n v="0"/>
    <n v="0"/>
    <n v="0"/>
    <n v="0"/>
    <n v="0"/>
    <n v="0"/>
    <n v="0"/>
    <n v="0"/>
    <n v="0"/>
    <n v="0"/>
    <n v="0"/>
    <n v="0"/>
    <n v="0"/>
    <n v="1"/>
    <n v="547"/>
    <n v="1"/>
    <n v="1"/>
    <n v="90"/>
    <n v="1"/>
    <n v="547"/>
    <n v="0"/>
    <n v="0"/>
    <n v="0"/>
    <n v="0"/>
    <n v="27"/>
    <n v="0"/>
    <n v="0"/>
    <n v="0"/>
    <n v="547"/>
    <n v="0"/>
    <n v="0"/>
    <n v="0"/>
    <n v="547"/>
    <n v="1"/>
    <n v="0"/>
    <n v="1"/>
    <n v="0"/>
    <n v="0"/>
    <n v="90"/>
    <n v="127"/>
    <n v="0"/>
    <n v="547"/>
    <s v="No"/>
    <s v=""/>
    <n v="0"/>
    <n v="0"/>
    <s v="Yes"/>
    <s v="KBC-MYT"/>
    <x v="0"/>
    <x v="1"/>
    <x v="0"/>
    <n v="26.569633"/>
    <n v="97.745480999999998"/>
    <s v="MMR001CMP238"/>
    <x v="0"/>
    <s v="cccm_2019OCT"/>
  </r>
  <r>
    <x v="0"/>
    <x v="0"/>
    <x v="0"/>
    <s v="PLAN(GFFO),MHF13490"/>
    <x v="0"/>
    <x v="0"/>
    <x v="1"/>
    <x v="28"/>
    <n v="67"/>
    <n v="281"/>
    <s v="5-1-2019,10-1-2019"/>
    <s v="9-30-2020,7-31-2020"/>
    <m/>
    <m/>
    <m/>
    <m/>
    <s v="Yes"/>
    <m/>
    <n v="5"/>
    <n v="1"/>
    <m/>
    <m/>
    <n v="2"/>
    <m/>
    <m/>
    <m/>
    <m/>
    <m/>
    <m/>
    <m/>
    <m/>
    <m/>
    <m/>
    <n v="3"/>
    <m/>
    <m/>
    <m/>
    <m/>
    <m/>
    <m/>
    <m/>
    <n v="15"/>
    <m/>
    <m/>
    <m/>
    <m/>
    <m/>
    <m/>
    <n v="15"/>
    <x v="1"/>
    <x v="1"/>
    <m/>
    <m/>
    <m/>
    <m/>
    <m/>
    <m/>
    <n v="6"/>
    <m/>
    <m/>
    <n v="2"/>
    <m/>
    <m/>
    <n v="1"/>
    <m/>
    <m/>
    <m/>
    <m/>
    <m/>
    <m/>
    <m/>
    <m/>
    <m/>
    <m/>
    <m/>
    <m/>
    <m/>
    <s v="no test"/>
    <s v="no test"/>
    <s v="No Test"/>
    <n v="1"/>
    <n v="2"/>
    <n v="0"/>
    <n v="0"/>
    <n v="0"/>
    <n v="0"/>
    <n v="1"/>
    <n v="1"/>
    <n v="1"/>
    <n v="281"/>
    <n v="0"/>
    <n v="0"/>
    <n v="1"/>
    <n v="281"/>
    <n v="0.56200000000000006"/>
    <n v="0"/>
    <n v="0"/>
    <n v="0.43799999999999994"/>
    <n v="1"/>
    <n v="15"/>
    <n v="1"/>
    <n v="281"/>
    <n v="0"/>
    <n v="0"/>
    <n v="0"/>
    <n v="0"/>
    <n v="14"/>
    <n v="0"/>
    <n v="0"/>
    <n v="0"/>
    <n v="281"/>
    <n v="0"/>
    <n v="0"/>
    <n v="0"/>
    <n v="281"/>
    <n v="1"/>
    <n v="0"/>
    <n v="1"/>
    <n v="0"/>
    <n v="0"/>
    <n v="6"/>
    <n v="67"/>
    <n v="0"/>
    <n v="281"/>
    <s v="No"/>
    <s v=""/>
    <n v="0"/>
    <n v="0"/>
    <s v="Yes"/>
    <s v="KBC-MYT"/>
    <x v="0"/>
    <x v="1"/>
    <x v="1"/>
    <n v="25.422194000000001"/>
    <n v="97.394547000000003"/>
    <s v="MMR001CMP002"/>
    <x v="0"/>
    <s v="cccm_2019OCT"/>
  </r>
  <r>
    <x v="0"/>
    <x v="0"/>
    <x v="0"/>
    <s v="MHF13490"/>
    <x v="0"/>
    <x v="2"/>
    <x v="1"/>
    <x v="29"/>
    <n v="178"/>
    <n v="846"/>
    <d v="2019-01-10T00:00:00"/>
    <s v="31-7-2020"/>
    <m/>
    <m/>
    <m/>
    <m/>
    <s v="Yes"/>
    <m/>
    <n v="1"/>
    <n v="0"/>
    <m/>
    <m/>
    <n v="0"/>
    <m/>
    <m/>
    <m/>
    <n v="3"/>
    <m/>
    <m/>
    <m/>
    <m/>
    <m/>
    <m/>
    <n v="0"/>
    <m/>
    <m/>
    <m/>
    <m/>
    <m/>
    <m/>
    <m/>
    <n v="150"/>
    <m/>
    <m/>
    <m/>
    <m/>
    <m/>
    <m/>
    <n v="150"/>
    <x v="1"/>
    <x v="1"/>
    <m/>
    <m/>
    <m/>
    <m/>
    <m/>
    <m/>
    <n v="150"/>
    <m/>
    <m/>
    <n v="4"/>
    <m/>
    <m/>
    <n v="3"/>
    <m/>
    <m/>
    <m/>
    <m/>
    <m/>
    <m/>
    <m/>
    <m/>
    <m/>
    <m/>
    <m/>
    <m/>
    <m/>
    <s v="no test"/>
    <s v="no test"/>
    <s v="No Test"/>
    <n v="0"/>
    <n v="0"/>
    <n v="3"/>
    <n v="0"/>
    <n v="0"/>
    <n v="0"/>
    <n v="0.2364066193853428"/>
    <n v="0.2364066193853428"/>
    <n v="0.2364066193853428"/>
    <n v="200"/>
    <n v="0"/>
    <n v="0"/>
    <n v="0.2364066193853428"/>
    <n v="200"/>
    <n v="0.4"/>
    <n v="0.7635933806146572"/>
    <n v="646"/>
    <n v="1.6"/>
    <n v="2"/>
    <n v="150"/>
    <n v="0.88652482269503541"/>
    <n v="750"/>
    <n v="0"/>
    <n v="0"/>
    <n v="0"/>
    <n v="0"/>
    <n v="178"/>
    <n v="28"/>
    <n v="0.11347517730496459"/>
    <n v="0"/>
    <n v="846"/>
    <n v="0"/>
    <n v="0"/>
    <n v="0"/>
    <n v="846"/>
    <n v="1"/>
    <n v="0"/>
    <n v="1"/>
    <n v="0"/>
    <n v="0"/>
    <n v="150"/>
    <n v="178"/>
    <n v="0"/>
    <n v="846"/>
    <s v="No"/>
    <s v=""/>
    <n v="0"/>
    <n v="0"/>
    <s v="Yes"/>
    <s v="KBC-MYT"/>
    <x v="1"/>
    <x v="1"/>
    <x v="0"/>
    <n v="24.831944"/>
    <n v="97.751389000000003"/>
    <s v="MMR001CMP120"/>
    <x v="0"/>
    <s v="cccm_2019OCT"/>
  </r>
  <r>
    <x v="0"/>
    <x v="0"/>
    <x v="0"/>
    <s v="MHF"/>
    <x v="0"/>
    <x v="1"/>
    <x v="1"/>
    <x v="30"/>
    <n v="228"/>
    <n v="1015"/>
    <m/>
    <d v="2019-10-30T00:00:00"/>
    <m/>
    <m/>
    <m/>
    <m/>
    <m/>
    <m/>
    <n v="5"/>
    <n v="13"/>
    <m/>
    <m/>
    <n v="1"/>
    <m/>
    <m/>
    <m/>
    <m/>
    <m/>
    <m/>
    <m/>
    <m/>
    <m/>
    <m/>
    <m/>
    <m/>
    <m/>
    <m/>
    <m/>
    <m/>
    <m/>
    <m/>
    <m/>
    <m/>
    <m/>
    <m/>
    <m/>
    <m/>
    <m/>
    <m/>
    <x v="0"/>
    <x v="0"/>
    <m/>
    <m/>
    <m/>
    <m/>
    <m/>
    <m/>
    <m/>
    <m/>
    <m/>
    <m/>
    <m/>
    <m/>
    <m/>
    <m/>
    <m/>
    <m/>
    <m/>
    <m/>
    <m/>
    <m/>
    <m/>
    <m/>
    <m/>
    <m/>
    <m/>
    <m/>
    <s v="no test"/>
    <s v="no test"/>
    <s v="No Test"/>
    <n v="13"/>
    <n v="1"/>
    <n v="0"/>
    <n v="0"/>
    <n v="0"/>
    <n v="0"/>
    <n v="1"/>
    <n v="1"/>
    <n v="1"/>
    <n v="1015"/>
    <n v="0"/>
    <n v="0"/>
    <n v="1"/>
    <n v="1015"/>
    <n v="2.0299999999999998"/>
    <n v="0"/>
    <n v="0"/>
    <n v="0"/>
    <n v="2"/>
    <n v="0"/>
    <n v="0"/>
    <n v="0"/>
    <n v="0"/>
    <n v="0"/>
    <n v="0"/>
    <n v="0"/>
    <n v="51"/>
    <n v="51"/>
    <n v="1"/>
    <n v="0"/>
    <n v="0"/>
    <n v="0"/>
    <n v="0"/>
    <n v="0"/>
    <n v="0"/>
    <n v="0"/>
    <n v="1"/>
    <n v="0"/>
    <n v="0"/>
    <n v="0"/>
    <n v="0"/>
    <n v="0"/>
    <n v="0"/>
    <n v="0"/>
    <s v="No"/>
    <s v=""/>
    <n v="0"/>
    <n v="0"/>
    <n v="0"/>
    <s v="uncovered"/>
    <x v="0"/>
    <x v="0"/>
    <x v="0"/>
    <n v="0"/>
    <n v="0"/>
    <s v="MMR001CMP273"/>
    <x v="0"/>
    <s v="cccm_2019OCT"/>
  </r>
  <r>
    <x v="0"/>
    <x v="0"/>
    <x v="0"/>
    <s v="PLAN(GFFO),MHF13490"/>
    <x v="0"/>
    <x v="2"/>
    <x v="1"/>
    <x v="31"/>
    <n v="60"/>
    <n v="307"/>
    <s v="5-1-2019,10-1-2019"/>
    <s v="9-30-2020,7-31-2020"/>
    <m/>
    <m/>
    <m/>
    <m/>
    <s v="Yes"/>
    <m/>
    <m/>
    <n v="2"/>
    <m/>
    <m/>
    <n v="0"/>
    <m/>
    <m/>
    <m/>
    <m/>
    <m/>
    <m/>
    <m/>
    <m/>
    <m/>
    <m/>
    <n v="1"/>
    <m/>
    <m/>
    <m/>
    <m/>
    <m/>
    <m/>
    <m/>
    <n v="14"/>
    <m/>
    <m/>
    <m/>
    <m/>
    <m/>
    <m/>
    <n v="10"/>
    <x v="1"/>
    <x v="1"/>
    <m/>
    <m/>
    <m/>
    <m/>
    <m/>
    <m/>
    <n v="4"/>
    <m/>
    <m/>
    <n v="2"/>
    <m/>
    <m/>
    <n v="1"/>
    <m/>
    <m/>
    <m/>
    <m/>
    <m/>
    <m/>
    <m/>
    <m/>
    <m/>
    <m/>
    <m/>
    <m/>
    <m/>
    <s v="no test"/>
    <s v="no test"/>
    <s v="No Test"/>
    <n v="2"/>
    <n v="0"/>
    <n v="0"/>
    <n v="0"/>
    <n v="0"/>
    <n v="0"/>
    <n v="1"/>
    <n v="1"/>
    <n v="1"/>
    <n v="307"/>
    <n v="0"/>
    <n v="0"/>
    <n v="1"/>
    <n v="307"/>
    <n v="0.61399999999999999"/>
    <n v="0"/>
    <n v="0"/>
    <n v="0.38600000000000001"/>
    <n v="1"/>
    <n v="14"/>
    <n v="0.91205211726384361"/>
    <n v="280"/>
    <n v="0"/>
    <n v="0"/>
    <n v="0"/>
    <n v="0"/>
    <n v="15"/>
    <n v="1"/>
    <n v="8.7947882736156391E-2"/>
    <n v="0"/>
    <n v="307"/>
    <n v="0"/>
    <n v="0"/>
    <n v="0"/>
    <n v="307"/>
    <n v="1"/>
    <n v="0"/>
    <n v="1"/>
    <n v="0"/>
    <n v="0"/>
    <n v="4"/>
    <n v="60"/>
    <n v="0"/>
    <n v="307"/>
    <s v="No"/>
    <s v=""/>
    <n v="0"/>
    <n v="0"/>
    <s v="Yes"/>
    <s v="KBC-MYT"/>
    <x v="0"/>
    <x v="1"/>
    <x v="1"/>
    <n v="25.351724999999998"/>
    <n v="97.438432380952406"/>
    <s v="MMR001CMP025"/>
    <x v="0"/>
    <s v="cccm_2019OCT"/>
  </r>
  <r>
    <x v="0"/>
    <x v="0"/>
    <x v="0"/>
    <s v="MHF13490"/>
    <x v="0"/>
    <x v="11"/>
    <x v="1"/>
    <x v="32"/>
    <n v="63"/>
    <n v="325"/>
    <d v="2019-01-10T00:00:00"/>
    <s v="31-7-2020"/>
    <m/>
    <m/>
    <m/>
    <m/>
    <s v="Yes"/>
    <m/>
    <n v="4"/>
    <n v="0"/>
    <m/>
    <m/>
    <n v="0"/>
    <m/>
    <m/>
    <m/>
    <n v="1"/>
    <n v="1"/>
    <m/>
    <m/>
    <m/>
    <m/>
    <m/>
    <n v="0"/>
    <m/>
    <m/>
    <m/>
    <m/>
    <m/>
    <m/>
    <m/>
    <n v="65"/>
    <m/>
    <m/>
    <m/>
    <m/>
    <m/>
    <m/>
    <n v="65"/>
    <x v="1"/>
    <x v="1"/>
    <m/>
    <m/>
    <m/>
    <m/>
    <m/>
    <m/>
    <n v="65"/>
    <m/>
    <m/>
    <n v="0"/>
    <m/>
    <m/>
    <n v="2"/>
    <m/>
    <m/>
    <m/>
    <m/>
    <m/>
    <m/>
    <m/>
    <m/>
    <m/>
    <m/>
    <m/>
    <m/>
    <m/>
    <s v="no test"/>
    <s v="no test"/>
    <s v="No Test"/>
    <n v="0"/>
    <n v="0"/>
    <n v="0"/>
    <n v="0"/>
    <n v="0"/>
    <n v="0"/>
    <n v="0"/>
    <n v="0"/>
    <n v="0"/>
    <n v="0"/>
    <n v="0"/>
    <n v="0"/>
    <n v="0"/>
    <n v="0"/>
    <n v="0"/>
    <n v="1"/>
    <n v="325"/>
    <n v="1"/>
    <n v="1"/>
    <n v="65"/>
    <n v="1"/>
    <n v="325"/>
    <n v="0"/>
    <n v="0"/>
    <n v="0"/>
    <n v="0"/>
    <n v="16"/>
    <n v="0"/>
    <n v="0"/>
    <n v="0"/>
    <n v="325"/>
    <n v="0"/>
    <n v="0"/>
    <n v="0"/>
    <n v="325"/>
    <n v="1"/>
    <n v="0"/>
    <n v="1"/>
    <n v="0"/>
    <n v="0"/>
    <n v="65"/>
    <n v="63"/>
    <n v="0"/>
    <n v="325"/>
    <s v="No"/>
    <s v=""/>
    <n v="0"/>
    <n v="0"/>
    <s v="Yes"/>
    <s v="KBC-MYT"/>
    <x v="0"/>
    <x v="1"/>
    <x v="0"/>
    <n v="26.548506"/>
    <n v="97.75609"/>
    <s v="MMR001CMP239"/>
    <x v="0"/>
    <s v="cccm_2019OCT"/>
  </r>
  <r>
    <x v="0"/>
    <x v="0"/>
    <x v="0"/>
    <s v="PLAN(GFFO),MHF13490"/>
    <x v="0"/>
    <x v="6"/>
    <x v="1"/>
    <x v="33"/>
    <n v="28"/>
    <n v="136"/>
    <s v="5-1-2019,10-1-2019"/>
    <s v="9-30-2020,7-31-2020"/>
    <m/>
    <m/>
    <m/>
    <m/>
    <s v="Yes"/>
    <m/>
    <n v="1"/>
    <n v="1"/>
    <m/>
    <m/>
    <n v="1"/>
    <m/>
    <m/>
    <m/>
    <m/>
    <m/>
    <m/>
    <m/>
    <m/>
    <m/>
    <m/>
    <n v="3"/>
    <m/>
    <m/>
    <m/>
    <m/>
    <m/>
    <m/>
    <m/>
    <n v="12"/>
    <m/>
    <m/>
    <m/>
    <m/>
    <m/>
    <m/>
    <n v="12"/>
    <x v="1"/>
    <x v="2"/>
    <m/>
    <m/>
    <m/>
    <m/>
    <m/>
    <m/>
    <n v="6"/>
    <m/>
    <m/>
    <n v="2"/>
    <m/>
    <m/>
    <n v="1"/>
    <m/>
    <m/>
    <m/>
    <m/>
    <m/>
    <m/>
    <m/>
    <m/>
    <m/>
    <m/>
    <m/>
    <m/>
    <m/>
    <s v="no test"/>
    <s v="no test"/>
    <s v="No Test"/>
    <n v="1"/>
    <n v="1"/>
    <n v="0"/>
    <n v="0"/>
    <n v="0"/>
    <n v="0"/>
    <n v="1"/>
    <n v="1"/>
    <n v="1"/>
    <n v="136"/>
    <n v="0"/>
    <n v="0"/>
    <n v="1"/>
    <n v="136"/>
    <n v="0.27200000000000002"/>
    <n v="0"/>
    <n v="0"/>
    <n v="0.72799999999999998"/>
    <n v="1"/>
    <n v="12"/>
    <n v="1"/>
    <n v="136"/>
    <n v="0"/>
    <n v="0"/>
    <n v="0"/>
    <n v="0"/>
    <n v="7"/>
    <n v="0"/>
    <n v="0"/>
    <n v="0"/>
    <n v="136"/>
    <n v="0"/>
    <n v="0"/>
    <n v="0"/>
    <n v="136"/>
    <n v="1"/>
    <n v="0"/>
    <n v="1"/>
    <n v="0"/>
    <n v="0"/>
    <n v="6"/>
    <n v="28"/>
    <n v="0"/>
    <n v="136"/>
    <s v="No"/>
    <s v=""/>
    <n v="0"/>
    <n v="0"/>
    <s v="Yes"/>
    <s v="KBC-MYT"/>
    <x v="0"/>
    <x v="1"/>
    <x v="1"/>
    <n v="25.225000000000001"/>
    <n v="96.793999999999997"/>
    <s v="MMR001CMP236"/>
    <x v="0"/>
    <s v="cccm_2019OCT"/>
  </r>
  <r>
    <x v="0"/>
    <x v="0"/>
    <x v="0"/>
    <s v="MHF13490"/>
    <x v="0"/>
    <x v="2"/>
    <x v="1"/>
    <x v="34"/>
    <n v="391"/>
    <n v="1775"/>
    <d v="2019-01-10T00:00:00"/>
    <s v="31-7-2020"/>
    <m/>
    <m/>
    <m/>
    <m/>
    <s v="Yes"/>
    <m/>
    <n v="4"/>
    <n v="0"/>
    <m/>
    <m/>
    <n v="0"/>
    <m/>
    <m/>
    <m/>
    <n v="4"/>
    <m/>
    <m/>
    <m/>
    <m/>
    <m/>
    <m/>
    <n v="0"/>
    <m/>
    <m/>
    <m/>
    <m/>
    <m/>
    <m/>
    <m/>
    <n v="391"/>
    <m/>
    <m/>
    <m/>
    <m/>
    <m/>
    <m/>
    <n v="413"/>
    <x v="1"/>
    <x v="1"/>
    <m/>
    <m/>
    <m/>
    <m/>
    <m/>
    <m/>
    <n v="413"/>
    <m/>
    <m/>
    <n v="9"/>
    <m/>
    <m/>
    <n v="5"/>
    <m/>
    <m/>
    <m/>
    <m/>
    <m/>
    <m/>
    <m/>
    <m/>
    <m/>
    <m/>
    <m/>
    <m/>
    <m/>
    <s v="no test"/>
    <s v="no test"/>
    <s v="No Test"/>
    <n v="0"/>
    <n v="0"/>
    <n v="4"/>
    <n v="0"/>
    <n v="0"/>
    <n v="0"/>
    <n v="0.15023474178403756"/>
    <n v="0.15023474178403756"/>
    <n v="0.15023474178403756"/>
    <n v="266.66666666666669"/>
    <n v="0"/>
    <n v="0"/>
    <n v="0.15023474178403756"/>
    <n v="266.66666666666669"/>
    <n v="0.53333333333333333"/>
    <n v="0.84976525821596249"/>
    <n v="1508.3333333333335"/>
    <n v="3.4666666666666668"/>
    <n v="4"/>
    <n v="391"/>
    <n v="1"/>
    <n v="1775"/>
    <n v="0"/>
    <n v="0"/>
    <n v="0"/>
    <n v="0"/>
    <n v="89"/>
    <n v="0"/>
    <n v="0"/>
    <n v="0"/>
    <n v="1775"/>
    <n v="0"/>
    <n v="0"/>
    <n v="0"/>
    <n v="1775"/>
    <n v="1"/>
    <n v="0"/>
    <n v="1"/>
    <n v="0"/>
    <n v="0"/>
    <n v="413"/>
    <n v="391"/>
    <n v="0"/>
    <n v="1775"/>
    <s v="No"/>
    <s v=""/>
    <n v="0"/>
    <n v="0"/>
    <s v="Yes"/>
    <s v="KBC-MYT"/>
    <x v="0"/>
    <x v="1"/>
    <x v="0"/>
    <n v="0"/>
    <n v="0"/>
    <s v="MMR001CMP249"/>
    <x v="0"/>
    <s v="cccm_2019OCT"/>
  </r>
  <r>
    <x v="0"/>
    <x v="0"/>
    <x v="0"/>
    <s v="PLAN(GFFO),MHF13490"/>
    <x v="0"/>
    <x v="3"/>
    <x v="1"/>
    <x v="35"/>
    <n v="28"/>
    <n v="103"/>
    <s v="5-1-2019,10-1-2019"/>
    <s v="9-30-2020,7-31-2020"/>
    <m/>
    <m/>
    <m/>
    <m/>
    <s v="Yes"/>
    <m/>
    <n v="2"/>
    <n v="1"/>
    <m/>
    <m/>
    <n v="1"/>
    <m/>
    <m/>
    <m/>
    <m/>
    <m/>
    <m/>
    <m/>
    <m/>
    <m/>
    <m/>
    <n v="0"/>
    <m/>
    <m/>
    <m/>
    <m/>
    <m/>
    <m/>
    <m/>
    <n v="8"/>
    <m/>
    <m/>
    <m/>
    <m/>
    <m/>
    <m/>
    <n v="8"/>
    <x v="1"/>
    <x v="2"/>
    <m/>
    <m/>
    <m/>
    <m/>
    <m/>
    <m/>
    <n v="2"/>
    <m/>
    <m/>
    <n v="2"/>
    <m/>
    <m/>
    <n v="1"/>
    <m/>
    <m/>
    <m/>
    <m/>
    <m/>
    <m/>
    <m/>
    <m/>
    <m/>
    <m/>
    <m/>
    <m/>
    <m/>
    <s v="no test"/>
    <s v="no test"/>
    <s v="No Test"/>
    <n v="1"/>
    <n v="1"/>
    <n v="0"/>
    <n v="0"/>
    <n v="0"/>
    <n v="0"/>
    <n v="1"/>
    <n v="1"/>
    <n v="1"/>
    <n v="103"/>
    <n v="0"/>
    <n v="0"/>
    <n v="1"/>
    <n v="103"/>
    <n v="0.20599999999999999"/>
    <n v="0"/>
    <n v="0"/>
    <n v="0.79400000000000004"/>
    <n v="1"/>
    <n v="8"/>
    <n v="1"/>
    <n v="103"/>
    <n v="0"/>
    <n v="0"/>
    <n v="0"/>
    <n v="0"/>
    <n v="5"/>
    <n v="0"/>
    <n v="0"/>
    <n v="0"/>
    <n v="103"/>
    <n v="0"/>
    <n v="0"/>
    <n v="0"/>
    <n v="103"/>
    <n v="1"/>
    <n v="0"/>
    <n v="1"/>
    <n v="0"/>
    <n v="0"/>
    <n v="2"/>
    <n v="28"/>
    <n v="0"/>
    <n v="103"/>
    <s v="No"/>
    <s v=""/>
    <n v="0"/>
    <n v="0"/>
    <s v="Yes"/>
    <s v="KBC-MYT"/>
    <x v="0"/>
    <x v="1"/>
    <x v="1"/>
    <n v="25.920006000000001"/>
    <n v="96.662092000000001"/>
    <s v="MMR001CMP244"/>
    <x v="0"/>
    <s v="cccm_2019OCT"/>
  </r>
  <r>
    <x v="0"/>
    <x v="0"/>
    <x v="0"/>
    <s v="PLAN(GFFO),MHF13490"/>
    <x v="0"/>
    <x v="3"/>
    <x v="0"/>
    <x v="36"/>
    <n v="18"/>
    <n v="80"/>
    <s v="5-1-2019,10-1-2019"/>
    <s v="9-30-2020,7-31-2020"/>
    <m/>
    <m/>
    <m/>
    <m/>
    <s v="Yes"/>
    <m/>
    <n v="2"/>
    <n v="2"/>
    <m/>
    <m/>
    <m/>
    <m/>
    <m/>
    <m/>
    <m/>
    <m/>
    <m/>
    <m/>
    <m/>
    <m/>
    <m/>
    <n v="0"/>
    <m/>
    <m/>
    <m/>
    <m/>
    <m/>
    <m/>
    <m/>
    <n v="4"/>
    <m/>
    <m/>
    <m/>
    <m/>
    <m/>
    <m/>
    <n v="4"/>
    <x v="1"/>
    <x v="1"/>
    <m/>
    <m/>
    <m/>
    <m/>
    <m/>
    <m/>
    <n v="2"/>
    <m/>
    <m/>
    <n v="1"/>
    <m/>
    <m/>
    <n v="1"/>
    <m/>
    <m/>
    <m/>
    <m/>
    <m/>
    <m/>
    <m/>
    <m/>
    <m/>
    <m/>
    <m/>
    <m/>
    <m/>
    <s v="no test"/>
    <s v="no test"/>
    <s v="No Test"/>
    <n v="2"/>
    <n v="0"/>
    <n v="0"/>
    <n v="0"/>
    <n v="0"/>
    <n v="0"/>
    <n v="1"/>
    <n v="1"/>
    <n v="1"/>
    <n v="80"/>
    <n v="0"/>
    <n v="0"/>
    <n v="1"/>
    <n v="80"/>
    <n v="0.16"/>
    <n v="0"/>
    <n v="0"/>
    <n v="0.84"/>
    <n v="1"/>
    <n v="4"/>
    <n v="1"/>
    <n v="80"/>
    <n v="0"/>
    <n v="0"/>
    <n v="0"/>
    <n v="0"/>
    <n v="4"/>
    <n v="0"/>
    <n v="0"/>
    <n v="0"/>
    <n v="80"/>
    <n v="0"/>
    <n v="0"/>
    <n v="0"/>
    <n v="80"/>
    <n v="1"/>
    <n v="0"/>
    <n v="1"/>
    <n v="0"/>
    <n v="0"/>
    <n v="2"/>
    <n v="18"/>
    <n v="0"/>
    <n v="80"/>
    <s v="No"/>
    <s v=""/>
    <n v="0"/>
    <n v="0"/>
    <n v="0"/>
    <n v="0"/>
    <x v="0"/>
    <x v="1"/>
    <x v="1"/>
    <n v="0"/>
    <n v="0"/>
    <n v="0"/>
    <x v="0"/>
    <n v="0"/>
  </r>
  <r>
    <x v="0"/>
    <x v="0"/>
    <x v="0"/>
    <s v="PLAN(GFFO),MHF13490"/>
    <x v="0"/>
    <x v="0"/>
    <x v="1"/>
    <x v="37"/>
    <n v="107"/>
    <n v="534"/>
    <s v="5-1-2019,10-1-2019"/>
    <s v="9-30-2020,7-31-2020"/>
    <m/>
    <m/>
    <m/>
    <m/>
    <s v="Yes"/>
    <m/>
    <m/>
    <n v="1"/>
    <m/>
    <m/>
    <n v="1"/>
    <m/>
    <m/>
    <m/>
    <m/>
    <m/>
    <m/>
    <m/>
    <m/>
    <m/>
    <m/>
    <n v="2"/>
    <m/>
    <m/>
    <m/>
    <m/>
    <m/>
    <m/>
    <m/>
    <n v="13"/>
    <m/>
    <m/>
    <m/>
    <m/>
    <m/>
    <m/>
    <n v="13"/>
    <x v="1"/>
    <x v="1"/>
    <m/>
    <m/>
    <m/>
    <m/>
    <m/>
    <m/>
    <n v="4"/>
    <m/>
    <m/>
    <n v="2"/>
    <m/>
    <m/>
    <n v="2"/>
    <m/>
    <m/>
    <m/>
    <m/>
    <m/>
    <m/>
    <m/>
    <m/>
    <m/>
    <m/>
    <m/>
    <m/>
    <m/>
    <s v="no test"/>
    <s v="no test"/>
    <s v="No Test"/>
    <n v="1"/>
    <n v="1"/>
    <n v="0"/>
    <n v="0"/>
    <n v="0"/>
    <n v="0"/>
    <n v="1"/>
    <n v="0.93632958801498123"/>
    <n v="1"/>
    <n v="534"/>
    <n v="0"/>
    <n v="0"/>
    <n v="1"/>
    <n v="534"/>
    <n v="1.0680000000000001"/>
    <n v="0"/>
    <n v="0"/>
    <n v="0"/>
    <n v="1"/>
    <n v="13"/>
    <n v="0.48689138576779029"/>
    <n v="260"/>
    <n v="0"/>
    <n v="0"/>
    <n v="0"/>
    <n v="0"/>
    <n v="27"/>
    <n v="14"/>
    <n v="0.51310861423220966"/>
    <n v="0"/>
    <n v="534"/>
    <n v="0"/>
    <n v="0"/>
    <n v="0"/>
    <n v="534"/>
    <n v="1"/>
    <n v="0"/>
    <n v="1"/>
    <n v="0"/>
    <n v="0"/>
    <n v="4"/>
    <n v="80"/>
    <n v="0"/>
    <n v="400"/>
    <s v="No"/>
    <s v=""/>
    <n v="0"/>
    <n v="0"/>
    <s v="Yes"/>
    <s v="KBC-MYT"/>
    <x v="0"/>
    <x v="1"/>
    <x v="1"/>
    <n v="25.412313000000001"/>
    <n v="97.399628000000007"/>
    <s v="MMR001CMP006"/>
    <x v="0"/>
    <s v="cccm_2019OCT"/>
  </r>
  <r>
    <x v="0"/>
    <x v="0"/>
    <x v="0"/>
    <m/>
    <x v="0"/>
    <x v="2"/>
    <x v="1"/>
    <x v="38"/>
    <n v="179"/>
    <n v="958"/>
    <m/>
    <m/>
    <m/>
    <m/>
    <m/>
    <m/>
    <s v="Yes"/>
    <m/>
    <n v="5"/>
    <n v="0"/>
    <m/>
    <m/>
    <n v="0"/>
    <m/>
    <m/>
    <m/>
    <n v="1"/>
    <n v="1"/>
    <m/>
    <m/>
    <m/>
    <m/>
    <m/>
    <n v="0"/>
    <m/>
    <m/>
    <m/>
    <m/>
    <m/>
    <m/>
    <m/>
    <n v="158"/>
    <m/>
    <m/>
    <m/>
    <m/>
    <m/>
    <m/>
    <n v="158"/>
    <x v="1"/>
    <x v="1"/>
    <m/>
    <m/>
    <m/>
    <m/>
    <m/>
    <m/>
    <n v="158"/>
    <m/>
    <m/>
    <n v="4"/>
    <m/>
    <m/>
    <m/>
    <m/>
    <m/>
    <m/>
    <m/>
    <m/>
    <m/>
    <m/>
    <m/>
    <m/>
    <m/>
    <m/>
    <m/>
    <m/>
    <s v="no test"/>
    <s v="no test"/>
    <s v="No Test"/>
    <n v="0"/>
    <n v="0"/>
    <n v="0"/>
    <n v="0"/>
    <n v="0"/>
    <n v="0"/>
    <n v="0"/>
    <n v="0"/>
    <n v="0"/>
    <n v="0"/>
    <n v="0"/>
    <n v="0"/>
    <n v="0"/>
    <n v="0"/>
    <n v="0"/>
    <n v="1"/>
    <n v="958"/>
    <n v="2"/>
    <n v="2"/>
    <n v="158"/>
    <n v="1"/>
    <n v="958"/>
    <n v="0"/>
    <n v="0"/>
    <n v="0"/>
    <n v="0"/>
    <n v="48"/>
    <n v="0"/>
    <n v="0"/>
    <n v="0"/>
    <n v="0"/>
    <n v="0"/>
    <n v="0"/>
    <n v="0"/>
    <n v="0"/>
    <n v="0"/>
    <n v="1"/>
    <n v="0"/>
    <n v="0"/>
    <n v="0"/>
    <n v="158"/>
    <n v="179"/>
    <n v="0"/>
    <n v="958"/>
    <s v="No"/>
    <s v=""/>
    <n v="0"/>
    <n v="0"/>
    <s v="Yes"/>
    <s v="KBC-MYT"/>
    <x v="0"/>
    <x v="1"/>
    <x v="1"/>
    <n v="25.418084"/>
    <n v="98.025662999999994"/>
    <s v="MMR001CMP041"/>
    <x v="0"/>
    <s v="cccm_2019OCT"/>
  </r>
  <r>
    <x v="0"/>
    <x v="0"/>
    <x v="0"/>
    <s v="PLAN(GFFO),MHF13490"/>
    <x v="0"/>
    <x v="0"/>
    <x v="1"/>
    <x v="39"/>
    <n v="93"/>
    <n v="499"/>
    <s v="5-1-2019,10-1-2019"/>
    <s v="9-30-2020,7-31-2020"/>
    <m/>
    <m/>
    <m/>
    <m/>
    <s v="Yes"/>
    <m/>
    <n v="4"/>
    <n v="2"/>
    <m/>
    <m/>
    <n v="2"/>
    <m/>
    <m/>
    <m/>
    <m/>
    <m/>
    <m/>
    <m/>
    <m/>
    <m/>
    <m/>
    <n v="2"/>
    <m/>
    <m/>
    <m/>
    <m/>
    <m/>
    <m/>
    <m/>
    <n v="17"/>
    <m/>
    <m/>
    <m/>
    <m/>
    <m/>
    <m/>
    <n v="17"/>
    <x v="1"/>
    <x v="1"/>
    <m/>
    <m/>
    <m/>
    <m/>
    <m/>
    <m/>
    <n v="4"/>
    <m/>
    <m/>
    <n v="2"/>
    <m/>
    <m/>
    <n v="2"/>
    <m/>
    <m/>
    <m/>
    <m/>
    <m/>
    <m/>
    <m/>
    <m/>
    <m/>
    <m/>
    <m/>
    <m/>
    <m/>
    <s v="no test"/>
    <s v="no test"/>
    <s v="No Test"/>
    <n v="2"/>
    <n v="2"/>
    <n v="0"/>
    <n v="0"/>
    <n v="0"/>
    <n v="0"/>
    <n v="1"/>
    <n v="1"/>
    <n v="1"/>
    <n v="499"/>
    <n v="0"/>
    <n v="0"/>
    <n v="1"/>
    <n v="499"/>
    <n v="0.998"/>
    <n v="0"/>
    <n v="0"/>
    <n v="2.0000000000000018E-3"/>
    <n v="1"/>
    <n v="17"/>
    <n v="0.68136272545090182"/>
    <n v="340"/>
    <n v="0"/>
    <n v="0"/>
    <n v="0"/>
    <n v="0"/>
    <n v="25"/>
    <n v="8"/>
    <n v="0.31863727454909818"/>
    <n v="0"/>
    <n v="499"/>
    <n v="0"/>
    <n v="0"/>
    <n v="0"/>
    <n v="499"/>
    <n v="1"/>
    <n v="0"/>
    <n v="1"/>
    <n v="0"/>
    <n v="0"/>
    <n v="4"/>
    <n v="80"/>
    <n v="0"/>
    <n v="400"/>
    <s v="No"/>
    <s v=""/>
    <n v="0"/>
    <n v="0"/>
    <s v="Yes"/>
    <s v="KBC-MYT"/>
    <x v="0"/>
    <x v="1"/>
    <x v="1"/>
    <n v="25.440928"/>
    <n v="97.419403000000003"/>
    <s v="MMR001CMP009"/>
    <x v="0"/>
    <s v="cccm_2019OCT"/>
  </r>
  <r>
    <x v="0"/>
    <x v="0"/>
    <x v="0"/>
    <m/>
    <x v="0"/>
    <x v="1"/>
    <x v="0"/>
    <x v="40"/>
    <n v="63"/>
    <n v="270"/>
    <m/>
    <m/>
    <m/>
    <m/>
    <m/>
    <m/>
    <m/>
    <m/>
    <m/>
    <m/>
    <m/>
    <m/>
    <m/>
    <m/>
    <m/>
    <m/>
    <m/>
    <m/>
    <m/>
    <m/>
    <m/>
    <m/>
    <m/>
    <m/>
    <m/>
    <m/>
    <m/>
    <m/>
    <m/>
    <m/>
    <m/>
    <m/>
    <m/>
    <m/>
    <m/>
    <m/>
    <m/>
    <m/>
    <m/>
    <x v="0"/>
    <x v="0"/>
    <m/>
    <m/>
    <m/>
    <m/>
    <m/>
    <m/>
    <m/>
    <m/>
    <m/>
    <m/>
    <m/>
    <m/>
    <m/>
    <m/>
    <m/>
    <m/>
    <m/>
    <m/>
    <m/>
    <m/>
    <m/>
    <m/>
    <m/>
    <m/>
    <m/>
    <m/>
    <s v="no test"/>
    <s v="no test"/>
    <s v="No Test"/>
    <n v="0"/>
    <n v="0"/>
    <n v="0"/>
    <n v="0"/>
    <n v="0"/>
    <n v="0"/>
    <n v="0"/>
    <n v="0"/>
    <n v="0"/>
    <n v="0"/>
    <n v="0"/>
    <n v="0"/>
    <n v="0"/>
    <n v="0"/>
    <n v="0"/>
    <n v="1"/>
    <n v="270"/>
    <n v="1"/>
    <n v="1"/>
    <n v="0"/>
    <n v="0"/>
    <n v="0"/>
    <n v="0"/>
    <n v="0"/>
    <n v="0"/>
    <n v="0"/>
    <n v="14"/>
    <n v="14"/>
    <n v="1"/>
    <n v="0"/>
    <n v="0"/>
    <n v="0"/>
    <n v="0"/>
    <n v="0"/>
    <n v="0"/>
    <n v="0"/>
    <n v="1"/>
    <n v="0"/>
    <n v="0"/>
    <n v="0"/>
    <n v="0"/>
    <n v="0"/>
    <n v="0"/>
    <n v="0"/>
    <s v="No"/>
    <s v=""/>
    <n v="0"/>
    <n v="0"/>
    <n v="0"/>
    <n v="0"/>
    <x v="0"/>
    <x v="0"/>
    <x v="0"/>
    <n v="0"/>
    <n v="0"/>
    <n v="0"/>
    <x v="0"/>
    <n v="0"/>
  </r>
  <r>
    <x v="0"/>
    <x v="0"/>
    <x v="0"/>
    <s v="PLAN(GFFO),MHF13490"/>
    <x v="0"/>
    <x v="0"/>
    <x v="1"/>
    <x v="41"/>
    <n v="69"/>
    <n v="351"/>
    <s v="5-1-2019,10-1-2019"/>
    <s v="9-30-2020,7-31-2020"/>
    <m/>
    <m/>
    <m/>
    <m/>
    <s v="Yes"/>
    <m/>
    <n v="2"/>
    <n v="0"/>
    <m/>
    <m/>
    <n v="2"/>
    <m/>
    <m/>
    <m/>
    <m/>
    <m/>
    <m/>
    <m/>
    <m/>
    <m/>
    <m/>
    <n v="2"/>
    <m/>
    <m/>
    <m/>
    <m/>
    <m/>
    <m/>
    <m/>
    <n v="11"/>
    <m/>
    <m/>
    <m/>
    <m/>
    <m/>
    <m/>
    <n v="11"/>
    <x v="1"/>
    <x v="1"/>
    <m/>
    <m/>
    <m/>
    <m/>
    <m/>
    <m/>
    <n v="2"/>
    <m/>
    <m/>
    <n v="2"/>
    <m/>
    <m/>
    <n v="1"/>
    <m/>
    <m/>
    <m/>
    <m/>
    <m/>
    <m/>
    <m/>
    <m/>
    <m/>
    <m/>
    <m/>
    <m/>
    <m/>
    <s v="no test"/>
    <s v="no test"/>
    <s v="No Test"/>
    <n v="0"/>
    <n v="2"/>
    <n v="0"/>
    <n v="0"/>
    <n v="0"/>
    <n v="0"/>
    <n v="1"/>
    <n v="1"/>
    <n v="1"/>
    <n v="351"/>
    <n v="0"/>
    <n v="0"/>
    <n v="1"/>
    <n v="351"/>
    <n v="0.70199999999999996"/>
    <n v="0"/>
    <n v="0"/>
    <n v="0.29800000000000004"/>
    <n v="1"/>
    <n v="11"/>
    <n v="0.62678062678062674"/>
    <n v="220"/>
    <n v="0"/>
    <n v="0"/>
    <n v="0"/>
    <n v="0"/>
    <n v="18"/>
    <n v="7"/>
    <n v="0.37321937321937326"/>
    <n v="0"/>
    <n v="351"/>
    <n v="0"/>
    <n v="0"/>
    <n v="0"/>
    <n v="351"/>
    <n v="1"/>
    <n v="0"/>
    <n v="1"/>
    <n v="0"/>
    <n v="0"/>
    <n v="2"/>
    <n v="40"/>
    <n v="0"/>
    <n v="200"/>
    <s v="No"/>
    <s v=""/>
    <n v="0"/>
    <n v="0"/>
    <s v="Yes"/>
    <s v="KBC-MYT"/>
    <x v="0"/>
    <x v="1"/>
    <x v="1"/>
    <n v="25.415482000000001"/>
    <n v="97.386718999999999"/>
    <s v="MMR001CMP001"/>
    <x v="0"/>
    <s v="cccm_2019OCT"/>
  </r>
  <r>
    <x v="0"/>
    <x v="0"/>
    <x v="0"/>
    <s v="PLAN(GFFO),MHF13490"/>
    <x v="0"/>
    <x v="0"/>
    <x v="1"/>
    <x v="42"/>
    <n v="30"/>
    <n v="165"/>
    <s v="5-1-2019,10-1-2019"/>
    <s v="9-30-2020,7-31-2020"/>
    <m/>
    <m/>
    <m/>
    <m/>
    <s v="Yes"/>
    <m/>
    <n v="3"/>
    <n v="0"/>
    <m/>
    <m/>
    <n v="2"/>
    <m/>
    <m/>
    <m/>
    <m/>
    <m/>
    <m/>
    <m/>
    <m/>
    <m/>
    <m/>
    <n v="3"/>
    <m/>
    <m/>
    <m/>
    <m/>
    <m/>
    <m/>
    <m/>
    <n v="5"/>
    <m/>
    <m/>
    <m/>
    <m/>
    <m/>
    <m/>
    <n v="5"/>
    <x v="1"/>
    <x v="1"/>
    <m/>
    <m/>
    <m/>
    <m/>
    <m/>
    <m/>
    <n v="2"/>
    <m/>
    <m/>
    <n v="2"/>
    <m/>
    <m/>
    <n v="1"/>
    <m/>
    <m/>
    <m/>
    <m/>
    <m/>
    <m/>
    <m/>
    <m/>
    <m/>
    <m/>
    <m/>
    <m/>
    <m/>
    <s v="no test"/>
    <s v="no test"/>
    <s v="No Test"/>
    <n v="0"/>
    <n v="2"/>
    <n v="0"/>
    <n v="0"/>
    <n v="0"/>
    <n v="0"/>
    <n v="1"/>
    <n v="1"/>
    <n v="1"/>
    <n v="165"/>
    <n v="0"/>
    <n v="0"/>
    <n v="1"/>
    <n v="165"/>
    <n v="0.33"/>
    <n v="0"/>
    <n v="0"/>
    <n v="0.66999999999999993"/>
    <n v="1"/>
    <n v="5"/>
    <n v="0.60606060606060608"/>
    <n v="100"/>
    <n v="0"/>
    <n v="0"/>
    <n v="0"/>
    <n v="0"/>
    <n v="8"/>
    <n v="3"/>
    <n v="0.39393939393939392"/>
    <n v="0"/>
    <n v="165"/>
    <n v="0"/>
    <n v="0"/>
    <n v="0"/>
    <n v="165"/>
    <n v="1"/>
    <n v="0"/>
    <n v="1"/>
    <n v="0"/>
    <n v="0"/>
    <n v="2"/>
    <n v="30"/>
    <n v="0"/>
    <n v="165"/>
    <s v="No"/>
    <s v=""/>
    <n v="0"/>
    <n v="0"/>
    <s v="Yes"/>
    <s v="KBC-MYT"/>
    <x v="0"/>
    <x v="1"/>
    <x v="1"/>
    <n v="25.404752999999999"/>
    <n v="97.377662999999998"/>
    <s v="MMR001CMP003"/>
    <x v="0"/>
    <s v="cccm_2019OCT"/>
  </r>
  <r>
    <x v="0"/>
    <x v="0"/>
    <x v="0"/>
    <s v="PLAN(GFFO),MHF13490"/>
    <x v="0"/>
    <x v="0"/>
    <x v="1"/>
    <x v="43"/>
    <n v="43"/>
    <n v="219"/>
    <s v="5-1-2019,10-1-2019"/>
    <s v="9-30-2020,7-31-2020"/>
    <m/>
    <m/>
    <m/>
    <m/>
    <s v="Yes"/>
    <m/>
    <n v="5"/>
    <n v="0"/>
    <m/>
    <m/>
    <n v="2"/>
    <m/>
    <m/>
    <m/>
    <m/>
    <m/>
    <m/>
    <m/>
    <m/>
    <m/>
    <m/>
    <n v="3"/>
    <m/>
    <m/>
    <m/>
    <m/>
    <m/>
    <m/>
    <m/>
    <n v="13"/>
    <m/>
    <m/>
    <m/>
    <m/>
    <m/>
    <m/>
    <n v="13"/>
    <x v="1"/>
    <x v="1"/>
    <m/>
    <m/>
    <m/>
    <m/>
    <m/>
    <m/>
    <n v="2"/>
    <m/>
    <m/>
    <n v="3"/>
    <m/>
    <m/>
    <n v="1"/>
    <m/>
    <m/>
    <m/>
    <m/>
    <m/>
    <m/>
    <m/>
    <m/>
    <m/>
    <m/>
    <m/>
    <m/>
    <m/>
    <s v="no test"/>
    <s v="no test"/>
    <s v="No Test"/>
    <n v="0"/>
    <n v="2"/>
    <n v="0"/>
    <n v="0"/>
    <n v="0"/>
    <n v="0"/>
    <n v="1"/>
    <n v="1"/>
    <n v="1"/>
    <n v="219"/>
    <n v="0"/>
    <n v="0"/>
    <n v="1"/>
    <n v="219"/>
    <n v="0.438"/>
    <n v="0"/>
    <n v="0"/>
    <n v="0.56200000000000006"/>
    <n v="1"/>
    <n v="13"/>
    <n v="1"/>
    <n v="219"/>
    <n v="0"/>
    <n v="0"/>
    <n v="0"/>
    <n v="0"/>
    <n v="11"/>
    <n v="0"/>
    <n v="0"/>
    <n v="0"/>
    <n v="219"/>
    <n v="0"/>
    <n v="0"/>
    <n v="0"/>
    <n v="219"/>
    <n v="1"/>
    <n v="0"/>
    <n v="1"/>
    <n v="0"/>
    <n v="0"/>
    <n v="2"/>
    <n v="40"/>
    <n v="0"/>
    <n v="200"/>
    <s v="No"/>
    <s v=""/>
    <n v="0"/>
    <n v="0"/>
    <s v="Yes"/>
    <s v="KBC-MYT"/>
    <x v="0"/>
    <x v="1"/>
    <x v="1"/>
    <n v="25.437125999999999"/>
    <n v="97.387276"/>
    <s v="MMR001CMP005"/>
    <x v="0"/>
    <s v="cccm_2019OCT"/>
  </r>
  <r>
    <x v="0"/>
    <x v="0"/>
    <x v="0"/>
    <m/>
    <x v="0"/>
    <x v="0"/>
    <x v="1"/>
    <x v="44"/>
    <n v="18"/>
    <n v="87"/>
    <m/>
    <m/>
    <m/>
    <m/>
    <m/>
    <m/>
    <s v="Yes"/>
    <m/>
    <m/>
    <n v="0"/>
    <m/>
    <m/>
    <n v="0"/>
    <m/>
    <m/>
    <m/>
    <n v="1"/>
    <m/>
    <m/>
    <m/>
    <m/>
    <m/>
    <m/>
    <n v="0"/>
    <m/>
    <m/>
    <m/>
    <m/>
    <m/>
    <m/>
    <m/>
    <n v="10"/>
    <m/>
    <m/>
    <m/>
    <m/>
    <m/>
    <m/>
    <n v="10"/>
    <x v="1"/>
    <x v="1"/>
    <m/>
    <m/>
    <m/>
    <m/>
    <m/>
    <m/>
    <n v="2"/>
    <m/>
    <m/>
    <n v="0"/>
    <m/>
    <m/>
    <m/>
    <m/>
    <m/>
    <m/>
    <m/>
    <m/>
    <m/>
    <m/>
    <m/>
    <m/>
    <m/>
    <m/>
    <m/>
    <m/>
    <s v="no test"/>
    <s v="no test"/>
    <s v="No Test"/>
    <n v="0"/>
    <n v="0"/>
    <n v="1"/>
    <n v="0"/>
    <n v="0"/>
    <n v="0"/>
    <n v="0.76628352490421459"/>
    <n v="0.76628352490421459"/>
    <n v="0.76628352490421459"/>
    <n v="66.666666666666671"/>
    <n v="0"/>
    <n v="0"/>
    <n v="0.76628352490421459"/>
    <n v="66.666666666666671"/>
    <n v="0.13333333333333333"/>
    <n v="0.23371647509578541"/>
    <n v="20.333333333333332"/>
    <n v="0.8666666666666667"/>
    <n v="1"/>
    <n v="10"/>
    <n v="1"/>
    <n v="87"/>
    <n v="0"/>
    <n v="0"/>
    <n v="0"/>
    <n v="0"/>
    <n v="4"/>
    <n v="0"/>
    <n v="0"/>
    <n v="0"/>
    <n v="0"/>
    <n v="0"/>
    <n v="0"/>
    <n v="0"/>
    <n v="0"/>
    <n v="0"/>
    <n v="1"/>
    <n v="0"/>
    <n v="0"/>
    <n v="0"/>
    <n v="2"/>
    <n v="18"/>
    <n v="0"/>
    <n v="87"/>
    <s v="No"/>
    <s v=""/>
    <n v="0"/>
    <n v="0"/>
    <n v="0"/>
    <s v="uncovered"/>
    <x v="0"/>
    <x v="0"/>
    <x v="1"/>
    <n v="0"/>
    <n v="0"/>
    <s v="MMR001CMP267"/>
    <x v="0"/>
    <s v="cccm_2019OCT"/>
  </r>
  <r>
    <x v="0"/>
    <x v="0"/>
    <x v="0"/>
    <s v="PLAN(GFFO),MHF13490"/>
    <x v="0"/>
    <x v="0"/>
    <x v="1"/>
    <x v="45"/>
    <n v="169"/>
    <n v="724"/>
    <s v="5-1-2019,10-1-2019"/>
    <s v="9-30-2020,7-31-2020"/>
    <m/>
    <m/>
    <m/>
    <m/>
    <s v="Yes"/>
    <m/>
    <n v="5"/>
    <n v="1"/>
    <n v="1"/>
    <m/>
    <n v="1"/>
    <m/>
    <n v="1"/>
    <m/>
    <m/>
    <m/>
    <m/>
    <n v="10200"/>
    <m/>
    <m/>
    <m/>
    <n v="4"/>
    <m/>
    <m/>
    <m/>
    <m/>
    <m/>
    <m/>
    <m/>
    <n v="28"/>
    <m/>
    <m/>
    <m/>
    <m/>
    <m/>
    <m/>
    <n v="10"/>
    <x v="1"/>
    <x v="1"/>
    <m/>
    <m/>
    <m/>
    <m/>
    <m/>
    <m/>
    <n v="2"/>
    <m/>
    <m/>
    <n v="0"/>
    <m/>
    <m/>
    <n v="2"/>
    <m/>
    <m/>
    <m/>
    <m/>
    <m/>
    <m/>
    <m/>
    <m/>
    <m/>
    <m/>
    <m/>
    <m/>
    <m/>
    <s v="no test"/>
    <s v="no test"/>
    <s v="No Test"/>
    <n v="0"/>
    <n v="0"/>
    <n v="0"/>
    <n v="7.5555555555555554"/>
    <n v="0"/>
    <n v="0"/>
    <n v="1.0435850214855739E-2"/>
    <n v="1.0435850214855739E-2"/>
    <n v="1.0435850214855739E-2"/>
    <n v="7.5555555555555554"/>
    <n v="0"/>
    <n v="0"/>
    <n v="1.0435850214855739E-2"/>
    <n v="7.5555555555555554"/>
    <n v="1.511111111111111E-2"/>
    <n v="0.98956414978514429"/>
    <n v="716.44444444444446"/>
    <n v="0.98488888888888892"/>
    <n v="1"/>
    <n v="28"/>
    <n v="0.77348066298342544"/>
    <n v="560"/>
    <n v="0"/>
    <n v="0"/>
    <n v="0"/>
    <n v="0"/>
    <n v="36"/>
    <n v="8"/>
    <n v="0.22651933701657456"/>
    <n v="0"/>
    <n v="724"/>
    <n v="0"/>
    <n v="0"/>
    <n v="0"/>
    <n v="724"/>
    <n v="1"/>
    <n v="0"/>
    <n v="1"/>
    <n v="0"/>
    <n v="0"/>
    <n v="2"/>
    <n v="40"/>
    <n v="0"/>
    <n v="200"/>
    <s v="No"/>
    <s v=""/>
    <n v="0"/>
    <n v="0"/>
    <s v="Yes"/>
    <s v="KBC-MYT"/>
    <x v="0"/>
    <x v="1"/>
    <x v="1"/>
    <n v="25.480989999999998"/>
    <n v="97.431079999999994"/>
    <s v="MMR001CMP263"/>
    <x v="0"/>
    <s v="cccm_2019OCT"/>
  </r>
  <r>
    <x v="0"/>
    <x v="0"/>
    <x v="0"/>
    <s v="PLAN(GFFO),MHF13490"/>
    <x v="0"/>
    <x v="2"/>
    <x v="1"/>
    <x v="46"/>
    <n v="79"/>
    <n v="356"/>
    <s v="5-1-2019,10-1-2019"/>
    <s v="9-30-2020,7-31-2020"/>
    <m/>
    <m/>
    <m/>
    <m/>
    <s v="Yes"/>
    <m/>
    <m/>
    <n v="0"/>
    <m/>
    <m/>
    <n v="1"/>
    <m/>
    <m/>
    <m/>
    <m/>
    <m/>
    <m/>
    <m/>
    <m/>
    <m/>
    <m/>
    <n v="3"/>
    <m/>
    <m/>
    <m/>
    <m/>
    <m/>
    <m/>
    <m/>
    <n v="8"/>
    <m/>
    <m/>
    <m/>
    <m/>
    <m/>
    <m/>
    <n v="6"/>
    <x v="1"/>
    <x v="1"/>
    <m/>
    <m/>
    <m/>
    <m/>
    <m/>
    <m/>
    <n v="4"/>
    <m/>
    <m/>
    <n v="0"/>
    <m/>
    <m/>
    <n v="1"/>
    <m/>
    <m/>
    <m/>
    <m/>
    <m/>
    <m/>
    <m/>
    <m/>
    <m/>
    <m/>
    <m/>
    <m/>
    <m/>
    <s v="no test"/>
    <s v="no test"/>
    <s v="No Test"/>
    <n v="0"/>
    <n v="1"/>
    <n v="0"/>
    <n v="0"/>
    <n v="0"/>
    <n v="0"/>
    <n v="1"/>
    <n v="0.702247191011236"/>
    <n v="1"/>
    <n v="356"/>
    <n v="0"/>
    <n v="0"/>
    <n v="1"/>
    <n v="356"/>
    <n v="0.71199999999999997"/>
    <n v="0"/>
    <n v="0"/>
    <n v="0.28800000000000003"/>
    <n v="1"/>
    <n v="8"/>
    <n v="0.449438202247191"/>
    <n v="160"/>
    <n v="0"/>
    <n v="0"/>
    <n v="0"/>
    <n v="0"/>
    <n v="18"/>
    <n v="10"/>
    <n v="0.550561797752809"/>
    <n v="0"/>
    <n v="356"/>
    <n v="0"/>
    <n v="0"/>
    <n v="0"/>
    <n v="356"/>
    <n v="1"/>
    <n v="0"/>
    <n v="1"/>
    <n v="0"/>
    <n v="0"/>
    <n v="4"/>
    <n v="79"/>
    <n v="0"/>
    <n v="356"/>
    <s v="No"/>
    <s v=""/>
    <n v="0"/>
    <n v="0"/>
    <s v="Yes"/>
    <s v="KBC-MYT"/>
    <x v="0"/>
    <x v="1"/>
    <x v="1"/>
    <n v="0"/>
    <n v="0"/>
    <s v="MMR001CMP269"/>
    <x v="0"/>
    <s v="cccm_2019OCT"/>
  </r>
  <r>
    <x v="0"/>
    <x v="0"/>
    <x v="0"/>
    <m/>
    <x v="0"/>
    <x v="1"/>
    <x v="0"/>
    <x v="47"/>
    <n v="78"/>
    <n v="324"/>
    <m/>
    <m/>
    <n v="442"/>
    <m/>
    <m/>
    <m/>
    <m/>
    <m/>
    <n v="3"/>
    <m/>
    <m/>
    <m/>
    <m/>
    <m/>
    <m/>
    <m/>
    <m/>
    <m/>
    <m/>
    <m/>
    <m/>
    <m/>
    <m/>
    <n v="0"/>
    <m/>
    <m/>
    <m/>
    <m/>
    <m/>
    <m/>
    <m/>
    <m/>
    <m/>
    <m/>
    <m/>
    <m/>
    <m/>
    <m/>
    <m/>
    <x v="1"/>
    <x v="3"/>
    <m/>
    <m/>
    <m/>
    <m/>
    <m/>
    <m/>
    <m/>
    <m/>
    <m/>
    <n v="0"/>
    <m/>
    <m/>
    <m/>
    <m/>
    <m/>
    <m/>
    <m/>
    <m/>
    <m/>
    <m/>
    <m/>
    <m/>
    <m/>
    <m/>
    <m/>
    <m/>
    <s v="no test"/>
    <s v="no test"/>
    <s v="No Test"/>
    <n v="0"/>
    <n v="0"/>
    <n v="0"/>
    <n v="0"/>
    <n v="0"/>
    <n v="0"/>
    <n v="0"/>
    <n v="0"/>
    <n v="0"/>
    <n v="0"/>
    <n v="0"/>
    <n v="0"/>
    <n v="0"/>
    <n v="0"/>
    <n v="0"/>
    <n v="1"/>
    <n v="324"/>
    <n v="1"/>
    <n v="1"/>
    <n v="0"/>
    <n v="0"/>
    <n v="0"/>
    <n v="0"/>
    <n v="0"/>
    <n v="0"/>
    <n v="0"/>
    <n v="16"/>
    <n v="16"/>
    <n v="1"/>
    <n v="0"/>
    <n v="0"/>
    <n v="0"/>
    <n v="0"/>
    <n v="0"/>
    <n v="0"/>
    <n v="0"/>
    <n v="1"/>
    <n v="0"/>
    <n v="0"/>
    <n v="0"/>
    <n v="0"/>
    <n v="0"/>
    <n v="0"/>
    <n v="0"/>
    <s v="Yes"/>
    <s v=""/>
    <n v="0"/>
    <n v="0"/>
    <n v="0"/>
    <n v="0"/>
    <x v="0"/>
    <x v="0"/>
    <x v="0"/>
    <n v="0"/>
    <n v="0"/>
    <n v="0"/>
    <x v="0"/>
    <n v="0"/>
  </r>
  <r>
    <x v="0"/>
    <x v="1"/>
    <x v="1"/>
    <s v="HARP,UNICEF"/>
    <x v="0"/>
    <x v="2"/>
    <x v="1"/>
    <x v="48"/>
    <n v="101"/>
    <n v="458"/>
    <s v="1-Mar-2019 / 1-Dec-2019"/>
    <s v="31-12-2020 / 30-Nov-2019"/>
    <n v="48"/>
    <m/>
    <m/>
    <m/>
    <s v="Yes"/>
    <m/>
    <m/>
    <m/>
    <m/>
    <m/>
    <m/>
    <m/>
    <m/>
    <m/>
    <n v="1"/>
    <m/>
    <m/>
    <m/>
    <m/>
    <m/>
    <m/>
    <m/>
    <m/>
    <m/>
    <m/>
    <m/>
    <n v="4"/>
    <m/>
    <m/>
    <n v="90"/>
    <m/>
    <m/>
    <m/>
    <m/>
    <m/>
    <m/>
    <m/>
    <x v="1"/>
    <x v="1"/>
    <n v="0"/>
    <m/>
    <m/>
    <m/>
    <m/>
    <m/>
    <n v="2"/>
    <m/>
    <m/>
    <n v="3"/>
    <m/>
    <m/>
    <n v="2"/>
    <m/>
    <m/>
    <s v="No"/>
    <m/>
    <m/>
    <m/>
    <n v="0.75"/>
    <n v="0.65"/>
    <n v="6"/>
    <n v="0.7"/>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90"/>
    <n v="1"/>
    <n v="458"/>
    <n v="0"/>
    <n v="0"/>
    <n v="0"/>
    <n v="0"/>
    <n v="23"/>
    <n v="0"/>
    <n v="0"/>
    <n v="0"/>
    <n v="458"/>
    <n v="0"/>
    <n v="0"/>
    <n v="0"/>
    <n v="458"/>
    <n v="1"/>
    <n v="0"/>
    <n v="1"/>
    <n v="0"/>
    <n v="0"/>
    <n v="2"/>
    <n v="40"/>
    <n v="0"/>
    <n v="200"/>
    <s v="Yes"/>
    <n v="1.3100436681222707E-2"/>
    <n v="0"/>
    <n v="0"/>
    <s v="Yes"/>
    <s v="KMSS-MYT"/>
    <x v="0"/>
    <x v="1"/>
    <x v="0"/>
    <n v="25.220278"/>
    <n v="97.915833000000006"/>
    <s v="MMR001CMP113"/>
    <x v="0"/>
    <s v="cccm_2019OCT"/>
  </r>
  <r>
    <x v="0"/>
    <x v="1"/>
    <x v="1"/>
    <s v="HARP,UNICEF"/>
    <x v="0"/>
    <x v="7"/>
    <x v="1"/>
    <x v="49"/>
    <n v="101"/>
    <n v="458"/>
    <s v="1-Mar-2019 / 1-Dec-2018"/>
    <s v="31-12-2020 / 30-Nov-2019"/>
    <n v="260"/>
    <m/>
    <m/>
    <m/>
    <s v="Yes"/>
    <m/>
    <n v="4"/>
    <m/>
    <m/>
    <m/>
    <m/>
    <m/>
    <m/>
    <m/>
    <n v="1"/>
    <m/>
    <m/>
    <m/>
    <m/>
    <m/>
    <m/>
    <m/>
    <m/>
    <m/>
    <m/>
    <m/>
    <n v="3"/>
    <m/>
    <m/>
    <n v="86"/>
    <m/>
    <m/>
    <m/>
    <m/>
    <m/>
    <m/>
    <m/>
    <x v="1"/>
    <x v="1"/>
    <n v="3"/>
    <m/>
    <m/>
    <m/>
    <m/>
    <m/>
    <m/>
    <m/>
    <m/>
    <n v="3"/>
    <m/>
    <m/>
    <n v="2"/>
    <m/>
    <m/>
    <s v="No"/>
    <m/>
    <m/>
    <m/>
    <n v="0.75"/>
    <n v="0.6"/>
    <n v="5"/>
    <n v="0.6"/>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86"/>
    <n v="1"/>
    <n v="458"/>
    <n v="0"/>
    <n v="0"/>
    <n v="0"/>
    <n v="0"/>
    <n v="23"/>
    <n v="0"/>
    <n v="0"/>
    <n v="0"/>
    <n v="458"/>
    <n v="0"/>
    <n v="0"/>
    <n v="0"/>
    <n v="458"/>
    <n v="1"/>
    <n v="0"/>
    <n v="1"/>
    <n v="0"/>
    <n v="0"/>
    <n v="0"/>
    <n v="0"/>
    <n v="0"/>
    <n v="0"/>
    <s v="Yes"/>
    <n v="1.0917030567685589E-2"/>
    <n v="0"/>
    <n v="0"/>
    <s v="Yes"/>
    <s v="KMSS-MYT"/>
    <x v="0"/>
    <x v="1"/>
    <x v="0"/>
    <n v="24.461033"/>
    <n v="97.537099999999995"/>
    <s v="MMR001CMP123"/>
    <x v="0"/>
    <s v="cccm_2019OCT"/>
  </r>
  <r>
    <x v="0"/>
    <x v="1"/>
    <x v="1"/>
    <s v="HARP"/>
    <x v="0"/>
    <x v="0"/>
    <x v="1"/>
    <x v="50"/>
    <n v="90"/>
    <n v="430"/>
    <d v="2019-03-01T00:00:00"/>
    <d v="2020-12-31T00:00:00"/>
    <m/>
    <m/>
    <m/>
    <m/>
    <s v="Yes"/>
    <m/>
    <m/>
    <n v="1"/>
    <m/>
    <m/>
    <m/>
    <m/>
    <m/>
    <m/>
    <m/>
    <m/>
    <m/>
    <m/>
    <m/>
    <m/>
    <m/>
    <m/>
    <m/>
    <m/>
    <m/>
    <m/>
    <m/>
    <m/>
    <m/>
    <n v="22"/>
    <m/>
    <m/>
    <m/>
    <m/>
    <m/>
    <m/>
    <m/>
    <x v="1"/>
    <x v="1"/>
    <m/>
    <m/>
    <m/>
    <m/>
    <m/>
    <m/>
    <m/>
    <m/>
    <m/>
    <n v="3"/>
    <m/>
    <m/>
    <n v="2"/>
    <m/>
    <m/>
    <m/>
    <m/>
    <m/>
    <m/>
    <n v="0.7"/>
    <n v="0.65"/>
    <n v="9"/>
    <n v="0.75"/>
    <m/>
    <m/>
    <m/>
    <s v="no test"/>
    <s v="no test"/>
    <s v="No Test"/>
    <n v="1"/>
    <n v="0"/>
    <n v="0"/>
    <n v="0"/>
    <n v="0"/>
    <n v="0"/>
    <n v="0.93023255813953487"/>
    <n v="0.58139534883720934"/>
    <n v="0.93023255813953487"/>
    <n v="400"/>
    <n v="0"/>
    <n v="0"/>
    <n v="0.93023255813953487"/>
    <n v="400"/>
    <n v="0.8"/>
    <n v="6.9767441860465129E-2"/>
    <n v="30.000000000000007"/>
    <n v="0.19999999999999996"/>
    <n v="1"/>
    <n v="22"/>
    <n v="1"/>
    <n v="430"/>
    <n v="0"/>
    <n v="0"/>
    <n v="0"/>
    <n v="0"/>
    <n v="22"/>
    <n v="0"/>
    <n v="0"/>
    <n v="0"/>
    <n v="430"/>
    <n v="0"/>
    <n v="0"/>
    <n v="0"/>
    <n v="430"/>
    <n v="1"/>
    <n v="0"/>
    <n v="1"/>
    <n v="0"/>
    <n v="0"/>
    <n v="0"/>
    <n v="0"/>
    <n v="0"/>
    <n v="0"/>
    <s v="No"/>
    <n v="2.0930232558139535E-2"/>
    <n v="0"/>
    <n v="0"/>
    <s v="Yes"/>
    <s v="KMSS-MYT"/>
    <x v="0"/>
    <x v="1"/>
    <x v="1"/>
    <n v="25.403476999999999"/>
    <n v="97.373361000000003"/>
    <s v="MMR001CMP019"/>
    <x v="0"/>
    <s v="cccm_2019OCT"/>
  </r>
  <r>
    <x v="0"/>
    <x v="1"/>
    <x v="1"/>
    <s v="UNICEF"/>
    <x v="0"/>
    <x v="7"/>
    <x v="1"/>
    <x v="51"/>
    <n v="1490"/>
    <n v="8486"/>
    <d v="2018-12-01T00:00:00"/>
    <d v="2019-11-30T00:00:00"/>
    <n v="1340"/>
    <m/>
    <m/>
    <m/>
    <s v="Yes"/>
    <m/>
    <m/>
    <n v="1"/>
    <m/>
    <m/>
    <m/>
    <m/>
    <m/>
    <m/>
    <m/>
    <m/>
    <m/>
    <m/>
    <m/>
    <m/>
    <m/>
    <m/>
    <m/>
    <m/>
    <m/>
    <m/>
    <n v="3"/>
    <m/>
    <m/>
    <n v="22"/>
    <m/>
    <m/>
    <m/>
    <m/>
    <m/>
    <m/>
    <m/>
    <x v="1"/>
    <x v="1"/>
    <n v="6"/>
    <m/>
    <m/>
    <m/>
    <m/>
    <m/>
    <m/>
    <m/>
    <m/>
    <n v="3"/>
    <m/>
    <m/>
    <n v="2"/>
    <m/>
    <m/>
    <s v="No"/>
    <m/>
    <m/>
    <m/>
    <m/>
    <m/>
    <m/>
    <m/>
    <m/>
    <m/>
    <m/>
    <s v="no test"/>
    <s v="no test"/>
    <s v="No Test"/>
    <n v="1"/>
    <n v="0"/>
    <n v="0"/>
    <n v="0"/>
    <n v="0"/>
    <n v="0"/>
    <n v="4.7136460051850106E-2"/>
    <n v="2.9460287532406315E-2"/>
    <n v="4.7136460051850106E-2"/>
    <n v="400"/>
    <n v="0"/>
    <n v="0"/>
    <n v="4.7136460051850106E-2"/>
    <n v="400"/>
    <n v="0.8"/>
    <n v="0.95286353994814987"/>
    <n v="8086"/>
    <n v="16.2"/>
    <n v="17"/>
    <n v="22"/>
    <n v="6.5991044072590155E-2"/>
    <n v="560"/>
    <n v="0"/>
    <n v="0"/>
    <n v="0"/>
    <n v="0"/>
    <n v="424"/>
    <n v="402"/>
    <n v="0.93400895592740985"/>
    <n v="0"/>
    <n v="1000"/>
    <n v="0"/>
    <n v="0"/>
    <n v="0"/>
    <n v="1000"/>
    <n v="0.11784115012962526"/>
    <n v="0.88215884987037474"/>
    <n v="0.11784115012962526"/>
    <n v="0"/>
    <n v="0"/>
    <n v="0"/>
    <n v="0"/>
    <n v="0"/>
    <n v="0"/>
    <s v="Yes"/>
    <s v=""/>
    <n v="0"/>
    <n v="0"/>
    <s v="Yes"/>
    <s v="KMSS-MYT"/>
    <x v="0"/>
    <x v="1"/>
    <x v="0"/>
    <n v="24.688338999999999"/>
    <n v="97.568331999999998"/>
    <s v="MMR001CMP121"/>
    <x v="0"/>
    <s v="cccm_2019OCT"/>
  </r>
  <r>
    <x v="0"/>
    <x v="1"/>
    <x v="1"/>
    <s v="AA"/>
    <x v="0"/>
    <x v="0"/>
    <x v="1"/>
    <x v="52"/>
    <n v="14"/>
    <n v="39"/>
    <d v="2018-10-01T00:00:00"/>
    <d v="2019-12-31T00:00:00"/>
    <m/>
    <m/>
    <m/>
    <m/>
    <s v="Yes"/>
    <m/>
    <n v="4"/>
    <m/>
    <m/>
    <m/>
    <n v="1"/>
    <m/>
    <m/>
    <m/>
    <m/>
    <m/>
    <m/>
    <m/>
    <m/>
    <m/>
    <m/>
    <m/>
    <m/>
    <m/>
    <m/>
    <m/>
    <m/>
    <m/>
    <m/>
    <n v="4"/>
    <m/>
    <m/>
    <m/>
    <n v="2"/>
    <m/>
    <m/>
    <m/>
    <x v="2"/>
    <x v="4"/>
    <m/>
    <m/>
    <m/>
    <m/>
    <m/>
    <m/>
    <n v="2"/>
    <m/>
    <m/>
    <n v="2"/>
    <m/>
    <m/>
    <n v="1"/>
    <m/>
    <m/>
    <m/>
    <m/>
    <m/>
    <m/>
    <n v="0.5"/>
    <n v="0.5"/>
    <n v="16"/>
    <n v="0.7"/>
    <m/>
    <m/>
    <m/>
    <s v="no test"/>
    <s v="no test"/>
    <s v="No Test"/>
    <n v="0"/>
    <n v="1"/>
    <n v="0"/>
    <n v="0"/>
    <n v="0"/>
    <n v="0"/>
    <n v="1"/>
    <n v="1"/>
    <n v="1"/>
    <n v="39"/>
    <n v="0"/>
    <n v="0"/>
    <n v="1"/>
    <n v="39"/>
    <n v="7.8E-2"/>
    <n v="0"/>
    <n v="0"/>
    <n v="0.92200000000000004"/>
    <n v="1"/>
    <n v="4"/>
    <n v="1"/>
    <n v="39"/>
    <n v="0"/>
    <n v="0"/>
    <n v="0"/>
    <n v="0"/>
    <n v="2"/>
    <n v="0"/>
    <n v="0"/>
    <n v="0"/>
    <n v="39"/>
    <n v="0"/>
    <n v="0"/>
    <n v="0"/>
    <n v="39"/>
    <n v="1"/>
    <n v="0"/>
    <n v="1"/>
    <n v="0"/>
    <n v="0"/>
    <n v="2"/>
    <n v="14"/>
    <n v="0"/>
    <n v="39"/>
    <s v="No"/>
    <n v="0.41025641025641024"/>
    <n v="0"/>
    <n v="0"/>
    <n v="0"/>
    <s v="KMSS-MYT"/>
    <x v="0"/>
    <x v="1"/>
    <x v="1"/>
    <n v="0"/>
    <n v="0"/>
    <s v="MMR001CMP256"/>
    <x v="0"/>
    <s v="cccm_2019OCT"/>
  </r>
  <r>
    <x v="0"/>
    <x v="1"/>
    <x v="1"/>
    <s v="AA"/>
    <x v="0"/>
    <x v="3"/>
    <x v="1"/>
    <x v="53"/>
    <n v="16"/>
    <n v="63"/>
    <d v="2018-10-01T00:00:00"/>
    <d v="2019-12-31T00:00:00"/>
    <m/>
    <m/>
    <m/>
    <m/>
    <s v="Yes"/>
    <m/>
    <n v="5"/>
    <m/>
    <m/>
    <m/>
    <n v="1"/>
    <n v="1"/>
    <m/>
    <m/>
    <m/>
    <m/>
    <m/>
    <m/>
    <m/>
    <m/>
    <m/>
    <m/>
    <m/>
    <m/>
    <m/>
    <m/>
    <m/>
    <m/>
    <m/>
    <n v="4"/>
    <m/>
    <m/>
    <m/>
    <n v="2"/>
    <m/>
    <m/>
    <m/>
    <x v="1"/>
    <x v="4"/>
    <m/>
    <m/>
    <m/>
    <m/>
    <m/>
    <m/>
    <m/>
    <m/>
    <m/>
    <n v="2"/>
    <m/>
    <n v="1"/>
    <n v="1"/>
    <n v="16"/>
    <n v="16"/>
    <m/>
    <m/>
    <m/>
    <m/>
    <n v="0.6"/>
    <n v="0.4"/>
    <n v="31"/>
    <n v="0.6"/>
    <m/>
    <m/>
    <m/>
    <s v="no test"/>
    <s v="no test"/>
    <s v="No Test"/>
    <n v="0"/>
    <n v="2"/>
    <n v="0"/>
    <n v="0"/>
    <n v="0"/>
    <n v="0"/>
    <n v="1"/>
    <n v="1"/>
    <n v="1"/>
    <n v="63"/>
    <n v="0"/>
    <n v="0"/>
    <n v="1"/>
    <n v="63"/>
    <n v="0.126"/>
    <n v="0"/>
    <n v="0"/>
    <n v="0.874"/>
    <n v="1"/>
    <n v="4"/>
    <n v="1"/>
    <n v="63"/>
    <n v="0"/>
    <n v="0"/>
    <n v="0"/>
    <n v="0"/>
    <n v="3"/>
    <n v="0"/>
    <n v="0"/>
    <n v="0"/>
    <n v="63"/>
    <n v="63"/>
    <n v="16"/>
    <n v="63"/>
    <n v="63"/>
    <n v="1"/>
    <n v="0"/>
    <n v="1"/>
    <n v="1"/>
    <n v="1"/>
    <n v="0"/>
    <n v="0"/>
    <n v="0"/>
    <n v="0"/>
    <s v="No"/>
    <n v="0.49206349206349204"/>
    <n v="0"/>
    <n v="0"/>
    <n v="0"/>
    <s v="KMSS-MYT"/>
    <x v="0"/>
    <x v="1"/>
    <x v="1"/>
    <n v="0"/>
    <n v="0"/>
    <s v="MMR001CMP270"/>
    <x v="0"/>
    <s v="cccm_2019OCT"/>
  </r>
  <r>
    <x v="0"/>
    <x v="1"/>
    <x v="1"/>
    <s v="AA"/>
    <x v="0"/>
    <x v="6"/>
    <x v="1"/>
    <x v="54"/>
    <n v="79"/>
    <n v="396"/>
    <d v="2018-10-01T00:00:00"/>
    <d v="2019-12-31T00:00:00"/>
    <m/>
    <m/>
    <m/>
    <m/>
    <s v="Yes"/>
    <m/>
    <n v="3"/>
    <m/>
    <m/>
    <m/>
    <n v="1"/>
    <n v="1"/>
    <m/>
    <m/>
    <m/>
    <m/>
    <m/>
    <m/>
    <m/>
    <m/>
    <m/>
    <m/>
    <m/>
    <m/>
    <m/>
    <m/>
    <m/>
    <m/>
    <s v="Water points are facing contamination of flood water due to heavy rain"/>
    <n v="6"/>
    <m/>
    <m/>
    <m/>
    <m/>
    <m/>
    <m/>
    <m/>
    <x v="1"/>
    <x v="2"/>
    <m/>
    <m/>
    <m/>
    <m/>
    <m/>
    <m/>
    <m/>
    <m/>
    <m/>
    <n v="2"/>
    <m/>
    <m/>
    <n v="1"/>
    <m/>
    <m/>
    <m/>
    <m/>
    <m/>
    <m/>
    <n v="0.6"/>
    <n v="0.7"/>
    <n v="198"/>
    <n v="0.5"/>
    <m/>
    <m/>
    <m/>
    <s v="no test"/>
    <s v="no test"/>
    <s v="No Test"/>
    <n v="0"/>
    <n v="2"/>
    <n v="0"/>
    <n v="0"/>
    <n v="0"/>
    <n v="0"/>
    <n v="1"/>
    <n v="1"/>
    <n v="1"/>
    <n v="396"/>
    <n v="0"/>
    <n v="0"/>
    <n v="1"/>
    <n v="396"/>
    <n v="0.79200000000000004"/>
    <n v="0"/>
    <n v="0"/>
    <n v="0.20799999999999996"/>
    <n v="1"/>
    <n v="6"/>
    <n v="0.30303030303030304"/>
    <n v="120"/>
    <n v="0"/>
    <n v="0"/>
    <n v="0"/>
    <n v="0"/>
    <n v="20"/>
    <n v="14"/>
    <n v="0.69696969696969702"/>
    <n v="0"/>
    <n v="396"/>
    <n v="0"/>
    <n v="0"/>
    <n v="0"/>
    <n v="396"/>
    <n v="1"/>
    <n v="0"/>
    <n v="1"/>
    <n v="0"/>
    <n v="0"/>
    <n v="0"/>
    <n v="0"/>
    <n v="0"/>
    <n v="0"/>
    <s v="No"/>
    <n v="0.5"/>
    <n v="0"/>
    <n v="0"/>
    <n v="0"/>
    <s v="KMSS-MYT"/>
    <x v="0"/>
    <x v="1"/>
    <x v="1"/>
    <n v="25.383465999999999"/>
    <n v="97.013800000000003"/>
    <s v="MMR001CMP260"/>
    <x v="0"/>
    <s v="cccm_2019OCT"/>
  </r>
  <r>
    <x v="0"/>
    <x v="1"/>
    <x v="1"/>
    <s v="AA"/>
    <x v="0"/>
    <x v="3"/>
    <x v="1"/>
    <x v="55"/>
    <n v="48"/>
    <n v="218"/>
    <d v="2018-10-01T00:00:00"/>
    <d v="2019-12-31T00:00:00"/>
    <m/>
    <m/>
    <m/>
    <m/>
    <s v="Yes"/>
    <m/>
    <n v="4"/>
    <m/>
    <m/>
    <m/>
    <m/>
    <m/>
    <m/>
    <m/>
    <n v="1"/>
    <m/>
    <n v="10"/>
    <m/>
    <m/>
    <m/>
    <m/>
    <m/>
    <m/>
    <m/>
    <m/>
    <m/>
    <m/>
    <m/>
    <m/>
    <n v="8"/>
    <n v="4"/>
    <m/>
    <m/>
    <m/>
    <m/>
    <m/>
    <m/>
    <x v="1"/>
    <x v="4"/>
    <m/>
    <m/>
    <m/>
    <m/>
    <m/>
    <m/>
    <m/>
    <m/>
    <m/>
    <n v="2"/>
    <m/>
    <n v="1"/>
    <n v="1"/>
    <n v="48"/>
    <n v="48"/>
    <m/>
    <m/>
    <m/>
    <m/>
    <n v="0.75"/>
    <n v="0.5"/>
    <n v="109"/>
    <n v="0.7"/>
    <m/>
    <m/>
    <m/>
    <s v="no test"/>
    <s v="no test"/>
    <s v="No Test"/>
    <n v="0"/>
    <n v="0"/>
    <n v="1"/>
    <n v="0"/>
    <n v="0"/>
    <n v="0"/>
    <n v="0.30581039755351686"/>
    <n v="0.30581039755351686"/>
    <n v="0.30581039755351686"/>
    <n v="66.666666666666671"/>
    <n v="0"/>
    <n v="0"/>
    <n v="0.30581039755351686"/>
    <n v="66.666666666666671"/>
    <n v="0.13333333333333333"/>
    <n v="0.69418960244648309"/>
    <n v="151.33333333333331"/>
    <n v="0.8666666666666667"/>
    <n v="1"/>
    <n v="12"/>
    <n v="1"/>
    <n v="218"/>
    <n v="0"/>
    <n v="0"/>
    <n v="0"/>
    <n v="0"/>
    <n v="11"/>
    <n v="0"/>
    <n v="0"/>
    <n v="0"/>
    <n v="218"/>
    <n v="218"/>
    <n v="48"/>
    <n v="218"/>
    <n v="218"/>
    <n v="1"/>
    <n v="0"/>
    <n v="1"/>
    <n v="1"/>
    <n v="1"/>
    <n v="0"/>
    <n v="0"/>
    <n v="0"/>
    <n v="0"/>
    <s v="No"/>
    <n v="0.5"/>
    <n v="0"/>
    <n v="0"/>
    <n v="0"/>
    <s v="KMSS-MYT"/>
    <x v="0"/>
    <x v="1"/>
    <x v="1"/>
    <n v="0"/>
    <n v="0"/>
    <s v="MMR001CMP268"/>
    <x v="0"/>
    <s v="cccm_2019OCT"/>
  </r>
  <r>
    <x v="0"/>
    <x v="1"/>
    <x v="1"/>
    <s v="HARP"/>
    <x v="0"/>
    <x v="3"/>
    <x v="0"/>
    <x v="56"/>
    <n v="72"/>
    <n v="329"/>
    <d v="2019-03-01T00:00:00"/>
    <d v="2020-12-31T00:00:00"/>
    <m/>
    <m/>
    <m/>
    <m/>
    <s v="Yes"/>
    <m/>
    <n v="2"/>
    <n v="2"/>
    <m/>
    <m/>
    <m/>
    <m/>
    <m/>
    <m/>
    <n v="1"/>
    <m/>
    <m/>
    <m/>
    <m/>
    <m/>
    <m/>
    <m/>
    <m/>
    <m/>
    <m/>
    <m/>
    <m/>
    <m/>
    <m/>
    <n v="12"/>
    <m/>
    <m/>
    <n v="4"/>
    <n v="2"/>
    <m/>
    <m/>
    <m/>
    <x v="1"/>
    <x v="1"/>
    <m/>
    <m/>
    <m/>
    <m/>
    <m/>
    <m/>
    <m/>
    <m/>
    <m/>
    <n v="2"/>
    <n v="1"/>
    <n v="1"/>
    <m/>
    <m/>
    <m/>
    <m/>
    <m/>
    <m/>
    <m/>
    <n v="0.5"/>
    <n v="0.4"/>
    <n v="30"/>
    <n v="0.5"/>
    <m/>
    <m/>
    <m/>
    <s v="no test"/>
    <s v="no test"/>
    <s v="No Test"/>
    <n v="2"/>
    <n v="0"/>
    <n v="1"/>
    <n v="0"/>
    <n v="0"/>
    <n v="0"/>
    <n v="1"/>
    <n v="1"/>
    <n v="1"/>
    <n v="329"/>
    <n v="0"/>
    <n v="0"/>
    <n v="1"/>
    <n v="329"/>
    <n v="0.65800000000000003"/>
    <n v="0"/>
    <n v="0"/>
    <n v="0.34199999999999997"/>
    <n v="1"/>
    <n v="8"/>
    <n v="0.48632218844984804"/>
    <n v="160"/>
    <n v="0"/>
    <n v="0"/>
    <n v="0"/>
    <n v="0"/>
    <n v="16"/>
    <n v="4"/>
    <n v="0.51367781155015191"/>
    <n v="0.33333333333333331"/>
    <n v="329"/>
    <n v="0"/>
    <n v="0"/>
    <n v="0"/>
    <n v="329"/>
    <n v="1"/>
    <n v="0"/>
    <n v="1"/>
    <n v="0"/>
    <n v="0"/>
    <n v="0"/>
    <n v="0"/>
    <n v="0"/>
    <n v="0"/>
    <s v="No"/>
    <n v="9.1185410334346503E-2"/>
    <n v="0"/>
    <n v="0"/>
    <n v="0"/>
    <n v="0"/>
    <x v="0"/>
    <x v="0"/>
    <x v="1"/>
    <n v="0"/>
    <n v="0"/>
    <n v="0"/>
    <x v="0"/>
    <m/>
  </r>
  <r>
    <x v="0"/>
    <x v="1"/>
    <x v="1"/>
    <s v="HARP,UNICEF"/>
    <x v="0"/>
    <x v="2"/>
    <x v="1"/>
    <x v="57"/>
    <n v="283"/>
    <n v="1481"/>
    <s v="1-Mar-2019,1-Dec-2018"/>
    <s v="31-12-2020,30-Nov-2019"/>
    <n v="85"/>
    <m/>
    <m/>
    <m/>
    <s v="Yes"/>
    <m/>
    <n v="4"/>
    <n v="10"/>
    <m/>
    <m/>
    <m/>
    <m/>
    <m/>
    <m/>
    <m/>
    <m/>
    <m/>
    <m/>
    <m/>
    <m/>
    <m/>
    <m/>
    <m/>
    <m/>
    <m/>
    <m/>
    <n v="2"/>
    <m/>
    <m/>
    <n v="97"/>
    <m/>
    <m/>
    <m/>
    <m/>
    <m/>
    <m/>
    <m/>
    <x v="1"/>
    <x v="1"/>
    <n v="4"/>
    <m/>
    <m/>
    <m/>
    <m/>
    <m/>
    <m/>
    <m/>
    <m/>
    <n v="6"/>
    <m/>
    <m/>
    <n v="4"/>
    <m/>
    <m/>
    <s v="No"/>
    <m/>
    <m/>
    <m/>
    <n v="0.65"/>
    <n v="0.6"/>
    <n v="12"/>
    <n v="0.65"/>
    <m/>
    <m/>
    <m/>
    <s v="no test"/>
    <s v="no test"/>
    <s v="No Test"/>
    <n v="10"/>
    <n v="0"/>
    <n v="0"/>
    <n v="0"/>
    <n v="0"/>
    <n v="0"/>
    <n v="1"/>
    <n v="1"/>
    <n v="1"/>
    <n v="1481"/>
    <n v="0"/>
    <n v="0"/>
    <n v="1"/>
    <n v="1481"/>
    <n v="2.9620000000000002"/>
    <n v="0"/>
    <n v="0"/>
    <n v="3.7999999999999812E-2"/>
    <n v="3"/>
    <n v="97"/>
    <n v="1"/>
    <n v="1481"/>
    <n v="0"/>
    <n v="0"/>
    <n v="0"/>
    <n v="0"/>
    <n v="74"/>
    <n v="0"/>
    <n v="0"/>
    <n v="0"/>
    <n v="1481"/>
    <n v="0"/>
    <n v="0"/>
    <n v="0"/>
    <n v="1481"/>
    <n v="1"/>
    <n v="0"/>
    <n v="1"/>
    <n v="0"/>
    <n v="0"/>
    <n v="0"/>
    <n v="0"/>
    <n v="0"/>
    <n v="0"/>
    <s v="Yes"/>
    <n v="8.1026333558406483E-3"/>
    <n v="0"/>
    <n v="0"/>
    <s v="Yes"/>
    <s v="KMSS-MYT"/>
    <x v="0"/>
    <x v="1"/>
    <x v="1"/>
    <n v="25.415667500000001"/>
    <n v="97.437782499999997"/>
    <s v="MMR001CMP029"/>
    <x v="0"/>
    <s v="cccm_2019OCT"/>
  </r>
  <r>
    <x v="0"/>
    <x v="1"/>
    <x v="1"/>
    <s v="HARP"/>
    <x v="0"/>
    <x v="9"/>
    <x v="1"/>
    <x v="58"/>
    <n v="154"/>
    <n v="694"/>
    <d v="2019-03-01T00:00:00"/>
    <d v="2020-12-31T00:00:00"/>
    <m/>
    <m/>
    <m/>
    <m/>
    <s v="Yes"/>
    <m/>
    <m/>
    <n v="1"/>
    <m/>
    <m/>
    <n v="3"/>
    <n v="2"/>
    <m/>
    <m/>
    <m/>
    <m/>
    <m/>
    <m/>
    <m/>
    <m/>
    <m/>
    <m/>
    <m/>
    <m/>
    <m/>
    <m/>
    <m/>
    <m/>
    <m/>
    <n v="61"/>
    <m/>
    <m/>
    <m/>
    <m/>
    <m/>
    <m/>
    <m/>
    <x v="1"/>
    <x v="1"/>
    <m/>
    <m/>
    <m/>
    <m/>
    <m/>
    <m/>
    <n v="10"/>
    <m/>
    <m/>
    <n v="7"/>
    <m/>
    <m/>
    <n v="2"/>
    <m/>
    <m/>
    <m/>
    <m/>
    <m/>
    <m/>
    <n v="0.7"/>
    <n v="0.7"/>
    <n v="8"/>
    <n v="0.7"/>
    <m/>
    <m/>
    <m/>
    <s v="no test"/>
    <s v="no test"/>
    <s v="No Test"/>
    <n v="1"/>
    <n v="5"/>
    <n v="0"/>
    <n v="0"/>
    <n v="0"/>
    <n v="0"/>
    <n v="1"/>
    <n v="1"/>
    <n v="1"/>
    <n v="694"/>
    <n v="0"/>
    <n v="0"/>
    <n v="1"/>
    <n v="694"/>
    <n v="1.3879999999999999"/>
    <n v="0"/>
    <n v="0"/>
    <n v="0"/>
    <n v="1"/>
    <n v="61"/>
    <n v="1"/>
    <n v="694"/>
    <n v="0"/>
    <n v="0"/>
    <n v="0"/>
    <n v="0"/>
    <n v="35"/>
    <n v="0"/>
    <n v="0"/>
    <n v="0"/>
    <n v="694"/>
    <n v="0"/>
    <n v="0"/>
    <n v="0"/>
    <n v="694"/>
    <n v="1"/>
    <n v="0"/>
    <n v="1"/>
    <n v="0"/>
    <n v="0"/>
    <n v="10"/>
    <n v="154"/>
    <n v="0"/>
    <n v="694"/>
    <s v="No"/>
    <n v="1.1527377521613832E-2"/>
    <n v="0"/>
    <n v="0"/>
    <s v="Yes"/>
    <s v="KMSS-BMO"/>
    <x v="0"/>
    <x v="1"/>
    <x v="1"/>
    <n v="23.976571"/>
    <n v="97.227057000000002"/>
    <s v="MMR001CMP223"/>
    <x v="0"/>
    <s v="cccm_2019OCT"/>
  </r>
  <r>
    <x v="0"/>
    <x v="1"/>
    <x v="1"/>
    <s v="AA"/>
    <x v="0"/>
    <x v="6"/>
    <x v="1"/>
    <x v="59"/>
    <n v="45"/>
    <n v="235"/>
    <d v="2018-10-01T00:00:00"/>
    <d v="2019-12-31T00:00:00"/>
    <m/>
    <m/>
    <m/>
    <m/>
    <s v="Yes"/>
    <m/>
    <n v="3"/>
    <m/>
    <m/>
    <m/>
    <m/>
    <n v="2"/>
    <m/>
    <m/>
    <m/>
    <m/>
    <m/>
    <m/>
    <m/>
    <m/>
    <m/>
    <m/>
    <m/>
    <m/>
    <m/>
    <m/>
    <m/>
    <m/>
    <s v="Water points are facing contamination of flood water due to heavy rain"/>
    <n v="8"/>
    <m/>
    <m/>
    <m/>
    <n v="4"/>
    <m/>
    <m/>
    <m/>
    <x v="1"/>
    <x v="2"/>
    <m/>
    <m/>
    <m/>
    <m/>
    <m/>
    <m/>
    <m/>
    <m/>
    <m/>
    <n v="2"/>
    <m/>
    <m/>
    <n v="1"/>
    <m/>
    <m/>
    <m/>
    <m/>
    <m/>
    <m/>
    <n v="0.6"/>
    <n v="0.7"/>
    <n v="117"/>
    <n v="0.4"/>
    <m/>
    <m/>
    <m/>
    <s v="no test"/>
    <s v="no test"/>
    <s v="No Test"/>
    <n v="0"/>
    <n v="2"/>
    <n v="0"/>
    <n v="0"/>
    <n v="0"/>
    <n v="0"/>
    <n v="1"/>
    <n v="1"/>
    <n v="1"/>
    <n v="235"/>
    <n v="0"/>
    <n v="0"/>
    <n v="1"/>
    <n v="235"/>
    <n v="0.47"/>
    <n v="0"/>
    <n v="0"/>
    <n v="0.53"/>
    <n v="1"/>
    <n v="8"/>
    <n v="0.68085106382978722"/>
    <n v="160"/>
    <n v="0"/>
    <n v="0"/>
    <n v="0"/>
    <n v="0"/>
    <n v="12"/>
    <n v="4"/>
    <n v="0.31914893617021278"/>
    <n v="0"/>
    <n v="235"/>
    <n v="0"/>
    <n v="0"/>
    <n v="0"/>
    <n v="235"/>
    <n v="1"/>
    <n v="0"/>
    <n v="1"/>
    <n v="0"/>
    <n v="0"/>
    <n v="0"/>
    <n v="0"/>
    <n v="0"/>
    <n v="0"/>
    <s v="No"/>
    <n v="0.49787234042553191"/>
    <n v="0"/>
    <n v="0"/>
    <n v="0"/>
    <s v="KMSS-MYT"/>
    <x v="0"/>
    <x v="1"/>
    <x v="1"/>
    <n v="25.370330525559201"/>
    <n v="97.010629910000006"/>
    <s v="MMR001CMP259"/>
    <x v="0"/>
    <s v="cccm_2019OCT"/>
  </r>
  <r>
    <x v="0"/>
    <x v="1"/>
    <x v="1"/>
    <s v="HARP"/>
    <x v="0"/>
    <x v="0"/>
    <x v="1"/>
    <x v="60"/>
    <n v="63"/>
    <n v="309"/>
    <d v="2019-03-01T00:00:00"/>
    <d v="2020-12-31T00:00:00"/>
    <m/>
    <m/>
    <m/>
    <m/>
    <s v="Yes"/>
    <m/>
    <m/>
    <m/>
    <m/>
    <m/>
    <n v="4"/>
    <m/>
    <m/>
    <m/>
    <m/>
    <m/>
    <m/>
    <m/>
    <m/>
    <m/>
    <m/>
    <m/>
    <m/>
    <m/>
    <m/>
    <m/>
    <m/>
    <m/>
    <m/>
    <n v="20"/>
    <m/>
    <m/>
    <m/>
    <m/>
    <m/>
    <m/>
    <m/>
    <x v="1"/>
    <x v="1"/>
    <m/>
    <m/>
    <m/>
    <m/>
    <m/>
    <m/>
    <m/>
    <m/>
    <m/>
    <n v="2"/>
    <m/>
    <n v="1"/>
    <n v="1"/>
    <m/>
    <m/>
    <m/>
    <m/>
    <m/>
    <m/>
    <n v="0.65"/>
    <n v="0.75"/>
    <n v="3"/>
    <n v="0.75"/>
    <m/>
    <m/>
    <m/>
    <s v="no test"/>
    <s v="no test"/>
    <s v="No Test"/>
    <n v="0"/>
    <n v="4"/>
    <n v="0"/>
    <n v="0"/>
    <n v="0"/>
    <n v="0"/>
    <n v="1"/>
    <n v="1"/>
    <n v="1"/>
    <n v="309"/>
    <n v="0"/>
    <n v="0"/>
    <n v="1"/>
    <n v="309"/>
    <n v="0.61799999999999999"/>
    <n v="0"/>
    <n v="0"/>
    <n v="0.38200000000000001"/>
    <n v="1"/>
    <n v="20"/>
    <n v="1"/>
    <n v="309"/>
    <n v="0"/>
    <n v="0"/>
    <n v="0"/>
    <n v="0"/>
    <n v="15"/>
    <n v="0"/>
    <n v="0"/>
    <n v="0"/>
    <n v="309"/>
    <n v="0"/>
    <n v="0"/>
    <n v="0"/>
    <n v="309"/>
    <n v="1"/>
    <n v="0"/>
    <n v="1"/>
    <n v="0"/>
    <n v="0"/>
    <n v="0"/>
    <n v="0"/>
    <n v="0"/>
    <n v="0"/>
    <s v="No"/>
    <n v="9.7087378640776691E-3"/>
    <n v="0"/>
    <n v="0"/>
    <s v="Yes"/>
    <s v="KMSS-MYT"/>
    <x v="0"/>
    <x v="1"/>
    <x v="1"/>
    <n v="25.410569299999999"/>
    <n v="97.359320179999997"/>
    <s v="MMR001CMP024"/>
    <x v="0"/>
    <s v="cccm_2019OCT"/>
  </r>
  <r>
    <x v="0"/>
    <x v="1"/>
    <x v="1"/>
    <s v="HARP"/>
    <x v="0"/>
    <x v="3"/>
    <x v="1"/>
    <x v="61"/>
    <n v="50"/>
    <n v="218"/>
    <d v="2019-03-01T00:00:00"/>
    <d v="2020-12-31T00:00:00"/>
    <m/>
    <m/>
    <m/>
    <m/>
    <s v="Yes"/>
    <m/>
    <n v="1"/>
    <n v="1"/>
    <m/>
    <m/>
    <m/>
    <m/>
    <m/>
    <m/>
    <m/>
    <m/>
    <m/>
    <m/>
    <m/>
    <m/>
    <m/>
    <m/>
    <m/>
    <m/>
    <m/>
    <m/>
    <m/>
    <m/>
    <m/>
    <n v="16"/>
    <m/>
    <m/>
    <m/>
    <m/>
    <n v="10"/>
    <m/>
    <m/>
    <x v="1"/>
    <x v="1"/>
    <m/>
    <m/>
    <m/>
    <m/>
    <m/>
    <m/>
    <m/>
    <m/>
    <m/>
    <n v="2"/>
    <m/>
    <n v="2"/>
    <m/>
    <m/>
    <m/>
    <m/>
    <m/>
    <m/>
    <m/>
    <n v="0.75"/>
    <n v="0.65"/>
    <n v="7"/>
    <n v="0.6"/>
    <m/>
    <m/>
    <m/>
    <s v="no test"/>
    <s v="no test"/>
    <s v="No Test"/>
    <n v="1"/>
    <n v="0"/>
    <n v="0"/>
    <n v="0"/>
    <n v="0"/>
    <n v="0"/>
    <n v="1"/>
    <n v="1"/>
    <n v="1"/>
    <n v="218"/>
    <n v="0"/>
    <n v="0"/>
    <n v="1"/>
    <n v="218"/>
    <n v="0.436"/>
    <n v="0"/>
    <n v="0"/>
    <n v="0.56400000000000006"/>
    <n v="1"/>
    <n v="16"/>
    <n v="1"/>
    <n v="218"/>
    <n v="200"/>
    <n v="0"/>
    <n v="0"/>
    <n v="0"/>
    <n v="11"/>
    <n v="0"/>
    <n v="0"/>
    <n v="0"/>
    <n v="218"/>
    <n v="0"/>
    <n v="0"/>
    <n v="0"/>
    <n v="218"/>
    <n v="1"/>
    <n v="0"/>
    <n v="1"/>
    <n v="0"/>
    <n v="0"/>
    <n v="0"/>
    <n v="0"/>
    <n v="0"/>
    <n v="0"/>
    <s v="No"/>
    <n v="3.2110091743119268E-2"/>
    <n v="0"/>
    <n v="0"/>
    <s v="Yes"/>
    <s v="KMSS-MYT"/>
    <x v="0"/>
    <x v="1"/>
    <x v="1"/>
    <n v="25.613894999999999"/>
    <n v="96.341352999999998"/>
    <s v="MMR001CMP103"/>
    <x v="0"/>
    <s v="cccm_2019OCT"/>
  </r>
  <r>
    <x v="0"/>
    <x v="1"/>
    <x v="1"/>
    <s v="HARP"/>
    <x v="0"/>
    <x v="0"/>
    <x v="1"/>
    <x v="62"/>
    <n v="147"/>
    <n v="882"/>
    <d v="2019-03-01T00:00:00"/>
    <d v="2020-12-31T00:00:00"/>
    <m/>
    <m/>
    <m/>
    <m/>
    <s v="Yes"/>
    <m/>
    <n v="4"/>
    <n v="8"/>
    <m/>
    <m/>
    <n v="2"/>
    <m/>
    <m/>
    <m/>
    <m/>
    <m/>
    <m/>
    <m/>
    <m/>
    <m/>
    <m/>
    <m/>
    <m/>
    <m/>
    <m/>
    <m/>
    <m/>
    <m/>
    <m/>
    <n v="74"/>
    <m/>
    <m/>
    <m/>
    <m/>
    <m/>
    <m/>
    <m/>
    <x v="1"/>
    <x v="1"/>
    <m/>
    <m/>
    <m/>
    <m/>
    <m/>
    <m/>
    <m/>
    <m/>
    <m/>
    <n v="13"/>
    <m/>
    <m/>
    <n v="4"/>
    <m/>
    <m/>
    <m/>
    <m/>
    <m/>
    <m/>
    <n v="0.55000000000000004"/>
    <n v="0.5"/>
    <n v="30"/>
    <n v="0.6"/>
    <m/>
    <m/>
    <m/>
    <s v="no test"/>
    <s v="no test"/>
    <s v="No Test"/>
    <n v="8"/>
    <n v="2"/>
    <n v="0"/>
    <n v="0"/>
    <n v="0"/>
    <n v="0"/>
    <n v="1"/>
    <n v="1"/>
    <n v="1"/>
    <n v="882"/>
    <n v="0"/>
    <n v="0"/>
    <n v="1"/>
    <n v="882"/>
    <n v="1.764"/>
    <n v="0"/>
    <n v="0"/>
    <n v="0.23599999999999999"/>
    <n v="2"/>
    <n v="74"/>
    <n v="1"/>
    <n v="882"/>
    <n v="0"/>
    <n v="0"/>
    <n v="0"/>
    <n v="0"/>
    <n v="44"/>
    <n v="0"/>
    <n v="0"/>
    <n v="0"/>
    <n v="882"/>
    <n v="0"/>
    <n v="0"/>
    <n v="0"/>
    <n v="882"/>
    <n v="1"/>
    <n v="0"/>
    <n v="1"/>
    <n v="0"/>
    <n v="0"/>
    <n v="0"/>
    <n v="0"/>
    <n v="0"/>
    <n v="0"/>
    <s v="No"/>
    <n v="3.4013605442176874E-2"/>
    <n v="0"/>
    <n v="0"/>
    <s v="Yes"/>
    <s v="KMSS-MYT"/>
    <x v="0"/>
    <x v="1"/>
    <x v="1"/>
    <n v="25.493819999999999"/>
    <n v="97.4345"/>
    <s v="MMR001CMP162"/>
    <x v="0"/>
    <s v="cccm_2019OCT"/>
  </r>
  <r>
    <x v="0"/>
    <x v="1"/>
    <x v="1"/>
    <s v="HARP"/>
    <x v="0"/>
    <x v="0"/>
    <x v="1"/>
    <x v="63"/>
    <n v="255"/>
    <n v="1374"/>
    <d v="2019-03-01T00:00:00"/>
    <d v="2020-12-31T00:00:00"/>
    <m/>
    <m/>
    <m/>
    <m/>
    <m/>
    <m/>
    <n v="4"/>
    <m/>
    <m/>
    <m/>
    <m/>
    <m/>
    <m/>
    <m/>
    <m/>
    <m/>
    <m/>
    <m/>
    <m/>
    <m/>
    <m/>
    <m/>
    <m/>
    <m/>
    <m/>
    <m/>
    <m/>
    <m/>
    <m/>
    <m/>
    <m/>
    <m/>
    <m/>
    <m/>
    <m/>
    <m/>
    <m/>
    <x v="0"/>
    <x v="0"/>
    <m/>
    <m/>
    <m/>
    <m/>
    <m/>
    <m/>
    <m/>
    <m/>
    <m/>
    <m/>
    <m/>
    <m/>
    <m/>
    <m/>
    <m/>
    <m/>
    <m/>
    <m/>
    <m/>
    <m/>
    <m/>
    <m/>
    <m/>
    <m/>
    <m/>
    <m/>
    <s v="no test"/>
    <s v="no test"/>
    <s v="No Test"/>
    <n v="0"/>
    <n v="0"/>
    <n v="0"/>
    <n v="0"/>
    <n v="0"/>
    <n v="0"/>
    <n v="0"/>
    <n v="0"/>
    <n v="0"/>
    <n v="0"/>
    <n v="0"/>
    <n v="0"/>
    <n v="0"/>
    <n v="0"/>
    <n v="0"/>
    <n v="1"/>
    <n v="1374"/>
    <n v="3"/>
    <n v="3"/>
    <n v="0"/>
    <n v="0"/>
    <n v="0"/>
    <n v="0"/>
    <n v="0"/>
    <n v="0"/>
    <n v="0"/>
    <n v="69"/>
    <n v="69"/>
    <n v="1"/>
    <n v="0"/>
    <n v="0"/>
    <n v="0"/>
    <n v="0"/>
    <n v="0"/>
    <n v="0"/>
    <n v="0"/>
    <n v="1"/>
    <n v="0"/>
    <n v="0"/>
    <n v="0"/>
    <n v="0"/>
    <n v="0"/>
    <n v="0"/>
    <n v="0"/>
    <s v="No"/>
    <s v=""/>
    <n v="0"/>
    <n v="0"/>
    <s v="Yes"/>
    <s v="KMSS-MYT"/>
    <x v="0"/>
    <x v="1"/>
    <x v="1"/>
    <n v="25.493819999999999"/>
    <n v="97.4345"/>
    <s v="MMR001CMP271"/>
    <x v="0"/>
    <s v="cccm_2019OCT"/>
  </r>
  <r>
    <x v="0"/>
    <x v="1"/>
    <x v="1"/>
    <s v="HARP,UNICEF"/>
    <x v="0"/>
    <x v="4"/>
    <x v="1"/>
    <x v="64"/>
    <n v="57"/>
    <n v="264"/>
    <s v="1-Mar-2019,1-Dec-2018"/>
    <s v="31-12-2020,30-Nov-2019"/>
    <n v="148"/>
    <m/>
    <m/>
    <m/>
    <s v="Yes"/>
    <m/>
    <m/>
    <m/>
    <m/>
    <m/>
    <m/>
    <m/>
    <m/>
    <m/>
    <n v="1"/>
    <m/>
    <m/>
    <m/>
    <m/>
    <m/>
    <m/>
    <m/>
    <m/>
    <m/>
    <m/>
    <m/>
    <m/>
    <m/>
    <m/>
    <n v="28"/>
    <m/>
    <m/>
    <m/>
    <m/>
    <m/>
    <m/>
    <m/>
    <x v="1"/>
    <x v="1"/>
    <n v="2"/>
    <m/>
    <m/>
    <m/>
    <m/>
    <m/>
    <m/>
    <m/>
    <m/>
    <n v="2"/>
    <n v="1"/>
    <m/>
    <m/>
    <m/>
    <m/>
    <m/>
    <m/>
    <m/>
    <m/>
    <n v="0.6"/>
    <n v="0.7"/>
    <n v="4"/>
    <n v="0.7"/>
    <m/>
    <m/>
    <m/>
    <s v="no test"/>
    <s v="no test"/>
    <s v="No Test"/>
    <n v="0"/>
    <n v="0"/>
    <n v="1"/>
    <n v="0"/>
    <n v="0"/>
    <n v="0"/>
    <n v="0.25252525252525254"/>
    <n v="0.25252525252525254"/>
    <n v="0.25252525252525254"/>
    <n v="66.666666666666671"/>
    <n v="0"/>
    <n v="0"/>
    <n v="0.25252525252525254"/>
    <n v="66.666666666666671"/>
    <n v="0.13333333333333333"/>
    <n v="0.7474747474747474"/>
    <n v="197.33333333333331"/>
    <n v="0.8666666666666667"/>
    <n v="1"/>
    <n v="28"/>
    <n v="1"/>
    <n v="264"/>
    <n v="0"/>
    <n v="0"/>
    <n v="0"/>
    <n v="0"/>
    <n v="13"/>
    <n v="0"/>
    <n v="0"/>
    <n v="0"/>
    <n v="0"/>
    <n v="0"/>
    <n v="0"/>
    <n v="0"/>
    <n v="0"/>
    <n v="0"/>
    <n v="1"/>
    <n v="0"/>
    <n v="0"/>
    <n v="0"/>
    <n v="0"/>
    <n v="0"/>
    <n v="0"/>
    <n v="0"/>
    <s v="Yes"/>
    <n v="1.5151515151515152E-2"/>
    <n v="0"/>
    <n v="0"/>
    <s v="Yes"/>
    <s v="KMSS-MYT"/>
    <x v="0"/>
    <x v="1"/>
    <x v="1"/>
    <n v="25.60867"/>
    <n v="98.377780000000001"/>
    <s v="MMR001CMP210"/>
    <x v="0"/>
    <s v="cccm_2019OCT"/>
  </r>
  <r>
    <x v="0"/>
    <x v="1"/>
    <x v="1"/>
    <s v="HARP,UNICEF"/>
    <x v="0"/>
    <x v="2"/>
    <x v="1"/>
    <x v="65"/>
    <n v="100"/>
    <n v="612"/>
    <s v="1-Mar-2019,1-Dec-2018"/>
    <s v="31-12-2020,30-Nov-2019"/>
    <n v="57"/>
    <m/>
    <m/>
    <m/>
    <s v="Yes"/>
    <m/>
    <m/>
    <m/>
    <m/>
    <m/>
    <m/>
    <m/>
    <m/>
    <m/>
    <n v="1"/>
    <m/>
    <m/>
    <m/>
    <m/>
    <m/>
    <m/>
    <m/>
    <m/>
    <m/>
    <m/>
    <m/>
    <n v="4"/>
    <m/>
    <m/>
    <n v="98"/>
    <m/>
    <m/>
    <m/>
    <m/>
    <m/>
    <m/>
    <m/>
    <x v="1"/>
    <x v="1"/>
    <n v="3"/>
    <m/>
    <m/>
    <m/>
    <m/>
    <m/>
    <m/>
    <m/>
    <m/>
    <n v="4"/>
    <m/>
    <n v="1"/>
    <n v="1"/>
    <m/>
    <m/>
    <s v="No"/>
    <m/>
    <m/>
    <m/>
    <n v="0.7"/>
    <n v="0.65"/>
    <n v="7"/>
    <n v="0.65"/>
    <m/>
    <m/>
    <m/>
    <s v="no test"/>
    <s v="no test"/>
    <s v="No Test"/>
    <n v="0"/>
    <n v="0"/>
    <n v="1"/>
    <n v="0"/>
    <n v="0"/>
    <n v="0"/>
    <n v="0.10893246187363835"/>
    <n v="0.10893246187363835"/>
    <n v="0.10893246187363835"/>
    <n v="66.666666666666671"/>
    <n v="0"/>
    <n v="0"/>
    <n v="0.10893246187363835"/>
    <n v="66.666666666666671"/>
    <n v="0.13333333333333333"/>
    <n v="0.89106753812636164"/>
    <n v="545.33333333333337"/>
    <n v="0.8666666666666667"/>
    <n v="1"/>
    <n v="98"/>
    <n v="1"/>
    <n v="612"/>
    <n v="0"/>
    <n v="0"/>
    <n v="0"/>
    <n v="0"/>
    <n v="31"/>
    <n v="0"/>
    <n v="0"/>
    <n v="0"/>
    <n v="612"/>
    <n v="0"/>
    <n v="0"/>
    <n v="0"/>
    <n v="612"/>
    <n v="1"/>
    <n v="0"/>
    <n v="1"/>
    <n v="0"/>
    <n v="0"/>
    <n v="0"/>
    <n v="0"/>
    <n v="0"/>
    <n v="0"/>
    <s v="Yes"/>
    <n v="1.1437908496732025E-2"/>
    <n v="0"/>
    <n v="0"/>
    <s v="Yes"/>
    <s v="KMSS-MYT"/>
    <x v="0"/>
    <x v="1"/>
    <x v="0"/>
    <n v="25.265277999999999"/>
    <n v="97.990555999999998"/>
    <s v="MMR001CMP160"/>
    <x v="0"/>
    <s v="cccm_2019OCT"/>
  </r>
  <r>
    <x v="0"/>
    <x v="1"/>
    <x v="1"/>
    <s v="HARP,UNICEF"/>
    <x v="0"/>
    <x v="4"/>
    <x v="1"/>
    <x v="66"/>
    <n v="31"/>
    <n v="173"/>
    <s v="1-Mar-2019,1-Dec-2018"/>
    <s v="31-12-2020,30-Nov-2019"/>
    <n v="66"/>
    <m/>
    <m/>
    <m/>
    <s v="Yes"/>
    <m/>
    <n v="4"/>
    <m/>
    <m/>
    <m/>
    <m/>
    <m/>
    <m/>
    <m/>
    <m/>
    <m/>
    <m/>
    <m/>
    <m/>
    <m/>
    <m/>
    <m/>
    <m/>
    <m/>
    <m/>
    <m/>
    <m/>
    <m/>
    <m/>
    <n v="10"/>
    <m/>
    <m/>
    <m/>
    <m/>
    <m/>
    <m/>
    <m/>
    <x v="1"/>
    <x v="1"/>
    <n v="2"/>
    <m/>
    <m/>
    <m/>
    <m/>
    <m/>
    <m/>
    <m/>
    <m/>
    <m/>
    <m/>
    <n v="1"/>
    <m/>
    <m/>
    <m/>
    <m/>
    <m/>
    <m/>
    <m/>
    <n v="0.6"/>
    <n v="0.55000000000000004"/>
    <n v="2"/>
    <n v="0.6"/>
    <m/>
    <m/>
    <m/>
    <s v="no test"/>
    <s v="no test"/>
    <s v="No Test"/>
    <n v="0"/>
    <n v="0"/>
    <n v="0"/>
    <n v="0"/>
    <n v="0"/>
    <n v="0"/>
    <n v="0"/>
    <n v="0"/>
    <n v="0"/>
    <n v="0"/>
    <n v="0"/>
    <n v="0"/>
    <n v="0"/>
    <n v="0"/>
    <n v="0"/>
    <n v="1"/>
    <n v="173"/>
    <n v="1"/>
    <n v="1"/>
    <n v="10"/>
    <n v="1"/>
    <n v="173"/>
    <n v="0"/>
    <n v="0"/>
    <n v="0"/>
    <n v="0"/>
    <n v="9"/>
    <n v="0"/>
    <n v="0"/>
    <n v="0"/>
    <n v="173"/>
    <n v="0"/>
    <n v="0"/>
    <n v="0"/>
    <n v="173"/>
    <n v="1"/>
    <n v="0"/>
    <n v="1"/>
    <n v="0"/>
    <n v="0"/>
    <n v="0"/>
    <n v="0"/>
    <n v="0"/>
    <n v="0"/>
    <s v="Yes"/>
    <n v="1.1560693641618497E-2"/>
    <n v="0"/>
    <n v="0"/>
    <s v="Yes"/>
    <s v="KMSS-MYT"/>
    <x v="0"/>
    <x v="1"/>
    <x v="1"/>
    <n v="25.645959999999999"/>
    <n v="98.356260000000006"/>
    <s v="MMR001CMP225"/>
    <x v="0"/>
    <s v="cccm_2019OCT"/>
  </r>
  <r>
    <x v="0"/>
    <x v="1"/>
    <x v="1"/>
    <s v="HARP"/>
    <x v="0"/>
    <x v="9"/>
    <x v="0"/>
    <x v="67"/>
    <n v="22"/>
    <n v="122"/>
    <m/>
    <d v="2019-04-30T00:00:00"/>
    <m/>
    <m/>
    <m/>
    <m/>
    <m/>
    <m/>
    <n v="3"/>
    <m/>
    <m/>
    <m/>
    <m/>
    <n v="1"/>
    <m/>
    <m/>
    <m/>
    <m/>
    <m/>
    <m/>
    <m/>
    <m/>
    <m/>
    <m/>
    <m/>
    <m/>
    <m/>
    <m/>
    <m/>
    <m/>
    <m/>
    <n v="6"/>
    <m/>
    <m/>
    <m/>
    <m/>
    <m/>
    <m/>
    <m/>
    <x v="1"/>
    <x v="1"/>
    <m/>
    <m/>
    <m/>
    <m/>
    <m/>
    <m/>
    <n v="2"/>
    <m/>
    <m/>
    <n v="2"/>
    <m/>
    <m/>
    <n v="1"/>
    <m/>
    <m/>
    <m/>
    <m/>
    <m/>
    <m/>
    <m/>
    <m/>
    <m/>
    <m/>
    <m/>
    <m/>
    <m/>
    <s v="no test"/>
    <s v="no test"/>
    <s v="No Test"/>
    <n v="0"/>
    <n v="1"/>
    <n v="0"/>
    <n v="0"/>
    <n v="0"/>
    <n v="0"/>
    <n v="1"/>
    <n v="1"/>
    <n v="1"/>
    <n v="122"/>
    <n v="0"/>
    <n v="0"/>
    <n v="1"/>
    <n v="122"/>
    <n v="0.24399999999999999"/>
    <n v="0"/>
    <n v="0"/>
    <n v="0.75600000000000001"/>
    <n v="1"/>
    <n v="6"/>
    <n v="0.98360655737704916"/>
    <n v="120"/>
    <n v="0"/>
    <n v="0"/>
    <n v="0"/>
    <n v="0"/>
    <n v="6"/>
    <n v="0"/>
    <n v="1.6393442622950838E-2"/>
    <n v="0"/>
    <n v="122"/>
    <n v="0"/>
    <n v="0"/>
    <n v="0"/>
    <n v="122"/>
    <n v="1"/>
    <n v="0"/>
    <n v="1"/>
    <n v="0"/>
    <n v="0"/>
    <n v="2"/>
    <n v="22"/>
    <n v="0"/>
    <n v="122"/>
    <s v="No"/>
    <s v=""/>
    <n v="0"/>
    <n v="0"/>
    <n v="0"/>
    <n v="0"/>
    <x v="0"/>
    <x v="1"/>
    <x v="1"/>
    <n v="0"/>
    <n v="0"/>
    <n v="0"/>
    <x v="0"/>
    <n v="0"/>
  </r>
  <r>
    <x v="0"/>
    <x v="1"/>
    <x v="1"/>
    <s v="HARP"/>
    <x v="0"/>
    <x v="5"/>
    <x v="1"/>
    <x v="68"/>
    <n v="11"/>
    <n v="52"/>
    <d v="2019-01-01T00:00:00"/>
    <s v="31-3-2019"/>
    <m/>
    <m/>
    <m/>
    <m/>
    <s v="Yes"/>
    <m/>
    <n v="1"/>
    <n v="1"/>
    <m/>
    <m/>
    <m/>
    <m/>
    <m/>
    <m/>
    <m/>
    <m/>
    <m/>
    <m/>
    <m/>
    <m/>
    <m/>
    <m/>
    <m/>
    <m/>
    <m/>
    <m/>
    <m/>
    <m/>
    <m/>
    <n v="7"/>
    <m/>
    <m/>
    <m/>
    <m/>
    <m/>
    <m/>
    <m/>
    <x v="1"/>
    <x v="1"/>
    <m/>
    <m/>
    <m/>
    <m/>
    <m/>
    <m/>
    <m/>
    <m/>
    <m/>
    <n v="2"/>
    <m/>
    <m/>
    <n v="1"/>
    <m/>
    <m/>
    <m/>
    <m/>
    <m/>
    <m/>
    <n v="0.7"/>
    <n v="0.65"/>
    <n v="4"/>
    <n v="0.7"/>
    <m/>
    <m/>
    <m/>
    <s v="no test"/>
    <s v="no test"/>
    <s v="No Test"/>
    <n v="1"/>
    <n v="0"/>
    <n v="0"/>
    <n v="0"/>
    <n v="0"/>
    <n v="0"/>
    <n v="1"/>
    <n v="1"/>
    <n v="1"/>
    <n v="52"/>
    <n v="0"/>
    <n v="0"/>
    <n v="1"/>
    <n v="52"/>
    <n v="0.104"/>
    <n v="0"/>
    <n v="0"/>
    <n v="0.89600000000000002"/>
    <n v="1"/>
    <n v="7"/>
    <n v="1"/>
    <n v="52"/>
    <n v="0"/>
    <n v="0"/>
    <n v="0"/>
    <n v="0"/>
    <n v="3"/>
    <n v="0"/>
    <n v="0"/>
    <n v="0"/>
    <n v="52"/>
    <n v="0"/>
    <n v="0"/>
    <n v="0"/>
    <n v="52"/>
    <n v="1"/>
    <n v="0"/>
    <n v="1"/>
    <n v="0"/>
    <n v="0"/>
    <n v="0"/>
    <n v="0"/>
    <n v="0"/>
    <n v="0"/>
    <s v="No"/>
    <n v="7.6923076923076927E-2"/>
    <n v="0"/>
    <n v="0"/>
    <s v="Yes"/>
    <s v="KMSS-MYT"/>
    <x v="0"/>
    <x v="1"/>
    <x v="1"/>
    <n v="24.764800000000001"/>
    <n v="96.367059999999995"/>
    <s v="MMR001CMP080"/>
    <x v="0"/>
    <s v="cccm_2019OCT"/>
  </r>
  <r>
    <x v="0"/>
    <x v="2"/>
    <x v="2"/>
    <s v="WHH-AA "/>
    <x v="0"/>
    <x v="7"/>
    <x v="0"/>
    <x v="69"/>
    <n v="141"/>
    <n v="665"/>
    <d v="2019-01-01T00:00:00"/>
    <d v="2019-12-31T00:00:00"/>
    <m/>
    <m/>
    <m/>
    <m/>
    <s v="Yes"/>
    <n v="2"/>
    <m/>
    <n v="1"/>
    <m/>
    <m/>
    <n v="1"/>
    <n v="1"/>
    <m/>
    <m/>
    <m/>
    <m/>
    <m/>
    <m/>
    <m/>
    <m/>
    <m/>
    <m/>
    <m/>
    <m/>
    <m/>
    <m/>
    <m/>
    <m/>
    <m/>
    <n v="28"/>
    <m/>
    <m/>
    <m/>
    <m/>
    <n v="6"/>
    <m/>
    <m/>
    <x v="1"/>
    <x v="1"/>
    <m/>
    <m/>
    <m/>
    <m/>
    <m/>
    <m/>
    <n v="10"/>
    <m/>
    <m/>
    <n v="3"/>
    <m/>
    <m/>
    <m/>
    <m/>
    <m/>
    <m/>
    <m/>
    <m/>
    <m/>
    <m/>
    <m/>
    <m/>
    <m/>
    <m/>
    <m/>
    <m/>
    <s v="no test"/>
    <s v="no test"/>
    <s v="No Test"/>
    <n v="1"/>
    <n v="2"/>
    <n v="0"/>
    <n v="0"/>
    <n v="0"/>
    <n v="0"/>
    <n v="1"/>
    <n v="1"/>
    <n v="1"/>
    <n v="665"/>
    <n v="0"/>
    <n v="0"/>
    <n v="1"/>
    <n v="665"/>
    <n v="1.33"/>
    <n v="0"/>
    <n v="0"/>
    <n v="0"/>
    <n v="1"/>
    <n v="28"/>
    <n v="0.84210526315789469"/>
    <n v="560"/>
    <n v="120"/>
    <n v="0"/>
    <n v="0"/>
    <n v="0"/>
    <n v="33"/>
    <n v="5"/>
    <n v="0.15789473684210531"/>
    <n v="0"/>
    <n v="0"/>
    <n v="0"/>
    <n v="0"/>
    <n v="0"/>
    <n v="0"/>
    <n v="0"/>
    <n v="1"/>
    <n v="0"/>
    <n v="0"/>
    <n v="0"/>
    <n v="10"/>
    <n v="141"/>
    <n v="0"/>
    <n v="665"/>
    <s v="No"/>
    <s v=""/>
    <n v="0"/>
    <n v="0"/>
    <n v="0"/>
    <n v="0"/>
    <x v="0"/>
    <x v="1"/>
    <x v="1"/>
    <n v="0"/>
    <n v="0"/>
    <n v="0"/>
    <x v="0"/>
    <n v="0"/>
  </r>
  <r>
    <x v="0"/>
    <x v="2"/>
    <x v="2"/>
    <s v="WHH-AA "/>
    <x v="0"/>
    <x v="10"/>
    <x v="1"/>
    <x v="70"/>
    <n v="11"/>
    <n v="55"/>
    <d v="2019-01-01T00:00:00"/>
    <d v="2019-12-31T00:00:00"/>
    <m/>
    <m/>
    <m/>
    <m/>
    <s v="No"/>
    <m/>
    <n v="4"/>
    <m/>
    <m/>
    <m/>
    <m/>
    <n v="1"/>
    <m/>
    <m/>
    <m/>
    <m/>
    <m/>
    <m/>
    <m/>
    <m/>
    <m/>
    <m/>
    <m/>
    <m/>
    <m/>
    <m/>
    <m/>
    <m/>
    <m/>
    <n v="2"/>
    <m/>
    <m/>
    <m/>
    <m/>
    <m/>
    <m/>
    <m/>
    <x v="1"/>
    <x v="3"/>
    <m/>
    <m/>
    <m/>
    <m/>
    <m/>
    <m/>
    <n v="1"/>
    <m/>
    <m/>
    <n v="1"/>
    <m/>
    <m/>
    <m/>
    <m/>
    <m/>
    <m/>
    <m/>
    <m/>
    <m/>
    <m/>
    <m/>
    <m/>
    <m/>
    <m/>
    <m/>
    <m/>
    <s v="no test"/>
    <s v="no test"/>
    <s v="No Test"/>
    <n v="0"/>
    <n v="1"/>
    <n v="0"/>
    <n v="0"/>
    <n v="0"/>
    <n v="0"/>
    <n v="1"/>
    <n v="1"/>
    <n v="1"/>
    <n v="55"/>
    <n v="0"/>
    <n v="0"/>
    <n v="1"/>
    <n v="55"/>
    <n v="0.11"/>
    <n v="0"/>
    <n v="0"/>
    <n v="0.89"/>
    <n v="1"/>
    <n v="2"/>
    <n v="0.72727272727272729"/>
    <n v="40"/>
    <n v="0"/>
    <n v="0"/>
    <n v="0"/>
    <n v="0"/>
    <n v="3"/>
    <n v="1"/>
    <n v="0.27272727272727271"/>
    <n v="0"/>
    <n v="0"/>
    <n v="0"/>
    <n v="0"/>
    <n v="0"/>
    <n v="0"/>
    <n v="0"/>
    <n v="1"/>
    <n v="0"/>
    <n v="0"/>
    <n v="0"/>
    <n v="1"/>
    <n v="11"/>
    <n v="0"/>
    <n v="55"/>
    <s v="No"/>
    <s v=""/>
    <n v="0"/>
    <n v="0"/>
    <s v="Yes"/>
    <s v="KBC-BMO"/>
    <x v="0"/>
    <x v="1"/>
    <x v="1"/>
    <n v="24.260466999999998"/>
    <n v="97.252650000000003"/>
    <s v="MMR001CMP194"/>
    <x v="0"/>
    <s v="cccm_2019OCT"/>
  </r>
  <r>
    <x v="0"/>
    <x v="2"/>
    <x v="2"/>
    <s v="UNICEF, WHH (AA)"/>
    <x v="1"/>
    <x v="12"/>
    <x v="0"/>
    <x v="71"/>
    <n v="23"/>
    <n v="95"/>
    <s v="1/Feb/2019,1/Oct/18"/>
    <s v="30/Apr/2020, 30/Sept/2020"/>
    <n v="30"/>
    <m/>
    <m/>
    <m/>
    <s v="Yes"/>
    <n v="5"/>
    <n v="4"/>
    <m/>
    <m/>
    <m/>
    <m/>
    <m/>
    <m/>
    <m/>
    <m/>
    <m/>
    <m/>
    <m/>
    <m/>
    <m/>
    <m/>
    <m/>
    <m/>
    <m/>
    <m/>
    <m/>
    <m/>
    <m/>
    <m/>
    <n v="23"/>
    <m/>
    <m/>
    <m/>
    <m/>
    <m/>
    <m/>
    <m/>
    <x v="3"/>
    <x v="3"/>
    <m/>
    <m/>
    <m/>
    <m/>
    <m/>
    <m/>
    <m/>
    <m/>
    <m/>
    <m/>
    <m/>
    <m/>
    <m/>
    <m/>
    <m/>
    <m/>
    <m/>
    <m/>
    <m/>
    <m/>
    <m/>
    <m/>
    <m/>
    <m/>
    <m/>
    <m/>
    <s v="no test"/>
    <s v="no test"/>
    <s v="No Test"/>
    <n v="0"/>
    <n v="0"/>
    <n v="0"/>
    <n v="0"/>
    <n v="0"/>
    <n v="0"/>
    <n v="0"/>
    <n v="0"/>
    <n v="0"/>
    <n v="0"/>
    <n v="0"/>
    <n v="0"/>
    <n v="0"/>
    <n v="0"/>
    <n v="0"/>
    <n v="1"/>
    <n v="95"/>
    <n v="1"/>
    <n v="1"/>
    <n v="23"/>
    <n v="1"/>
    <n v="95"/>
    <n v="0"/>
    <n v="0"/>
    <n v="0"/>
    <n v="0"/>
    <n v="5"/>
    <n v="0"/>
    <n v="0"/>
    <n v="0"/>
    <n v="0"/>
    <n v="0"/>
    <n v="0"/>
    <n v="0"/>
    <n v="0"/>
    <n v="0"/>
    <n v="1"/>
    <n v="0"/>
    <n v="0"/>
    <n v="0"/>
    <n v="0"/>
    <n v="0"/>
    <n v="0"/>
    <n v="0"/>
    <s v="Yes"/>
    <s v=""/>
    <n v="0"/>
    <n v="0"/>
    <n v="0"/>
    <n v="0"/>
    <x v="0"/>
    <x v="0"/>
    <x v="1"/>
    <n v="0"/>
    <n v="0"/>
    <n v="0"/>
    <x v="0"/>
    <m/>
  </r>
  <r>
    <x v="0"/>
    <x v="2"/>
    <x v="2"/>
    <s v="UNICEF, WHH (AA)"/>
    <x v="1"/>
    <x v="13"/>
    <x v="1"/>
    <x v="72"/>
    <n v="71"/>
    <n v="496"/>
    <s v="1/Feb/2019,1/Oct/18"/>
    <s v="30/Apr/2020, 30/Sept/2020"/>
    <n v="43"/>
    <m/>
    <n v="1"/>
    <m/>
    <s v="Yes"/>
    <n v="5"/>
    <n v="4"/>
    <m/>
    <m/>
    <m/>
    <m/>
    <m/>
    <m/>
    <m/>
    <m/>
    <m/>
    <m/>
    <m/>
    <m/>
    <m/>
    <m/>
    <m/>
    <m/>
    <m/>
    <m/>
    <m/>
    <m/>
    <m/>
    <m/>
    <m/>
    <m/>
    <m/>
    <m/>
    <m/>
    <m/>
    <m/>
    <m/>
    <x v="3"/>
    <x v="3"/>
    <m/>
    <m/>
    <m/>
    <m/>
    <m/>
    <m/>
    <m/>
    <m/>
    <m/>
    <m/>
    <m/>
    <m/>
    <n v="1"/>
    <m/>
    <m/>
    <s v="No"/>
    <m/>
    <m/>
    <m/>
    <m/>
    <m/>
    <m/>
    <m/>
    <m/>
    <m/>
    <m/>
    <s v="no test"/>
    <s v="no test"/>
    <s v="No Test"/>
    <n v="0"/>
    <n v="0"/>
    <n v="0"/>
    <n v="0"/>
    <n v="0"/>
    <n v="0"/>
    <n v="0"/>
    <n v="0"/>
    <n v="0"/>
    <n v="0"/>
    <n v="0"/>
    <n v="0"/>
    <n v="0"/>
    <n v="0"/>
    <n v="0"/>
    <n v="1"/>
    <n v="496"/>
    <n v="1"/>
    <n v="1"/>
    <n v="0"/>
    <n v="0"/>
    <n v="0"/>
    <n v="0"/>
    <n v="0"/>
    <n v="0"/>
    <n v="0"/>
    <n v="25"/>
    <n v="25"/>
    <n v="1"/>
    <n v="0"/>
    <n v="496"/>
    <n v="0"/>
    <n v="0"/>
    <n v="0"/>
    <n v="496"/>
    <n v="1"/>
    <n v="0"/>
    <n v="1"/>
    <n v="0"/>
    <n v="0"/>
    <n v="0"/>
    <n v="0"/>
    <n v="0"/>
    <n v="0"/>
    <s v="Yes"/>
    <s v=""/>
    <n v="0"/>
    <n v="0"/>
    <n v="0"/>
    <s v="uncovered"/>
    <x v="0"/>
    <x v="0"/>
    <x v="1"/>
    <n v="0"/>
    <n v="0"/>
    <s v="MMR015CMP212"/>
    <x v="0"/>
    <s v="cccm_2019OCT"/>
  </r>
  <r>
    <x v="0"/>
    <x v="2"/>
    <x v="2"/>
    <s v="UNICEF, WHH (AA)"/>
    <x v="1"/>
    <x v="14"/>
    <x v="1"/>
    <x v="73"/>
    <n v="136"/>
    <n v="553"/>
    <s v="1/Feb/2019,1/Oct/18"/>
    <s v="30/Apr/2020, 30/Sept/2020"/>
    <m/>
    <m/>
    <m/>
    <m/>
    <s v="Yes"/>
    <n v="5"/>
    <n v="4"/>
    <n v="0"/>
    <m/>
    <m/>
    <n v="0"/>
    <n v="0"/>
    <m/>
    <m/>
    <n v="41"/>
    <m/>
    <m/>
    <n v="0"/>
    <m/>
    <n v="0"/>
    <m/>
    <n v="1"/>
    <m/>
    <m/>
    <m/>
    <m/>
    <m/>
    <m/>
    <m/>
    <n v="40"/>
    <n v="0"/>
    <m/>
    <m/>
    <m/>
    <m/>
    <m/>
    <m/>
    <x v="2"/>
    <x v="2"/>
    <n v="0"/>
    <n v="0"/>
    <m/>
    <m/>
    <m/>
    <m/>
    <n v="2"/>
    <m/>
    <n v="0"/>
    <n v="6"/>
    <m/>
    <n v="0"/>
    <n v="2"/>
    <m/>
    <m/>
    <m/>
    <m/>
    <m/>
    <m/>
    <m/>
    <m/>
    <m/>
    <m/>
    <m/>
    <m/>
    <m/>
    <s v="no test"/>
    <s v="no test"/>
    <s v="No Test"/>
    <n v="0"/>
    <n v="0"/>
    <n v="41"/>
    <n v="0"/>
    <n v="0"/>
    <n v="0"/>
    <n v="1"/>
    <n v="1"/>
    <n v="1"/>
    <n v="553"/>
    <n v="0"/>
    <n v="0"/>
    <n v="1"/>
    <n v="553"/>
    <n v="1.1060000000000001"/>
    <n v="0"/>
    <n v="0"/>
    <n v="0"/>
    <n v="1"/>
    <n v="40"/>
    <n v="1"/>
    <n v="553"/>
    <n v="0"/>
    <n v="0"/>
    <n v="0"/>
    <n v="0"/>
    <n v="28"/>
    <n v="0"/>
    <n v="0"/>
    <n v="0"/>
    <n v="553"/>
    <n v="0"/>
    <n v="0"/>
    <n v="0"/>
    <n v="553"/>
    <n v="1"/>
    <n v="0"/>
    <n v="1"/>
    <n v="0"/>
    <n v="0"/>
    <n v="2"/>
    <n v="40"/>
    <n v="0"/>
    <n v="200"/>
    <s v="No"/>
    <s v=""/>
    <n v="0"/>
    <n v="0"/>
    <s v="Yes"/>
    <s v="KBC-NSS"/>
    <x v="0"/>
    <x v="1"/>
    <x v="1"/>
    <n v="24.08738"/>
    <n v="98.115809999999996"/>
    <s v="MMR015CMP247"/>
    <x v="0"/>
    <s v="cccm_2019OCT"/>
  </r>
  <r>
    <x v="0"/>
    <x v="2"/>
    <x v="2"/>
    <s v="WHH-AA"/>
    <x v="0"/>
    <x v="7"/>
    <x v="1"/>
    <x v="74"/>
    <n v="714"/>
    <n v="3659"/>
    <d v="2018-10-01T00:00:00"/>
    <d v="2019-09-30T00:00:00"/>
    <n v="749"/>
    <n v="0"/>
    <n v="0"/>
    <n v="0"/>
    <s v="Yes"/>
    <n v="7"/>
    <m/>
    <n v="3"/>
    <m/>
    <m/>
    <m/>
    <m/>
    <m/>
    <m/>
    <n v="3"/>
    <m/>
    <m/>
    <m/>
    <m/>
    <m/>
    <m/>
    <m/>
    <m/>
    <m/>
    <m/>
    <m/>
    <m/>
    <n v="3"/>
    <m/>
    <n v="306"/>
    <m/>
    <m/>
    <m/>
    <m/>
    <m/>
    <m/>
    <m/>
    <x v="1"/>
    <x v="1"/>
    <n v="10"/>
    <m/>
    <n v="46"/>
    <m/>
    <m/>
    <m/>
    <n v="77"/>
    <m/>
    <m/>
    <n v="22"/>
    <m/>
    <m/>
    <n v="3"/>
    <m/>
    <m/>
    <s v="No"/>
    <m/>
    <m/>
    <m/>
    <m/>
    <m/>
    <m/>
    <m/>
    <m/>
    <m/>
    <m/>
    <s v="no test"/>
    <s v="no test"/>
    <s v="No Test"/>
    <n v="3"/>
    <n v="0"/>
    <n v="3"/>
    <n v="0"/>
    <n v="0"/>
    <n v="1500"/>
    <n v="0.38261820169445204"/>
    <n v="0.2596337797212353"/>
    <n v="0.38261820169445204"/>
    <n v="1400"/>
    <n v="0"/>
    <n v="0"/>
    <n v="0.38261820169445204"/>
    <n v="1400"/>
    <n v="2.8"/>
    <n v="0.61738179830554796"/>
    <n v="2259"/>
    <n v="4.2"/>
    <n v="7"/>
    <n v="306"/>
    <n v="1"/>
    <n v="3659"/>
    <n v="0"/>
    <n v="749"/>
    <n v="0"/>
    <n v="749"/>
    <n v="183"/>
    <n v="0"/>
    <n v="0"/>
    <n v="0"/>
    <n v="1500"/>
    <n v="0"/>
    <n v="0"/>
    <n v="0"/>
    <n v="1500"/>
    <n v="0.40994807324405574"/>
    <n v="0.59005192675594431"/>
    <n v="0.40994807324405574"/>
    <n v="0"/>
    <n v="0"/>
    <n v="77"/>
    <n v="714"/>
    <n v="0"/>
    <n v="3659"/>
    <s v="Yes"/>
    <s v=""/>
    <n v="0"/>
    <n v="1500"/>
    <s v="Yes"/>
    <s v="KMSS-MYT"/>
    <x v="0"/>
    <x v="1"/>
    <x v="0"/>
    <n v="24.661905999999998"/>
    <n v="97.573126000000002"/>
    <s v="MMR001CMP122"/>
    <x v="0"/>
    <s v="cccm_2019OCT"/>
  </r>
  <r>
    <x v="0"/>
    <x v="2"/>
    <x v="2"/>
    <s v="WHH-AA "/>
    <x v="0"/>
    <x v="10"/>
    <x v="1"/>
    <x v="75"/>
    <n v="40"/>
    <n v="235"/>
    <d v="2019-01-01T00:00:00"/>
    <d v="2019-12-31T00:00:00"/>
    <m/>
    <m/>
    <m/>
    <m/>
    <s v="Yes"/>
    <n v="1"/>
    <n v="1"/>
    <n v="1"/>
    <m/>
    <m/>
    <m/>
    <n v="2"/>
    <m/>
    <m/>
    <m/>
    <m/>
    <m/>
    <m/>
    <m/>
    <m/>
    <m/>
    <m/>
    <m/>
    <m/>
    <m/>
    <m/>
    <m/>
    <m/>
    <m/>
    <n v="7"/>
    <m/>
    <m/>
    <m/>
    <m/>
    <m/>
    <m/>
    <m/>
    <x v="1"/>
    <x v="1"/>
    <m/>
    <m/>
    <m/>
    <m/>
    <m/>
    <m/>
    <n v="3"/>
    <m/>
    <m/>
    <n v="2"/>
    <m/>
    <m/>
    <m/>
    <m/>
    <m/>
    <m/>
    <m/>
    <m/>
    <m/>
    <m/>
    <m/>
    <m/>
    <m/>
    <m/>
    <m/>
    <m/>
    <s v="no test"/>
    <s v="no test"/>
    <s v="No Test"/>
    <n v="1"/>
    <n v="2"/>
    <n v="0"/>
    <n v="0"/>
    <n v="0"/>
    <n v="0"/>
    <n v="1"/>
    <n v="1"/>
    <n v="1"/>
    <n v="235"/>
    <n v="0"/>
    <n v="0"/>
    <n v="1"/>
    <n v="235"/>
    <n v="0.47"/>
    <n v="0"/>
    <n v="0"/>
    <n v="0.53"/>
    <n v="1"/>
    <n v="7"/>
    <n v="0.5957446808510638"/>
    <n v="140"/>
    <n v="0"/>
    <n v="0"/>
    <n v="0"/>
    <n v="0"/>
    <n v="12"/>
    <n v="5"/>
    <n v="0.4042553191489362"/>
    <n v="0"/>
    <n v="0"/>
    <n v="0"/>
    <n v="0"/>
    <n v="0"/>
    <n v="0"/>
    <n v="0"/>
    <n v="1"/>
    <n v="0"/>
    <n v="0"/>
    <n v="0"/>
    <n v="3"/>
    <n v="40"/>
    <n v="0"/>
    <n v="235"/>
    <s v="No"/>
    <s v=""/>
    <n v="0"/>
    <n v="0"/>
    <s v="Yes"/>
    <s v="KBC-BMO"/>
    <x v="0"/>
    <x v="1"/>
    <x v="1"/>
    <n v="24.24766"/>
    <n v="97.236919999999998"/>
    <s v="MMR001CMP052"/>
    <x v="0"/>
    <s v="cccm_2019OCT"/>
  </r>
  <r>
    <x v="0"/>
    <x v="2"/>
    <x v="2"/>
    <s v="UNICEF, WHH (AA)"/>
    <x v="1"/>
    <x v="13"/>
    <x v="1"/>
    <x v="76"/>
    <n v="32"/>
    <n v="154"/>
    <s v="1/Feb/2019,1/Oct/18"/>
    <s v="30/Apr/2020, 30/Sept/2020"/>
    <n v="39"/>
    <n v="3"/>
    <m/>
    <m/>
    <s v="Yes"/>
    <n v="4"/>
    <m/>
    <n v="0"/>
    <m/>
    <m/>
    <n v="0"/>
    <n v="0"/>
    <m/>
    <m/>
    <n v="37"/>
    <m/>
    <m/>
    <n v="0"/>
    <m/>
    <n v="0"/>
    <n v="3"/>
    <m/>
    <m/>
    <m/>
    <m/>
    <m/>
    <m/>
    <m/>
    <m/>
    <n v="30"/>
    <n v="0"/>
    <m/>
    <m/>
    <m/>
    <m/>
    <m/>
    <m/>
    <x v="1"/>
    <x v="1"/>
    <n v="0"/>
    <n v="0"/>
    <m/>
    <m/>
    <m/>
    <m/>
    <n v="0"/>
    <m/>
    <n v="0"/>
    <n v="1"/>
    <m/>
    <n v="0"/>
    <n v="1"/>
    <m/>
    <m/>
    <m/>
    <m/>
    <m/>
    <m/>
    <m/>
    <m/>
    <m/>
    <m/>
    <m/>
    <m/>
    <m/>
    <s v="no test"/>
    <s v="no test"/>
    <s v="No Test"/>
    <n v="0"/>
    <n v="0"/>
    <n v="37"/>
    <n v="0"/>
    <n v="0"/>
    <n v="0"/>
    <n v="1"/>
    <n v="1"/>
    <n v="1"/>
    <n v="154"/>
    <n v="0"/>
    <n v="0"/>
    <n v="1"/>
    <n v="154"/>
    <n v="0.308"/>
    <n v="0"/>
    <n v="0"/>
    <n v="0.69199999999999995"/>
    <n v="1"/>
    <n v="30"/>
    <n v="1"/>
    <n v="154"/>
    <n v="0"/>
    <n v="0"/>
    <n v="0"/>
    <n v="0"/>
    <n v="8"/>
    <n v="0"/>
    <n v="0"/>
    <n v="0"/>
    <n v="154"/>
    <n v="0"/>
    <n v="0"/>
    <n v="0"/>
    <n v="154"/>
    <n v="1"/>
    <n v="0"/>
    <n v="1"/>
    <n v="0"/>
    <n v="0"/>
    <n v="0"/>
    <n v="0"/>
    <n v="0"/>
    <n v="0"/>
    <s v="Yes"/>
    <s v=""/>
    <n v="0"/>
    <n v="0"/>
    <s v="Yes"/>
    <s v="KMSS-LSO"/>
    <x v="0"/>
    <x v="1"/>
    <x v="1"/>
    <n v="0"/>
    <n v="0"/>
    <s v="MMR015CMP250"/>
    <x v="0"/>
    <s v="cccm_2019OCT"/>
  </r>
  <r>
    <x v="0"/>
    <x v="2"/>
    <x v="2"/>
    <s v="WHH-BMZ,WHH-AA"/>
    <x v="0"/>
    <x v="2"/>
    <x v="1"/>
    <x v="77"/>
    <n v="144"/>
    <n v="680"/>
    <m/>
    <d v="2018-12-31T00:00:00"/>
    <m/>
    <m/>
    <m/>
    <m/>
    <m/>
    <m/>
    <n v="5"/>
    <m/>
    <m/>
    <m/>
    <m/>
    <m/>
    <m/>
    <m/>
    <m/>
    <m/>
    <m/>
    <m/>
    <m/>
    <n v="27200"/>
    <m/>
    <m/>
    <m/>
    <m/>
    <m/>
    <m/>
    <m/>
    <m/>
    <m/>
    <m/>
    <m/>
    <m/>
    <m/>
    <m/>
    <m/>
    <m/>
    <m/>
    <x v="1"/>
    <x v="1"/>
    <m/>
    <m/>
    <m/>
    <m/>
    <m/>
    <m/>
    <m/>
    <m/>
    <m/>
    <m/>
    <m/>
    <m/>
    <m/>
    <m/>
    <m/>
    <m/>
    <m/>
    <m/>
    <m/>
    <m/>
    <m/>
    <m/>
    <m/>
    <m/>
    <m/>
    <m/>
    <s v="no test"/>
    <s v="no test"/>
    <s v="No Test"/>
    <n v="0"/>
    <n v="0"/>
    <n v="0"/>
    <n v="0"/>
    <n v="20.148148148148149"/>
    <n v="0"/>
    <n v="2.9629629629629631E-2"/>
    <n v="2.9629629629629631E-2"/>
    <n v="2.9629629629629631E-2"/>
    <n v="20.148148148148149"/>
    <n v="0"/>
    <n v="0"/>
    <n v="2.9629629629629631E-2"/>
    <n v="20.148148148148149"/>
    <n v="4.0296296296296295E-2"/>
    <n v="0.97037037037037033"/>
    <n v="659.85185185185185"/>
    <n v="0.95970370370370373"/>
    <n v="1"/>
    <n v="0"/>
    <n v="0"/>
    <n v="0"/>
    <n v="0"/>
    <n v="0"/>
    <n v="0"/>
    <n v="0"/>
    <n v="34"/>
    <n v="34"/>
    <n v="1"/>
    <n v="0"/>
    <n v="0"/>
    <n v="0"/>
    <n v="0"/>
    <n v="0"/>
    <n v="0"/>
    <n v="0"/>
    <n v="1"/>
    <n v="0"/>
    <n v="0"/>
    <n v="0"/>
    <n v="0"/>
    <n v="0"/>
    <n v="0"/>
    <n v="0"/>
    <s v="No"/>
    <s v=""/>
    <n v="0"/>
    <n v="0"/>
    <n v="0"/>
    <s v="uncovered"/>
    <x v="0"/>
    <x v="3"/>
    <x v="0"/>
    <n v="24.752471"/>
    <n v="97.541793999999996"/>
    <s v="MMR001CMP208"/>
    <x v="0"/>
    <s v="cccm_2019OCT"/>
  </r>
  <r>
    <x v="0"/>
    <x v="2"/>
    <x v="2"/>
    <s v="WHH-AA / USAID"/>
    <x v="0"/>
    <x v="7"/>
    <x v="0"/>
    <x v="78"/>
    <n v="17"/>
    <n v="106"/>
    <d v="2019-01-01T00:00:00"/>
    <d v="2019-12-31T00:00:00"/>
    <m/>
    <m/>
    <m/>
    <m/>
    <s v="No"/>
    <m/>
    <n v="5"/>
    <n v="1"/>
    <m/>
    <m/>
    <m/>
    <m/>
    <m/>
    <m/>
    <m/>
    <m/>
    <m/>
    <m/>
    <m/>
    <m/>
    <m/>
    <m/>
    <m/>
    <m/>
    <m/>
    <m/>
    <m/>
    <m/>
    <m/>
    <n v="4"/>
    <m/>
    <m/>
    <m/>
    <m/>
    <n v="2"/>
    <m/>
    <m/>
    <x v="1"/>
    <x v="1"/>
    <m/>
    <m/>
    <m/>
    <m/>
    <m/>
    <m/>
    <n v="2"/>
    <m/>
    <m/>
    <n v="2"/>
    <m/>
    <m/>
    <m/>
    <m/>
    <m/>
    <m/>
    <m/>
    <m/>
    <m/>
    <m/>
    <m/>
    <m/>
    <m/>
    <m/>
    <m/>
    <m/>
    <s v="no test"/>
    <s v="no test"/>
    <s v="No Test"/>
    <n v="1"/>
    <n v="0"/>
    <n v="0"/>
    <n v="0"/>
    <n v="0"/>
    <n v="0"/>
    <n v="1"/>
    <n v="1"/>
    <n v="1"/>
    <n v="106"/>
    <n v="0"/>
    <n v="0"/>
    <n v="1"/>
    <n v="106"/>
    <n v="0.21199999999999999"/>
    <n v="0"/>
    <n v="0"/>
    <n v="0.78800000000000003"/>
    <n v="1"/>
    <n v="4"/>
    <n v="0.75471698113207553"/>
    <n v="80"/>
    <n v="40"/>
    <n v="0"/>
    <n v="0"/>
    <n v="0"/>
    <n v="5"/>
    <n v="1"/>
    <n v="0.24528301886792447"/>
    <n v="0"/>
    <n v="0"/>
    <n v="0"/>
    <n v="0"/>
    <n v="0"/>
    <n v="0"/>
    <n v="0"/>
    <n v="1"/>
    <n v="0"/>
    <n v="0"/>
    <n v="0"/>
    <n v="2"/>
    <n v="17"/>
    <n v="0"/>
    <n v="106"/>
    <s v="No"/>
    <s v=""/>
    <n v="0"/>
    <n v="0"/>
    <n v="0"/>
    <n v="0"/>
    <x v="0"/>
    <x v="1"/>
    <x v="1"/>
    <n v="0"/>
    <n v="0"/>
    <n v="0"/>
    <x v="0"/>
    <n v="0"/>
  </r>
  <r>
    <x v="0"/>
    <x v="2"/>
    <x v="2"/>
    <s v="WHH-AA / USAID"/>
    <x v="0"/>
    <x v="7"/>
    <x v="0"/>
    <x v="79"/>
    <n v="19"/>
    <n v="94"/>
    <d v="2019-01-01T00:00:00"/>
    <d v="2019-12-31T00:00:00"/>
    <m/>
    <m/>
    <m/>
    <m/>
    <s v="No"/>
    <m/>
    <n v="1"/>
    <m/>
    <m/>
    <m/>
    <m/>
    <n v="1"/>
    <m/>
    <m/>
    <m/>
    <m/>
    <m/>
    <m/>
    <m/>
    <m/>
    <m/>
    <m/>
    <m/>
    <m/>
    <m/>
    <m/>
    <m/>
    <m/>
    <m/>
    <n v="5"/>
    <m/>
    <m/>
    <m/>
    <m/>
    <m/>
    <m/>
    <m/>
    <x v="1"/>
    <x v="1"/>
    <m/>
    <m/>
    <m/>
    <m/>
    <m/>
    <m/>
    <n v="2"/>
    <m/>
    <m/>
    <n v="1"/>
    <m/>
    <m/>
    <m/>
    <m/>
    <m/>
    <m/>
    <m/>
    <m/>
    <m/>
    <m/>
    <m/>
    <m/>
    <m/>
    <m/>
    <m/>
    <m/>
    <s v="no test"/>
    <s v="no test"/>
    <s v="No Test"/>
    <n v="0"/>
    <n v="1"/>
    <n v="0"/>
    <n v="0"/>
    <n v="0"/>
    <n v="0"/>
    <n v="1"/>
    <n v="1"/>
    <n v="1"/>
    <n v="94"/>
    <n v="0"/>
    <n v="0"/>
    <n v="1"/>
    <n v="94"/>
    <n v="0.188"/>
    <n v="0"/>
    <n v="0"/>
    <n v="0.81200000000000006"/>
    <n v="1"/>
    <n v="5"/>
    <n v="1"/>
    <n v="94"/>
    <n v="0"/>
    <n v="0"/>
    <n v="0"/>
    <n v="0"/>
    <n v="5"/>
    <n v="0"/>
    <n v="0"/>
    <n v="0"/>
    <n v="0"/>
    <n v="0"/>
    <n v="0"/>
    <n v="0"/>
    <n v="0"/>
    <n v="0"/>
    <n v="1"/>
    <n v="0"/>
    <n v="0"/>
    <n v="0"/>
    <n v="2"/>
    <n v="19"/>
    <n v="0"/>
    <n v="94"/>
    <s v="No"/>
    <s v=""/>
    <n v="0"/>
    <n v="0"/>
    <n v="0"/>
    <n v="0"/>
    <x v="0"/>
    <x v="1"/>
    <x v="1"/>
    <n v="0"/>
    <n v="0"/>
    <n v="0"/>
    <x v="0"/>
    <n v="0"/>
  </r>
  <r>
    <x v="0"/>
    <x v="2"/>
    <x v="2"/>
    <s v="UNICEF, WHH (AA)"/>
    <x v="1"/>
    <x v="13"/>
    <x v="1"/>
    <x v="80"/>
    <n v="52"/>
    <n v="259"/>
    <s v="1/Feb/2019,1/Oct/18"/>
    <s v="30/Apr/2020, 30/Sept/2020"/>
    <n v="155"/>
    <m/>
    <m/>
    <m/>
    <s v="Yes"/>
    <n v="3"/>
    <m/>
    <n v="1"/>
    <m/>
    <m/>
    <n v="1"/>
    <n v="2"/>
    <m/>
    <m/>
    <n v="24"/>
    <m/>
    <m/>
    <m/>
    <m/>
    <m/>
    <n v="3"/>
    <m/>
    <m/>
    <m/>
    <m/>
    <m/>
    <m/>
    <m/>
    <m/>
    <n v="12"/>
    <m/>
    <m/>
    <m/>
    <m/>
    <m/>
    <m/>
    <m/>
    <x v="1"/>
    <x v="4"/>
    <m/>
    <m/>
    <n v="1"/>
    <m/>
    <m/>
    <m/>
    <n v="7"/>
    <m/>
    <m/>
    <n v="1"/>
    <m/>
    <m/>
    <n v="1"/>
    <m/>
    <m/>
    <m/>
    <m/>
    <m/>
    <m/>
    <m/>
    <m/>
    <m/>
    <m/>
    <m/>
    <m/>
    <m/>
    <s v="no test"/>
    <s v="no test"/>
    <s v="No Test"/>
    <n v="1"/>
    <n v="3"/>
    <n v="24"/>
    <n v="0"/>
    <n v="0"/>
    <n v="0"/>
    <n v="1"/>
    <n v="1"/>
    <n v="1"/>
    <n v="259"/>
    <n v="0"/>
    <n v="0"/>
    <n v="1"/>
    <n v="259"/>
    <n v="0.51800000000000002"/>
    <n v="0"/>
    <n v="0"/>
    <n v="0.48199999999999998"/>
    <n v="1"/>
    <n v="12"/>
    <n v="0.92664092664092668"/>
    <n v="240"/>
    <n v="0"/>
    <n v="50"/>
    <n v="0"/>
    <n v="50"/>
    <n v="13"/>
    <n v="1"/>
    <n v="7.3359073359073323E-2"/>
    <n v="0"/>
    <n v="259"/>
    <n v="0"/>
    <n v="0"/>
    <n v="0"/>
    <n v="259"/>
    <n v="1"/>
    <n v="0"/>
    <n v="1"/>
    <n v="0"/>
    <n v="0"/>
    <n v="7"/>
    <n v="52"/>
    <n v="0"/>
    <n v="259"/>
    <s v="Yes"/>
    <s v=""/>
    <n v="0"/>
    <n v="50"/>
    <s v="Yes"/>
    <s v="KBC-NSS"/>
    <x v="0"/>
    <x v="1"/>
    <x v="1"/>
    <n v="23.450914000000001"/>
    <n v="97.926813999999993"/>
    <s v="MMR015CMP016"/>
    <x v="0"/>
    <s v="cccm_2019OCT"/>
  </r>
  <r>
    <x v="0"/>
    <x v="2"/>
    <x v="2"/>
    <s v="UNICEF, WHH (AA)"/>
    <x v="1"/>
    <x v="13"/>
    <x v="1"/>
    <x v="81"/>
    <n v="35"/>
    <n v="156"/>
    <s v="1/Feb/2019,1/Oct/18"/>
    <s v="30/Apr/2020, 30/Sept/2020"/>
    <n v="58"/>
    <m/>
    <m/>
    <m/>
    <s v="Yes"/>
    <n v="4"/>
    <n v="4"/>
    <n v="1"/>
    <m/>
    <m/>
    <n v="1"/>
    <m/>
    <m/>
    <m/>
    <n v="7"/>
    <m/>
    <m/>
    <m/>
    <m/>
    <m/>
    <m/>
    <m/>
    <m/>
    <m/>
    <m/>
    <m/>
    <m/>
    <m/>
    <m/>
    <n v="9"/>
    <m/>
    <m/>
    <m/>
    <m/>
    <m/>
    <m/>
    <m/>
    <x v="1"/>
    <x v="1"/>
    <m/>
    <m/>
    <m/>
    <m/>
    <m/>
    <m/>
    <n v="4"/>
    <m/>
    <m/>
    <n v="2"/>
    <m/>
    <m/>
    <n v="1"/>
    <m/>
    <m/>
    <s v="No"/>
    <m/>
    <m/>
    <m/>
    <m/>
    <m/>
    <m/>
    <m/>
    <m/>
    <m/>
    <m/>
    <s v="no test"/>
    <s v="no test"/>
    <s v="No Test"/>
    <n v="1"/>
    <n v="1"/>
    <n v="7"/>
    <n v="0"/>
    <n v="0"/>
    <n v="0"/>
    <n v="1"/>
    <n v="1"/>
    <n v="1"/>
    <n v="156"/>
    <n v="0"/>
    <n v="0"/>
    <n v="1"/>
    <n v="156"/>
    <n v="0.312"/>
    <n v="0"/>
    <n v="0"/>
    <n v="0.68799999999999994"/>
    <n v="1"/>
    <n v="9"/>
    <n v="1"/>
    <n v="156"/>
    <n v="0"/>
    <n v="0"/>
    <n v="0"/>
    <n v="0"/>
    <n v="8"/>
    <n v="0"/>
    <n v="0"/>
    <n v="0"/>
    <n v="156"/>
    <n v="0"/>
    <n v="0"/>
    <n v="0"/>
    <n v="156"/>
    <n v="1"/>
    <n v="0"/>
    <n v="1"/>
    <n v="0"/>
    <n v="0"/>
    <n v="4"/>
    <n v="35"/>
    <n v="0"/>
    <n v="156"/>
    <s v="Yes"/>
    <s v=""/>
    <n v="0"/>
    <n v="0"/>
    <s v="Yes"/>
    <s v="KBC-NSS"/>
    <x v="0"/>
    <x v="1"/>
    <x v="1"/>
    <n v="23.460349999999998"/>
    <n v="97.947360000000003"/>
    <s v="MMR015CMP245"/>
    <x v="0"/>
    <s v="cccm_2019OCT"/>
  </r>
  <r>
    <x v="0"/>
    <x v="2"/>
    <x v="2"/>
    <s v="UNICEF, WHH (AA)"/>
    <x v="1"/>
    <x v="13"/>
    <x v="1"/>
    <x v="82"/>
    <n v="30"/>
    <n v="138"/>
    <s v="1/Feb/2019,1/Oct/18"/>
    <s v="30/Apr/2020, 30/Sept/2020"/>
    <m/>
    <m/>
    <m/>
    <m/>
    <s v="Yes"/>
    <n v="3"/>
    <n v="4"/>
    <m/>
    <m/>
    <m/>
    <m/>
    <m/>
    <m/>
    <m/>
    <n v="38"/>
    <m/>
    <m/>
    <m/>
    <m/>
    <m/>
    <n v="3"/>
    <m/>
    <m/>
    <m/>
    <m/>
    <m/>
    <m/>
    <m/>
    <s v="Although Kutkai downtown (RC) church camp and Zup Aung camp differ namely, on the ground situation, they are in same compound and they use the same water source."/>
    <n v="27"/>
    <m/>
    <m/>
    <m/>
    <m/>
    <m/>
    <m/>
    <n v="2"/>
    <x v="1"/>
    <x v="4"/>
    <m/>
    <m/>
    <m/>
    <m/>
    <m/>
    <m/>
    <n v="4"/>
    <m/>
    <m/>
    <n v="2"/>
    <m/>
    <m/>
    <n v="1"/>
    <m/>
    <m/>
    <m/>
    <m/>
    <m/>
    <m/>
    <m/>
    <m/>
    <m/>
    <m/>
    <m/>
    <m/>
    <m/>
    <s v="no test"/>
    <s v="no test"/>
    <s v="No Test"/>
    <n v="0"/>
    <n v="0"/>
    <n v="38"/>
    <n v="0"/>
    <n v="0"/>
    <n v="0"/>
    <n v="1"/>
    <n v="1"/>
    <n v="1"/>
    <n v="138"/>
    <n v="0"/>
    <n v="0"/>
    <n v="1"/>
    <n v="138"/>
    <n v="0.27600000000000002"/>
    <n v="0"/>
    <n v="0"/>
    <n v="0.72399999999999998"/>
    <n v="1"/>
    <n v="27"/>
    <n v="1"/>
    <n v="138"/>
    <n v="0"/>
    <n v="0"/>
    <n v="0"/>
    <n v="0"/>
    <n v="7"/>
    <n v="0"/>
    <n v="0"/>
    <n v="0"/>
    <n v="138"/>
    <n v="0"/>
    <n v="0"/>
    <n v="0"/>
    <n v="138"/>
    <n v="1"/>
    <n v="0"/>
    <n v="1"/>
    <n v="0"/>
    <n v="0"/>
    <n v="4"/>
    <n v="30"/>
    <n v="0"/>
    <n v="138"/>
    <s v="No"/>
    <s v=""/>
    <n v="0"/>
    <n v="0"/>
    <s v="Yes"/>
    <s v="KMSS-LSO"/>
    <x v="0"/>
    <x v="1"/>
    <x v="1"/>
    <n v="23.460349999999998"/>
    <n v="97.947360000000003"/>
    <s v="MMR015CMP017"/>
    <x v="0"/>
    <s v="cccm_2019OCT"/>
  </r>
  <r>
    <x v="0"/>
    <x v="2"/>
    <x v="2"/>
    <s v="UNICEF, WHH (AA)"/>
    <x v="1"/>
    <x v="15"/>
    <x v="1"/>
    <x v="83"/>
    <n v="38"/>
    <n v="267"/>
    <s v="1/Feb/2019,1/Oct/18"/>
    <s v="30/Apr/2020, 30/Sept/2020"/>
    <n v="68"/>
    <m/>
    <m/>
    <m/>
    <s v="Yes"/>
    <n v="4"/>
    <n v="5"/>
    <n v="1"/>
    <m/>
    <m/>
    <n v="1"/>
    <m/>
    <m/>
    <m/>
    <n v="32"/>
    <m/>
    <m/>
    <m/>
    <m/>
    <m/>
    <n v="3"/>
    <m/>
    <m/>
    <m/>
    <m/>
    <m/>
    <n v="2"/>
    <m/>
    <m/>
    <n v="16"/>
    <m/>
    <m/>
    <m/>
    <m/>
    <m/>
    <m/>
    <m/>
    <x v="1"/>
    <x v="1"/>
    <m/>
    <m/>
    <m/>
    <m/>
    <m/>
    <m/>
    <n v="11"/>
    <m/>
    <m/>
    <n v="2"/>
    <m/>
    <m/>
    <n v="1"/>
    <m/>
    <m/>
    <m/>
    <m/>
    <m/>
    <m/>
    <m/>
    <m/>
    <m/>
    <m/>
    <m/>
    <m/>
    <m/>
    <s v="no test"/>
    <s v="no test"/>
    <s v="No Test"/>
    <n v="1"/>
    <n v="1"/>
    <n v="32"/>
    <n v="0"/>
    <n v="0"/>
    <n v="0"/>
    <n v="1"/>
    <n v="1"/>
    <n v="1"/>
    <n v="267"/>
    <n v="0"/>
    <n v="0"/>
    <n v="1"/>
    <n v="267"/>
    <n v="0.53400000000000003"/>
    <n v="0"/>
    <n v="0"/>
    <n v="0.46599999999999997"/>
    <n v="1"/>
    <n v="16"/>
    <n v="1"/>
    <n v="267"/>
    <n v="0"/>
    <n v="0"/>
    <n v="0"/>
    <n v="0"/>
    <n v="13"/>
    <n v="0"/>
    <n v="0"/>
    <n v="0"/>
    <n v="267"/>
    <n v="0"/>
    <n v="0"/>
    <n v="0"/>
    <n v="267"/>
    <n v="1"/>
    <n v="0"/>
    <n v="1"/>
    <n v="0"/>
    <n v="0"/>
    <n v="11"/>
    <n v="38"/>
    <n v="0"/>
    <n v="267"/>
    <s v="Yes"/>
    <s v=""/>
    <n v="0"/>
    <n v="0"/>
    <s v="Yes"/>
    <s v="KMSS-LSO"/>
    <x v="0"/>
    <x v="1"/>
    <x v="1"/>
    <n v="23.099304"/>
    <n v="97.400671000000003"/>
    <s v="MMR015CMP248"/>
    <x v="0"/>
    <s v="cccm_2019OCT"/>
  </r>
  <r>
    <x v="0"/>
    <x v="2"/>
    <x v="2"/>
    <s v="WHH-AA / USAID"/>
    <x v="0"/>
    <x v="10"/>
    <x v="1"/>
    <x v="84"/>
    <n v="141"/>
    <n v="800"/>
    <d v="2019-01-01T00:00:00"/>
    <d v="2019-12-31T00:00:00"/>
    <m/>
    <m/>
    <m/>
    <m/>
    <s v="Yes"/>
    <n v="2"/>
    <n v="4"/>
    <n v="1"/>
    <m/>
    <m/>
    <m/>
    <n v="1"/>
    <m/>
    <m/>
    <m/>
    <m/>
    <m/>
    <m/>
    <m/>
    <m/>
    <m/>
    <m/>
    <m/>
    <m/>
    <m/>
    <m/>
    <m/>
    <m/>
    <m/>
    <n v="21"/>
    <m/>
    <m/>
    <m/>
    <m/>
    <n v="4"/>
    <m/>
    <m/>
    <x v="1"/>
    <x v="1"/>
    <m/>
    <m/>
    <m/>
    <m/>
    <m/>
    <m/>
    <n v="9"/>
    <m/>
    <m/>
    <n v="5"/>
    <m/>
    <m/>
    <m/>
    <m/>
    <m/>
    <m/>
    <m/>
    <m/>
    <m/>
    <m/>
    <m/>
    <m/>
    <m/>
    <m/>
    <m/>
    <m/>
    <s v="no test"/>
    <s v="no test"/>
    <s v="No Test"/>
    <n v="1"/>
    <n v="1"/>
    <n v="0"/>
    <n v="0"/>
    <n v="0"/>
    <n v="0"/>
    <n v="1"/>
    <n v="0.625"/>
    <n v="1"/>
    <n v="800"/>
    <n v="0"/>
    <n v="0"/>
    <n v="1"/>
    <n v="800"/>
    <n v="1.6"/>
    <n v="0"/>
    <n v="0"/>
    <n v="0.39999999999999991"/>
    <n v="2"/>
    <n v="21"/>
    <n v="0.52500000000000002"/>
    <n v="420"/>
    <n v="80"/>
    <n v="0"/>
    <n v="0"/>
    <n v="0"/>
    <n v="40"/>
    <n v="19"/>
    <n v="0.47499999999999998"/>
    <n v="0"/>
    <n v="0"/>
    <n v="0"/>
    <n v="0"/>
    <n v="0"/>
    <n v="0"/>
    <n v="0"/>
    <n v="1"/>
    <n v="0"/>
    <n v="0"/>
    <n v="0"/>
    <n v="9"/>
    <n v="141"/>
    <n v="0"/>
    <n v="800"/>
    <s v="No"/>
    <s v=""/>
    <n v="0"/>
    <n v="0"/>
    <s v="Yes"/>
    <s v="Shalom"/>
    <x v="0"/>
    <x v="1"/>
    <x v="1"/>
    <n v="24.2631743589744"/>
    <n v="97.240183461538507"/>
    <s v="MMR001CMP049"/>
    <x v="0"/>
    <s v="cccm_2019OCT"/>
  </r>
  <r>
    <x v="0"/>
    <x v="2"/>
    <x v="2"/>
    <s v="UNICEF, WHH (AA)"/>
    <x v="1"/>
    <x v="15"/>
    <x v="1"/>
    <x v="85"/>
    <n v="28"/>
    <n v="146"/>
    <s v="1/Feb/2019,1/Oct/18"/>
    <s v="30/Apr/2020, 30/Sept/2020"/>
    <n v="27"/>
    <m/>
    <m/>
    <m/>
    <s v="Yes"/>
    <n v="3"/>
    <n v="2"/>
    <m/>
    <m/>
    <m/>
    <n v="2"/>
    <m/>
    <m/>
    <m/>
    <n v="60"/>
    <m/>
    <m/>
    <m/>
    <m/>
    <m/>
    <n v="3"/>
    <m/>
    <m/>
    <m/>
    <m/>
    <m/>
    <m/>
    <m/>
    <m/>
    <n v="10"/>
    <n v="2"/>
    <m/>
    <m/>
    <m/>
    <m/>
    <m/>
    <n v="2"/>
    <x v="1"/>
    <x v="1"/>
    <m/>
    <m/>
    <m/>
    <m/>
    <m/>
    <m/>
    <n v="11"/>
    <m/>
    <m/>
    <n v="3"/>
    <m/>
    <m/>
    <n v="1"/>
    <m/>
    <m/>
    <m/>
    <m/>
    <m/>
    <m/>
    <m/>
    <m/>
    <m/>
    <m/>
    <m/>
    <m/>
    <m/>
    <s v="no test"/>
    <s v="no test"/>
    <s v="No Test"/>
    <n v="0"/>
    <n v="2"/>
    <n v="60"/>
    <n v="0"/>
    <n v="0"/>
    <n v="0"/>
    <n v="1"/>
    <n v="1"/>
    <n v="1"/>
    <n v="146"/>
    <n v="0"/>
    <n v="0"/>
    <n v="1"/>
    <n v="146"/>
    <n v="0.29199999999999998"/>
    <n v="0"/>
    <n v="0"/>
    <n v="0.70799999999999996"/>
    <n v="1"/>
    <n v="12"/>
    <n v="1"/>
    <n v="146"/>
    <n v="0"/>
    <n v="0"/>
    <n v="0"/>
    <n v="0"/>
    <n v="7"/>
    <n v="0"/>
    <n v="0"/>
    <n v="0"/>
    <n v="146"/>
    <n v="0"/>
    <n v="0"/>
    <n v="0"/>
    <n v="146"/>
    <n v="1"/>
    <n v="0"/>
    <n v="1"/>
    <n v="0"/>
    <n v="0"/>
    <n v="11"/>
    <n v="28"/>
    <n v="0"/>
    <n v="146"/>
    <s v="Yes"/>
    <s v=""/>
    <n v="0"/>
    <n v="0"/>
    <s v="Yes"/>
    <s v="KMSS-LSO"/>
    <x v="0"/>
    <x v="1"/>
    <x v="1"/>
    <n v="0"/>
    <n v="0"/>
    <s v="MMR015CMP232"/>
    <x v="0"/>
    <s v="cccm_2019OCT"/>
  </r>
  <r>
    <x v="0"/>
    <x v="2"/>
    <x v="2"/>
    <s v="UNICEF, WHH (AA)"/>
    <x v="1"/>
    <x v="13"/>
    <x v="1"/>
    <x v="86"/>
    <n v="69"/>
    <n v="721"/>
    <s v="1/Feb/2019,1/Oct/18"/>
    <s v="30/Apr/2020, 30/Sept/2020"/>
    <n v="102"/>
    <m/>
    <m/>
    <m/>
    <s v="Yes"/>
    <n v="6"/>
    <n v="5"/>
    <m/>
    <m/>
    <m/>
    <m/>
    <m/>
    <m/>
    <m/>
    <n v="47"/>
    <m/>
    <m/>
    <m/>
    <m/>
    <m/>
    <n v="3"/>
    <m/>
    <m/>
    <m/>
    <m/>
    <m/>
    <n v="1"/>
    <n v="2"/>
    <m/>
    <n v="85"/>
    <m/>
    <m/>
    <m/>
    <m/>
    <m/>
    <m/>
    <n v="5"/>
    <x v="1"/>
    <x v="2"/>
    <m/>
    <m/>
    <m/>
    <m/>
    <m/>
    <m/>
    <n v="2"/>
    <m/>
    <m/>
    <n v="1"/>
    <m/>
    <n v="1"/>
    <m/>
    <m/>
    <m/>
    <m/>
    <m/>
    <m/>
    <m/>
    <m/>
    <m/>
    <m/>
    <m/>
    <m/>
    <m/>
    <m/>
    <s v="no test"/>
    <s v="no test"/>
    <s v="No Test"/>
    <n v="0"/>
    <n v="0"/>
    <n v="47"/>
    <n v="0"/>
    <n v="0"/>
    <n v="1000"/>
    <n v="1"/>
    <n v="1"/>
    <n v="1"/>
    <n v="721"/>
    <n v="0"/>
    <n v="0"/>
    <n v="1"/>
    <n v="721"/>
    <n v="1.4419999999999999"/>
    <n v="0"/>
    <n v="0"/>
    <n v="0"/>
    <n v="1"/>
    <n v="85"/>
    <n v="1"/>
    <n v="721"/>
    <n v="0"/>
    <n v="0"/>
    <n v="0"/>
    <n v="0"/>
    <n v="36"/>
    <n v="0"/>
    <n v="0"/>
    <n v="0"/>
    <n v="500"/>
    <n v="0"/>
    <n v="0"/>
    <n v="0"/>
    <n v="500"/>
    <n v="0.69348127600554788"/>
    <n v="0.30651872399445212"/>
    <n v="0.69348127600554788"/>
    <n v="0"/>
    <n v="0"/>
    <n v="2"/>
    <n v="40"/>
    <n v="0"/>
    <n v="200"/>
    <s v="Yes"/>
    <s v=""/>
    <n v="0"/>
    <n v="1000"/>
    <s v="Yes"/>
    <s v="KMSS-LSO"/>
    <x v="0"/>
    <x v="1"/>
    <x v="1"/>
    <n v="23.591999999999999"/>
    <n v="97.796999999999997"/>
    <s v="MMR015CMP220"/>
    <x v="0"/>
    <s v="cccm_2019OCT"/>
  </r>
  <r>
    <x v="0"/>
    <x v="2"/>
    <x v="2"/>
    <s v="WHH-AA / USAID"/>
    <x v="0"/>
    <x v="7"/>
    <x v="1"/>
    <x v="87"/>
    <n v="127"/>
    <n v="741"/>
    <d v="2019-01-01T00:00:00"/>
    <d v="2019-12-31T00:00:00"/>
    <m/>
    <m/>
    <m/>
    <m/>
    <s v="No"/>
    <m/>
    <n v="3"/>
    <m/>
    <m/>
    <m/>
    <n v="2"/>
    <n v="1"/>
    <m/>
    <m/>
    <m/>
    <m/>
    <m/>
    <m/>
    <m/>
    <m/>
    <m/>
    <m/>
    <m/>
    <m/>
    <m/>
    <m/>
    <m/>
    <m/>
    <m/>
    <n v="40"/>
    <m/>
    <m/>
    <m/>
    <m/>
    <n v="4"/>
    <m/>
    <m/>
    <x v="1"/>
    <x v="1"/>
    <m/>
    <m/>
    <m/>
    <m/>
    <m/>
    <m/>
    <n v="17"/>
    <m/>
    <m/>
    <n v="5"/>
    <m/>
    <m/>
    <m/>
    <m/>
    <m/>
    <m/>
    <m/>
    <m/>
    <m/>
    <m/>
    <m/>
    <m/>
    <m/>
    <m/>
    <m/>
    <m/>
    <s v="no test"/>
    <s v="no test"/>
    <s v="No Test"/>
    <n v="0"/>
    <n v="3"/>
    <n v="0"/>
    <n v="0"/>
    <n v="0"/>
    <n v="0"/>
    <n v="1"/>
    <n v="1"/>
    <n v="1"/>
    <n v="741"/>
    <n v="0"/>
    <n v="0"/>
    <n v="1"/>
    <n v="741"/>
    <n v="1.482"/>
    <n v="0"/>
    <n v="0"/>
    <n v="0"/>
    <n v="1"/>
    <n v="40"/>
    <n v="1"/>
    <n v="741"/>
    <n v="80"/>
    <n v="0"/>
    <n v="0"/>
    <n v="0"/>
    <n v="37"/>
    <n v="0"/>
    <n v="0"/>
    <n v="0"/>
    <n v="0"/>
    <n v="0"/>
    <n v="0"/>
    <n v="0"/>
    <n v="0"/>
    <n v="0"/>
    <n v="1"/>
    <n v="0"/>
    <n v="0"/>
    <n v="0"/>
    <n v="17"/>
    <n v="127"/>
    <n v="0"/>
    <n v="741"/>
    <s v="No"/>
    <s v=""/>
    <n v="0"/>
    <n v="0"/>
    <s v="Yes"/>
    <s v="KMSS-BMO"/>
    <x v="0"/>
    <x v="1"/>
    <x v="1"/>
    <n v="24.245100000000001"/>
    <n v="97.325019999999995"/>
    <s v="MMR001CMP062"/>
    <x v="0"/>
    <s v="cccm_2019OCT"/>
  </r>
  <r>
    <x v="0"/>
    <x v="2"/>
    <x v="2"/>
    <s v="UNICEF, WHH (AA)"/>
    <x v="1"/>
    <x v="13"/>
    <x v="1"/>
    <x v="88"/>
    <n v="24"/>
    <n v="85"/>
    <s v="1/Feb/2019,1/Oct/18"/>
    <s v="30/Apr/2020, 30/Sept/2020"/>
    <m/>
    <m/>
    <m/>
    <m/>
    <m/>
    <m/>
    <n v="4"/>
    <m/>
    <m/>
    <m/>
    <m/>
    <m/>
    <m/>
    <m/>
    <m/>
    <m/>
    <m/>
    <m/>
    <m/>
    <m/>
    <m/>
    <m/>
    <m/>
    <m/>
    <m/>
    <m/>
    <m/>
    <m/>
    <m/>
    <m/>
    <m/>
    <m/>
    <m/>
    <m/>
    <m/>
    <m/>
    <m/>
    <x v="3"/>
    <x v="3"/>
    <m/>
    <m/>
    <m/>
    <m/>
    <m/>
    <m/>
    <m/>
    <m/>
    <m/>
    <m/>
    <m/>
    <m/>
    <m/>
    <m/>
    <m/>
    <s v="No"/>
    <m/>
    <m/>
    <m/>
    <m/>
    <m/>
    <m/>
    <m/>
    <m/>
    <m/>
    <m/>
    <s v="no test"/>
    <s v="no test"/>
    <s v="No Test"/>
    <n v="0"/>
    <n v="0"/>
    <n v="0"/>
    <n v="0"/>
    <n v="0"/>
    <n v="0"/>
    <n v="0"/>
    <n v="0"/>
    <n v="0"/>
    <n v="0"/>
    <n v="0"/>
    <n v="0"/>
    <n v="0"/>
    <n v="0"/>
    <n v="0"/>
    <n v="1"/>
    <n v="85"/>
    <n v="1"/>
    <n v="1"/>
    <n v="0"/>
    <n v="0"/>
    <n v="0"/>
    <n v="0"/>
    <n v="0"/>
    <n v="0"/>
    <n v="0"/>
    <n v="4"/>
    <n v="4"/>
    <n v="1"/>
    <n v="0"/>
    <n v="0"/>
    <n v="0"/>
    <n v="0"/>
    <n v="0"/>
    <n v="0"/>
    <n v="0"/>
    <n v="1"/>
    <n v="0"/>
    <n v="0"/>
    <n v="0"/>
    <n v="0"/>
    <n v="0"/>
    <n v="0"/>
    <n v="0"/>
    <s v="No"/>
    <s v=""/>
    <n v="0"/>
    <n v="0"/>
    <n v="0"/>
    <s v="uncovered"/>
    <x v="0"/>
    <x v="0"/>
    <x v="1"/>
    <n v="0"/>
    <n v="0"/>
    <s v="MMR015CMP246"/>
    <x v="0"/>
    <s v="cccm_2019OCT"/>
  </r>
  <r>
    <x v="0"/>
    <x v="2"/>
    <x v="2"/>
    <s v="UNICEF, WHH(AA)"/>
    <x v="0"/>
    <x v="9"/>
    <x v="1"/>
    <x v="89"/>
    <n v="98"/>
    <n v="529"/>
    <s v="1/Feb/2019,1/Oct/18"/>
    <s v="30/Apr/2020, 30/Sept/2020"/>
    <m/>
    <m/>
    <m/>
    <m/>
    <m/>
    <m/>
    <n v="4"/>
    <m/>
    <m/>
    <m/>
    <m/>
    <m/>
    <m/>
    <m/>
    <m/>
    <m/>
    <m/>
    <m/>
    <m/>
    <m/>
    <m/>
    <m/>
    <m/>
    <m/>
    <m/>
    <m/>
    <m/>
    <m/>
    <m/>
    <n v="8"/>
    <m/>
    <m/>
    <m/>
    <m/>
    <m/>
    <m/>
    <m/>
    <x v="3"/>
    <x v="3"/>
    <m/>
    <m/>
    <m/>
    <m/>
    <m/>
    <m/>
    <m/>
    <m/>
    <m/>
    <m/>
    <m/>
    <m/>
    <n v="1"/>
    <m/>
    <m/>
    <m/>
    <m/>
    <m/>
    <m/>
    <m/>
    <m/>
    <m/>
    <m/>
    <m/>
    <m/>
    <m/>
    <s v="no test"/>
    <s v="no test"/>
    <s v="No Test"/>
    <n v="0"/>
    <n v="0"/>
    <n v="0"/>
    <n v="0"/>
    <n v="0"/>
    <n v="0"/>
    <n v="0"/>
    <n v="0"/>
    <n v="0"/>
    <n v="0"/>
    <n v="0"/>
    <n v="0"/>
    <n v="0"/>
    <n v="0"/>
    <n v="0"/>
    <n v="1"/>
    <n v="529"/>
    <n v="1"/>
    <n v="1"/>
    <n v="8"/>
    <n v="0.30245746691871456"/>
    <n v="160"/>
    <n v="0"/>
    <n v="0"/>
    <n v="0"/>
    <n v="0"/>
    <n v="26"/>
    <n v="18"/>
    <n v="0.69754253308128544"/>
    <n v="0"/>
    <n v="500"/>
    <n v="0"/>
    <n v="0"/>
    <n v="0"/>
    <n v="500"/>
    <n v="0.94517958412098302"/>
    <n v="5.4820415879016982E-2"/>
    <n v="0.94517958412098302"/>
    <n v="0"/>
    <n v="0"/>
    <n v="0"/>
    <n v="0"/>
    <n v="0"/>
    <n v="0"/>
    <s v="No"/>
    <s v=""/>
    <n v="0"/>
    <n v="0"/>
    <s v="Yes"/>
    <s v="KBC-NSS"/>
    <x v="0"/>
    <x v="1"/>
    <x v="1"/>
    <n v="23.83013"/>
    <n v="97.589979999999997"/>
    <s v="MMR001CMP133"/>
    <x v="0"/>
    <s v="cccm_2019OCT"/>
  </r>
  <r>
    <x v="0"/>
    <x v="2"/>
    <x v="2"/>
    <s v="UNICEF, WHH(AA)"/>
    <x v="0"/>
    <x v="9"/>
    <x v="1"/>
    <x v="90"/>
    <n v="120"/>
    <n v="535"/>
    <s v="1/Feb/2019,1/Oct/18"/>
    <s v="30/Apr/2020, 30/Sept/2020"/>
    <m/>
    <m/>
    <m/>
    <m/>
    <m/>
    <m/>
    <n v="5"/>
    <m/>
    <m/>
    <m/>
    <m/>
    <m/>
    <m/>
    <m/>
    <m/>
    <m/>
    <m/>
    <m/>
    <m/>
    <m/>
    <m/>
    <m/>
    <m/>
    <m/>
    <m/>
    <m/>
    <m/>
    <m/>
    <m/>
    <n v="12"/>
    <m/>
    <m/>
    <m/>
    <m/>
    <m/>
    <m/>
    <m/>
    <x v="3"/>
    <x v="3"/>
    <m/>
    <m/>
    <m/>
    <m/>
    <m/>
    <m/>
    <m/>
    <m/>
    <m/>
    <m/>
    <m/>
    <m/>
    <m/>
    <m/>
    <m/>
    <m/>
    <m/>
    <m/>
    <m/>
    <m/>
    <m/>
    <m/>
    <m/>
    <m/>
    <m/>
    <m/>
    <s v="no test"/>
    <s v="no test"/>
    <s v="No Test"/>
    <n v="0"/>
    <n v="0"/>
    <n v="0"/>
    <n v="0"/>
    <n v="0"/>
    <n v="0"/>
    <n v="0"/>
    <n v="0"/>
    <n v="0"/>
    <n v="0"/>
    <n v="0"/>
    <n v="0"/>
    <n v="0"/>
    <n v="0"/>
    <n v="0"/>
    <n v="1"/>
    <n v="535"/>
    <n v="1"/>
    <n v="1"/>
    <n v="12"/>
    <n v="0.44859813084112149"/>
    <n v="240"/>
    <n v="0"/>
    <n v="0"/>
    <n v="0"/>
    <n v="0"/>
    <n v="27"/>
    <n v="15"/>
    <n v="0.55140186915887845"/>
    <n v="0"/>
    <n v="0"/>
    <n v="0"/>
    <n v="0"/>
    <n v="0"/>
    <n v="0"/>
    <n v="0"/>
    <n v="1"/>
    <n v="0"/>
    <n v="0"/>
    <n v="0"/>
    <n v="0"/>
    <n v="0"/>
    <n v="0"/>
    <n v="0"/>
    <s v="No"/>
    <s v=""/>
    <n v="0"/>
    <n v="0"/>
    <s v="Yes"/>
    <s v="KBC-NSS"/>
    <x v="0"/>
    <x v="1"/>
    <x v="1"/>
    <n v="23.829599000000002"/>
    <n v="97.590767"/>
    <s v="MMR001CMP230"/>
    <x v="0"/>
    <s v="cccm_2019OCT"/>
  </r>
  <r>
    <x v="0"/>
    <x v="2"/>
    <x v="2"/>
    <s v="UNICEF, WHH(AA)"/>
    <x v="0"/>
    <x v="9"/>
    <x v="1"/>
    <x v="91"/>
    <n v="471"/>
    <n v="2306"/>
    <s v="1/Feb/2019,1/Oct/18"/>
    <s v="30/Apr/2020, 30/Sept/2020"/>
    <m/>
    <m/>
    <m/>
    <m/>
    <m/>
    <m/>
    <n v="2"/>
    <m/>
    <m/>
    <m/>
    <m/>
    <m/>
    <m/>
    <m/>
    <m/>
    <m/>
    <m/>
    <m/>
    <m/>
    <m/>
    <m/>
    <m/>
    <m/>
    <m/>
    <m/>
    <m/>
    <m/>
    <m/>
    <m/>
    <m/>
    <m/>
    <m/>
    <m/>
    <m/>
    <m/>
    <m/>
    <m/>
    <x v="3"/>
    <x v="3"/>
    <m/>
    <m/>
    <m/>
    <m/>
    <m/>
    <m/>
    <m/>
    <m/>
    <m/>
    <m/>
    <m/>
    <m/>
    <m/>
    <m/>
    <m/>
    <m/>
    <m/>
    <m/>
    <m/>
    <m/>
    <m/>
    <m/>
    <m/>
    <m/>
    <m/>
    <m/>
    <s v="no test"/>
    <s v="no test"/>
    <s v="No Test"/>
    <n v="0"/>
    <n v="0"/>
    <n v="0"/>
    <n v="0"/>
    <n v="0"/>
    <n v="0"/>
    <n v="0"/>
    <n v="0"/>
    <n v="0"/>
    <n v="0"/>
    <n v="0"/>
    <n v="0"/>
    <n v="0"/>
    <n v="0"/>
    <n v="0"/>
    <n v="1"/>
    <n v="2306"/>
    <n v="5"/>
    <n v="5"/>
    <n v="0"/>
    <n v="0"/>
    <n v="0"/>
    <n v="0"/>
    <n v="0"/>
    <n v="0"/>
    <n v="0"/>
    <n v="115"/>
    <n v="115"/>
    <n v="1"/>
    <n v="0"/>
    <n v="0"/>
    <n v="0"/>
    <n v="0"/>
    <n v="0"/>
    <n v="0"/>
    <n v="0"/>
    <n v="1"/>
    <n v="0"/>
    <n v="0"/>
    <n v="0"/>
    <n v="0"/>
    <n v="0"/>
    <n v="0"/>
    <n v="0"/>
    <s v="No"/>
    <s v=""/>
    <n v="0"/>
    <n v="0"/>
    <s v="Yes"/>
    <s v="KMSS-BMO"/>
    <x v="0"/>
    <x v="1"/>
    <x v="1"/>
    <n v="23.835319999999999"/>
    <n v="97.578490000000002"/>
    <s v="MMR001CMP132"/>
    <x v="0"/>
    <s v="cccm_2019OCT"/>
  </r>
  <r>
    <x v="0"/>
    <x v="2"/>
    <x v="2"/>
    <s v="UNICEF, WHH(AA)"/>
    <x v="0"/>
    <x v="9"/>
    <x v="1"/>
    <x v="92"/>
    <n v="144"/>
    <n v="631"/>
    <s v="1/Feb/2019,1/Oct/18"/>
    <s v="30/Apr/2020, 30/Sept/2020"/>
    <m/>
    <m/>
    <m/>
    <m/>
    <m/>
    <m/>
    <n v="3"/>
    <m/>
    <m/>
    <m/>
    <m/>
    <m/>
    <m/>
    <m/>
    <m/>
    <m/>
    <m/>
    <m/>
    <m/>
    <m/>
    <m/>
    <m/>
    <m/>
    <m/>
    <m/>
    <m/>
    <m/>
    <m/>
    <m/>
    <m/>
    <m/>
    <m/>
    <m/>
    <m/>
    <m/>
    <m/>
    <m/>
    <x v="3"/>
    <x v="3"/>
    <m/>
    <m/>
    <m/>
    <m/>
    <m/>
    <m/>
    <m/>
    <m/>
    <m/>
    <m/>
    <m/>
    <m/>
    <m/>
    <m/>
    <m/>
    <m/>
    <m/>
    <m/>
    <m/>
    <m/>
    <m/>
    <m/>
    <m/>
    <m/>
    <m/>
    <m/>
    <s v="no test"/>
    <s v="no test"/>
    <s v="No Test"/>
    <n v="0"/>
    <n v="0"/>
    <n v="0"/>
    <n v="0"/>
    <n v="0"/>
    <n v="0"/>
    <n v="0"/>
    <n v="0"/>
    <n v="0"/>
    <n v="0"/>
    <n v="0"/>
    <n v="0"/>
    <n v="0"/>
    <n v="0"/>
    <n v="0"/>
    <n v="1"/>
    <n v="631"/>
    <n v="1"/>
    <n v="1"/>
    <n v="0"/>
    <n v="0"/>
    <n v="0"/>
    <n v="0"/>
    <n v="0"/>
    <n v="0"/>
    <n v="0"/>
    <n v="32"/>
    <n v="32"/>
    <n v="1"/>
    <n v="0"/>
    <n v="0"/>
    <n v="0"/>
    <n v="0"/>
    <n v="0"/>
    <n v="0"/>
    <n v="0"/>
    <n v="1"/>
    <n v="0"/>
    <n v="0"/>
    <n v="0"/>
    <n v="0"/>
    <n v="0"/>
    <n v="0"/>
    <n v="0"/>
    <s v="No"/>
    <s v=""/>
    <n v="0"/>
    <n v="0"/>
    <s v="Yes"/>
    <s v="KMSS-BMO"/>
    <x v="0"/>
    <x v="1"/>
    <x v="1"/>
    <n v="23.833477999999999"/>
    <n v="97.578367"/>
    <s v="MMR001CMP228"/>
    <x v="0"/>
    <s v="cccm_2019OCT"/>
  </r>
  <r>
    <x v="0"/>
    <x v="2"/>
    <x v="2"/>
    <s v="UNICEF, WHH(AA)"/>
    <x v="0"/>
    <x v="9"/>
    <x v="1"/>
    <x v="93"/>
    <n v="204"/>
    <n v="1105"/>
    <s v="1/Feb/2019,1/Oct/18"/>
    <s v="30/Apr/2020, 30/Sept/2020"/>
    <m/>
    <m/>
    <m/>
    <m/>
    <m/>
    <m/>
    <m/>
    <m/>
    <m/>
    <m/>
    <m/>
    <m/>
    <m/>
    <m/>
    <m/>
    <m/>
    <m/>
    <m/>
    <m/>
    <m/>
    <m/>
    <m/>
    <m/>
    <m/>
    <m/>
    <m/>
    <m/>
    <m/>
    <m/>
    <m/>
    <m/>
    <m/>
    <m/>
    <m/>
    <m/>
    <m/>
    <m/>
    <x v="3"/>
    <x v="3"/>
    <m/>
    <m/>
    <m/>
    <m/>
    <m/>
    <m/>
    <m/>
    <m/>
    <m/>
    <m/>
    <m/>
    <m/>
    <m/>
    <m/>
    <m/>
    <m/>
    <m/>
    <m/>
    <m/>
    <m/>
    <m/>
    <m/>
    <m/>
    <m/>
    <m/>
    <m/>
    <s v="no test"/>
    <s v="no test"/>
    <s v="No Test"/>
    <n v="0"/>
    <n v="0"/>
    <n v="0"/>
    <n v="0"/>
    <n v="0"/>
    <n v="0"/>
    <n v="0"/>
    <n v="0"/>
    <n v="0"/>
    <n v="0"/>
    <n v="0"/>
    <n v="0"/>
    <n v="0"/>
    <n v="0"/>
    <n v="0"/>
    <n v="1"/>
    <n v="1105"/>
    <n v="2"/>
    <n v="2"/>
    <n v="0"/>
    <n v="0"/>
    <n v="0"/>
    <n v="0"/>
    <n v="0"/>
    <n v="0"/>
    <n v="0"/>
    <n v="55"/>
    <n v="55"/>
    <n v="1"/>
    <n v="0"/>
    <n v="0"/>
    <n v="0"/>
    <n v="0"/>
    <n v="0"/>
    <n v="0"/>
    <n v="0"/>
    <n v="1"/>
    <n v="0"/>
    <n v="0"/>
    <n v="0"/>
    <n v="0"/>
    <n v="0"/>
    <n v="0"/>
    <n v="0"/>
    <s v="No"/>
    <s v=""/>
    <n v="0"/>
    <n v="0"/>
    <n v="0"/>
    <s v="uncovered"/>
    <x v="0"/>
    <x v="4"/>
    <x v="1"/>
    <n v="23.827870999999998"/>
    <n v="97.588291999999996"/>
    <s v="MMR001CMP134"/>
    <x v="0"/>
    <s v="cccm_2019OCT"/>
  </r>
  <r>
    <x v="0"/>
    <x v="2"/>
    <x v="2"/>
    <s v="WHH-AA"/>
    <x v="0"/>
    <x v="7"/>
    <x v="1"/>
    <x v="94"/>
    <n v="5"/>
    <n v="19"/>
    <d v="2019-01-01T00:00:00"/>
    <d v="2019-12-31T00:00:00"/>
    <m/>
    <m/>
    <m/>
    <m/>
    <s v="No"/>
    <m/>
    <n v="4"/>
    <m/>
    <m/>
    <m/>
    <m/>
    <n v="1"/>
    <m/>
    <m/>
    <m/>
    <m/>
    <m/>
    <m/>
    <m/>
    <m/>
    <m/>
    <m/>
    <m/>
    <m/>
    <m/>
    <m/>
    <m/>
    <m/>
    <m/>
    <n v="1"/>
    <m/>
    <m/>
    <m/>
    <m/>
    <m/>
    <m/>
    <m/>
    <x v="1"/>
    <x v="1"/>
    <m/>
    <m/>
    <m/>
    <m/>
    <m/>
    <m/>
    <n v="0"/>
    <m/>
    <m/>
    <n v="1"/>
    <m/>
    <m/>
    <m/>
    <m/>
    <m/>
    <m/>
    <m/>
    <m/>
    <m/>
    <m/>
    <m/>
    <m/>
    <m/>
    <m/>
    <m/>
    <m/>
    <s v="no test"/>
    <s v="no test"/>
    <s v="No Test"/>
    <n v="0"/>
    <n v="1"/>
    <n v="0"/>
    <n v="0"/>
    <n v="0"/>
    <n v="0"/>
    <n v="1"/>
    <n v="1"/>
    <n v="1"/>
    <n v="19"/>
    <n v="0"/>
    <n v="0"/>
    <n v="1"/>
    <n v="19"/>
    <n v="3.7999999999999999E-2"/>
    <n v="0"/>
    <n v="0"/>
    <n v="0.96199999999999997"/>
    <n v="1"/>
    <n v="1"/>
    <n v="1"/>
    <n v="19"/>
    <n v="0"/>
    <n v="0"/>
    <n v="0"/>
    <n v="0"/>
    <n v="1"/>
    <n v="0"/>
    <n v="0"/>
    <n v="0"/>
    <n v="0"/>
    <n v="0"/>
    <n v="0"/>
    <n v="0"/>
    <n v="0"/>
    <n v="0"/>
    <n v="1"/>
    <n v="0"/>
    <n v="0"/>
    <n v="0"/>
    <n v="0"/>
    <n v="0"/>
    <n v="0"/>
    <n v="0"/>
    <s v="No"/>
    <s v=""/>
    <n v="0"/>
    <n v="0"/>
    <n v="0"/>
    <n v="0"/>
    <x v="0"/>
    <x v="1"/>
    <x v="1"/>
    <n v="24.251860000000001"/>
    <n v="97.346940000000004"/>
    <s v="MMR001CMP058"/>
    <x v="0"/>
    <s v="closed_cccm2018Mar"/>
  </r>
  <r>
    <x v="0"/>
    <x v="2"/>
    <x v="2"/>
    <s v="UNICEF, WHH (AA)"/>
    <x v="1"/>
    <x v="16"/>
    <x v="1"/>
    <x v="95"/>
    <n v="29"/>
    <n v="135"/>
    <s v="1/Feb/2019,1/Oct/18"/>
    <s v="30/Apr/2020, 30/Sept/2020"/>
    <n v="88"/>
    <m/>
    <n v="1"/>
    <m/>
    <s v="Yes"/>
    <m/>
    <m/>
    <m/>
    <m/>
    <m/>
    <n v="1"/>
    <n v="1"/>
    <m/>
    <m/>
    <m/>
    <m/>
    <m/>
    <m/>
    <m/>
    <m/>
    <m/>
    <m/>
    <m/>
    <m/>
    <m/>
    <m/>
    <m/>
    <m/>
    <m/>
    <n v="18"/>
    <m/>
    <m/>
    <m/>
    <m/>
    <m/>
    <m/>
    <m/>
    <x v="1"/>
    <x v="1"/>
    <m/>
    <m/>
    <m/>
    <m/>
    <m/>
    <m/>
    <m/>
    <m/>
    <m/>
    <n v="5"/>
    <m/>
    <m/>
    <n v="1"/>
    <m/>
    <m/>
    <s v="No"/>
    <m/>
    <m/>
    <m/>
    <m/>
    <m/>
    <m/>
    <m/>
    <m/>
    <m/>
    <m/>
    <s v="no test"/>
    <s v="no test"/>
    <s v="No Test"/>
    <n v="0"/>
    <n v="2"/>
    <n v="0"/>
    <n v="0"/>
    <n v="0"/>
    <n v="0"/>
    <n v="1"/>
    <n v="1"/>
    <n v="1"/>
    <n v="135"/>
    <n v="0"/>
    <n v="0"/>
    <n v="1"/>
    <n v="135"/>
    <n v="0.27"/>
    <n v="0"/>
    <n v="0"/>
    <n v="0.73"/>
    <n v="1"/>
    <n v="18"/>
    <n v="1"/>
    <n v="135"/>
    <n v="0"/>
    <n v="0"/>
    <n v="0"/>
    <n v="0"/>
    <n v="7"/>
    <n v="0"/>
    <n v="0"/>
    <n v="0"/>
    <n v="135"/>
    <n v="0"/>
    <n v="0"/>
    <n v="0"/>
    <n v="135"/>
    <n v="1"/>
    <n v="0"/>
    <n v="1"/>
    <n v="0"/>
    <n v="0"/>
    <n v="0"/>
    <n v="0"/>
    <n v="0"/>
    <n v="0"/>
    <s v="Yes"/>
    <s v=""/>
    <n v="0"/>
    <n v="0"/>
    <s v="Yes"/>
    <s v="KBC-NSS"/>
    <x v="0"/>
    <x v="1"/>
    <x v="1"/>
    <n v="23.250678000000001"/>
    <n v="97.124403000000001"/>
    <s v="MMR015CMP009"/>
    <x v="0"/>
    <s v="cccm_2019OCT"/>
  </r>
  <r>
    <x v="0"/>
    <x v="2"/>
    <x v="2"/>
    <s v="WHH-AA / USAID"/>
    <x v="0"/>
    <x v="9"/>
    <x v="1"/>
    <x v="96"/>
    <n v="179"/>
    <n v="809"/>
    <d v="2019-01-01T00:00:00"/>
    <d v="2019-12-31T00:00:00"/>
    <m/>
    <m/>
    <m/>
    <m/>
    <s v="Yes"/>
    <n v="2"/>
    <n v="4"/>
    <n v="2"/>
    <m/>
    <m/>
    <n v="2"/>
    <n v="3"/>
    <m/>
    <m/>
    <m/>
    <m/>
    <m/>
    <m/>
    <m/>
    <m/>
    <m/>
    <m/>
    <m/>
    <m/>
    <m/>
    <m/>
    <m/>
    <m/>
    <m/>
    <n v="40"/>
    <m/>
    <m/>
    <m/>
    <m/>
    <n v="4"/>
    <m/>
    <m/>
    <x v="1"/>
    <x v="1"/>
    <m/>
    <n v="1"/>
    <m/>
    <m/>
    <m/>
    <m/>
    <n v="16"/>
    <m/>
    <m/>
    <n v="7"/>
    <m/>
    <m/>
    <m/>
    <m/>
    <m/>
    <m/>
    <m/>
    <m/>
    <m/>
    <m/>
    <m/>
    <m/>
    <m/>
    <m/>
    <m/>
    <m/>
    <s v="no test"/>
    <s v="no test"/>
    <s v="No Test"/>
    <n v="2"/>
    <n v="5"/>
    <n v="0"/>
    <n v="0"/>
    <n v="0"/>
    <n v="0"/>
    <n v="1"/>
    <n v="1"/>
    <n v="1"/>
    <n v="809"/>
    <n v="0"/>
    <n v="0"/>
    <n v="1"/>
    <n v="809"/>
    <n v="1.6180000000000001"/>
    <n v="0"/>
    <n v="0"/>
    <n v="0.3819999999999999"/>
    <n v="2"/>
    <n v="40"/>
    <n v="0.9888751545117429"/>
    <n v="800"/>
    <n v="80"/>
    <n v="0"/>
    <n v="0"/>
    <n v="0"/>
    <n v="40"/>
    <n v="0"/>
    <n v="1.1124845488257096E-2"/>
    <n v="0"/>
    <n v="0"/>
    <n v="0"/>
    <n v="0"/>
    <n v="0"/>
    <n v="0"/>
    <n v="0"/>
    <n v="1"/>
    <n v="0"/>
    <n v="0"/>
    <n v="0"/>
    <n v="16"/>
    <n v="179"/>
    <n v="0"/>
    <n v="809"/>
    <s v="No"/>
    <s v=""/>
    <n v="0"/>
    <n v="0"/>
    <s v="Yes"/>
    <s v="KBC-BMO"/>
    <x v="0"/>
    <x v="1"/>
    <x v="1"/>
    <n v="24.129059999999999"/>
    <n v="97.291820000000001"/>
    <s v="MMR001CMP066"/>
    <x v="0"/>
    <s v="cccm_2019OCT"/>
  </r>
  <r>
    <x v="0"/>
    <x v="2"/>
    <x v="2"/>
    <s v="UNICEF, WHH (AA)"/>
    <x v="1"/>
    <x v="17"/>
    <x v="0"/>
    <x v="97"/>
    <n v="11"/>
    <n v="53"/>
    <s v="1/Feb/2019,1/Oct/18"/>
    <s v="30/Apr/2020, 30/Sept/2020"/>
    <n v="10"/>
    <m/>
    <m/>
    <m/>
    <m/>
    <m/>
    <n v="5"/>
    <m/>
    <m/>
    <m/>
    <m/>
    <m/>
    <m/>
    <m/>
    <m/>
    <m/>
    <m/>
    <m/>
    <m/>
    <m/>
    <m/>
    <m/>
    <m/>
    <m/>
    <m/>
    <m/>
    <m/>
    <m/>
    <m/>
    <m/>
    <m/>
    <m/>
    <m/>
    <m/>
    <m/>
    <m/>
    <m/>
    <x v="3"/>
    <x v="3"/>
    <m/>
    <m/>
    <m/>
    <m/>
    <m/>
    <m/>
    <m/>
    <m/>
    <m/>
    <m/>
    <m/>
    <m/>
    <m/>
    <m/>
    <m/>
    <s v="No"/>
    <m/>
    <m/>
    <m/>
    <m/>
    <m/>
    <m/>
    <m/>
    <m/>
    <m/>
    <m/>
    <s v="no test"/>
    <s v="no test"/>
    <s v="No Test"/>
    <n v="0"/>
    <n v="0"/>
    <n v="0"/>
    <n v="0"/>
    <n v="0"/>
    <n v="0"/>
    <n v="0"/>
    <n v="0"/>
    <n v="0"/>
    <n v="0"/>
    <n v="0"/>
    <n v="0"/>
    <n v="0"/>
    <n v="0"/>
    <n v="0"/>
    <n v="1"/>
    <n v="53"/>
    <n v="1"/>
    <n v="1"/>
    <n v="0"/>
    <n v="0"/>
    <n v="0"/>
    <n v="0"/>
    <n v="0"/>
    <n v="0"/>
    <n v="0"/>
    <n v="3"/>
    <n v="3"/>
    <n v="1"/>
    <n v="0"/>
    <n v="0"/>
    <n v="0"/>
    <n v="0"/>
    <n v="0"/>
    <n v="0"/>
    <n v="0"/>
    <n v="1"/>
    <n v="0"/>
    <n v="0"/>
    <n v="0"/>
    <n v="0"/>
    <n v="0"/>
    <n v="0"/>
    <n v="0"/>
    <s v="Yes"/>
    <s v=""/>
    <n v="0"/>
    <n v="0"/>
    <n v="0"/>
    <n v="0"/>
    <x v="0"/>
    <x v="1"/>
    <x v="1"/>
    <n v="0"/>
    <n v="0"/>
    <n v="0"/>
    <x v="0"/>
    <m/>
  </r>
  <r>
    <x v="0"/>
    <x v="2"/>
    <x v="2"/>
    <s v="UNICEF, WHH (AA)"/>
    <x v="1"/>
    <x v="13"/>
    <x v="1"/>
    <x v="98"/>
    <n v="145"/>
    <n v="305"/>
    <s v="1/Feb/2019,1/Oct/18"/>
    <s v="30/Apr/2020, 30/Sept/2020"/>
    <n v="82"/>
    <n v="3"/>
    <m/>
    <m/>
    <s v="Yes"/>
    <n v="4"/>
    <n v="4"/>
    <m/>
    <m/>
    <m/>
    <m/>
    <m/>
    <m/>
    <m/>
    <n v="75"/>
    <m/>
    <m/>
    <m/>
    <m/>
    <m/>
    <n v="3"/>
    <n v="1"/>
    <m/>
    <m/>
    <m/>
    <m/>
    <n v="3"/>
    <m/>
    <s v="Spring pipe line is usually maintained by camp because farmers along spring pipe line damaged it."/>
    <n v="71"/>
    <m/>
    <m/>
    <m/>
    <m/>
    <m/>
    <m/>
    <m/>
    <x v="2"/>
    <x v="2"/>
    <m/>
    <m/>
    <n v="4"/>
    <m/>
    <m/>
    <m/>
    <n v="5"/>
    <m/>
    <m/>
    <n v="3"/>
    <m/>
    <n v="1"/>
    <m/>
    <m/>
    <m/>
    <s v="Yes"/>
    <m/>
    <m/>
    <m/>
    <m/>
    <m/>
    <m/>
    <m/>
    <m/>
    <m/>
    <m/>
    <s v="no test"/>
    <s v="no test"/>
    <s v="No Test"/>
    <n v="0"/>
    <n v="0"/>
    <n v="75"/>
    <n v="0"/>
    <n v="0"/>
    <n v="0"/>
    <n v="1"/>
    <n v="1"/>
    <n v="1"/>
    <n v="305"/>
    <n v="0"/>
    <n v="0"/>
    <n v="1"/>
    <n v="305"/>
    <n v="0.61"/>
    <n v="0"/>
    <n v="0"/>
    <n v="0.39"/>
    <n v="1"/>
    <n v="71"/>
    <n v="1"/>
    <n v="305"/>
    <n v="0"/>
    <n v="82"/>
    <n v="0"/>
    <n v="82"/>
    <n v="145"/>
    <n v="74"/>
    <n v="0"/>
    <n v="0"/>
    <n v="305"/>
    <n v="0"/>
    <n v="0"/>
    <n v="0"/>
    <n v="305"/>
    <n v="1"/>
    <n v="0"/>
    <n v="1"/>
    <n v="0"/>
    <n v="0"/>
    <n v="5"/>
    <n v="100"/>
    <n v="3"/>
    <n v="305"/>
    <s v="Yes"/>
    <s v=""/>
    <n v="0"/>
    <n v="82"/>
    <s v="Yes"/>
    <s v="KMSS-LSO"/>
    <x v="1"/>
    <x v="1"/>
    <x v="1"/>
    <n v="23.588920000000002"/>
    <n v="97.793019999999999"/>
    <s v="MMR015CMP018"/>
    <x v="0"/>
    <s v="cccm_2019OCT"/>
  </r>
  <r>
    <x v="0"/>
    <x v="2"/>
    <x v="2"/>
    <s v="WHH-AA"/>
    <x v="0"/>
    <x v="7"/>
    <x v="1"/>
    <x v="99"/>
    <n v="299"/>
    <n v="1406"/>
    <d v="2019-01-01T00:00:00"/>
    <d v="2019-12-31T00:00:00"/>
    <m/>
    <m/>
    <m/>
    <m/>
    <s v="Yes"/>
    <n v="1"/>
    <n v="5"/>
    <n v="2"/>
    <m/>
    <m/>
    <m/>
    <m/>
    <m/>
    <m/>
    <m/>
    <m/>
    <m/>
    <m/>
    <m/>
    <m/>
    <m/>
    <m/>
    <m/>
    <m/>
    <m/>
    <m/>
    <m/>
    <m/>
    <m/>
    <n v="14"/>
    <m/>
    <m/>
    <m/>
    <m/>
    <m/>
    <m/>
    <m/>
    <x v="1"/>
    <x v="1"/>
    <m/>
    <m/>
    <m/>
    <m/>
    <m/>
    <m/>
    <n v="6"/>
    <m/>
    <m/>
    <n v="4"/>
    <m/>
    <m/>
    <m/>
    <m/>
    <m/>
    <m/>
    <m/>
    <m/>
    <m/>
    <m/>
    <m/>
    <m/>
    <m/>
    <m/>
    <m/>
    <m/>
    <s v="no test"/>
    <s v="no test"/>
    <s v="No Test"/>
    <n v="2"/>
    <n v="0"/>
    <n v="0"/>
    <n v="0"/>
    <n v="0"/>
    <n v="0"/>
    <n v="0.56899004267425324"/>
    <n v="0.35561877667140823"/>
    <n v="0.56899004267425324"/>
    <n v="800"/>
    <n v="0"/>
    <n v="0"/>
    <n v="0.56899004267425324"/>
    <n v="800"/>
    <n v="1.6"/>
    <n v="0.43100995732574676"/>
    <n v="606"/>
    <n v="1.4"/>
    <n v="3"/>
    <n v="14"/>
    <n v="0.19914651493598862"/>
    <n v="280"/>
    <n v="0"/>
    <n v="0"/>
    <n v="0"/>
    <n v="0"/>
    <n v="70"/>
    <n v="56"/>
    <n v="0.80085348506401144"/>
    <n v="0"/>
    <n v="0"/>
    <n v="0"/>
    <n v="0"/>
    <n v="0"/>
    <n v="0"/>
    <n v="0"/>
    <n v="1"/>
    <n v="0"/>
    <n v="0"/>
    <n v="0"/>
    <n v="6"/>
    <n v="120"/>
    <n v="0"/>
    <n v="600"/>
    <s v="No"/>
    <s v=""/>
    <n v="0"/>
    <n v="0"/>
    <s v="Yes"/>
    <s v="KBC-BMO"/>
    <x v="0"/>
    <x v="1"/>
    <x v="1"/>
    <n v="24.250689999999999"/>
    <n v="97.344359999999995"/>
    <s v="MMR001CMP056"/>
    <x v="0"/>
    <s v="cccm_2019OCT"/>
  </r>
  <r>
    <x v="0"/>
    <x v="2"/>
    <x v="2"/>
    <s v="UNICEF, WHH (AA)"/>
    <x v="1"/>
    <x v="18"/>
    <x v="1"/>
    <x v="100"/>
    <n v="60"/>
    <n v="276"/>
    <s v="1/Feb/2019,1/Oct/18"/>
    <s v="30/Apr/2020, 30/Sept/2020"/>
    <m/>
    <m/>
    <m/>
    <m/>
    <s v="Yes"/>
    <n v="4"/>
    <n v="5"/>
    <n v="0"/>
    <m/>
    <m/>
    <m/>
    <n v="0"/>
    <m/>
    <m/>
    <n v="30"/>
    <m/>
    <m/>
    <n v="0"/>
    <m/>
    <n v="0"/>
    <m/>
    <m/>
    <m/>
    <m/>
    <m/>
    <m/>
    <m/>
    <m/>
    <m/>
    <n v="10"/>
    <n v="0"/>
    <m/>
    <m/>
    <m/>
    <m/>
    <m/>
    <m/>
    <x v="1"/>
    <x v="1"/>
    <n v="0"/>
    <n v="0"/>
    <m/>
    <m/>
    <m/>
    <m/>
    <n v="2"/>
    <m/>
    <n v="0"/>
    <n v="2"/>
    <m/>
    <n v="0"/>
    <n v="1"/>
    <m/>
    <m/>
    <s v="No"/>
    <m/>
    <m/>
    <m/>
    <m/>
    <m/>
    <m/>
    <m/>
    <m/>
    <m/>
    <m/>
    <s v="no test"/>
    <s v="no test"/>
    <s v="No Test"/>
    <n v="0"/>
    <n v="0"/>
    <n v="30"/>
    <n v="0"/>
    <n v="0"/>
    <n v="0"/>
    <n v="1"/>
    <n v="1"/>
    <n v="1"/>
    <n v="276"/>
    <n v="0"/>
    <n v="0"/>
    <n v="1"/>
    <n v="276"/>
    <n v="0.55200000000000005"/>
    <n v="0"/>
    <n v="0"/>
    <n v="0.44799999999999995"/>
    <n v="1"/>
    <n v="10"/>
    <n v="0.72463768115942029"/>
    <n v="200"/>
    <n v="0"/>
    <n v="0"/>
    <n v="0"/>
    <n v="0"/>
    <n v="14"/>
    <n v="4"/>
    <n v="0.27536231884057971"/>
    <n v="0"/>
    <n v="276"/>
    <n v="0"/>
    <n v="0"/>
    <n v="0"/>
    <n v="276"/>
    <n v="1"/>
    <n v="0"/>
    <n v="1"/>
    <n v="0"/>
    <n v="0"/>
    <n v="2"/>
    <n v="40"/>
    <n v="0"/>
    <n v="200"/>
    <s v="No"/>
    <s v=""/>
    <n v="0"/>
    <n v="0"/>
    <n v="0"/>
    <s v="uncovered"/>
    <x v="0"/>
    <x v="0"/>
    <x v="1"/>
    <n v="23.611999999999998"/>
    <n v="97.506"/>
    <s v="MMR015CMP224"/>
    <x v="0"/>
    <s v="cccm_2019OCT"/>
  </r>
  <r>
    <x v="0"/>
    <x v="2"/>
    <x v="2"/>
    <s v="UNICEF, WHH (AA)"/>
    <x v="1"/>
    <x v="13"/>
    <x v="1"/>
    <x v="101"/>
    <n v="34"/>
    <n v="180"/>
    <s v="1/Feb/2019,1/Oct/18"/>
    <s v="30/Apr/2020, 30/Sept/2020"/>
    <m/>
    <m/>
    <m/>
    <m/>
    <s v="Yes"/>
    <n v="5"/>
    <n v="1"/>
    <n v="0"/>
    <m/>
    <m/>
    <n v="0"/>
    <n v="0"/>
    <m/>
    <m/>
    <n v="25"/>
    <m/>
    <m/>
    <n v="0"/>
    <m/>
    <n v="0"/>
    <m/>
    <m/>
    <m/>
    <m/>
    <m/>
    <m/>
    <m/>
    <m/>
    <m/>
    <n v="34"/>
    <n v="0"/>
    <m/>
    <m/>
    <m/>
    <m/>
    <m/>
    <m/>
    <x v="1"/>
    <x v="1"/>
    <n v="0"/>
    <n v="0"/>
    <n v="2"/>
    <m/>
    <m/>
    <m/>
    <n v="2"/>
    <m/>
    <n v="0"/>
    <n v="2"/>
    <m/>
    <n v="0"/>
    <n v="1"/>
    <m/>
    <m/>
    <s v="No"/>
    <m/>
    <m/>
    <m/>
    <m/>
    <m/>
    <m/>
    <m/>
    <m/>
    <m/>
    <m/>
    <s v="no test"/>
    <s v="no test"/>
    <s v="No Test"/>
    <n v="0"/>
    <n v="0"/>
    <n v="25"/>
    <n v="0"/>
    <n v="0"/>
    <n v="0"/>
    <n v="1"/>
    <n v="1"/>
    <n v="1"/>
    <n v="180"/>
    <n v="0"/>
    <n v="0"/>
    <n v="1"/>
    <n v="180"/>
    <n v="0.36"/>
    <n v="0"/>
    <n v="0"/>
    <n v="0.64"/>
    <n v="1"/>
    <n v="34"/>
    <n v="1"/>
    <n v="180"/>
    <n v="0"/>
    <n v="0"/>
    <n v="0"/>
    <n v="0"/>
    <n v="9"/>
    <n v="0"/>
    <n v="0"/>
    <n v="0"/>
    <n v="180"/>
    <n v="0"/>
    <n v="0"/>
    <n v="0"/>
    <n v="180"/>
    <n v="1"/>
    <n v="0"/>
    <n v="1"/>
    <n v="0"/>
    <n v="0"/>
    <n v="2"/>
    <n v="34"/>
    <n v="0"/>
    <n v="180"/>
    <s v="No"/>
    <s v=""/>
    <n v="0"/>
    <n v="0"/>
    <n v="0"/>
    <s v="uncovered"/>
    <x v="0"/>
    <x v="0"/>
    <x v="1"/>
    <n v="23.850999999999999"/>
    <n v="98.337999999999994"/>
    <s v="MMR015CMP227"/>
    <x v="0"/>
    <s v="cccm_2019OCT"/>
  </r>
  <r>
    <x v="0"/>
    <x v="2"/>
    <x v="2"/>
    <s v="UNICEF, WHH (AA)"/>
    <x v="1"/>
    <x v="13"/>
    <x v="1"/>
    <x v="102"/>
    <n v="44"/>
    <n v="264"/>
    <s v="1/Feb/2019,1/Oct/18"/>
    <s v="30/Apr/2020, 30/Sept/2020"/>
    <m/>
    <m/>
    <n v="1"/>
    <m/>
    <m/>
    <m/>
    <n v="5"/>
    <m/>
    <m/>
    <m/>
    <m/>
    <m/>
    <m/>
    <m/>
    <m/>
    <m/>
    <m/>
    <m/>
    <m/>
    <m/>
    <m/>
    <m/>
    <m/>
    <m/>
    <m/>
    <m/>
    <m/>
    <m/>
    <m/>
    <n v="6"/>
    <m/>
    <m/>
    <m/>
    <m/>
    <m/>
    <m/>
    <m/>
    <x v="1"/>
    <x v="4"/>
    <m/>
    <m/>
    <m/>
    <m/>
    <m/>
    <m/>
    <m/>
    <m/>
    <m/>
    <m/>
    <m/>
    <m/>
    <m/>
    <m/>
    <m/>
    <s v="No"/>
    <m/>
    <m/>
    <m/>
    <m/>
    <m/>
    <m/>
    <m/>
    <m/>
    <m/>
    <m/>
    <s v="no test"/>
    <s v="no test"/>
    <s v="No Test"/>
    <n v="0"/>
    <n v="0"/>
    <n v="0"/>
    <n v="0"/>
    <n v="0"/>
    <n v="0"/>
    <n v="0"/>
    <n v="0"/>
    <n v="0"/>
    <n v="0"/>
    <n v="0"/>
    <n v="0"/>
    <n v="0"/>
    <n v="0"/>
    <n v="0"/>
    <n v="1"/>
    <n v="264"/>
    <n v="1"/>
    <n v="1"/>
    <n v="6"/>
    <n v="0.11363636363636363"/>
    <n v="30"/>
    <n v="0"/>
    <n v="0"/>
    <n v="0"/>
    <n v="0"/>
    <n v="44"/>
    <n v="38"/>
    <n v="0.88636363636363635"/>
    <n v="0"/>
    <n v="0"/>
    <n v="0"/>
    <n v="0"/>
    <n v="0"/>
    <n v="0"/>
    <n v="0"/>
    <n v="1"/>
    <n v="0"/>
    <n v="0"/>
    <n v="0"/>
    <n v="0"/>
    <n v="0"/>
    <n v="0"/>
    <n v="0"/>
    <s v="No"/>
    <s v=""/>
    <n v="0"/>
    <n v="0"/>
    <s v="Yes"/>
    <s v="KBC-NSS"/>
    <x v="1"/>
    <x v="1"/>
    <x v="1"/>
    <n v="23.400155999999999"/>
    <n v="98.220614999999995"/>
    <s v="MMR015CMP006"/>
    <x v="0"/>
    <s v="cccm_2019OCT"/>
  </r>
  <r>
    <x v="0"/>
    <x v="2"/>
    <x v="2"/>
    <s v="UNICEF, WHH (AA)"/>
    <x v="1"/>
    <x v="13"/>
    <x v="1"/>
    <x v="103"/>
    <n v="22"/>
    <n v="111"/>
    <s v="1/Feb/2019,1/Oct/18"/>
    <s v="30/Apr/2020, 30/Sept/2020"/>
    <n v="42"/>
    <m/>
    <m/>
    <m/>
    <m/>
    <m/>
    <n v="3"/>
    <n v="0"/>
    <m/>
    <m/>
    <n v="0"/>
    <m/>
    <m/>
    <m/>
    <m/>
    <m/>
    <m/>
    <m/>
    <n v="1"/>
    <m/>
    <m/>
    <m/>
    <m/>
    <m/>
    <m/>
    <m/>
    <m/>
    <m/>
    <m/>
    <n v="11"/>
    <m/>
    <m/>
    <m/>
    <m/>
    <m/>
    <m/>
    <m/>
    <x v="1"/>
    <x v="1"/>
    <m/>
    <m/>
    <n v="0"/>
    <m/>
    <m/>
    <m/>
    <m/>
    <m/>
    <n v="0"/>
    <n v="2"/>
    <m/>
    <m/>
    <n v="0"/>
    <m/>
    <m/>
    <s v="No"/>
    <m/>
    <m/>
    <m/>
    <m/>
    <m/>
    <m/>
    <m/>
    <m/>
    <m/>
    <m/>
    <s v="no test"/>
    <s v="no test"/>
    <s v="No Test"/>
    <n v="0"/>
    <n v="0"/>
    <n v="0"/>
    <n v="0"/>
    <n v="0"/>
    <n v="0"/>
    <n v="0"/>
    <n v="0"/>
    <n v="0"/>
    <n v="0"/>
    <n v="1"/>
    <n v="111"/>
    <n v="1"/>
    <n v="111"/>
    <n v="0.222"/>
    <n v="0"/>
    <n v="0"/>
    <n v="0.77800000000000002"/>
    <n v="1"/>
    <n v="11"/>
    <n v="1"/>
    <n v="111"/>
    <n v="0"/>
    <n v="0"/>
    <n v="0"/>
    <n v="0"/>
    <n v="6"/>
    <n v="0"/>
    <n v="0"/>
    <n v="0"/>
    <n v="0"/>
    <n v="0"/>
    <n v="0"/>
    <n v="0"/>
    <n v="0"/>
    <n v="0"/>
    <n v="1"/>
    <n v="0"/>
    <n v="0"/>
    <n v="0"/>
    <n v="0"/>
    <n v="0"/>
    <n v="0"/>
    <n v="0"/>
    <s v="Yes"/>
    <s v=""/>
    <n v="0"/>
    <n v="0"/>
    <s v="Yes"/>
    <s v="KMSS-LSO"/>
    <x v="0"/>
    <x v="1"/>
    <x v="1"/>
    <n v="23.463000000000001"/>
    <n v="98.248999999999995"/>
    <s v="MMR015CMP217"/>
    <x v="0"/>
    <s v="cccm_2019OCT"/>
  </r>
  <r>
    <x v="0"/>
    <x v="2"/>
    <x v="2"/>
    <s v="UNICEF, WHH (AA)"/>
    <x v="1"/>
    <x v="14"/>
    <x v="1"/>
    <x v="104"/>
    <n v="24"/>
    <n v="114"/>
    <s v="1/Feb/2019,1/Oct/18"/>
    <s v="30/Apr/2020, 30/Sept/2020"/>
    <m/>
    <m/>
    <m/>
    <m/>
    <m/>
    <m/>
    <n v="4"/>
    <n v="1"/>
    <m/>
    <m/>
    <n v="1"/>
    <m/>
    <m/>
    <m/>
    <m/>
    <m/>
    <m/>
    <m/>
    <m/>
    <m/>
    <m/>
    <m/>
    <m/>
    <m/>
    <m/>
    <m/>
    <m/>
    <m/>
    <m/>
    <n v="8"/>
    <m/>
    <m/>
    <m/>
    <m/>
    <m/>
    <m/>
    <m/>
    <x v="1"/>
    <x v="2"/>
    <m/>
    <m/>
    <n v="1"/>
    <m/>
    <m/>
    <m/>
    <m/>
    <m/>
    <n v="1"/>
    <n v="2"/>
    <m/>
    <m/>
    <n v="2"/>
    <m/>
    <m/>
    <m/>
    <m/>
    <m/>
    <m/>
    <m/>
    <m/>
    <m/>
    <m/>
    <m/>
    <m/>
    <m/>
    <s v="no test"/>
    <s v="no test"/>
    <s v="No Test"/>
    <n v="1"/>
    <n v="1"/>
    <n v="0"/>
    <n v="0"/>
    <n v="0"/>
    <n v="0"/>
    <n v="1"/>
    <n v="1"/>
    <n v="1"/>
    <n v="114"/>
    <n v="0"/>
    <n v="0"/>
    <n v="1"/>
    <n v="114"/>
    <n v="0.22800000000000001"/>
    <n v="0"/>
    <n v="0"/>
    <n v="0.77200000000000002"/>
    <n v="1"/>
    <n v="8"/>
    <n v="1"/>
    <n v="114"/>
    <n v="0"/>
    <n v="0"/>
    <n v="0"/>
    <n v="0"/>
    <n v="6"/>
    <n v="0"/>
    <n v="0"/>
    <n v="0"/>
    <n v="114"/>
    <n v="0"/>
    <n v="0"/>
    <n v="0"/>
    <n v="114"/>
    <n v="1"/>
    <n v="0"/>
    <n v="1"/>
    <n v="0"/>
    <n v="0"/>
    <n v="0"/>
    <n v="0"/>
    <n v="0"/>
    <n v="0"/>
    <s v="No"/>
    <s v=""/>
    <n v="0"/>
    <n v="0"/>
    <s v="Yes"/>
    <s v="KMSS-LSO"/>
    <x v="0"/>
    <x v="1"/>
    <x v="1"/>
    <n v="24.006789000000001"/>
    <n v="97.911647000000002"/>
    <s v="MMR015CMP216"/>
    <x v="0"/>
    <s v="cccm_2019OCT"/>
  </r>
  <r>
    <x v="0"/>
    <x v="2"/>
    <x v="2"/>
    <s v="WHH-AA "/>
    <x v="0"/>
    <x v="10"/>
    <x v="1"/>
    <x v="105"/>
    <n v="10"/>
    <n v="45"/>
    <d v="2019-01-01T00:00:00"/>
    <d v="2019-12-31T00:00:00"/>
    <m/>
    <m/>
    <m/>
    <m/>
    <s v="No"/>
    <m/>
    <n v="2"/>
    <m/>
    <m/>
    <m/>
    <n v="1"/>
    <n v="1"/>
    <m/>
    <m/>
    <m/>
    <m/>
    <m/>
    <m/>
    <m/>
    <m/>
    <m/>
    <m/>
    <m/>
    <m/>
    <m/>
    <m/>
    <m/>
    <m/>
    <m/>
    <n v="4"/>
    <m/>
    <m/>
    <m/>
    <m/>
    <m/>
    <m/>
    <m/>
    <x v="1"/>
    <x v="1"/>
    <m/>
    <m/>
    <m/>
    <m/>
    <m/>
    <m/>
    <n v="2"/>
    <m/>
    <m/>
    <n v="2"/>
    <m/>
    <m/>
    <m/>
    <m/>
    <m/>
    <m/>
    <m/>
    <m/>
    <m/>
    <m/>
    <m/>
    <m/>
    <m/>
    <m/>
    <m/>
    <m/>
    <s v="no test"/>
    <s v="no test"/>
    <s v="No Test"/>
    <n v="0"/>
    <n v="2"/>
    <n v="0"/>
    <n v="0"/>
    <n v="0"/>
    <n v="0"/>
    <n v="1"/>
    <n v="1"/>
    <n v="1"/>
    <n v="45"/>
    <n v="0"/>
    <n v="0"/>
    <n v="1"/>
    <n v="45"/>
    <n v="0.09"/>
    <n v="0"/>
    <n v="0"/>
    <n v="0.91"/>
    <n v="1"/>
    <n v="4"/>
    <n v="1"/>
    <n v="45"/>
    <n v="0"/>
    <n v="0"/>
    <n v="0"/>
    <n v="0"/>
    <n v="2"/>
    <n v="0"/>
    <n v="0"/>
    <n v="0"/>
    <n v="0"/>
    <n v="0"/>
    <n v="0"/>
    <n v="0"/>
    <n v="0"/>
    <n v="0"/>
    <n v="1"/>
    <n v="0"/>
    <n v="0"/>
    <n v="0"/>
    <n v="2"/>
    <n v="10"/>
    <n v="0"/>
    <n v="45"/>
    <s v="No"/>
    <s v=""/>
    <n v="0"/>
    <n v="0"/>
    <s v="Yes"/>
    <s v="Shalom"/>
    <x v="0"/>
    <x v="1"/>
    <x v="1"/>
    <n v="24.253067000000001"/>
    <n v="97.234200000000001"/>
    <s v="MMR001CMP051"/>
    <x v="0"/>
    <s v="cccm_2019OCT"/>
  </r>
  <r>
    <x v="0"/>
    <x v="2"/>
    <x v="2"/>
    <s v="UNICEF, WHH (AA)"/>
    <x v="1"/>
    <x v="18"/>
    <x v="1"/>
    <x v="106"/>
    <n v="68"/>
    <n v="350"/>
    <s v="1/Feb/2019,1/Oct/18"/>
    <s v="30/Apr/2020, 30/Sept/2020"/>
    <n v="112"/>
    <m/>
    <n v="1"/>
    <m/>
    <m/>
    <m/>
    <n v="4"/>
    <m/>
    <m/>
    <m/>
    <m/>
    <n v="1"/>
    <m/>
    <m/>
    <m/>
    <m/>
    <m/>
    <m/>
    <m/>
    <m/>
    <m/>
    <m/>
    <m/>
    <m/>
    <m/>
    <m/>
    <m/>
    <m/>
    <m/>
    <n v="10"/>
    <m/>
    <m/>
    <m/>
    <m/>
    <m/>
    <m/>
    <m/>
    <x v="3"/>
    <x v="3"/>
    <m/>
    <m/>
    <m/>
    <m/>
    <m/>
    <m/>
    <m/>
    <m/>
    <m/>
    <m/>
    <m/>
    <m/>
    <m/>
    <m/>
    <m/>
    <s v="No"/>
    <m/>
    <m/>
    <m/>
    <m/>
    <m/>
    <m/>
    <m/>
    <m/>
    <m/>
    <m/>
    <s v="no test"/>
    <s v="no test"/>
    <s v="No Test"/>
    <n v="0"/>
    <n v="1"/>
    <n v="0"/>
    <n v="0"/>
    <n v="0"/>
    <n v="0"/>
    <n v="1"/>
    <n v="0.7142857142857143"/>
    <n v="1"/>
    <n v="350"/>
    <n v="0"/>
    <n v="0"/>
    <n v="1"/>
    <n v="350"/>
    <n v="0.7"/>
    <n v="0"/>
    <n v="0"/>
    <n v="0.30000000000000004"/>
    <n v="1"/>
    <n v="10"/>
    <n v="0.5714285714285714"/>
    <n v="200"/>
    <n v="0"/>
    <n v="0"/>
    <n v="0"/>
    <n v="0"/>
    <n v="18"/>
    <n v="8"/>
    <n v="0.4285714285714286"/>
    <n v="0"/>
    <n v="0"/>
    <n v="0"/>
    <n v="0"/>
    <n v="0"/>
    <n v="0"/>
    <n v="0"/>
    <n v="1"/>
    <n v="0"/>
    <n v="0"/>
    <n v="0"/>
    <n v="0"/>
    <n v="0"/>
    <n v="0"/>
    <n v="0"/>
    <s v="Yes"/>
    <s v=""/>
    <n v="0"/>
    <n v="0"/>
    <s v="Yes"/>
    <s v="KBC-NSS"/>
    <x v="0"/>
    <x v="1"/>
    <x v="1"/>
    <n v="23.828520000000001"/>
    <n v="97.669557999999995"/>
    <s v="MMR015CMP001"/>
    <x v="0"/>
    <s v="cccm_2019OCT"/>
  </r>
  <r>
    <x v="0"/>
    <x v="2"/>
    <x v="2"/>
    <s v="UNICEF, WHH (AA)"/>
    <x v="1"/>
    <x v="18"/>
    <x v="1"/>
    <x v="107"/>
    <n v="37"/>
    <n v="176"/>
    <s v="1/Feb/2019,1/Oct/18"/>
    <s v="30/Apr/2020, 30/Sept/2020"/>
    <n v="48"/>
    <m/>
    <n v="1"/>
    <m/>
    <m/>
    <m/>
    <n v="1"/>
    <m/>
    <m/>
    <m/>
    <m/>
    <n v="1"/>
    <m/>
    <m/>
    <m/>
    <m/>
    <m/>
    <m/>
    <m/>
    <m/>
    <m/>
    <m/>
    <m/>
    <m/>
    <m/>
    <m/>
    <m/>
    <m/>
    <m/>
    <m/>
    <m/>
    <m/>
    <m/>
    <m/>
    <m/>
    <m/>
    <m/>
    <x v="3"/>
    <x v="3"/>
    <m/>
    <m/>
    <m/>
    <m/>
    <m/>
    <m/>
    <m/>
    <m/>
    <m/>
    <m/>
    <m/>
    <m/>
    <n v="1"/>
    <m/>
    <m/>
    <s v="No"/>
    <m/>
    <m/>
    <m/>
    <m/>
    <m/>
    <m/>
    <m/>
    <m/>
    <m/>
    <m/>
    <s v="no test"/>
    <s v="no test"/>
    <s v="No Test"/>
    <n v="0"/>
    <n v="1"/>
    <n v="0"/>
    <n v="0"/>
    <n v="0"/>
    <n v="0"/>
    <n v="1"/>
    <n v="1"/>
    <n v="1"/>
    <n v="176"/>
    <n v="0"/>
    <n v="0"/>
    <n v="1"/>
    <n v="176"/>
    <n v="0.35199999999999998"/>
    <n v="0"/>
    <n v="0"/>
    <n v="0.64800000000000002"/>
    <n v="1"/>
    <n v="0"/>
    <n v="0"/>
    <n v="0"/>
    <n v="0"/>
    <n v="0"/>
    <n v="0"/>
    <n v="0"/>
    <n v="9"/>
    <n v="9"/>
    <n v="1"/>
    <n v="0"/>
    <n v="176"/>
    <n v="0"/>
    <n v="0"/>
    <n v="0"/>
    <n v="176"/>
    <n v="1"/>
    <n v="0"/>
    <n v="1"/>
    <n v="0"/>
    <n v="0"/>
    <n v="0"/>
    <n v="0"/>
    <n v="0"/>
    <n v="0"/>
    <s v="Yes"/>
    <s v=""/>
    <n v="0"/>
    <n v="0"/>
    <s v="Yes"/>
    <s v="KBC-NSS"/>
    <x v="0"/>
    <x v="1"/>
    <x v="1"/>
    <n v="23.841646999999998"/>
    <n v="97.700940000000003"/>
    <s v="MMR015CMP214"/>
    <x v="0"/>
    <s v="cccm_2019OCT"/>
  </r>
  <r>
    <x v="0"/>
    <x v="2"/>
    <x v="2"/>
    <s v="UNICEF, WHH (AA)"/>
    <x v="1"/>
    <x v="13"/>
    <x v="1"/>
    <x v="108"/>
    <n v="56"/>
    <n v="263"/>
    <s v="1/Feb/2019,1/Oct/18"/>
    <s v="30/Apr/2020, 30/Sept/2020"/>
    <n v="139"/>
    <m/>
    <m/>
    <m/>
    <s v="Yes"/>
    <n v="5"/>
    <n v="5"/>
    <m/>
    <m/>
    <m/>
    <m/>
    <m/>
    <m/>
    <m/>
    <n v="23"/>
    <m/>
    <m/>
    <m/>
    <m/>
    <m/>
    <n v="1"/>
    <n v="1"/>
    <m/>
    <m/>
    <m/>
    <m/>
    <m/>
    <m/>
    <m/>
    <n v="18"/>
    <m/>
    <m/>
    <m/>
    <m/>
    <m/>
    <m/>
    <m/>
    <x v="1"/>
    <x v="1"/>
    <m/>
    <m/>
    <m/>
    <m/>
    <m/>
    <m/>
    <n v="6"/>
    <m/>
    <m/>
    <n v="1"/>
    <m/>
    <m/>
    <n v="2"/>
    <m/>
    <m/>
    <m/>
    <m/>
    <m/>
    <m/>
    <m/>
    <m/>
    <m/>
    <m/>
    <m/>
    <m/>
    <m/>
    <s v="no test"/>
    <s v="no test"/>
    <s v="No Test"/>
    <n v="0"/>
    <n v="0"/>
    <n v="23"/>
    <n v="0"/>
    <n v="0"/>
    <n v="0"/>
    <n v="1"/>
    <n v="1"/>
    <n v="1"/>
    <n v="263"/>
    <n v="0"/>
    <n v="0"/>
    <n v="1"/>
    <n v="263"/>
    <n v="0.52600000000000002"/>
    <n v="0"/>
    <n v="0"/>
    <n v="0.47399999999999998"/>
    <n v="1"/>
    <n v="18"/>
    <n v="1"/>
    <n v="263"/>
    <n v="0"/>
    <n v="0"/>
    <n v="0"/>
    <n v="0"/>
    <n v="13"/>
    <n v="0"/>
    <n v="0"/>
    <n v="0"/>
    <n v="263"/>
    <n v="0"/>
    <n v="0"/>
    <n v="0"/>
    <n v="263"/>
    <n v="1"/>
    <n v="0"/>
    <n v="1"/>
    <n v="0"/>
    <n v="0"/>
    <n v="6"/>
    <n v="56"/>
    <n v="0"/>
    <n v="263"/>
    <s v="Yes"/>
    <s v=""/>
    <n v="0"/>
    <n v="0"/>
    <s v="Yes"/>
    <s v="KBC-NSS"/>
    <x v="0"/>
    <x v="1"/>
    <x v="1"/>
    <n v="23.694130000000001"/>
    <n v="97.818979999999996"/>
    <s v="MMR015CMP007"/>
    <x v="0"/>
    <s v="cccm_2019OCT"/>
  </r>
  <r>
    <x v="0"/>
    <x v="2"/>
    <x v="2"/>
    <s v="UNICEF, WHH (AA)"/>
    <x v="1"/>
    <x v="13"/>
    <x v="1"/>
    <x v="109"/>
    <n v="34"/>
    <n v="114"/>
    <s v="1/Feb/2019,1/Oct/18"/>
    <s v="30/Apr/2020, 30/Sept/2020"/>
    <n v="37"/>
    <m/>
    <m/>
    <m/>
    <s v="Yes"/>
    <n v="5"/>
    <n v="2"/>
    <m/>
    <m/>
    <m/>
    <n v="2"/>
    <m/>
    <m/>
    <m/>
    <m/>
    <m/>
    <m/>
    <m/>
    <m/>
    <m/>
    <n v="1"/>
    <n v="1"/>
    <m/>
    <m/>
    <m/>
    <m/>
    <m/>
    <m/>
    <m/>
    <n v="8"/>
    <m/>
    <m/>
    <m/>
    <m/>
    <m/>
    <m/>
    <m/>
    <x v="1"/>
    <x v="4"/>
    <m/>
    <m/>
    <m/>
    <m/>
    <m/>
    <m/>
    <n v="4"/>
    <m/>
    <m/>
    <n v="1"/>
    <m/>
    <m/>
    <n v="2"/>
    <m/>
    <m/>
    <m/>
    <m/>
    <m/>
    <m/>
    <m/>
    <m/>
    <m/>
    <m/>
    <m/>
    <m/>
    <m/>
    <s v="no test"/>
    <s v="no test"/>
    <s v="No Test"/>
    <n v="0"/>
    <n v="2"/>
    <n v="0"/>
    <n v="0"/>
    <n v="0"/>
    <n v="0"/>
    <n v="1"/>
    <n v="1"/>
    <n v="1"/>
    <n v="114"/>
    <n v="0"/>
    <n v="0"/>
    <n v="1"/>
    <n v="114"/>
    <n v="0.22800000000000001"/>
    <n v="0"/>
    <n v="0"/>
    <n v="0.77200000000000002"/>
    <n v="1"/>
    <n v="8"/>
    <n v="1"/>
    <n v="114"/>
    <n v="0"/>
    <n v="0"/>
    <n v="0"/>
    <n v="0"/>
    <n v="6"/>
    <n v="0"/>
    <n v="0"/>
    <n v="0"/>
    <n v="114"/>
    <n v="0"/>
    <n v="0"/>
    <n v="0"/>
    <n v="114"/>
    <n v="1"/>
    <n v="0"/>
    <n v="1"/>
    <n v="0"/>
    <n v="0"/>
    <n v="4"/>
    <n v="34"/>
    <n v="0"/>
    <n v="114"/>
    <s v="Yes"/>
    <s v=""/>
    <n v="0"/>
    <n v="0"/>
    <s v="Yes"/>
    <s v="KMSS-LSO"/>
    <x v="0"/>
    <x v="1"/>
    <x v="1"/>
    <n v="23.682887999999998"/>
    <n v="97.810101000000003"/>
    <s v="MMR015CMP225"/>
    <x v="0"/>
    <s v="cccm_2019OCT"/>
  </r>
  <r>
    <x v="0"/>
    <x v="2"/>
    <x v="2"/>
    <s v="UNICEF, WHH (AA)"/>
    <x v="1"/>
    <x v="19"/>
    <x v="1"/>
    <x v="110"/>
    <n v="34"/>
    <n v="182"/>
    <s v="1/Feb/2019,1/Oct/18"/>
    <s v="30/Apr/2020, 30/Sept/2020"/>
    <n v="49"/>
    <m/>
    <n v="1"/>
    <m/>
    <s v="Yes"/>
    <m/>
    <n v="3"/>
    <n v="4"/>
    <m/>
    <m/>
    <n v="1"/>
    <m/>
    <m/>
    <m/>
    <m/>
    <m/>
    <m/>
    <m/>
    <m/>
    <m/>
    <m/>
    <m/>
    <m/>
    <m/>
    <m/>
    <m/>
    <m/>
    <m/>
    <m/>
    <m/>
    <n v="10"/>
    <m/>
    <m/>
    <m/>
    <m/>
    <m/>
    <m/>
    <x v="1"/>
    <x v="1"/>
    <m/>
    <m/>
    <m/>
    <m/>
    <m/>
    <m/>
    <m/>
    <m/>
    <m/>
    <n v="2"/>
    <m/>
    <m/>
    <n v="1"/>
    <m/>
    <m/>
    <s v="No"/>
    <m/>
    <m/>
    <m/>
    <m/>
    <m/>
    <m/>
    <m/>
    <m/>
    <m/>
    <m/>
    <s v="no test"/>
    <s v="no test"/>
    <s v="No Test"/>
    <n v="4"/>
    <n v="1"/>
    <n v="0"/>
    <n v="0"/>
    <n v="0"/>
    <n v="0"/>
    <n v="1"/>
    <n v="1"/>
    <n v="1"/>
    <n v="182"/>
    <n v="0"/>
    <n v="0"/>
    <n v="1"/>
    <n v="182"/>
    <n v="0.36399999999999999"/>
    <n v="0"/>
    <n v="0"/>
    <n v="0.63600000000000001"/>
    <n v="1"/>
    <n v="10"/>
    <n v="1"/>
    <n v="182"/>
    <n v="0"/>
    <n v="0"/>
    <n v="0"/>
    <n v="0"/>
    <n v="9"/>
    <n v="0"/>
    <n v="0"/>
    <n v="0"/>
    <n v="182"/>
    <n v="0"/>
    <n v="0"/>
    <n v="0"/>
    <n v="182"/>
    <n v="1"/>
    <n v="0"/>
    <n v="1"/>
    <n v="0"/>
    <n v="0"/>
    <n v="0"/>
    <n v="0"/>
    <n v="0"/>
    <n v="0"/>
    <s v="Yes"/>
    <s v=""/>
    <n v="0"/>
    <n v="0"/>
    <s v="Yes"/>
    <s v="KBC-NSS"/>
    <x v="0"/>
    <x v="1"/>
    <x v="1"/>
    <n v="23.354268999999999"/>
    <n v="98.218626999999998"/>
    <s v="MMR015CMP218"/>
    <x v="0"/>
    <s v="cccm_2019OCT"/>
  </r>
  <r>
    <x v="0"/>
    <x v="2"/>
    <x v="2"/>
    <s v="UNICEF, WHH (AA)"/>
    <x v="1"/>
    <x v="15"/>
    <x v="1"/>
    <x v="111"/>
    <n v="38"/>
    <n v="161"/>
    <s v="1/Feb/2019,1/Oct/18"/>
    <s v="30/Apr/2020, 30/Sept/2020"/>
    <n v="15"/>
    <m/>
    <m/>
    <m/>
    <s v="Yes"/>
    <n v="3"/>
    <n v="3"/>
    <m/>
    <m/>
    <m/>
    <m/>
    <m/>
    <m/>
    <m/>
    <n v="15"/>
    <m/>
    <m/>
    <m/>
    <m/>
    <n v="1"/>
    <n v="3"/>
    <m/>
    <m/>
    <m/>
    <m/>
    <m/>
    <m/>
    <m/>
    <m/>
    <n v="8"/>
    <m/>
    <m/>
    <m/>
    <m/>
    <m/>
    <m/>
    <m/>
    <x v="1"/>
    <x v="1"/>
    <m/>
    <m/>
    <m/>
    <m/>
    <m/>
    <m/>
    <n v="5"/>
    <m/>
    <m/>
    <n v="2"/>
    <m/>
    <m/>
    <n v="1"/>
    <m/>
    <m/>
    <m/>
    <m/>
    <m/>
    <m/>
    <m/>
    <m/>
    <m/>
    <m/>
    <m/>
    <m/>
    <m/>
    <s v="no test"/>
    <s v="no test"/>
    <s v="No Test"/>
    <n v="0"/>
    <n v="0"/>
    <n v="15"/>
    <n v="0"/>
    <n v="7.4074074074074081E-4"/>
    <n v="0"/>
    <n v="1"/>
    <n v="1"/>
    <n v="1"/>
    <n v="161"/>
    <n v="0"/>
    <n v="0"/>
    <n v="1"/>
    <n v="161"/>
    <n v="0.32200000000000001"/>
    <n v="0"/>
    <n v="0"/>
    <n v="0.67799999999999994"/>
    <n v="1"/>
    <n v="8"/>
    <n v="0.99378881987577639"/>
    <n v="160"/>
    <n v="0"/>
    <n v="0"/>
    <n v="0"/>
    <n v="0"/>
    <n v="8"/>
    <n v="0"/>
    <n v="6.2111801242236142E-3"/>
    <n v="0"/>
    <n v="161"/>
    <n v="0"/>
    <n v="0"/>
    <n v="0"/>
    <n v="161"/>
    <n v="1"/>
    <n v="0"/>
    <n v="1"/>
    <n v="0"/>
    <n v="0"/>
    <n v="5"/>
    <n v="38"/>
    <n v="0"/>
    <n v="161"/>
    <s v="Yes"/>
    <s v=""/>
    <n v="0"/>
    <n v="0"/>
    <s v="Yes"/>
    <s v="KBC-NSS"/>
    <x v="0"/>
    <x v="1"/>
    <x v="1"/>
    <n v="23.094290000000001"/>
    <n v="97.404089999999997"/>
    <s v="MMR015CMP014"/>
    <x v="0"/>
    <s v="cccm_2019OCT"/>
  </r>
  <r>
    <x v="0"/>
    <x v="2"/>
    <x v="2"/>
    <s v="UNICEF, WHH (AA)"/>
    <x v="1"/>
    <x v="18"/>
    <x v="1"/>
    <x v="112"/>
    <n v="111"/>
    <n v="568"/>
    <s v="1/Feb/2019,1/Oct/18"/>
    <s v="30/Apr/2020, 30/Sept/2020"/>
    <n v="153"/>
    <m/>
    <n v="1"/>
    <m/>
    <m/>
    <m/>
    <n v="3"/>
    <m/>
    <m/>
    <m/>
    <m/>
    <m/>
    <m/>
    <m/>
    <n v="1"/>
    <m/>
    <m/>
    <m/>
    <m/>
    <m/>
    <m/>
    <m/>
    <m/>
    <m/>
    <m/>
    <m/>
    <m/>
    <m/>
    <m/>
    <m/>
    <n v="16"/>
    <m/>
    <m/>
    <m/>
    <m/>
    <m/>
    <m/>
    <x v="3"/>
    <x v="3"/>
    <m/>
    <m/>
    <m/>
    <m/>
    <m/>
    <m/>
    <m/>
    <m/>
    <m/>
    <m/>
    <m/>
    <m/>
    <m/>
    <m/>
    <m/>
    <s v="No"/>
    <m/>
    <m/>
    <m/>
    <m/>
    <m/>
    <m/>
    <m/>
    <m/>
    <m/>
    <m/>
    <s v="no test"/>
    <s v="no test"/>
    <s v="No Test"/>
    <n v="0"/>
    <n v="0"/>
    <n v="1"/>
    <n v="0"/>
    <n v="0"/>
    <n v="0"/>
    <n v="0.11737089201877936"/>
    <n v="0.11737089201877936"/>
    <n v="0.11737089201877936"/>
    <n v="66.666666666666671"/>
    <n v="0"/>
    <n v="0"/>
    <n v="0.11737089201877936"/>
    <n v="66.666666666666671"/>
    <n v="0.13333333333333333"/>
    <n v="0.88262910798122063"/>
    <n v="501.33333333333331"/>
    <n v="0.8666666666666667"/>
    <n v="1"/>
    <n v="16"/>
    <n v="0.56338028169014087"/>
    <n v="320"/>
    <n v="0"/>
    <n v="0"/>
    <n v="0"/>
    <n v="0"/>
    <n v="28"/>
    <n v="12"/>
    <n v="0.43661971830985913"/>
    <n v="0"/>
    <n v="0"/>
    <n v="0"/>
    <n v="0"/>
    <n v="0"/>
    <n v="0"/>
    <n v="0"/>
    <n v="1"/>
    <n v="0"/>
    <n v="0"/>
    <n v="0"/>
    <n v="0"/>
    <n v="0"/>
    <n v="0"/>
    <n v="0"/>
    <s v="Yes"/>
    <s v=""/>
    <n v="0"/>
    <n v="0"/>
    <s v="Yes"/>
    <s v="KBC-NSS"/>
    <x v="0"/>
    <x v="1"/>
    <x v="1"/>
    <n v="23.838190000000001"/>
    <n v="97.709879999999998"/>
    <s v="MMR015CMP215"/>
    <x v="0"/>
    <s v="cccm_2019OCT"/>
  </r>
  <r>
    <x v="0"/>
    <x v="2"/>
    <x v="2"/>
    <s v="WHH-AA "/>
    <x v="0"/>
    <x v="10"/>
    <x v="1"/>
    <x v="113"/>
    <n v="17"/>
    <n v="76"/>
    <d v="2019-01-01T00:00:00"/>
    <d v="2019-12-31T00:00:00"/>
    <m/>
    <m/>
    <m/>
    <m/>
    <s v="No"/>
    <m/>
    <n v="3"/>
    <m/>
    <m/>
    <m/>
    <m/>
    <n v="1"/>
    <m/>
    <m/>
    <m/>
    <m/>
    <m/>
    <m/>
    <m/>
    <m/>
    <m/>
    <m/>
    <m/>
    <m/>
    <m/>
    <m/>
    <m/>
    <m/>
    <m/>
    <n v="4"/>
    <m/>
    <m/>
    <m/>
    <m/>
    <m/>
    <m/>
    <m/>
    <x v="1"/>
    <x v="1"/>
    <m/>
    <m/>
    <m/>
    <m/>
    <m/>
    <m/>
    <n v="2"/>
    <m/>
    <m/>
    <n v="2"/>
    <m/>
    <m/>
    <m/>
    <m/>
    <m/>
    <m/>
    <m/>
    <m/>
    <m/>
    <m/>
    <m/>
    <m/>
    <m/>
    <m/>
    <m/>
    <m/>
    <s v="no test"/>
    <s v="no test"/>
    <s v="No Test"/>
    <n v="0"/>
    <n v="1"/>
    <n v="0"/>
    <n v="0"/>
    <n v="0"/>
    <n v="0"/>
    <n v="1"/>
    <n v="1"/>
    <n v="1"/>
    <n v="76"/>
    <n v="0"/>
    <n v="0"/>
    <n v="1"/>
    <n v="76"/>
    <n v="0.152"/>
    <n v="0"/>
    <n v="0"/>
    <n v="0.84799999999999998"/>
    <n v="1"/>
    <n v="4"/>
    <n v="1"/>
    <n v="76"/>
    <n v="0"/>
    <n v="0"/>
    <n v="0"/>
    <n v="0"/>
    <n v="4"/>
    <n v="0"/>
    <n v="0"/>
    <n v="0"/>
    <n v="0"/>
    <n v="0"/>
    <n v="0"/>
    <n v="0"/>
    <n v="0"/>
    <n v="0"/>
    <n v="1"/>
    <n v="0"/>
    <n v="0"/>
    <n v="0"/>
    <n v="2"/>
    <n v="17"/>
    <n v="0"/>
    <n v="76"/>
    <s v="No"/>
    <s v=""/>
    <n v="0"/>
    <n v="0"/>
    <s v="Yes"/>
    <s v="KMSS-BMO"/>
    <x v="0"/>
    <x v="1"/>
    <x v="1"/>
    <n v="24.32638"/>
    <n v="97.315860000000001"/>
    <s v="MMR001CMP054"/>
    <x v="0"/>
    <s v="Closed_cccm_2019May"/>
  </r>
  <r>
    <x v="0"/>
    <x v="2"/>
    <x v="2"/>
    <s v="UNICEF, WHH (AA)"/>
    <x v="1"/>
    <x v="13"/>
    <x v="1"/>
    <x v="114"/>
    <n v="103"/>
    <n v="632"/>
    <s v="1/Feb/2019,1/Oct/18"/>
    <s v="30/Apr/2020, 30/Sept/2020"/>
    <n v="88"/>
    <m/>
    <m/>
    <m/>
    <s v="Yes"/>
    <n v="4"/>
    <n v="3"/>
    <m/>
    <m/>
    <m/>
    <m/>
    <m/>
    <m/>
    <m/>
    <n v="20"/>
    <m/>
    <m/>
    <m/>
    <m/>
    <m/>
    <m/>
    <m/>
    <m/>
    <m/>
    <m/>
    <m/>
    <n v="1"/>
    <m/>
    <m/>
    <n v="105"/>
    <m/>
    <m/>
    <m/>
    <m/>
    <m/>
    <m/>
    <m/>
    <x v="1"/>
    <x v="1"/>
    <m/>
    <m/>
    <m/>
    <m/>
    <m/>
    <m/>
    <n v="2"/>
    <m/>
    <m/>
    <m/>
    <m/>
    <m/>
    <n v="1"/>
    <m/>
    <m/>
    <s v="No"/>
    <m/>
    <m/>
    <m/>
    <m/>
    <m/>
    <m/>
    <m/>
    <m/>
    <m/>
    <m/>
    <s v="no test"/>
    <s v="no test"/>
    <s v="No Test"/>
    <n v="0"/>
    <n v="0"/>
    <n v="20"/>
    <n v="0"/>
    <n v="0"/>
    <n v="0"/>
    <n v="1"/>
    <n v="1"/>
    <n v="1"/>
    <n v="632"/>
    <n v="0"/>
    <n v="0"/>
    <n v="1"/>
    <n v="632"/>
    <n v="1.264"/>
    <n v="0"/>
    <n v="0"/>
    <n v="0"/>
    <n v="1"/>
    <n v="105"/>
    <n v="0.83069620253164556"/>
    <n v="525"/>
    <n v="0"/>
    <n v="0"/>
    <n v="0"/>
    <n v="0"/>
    <n v="103"/>
    <n v="0"/>
    <n v="0.16930379746835444"/>
    <n v="0"/>
    <n v="500"/>
    <n v="0"/>
    <n v="0"/>
    <n v="0"/>
    <n v="500"/>
    <n v="0.79113924050632911"/>
    <n v="0.20886075949367089"/>
    <n v="0.79113924050632911"/>
    <n v="0"/>
    <n v="0"/>
    <n v="2"/>
    <n v="40"/>
    <n v="0"/>
    <n v="200"/>
    <s v="Yes"/>
    <s v=""/>
    <n v="0"/>
    <n v="0"/>
    <s v="Yes"/>
    <s v="KMSS-LSO"/>
    <x v="1"/>
    <x v="1"/>
    <x v="1"/>
    <n v="23.447111"/>
    <n v="97.868876999999998"/>
    <s v="MMR015CMP219"/>
    <x v="0"/>
    <s v="cccm_2019OCT"/>
  </r>
  <r>
    <x v="0"/>
    <x v="2"/>
    <x v="2"/>
    <s v="UNICEF, WHH (AA)"/>
    <x v="1"/>
    <x v="13"/>
    <x v="1"/>
    <x v="115"/>
    <n v="33"/>
    <n v="196"/>
    <s v="1/Feb/2019,1/Oct/18"/>
    <s v="30/Apr/2020, 30/Sept/2020"/>
    <n v="53"/>
    <n v="2"/>
    <m/>
    <m/>
    <s v="Yes"/>
    <n v="5"/>
    <m/>
    <m/>
    <m/>
    <m/>
    <m/>
    <m/>
    <m/>
    <m/>
    <n v="16"/>
    <m/>
    <m/>
    <m/>
    <m/>
    <m/>
    <n v="3"/>
    <n v="1"/>
    <m/>
    <m/>
    <m/>
    <m/>
    <n v="2"/>
    <n v="1"/>
    <m/>
    <n v="37"/>
    <m/>
    <m/>
    <m/>
    <m/>
    <m/>
    <m/>
    <n v="3"/>
    <x v="2"/>
    <x v="2"/>
    <m/>
    <m/>
    <n v="2"/>
    <m/>
    <m/>
    <m/>
    <n v="7"/>
    <m/>
    <m/>
    <m/>
    <m/>
    <m/>
    <n v="1"/>
    <m/>
    <m/>
    <m/>
    <m/>
    <m/>
    <m/>
    <m/>
    <m/>
    <m/>
    <m/>
    <m/>
    <m/>
    <m/>
    <s v="no test"/>
    <s v="no test"/>
    <s v="No Test"/>
    <n v="0"/>
    <n v="0"/>
    <n v="16"/>
    <n v="0"/>
    <n v="0"/>
    <n v="500"/>
    <n v="1"/>
    <n v="1"/>
    <n v="1"/>
    <n v="196"/>
    <n v="0"/>
    <n v="0"/>
    <n v="1"/>
    <n v="196"/>
    <n v="0.39200000000000002"/>
    <n v="0"/>
    <n v="0"/>
    <n v="0.60799999999999998"/>
    <n v="1"/>
    <n v="37"/>
    <n v="1"/>
    <n v="196"/>
    <n v="0"/>
    <n v="53"/>
    <n v="0"/>
    <n v="53"/>
    <n v="10"/>
    <n v="0"/>
    <n v="0"/>
    <n v="0"/>
    <n v="196"/>
    <n v="0"/>
    <n v="0"/>
    <n v="0"/>
    <n v="196"/>
    <n v="1"/>
    <n v="0"/>
    <n v="1"/>
    <n v="0"/>
    <n v="0"/>
    <n v="7"/>
    <n v="33"/>
    <n v="0"/>
    <n v="196"/>
    <s v="Yes"/>
    <s v=""/>
    <n v="0"/>
    <n v="500"/>
    <s v="Yes"/>
    <s v="KMSS-LSO"/>
    <x v="0"/>
    <x v="1"/>
    <x v="1"/>
    <n v="0"/>
    <n v="0"/>
    <s v="MMR015CMP249"/>
    <x v="0"/>
    <s v="cccm_2019OCT"/>
  </r>
  <r>
    <x v="0"/>
    <x v="2"/>
    <x v="2"/>
    <s v="UNICEF, WHH (AA)"/>
    <x v="1"/>
    <x v="15"/>
    <x v="1"/>
    <x v="116"/>
    <n v="6"/>
    <n v="27"/>
    <s v="1/Feb/2019,1/Oct/18"/>
    <s v="30/Apr/2020, 30/Sept/2020"/>
    <n v="6"/>
    <m/>
    <m/>
    <m/>
    <m/>
    <m/>
    <m/>
    <m/>
    <m/>
    <m/>
    <m/>
    <m/>
    <m/>
    <m/>
    <m/>
    <m/>
    <m/>
    <m/>
    <m/>
    <m/>
    <m/>
    <m/>
    <m/>
    <m/>
    <m/>
    <m/>
    <m/>
    <m/>
    <m/>
    <n v="6"/>
    <m/>
    <m/>
    <m/>
    <m/>
    <m/>
    <m/>
    <m/>
    <x v="2"/>
    <x v="2"/>
    <m/>
    <m/>
    <m/>
    <m/>
    <m/>
    <m/>
    <m/>
    <m/>
    <m/>
    <m/>
    <m/>
    <m/>
    <m/>
    <m/>
    <m/>
    <s v="No"/>
    <m/>
    <m/>
    <m/>
    <m/>
    <m/>
    <m/>
    <m/>
    <m/>
    <m/>
    <m/>
    <s v="no test"/>
    <s v="no test"/>
    <s v="No Test"/>
    <n v="0"/>
    <n v="0"/>
    <n v="0"/>
    <n v="0"/>
    <n v="0"/>
    <n v="0"/>
    <n v="0"/>
    <n v="0"/>
    <n v="0"/>
    <n v="0"/>
    <n v="0"/>
    <n v="0"/>
    <n v="0"/>
    <n v="0"/>
    <n v="0"/>
    <n v="1"/>
    <n v="27"/>
    <n v="1"/>
    <n v="1"/>
    <n v="6"/>
    <n v="1"/>
    <n v="27"/>
    <n v="0"/>
    <n v="0"/>
    <n v="0"/>
    <n v="0"/>
    <n v="1"/>
    <n v="0"/>
    <n v="0"/>
    <n v="0"/>
    <n v="0"/>
    <n v="0"/>
    <n v="0"/>
    <n v="0"/>
    <n v="0"/>
    <n v="0"/>
    <n v="1"/>
    <n v="0"/>
    <n v="0"/>
    <n v="0"/>
    <n v="0"/>
    <n v="0"/>
    <n v="0"/>
    <n v="0"/>
    <s v="Yes"/>
    <s v=""/>
    <n v="0"/>
    <n v="0"/>
    <n v="0"/>
    <s v="uncovered"/>
    <x v="0"/>
    <x v="0"/>
    <x v="1"/>
    <n v="22.765999999999998"/>
    <n v="97.358999999999995"/>
    <s v="MMR015CMP221"/>
    <x v="0"/>
    <s v="cccm_2019OCT"/>
  </r>
  <r>
    <x v="0"/>
    <x v="2"/>
    <x v="2"/>
    <s v="WHH-AA "/>
    <x v="0"/>
    <x v="1"/>
    <x v="1"/>
    <x v="117"/>
    <n v="48"/>
    <n v="285"/>
    <d v="2019-01-01T00:00:00"/>
    <d v="2019-12-31T00:00:00"/>
    <m/>
    <m/>
    <m/>
    <m/>
    <s v="Yes"/>
    <n v="1"/>
    <n v="3"/>
    <m/>
    <m/>
    <m/>
    <m/>
    <n v="2"/>
    <m/>
    <m/>
    <m/>
    <m/>
    <m/>
    <m/>
    <m/>
    <m/>
    <m/>
    <m/>
    <m/>
    <m/>
    <m/>
    <m/>
    <m/>
    <m/>
    <m/>
    <n v="13"/>
    <m/>
    <m/>
    <m/>
    <m/>
    <m/>
    <m/>
    <m/>
    <x v="1"/>
    <x v="1"/>
    <m/>
    <m/>
    <m/>
    <m/>
    <m/>
    <m/>
    <n v="4"/>
    <m/>
    <m/>
    <n v="3"/>
    <m/>
    <m/>
    <m/>
    <m/>
    <m/>
    <m/>
    <m/>
    <m/>
    <m/>
    <m/>
    <m/>
    <m/>
    <m/>
    <m/>
    <m/>
    <m/>
    <s v="no test"/>
    <s v="no test"/>
    <s v="No Test"/>
    <n v="0"/>
    <n v="2"/>
    <n v="0"/>
    <n v="0"/>
    <n v="0"/>
    <n v="0"/>
    <n v="1"/>
    <n v="1"/>
    <n v="1"/>
    <n v="285"/>
    <n v="0"/>
    <n v="0"/>
    <n v="1"/>
    <n v="285"/>
    <n v="0.56999999999999995"/>
    <n v="0"/>
    <n v="0"/>
    <n v="0.43000000000000005"/>
    <n v="1"/>
    <n v="13"/>
    <n v="0.91228070175438591"/>
    <n v="260"/>
    <n v="0"/>
    <n v="0"/>
    <n v="0"/>
    <n v="0"/>
    <n v="14"/>
    <n v="1"/>
    <n v="8.7719298245614086E-2"/>
    <n v="0"/>
    <n v="0"/>
    <n v="0"/>
    <n v="0"/>
    <n v="0"/>
    <n v="0"/>
    <n v="0"/>
    <n v="1"/>
    <n v="0"/>
    <n v="0"/>
    <n v="0"/>
    <n v="4"/>
    <n v="48"/>
    <n v="0"/>
    <n v="285"/>
    <s v="No"/>
    <s v=""/>
    <n v="0"/>
    <n v="0"/>
    <s v="Yes"/>
    <s v="KBC-BMO"/>
    <x v="0"/>
    <x v="1"/>
    <x v="1"/>
    <n v="24.200361000000001"/>
    <n v="96.807353000000006"/>
    <s v="MMR001CMP067"/>
    <x v="0"/>
    <s v="cccm_2019OCT"/>
  </r>
  <r>
    <x v="0"/>
    <x v="2"/>
    <x v="2"/>
    <s v="WHH-AA "/>
    <x v="0"/>
    <x v="1"/>
    <x v="1"/>
    <x v="118"/>
    <n v="38"/>
    <n v="189"/>
    <d v="2019-01-01T00:00:00"/>
    <d v="2019-12-31T00:00:00"/>
    <m/>
    <m/>
    <m/>
    <m/>
    <s v="Yes"/>
    <n v="1"/>
    <n v="5"/>
    <m/>
    <m/>
    <m/>
    <m/>
    <n v="1"/>
    <m/>
    <m/>
    <m/>
    <m/>
    <m/>
    <m/>
    <m/>
    <m/>
    <m/>
    <m/>
    <m/>
    <m/>
    <m/>
    <m/>
    <m/>
    <m/>
    <m/>
    <n v="9"/>
    <m/>
    <m/>
    <m/>
    <m/>
    <m/>
    <m/>
    <m/>
    <x v="1"/>
    <x v="1"/>
    <m/>
    <m/>
    <m/>
    <m/>
    <m/>
    <m/>
    <n v="0"/>
    <m/>
    <m/>
    <n v="2"/>
    <m/>
    <m/>
    <m/>
    <m/>
    <m/>
    <m/>
    <m/>
    <m/>
    <m/>
    <m/>
    <m/>
    <m/>
    <m/>
    <m/>
    <m/>
    <m/>
    <s v="no test"/>
    <s v="no test"/>
    <s v="No Test"/>
    <n v="0"/>
    <n v="1"/>
    <n v="0"/>
    <n v="0"/>
    <n v="0"/>
    <n v="0"/>
    <n v="1"/>
    <n v="1"/>
    <n v="1"/>
    <n v="189"/>
    <n v="0"/>
    <n v="0"/>
    <n v="1"/>
    <n v="189"/>
    <n v="0.378"/>
    <n v="0"/>
    <n v="0"/>
    <n v="0.622"/>
    <n v="1"/>
    <n v="9"/>
    <n v="0.95238095238095233"/>
    <n v="180"/>
    <n v="0"/>
    <n v="0"/>
    <n v="0"/>
    <n v="0"/>
    <n v="9"/>
    <n v="0"/>
    <n v="4.7619047619047672E-2"/>
    <n v="0"/>
    <n v="0"/>
    <n v="0"/>
    <n v="0"/>
    <n v="0"/>
    <n v="0"/>
    <n v="0"/>
    <n v="1"/>
    <n v="0"/>
    <n v="0"/>
    <n v="0"/>
    <n v="0"/>
    <n v="0"/>
    <n v="0"/>
    <n v="0"/>
    <s v="No"/>
    <s v=""/>
    <n v="0"/>
    <n v="0"/>
    <s v="Yes"/>
    <s v="KMSS-BMO"/>
    <x v="0"/>
    <x v="1"/>
    <x v="1"/>
    <n v="24.200367"/>
    <n v="96.807353000000006"/>
    <s v="MMR001CMP068"/>
    <x v="0"/>
    <s v="cccm_2019OCT"/>
  </r>
  <r>
    <x v="0"/>
    <x v="2"/>
    <x v="2"/>
    <s v="UNICEF, WHH (AA)"/>
    <x v="1"/>
    <x v="19"/>
    <x v="1"/>
    <x v="119"/>
    <n v="38"/>
    <n v="183"/>
    <s v="1/Feb/2019,1/Oct/18"/>
    <s v="30/Apr/2020, 30/Sept/2020"/>
    <n v="55"/>
    <m/>
    <m/>
    <m/>
    <s v="Yes"/>
    <n v="4"/>
    <m/>
    <n v="1"/>
    <m/>
    <m/>
    <n v="1"/>
    <m/>
    <m/>
    <m/>
    <n v="13"/>
    <m/>
    <m/>
    <m/>
    <m/>
    <m/>
    <n v="1"/>
    <n v="1"/>
    <m/>
    <m/>
    <m/>
    <m/>
    <m/>
    <m/>
    <m/>
    <n v="27"/>
    <n v="9"/>
    <m/>
    <m/>
    <m/>
    <m/>
    <m/>
    <m/>
    <x v="2"/>
    <x v="4"/>
    <m/>
    <m/>
    <m/>
    <m/>
    <m/>
    <m/>
    <m/>
    <m/>
    <m/>
    <m/>
    <m/>
    <m/>
    <n v="1"/>
    <m/>
    <m/>
    <m/>
    <m/>
    <m/>
    <m/>
    <m/>
    <m/>
    <m/>
    <m/>
    <m/>
    <m/>
    <m/>
    <s v="no test"/>
    <s v="no test"/>
    <s v="No Test"/>
    <n v="1"/>
    <n v="1"/>
    <n v="13"/>
    <n v="0"/>
    <n v="0"/>
    <n v="0"/>
    <n v="1"/>
    <n v="1"/>
    <n v="1"/>
    <n v="183"/>
    <n v="0"/>
    <n v="0"/>
    <n v="1"/>
    <n v="183"/>
    <n v="0.36599999999999999"/>
    <n v="0"/>
    <n v="0"/>
    <n v="0.63400000000000001"/>
    <n v="1"/>
    <n v="36"/>
    <n v="1"/>
    <n v="183"/>
    <n v="0"/>
    <n v="0"/>
    <n v="0"/>
    <n v="0"/>
    <n v="9"/>
    <n v="0"/>
    <n v="0"/>
    <n v="0"/>
    <n v="183"/>
    <n v="0"/>
    <n v="0"/>
    <n v="0"/>
    <n v="183"/>
    <n v="1"/>
    <n v="0"/>
    <n v="1"/>
    <n v="0"/>
    <n v="0"/>
    <n v="0"/>
    <n v="0"/>
    <n v="0"/>
    <n v="0"/>
    <s v="Yes"/>
    <s v=""/>
    <n v="0"/>
    <n v="0"/>
    <n v="0"/>
    <n v="0"/>
    <x v="0"/>
    <x v="5"/>
    <x v="1"/>
    <n v="23.353999999999999"/>
    <n v="98.221000000000004"/>
    <s v="MMR015CMP226"/>
    <x v="0"/>
    <s v="closed_cccm2018Mar"/>
  </r>
  <r>
    <x v="0"/>
    <x v="2"/>
    <x v="2"/>
    <s v="WHH-AA"/>
    <x v="0"/>
    <x v="2"/>
    <x v="1"/>
    <x v="120"/>
    <n v="1230"/>
    <n v="6501"/>
    <d v="2018-10-01T00:00:00"/>
    <d v="2019-09-30T00:00:00"/>
    <n v="427"/>
    <m/>
    <m/>
    <n v="0"/>
    <s v="Yes"/>
    <n v="3"/>
    <n v="4"/>
    <m/>
    <m/>
    <m/>
    <m/>
    <m/>
    <m/>
    <m/>
    <n v="3"/>
    <m/>
    <m/>
    <m/>
    <m/>
    <n v="358250"/>
    <m/>
    <m/>
    <m/>
    <m/>
    <m/>
    <m/>
    <m/>
    <n v="3"/>
    <m/>
    <n v="225"/>
    <m/>
    <m/>
    <m/>
    <m/>
    <m/>
    <m/>
    <m/>
    <x v="1"/>
    <x v="1"/>
    <n v="2"/>
    <n v="2"/>
    <n v="8"/>
    <m/>
    <m/>
    <m/>
    <n v="50"/>
    <m/>
    <m/>
    <n v="22"/>
    <m/>
    <m/>
    <n v="6"/>
    <m/>
    <m/>
    <s v="Yes"/>
    <m/>
    <m/>
    <m/>
    <m/>
    <m/>
    <m/>
    <m/>
    <m/>
    <m/>
    <m/>
    <s v="no test"/>
    <s v="no test"/>
    <s v="No Test"/>
    <n v="0"/>
    <n v="0"/>
    <n v="3"/>
    <n v="0"/>
    <n v="265.37037037037038"/>
    <n v="1500"/>
    <n v="7.1584428606425221E-2"/>
    <n v="7.1584428606425221E-2"/>
    <n v="7.1584428606425221E-2"/>
    <n v="465.37037037037038"/>
    <n v="0"/>
    <n v="0"/>
    <n v="7.1584428606425221E-2"/>
    <n v="465.37037037037038"/>
    <n v="0.93074074074074076"/>
    <n v="0.92841557139357478"/>
    <n v="6035.6296296296296"/>
    <n v="12.06925925925926"/>
    <n v="13"/>
    <n v="225"/>
    <n v="0.6983540993693278"/>
    <n v="4540"/>
    <n v="0"/>
    <n v="400"/>
    <n v="0"/>
    <n v="400"/>
    <n v="325"/>
    <n v="100"/>
    <n v="0.3016459006306722"/>
    <n v="0"/>
    <n v="3000"/>
    <n v="0"/>
    <n v="0"/>
    <n v="0"/>
    <n v="3000"/>
    <n v="0.46146746654360865"/>
    <n v="0.53853253345639129"/>
    <n v="0.46146746654360865"/>
    <n v="0"/>
    <n v="0"/>
    <n v="50"/>
    <n v="1000"/>
    <n v="0"/>
    <n v="5000"/>
    <s v="Yes"/>
    <s v=""/>
    <n v="0"/>
    <n v="1500"/>
    <s v="Yes"/>
    <s v="KMSS-MYT"/>
    <x v="0"/>
    <x v="1"/>
    <x v="0"/>
    <n v="24.755253"/>
    <n v="97.546893999999995"/>
    <s v="MMR001CMP116"/>
    <x v="0"/>
    <s v="cccm_2019OCT"/>
  </r>
  <r>
    <x v="0"/>
    <x v="2"/>
    <x v="2"/>
    <s v="WHH-BMZ,WHH-AA"/>
    <x v="0"/>
    <x v="2"/>
    <x v="0"/>
    <x v="121"/>
    <n v="134"/>
    <n v="709"/>
    <m/>
    <d v="2018-06-30T00:00:00"/>
    <m/>
    <m/>
    <m/>
    <m/>
    <m/>
    <m/>
    <n v="4"/>
    <m/>
    <m/>
    <m/>
    <m/>
    <m/>
    <m/>
    <m/>
    <m/>
    <m/>
    <m/>
    <m/>
    <m/>
    <m/>
    <m/>
    <m/>
    <m/>
    <m/>
    <m/>
    <m/>
    <m/>
    <m/>
    <m/>
    <m/>
    <m/>
    <m/>
    <m/>
    <m/>
    <m/>
    <m/>
    <m/>
    <x v="1"/>
    <x v="2"/>
    <m/>
    <m/>
    <m/>
    <m/>
    <m/>
    <m/>
    <m/>
    <m/>
    <m/>
    <m/>
    <m/>
    <m/>
    <m/>
    <m/>
    <m/>
    <m/>
    <m/>
    <m/>
    <m/>
    <m/>
    <m/>
    <m/>
    <m/>
    <m/>
    <m/>
    <m/>
    <s v="no test"/>
    <s v="no test"/>
    <s v="No Test"/>
    <n v="0"/>
    <n v="0"/>
    <n v="0"/>
    <n v="0"/>
    <n v="0"/>
    <n v="0"/>
    <n v="0"/>
    <n v="0"/>
    <n v="0"/>
    <n v="0"/>
    <n v="0"/>
    <n v="0"/>
    <n v="0"/>
    <n v="0"/>
    <n v="0"/>
    <n v="1"/>
    <n v="709"/>
    <n v="1"/>
    <n v="1"/>
    <n v="0"/>
    <n v="0"/>
    <n v="0"/>
    <n v="0"/>
    <n v="0"/>
    <n v="0"/>
    <n v="0"/>
    <n v="35"/>
    <n v="35"/>
    <n v="1"/>
    <n v="0"/>
    <n v="0"/>
    <n v="0"/>
    <n v="0"/>
    <n v="0"/>
    <n v="0"/>
    <n v="0"/>
    <n v="1"/>
    <n v="0"/>
    <n v="0"/>
    <n v="0"/>
    <n v="0"/>
    <n v="0"/>
    <n v="0"/>
    <n v="0"/>
    <s v="No"/>
    <s v=""/>
    <n v="0"/>
    <n v="0"/>
    <n v="0"/>
    <n v="0"/>
    <x v="0"/>
    <x v="1"/>
    <x v="0"/>
    <n v="0"/>
    <n v="0"/>
    <n v="0"/>
    <x v="0"/>
    <n v="0"/>
  </r>
  <r>
    <x v="0"/>
    <x v="2"/>
    <x v="2"/>
    <s v="WHH-BMZ,WHH-AA"/>
    <x v="0"/>
    <x v="2"/>
    <x v="0"/>
    <x v="122"/>
    <n v="546"/>
    <n v="2550"/>
    <m/>
    <d v="2018-06-30T00:00:00"/>
    <m/>
    <m/>
    <m/>
    <m/>
    <m/>
    <m/>
    <n v="5"/>
    <m/>
    <m/>
    <m/>
    <m/>
    <m/>
    <m/>
    <m/>
    <m/>
    <m/>
    <m/>
    <m/>
    <m/>
    <m/>
    <m/>
    <m/>
    <m/>
    <m/>
    <m/>
    <m/>
    <m/>
    <m/>
    <m/>
    <m/>
    <m/>
    <m/>
    <m/>
    <m/>
    <m/>
    <m/>
    <m/>
    <x v="2"/>
    <x v="4"/>
    <m/>
    <m/>
    <m/>
    <m/>
    <m/>
    <m/>
    <m/>
    <m/>
    <m/>
    <m/>
    <m/>
    <m/>
    <m/>
    <m/>
    <m/>
    <m/>
    <m/>
    <m/>
    <m/>
    <m/>
    <m/>
    <m/>
    <m/>
    <m/>
    <m/>
    <m/>
    <s v="no test"/>
    <s v="no test"/>
    <s v="No Test"/>
    <n v="0"/>
    <n v="0"/>
    <n v="0"/>
    <n v="0"/>
    <n v="0"/>
    <n v="0"/>
    <n v="0"/>
    <n v="0"/>
    <n v="0"/>
    <n v="0"/>
    <n v="0"/>
    <n v="0"/>
    <n v="0"/>
    <n v="0"/>
    <n v="0"/>
    <n v="1"/>
    <n v="2550"/>
    <n v="5"/>
    <n v="5"/>
    <n v="0"/>
    <n v="0"/>
    <n v="0"/>
    <n v="0"/>
    <n v="0"/>
    <n v="0"/>
    <n v="0"/>
    <n v="128"/>
    <n v="128"/>
    <n v="1"/>
    <n v="0"/>
    <n v="0"/>
    <n v="0"/>
    <n v="0"/>
    <n v="0"/>
    <n v="0"/>
    <n v="0"/>
    <n v="1"/>
    <n v="0"/>
    <n v="0"/>
    <n v="0"/>
    <n v="0"/>
    <n v="0"/>
    <n v="0"/>
    <n v="0"/>
    <s v="No"/>
    <s v=""/>
    <n v="0"/>
    <n v="0"/>
    <n v="0"/>
    <n v="0"/>
    <x v="0"/>
    <x v="4"/>
    <x v="0"/>
    <n v="0"/>
    <n v="0"/>
    <n v="0"/>
    <x v="0"/>
    <n v="0"/>
  </r>
  <r>
    <x v="0"/>
    <x v="2"/>
    <x v="2"/>
    <s v="WHH-AA "/>
    <x v="0"/>
    <x v="10"/>
    <x v="1"/>
    <x v="123"/>
    <n v="10"/>
    <n v="59"/>
    <d v="2019-01-01T00:00:00"/>
    <d v="2019-12-31T00:00:00"/>
    <m/>
    <m/>
    <m/>
    <m/>
    <s v="No"/>
    <m/>
    <n v="5"/>
    <m/>
    <m/>
    <m/>
    <m/>
    <n v="1"/>
    <m/>
    <m/>
    <m/>
    <m/>
    <m/>
    <m/>
    <m/>
    <m/>
    <m/>
    <m/>
    <m/>
    <m/>
    <m/>
    <m/>
    <m/>
    <m/>
    <m/>
    <n v="10"/>
    <m/>
    <m/>
    <m/>
    <m/>
    <m/>
    <m/>
    <m/>
    <x v="1"/>
    <x v="1"/>
    <m/>
    <m/>
    <m/>
    <m/>
    <m/>
    <m/>
    <n v="1"/>
    <m/>
    <m/>
    <n v="2"/>
    <m/>
    <m/>
    <m/>
    <m/>
    <m/>
    <m/>
    <m/>
    <m/>
    <m/>
    <m/>
    <m/>
    <m/>
    <m/>
    <m/>
    <m/>
    <m/>
    <s v="no test"/>
    <s v="no test"/>
    <s v="No Test"/>
    <n v="0"/>
    <n v="1"/>
    <n v="0"/>
    <n v="0"/>
    <n v="0"/>
    <n v="0"/>
    <n v="1"/>
    <n v="1"/>
    <n v="1"/>
    <n v="59"/>
    <n v="0"/>
    <n v="0"/>
    <n v="1"/>
    <n v="59"/>
    <n v="0.11799999999999999"/>
    <n v="0"/>
    <n v="0"/>
    <n v="0.88200000000000001"/>
    <n v="1"/>
    <n v="10"/>
    <n v="1"/>
    <n v="59"/>
    <n v="0"/>
    <n v="0"/>
    <n v="0"/>
    <n v="0"/>
    <n v="3"/>
    <n v="0"/>
    <n v="0"/>
    <n v="0"/>
    <n v="0"/>
    <n v="0"/>
    <n v="0"/>
    <n v="0"/>
    <n v="0"/>
    <n v="0"/>
    <n v="1"/>
    <n v="0"/>
    <n v="0"/>
    <n v="0"/>
    <n v="1"/>
    <n v="10"/>
    <n v="0"/>
    <n v="59"/>
    <s v="No"/>
    <s v=""/>
    <n v="0"/>
    <n v="0"/>
    <s v="Yes"/>
    <s v="Shalom"/>
    <x v="0"/>
    <x v="1"/>
    <x v="1"/>
    <n v="24.24953"/>
    <n v="97.240639999999999"/>
    <s v="MMR001CMP053"/>
    <x v="0"/>
    <s v="Closed_cccm2019Apr"/>
  </r>
  <r>
    <x v="0"/>
    <x v="2"/>
    <x v="2"/>
    <s v="UNICEF, WHH (AA)"/>
    <x v="1"/>
    <x v="13"/>
    <x v="1"/>
    <x v="124"/>
    <n v="205"/>
    <n v="1077"/>
    <s v="1/Feb/2019,1/Oct/18"/>
    <s v="30/Apr/2020, 30/Sept/2020"/>
    <n v="328"/>
    <m/>
    <m/>
    <m/>
    <s v="Yes"/>
    <n v="5"/>
    <n v="5"/>
    <n v="2"/>
    <m/>
    <m/>
    <n v="1"/>
    <m/>
    <m/>
    <m/>
    <n v="99"/>
    <m/>
    <m/>
    <m/>
    <m/>
    <m/>
    <n v="3"/>
    <n v="1"/>
    <m/>
    <m/>
    <m/>
    <m/>
    <m/>
    <n v="2"/>
    <m/>
    <n v="200"/>
    <n v="5"/>
    <m/>
    <m/>
    <m/>
    <m/>
    <m/>
    <n v="18"/>
    <x v="2"/>
    <x v="4"/>
    <m/>
    <m/>
    <n v="2"/>
    <m/>
    <m/>
    <m/>
    <n v="2"/>
    <m/>
    <m/>
    <n v="5"/>
    <m/>
    <m/>
    <n v="1"/>
    <m/>
    <m/>
    <m/>
    <m/>
    <m/>
    <m/>
    <m/>
    <m/>
    <m/>
    <m/>
    <m/>
    <m/>
    <m/>
    <s v="no test"/>
    <s v="no test"/>
    <s v="No Test"/>
    <n v="2"/>
    <n v="1"/>
    <n v="99"/>
    <n v="0"/>
    <n v="0"/>
    <n v="1000"/>
    <n v="1"/>
    <n v="1"/>
    <n v="1"/>
    <n v="1077"/>
    <n v="0"/>
    <n v="0"/>
    <n v="1"/>
    <n v="1077"/>
    <n v="2.1539999999999999"/>
    <n v="0"/>
    <n v="0"/>
    <n v="0"/>
    <n v="2"/>
    <n v="205"/>
    <n v="0.95171773444753949"/>
    <n v="1025"/>
    <n v="0"/>
    <n v="100"/>
    <n v="0"/>
    <n v="100"/>
    <n v="205"/>
    <n v="0"/>
    <n v="4.8282265552460513E-2"/>
    <n v="0"/>
    <n v="500"/>
    <n v="0"/>
    <n v="0"/>
    <n v="0"/>
    <n v="500"/>
    <n v="0.46425255338904364"/>
    <n v="0.53574744661095641"/>
    <n v="0.46425255338904364"/>
    <n v="0"/>
    <n v="0"/>
    <n v="2"/>
    <n v="40"/>
    <n v="0"/>
    <n v="200"/>
    <s v="Yes"/>
    <s v=""/>
    <n v="0"/>
    <n v="1000"/>
    <s v="Yes"/>
    <s v="KBC-NSS"/>
    <x v="1"/>
    <x v="1"/>
    <x v="1"/>
    <n v="23.38503"/>
    <n v="97.837040000000002"/>
    <s v="MMR015CMP020"/>
    <x v="0"/>
    <s v="cccm_2019OCT"/>
  </r>
  <r>
    <x v="0"/>
    <x v="3"/>
    <x v="3"/>
    <s v="(UNICEF, WHH (AA)),HARP"/>
    <x v="1"/>
    <x v="16"/>
    <x v="1"/>
    <x v="125"/>
    <n v="29"/>
    <n v="235"/>
    <s v="1/Feb/2019,1/Oct/18"/>
    <s v="30/Apr/2020, 30/Sept/2020"/>
    <n v="48"/>
    <n v="2"/>
    <m/>
    <m/>
    <s v="Yes"/>
    <n v="2"/>
    <m/>
    <n v="1"/>
    <m/>
    <m/>
    <n v="2"/>
    <m/>
    <m/>
    <m/>
    <m/>
    <m/>
    <m/>
    <m/>
    <n v="2"/>
    <m/>
    <n v="1"/>
    <n v="1"/>
    <m/>
    <m/>
    <m/>
    <m/>
    <n v="4"/>
    <m/>
    <m/>
    <n v="8"/>
    <m/>
    <m/>
    <m/>
    <m/>
    <m/>
    <m/>
    <n v="8"/>
    <x v="1"/>
    <x v="1"/>
    <m/>
    <m/>
    <n v="0"/>
    <m/>
    <m/>
    <m/>
    <n v="4"/>
    <m/>
    <n v="0"/>
    <n v="2"/>
    <m/>
    <m/>
    <n v="2"/>
    <m/>
    <m/>
    <s v="Yes"/>
    <n v="10"/>
    <n v="0.45"/>
    <m/>
    <m/>
    <m/>
    <m/>
    <m/>
    <m/>
    <m/>
    <m/>
    <s v="no test"/>
    <s v="no test"/>
    <s v="No Test"/>
    <n v="1"/>
    <n v="2"/>
    <n v="0"/>
    <n v="0"/>
    <n v="0"/>
    <n v="0"/>
    <n v="1"/>
    <n v="1"/>
    <n v="1"/>
    <n v="235"/>
    <n v="1"/>
    <n v="235"/>
    <n v="1"/>
    <n v="235"/>
    <n v="0.47"/>
    <n v="0"/>
    <n v="0"/>
    <n v="0.53"/>
    <n v="1"/>
    <n v="8"/>
    <n v="0.68085106382978722"/>
    <n v="160"/>
    <n v="0"/>
    <n v="0"/>
    <n v="0"/>
    <n v="0"/>
    <n v="12"/>
    <n v="4"/>
    <n v="0.31914893617021278"/>
    <n v="0"/>
    <n v="235"/>
    <n v="0"/>
    <n v="0"/>
    <n v="0"/>
    <n v="235"/>
    <n v="1"/>
    <n v="0"/>
    <n v="1"/>
    <n v="0"/>
    <n v="0"/>
    <n v="4"/>
    <n v="29"/>
    <n v="4"/>
    <n v="235"/>
    <s v="Yes"/>
    <s v=""/>
    <n v="0"/>
    <n v="0"/>
    <s v="Yes"/>
    <s v="KMSS-LSO"/>
    <x v="0"/>
    <x v="1"/>
    <x v="1"/>
    <n v="23.24661"/>
    <n v="97.116680000000002"/>
    <s v="MMR015CMP209"/>
    <x v="0"/>
    <s v="cccm_2019OCT"/>
  </r>
  <r>
    <x v="0"/>
    <x v="3"/>
    <x v="3"/>
    <s v="(UNICEF, WHH (AA)),HARP"/>
    <x v="1"/>
    <x v="18"/>
    <x v="1"/>
    <x v="126"/>
    <n v="76"/>
    <n v="390"/>
    <s v="1/Feb/2019,1/Oct/18"/>
    <s v="30/Apr/2020, 30/Sept/2020"/>
    <m/>
    <n v="2"/>
    <m/>
    <m/>
    <s v="Yes"/>
    <n v="7"/>
    <n v="4"/>
    <n v="0"/>
    <m/>
    <m/>
    <n v="1"/>
    <m/>
    <m/>
    <m/>
    <n v="1"/>
    <m/>
    <m/>
    <m/>
    <m/>
    <m/>
    <n v="1"/>
    <n v="2"/>
    <m/>
    <m/>
    <m/>
    <m/>
    <n v="8"/>
    <m/>
    <m/>
    <n v="14"/>
    <n v="6"/>
    <m/>
    <m/>
    <n v="1"/>
    <m/>
    <m/>
    <n v="14"/>
    <x v="1"/>
    <x v="1"/>
    <m/>
    <m/>
    <m/>
    <m/>
    <m/>
    <m/>
    <n v="8"/>
    <m/>
    <n v="0"/>
    <n v="2"/>
    <m/>
    <n v="1"/>
    <n v="1"/>
    <m/>
    <m/>
    <s v="Yes"/>
    <n v="10"/>
    <n v="0.7"/>
    <m/>
    <m/>
    <m/>
    <m/>
    <m/>
    <m/>
    <m/>
    <m/>
    <s v="no test"/>
    <s v="no test"/>
    <s v="No Test"/>
    <n v="0"/>
    <n v="1"/>
    <n v="1"/>
    <n v="0"/>
    <n v="0"/>
    <n v="0"/>
    <n v="1"/>
    <n v="0.81196581196581197"/>
    <n v="1"/>
    <n v="390"/>
    <n v="0"/>
    <n v="0"/>
    <n v="1"/>
    <n v="390"/>
    <n v="0.78"/>
    <n v="0"/>
    <n v="0"/>
    <n v="0.21999999999999997"/>
    <n v="1"/>
    <n v="20"/>
    <n v="1"/>
    <n v="390"/>
    <n v="0"/>
    <n v="0"/>
    <n v="0"/>
    <n v="0"/>
    <n v="20"/>
    <n v="0"/>
    <n v="0"/>
    <n v="0"/>
    <n v="390"/>
    <n v="0"/>
    <n v="0"/>
    <n v="0"/>
    <n v="390"/>
    <n v="1"/>
    <n v="0"/>
    <n v="1"/>
    <n v="0"/>
    <n v="0"/>
    <n v="8"/>
    <n v="76"/>
    <n v="8"/>
    <n v="390"/>
    <s v="No"/>
    <s v=""/>
    <n v="0"/>
    <n v="0"/>
    <s v="Yes"/>
    <s v="KBC-NSS"/>
    <x v="0"/>
    <x v="1"/>
    <x v="1"/>
    <n v="23.821380000000001"/>
    <n v="97.681970000000007"/>
    <s v="MMR015CMP004"/>
    <x v="0"/>
    <s v="cccm_2019OCT"/>
  </r>
  <r>
    <x v="0"/>
    <x v="3"/>
    <x v="3"/>
    <s v="(UNICEF, WHH (AA)),HARP"/>
    <x v="1"/>
    <x v="18"/>
    <x v="1"/>
    <x v="127"/>
    <n v="43"/>
    <n v="212"/>
    <s v="1/Feb/2019,1/Oct/18"/>
    <s v="30/Apr/2020, 30/Sept/2020"/>
    <m/>
    <n v="2"/>
    <m/>
    <m/>
    <s v="Yes"/>
    <n v="3"/>
    <n v="5"/>
    <n v="1"/>
    <m/>
    <m/>
    <n v="2"/>
    <m/>
    <m/>
    <m/>
    <m/>
    <m/>
    <m/>
    <m/>
    <n v="1"/>
    <m/>
    <n v="1"/>
    <n v="2"/>
    <m/>
    <m/>
    <m/>
    <m/>
    <n v="3"/>
    <m/>
    <m/>
    <n v="14"/>
    <m/>
    <m/>
    <m/>
    <n v="2"/>
    <m/>
    <m/>
    <n v="14"/>
    <x v="1"/>
    <x v="1"/>
    <m/>
    <m/>
    <m/>
    <m/>
    <m/>
    <m/>
    <n v="3"/>
    <m/>
    <n v="0"/>
    <n v="2"/>
    <m/>
    <n v="1"/>
    <n v="1"/>
    <m/>
    <m/>
    <s v="Yes"/>
    <n v="9"/>
    <n v="0.8"/>
    <m/>
    <m/>
    <m/>
    <m/>
    <m/>
    <m/>
    <m/>
    <m/>
    <s v="no test"/>
    <s v="no test"/>
    <s v="No Test"/>
    <n v="1"/>
    <n v="2"/>
    <n v="0"/>
    <n v="0"/>
    <n v="0"/>
    <n v="0"/>
    <n v="1"/>
    <n v="1"/>
    <n v="1"/>
    <n v="212"/>
    <n v="1"/>
    <n v="212"/>
    <n v="1"/>
    <n v="212"/>
    <n v="0.42399999999999999"/>
    <n v="0"/>
    <n v="0"/>
    <n v="0.57600000000000007"/>
    <n v="1"/>
    <n v="14"/>
    <n v="1"/>
    <n v="212"/>
    <n v="0"/>
    <n v="0"/>
    <n v="0"/>
    <n v="0"/>
    <n v="11"/>
    <n v="0"/>
    <n v="0"/>
    <n v="0"/>
    <n v="212"/>
    <n v="0"/>
    <n v="0"/>
    <n v="0"/>
    <n v="212"/>
    <n v="1"/>
    <n v="0"/>
    <n v="1"/>
    <n v="0"/>
    <n v="0"/>
    <n v="3"/>
    <n v="43"/>
    <n v="3"/>
    <n v="212"/>
    <s v="No"/>
    <s v=""/>
    <n v="0"/>
    <n v="0"/>
    <s v="Yes"/>
    <s v="KMSS-LSO"/>
    <x v="0"/>
    <x v="1"/>
    <x v="1"/>
    <n v="23.828150000000001"/>
    <n v="97.670360000000002"/>
    <s v="MMR015CMP003"/>
    <x v="0"/>
    <s v="cccm_2019OCT"/>
  </r>
  <r>
    <x v="0"/>
    <x v="4"/>
    <x v="4"/>
    <m/>
    <x v="0"/>
    <x v="10"/>
    <x v="1"/>
    <x v="128"/>
    <n v="190"/>
    <n v="928"/>
    <m/>
    <m/>
    <m/>
    <m/>
    <m/>
    <m/>
    <m/>
    <m/>
    <n v="5"/>
    <m/>
    <m/>
    <m/>
    <m/>
    <m/>
    <m/>
    <m/>
    <m/>
    <m/>
    <m/>
    <m/>
    <m/>
    <m/>
    <m/>
    <m/>
    <m/>
    <m/>
    <m/>
    <m/>
    <m/>
    <m/>
    <m/>
    <m/>
    <m/>
    <m/>
    <m/>
    <m/>
    <m/>
    <m/>
    <m/>
    <x v="0"/>
    <x v="0"/>
    <m/>
    <m/>
    <m/>
    <m/>
    <m/>
    <m/>
    <m/>
    <m/>
    <m/>
    <m/>
    <m/>
    <m/>
    <m/>
    <m/>
    <m/>
    <m/>
    <m/>
    <m/>
    <m/>
    <m/>
    <m/>
    <m/>
    <m/>
    <m/>
    <m/>
    <m/>
    <s v="no test"/>
    <s v="no test"/>
    <s v="No Test"/>
    <n v="0"/>
    <n v="0"/>
    <n v="0"/>
    <n v="0"/>
    <n v="0"/>
    <n v="0"/>
    <n v="0"/>
    <n v="0"/>
    <n v="0"/>
    <n v="0"/>
    <n v="0"/>
    <n v="0"/>
    <n v="0"/>
    <n v="0"/>
    <n v="0"/>
    <n v="1"/>
    <n v="928"/>
    <n v="2"/>
    <n v="2"/>
    <n v="0"/>
    <n v="0"/>
    <n v="0"/>
    <n v="0"/>
    <n v="0"/>
    <n v="0"/>
    <n v="0"/>
    <n v="46"/>
    <n v="46"/>
    <n v="1"/>
    <n v="0"/>
    <n v="0"/>
    <n v="0"/>
    <n v="0"/>
    <n v="0"/>
    <n v="0"/>
    <n v="0"/>
    <n v="1"/>
    <n v="0"/>
    <n v="0"/>
    <n v="0"/>
    <n v="0"/>
    <n v="0"/>
    <n v="0"/>
    <n v="0"/>
    <s v="No"/>
    <s v=""/>
    <n v="0"/>
    <n v="0"/>
    <n v="0"/>
    <s v="uncovered"/>
    <x v="0"/>
    <x v="4"/>
    <x v="1"/>
    <n v="24.263786"/>
    <n v="97.228835000000004"/>
    <s v="MMR001CMP163"/>
    <x v="1"/>
    <s v="cccm_2019OCT"/>
  </r>
  <r>
    <x v="0"/>
    <x v="4"/>
    <x v="4"/>
    <m/>
    <x v="0"/>
    <x v="6"/>
    <x v="1"/>
    <x v="129"/>
    <n v="6"/>
    <n v="32"/>
    <m/>
    <m/>
    <m/>
    <m/>
    <m/>
    <m/>
    <m/>
    <m/>
    <n v="3"/>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No"/>
    <s v=""/>
    <n v="0"/>
    <n v="0"/>
    <n v="0"/>
    <s v="uncovered"/>
    <x v="0"/>
    <x v="0"/>
    <x v="1"/>
    <n v="0"/>
    <n v="0"/>
    <s v="MMR001CMP262"/>
    <x v="1"/>
    <s v="cccm_2019OCT"/>
  </r>
  <r>
    <x v="0"/>
    <x v="4"/>
    <x v="4"/>
    <m/>
    <x v="0"/>
    <x v="11"/>
    <x v="1"/>
    <x v="130"/>
    <n v="29"/>
    <n v="140"/>
    <m/>
    <m/>
    <m/>
    <m/>
    <m/>
    <m/>
    <m/>
    <m/>
    <n v="5"/>
    <m/>
    <m/>
    <m/>
    <m/>
    <m/>
    <m/>
    <m/>
    <m/>
    <m/>
    <m/>
    <m/>
    <m/>
    <m/>
    <m/>
    <m/>
    <m/>
    <m/>
    <m/>
    <m/>
    <m/>
    <m/>
    <m/>
    <m/>
    <m/>
    <m/>
    <m/>
    <m/>
    <m/>
    <m/>
    <m/>
    <x v="0"/>
    <x v="0"/>
    <m/>
    <m/>
    <m/>
    <m/>
    <m/>
    <m/>
    <m/>
    <m/>
    <m/>
    <m/>
    <m/>
    <m/>
    <m/>
    <m/>
    <m/>
    <m/>
    <m/>
    <m/>
    <m/>
    <m/>
    <m/>
    <m/>
    <m/>
    <m/>
    <m/>
    <m/>
    <s v="no test"/>
    <s v="no test"/>
    <s v="No Test"/>
    <n v="0"/>
    <n v="0"/>
    <n v="0"/>
    <n v="0"/>
    <n v="0"/>
    <n v="0"/>
    <n v="0"/>
    <n v="0"/>
    <n v="0"/>
    <n v="0"/>
    <n v="0"/>
    <n v="0"/>
    <n v="0"/>
    <n v="0"/>
    <n v="0"/>
    <n v="1"/>
    <n v="140"/>
    <n v="1"/>
    <n v="1"/>
    <n v="0"/>
    <n v="0"/>
    <n v="0"/>
    <n v="0"/>
    <n v="0"/>
    <n v="0"/>
    <n v="0"/>
    <n v="7"/>
    <n v="7"/>
    <n v="1"/>
    <n v="0"/>
    <n v="0"/>
    <n v="0"/>
    <n v="0"/>
    <n v="0"/>
    <n v="0"/>
    <n v="0"/>
    <n v="1"/>
    <n v="0"/>
    <n v="0"/>
    <n v="0"/>
    <n v="0"/>
    <n v="0"/>
    <n v="0"/>
    <n v="0"/>
    <s v="No"/>
    <s v=""/>
    <n v="0"/>
    <n v="0"/>
    <n v="0"/>
    <s v="uncovered"/>
    <x v="0"/>
    <x v="0"/>
    <x v="1"/>
    <n v="26.299828999999999"/>
    <n v="97.487258999999995"/>
    <s v="MMR001CMP272"/>
    <x v="1"/>
    <s v="cccm_2019OCT"/>
  </r>
  <r>
    <x v="0"/>
    <x v="4"/>
    <x v="4"/>
    <m/>
    <x v="0"/>
    <x v="2"/>
    <x v="1"/>
    <x v="131"/>
    <n v="62"/>
    <n v="410"/>
    <m/>
    <m/>
    <m/>
    <m/>
    <m/>
    <m/>
    <m/>
    <m/>
    <n v="5"/>
    <m/>
    <m/>
    <m/>
    <m/>
    <m/>
    <m/>
    <m/>
    <m/>
    <m/>
    <m/>
    <m/>
    <m/>
    <m/>
    <m/>
    <m/>
    <m/>
    <m/>
    <m/>
    <m/>
    <m/>
    <m/>
    <m/>
    <m/>
    <m/>
    <m/>
    <m/>
    <m/>
    <m/>
    <m/>
    <m/>
    <x v="0"/>
    <x v="0"/>
    <m/>
    <m/>
    <m/>
    <m/>
    <m/>
    <m/>
    <m/>
    <m/>
    <m/>
    <m/>
    <m/>
    <m/>
    <m/>
    <m/>
    <m/>
    <m/>
    <m/>
    <m/>
    <m/>
    <m/>
    <m/>
    <m/>
    <m/>
    <m/>
    <m/>
    <m/>
    <s v="no test"/>
    <s v="no test"/>
    <s v="No Test"/>
    <n v="0"/>
    <n v="0"/>
    <n v="0"/>
    <n v="0"/>
    <n v="0"/>
    <n v="0"/>
    <n v="0"/>
    <n v="0"/>
    <n v="0"/>
    <n v="0"/>
    <n v="0"/>
    <n v="0"/>
    <n v="0"/>
    <n v="0"/>
    <n v="0"/>
    <n v="1"/>
    <n v="410"/>
    <n v="1"/>
    <n v="1"/>
    <n v="0"/>
    <n v="0"/>
    <n v="0"/>
    <n v="0"/>
    <n v="0"/>
    <n v="0"/>
    <n v="0"/>
    <n v="21"/>
    <n v="21"/>
    <n v="1"/>
    <n v="0"/>
    <n v="0"/>
    <n v="0"/>
    <n v="0"/>
    <n v="0"/>
    <n v="0"/>
    <n v="0"/>
    <n v="1"/>
    <n v="0"/>
    <n v="0"/>
    <n v="0"/>
    <n v="0"/>
    <n v="0"/>
    <n v="0"/>
    <n v="0"/>
    <s v="No"/>
    <s v=""/>
    <n v="0"/>
    <n v="0"/>
    <n v="0"/>
    <s v="uncovered"/>
    <x v="0"/>
    <x v="0"/>
    <x v="1"/>
    <n v="25.305008999999998"/>
    <n v="97.430321000000006"/>
    <s v="MMR001CMP248"/>
    <x v="1"/>
    <s v="cccm_2019OCT"/>
  </r>
  <r>
    <x v="0"/>
    <x v="4"/>
    <x v="4"/>
    <m/>
    <x v="0"/>
    <x v="5"/>
    <x v="1"/>
    <x v="132"/>
    <n v="27"/>
    <n v="121"/>
    <m/>
    <m/>
    <m/>
    <m/>
    <m/>
    <m/>
    <m/>
    <m/>
    <n v="5"/>
    <m/>
    <m/>
    <m/>
    <m/>
    <m/>
    <m/>
    <m/>
    <m/>
    <m/>
    <m/>
    <m/>
    <m/>
    <m/>
    <m/>
    <m/>
    <m/>
    <m/>
    <m/>
    <m/>
    <m/>
    <m/>
    <m/>
    <m/>
    <m/>
    <m/>
    <m/>
    <m/>
    <m/>
    <m/>
    <m/>
    <x v="0"/>
    <x v="0"/>
    <m/>
    <m/>
    <m/>
    <m/>
    <m/>
    <m/>
    <m/>
    <m/>
    <m/>
    <m/>
    <m/>
    <m/>
    <m/>
    <m/>
    <m/>
    <m/>
    <m/>
    <m/>
    <m/>
    <m/>
    <m/>
    <m/>
    <m/>
    <m/>
    <m/>
    <m/>
    <s v="no test"/>
    <s v="no test"/>
    <s v="No Test"/>
    <n v="0"/>
    <n v="0"/>
    <n v="0"/>
    <n v="0"/>
    <n v="0"/>
    <n v="0"/>
    <n v="0"/>
    <n v="0"/>
    <n v="0"/>
    <n v="0"/>
    <n v="0"/>
    <n v="0"/>
    <n v="0"/>
    <n v="0"/>
    <n v="0"/>
    <n v="1"/>
    <n v="121"/>
    <n v="1"/>
    <n v="1"/>
    <n v="0"/>
    <n v="0"/>
    <n v="0"/>
    <n v="0"/>
    <n v="0"/>
    <n v="0"/>
    <n v="0"/>
    <n v="6"/>
    <n v="6"/>
    <n v="1"/>
    <n v="0"/>
    <n v="0"/>
    <n v="0"/>
    <n v="0"/>
    <n v="0"/>
    <n v="0"/>
    <n v="0"/>
    <n v="1"/>
    <n v="0"/>
    <n v="0"/>
    <n v="0"/>
    <n v="0"/>
    <n v="0"/>
    <n v="0"/>
    <n v="0"/>
    <s v="No"/>
    <s v=""/>
    <n v="0"/>
    <n v="0"/>
    <n v="0"/>
    <s v="uncovered"/>
    <x v="0"/>
    <x v="4"/>
    <x v="1"/>
    <n v="24.996279999999999"/>
    <n v="96.52534"/>
    <s v="MMR001CMP232"/>
    <x v="1"/>
    <s v="cccm_2019OCT"/>
  </r>
  <r>
    <x v="0"/>
    <x v="4"/>
    <x v="4"/>
    <m/>
    <x v="0"/>
    <x v="7"/>
    <x v="1"/>
    <x v="133"/>
    <m/>
    <n v="26"/>
    <m/>
    <m/>
    <m/>
    <m/>
    <m/>
    <m/>
    <m/>
    <m/>
    <n v="1"/>
    <m/>
    <m/>
    <m/>
    <m/>
    <m/>
    <m/>
    <m/>
    <m/>
    <m/>
    <m/>
    <m/>
    <m/>
    <m/>
    <m/>
    <m/>
    <m/>
    <m/>
    <m/>
    <m/>
    <m/>
    <m/>
    <m/>
    <m/>
    <m/>
    <m/>
    <m/>
    <m/>
    <m/>
    <m/>
    <m/>
    <x v="0"/>
    <x v="0"/>
    <m/>
    <m/>
    <m/>
    <m/>
    <m/>
    <m/>
    <m/>
    <m/>
    <m/>
    <m/>
    <m/>
    <m/>
    <m/>
    <m/>
    <m/>
    <m/>
    <m/>
    <m/>
    <m/>
    <m/>
    <m/>
    <m/>
    <m/>
    <m/>
    <m/>
    <m/>
    <s v="no test"/>
    <s v="no test"/>
    <s v="No Test"/>
    <n v="0"/>
    <n v="0"/>
    <n v="0"/>
    <n v="0"/>
    <n v="0"/>
    <n v="0"/>
    <n v="0"/>
    <n v="0"/>
    <n v="0"/>
    <n v="0"/>
    <n v="0"/>
    <n v="0"/>
    <n v="0"/>
    <n v="0"/>
    <n v="0"/>
    <n v="1"/>
    <n v="26"/>
    <n v="1"/>
    <n v="1"/>
    <n v="0"/>
    <n v="0"/>
    <n v="0"/>
    <n v="0"/>
    <n v="0"/>
    <n v="0"/>
    <n v="0"/>
    <n v="1"/>
    <n v="1"/>
    <n v="1"/>
    <n v="0"/>
    <n v="0"/>
    <n v="0"/>
    <n v="0"/>
    <n v="0"/>
    <n v="0"/>
    <n v="0"/>
    <n v="1"/>
    <n v="0"/>
    <e v="#DIV/0!"/>
    <e v="#DIV/0!"/>
    <n v="0"/>
    <n v="0"/>
    <n v="0"/>
    <n v="0"/>
    <s v="No"/>
    <s v=""/>
    <n v="0"/>
    <n v="0"/>
    <n v="0"/>
    <s v="uncovered"/>
    <x v="0"/>
    <x v="3"/>
    <x v="1"/>
    <n v="24.613662999999999"/>
    <n v="97.461727999999994"/>
    <s v="MMR001CMP274"/>
    <x v="1"/>
    <s v="cccm_2019OCT"/>
  </r>
  <r>
    <x v="0"/>
    <x v="4"/>
    <x v="4"/>
    <m/>
    <x v="0"/>
    <x v="8"/>
    <x v="1"/>
    <x v="134"/>
    <n v="10"/>
    <n v="56"/>
    <m/>
    <m/>
    <m/>
    <m/>
    <m/>
    <m/>
    <m/>
    <m/>
    <n v="5"/>
    <m/>
    <m/>
    <m/>
    <m/>
    <m/>
    <m/>
    <m/>
    <m/>
    <m/>
    <m/>
    <m/>
    <m/>
    <m/>
    <m/>
    <m/>
    <m/>
    <m/>
    <m/>
    <m/>
    <m/>
    <m/>
    <m/>
    <m/>
    <m/>
    <m/>
    <m/>
    <m/>
    <m/>
    <m/>
    <m/>
    <x v="0"/>
    <x v="0"/>
    <m/>
    <m/>
    <m/>
    <m/>
    <m/>
    <m/>
    <m/>
    <m/>
    <m/>
    <m/>
    <m/>
    <m/>
    <m/>
    <m/>
    <m/>
    <m/>
    <m/>
    <m/>
    <m/>
    <m/>
    <m/>
    <m/>
    <m/>
    <m/>
    <m/>
    <m/>
    <s v="no test"/>
    <s v="no test"/>
    <s v="No Test"/>
    <n v="0"/>
    <n v="0"/>
    <n v="0"/>
    <n v="0"/>
    <n v="0"/>
    <n v="0"/>
    <n v="0"/>
    <n v="0"/>
    <n v="0"/>
    <n v="0"/>
    <n v="0"/>
    <n v="0"/>
    <n v="0"/>
    <n v="0"/>
    <n v="0"/>
    <n v="1"/>
    <n v="56"/>
    <n v="1"/>
    <n v="1"/>
    <n v="0"/>
    <n v="0"/>
    <n v="0"/>
    <n v="0"/>
    <n v="0"/>
    <n v="0"/>
    <n v="0"/>
    <n v="3"/>
    <n v="3"/>
    <n v="1"/>
    <n v="0"/>
    <n v="0"/>
    <n v="0"/>
    <n v="0"/>
    <n v="0"/>
    <n v="0"/>
    <n v="0"/>
    <n v="1"/>
    <n v="0"/>
    <n v="0"/>
    <n v="0"/>
    <n v="0"/>
    <n v="0"/>
    <n v="0"/>
    <n v="0"/>
    <s v="No"/>
    <s v=""/>
    <n v="0"/>
    <n v="0"/>
    <n v="0"/>
    <s v="uncovered"/>
    <x v="0"/>
    <x v="4"/>
    <x v="1"/>
    <n v="27.248964999999998"/>
    <n v="97.561105999999995"/>
    <s v="MMR001CMP227"/>
    <x v="1"/>
    <s v="cccm_2019OCT"/>
  </r>
  <r>
    <x v="0"/>
    <x v="4"/>
    <x v="4"/>
    <m/>
    <x v="0"/>
    <x v="7"/>
    <x v="1"/>
    <x v="135"/>
    <n v="3"/>
    <n v="18"/>
    <m/>
    <m/>
    <m/>
    <m/>
    <m/>
    <m/>
    <m/>
    <m/>
    <n v="5"/>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n v="0"/>
    <s v="uncovered"/>
    <x v="0"/>
    <x v="4"/>
    <x v="1"/>
    <n v="24.377054000000001"/>
    <n v="97.343406999999999"/>
    <s v="MMR001CMP200"/>
    <x v="1"/>
    <s v="cccm_2019OCT"/>
  </r>
  <r>
    <x v="0"/>
    <x v="4"/>
    <x v="4"/>
    <m/>
    <x v="0"/>
    <x v="7"/>
    <x v="1"/>
    <x v="136"/>
    <m/>
    <n v="31"/>
    <m/>
    <m/>
    <m/>
    <m/>
    <m/>
    <m/>
    <m/>
    <m/>
    <n v="5"/>
    <m/>
    <m/>
    <m/>
    <m/>
    <m/>
    <m/>
    <m/>
    <m/>
    <m/>
    <m/>
    <m/>
    <m/>
    <m/>
    <m/>
    <m/>
    <m/>
    <m/>
    <m/>
    <m/>
    <m/>
    <m/>
    <m/>
    <m/>
    <m/>
    <m/>
    <m/>
    <m/>
    <m/>
    <m/>
    <m/>
    <x v="0"/>
    <x v="0"/>
    <m/>
    <m/>
    <m/>
    <m/>
    <m/>
    <m/>
    <m/>
    <m/>
    <m/>
    <m/>
    <m/>
    <m/>
    <m/>
    <m/>
    <m/>
    <m/>
    <m/>
    <m/>
    <m/>
    <m/>
    <m/>
    <m/>
    <m/>
    <m/>
    <m/>
    <m/>
    <s v="no test"/>
    <s v="no test"/>
    <s v="No Test"/>
    <n v="0"/>
    <n v="0"/>
    <n v="0"/>
    <n v="0"/>
    <n v="0"/>
    <n v="0"/>
    <n v="0"/>
    <n v="0"/>
    <n v="0"/>
    <n v="0"/>
    <n v="0"/>
    <n v="0"/>
    <n v="0"/>
    <n v="0"/>
    <n v="0"/>
    <n v="1"/>
    <n v="31"/>
    <n v="1"/>
    <n v="1"/>
    <n v="0"/>
    <n v="0"/>
    <n v="0"/>
    <n v="0"/>
    <n v="0"/>
    <n v="0"/>
    <n v="0"/>
    <n v="2"/>
    <n v="2"/>
    <n v="1"/>
    <n v="0"/>
    <n v="0"/>
    <n v="0"/>
    <n v="0"/>
    <n v="0"/>
    <n v="0"/>
    <n v="0"/>
    <n v="1"/>
    <n v="0"/>
    <e v="#DIV/0!"/>
    <e v="#DIV/0!"/>
    <n v="0"/>
    <n v="0"/>
    <n v="0"/>
    <n v="0"/>
    <s v="No"/>
    <s v=""/>
    <n v="0"/>
    <n v="0"/>
    <n v="0"/>
    <s v="uncovered"/>
    <x v="0"/>
    <x v="3"/>
    <x v="1"/>
    <n v="24.721878"/>
    <n v="97.721878000000004"/>
    <s v="MMR001CMP275"/>
    <x v="1"/>
    <s v="cccm_2019OCT"/>
  </r>
  <r>
    <x v="0"/>
    <x v="4"/>
    <x v="4"/>
    <m/>
    <x v="0"/>
    <x v="2"/>
    <x v="1"/>
    <x v="137"/>
    <n v="407"/>
    <n v="1801"/>
    <m/>
    <m/>
    <n v="218"/>
    <m/>
    <m/>
    <m/>
    <s v="Yes"/>
    <m/>
    <n v="4"/>
    <m/>
    <m/>
    <m/>
    <m/>
    <m/>
    <m/>
    <m/>
    <n v="6"/>
    <m/>
    <m/>
    <m/>
    <m/>
    <m/>
    <m/>
    <m/>
    <m/>
    <m/>
    <m/>
    <m/>
    <m/>
    <m/>
    <m/>
    <n v="407"/>
    <m/>
    <m/>
    <m/>
    <m/>
    <m/>
    <m/>
    <m/>
    <x v="1"/>
    <x v="1"/>
    <n v="3"/>
    <m/>
    <m/>
    <m/>
    <m/>
    <m/>
    <n v="400"/>
    <m/>
    <m/>
    <m/>
    <m/>
    <m/>
    <m/>
    <m/>
    <m/>
    <s v="No"/>
    <m/>
    <m/>
    <m/>
    <m/>
    <m/>
    <m/>
    <m/>
    <m/>
    <m/>
    <m/>
    <s v="no test"/>
    <s v="no test"/>
    <s v="No Test"/>
    <n v="0"/>
    <n v="0"/>
    <n v="6"/>
    <n v="0"/>
    <n v="0"/>
    <n v="0"/>
    <n v="0.2220988339811216"/>
    <n v="0.2220988339811216"/>
    <n v="0.2220988339811216"/>
    <n v="400"/>
    <n v="0"/>
    <n v="0"/>
    <n v="0.2220988339811216"/>
    <n v="400"/>
    <n v="0.8"/>
    <n v="0.77790116601887838"/>
    <n v="1401"/>
    <n v="3.2"/>
    <n v="4"/>
    <n v="407"/>
    <n v="1"/>
    <n v="1801"/>
    <n v="0"/>
    <n v="0"/>
    <n v="0"/>
    <n v="0"/>
    <n v="407"/>
    <n v="0"/>
    <n v="0"/>
    <n v="0"/>
    <n v="0"/>
    <n v="0"/>
    <n v="0"/>
    <n v="0"/>
    <n v="0"/>
    <n v="0"/>
    <n v="1"/>
    <n v="0"/>
    <n v="0"/>
    <n v="0"/>
    <n v="400"/>
    <n v="407"/>
    <n v="0"/>
    <n v="1801"/>
    <s v="Yes"/>
    <s v=""/>
    <n v="0"/>
    <n v="0"/>
    <s v="Yes"/>
    <s v="KMSS-MYT"/>
    <x v="1"/>
    <x v="1"/>
    <x v="0"/>
    <n v="24.980250000000002"/>
    <n v="97.715230000000005"/>
    <s v="MMR001CMP119"/>
    <x v="1"/>
    <s v="cccm_2019OCT"/>
  </r>
  <r>
    <x v="0"/>
    <x v="4"/>
    <x v="4"/>
    <m/>
    <x v="1"/>
    <x v="20"/>
    <x v="1"/>
    <x v="138"/>
    <n v="37"/>
    <n v="120"/>
    <m/>
    <m/>
    <m/>
    <m/>
    <m/>
    <m/>
    <m/>
    <m/>
    <n v="5"/>
    <m/>
    <m/>
    <m/>
    <m/>
    <m/>
    <m/>
    <m/>
    <m/>
    <m/>
    <m/>
    <m/>
    <m/>
    <m/>
    <m/>
    <m/>
    <m/>
    <m/>
    <m/>
    <m/>
    <m/>
    <m/>
    <m/>
    <m/>
    <m/>
    <m/>
    <m/>
    <m/>
    <m/>
    <m/>
    <m/>
    <x v="0"/>
    <x v="0"/>
    <m/>
    <m/>
    <m/>
    <m/>
    <m/>
    <m/>
    <m/>
    <m/>
    <m/>
    <m/>
    <m/>
    <m/>
    <m/>
    <m/>
    <m/>
    <m/>
    <m/>
    <m/>
    <m/>
    <m/>
    <m/>
    <m/>
    <m/>
    <m/>
    <m/>
    <m/>
    <s v="no test"/>
    <s v="no test"/>
    <s v="No Test"/>
    <n v="0"/>
    <n v="0"/>
    <n v="0"/>
    <n v="0"/>
    <n v="0"/>
    <n v="0"/>
    <n v="0"/>
    <n v="0"/>
    <n v="0"/>
    <n v="0"/>
    <n v="0"/>
    <n v="0"/>
    <n v="0"/>
    <n v="0"/>
    <n v="0"/>
    <n v="1"/>
    <n v="120"/>
    <n v="1"/>
    <n v="1"/>
    <n v="0"/>
    <n v="0"/>
    <n v="0"/>
    <n v="0"/>
    <n v="0"/>
    <n v="0"/>
    <n v="0"/>
    <n v="6"/>
    <n v="6"/>
    <n v="1"/>
    <n v="0"/>
    <n v="0"/>
    <n v="0"/>
    <n v="0"/>
    <n v="0"/>
    <n v="0"/>
    <n v="0"/>
    <n v="1"/>
    <n v="0"/>
    <n v="0"/>
    <n v="0"/>
    <n v="0"/>
    <n v="0"/>
    <n v="0"/>
    <n v="0"/>
    <s v="No"/>
    <s v=""/>
    <n v="0"/>
    <n v="0"/>
    <n v="0"/>
    <s v="uncovered"/>
    <x v="0"/>
    <x v="0"/>
    <x v="1"/>
    <n v="22.677008000000001"/>
    <n v="97.314762999999999"/>
    <s v="MMR015CMP244"/>
    <x v="1"/>
    <s v="cccm_2019OCT"/>
  </r>
  <r>
    <x v="0"/>
    <x v="4"/>
    <x v="4"/>
    <m/>
    <x v="0"/>
    <x v="9"/>
    <x v="1"/>
    <x v="139"/>
    <n v="80"/>
    <n v="290"/>
    <m/>
    <m/>
    <m/>
    <m/>
    <m/>
    <m/>
    <m/>
    <m/>
    <m/>
    <m/>
    <m/>
    <m/>
    <m/>
    <m/>
    <m/>
    <m/>
    <m/>
    <m/>
    <m/>
    <m/>
    <m/>
    <m/>
    <m/>
    <m/>
    <m/>
    <m/>
    <m/>
    <m/>
    <m/>
    <m/>
    <m/>
    <m/>
    <m/>
    <m/>
    <m/>
    <m/>
    <m/>
    <m/>
    <m/>
    <x v="0"/>
    <x v="0"/>
    <m/>
    <m/>
    <m/>
    <m/>
    <m/>
    <m/>
    <m/>
    <m/>
    <m/>
    <m/>
    <m/>
    <m/>
    <m/>
    <m/>
    <m/>
    <m/>
    <m/>
    <m/>
    <m/>
    <m/>
    <m/>
    <m/>
    <m/>
    <m/>
    <m/>
    <m/>
    <s v="no test"/>
    <s v="no test"/>
    <s v="No Test"/>
    <n v="0"/>
    <n v="0"/>
    <n v="0"/>
    <n v="0"/>
    <n v="0"/>
    <n v="0"/>
    <n v="0"/>
    <n v="0"/>
    <n v="0"/>
    <n v="0"/>
    <n v="0"/>
    <n v="0"/>
    <n v="0"/>
    <n v="0"/>
    <n v="0"/>
    <n v="1"/>
    <n v="290"/>
    <n v="1"/>
    <n v="1"/>
    <n v="0"/>
    <n v="0"/>
    <n v="0"/>
    <n v="0"/>
    <n v="0"/>
    <n v="0"/>
    <n v="0"/>
    <n v="15"/>
    <n v="15"/>
    <n v="1"/>
    <n v="0"/>
    <n v="0"/>
    <n v="0"/>
    <n v="0"/>
    <n v="0"/>
    <n v="0"/>
    <n v="0"/>
    <n v="1"/>
    <n v="0"/>
    <n v="0"/>
    <n v="0"/>
    <n v="0"/>
    <n v="0"/>
    <n v="0"/>
    <n v="0"/>
    <s v="No"/>
    <s v=""/>
    <n v="0"/>
    <n v="0"/>
    <n v="0"/>
    <s v="uncovered"/>
    <x v="0"/>
    <x v="4"/>
    <x v="1"/>
    <n v="24.118618999999999"/>
    <n v="97.298055000000005"/>
    <s v="MMR001CMP196"/>
    <x v="1"/>
    <s v="cccm_2019OCT"/>
  </r>
  <r>
    <x v="0"/>
    <x v="4"/>
    <x v="4"/>
    <m/>
    <x v="0"/>
    <x v="3"/>
    <x v="1"/>
    <x v="140"/>
    <n v="3"/>
    <n v="15"/>
    <m/>
    <m/>
    <m/>
    <n v="0"/>
    <m/>
    <m/>
    <s v="Yes"/>
    <m/>
    <m/>
    <n v="1"/>
    <m/>
    <m/>
    <n v="1"/>
    <m/>
    <m/>
    <m/>
    <n v="0"/>
    <m/>
    <m/>
    <m/>
    <m/>
    <m/>
    <m/>
    <n v="1"/>
    <m/>
    <m/>
    <m/>
    <m/>
    <m/>
    <m/>
    <m/>
    <n v="0"/>
    <m/>
    <m/>
    <m/>
    <m/>
    <m/>
    <m/>
    <n v="0"/>
    <x v="1"/>
    <x v="2"/>
    <m/>
    <m/>
    <m/>
    <m/>
    <m/>
    <m/>
    <m/>
    <m/>
    <n v="0"/>
    <m/>
    <m/>
    <m/>
    <m/>
    <m/>
    <m/>
    <m/>
    <m/>
    <m/>
    <m/>
    <m/>
    <m/>
    <m/>
    <m/>
    <m/>
    <m/>
    <m/>
    <s v="no test"/>
    <s v="no test"/>
    <s v="No Test"/>
    <n v="1"/>
    <n v="1"/>
    <n v="0"/>
    <n v="0"/>
    <n v="0"/>
    <n v="0"/>
    <n v="1"/>
    <n v="1"/>
    <n v="1"/>
    <n v="15"/>
    <n v="0"/>
    <n v="0"/>
    <n v="1"/>
    <n v="15"/>
    <n v="0.03"/>
    <n v="0"/>
    <n v="0"/>
    <n v="0.97"/>
    <n v="1"/>
    <n v="0"/>
    <n v="0"/>
    <n v="0"/>
    <n v="0"/>
    <n v="0"/>
    <n v="0"/>
    <n v="0"/>
    <n v="1"/>
    <n v="1"/>
    <n v="1"/>
    <n v="0"/>
    <n v="0"/>
    <n v="0"/>
    <n v="0"/>
    <n v="0"/>
    <n v="0"/>
    <n v="0"/>
    <n v="1"/>
    <n v="0"/>
    <n v="0"/>
    <n v="0"/>
    <n v="0"/>
    <n v="0"/>
    <n v="0"/>
    <n v="0"/>
    <s v="No"/>
    <s v=""/>
    <n v="0"/>
    <n v="0"/>
    <s v="Yes"/>
    <s v="Shalom"/>
    <x v="0"/>
    <x v="0"/>
    <x v="1"/>
    <n v="25.6145"/>
    <n v="96.319829999999996"/>
    <s v="MMR001CMP091"/>
    <x v="1"/>
    <s v="cccm_2019OCT"/>
  </r>
  <r>
    <x v="0"/>
    <x v="4"/>
    <x v="4"/>
    <m/>
    <x v="0"/>
    <x v="5"/>
    <x v="1"/>
    <x v="141"/>
    <n v="14"/>
    <n v="63"/>
    <m/>
    <m/>
    <m/>
    <m/>
    <m/>
    <m/>
    <m/>
    <m/>
    <n v="5"/>
    <m/>
    <m/>
    <m/>
    <m/>
    <m/>
    <m/>
    <m/>
    <m/>
    <m/>
    <m/>
    <m/>
    <m/>
    <m/>
    <m/>
    <m/>
    <m/>
    <m/>
    <m/>
    <m/>
    <m/>
    <m/>
    <m/>
    <m/>
    <m/>
    <m/>
    <m/>
    <m/>
    <m/>
    <m/>
    <m/>
    <x v="0"/>
    <x v="0"/>
    <m/>
    <m/>
    <m/>
    <m/>
    <m/>
    <m/>
    <m/>
    <m/>
    <m/>
    <m/>
    <m/>
    <m/>
    <m/>
    <m/>
    <m/>
    <m/>
    <m/>
    <m/>
    <m/>
    <m/>
    <m/>
    <m/>
    <m/>
    <m/>
    <m/>
    <m/>
    <s v="no test"/>
    <s v="no test"/>
    <s v="No Test"/>
    <n v="0"/>
    <n v="0"/>
    <n v="0"/>
    <n v="0"/>
    <n v="0"/>
    <n v="0"/>
    <n v="0"/>
    <n v="0"/>
    <n v="0"/>
    <n v="0"/>
    <n v="0"/>
    <n v="0"/>
    <n v="0"/>
    <n v="0"/>
    <n v="0"/>
    <n v="1"/>
    <n v="63"/>
    <n v="1"/>
    <n v="1"/>
    <n v="0"/>
    <n v="0"/>
    <n v="0"/>
    <n v="0"/>
    <n v="0"/>
    <n v="0"/>
    <n v="0"/>
    <n v="3"/>
    <n v="3"/>
    <n v="1"/>
    <n v="0"/>
    <n v="0"/>
    <n v="0"/>
    <n v="0"/>
    <n v="0"/>
    <n v="0"/>
    <n v="0"/>
    <n v="1"/>
    <n v="0"/>
    <n v="0"/>
    <n v="0"/>
    <n v="0"/>
    <n v="0"/>
    <n v="0"/>
    <n v="0"/>
    <s v="No"/>
    <s v=""/>
    <n v="0"/>
    <n v="0"/>
    <n v="0"/>
    <s v="uncovered"/>
    <x v="0"/>
    <x v="4"/>
    <x v="1"/>
    <n v="24.764959999999999"/>
    <n v="96.366919999999993"/>
    <s v="MMR001CMP233"/>
    <x v="1"/>
    <s v="cccm_2019OCT"/>
  </r>
  <r>
    <x v="0"/>
    <x v="4"/>
    <x v="4"/>
    <m/>
    <x v="0"/>
    <x v="7"/>
    <x v="1"/>
    <x v="142"/>
    <n v="223"/>
    <n v="1067"/>
    <m/>
    <m/>
    <m/>
    <m/>
    <m/>
    <m/>
    <m/>
    <m/>
    <n v="5"/>
    <m/>
    <m/>
    <m/>
    <m/>
    <m/>
    <m/>
    <m/>
    <m/>
    <m/>
    <m/>
    <m/>
    <m/>
    <m/>
    <m/>
    <m/>
    <m/>
    <m/>
    <m/>
    <m/>
    <m/>
    <m/>
    <m/>
    <m/>
    <m/>
    <m/>
    <m/>
    <m/>
    <m/>
    <m/>
    <m/>
    <x v="0"/>
    <x v="0"/>
    <m/>
    <m/>
    <m/>
    <m/>
    <m/>
    <m/>
    <m/>
    <m/>
    <m/>
    <m/>
    <m/>
    <m/>
    <m/>
    <m/>
    <m/>
    <m/>
    <m/>
    <m/>
    <m/>
    <m/>
    <m/>
    <m/>
    <m/>
    <m/>
    <m/>
    <m/>
    <s v="no test"/>
    <s v="no test"/>
    <s v="No Test"/>
    <n v="0"/>
    <n v="0"/>
    <n v="0"/>
    <n v="0"/>
    <n v="0"/>
    <n v="0"/>
    <n v="0"/>
    <n v="0"/>
    <n v="0"/>
    <n v="0"/>
    <n v="0"/>
    <n v="0"/>
    <n v="0"/>
    <n v="0"/>
    <n v="0"/>
    <n v="1"/>
    <n v="1067"/>
    <n v="2"/>
    <n v="2"/>
    <n v="0"/>
    <n v="0"/>
    <n v="0"/>
    <n v="0"/>
    <n v="0"/>
    <n v="0"/>
    <n v="0"/>
    <n v="53"/>
    <n v="53"/>
    <n v="1"/>
    <n v="0"/>
    <n v="0"/>
    <n v="0"/>
    <n v="0"/>
    <n v="0"/>
    <n v="0"/>
    <n v="0"/>
    <n v="1"/>
    <n v="0"/>
    <n v="0"/>
    <n v="0"/>
    <n v="0"/>
    <n v="0"/>
    <n v="0"/>
    <n v="0"/>
    <s v="No"/>
    <s v=""/>
    <n v="0"/>
    <n v="0"/>
    <n v="0"/>
    <s v="uncovered"/>
    <x v="0"/>
    <x v="4"/>
    <x v="1"/>
    <n v="24.251232000000002"/>
    <n v="97.348405"/>
    <s v="MMR001CMP197"/>
    <x v="1"/>
    <s v="cccm_2019OCT"/>
  </r>
  <r>
    <x v="0"/>
    <x v="4"/>
    <x v="4"/>
    <m/>
    <x v="0"/>
    <x v="3"/>
    <x v="1"/>
    <x v="143"/>
    <n v="10"/>
    <n v="18"/>
    <m/>
    <m/>
    <m/>
    <m/>
    <m/>
    <m/>
    <m/>
    <m/>
    <n v="5"/>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s v="Yes"/>
    <s v="KMSS-MYT"/>
    <x v="0"/>
    <x v="1"/>
    <x v="1"/>
    <n v="25.920006000000001"/>
    <n v="96.662092000000001"/>
    <s v="MMR001CMP247"/>
    <x v="1"/>
    <s v="cccm_2019OCT"/>
  </r>
  <r>
    <x v="0"/>
    <x v="4"/>
    <x v="4"/>
    <m/>
    <x v="0"/>
    <x v="7"/>
    <x v="1"/>
    <x v="144"/>
    <n v="47"/>
    <n v="153"/>
    <m/>
    <m/>
    <m/>
    <m/>
    <m/>
    <m/>
    <m/>
    <m/>
    <n v="4"/>
    <m/>
    <m/>
    <m/>
    <m/>
    <m/>
    <m/>
    <m/>
    <m/>
    <m/>
    <m/>
    <m/>
    <m/>
    <m/>
    <m/>
    <m/>
    <m/>
    <m/>
    <m/>
    <m/>
    <m/>
    <m/>
    <m/>
    <m/>
    <m/>
    <m/>
    <m/>
    <m/>
    <m/>
    <m/>
    <m/>
    <x v="0"/>
    <x v="0"/>
    <m/>
    <m/>
    <m/>
    <m/>
    <m/>
    <m/>
    <m/>
    <m/>
    <m/>
    <m/>
    <m/>
    <m/>
    <m/>
    <m/>
    <m/>
    <m/>
    <m/>
    <m/>
    <m/>
    <m/>
    <m/>
    <m/>
    <m/>
    <m/>
    <m/>
    <m/>
    <s v="no test"/>
    <s v="no test"/>
    <s v="No Test"/>
    <n v="0"/>
    <n v="0"/>
    <n v="0"/>
    <n v="0"/>
    <n v="0"/>
    <n v="0"/>
    <n v="0"/>
    <n v="0"/>
    <n v="0"/>
    <n v="0"/>
    <n v="0"/>
    <n v="0"/>
    <n v="0"/>
    <n v="0"/>
    <n v="0"/>
    <n v="1"/>
    <n v="153"/>
    <n v="1"/>
    <n v="1"/>
    <n v="0"/>
    <n v="0"/>
    <n v="0"/>
    <n v="0"/>
    <n v="0"/>
    <n v="0"/>
    <n v="0"/>
    <n v="8"/>
    <n v="8"/>
    <n v="1"/>
    <n v="0"/>
    <n v="0"/>
    <n v="0"/>
    <n v="0"/>
    <n v="0"/>
    <n v="0"/>
    <n v="0"/>
    <n v="1"/>
    <n v="0"/>
    <n v="0"/>
    <n v="0"/>
    <n v="0"/>
    <n v="0"/>
    <n v="0"/>
    <n v="0"/>
    <s v="No"/>
    <s v=""/>
    <n v="0"/>
    <n v="0"/>
    <n v="0"/>
    <s v="uncovered"/>
    <x v="0"/>
    <x v="4"/>
    <x v="1"/>
    <n v="24.404876999999999"/>
    <n v="97.407787999999996"/>
    <s v="MMR001CMP061"/>
    <x v="1"/>
    <s v="cccm_2019OCT"/>
  </r>
  <r>
    <x v="0"/>
    <x v="4"/>
    <x v="4"/>
    <m/>
    <x v="0"/>
    <x v="2"/>
    <x v="1"/>
    <x v="145"/>
    <n v="80"/>
    <n v="449"/>
    <m/>
    <m/>
    <m/>
    <m/>
    <m/>
    <m/>
    <m/>
    <m/>
    <n v="4"/>
    <m/>
    <m/>
    <m/>
    <m/>
    <m/>
    <m/>
    <m/>
    <m/>
    <m/>
    <m/>
    <m/>
    <m/>
    <m/>
    <m/>
    <m/>
    <m/>
    <m/>
    <m/>
    <m/>
    <m/>
    <m/>
    <m/>
    <m/>
    <m/>
    <m/>
    <m/>
    <m/>
    <m/>
    <m/>
    <m/>
    <x v="0"/>
    <x v="0"/>
    <m/>
    <m/>
    <m/>
    <m/>
    <m/>
    <m/>
    <m/>
    <m/>
    <m/>
    <m/>
    <m/>
    <m/>
    <m/>
    <m/>
    <m/>
    <m/>
    <m/>
    <m/>
    <m/>
    <m/>
    <m/>
    <m/>
    <m/>
    <m/>
    <m/>
    <m/>
    <s v="no test"/>
    <s v="no test"/>
    <s v="No Test"/>
    <n v="0"/>
    <n v="0"/>
    <n v="0"/>
    <n v="0"/>
    <n v="0"/>
    <n v="0"/>
    <n v="0"/>
    <n v="0"/>
    <n v="0"/>
    <n v="0"/>
    <n v="0"/>
    <n v="0"/>
    <n v="0"/>
    <n v="0"/>
    <n v="0"/>
    <n v="1"/>
    <n v="449"/>
    <n v="1"/>
    <n v="1"/>
    <n v="0"/>
    <n v="0"/>
    <n v="0"/>
    <n v="0"/>
    <n v="0"/>
    <n v="0"/>
    <n v="0"/>
    <n v="22"/>
    <n v="22"/>
    <n v="1"/>
    <n v="0"/>
    <n v="0"/>
    <n v="0"/>
    <n v="0"/>
    <n v="0"/>
    <n v="0"/>
    <n v="0"/>
    <n v="1"/>
    <n v="0"/>
    <n v="0"/>
    <n v="0"/>
    <n v="0"/>
    <n v="0"/>
    <n v="0"/>
    <n v="0"/>
    <s v="No"/>
    <s v=""/>
    <n v="0"/>
    <n v="0"/>
    <n v="0"/>
    <s v="uncovered"/>
    <x v="0"/>
    <x v="0"/>
    <x v="1"/>
    <n v="25.391428000000001"/>
    <n v="97.898184999999998"/>
    <s v="MMR001CMP258"/>
    <x v="1"/>
    <s v="cccm_2019OCT"/>
  </r>
  <r>
    <x v="0"/>
    <x v="4"/>
    <x v="4"/>
    <m/>
    <x v="0"/>
    <x v="0"/>
    <x v="1"/>
    <x v="146"/>
    <n v="30"/>
    <n v="159"/>
    <m/>
    <m/>
    <m/>
    <m/>
    <m/>
    <m/>
    <m/>
    <m/>
    <n v="2"/>
    <m/>
    <m/>
    <m/>
    <m/>
    <m/>
    <m/>
    <m/>
    <m/>
    <m/>
    <m/>
    <m/>
    <m/>
    <m/>
    <m/>
    <m/>
    <m/>
    <m/>
    <m/>
    <m/>
    <m/>
    <m/>
    <m/>
    <m/>
    <m/>
    <m/>
    <m/>
    <m/>
    <m/>
    <m/>
    <m/>
    <x v="0"/>
    <x v="0"/>
    <m/>
    <m/>
    <m/>
    <m/>
    <m/>
    <m/>
    <m/>
    <m/>
    <m/>
    <m/>
    <m/>
    <m/>
    <m/>
    <m/>
    <m/>
    <m/>
    <m/>
    <m/>
    <m/>
    <m/>
    <m/>
    <m/>
    <m/>
    <m/>
    <m/>
    <m/>
    <s v="no test"/>
    <s v="no test"/>
    <s v="No Test"/>
    <n v="0"/>
    <n v="0"/>
    <n v="0"/>
    <n v="0"/>
    <n v="0"/>
    <n v="0"/>
    <n v="0"/>
    <n v="0"/>
    <n v="0"/>
    <n v="0"/>
    <n v="0"/>
    <n v="0"/>
    <n v="0"/>
    <n v="0"/>
    <n v="0"/>
    <n v="1"/>
    <n v="159"/>
    <n v="1"/>
    <n v="1"/>
    <n v="0"/>
    <n v="0"/>
    <n v="0"/>
    <n v="0"/>
    <n v="0"/>
    <n v="0"/>
    <n v="0"/>
    <n v="8"/>
    <n v="8"/>
    <n v="1"/>
    <n v="0"/>
    <n v="0"/>
    <n v="0"/>
    <n v="0"/>
    <n v="0"/>
    <n v="0"/>
    <n v="0"/>
    <n v="1"/>
    <n v="0"/>
    <n v="0"/>
    <n v="0"/>
    <n v="0"/>
    <n v="0"/>
    <n v="0"/>
    <n v="0"/>
    <s v="No"/>
    <s v=""/>
    <n v="0"/>
    <n v="0"/>
    <n v="0"/>
    <s v="uncovered"/>
    <x v="0"/>
    <x v="0"/>
    <x v="1"/>
    <n v="25.387892000000001"/>
    <n v="97.325181999999998"/>
    <s v="MMR001CMP276"/>
    <x v="1"/>
    <s v="cccm_2019OCT"/>
  </r>
  <r>
    <x v="0"/>
    <x v="4"/>
    <x v="4"/>
    <m/>
    <x v="0"/>
    <x v="3"/>
    <x v="1"/>
    <x v="147"/>
    <n v="4"/>
    <n v="11"/>
    <m/>
    <m/>
    <m/>
    <m/>
    <m/>
    <m/>
    <m/>
    <m/>
    <n v="3"/>
    <m/>
    <m/>
    <m/>
    <m/>
    <m/>
    <m/>
    <m/>
    <m/>
    <m/>
    <m/>
    <m/>
    <m/>
    <m/>
    <m/>
    <m/>
    <m/>
    <m/>
    <m/>
    <m/>
    <m/>
    <m/>
    <m/>
    <m/>
    <m/>
    <m/>
    <m/>
    <m/>
    <m/>
    <m/>
    <m/>
    <x v="0"/>
    <x v="0"/>
    <m/>
    <m/>
    <m/>
    <m/>
    <m/>
    <m/>
    <m/>
    <m/>
    <m/>
    <m/>
    <m/>
    <m/>
    <m/>
    <m/>
    <m/>
    <m/>
    <m/>
    <m/>
    <m/>
    <m/>
    <m/>
    <m/>
    <m/>
    <m/>
    <m/>
    <m/>
    <s v="no test"/>
    <s v="no test"/>
    <s v="No Test"/>
    <n v="0"/>
    <n v="0"/>
    <n v="0"/>
    <n v="0"/>
    <n v="0"/>
    <n v="0"/>
    <n v="0"/>
    <n v="0"/>
    <n v="0"/>
    <n v="0"/>
    <n v="0"/>
    <n v="0"/>
    <n v="0"/>
    <n v="0"/>
    <n v="0"/>
    <n v="1"/>
    <n v="11"/>
    <n v="1"/>
    <n v="1"/>
    <n v="0"/>
    <n v="0"/>
    <n v="0"/>
    <n v="0"/>
    <n v="0"/>
    <n v="0"/>
    <n v="0"/>
    <n v="1"/>
    <n v="1"/>
    <n v="1"/>
    <n v="0"/>
    <n v="0"/>
    <n v="0"/>
    <n v="0"/>
    <n v="0"/>
    <n v="0"/>
    <n v="0"/>
    <n v="1"/>
    <n v="0"/>
    <n v="0"/>
    <n v="0"/>
    <n v="0"/>
    <n v="0"/>
    <n v="0"/>
    <n v="0"/>
    <s v="No"/>
    <s v=""/>
    <n v="0"/>
    <n v="0"/>
    <s v="Yes"/>
    <s v="uncovered"/>
    <x v="0"/>
    <x v="0"/>
    <x v="1"/>
    <n v="25.920006000000001"/>
    <n v="96.662092000000001"/>
    <s v="MMR001CMP246"/>
    <x v="1"/>
    <s v="cccm_2019OCT"/>
  </r>
  <r>
    <x v="0"/>
    <x v="4"/>
    <x v="4"/>
    <m/>
    <x v="0"/>
    <x v="21"/>
    <x v="1"/>
    <x v="148"/>
    <n v="31"/>
    <n v="129"/>
    <m/>
    <m/>
    <m/>
    <m/>
    <m/>
    <m/>
    <m/>
    <m/>
    <n v="4"/>
    <m/>
    <m/>
    <m/>
    <m/>
    <m/>
    <m/>
    <m/>
    <m/>
    <m/>
    <m/>
    <m/>
    <m/>
    <m/>
    <m/>
    <m/>
    <m/>
    <m/>
    <m/>
    <m/>
    <m/>
    <m/>
    <m/>
    <m/>
    <m/>
    <m/>
    <m/>
    <m/>
    <m/>
    <m/>
    <m/>
    <x v="0"/>
    <x v="0"/>
    <m/>
    <m/>
    <m/>
    <m/>
    <m/>
    <m/>
    <m/>
    <m/>
    <m/>
    <m/>
    <m/>
    <m/>
    <m/>
    <m/>
    <m/>
    <m/>
    <m/>
    <m/>
    <m/>
    <m/>
    <m/>
    <m/>
    <m/>
    <m/>
    <m/>
    <m/>
    <s v="no test"/>
    <s v="no test"/>
    <s v="No Test"/>
    <n v="0"/>
    <n v="0"/>
    <n v="0"/>
    <n v="0"/>
    <n v="0"/>
    <n v="0"/>
    <n v="0"/>
    <n v="0"/>
    <n v="0"/>
    <n v="0"/>
    <n v="0"/>
    <n v="0"/>
    <n v="0"/>
    <n v="0"/>
    <n v="0"/>
    <n v="1"/>
    <n v="129"/>
    <n v="1"/>
    <n v="1"/>
    <n v="0"/>
    <n v="0"/>
    <n v="0"/>
    <n v="0"/>
    <n v="0"/>
    <n v="0"/>
    <n v="0"/>
    <n v="6"/>
    <n v="6"/>
    <n v="1"/>
    <n v="0"/>
    <n v="0"/>
    <n v="0"/>
    <n v="0"/>
    <n v="0"/>
    <n v="0"/>
    <n v="0"/>
    <n v="1"/>
    <n v="0"/>
    <n v="0"/>
    <n v="0"/>
    <n v="0"/>
    <n v="0"/>
    <n v="0"/>
    <n v="0"/>
    <s v="No"/>
    <s v=""/>
    <n v="0"/>
    <n v="0"/>
    <s v="Yes"/>
    <s v="KMSS-MYT"/>
    <x v="0"/>
    <x v="1"/>
    <x v="1"/>
    <n v="26.350176000000001"/>
    <n v="96.711387999999999"/>
    <s v="MMR001CMP251"/>
    <x v="1"/>
    <s v="cccm_2019OCT"/>
  </r>
  <r>
    <x v="0"/>
    <x v="4"/>
    <x v="4"/>
    <m/>
    <x v="0"/>
    <x v="11"/>
    <x v="1"/>
    <x v="149"/>
    <n v="5"/>
    <n v="32"/>
    <m/>
    <m/>
    <m/>
    <m/>
    <m/>
    <m/>
    <m/>
    <m/>
    <n v="4"/>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No"/>
    <s v=""/>
    <n v="0"/>
    <n v="0"/>
    <n v="0"/>
    <s v="uncovered"/>
    <x v="0"/>
    <x v="0"/>
    <x v="1"/>
    <n v="26.541930000000001"/>
    <n v="97.568836000000005"/>
    <s v="MMR001CMP206"/>
    <x v="1"/>
    <s v="cccm_2019OCT"/>
  </r>
  <r>
    <x v="0"/>
    <x v="4"/>
    <x v="4"/>
    <m/>
    <x v="0"/>
    <x v="21"/>
    <x v="1"/>
    <x v="150"/>
    <n v="36"/>
    <n v="152"/>
    <m/>
    <m/>
    <m/>
    <m/>
    <m/>
    <m/>
    <m/>
    <m/>
    <n v="5"/>
    <m/>
    <m/>
    <m/>
    <m/>
    <m/>
    <m/>
    <m/>
    <m/>
    <m/>
    <m/>
    <m/>
    <m/>
    <m/>
    <m/>
    <m/>
    <m/>
    <m/>
    <m/>
    <m/>
    <m/>
    <m/>
    <m/>
    <m/>
    <m/>
    <m/>
    <m/>
    <m/>
    <m/>
    <m/>
    <m/>
    <x v="0"/>
    <x v="0"/>
    <m/>
    <m/>
    <m/>
    <m/>
    <m/>
    <m/>
    <m/>
    <m/>
    <m/>
    <m/>
    <m/>
    <m/>
    <m/>
    <m/>
    <m/>
    <m/>
    <m/>
    <m/>
    <m/>
    <m/>
    <m/>
    <m/>
    <m/>
    <m/>
    <m/>
    <m/>
    <s v="no test"/>
    <s v="no test"/>
    <s v="No Test"/>
    <n v="0"/>
    <n v="0"/>
    <n v="0"/>
    <n v="0"/>
    <n v="0"/>
    <n v="0"/>
    <n v="0"/>
    <n v="0"/>
    <n v="0"/>
    <n v="0"/>
    <n v="0"/>
    <n v="0"/>
    <n v="0"/>
    <n v="0"/>
    <n v="0"/>
    <n v="1"/>
    <n v="152"/>
    <n v="1"/>
    <n v="1"/>
    <n v="0"/>
    <n v="0"/>
    <n v="0"/>
    <n v="0"/>
    <n v="0"/>
    <n v="0"/>
    <n v="0"/>
    <n v="8"/>
    <n v="8"/>
    <n v="1"/>
    <n v="0"/>
    <n v="0"/>
    <n v="0"/>
    <n v="0"/>
    <n v="0"/>
    <n v="0"/>
    <n v="0"/>
    <n v="1"/>
    <n v="0"/>
    <n v="0"/>
    <n v="0"/>
    <n v="0"/>
    <n v="0"/>
    <n v="0"/>
    <n v="0"/>
    <s v="No"/>
    <s v=""/>
    <n v="0"/>
    <n v="0"/>
    <s v="Yes"/>
    <s v="KMSS-MYT"/>
    <x v="0"/>
    <x v="1"/>
    <x v="1"/>
    <n v="26.351690999999999"/>
    <n v="96.690871999999999"/>
    <s v="MMR001CMP254"/>
    <x v="1"/>
    <s v="cccm_2019OCT"/>
  </r>
  <r>
    <x v="0"/>
    <x v="4"/>
    <x v="4"/>
    <m/>
    <x v="0"/>
    <x v="21"/>
    <x v="1"/>
    <x v="151"/>
    <n v="127"/>
    <n v="450"/>
    <m/>
    <m/>
    <m/>
    <m/>
    <m/>
    <m/>
    <m/>
    <m/>
    <n v="4"/>
    <m/>
    <m/>
    <m/>
    <m/>
    <m/>
    <m/>
    <m/>
    <m/>
    <m/>
    <m/>
    <m/>
    <m/>
    <m/>
    <m/>
    <m/>
    <m/>
    <m/>
    <m/>
    <m/>
    <m/>
    <m/>
    <m/>
    <m/>
    <m/>
    <m/>
    <m/>
    <m/>
    <m/>
    <m/>
    <m/>
    <x v="0"/>
    <x v="0"/>
    <m/>
    <m/>
    <m/>
    <m/>
    <m/>
    <m/>
    <m/>
    <m/>
    <m/>
    <m/>
    <m/>
    <m/>
    <m/>
    <m/>
    <m/>
    <m/>
    <m/>
    <m/>
    <m/>
    <m/>
    <m/>
    <m/>
    <m/>
    <m/>
    <m/>
    <m/>
    <s v="no test"/>
    <s v="no test"/>
    <s v="No Test"/>
    <n v="0"/>
    <n v="0"/>
    <n v="0"/>
    <n v="0"/>
    <n v="0"/>
    <n v="0"/>
    <n v="0"/>
    <n v="0"/>
    <n v="0"/>
    <n v="0"/>
    <n v="0"/>
    <n v="0"/>
    <n v="0"/>
    <n v="0"/>
    <n v="0"/>
    <n v="1"/>
    <n v="450"/>
    <n v="1"/>
    <n v="1"/>
    <n v="0"/>
    <n v="0"/>
    <n v="0"/>
    <n v="0"/>
    <n v="0"/>
    <n v="0"/>
    <n v="0"/>
    <n v="23"/>
    <n v="23"/>
    <n v="1"/>
    <n v="0"/>
    <n v="0"/>
    <n v="0"/>
    <n v="0"/>
    <n v="0"/>
    <n v="0"/>
    <n v="0"/>
    <n v="1"/>
    <n v="0"/>
    <n v="0"/>
    <n v="0"/>
    <n v="0"/>
    <n v="0"/>
    <n v="0"/>
    <n v="0"/>
    <s v="No"/>
    <s v=""/>
    <n v="0"/>
    <n v="0"/>
    <s v="Yes"/>
    <s v="KBC-MYT"/>
    <x v="0"/>
    <x v="1"/>
    <x v="1"/>
    <n v="0"/>
    <n v="0"/>
    <s v="MMR001CMP253"/>
    <x v="1"/>
    <s v="cccm_2019OCT"/>
  </r>
  <r>
    <x v="0"/>
    <x v="4"/>
    <x v="4"/>
    <m/>
    <x v="0"/>
    <x v="8"/>
    <x v="1"/>
    <x v="152"/>
    <n v="14"/>
    <n v="75"/>
    <m/>
    <m/>
    <m/>
    <m/>
    <m/>
    <m/>
    <m/>
    <m/>
    <n v="4"/>
    <m/>
    <m/>
    <m/>
    <m/>
    <m/>
    <m/>
    <m/>
    <m/>
    <m/>
    <m/>
    <m/>
    <m/>
    <m/>
    <m/>
    <m/>
    <m/>
    <m/>
    <m/>
    <m/>
    <m/>
    <m/>
    <m/>
    <m/>
    <m/>
    <m/>
    <m/>
    <m/>
    <m/>
    <m/>
    <m/>
    <x v="0"/>
    <x v="0"/>
    <m/>
    <m/>
    <m/>
    <m/>
    <m/>
    <m/>
    <m/>
    <m/>
    <m/>
    <m/>
    <m/>
    <m/>
    <m/>
    <m/>
    <m/>
    <m/>
    <m/>
    <m/>
    <m/>
    <m/>
    <m/>
    <m/>
    <m/>
    <m/>
    <m/>
    <m/>
    <s v="no test"/>
    <s v="no test"/>
    <s v="No Test"/>
    <n v="0"/>
    <n v="0"/>
    <n v="0"/>
    <n v="0"/>
    <n v="0"/>
    <n v="0"/>
    <n v="0"/>
    <n v="0"/>
    <n v="0"/>
    <n v="0"/>
    <n v="0"/>
    <n v="0"/>
    <n v="0"/>
    <n v="0"/>
    <n v="0"/>
    <n v="1"/>
    <n v="75"/>
    <n v="1"/>
    <n v="1"/>
    <n v="0"/>
    <n v="0"/>
    <n v="0"/>
    <n v="0"/>
    <n v="0"/>
    <n v="0"/>
    <n v="0"/>
    <n v="4"/>
    <n v="4"/>
    <n v="1"/>
    <n v="0"/>
    <n v="0"/>
    <n v="0"/>
    <n v="0"/>
    <n v="0"/>
    <n v="0"/>
    <n v="0"/>
    <n v="1"/>
    <n v="0"/>
    <n v="0"/>
    <n v="0"/>
    <n v="0"/>
    <n v="0"/>
    <n v="0"/>
    <n v="0"/>
    <s v="No"/>
    <s v=""/>
    <n v="0"/>
    <n v="0"/>
    <n v="0"/>
    <s v="uncovered"/>
    <x v="0"/>
    <x v="4"/>
    <x v="1"/>
    <n v="27.311699999999998"/>
    <n v="97.415289999999999"/>
    <s v="MMR001CMP075"/>
    <x v="1"/>
    <s v="cccm_2019OCT"/>
  </r>
  <r>
    <x v="0"/>
    <x v="5"/>
    <x v="5"/>
    <s v="DFID"/>
    <x v="0"/>
    <x v="3"/>
    <x v="1"/>
    <x v="153"/>
    <n v="70"/>
    <n v="350"/>
    <d v="2018-08-01T00:00:00"/>
    <d v="2020-07-31T00:00:00"/>
    <m/>
    <m/>
    <m/>
    <m/>
    <m/>
    <m/>
    <n v="4"/>
    <m/>
    <m/>
    <m/>
    <m/>
    <m/>
    <m/>
    <m/>
    <m/>
    <m/>
    <m/>
    <m/>
    <m/>
    <m/>
    <m/>
    <m/>
    <m/>
    <m/>
    <m/>
    <m/>
    <m/>
    <m/>
    <m/>
    <m/>
    <m/>
    <m/>
    <m/>
    <m/>
    <m/>
    <m/>
    <m/>
    <x v="0"/>
    <x v="0"/>
    <m/>
    <m/>
    <m/>
    <m/>
    <m/>
    <m/>
    <m/>
    <m/>
    <m/>
    <m/>
    <m/>
    <m/>
    <m/>
    <m/>
    <m/>
    <m/>
    <m/>
    <m/>
    <m/>
    <m/>
    <m/>
    <m/>
    <m/>
    <m/>
    <m/>
    <m/>
    <s v="no test"/>
    <s v="no test"/>
    <s v="No Test"/>
    <n v="0"/>
    <n v="0"/>
    <n v="0"/>
    <n v="0"/>
    <n v="0"/>
    <n v="0"/>
    <n v="0"/>
    <n v="0"/>
    <n v="0"/>
    <n v="0"/>
    <n v="0"/>
    <n v="0"/>
    <n v="0"/>
    <n v="0"/>
    <n v="0"/>
    <n v="1"/>
    <n v="350"/>
    <n v="1"/>
    <n v="1"/>
    <n v="0"/>
    <n v="0"/>
    <n v="0"/>
    <n v="0"/>
    <n v="0"/>
    <n v="0"/>
    <n v="0"/>
    <n v="18"/>
    <n v="18"/>
    <n v="1"/>
    <n v="0"/>
    <n v="0"/>
    <n v="0"/>
    <n v="0"/>
    <n v="0"/>
    <n v="0"/>
    <n v="0"/>
    <n v="1"/>
    <n v="0"/>
    <n v="0"/>
    <n v="0"/>
    <n v="0"/>
    <n v="0"/>
    <n v="0"/>
    <n v="0"/>
    <s v="No"/>
    <s v=""/>
    <n v="0"/>
    <n v="0"/>
    <s v="Yes"/>
    <s v="KMSS-MYT"/>
    <x v="0"/>
    <x v="1"/>
    <x v="1"/>
    <n v="25.656009999999998"/>
    <n v="96.361609999999999"/>
    <s v="MMR001CMP168"/>
    <x v="0"/>
    <s v="cccm_2019OCT"/>
  </r>
  <r>
    <x v="0"/>
    <x v="5"/>
    <x v="5"/>
    <s v="DFID"/>
    <x v="0"/>
    <x v="3"/>
    <x v="1"/>
    <x v="154"/>
    <n v="70"/>
    <n v="371"/>
    <d v="2018-08-01T00:00:00"/>
    <d v="2020-07-31T00:00:00"/>
    <m/>
    <n v="1"/>
    <m/>
    <m/>
    <s v="Yes"/>
    <n v="10"/>
    <n v="5"/>
    <n v="1"/>
    <m/>
    <m/>
    <n v="0"/>
    <n v="0"/>
    <m/>
    <m/>
    <n v="0"/>
    <m/>
    <m/>
    <n v="0"/>
    <n v="0"/>
    <n v="0"/>
    <n v="0"/>
    <n v="1"/>
    <m/>
    <m/>
    <m/>
    <m/>
    <n v="0"/>
    <n v="0"/>
    <m/>
    <n v="19"/>
    <n v="7"/>
    <s v="Chruch"/>
    <m/>
    <m/>
    <m/>
    <m/>
    <n v="0"/>
    <x v="1"/>
    <x v="1"/>
    <n v="0"/>
    <n v="0"/>
    <n v="0"/>
    <m/>
    <m/>
    <m/>
    <n v="2"/>
    <m/>
    <n v="0"/>
    <n v="4"/>
    <m/>
    <n v="8"/>
    <n v="5"/>
    <m/>
    <m/>
    <s v="No"/>
    <m/>
    <m/>
    <m/>
    <m/>
    <m/>
    <m/>
    <m/>
    <m/>
    <m/>
    <m/>
    <s v="no test"/>
    <s v="no test"/>
    <s v="No Test"/>
    <n v="1"/>
    <n v="0"/>
    <n v="0"/>
    <n v="0"/>
    <n v="0"/>
    <n v="0"/>
    <n v="1"/>
    <n v="0.67385444743935308"/>
    <n v="1"/>
    <n v="371"/>
    <n v="0"/>
    <n v="0"/>
    <n v="1"/>
    <n v="371"/>
    <n v="0.74199999999999999"/>
    <n v="0"/>
    <n v="0"/>
    <n v="0.25800000000000001"/>
    <n v="1"/>
    <n v="26"/>
    <n v="1"/>
    <n v="371"/>
    <n v="0"/>
    <n v="0"/>
    <n v="0"/>
    <n v="0"/>
    <n v="19"/>
    <n v="0"/>
    <n v="0"/>
    <n v="0"/>
    <n v="371"/>
    <n v="0"/>
    <n v="0"/>
    <n v="0"/>
    <n v="371"/>
    <n v="1"/>
    <n v="0"/>
    <n v="1"/>
    <n v="0"/>
    <n v="0"/>
    <n v="2"/>
    <n v="40"/>
    <n v="0"/>
    <n v="200"/>
    <s v="No"/>
    <s v=""/>
    <n v="0"/>
    <n v="0"/>
    <s v="Yes"/>
    <s v="Shalom"/>
    <x v="0"/>
    <x v="1"/>
    <x v="1"/>
    <n v="25.635300000000001"/>
    <n v="96.345569999999995"/>
    <s v="MMR001CMP176"/>
    <x v="0"/>
    <s v="cccm_2019OCT"/>
  </r>
  <r>
    <x v="0"/>
    <x v="5"/>
    <x v="5"/>
    <s v="DFID"/>
    <x v="0"/>
    <x v="3"/>
    <x v="1"/>
    <x v="155"/>
    <n v="13"/>
    <n v="83"/>
    <d v="2018-08-01T00:00:00"/>
    <d v="2020-07-31T00:00:00"/>
    <m/>
    <n v="1"/>
    <m/>
    <m/>
    <s v="Yes"/>
    <n v="0"/>
    <n v="3"/>
    <n v="1"/>
    <m/>
    <m/>
    <n v="0"/>
    <n v="0"/>
    <m/>
    <m/>
    <n v="0"/>
    <m/>
    <m/>
    <n v="0"/>
    <n v="0"/>
    <n v="0"/>
    <n v="0"/>
    <n v="0"/>
    <m/>
    <m/>
    <m/>
    <m/>
    <n v="0"/>
    <n v="0"/>
    <m/>
    <n v="5"/>
    <n v="1"/>
    <s v="Shalom"/>
    <m/>
    <m/>
    <m/>
    <m/>
    <n v="0"/>
    <x v="1"/>
    <x v="4"/>
    <n v="0"/>
    <n v="0"/>
    <n v="0"/>
    <m/>
    <m/>
    <m/>
    <n v="3"/>
    <m/>
    <n v="0"/>
    <n v="2"/>
    <m/>
    <n v="1"/>
    <n v="2"/>
    <m/>
    <m/>
    <s v="No"/>
    <m/>
    <m/>
    <m/>
    <m/>
    <m/>
    <m/>
    <m/>
    <m/>
    <m/>
    <m/>
    <s v="no test"/>
    <s v="no test"/>
    <s v="No Test"/>
    <n v="1"/>
    <n v="0"/>
    <n v="0"/>
    <n v="0"/>
    <n v="0"/>
    <n v="0"/>
    <n v="1"/>
    <n v="1"/>
    <n v="1"/>
    <n v="83"/>
    <n v="0"/>
    <n v="0"/>
    <n v="1"/>
    <n v="83"/>
    <n v="0.16600000000000001"/>
    <n v="0"/>
    <n v="0"/>
    <n v="0.83399999999999996"/>
    <n v="1"/>
    <n v="6"/>
    <n v="1"/>
    <n v="83"/>
    <n v="0"/>
    <n v="0"/>
    <n v="0"/>
    <n v="0"/>
    <n v="4"/>
    <n v="0"/>
    <n v="0"/>
    <n v="0"/>
    <n v="83"/>
    <n v="0"/>
    <n v="0"/>
    <n v="0"/>
    <n v="83"/>
    <n v="1"/>
    <n v="0"/>
    <n v="1"/>
    <n v="0"/>
    <n v="0"/>
    <n v="3"/>
    <n v="13"/>
    <n v="0"/>
    <n v="83"/>
    <s v="No"/>
    <s v=""/>
    <n v="0"/>
    <n v="0"/>
    <s v="Yes"/>
    <s v="Shalom"/>
    <x v="0"/>
    <x v="1"/>
    <x v="1"/>
    <n v="25.616509000000001"/>
    <n v="96.317350000000005"/>
    <s v="MMR001CMP190"/>
    <x v="0"/>
    <s v="cccm_2019OCT"/>
  </r>
  <r>
    <x v="0"/>
    <x v="5"/>
    <x v="5"/>
    <s v="DFID"/>
    <x v="0"/>
    <x v="3"/>
    <x v="1"/>
    <x v="156"/>
    <n v="36"/>
    <n v="228"/>
    <d v="2018-08-01T00:00:00"/>
    <d v="2020-07-31T00:00:00"/>
    <m/>
    <n v="1"/>
    <m/>
    <m/>
    <s v="Yes"/>
    <n v="2"/>
    <n v="2"/>
    <n v="2"/>
    <m/>
    <m/>
    <n v="0"/>
    <n v="0"/>
    <m/>
    <m/>
    <n v="0"/>
    <m/>
    <m/>
    <n v="0"/>
    <n v="0"/>
    <n v="0"/>
    <n v="0"/>
    <n v="1"/>
    <m/>
    <m/>
    <m/>
    <m/>
    <n v="0"/>
    <n v="0"/>
    <m/>
    <n v="10"/>
    <n v="0"/>
    <s v="Shalom"/>
    <m/>
    <m/>
    <m/>
    <m/>
    <n v="0"/>
    <x v="1"/>
    <x v="1"/>
    <n v="0"/>
    <n v="0"/>
    <n v="0"/>
    <m/>
    <m/>
    <m/>
    <n v="0"/>
    <m/>
    <n v="0"/>
    <n v="3"/>
    <m/>
    <n v="2"/>
    <n v="2"/>
    <m/>
    <m/>
    <s v="No"/>
    <m/>
    <m/>
    <m/>
    <m/>
    <m/>
    <m/>
    <m/>
    <m/>
    <m/>
    <m/>
    <s v="no test"/>
    <s v="no test"/>
    <s v="No Test"/>
    <n v="2"/>
    <n v="0"/>
    <n v="0"/>
    <n v="0"/>
    <n v="0"/>
    <n v="0"/>
    <n v="1"/>
    <n v="1"/>
    <n v="1"/>
    <n v="228"/>
    <n v="0"/>
    <n v="0"/>
    <n v="1"/>
    <n v="228"/>
    <n v="0.45600000000000002"/>
    <n v="0"/>
    <n v="0"/>
    <n v="0.54400000000000004"/>
    <n v="1"/>
    <n v="10"/>
    <n v="0.8771929824561403"/>
    <n v="200"/>
    <n v="0"/>
    <n v="0"/>
    <n v="0"/>
    <n v="0"/>
    <n v="11"/>
    <n v="1"/>
    <n v="0.1228070175438597"/>
    <n v="0"/>
    <n v="228"/>
    <n v="0"/>
    <n v="0"/>
    <n v="0"/>
    <n v="228"/>
    <n v="1"/>
    <n v="0"/>
    <n v="1"/>
    <n v="0"/>
    <n v="0"/>
    <n v="0"/>
    <n v="0"/>
    <n v="0"/>
    <n v="0"/>
    <s v="No"/>
    <s v=""/>
    <n v="0"/>
    <n v="0"/>
    <s v="Yes"/>
    <s v="KBC-MYT"/>
    <x v="0"/>
    <x v="1"/>
    <x v="1"/>
    <n v="25.647649999999999"/>
    <n v="96.346469999999997"/>
    <s v="MMR001CMP169"/>
    <x v="0"/>
    <s v="cccm_2019OCT"/>
  </r>
  <r>
    <x v="0"/>
    <x v="5"/>
    <x v="5"/>
    <s v="DFID"/>
    <x v="0"/>
    <x v="3"/>
    <x v="1"/>
    <x v="157"/>
    <n v="6"/>
    <n v="31"/>
    <d v="2018-08-01T00:00:00"/>
    <d v="2020-07-31T00:00:00"/>
    <m/>
    <n v="1"/>
    <m/>
    <m/>
    <s v="Yes"/>
    <n v="1"/>
    <n v="3"/>
    <n v="0"/>
    <m/>
    <m/>
    <n v="0"/>
    <n v="0"/>
    <m/>
    <m/>
    <n v="0"/>
    <m/>
    <m/>
    <n v="0"/>
    <n v="0"/>
    <n v="0"/>
    <n v="0"/>
    <n v="0"/>
    <m/>
    <m/>
    <m/>
    <m/>
    <n v="0"/>
    <n v="0"/>
    <m/>
    <n v="2"/>
    <n v="0"/>
    <s v="Shalom"/>
    <m/>
    <m/>
    <m/>
    <m/>
    <n v="0"/>
    <x v="1"/>
    <x v="4"/>
    <n v="0"/>
    <n v="0"/>
    <n v="0"/>
    <m/>
    <m/>
    <m/>
    <n v="0"/>
    <m/>
    <n v="0"/>
    <n v="1"/>
    <m/>
    <n v="1"/>
    <n v="2"/>
    <m/>
    <m/>
    <s v="No"/>
    <m/>
    <m/>
    <m/>
    <m/>
    <m/>
    <m/>
    <m/>
    <m/>
    <m/>
    <m/>
    <s v="no test"/>
    <s v="no test"/>
    <s v="No Test"/>
    <n v="0"/>
    <n v="0"/>
    <n v="0"/>
    <n v="0"/>
    <n v="0"/>
    <n v="0"/>
    <n v="0"/>
    <n v="0"/>
    <n v="0"/>
    <n v="0"/>
    <n v="0"/>
    <n v="0"/>
    <n v="0"/>
    <n v="0"/>
    <n v="0"/>
    <n v="1"/>
    <n v="31"/>
    <n v="1"/>
    <n v="1"/>
    <n v="2"/>
    <n v="1"/>
    <n v="31"/>
    <n v="0"/>
    <n v="0"/>
    <n v="0"/>
    <n v="0"/>
    <n v="2"/>
    <n v="0"/>
    <n v="0"/>
    <n v="0"/>
    <n v="31"/>
    <n v="0"/>
    <n v="0"/>
    <n v="0"/>
    <n v="31"/>
    <n v="1"/>
    <n v="0"/>
    <n v="1"/>
    <n v="0"/>
    <n v="0"/>
    <n v="0"/>
    <n v="0"/>
    <n v="0"/>
    <n v="0"/>
    <s v="No"/>
    <s v=""/>
    <n v="0"/>
    <n v="0"/>
    <s v="Yes"/>
    <s v="Shalom"/>
    <x v="0"/>
    <x v="0"/>
    <x v="1"/>
    <n v="25.582065"/>
    <n v="96.283377000000002"/>
    <s v="MMR001CMP109"/>
    <x v="0"/>
    <s v="cccm_2019OCT"/>
  </r>
  <r>
    <x v="0"/>
    <x v="5"/>
    <x v="5"/>
    <s v="DFID"/>
    <x v="0"/>
    <x v="4"/>
    <x v="1"/>
    <x v="158"/>
    <n v="162"/>
    <n v="830"/>
    <d v="2018-08-01T00:00:00"/>
    <d v="2020-07-31T00:00:00"/>
    <m/>
    <n v="1"/>
    <m/>
    <m/>
    <s v="Yes"/>
    <n v="2"/>
    <n v="4"/>
    <n v="0"/>
    <m/>
    <m/>
    <n v="0"/>
    <m/>
    <m/>
    <m/>
    <n v="1"/>
    <m/>
    <m/>
    <m/>
    <m/>
    <m/>
    <m/>
    <n v="1"/>
    <m/>
    <m/>
    <m/>
    <m/>
    <m/>
    <m/>
    <m/>
    <n v="44"/>
    <n v="12"/>
    <s v="ICRC"/>
    <m/>
    <m/>
    <m/>
    <m/>
    <n v="0"/>
    <x v="2"/>
    <x v="2"/>
    <n v="0"/>
    <n v="0"/>
    <n v="0"/>
    <m/>
    <m/>
    <m/>
    <n v="5"/>
    <m/>
    <n v="0"/>
    <n v="9"/>
    <m/>
    <n v="2"/>
    <n v="3"/>
    <m/>
    <m/>
    <s v="No"/>
    <m/>
    <m/>
    <m/>
    <m/>
    <m/>
    <m/>
    <m/>
    <m/>
    <m/>
    <m/>
    <s v="no test"/>
    <s v="no test"/>
    <s v="No Test"/>
    <n v="0"/>
    <n v="0"/>
    <n v="1"/>
    <n v="0"/>
    <n v="0"/>
    <n v="0"/>
    <n v="8.0321285140562249E-2"/>
    <n v="8.0321285140562249E-2"/>
    <n v="8.0321285140562249E-2"/>
    <n v="66.666666666666671"/>
    <n v="0"/>
    <n v="0"/>
    <n v="8.0321285140562249E-2"/>
    <n v="66.666666666666671"/>
    <n v="0.13333333333333333"/>
    <n v="0.91967871485943775"/>
    <n v="763.33333333333337"/>
    <n v="1.8666666666666667"/>
    <n v="2"/>
    <n v="56"/>
    <n v="1"/>
    <n v="830"/>
    <n v="0"/>
    <n v="0"/>
    <n v="0"/>
    <n v="0"/>
    <n v="42"/>
    <n v="0"/>
    <n v="0"/>
    <n v="0"/>
    <n v="830"/>
    <n v="0"/>
    <n v="0"/>
    <n v="0"/>
    <n v="830"/>
    <n v="1"/>
    <n v="0"/>
    <n v="1"/>
    <n v="0"/>
    <n v="0"/>
    <n v="5"/>
    <n v="100"/>
    <n v="0"/>
    <n v="500"/>
    <s v="No"/>
    <s v=""/>
    <n v="0"/>
    <n v="0"/>
    <s v="Yes"/>
    <s v="Shalom"/>
    <x v="0"/>
    <x v="1"/>
    <x v="1"/>
    <n v="25.889410000000002"/>
    <n v="98.131550000000004"/>
    <s v="MMR001CMP042"/>
    <x v="0"/>
    <s v="cccm_2019OCT"/>
  </r>
  <r>
    <x v="0"/>
    <x v="5"/>
    <x v="5"/>
    <s v="DFID"/>
    <x v="0"/>
    <x v="3"/>
    <x v="1"/>
    <x v="159"/>
    <n v="70"/>
    <n v="377"/>
    <d v="2018-08-01T00:00:00"/>
    <d v="2020-07-31T00:00:00"/>
    <m/>
    <n v="1"/>
    <m/>
    <m/>
    <s v="Yes"/>
    <n v="4"/>
    <m/>
    <n v="0"/>
    <m/>
    <m/>
    <n v="0"/>
    <n v="0"/>
    <m/>
    <m/>
    <n v="0"/>
    <m/>
    <m/>
    <n v="0"/>
    <n v="0"/>
    <n v="0"/>
    <n v="0"/>
    <n v="0"/>
    <m/>
    <m/>
    <m/>
    <m/>
    <n v="0"/>
    <n v="0"/>
    <m/>
    <n v="22"/>
    <n v="0"/>
    <s v="Shalom"/>
    <m/>
    <m/>
    <m/>
    <m/>
    <n v="0"/>
    <x v="1"/>
    <x v="1"/>
    <n v="0"/>
    <n v="1"/>
    <n v="0"/>
    <m/>
    <m/>
    <m/>
    <n v="8"/>
    <n v="4"/>
    <n v="0"/>
    <n v="3"/>
    <m/>
    <n v="2"/>
    <n v="3"/>
    <m/>
    <m/>
    <s v="No"/>
    <m/>
    <m/>
    <m/>
    <m/>
    <m/>
    <m/>
    <m/>
    <m/>
    <m/>
    <m/>
    <s v="no test"/>
    <s v="no test"/>
    <s v="No Test"/>
    <n v="0"/>
    <n v="0"/>
    <n v="0"/>
    <n v="0"/>
    <n v="0"/>
    <n v="0"/>
    <n v="0"/>
    <n v="0"/>
    <n v="0"/>
    <n v="0"/>
    <n v="0"/>
    <n v="0"/>
    <n v="0"/>
    <n v="0"/>
    <n v="0"/>
    <n v="1"/>
    <n v="377"/>
    <n v="1"/>
    <n v="1"/>
    <n v="22"/>
    <n v="1"/>
    <n v="377"/>
    <n v="0"/>
    <n v="0"/>
    <n v="0"/>
    <n v="0"/>
    <n v="19"/>
    <n v="0"/>
    <n v="0"/>
    <n v="0"/>
    <n v="377"/>
    <n v="0"/>
    <n v="0"/>
    <n v="0"/>
    <n v="377"/>
    <n v="1"/>
    <n v="0"/>
    <n v="1"/>
    <n v="0"/>
    <n v="0"/>
    <n v="4"/>
    <n v="70"/>
    <n v="0"/>
    <n v="377"/>
    <s v="No"/>
    <s v=""/>
    <n v="0"/>
    <n v="0"/>
    <s v="Yes"/>
    <s v="Shalom"/>
    <x v="0"/>
    <x v="1"/>
    <x v="1"/>
    <n v="25.637309999999999"/>
    <n v="96.35257"/>
    <s v="MMR001CMP174"/>
    <x v="0"/>
    <s v="cccm_2019OCT"/>
  </r>
  <r>
    <x v="0"/>
    <x v="5"/>
    <x v="5"/>
    <s v="DFID"/>
    <x v="0"/>
    <x v="2"/>
    <x v="1"/>
    <x v="160"/>
    <n v="92"/>
    <n v="448"/>
    <d v="2018-08-01T00:00:00"/>
    <d v="2020-07-31T00:00:00"/>
    <m/>
    <n v="1"/>
    <m/>
    <m/>
    <s v="Yes"/>
    <n v="4"/>
    <m/>
    <n v="2"/>
    <m/>
    <m/>
    <n v="1"/>
    <m/>
    <m/>
    <m/>
    <n v="0"/>
    <m/>
    <m/>
    <n v="0"/>
    <n v="0"/>
    <n v="0"/>
    <n v="0"/>
    <n v="2"/>
    <m/>
    <m/>
    <m/>
    <m/>
    <n v="0"/>
    <n v="0"/>
    <m/>
    <n v="20"/>
    <n v="20"/>
    <s v="Unicef &amp; World vision"/>
    <m/>
    <m/>
    <m/>
    <m/>
    <n v="0"/>
    <x v="1"/>
    <x v="1"/>
    <n v="2"/>
    <n v="2"/>
    <n v="0"/>
    <m/>
    <m/>
    <m/>
    <n v="0"/>
    <m/>
    <n v="0"/>
    <n v="4"/>
    <m/>
    <n v="0"/>
    <n v="0"/>
    <m/>
    <m/>
    <s v="No"/>
    <m/>
    <m/>
    <m/>
    <m/>
    <m/>
    <m/>
    <m/>
    <m/>
    <m/>
    <m/>
    <s v="no test"/>
    <s v="no test"/>
    <s v="No Test"/>
    <n v="2"/>
    <n v="1"/>
    <n v="0"/>
    <n v="0"/>
    <n v="0"/>
    <n v="0"/>
    <n v="1"/>
    <n v="1"/>
    <n v="1"/>
    <n v="448"/>
    <n v="0"/>
    <n v="0"/>
    <n v="1"/>
    <n v="448"/>
    <n v="0.89600000000000002"/>
    <n v="0"/>
    <n v="0"/>
    <n v="0.10399999999999998"/>
    <n v="1"/>
    <n v="40"/>
    <n v="1"/>
    <n v="448"/>
    <n v="0"/>
    <n v="0"/>
    <n v="0"/>
    <n v="0"/>
    <n v="22"/>
    <n v="0"/>
    <n v="0"/>
    <n v="0"/>
    <n v="0"/>
    <n v="0"/>
    <n v="0"/>
    <n v="0"/>
    <n v="0"/>
    <n v="0"/>
    <n v="1"/>
    <n v="0"/>
    <n v="0"/>
    <n v="0"/>
    <n v="0"/>
    <n v="0"/>
    <n v="0"/>
    <n v="0"/>
    <s v="No"/>
    <s v=""/>
    <n v="0"/>
    <n v="0"/>
    <s v="Yes"/>
    <s v="Shalom"/>
    <x v="0"/>
    <x v="1"/>
    <x v="1"/>
    <n v="25.321710740740698"/>
    <n v="97.404195925926004"/>
    <s v="MMR001CMP028"/>
    <x v="0"/>
    <s v="cccm_2019OCT"/>
  </r>
  <r>
    <x v="0"/>
    <x v="5"/>
    <x v="5"/>
    <s v="DFID"/>
    <x v="0"/>
    <x v="3"/>
    <x v="1"/>
    <x v="161"/>
    <n v="2"/>
    <n v="14"/>
    <d v="2018-08-01T00:00:00"/>
    <d v="2020-07-31T00:00:00"/>
    <m/>
    <n v="0"/>
    <m/>
    <m/>
    <m/>
    <m/>
    <n v="4"/>
    <m/>
    <m/>
    <m/>
    <n v="0"/>
    <m/>
    <m/>
    <m/>
    <m/>
    <m/>
    <m/>
    <m/>
    <m/>
    <m/>
    <m/>
    <m/>
    <m/>
    <m/>
    <m/>
    <m/>
    <m/>
    <m/>
    <m/>
    <n v="0"/>
    <m/>
    <m/>
    <m/>
    <m/>
    <m/>
    <m/>
    <n v="0"/>
    <x v="3"/>
    <x v="3"/>
    <m/>
    <m/>
    <m/>
    <m/>
    <m/>
    <m/>
    <m/>
    <m/>
    <n v="0"/>
    <m/>
    <m/>
    <m/>
    <m/>
    <m/>
    <m/>
    <m/>
    <m/>
    <m/>
    <m/>
    <m/>
    <m/>
    <m/>
    <m/>
    <m/>
    <m/>
    <m/>
    <s v="no test"/>
    <s v="no test"/>
    <s v="No Test"/>
    <n v="0"/>
    <n v="0"/>
    <n v="0"/>
    <n v="0"/>
    <n v="0"/>
    <n v="0"/>
    <n v="0"/>
    <n v="0"/>
    <n v="0"/>
    <n v="0"/>
    <n v="0"/>
    <n v="0"/>
    <n v="0"/>
    <n v="0"/>
    <n v="0"/>
    <n v="1"/>
    <n v="14"/>
    <n v="1"/>
    <n v="1"/>
    <n v="0"/>
    <n v="0"/>
    <n v="0"/>
    <n v="0"/>
    <n v="0"/>
    <n v="0"/>
    <n v="0"/>
    <n v="1"/>
    <n v="1"/>
    <n v="1"/>
    <n v="0"/>
    <n v="0"/>
    <n v="0"/>
    <n v="0"/>
    <n v="0"/>
    <n v="0"/>
    <n v="0"/>
    <n v="1"/>
    <n v="0"/>
    <n v="0"/>
    <n v="0"/>
    <n v="0"/>
    <n v="0"/>
    <n v="0"/>
    <n v="0"/>
    <s v="No"/>
    <s v=""/>
    <n v="0"/>
    <n v="0"/>
    <s v="Yes"/>
    <s v="Shalom"/>
    <x v="0"/>
    <x v="0"/>
    <x v="1"/>
    <n v="25.615960999999999"/>
    <n v="96.316564"/>
    <s v="MMR001CMP191"/>
    <x v="0"/>
    <s v="cccm_2019OCT"/>
  </r>
  <r>
    <x v="0"/>
    <x v="5"/>
    <x v="5"/>
    <s v="DFID"/>
    <x v="0"/>
    <x v="3"/>
    <x v="1"/>
    <x v="162"/>
    <n v="107"/>
    <n v="519"/>
    <d v="2018-08-01T00:00:00"/>
    <d v="2020-07-31T00:00:00"/>
    <n v="28"/>
    <n v="1"/>
    <m/>
    <m/>
    <s v="Yes"/>
    <n v="4"/>
    <n v="4"/>
    <n v="0"/>
    <m/>
    <m/>
    <n v="0"/>
    <n v="0"/>
    <m/>
    <m/>
    <n v="1"/>
    <m/>
    <m/>
    <n v="0"/>
    <n v="4"/>
    <m/>
    <n v="0"/>
    <n v="1"/>
    <m/>
    <m/>
    <m/>
    <m/>
    <n v="0"/>
    <n v="0"/>
    <m/>
    <n v="32"/>
    <n v="0"/>
    <s v="Shalom"/>
    <m/>
    <m/>
    <m/>
    <m/>
    <n v="0"/>
    <x v="1"/>
    <x v="1"/>
    <n v="2"/>
    <n v="0"/>
    <n v="2"/>
    <m/>
    <m/>
    <m/>
    <n v="5"/>
    <m/>
    <n v="0"/>
    <n v="5"/>
    <m/>
    <n v="4"/>
    <n v="4"/>
    <m/>
    <m/>
    <s v="No"/>
    <m/>
    <m/>
    <m/>
    <m/>
    <m/>
    <m/>
    <m/>
    <m/>
    <m/>
    <m/>
    <s v="no test"/>
    <s v="no test"/>
    <s v="No Test"/>
    <n v="0"/>
    <n v="0"/>
    <n v="1"/>
    <n v="0"/>
    <n v="0"/>
    <n v="0"/>
    <n v="0.12845215157353887"/>
    <n v="0.12845215157353887"/>
    <n v="0.12845215157353887"/>
    <n v="66.666666666666671"/>
    <n v="1"/>
    <n v="519"/>
    <n v="1"/>
    <n v="519"/>
    <n v="1.038"/>
    <n v="0"/>
    <n v="0"/>
    <n v="0"/>
    <n v="1"/>
    <n v="32"/>
    <n v="1"/>
    <n v="519"/>
    <n v="0"/>
    <n v="28"/>
    <n v="0"/>
    <n v="28"/>
    <n v="26"/>
    <n v="0"/>
    <n v="0"/>
    <n v="0"/>
    <n v="519"/>
    <n v="0"/>
    <n v="0"/>
    <n v="0"/>
    <n v="519"/>
    <n v="1"/>
    <n v="0"/>
    <n v="1"/>
    <n v="0"/>
    <n v="0"/>
    <n v="5"/>
    <n v="100"/>
    <n v="0"/>
    <n v="500"/>
    <s v="Yes"/>
    <s v=""/>
    <n v="0"/>
    <n v="28"/>
    <s v="Yes"/>
    <s v="KBC-MYT"/>
    <x v="0"/>
    <x v="1"/>
    <x v="1"/>
    <n v="25.611160000000002"/>
    <n v="96.312790000000007"/>
    <s v="MMR001CMP229"/>
    <x v="0"/>
    <s v="cccm_2019OCT"/>
  </r>
  <r>
    <x v="0"/>
    <x v="5"/>
    <x v="5"/>
    <s v="DFID"/>
    <x v="0"/>
    <x v="3"/>
    <x v="1"/>
    <x v="163"/>
    <n v="123"/>
    <n v="672"/>
    <d v="2018-08-01T00:00:00"/>
    <d v="2020-07-31T00:00:00"/>
    <n v="23"/>
    <n v="2"/>
    <m/>
    <m/>
    <s v="Yes"/>
    <n v="1"/>
    <n v="4"/>
    <n v="0"/>
    <m/>
    <m/>
    <n v="0"/>
    <n v="0"/>
    <m/>
    <m/>
    <n v="1"/>
    <m/>
    <m/>
    <n v="0"/>
    <n v="1"/>
    <n v="1"/>
    <n v="0"/>
    <n v="0"/>
    <m/>
    <m/>
    <m/>
    <m/>
    <n v="0"/>
    <n v="0"/>
    <m/>
    <n v="23"/>
    <n v="13"/>
    <s v="ICRC"/>
    <m/>
    <m/>
    <n v="8"/>
    <m/>
    <n v="0"/>
    <x v="1"/>
    <x v="1"/>
    <n v="0"/>
    <n v="0"/>
    <n v="0"/>
    <m/>
    <m/>
    <m/>
    <n v="4"/>
    <m/>
    <n v="0"/>
    <n v="4"/>
    <m/>
    <n v="1"/>
    <n v="2"/>
    <m/>
    <m/>
    <s v="No"/>
    <m/>
    <m/>
    <m/>
    <m/>
    <m/>
    <m/>
    <m/>
    <m/>
    <m/>
    <m/>
    <s v="no test"/>
    <s v="no test"/>
    <s v="No Test"/>
    <n v="0"/>
    <n v="0"/>
    <n v="1"/>
    <n v="0"/>
    <n v="7.4074074074074081E-4"/>
    <n v="0"/>
    <n v="9.9207451499118166E-2"/>
    <n v="9.9207451499118166E-2"/>
    <n v="9.9207451499118166E-2"/>
    <n v="66.66740740740741"/>
    <n v="0.37202380952380953"/>
    <n v="250"/>
    <n v="0.47123126102292767"/>
    <n v="316.66740740740738"/>
    <n v="0.63333481481481479"/>
    <n v="0.52876873897707233"/>
    <n v="355.33259259259262"/>
    <n v="0.36666518518518521"/>
    <n v="1"/>
    <n v="36"/>
    <n v="1"/>
    <n v="672"/>
    <n v="160"/>
    <n v="0"/>
    <n v="0"/>
    <n v="0"/>
    <n v="34"/>
    <n v="0"/>
    <n v="0"/>
    <n v="0"/>
    <n v="672"/>
    <n v="0"/>
    <n v="0"/>
    <n v="0"/>
    <n v="672"/>
    <n v="1"/>
    <n v="0"/>
    <n v="1"/>
    <n v="0"/>
    <n v="0"/>
    <n v="4"/>
    <n v="80"/>
    <n v="0"/>
    <n v="400"/>
    <s v="Yes"/>
    <s v=""/>
    <n v="0"/>
    <n v="0"/>
    <s v="Yes"/>
    <s v="KBC-MYT"/>
    <x v="0"/>
    <x v="1"/>
    <x v="1"/>
    <n v="0"/>
    <n v="0"/>
    <s v="MMR001CMP250"/>
    <x v="0"/>
    <s v="cccm_2019OCT"/>
  </r>
  <r>
    <x v="0"/>
    <x v="5"/>
    <x v="5"/>
    <s v="DFID"/>
    <x v="0"/>
    <x v="4"/>
    <x v="1"/>
    <x v="164"/>
    <n v="205"/>
    <n v="856"/>
    <d v="2018-08-01T00:00:00"/>
    <d v="2020-07-31T00:00:00"/>
    <m/>
    <n v="1"/>
    <m/>
    <m/>
    <s v="Yes"/>
    <n v="4"/>
    <n v="5"/>
    <n v="0"/>
    <m/>
    <m/>
    <n v="0"/>
    <m/>
    <m/>
    <m/>
    <n v="1"/>
    <m/>
    <m/>
    <m/>
    <m/>
    <m/>
    <m/>
    <n v="1"/>
    <m/>
    <m/>
    <m/>
    <m/>
    <m/>
    <m/>
    <m/>
    <n v="51"/>
    <n v="14"/>
    <s v="Oxfam/ ICRC"/>
    <m/>
    <m/>
    <m/>
    <m/>
    <n v="0"/>
    <x v="2"/>
    <x v="2"/>
    <n v="0"/>
    <n v="0"/>
    <n v="0"/>
    <m/>
    <m/>
    <m/>
    <n v="3"/>
    <m/>
    <n v="0"/>
    <n v="12"/>
    <m/>
    <n v="4"/>
    <n v="2"/>
    <m/>
    <m/>
    <s v="No"/>
    <m/>
    <m/>
    <m/>
    <m/>
    <m/>
    <m/>
    <m/>
    <m/>
    <m/>
    <m/>
    <s v="no test"/>
    <s v="no test"/>
    <s v="No Test"/>
    <n v="0"/>
    <n v="0"/>
    <n v="1"/>
    <n v="0"/>
    <n v="0"/>
    <n v="0"/>
    <n v="7.7881619937694713E-2"/>
    <n v="7.7881619937694713E-2"/>
    <n v="7.7881619937694713E-2"/>
    <n v="66.666666666666671"/>
    <n v="0"/>
    <n v="0"/>
    <n v="7.7881619937694713E-2"/>
    <n v="66.666666666666671"/>
    <n v="0.13333333333333333"/>
    <n v="0.92211838006230529"/>
    <n v="789.33333333333337"/>
    <n v="1.8666666666666667"/>
    <n v="2"/>
    <n v="65"/>
    <n v="1"/>
    <n v="856"/>
    <n v="0"/>
    <n v="0"/>
    <n v="0"/>
    <n v="0"/>
    <n v="43"/>
    <n v="0"/>
    <n v="0"/>
    <n v="0"/>
    <n v="856"/>
    <n v="0"/>
    <n v="0"/>
    <n v="0"/>
    <n v="856"/>
    <n v="1"/>
    <n v="0"/>
    <n v="1"/>
    <n v="0"/>
    <n v="0"/>
    <n v="3"/>
    <n v="60"/>
    <n v="0"/>
    <n v="300"/>
    <s v="No"/>
    <s v=""/>
    <n v="0"/>
    <n v="0"/>
    <s v="Yes"/>
    <s v="Shalom"/>
    <x v="0"/>
    <x v="1"/>
    <x v="1"/>
    <n v="25.887339999999998"/>
    <n v="98.129990000000006"/>
    <s v="MMR001CMP195"/>
    <x v="0"/>
    <s v="cccm_2019OCT"/>
  </r>
  <r>
    <x v="0"/>
    <x v="5"/>
    <x v="5"/>
    <s v="DFID"/>
    <x v="0"/>
    <x v="3"/>
    <x v="1"/>
    <x v="165"/>
    <n v="18"/>
    <n v="103"/>
    <d v="2018-08-01T00:00:00"/>
    <d v="2020-07-31T00:00:00"/>
    <m/>
    <n v="1"/>
    <m/>
    <m/>
    <s v="Yes"/>
    <n v="1"/>
    <n v="5"/>
    <n v="0"/>
    <m/>
    <m/>
    <n v="0"/>
    <n v="0"/>
    <m/>
    <m/>
    <n v="2"/>
    <m/>
    <m/>
    <n v="0"/>
    <n v="2"/>
    <n v="1"/>
    <n v="1"/>
    <n v="0"/>
    <m/>
    <m/>
    <m/>
    <m/>
    <n v="0"/>
    <n v="0"/>
    <m/>
    <n v="4"/>
    <n v="0"/>
    <s v="Shalom"/>
    <m/>
    <m/>
    <m/>
    <m/>
    <n v="0"/>
    <x v="1"/>
    <x v="1"/>
    <n v="0"/>
    <n v="0"/>
    <n v="0"/>
    <m/>
    <m/>
    <m/>
    <n v="2"/>
    <m/>
    <n v="0"/>
    <n v="2"/>
    <m/>
    <n v="1"/>
    <n v="2"/>
    <m/>
    <m/>
    <s v="No"/>
    <m/>
    <m/>
    <m/>
    <m/>
    <m/>
    <m/>
    <m/>
    <m/>
    <m/>
    <m/>
    <s v="no test"/>
    <s v="no test"/>
    <s v="No Test"/>
    <n v="0"/>
    <n v="0"/>
    <n v="2"/>
    <n v="0"/>
    <n v="7.4074074074074081E-4"/>
    <n v="0"/>
    <n v="1"/>
    <n v="1"/>
    <n v="1"/>
    <n v="103"/>
    <n v="1"/>
    <n v="103"/>
    <n v="1"/>
    <n v="103"/>
    <n v="0.20599999999999999"/>
    <n v="0"/>
    <n v="0"/>
    <n v="0.79400000000000004"/>
    <n v="1"/>
    <n v="4"/>
    <n v="0.77669902912621358"/>
    <n v="80"/>
    <n v="0"/>
    <n v="0"/>
    <n v="0"/>
    <n v="0"/>
    <n v="5"/>
    <n v="1"/>
    <n v="0.22330097087378642"/>
    <n v="0"/>
    <n v="103"/>
    <n v="0"/>
    <n v="0"/>
    <n v="0"/>
    <n v="103"/>
    <n v="1"/>
    <n v="0"/>
    <n v="1"/>
    <n v="0"/>
    <n v="0"/>
    <n v="2"/>
    <n v="18"/>
    <n v="0"/>
    <n v="103"/>
    <s v="No"/>
    <s v=""/>
    <n v="0"/>
    <n v="0"/>
    <s v="Yes"/>
    <s v="Shalom"/>
    <x v="0"/>
    <x v="1"/>
    <x v="1"/>
    <n v="25.566510000000001"/>
    <n v="96.269199999999998"/>
    <s v="MMR001CMP181"/>
    <x v="0"/>
    <s v="cccm_2019OCT"/>
  </r>
  <r>
    <x v="0"/>
    <x v="5"/>
    <x v="5"/>
    <s v="DFID"/>
    <x v="0"/>
    <x v="3"/>
    <x v="1"/>
    <x v="166"/>
    <n v="12"/>
    <n v="60"/>
    <d v="2018-08-01T00:00:00"/>
    <d v="2020-07-31T00:00:00"/>
    <m/>
    <n v="1"/>
    <m/>
    <m/>
    <s v="Yes"/>
    <n v="3"/>
    <n v="5"/>
    <n v="0"/>
    <m/>
    <m/>
    <n v="0"/>
    <n v="0"/>
    <m/>
    <m/>
    <n v="0"/>
    <m/>
    <m/>
    <n v="0"/>
    <n v="0"/>
    <n v="1"/>
    <n v="0"/>
    <n v="1"/>
    <m/>
    <m/>
    <m/>
    <m/>
    <n v="0"/>
    <n v="0"/>
    <m/>
    <n v="2"/>
    <n v="0"/>
    <s v="Shalom"/>
    <m/>
    <m/>
    <m/>
    <m/>
    <n v="0"/>
    <x v="1"/>
    <x v="4"/>
    <n v="0"/>
    <n v="0"/>
    <n v="0"/>
    <m/>
    <m/>
    <m/>
    <n v="1"/>
    <m/>
    <n v="0"/>
    <n v="2"/>
    <m/>
    <n v="3"/>
    <n v="4"/>
    <m/>
    <m/>
    <s v="No"/>
    <m/>
    <m/>
    <m/>
    <m/>
    <m/>
    <m/>
    <m/>
    <m/>
    <m/>
    <m/>
    <s v="no test"/>
    <s v="no test"/>
    <s v="No Test"/>
    <n v="0"/>
    <n v="0"/>
    <n v="0"/>
    <n v="0"/>
    <n v="7.4074074074074081E-4"/>
    <n v="0"/>
    <n v="1.234567901234568E-5"/>
    <n v="1.234567901234568E-5"/>
    <n v="1.234567901234568E-5"/>
    <n v="7.4074074074074081E-4"/>
    <n v="0"/>
    <n v="0"/>
    <n v="1.234567901234568E-5"/>
    <n v="7.4074074074074081E-4"/>
    <n v="1.4814814814814817E-6"/>
    <n v="0.99998765432098768"/>
    <n v="59.999259259259262"/>
    <n v="0.99999851851851851"/>
    <n v="1"/>
    <n v="2"/>
    <n v="0.66666666666666663"/>
    <n v="40"/>
    <n v="0"/>
    <n v="0"/>
    <n v="0"/>
    <n v="0"/>
    <n v="3"/>
    <n v="1"/>
    <n v="0.33333333333333337"/>
    <n v="0"/>
    <n v="60"/>
    <n v="0"/>
    <n v="0"/>
    <n v="0"/>
    <n v="60"/>
    <n v="1"/>
    <n v="0"/>
    <n v="1"/>
    <n v="0"/>
    <n v="0"/>
    <n v="1"/>
    <n v="12"/>
    <n v="0"/>
    <n v="60"/>
    <s v="No"/>
    <s v=""/>
    <n v="0"/>
    <n v="0"/>
    <s v="Yes"/>
    <s v="Shalom"/>
    <x v="0"/>
    <x v="1"/>
    <x v="1"/>
    <n v="25.61842"/>
    <n v="96.316400000000002"/>
    <s v="MMR001CMP167"/>
    <x v="0"/>
    <s v="cccm_2019OCT"/>
  </r>
  <r>
    <x v="0"/>
    <x v="5"/>
    <x v="5"/>
    <s v="DFID"/>
    <x v="0"/>
    <x v="2"/>
    <x v="1"/>
    <x v="167"/>
    <n v="347"/>
    <n v="2065"/>
    <d v="2018-08-01T00:00:00"/>
    <d v="2020-07-31T00:00:00"/>
    <n v="80"/>
    <n v="1"/>
    <m/>
    <m/>
    <s v="Yes"/>
    <n v="1"/>
    <n v="5"/>
    <n v="4"/>
    <m/>
    <m/>
    <n v="3"/>
    <n v="3"/>
    <m/>
    <m/>
    <n v="0"/>
    <m/>
    <m/>
    <n v="0"/>
    <n v="0"/>
    <n v="0"/>
    <n v="0"/>
    <n v="0"/>
    <m/>
    <m/>
    <m/>
    <m/>
    <n v="0"/>
    <n v="0"/>
    <m/>
    <n v="30"/>
    <m/>
    <m/>
    <m/>
    <m/>
    <n v="6"/>
    <m/>
    <n v="0"/>
    <x v="1"/>
    <x v="1"/>
    <n v="0"/>
    <n v="0"/>
    <n v="0"/>
    <m/>
    <m/>
    <m/>
    <n v="5"/>
    <m/>
    <n v="0"/>
    <n v="7"/>
    <m/>
    <n v="0"/>
    <n v="0"/>
    <m/>
    <m/>
    <s v="No"/>
    <m/>
    <m/>
    <m/>
    <m/>
    <m/>
    <m/>
    <m/>
    <m/>
    <m/>
    <m/>
    <s v="no test"/>
    <s v="no test"/>
    <s v="No Test"/>
    <n v="4"/>
    <n v="6"/>
    <n v="0"/>
    <n v="0"/>
    <n v="0"/>
    <n v="0"/>
    <n v="1"/>
    <n v="1"/>
    <n v="1"/>
    <n v="2065"/>
    <n v="0"/>
    <n v="0"/>
    <n v="1"/>
    <n v="2065"/>
    <n v="4.13"/>
    <n v="0"/>
    <n v="0"/>
    <n v="0"/>
    <n v="4"/>
    <n v="30"/>
    <n v="0.29055690072639223"/>
    <n v="600"/>
    <n v="120"/>
    <n v="0"/>
    <n v="0"/>
    <n v="0"/>
    <n v="103"/>
    <n v="73"/>
    <n v="0.70944309927360782"/>
    <n v="0"/>
    <n v="0"/>
    <n v="0"/>
    <n v="0"/>
    <n v="0"/>
    <n v="0"/>
    <n v="0"/>
    <n v="1"/>
    <n v="0"/>
    <n v="0"/>
    <n v="0"/>
    <n v="5"/>
    <n v="100"/>
    <n v="0"/>
    <n v="500"/>
    <s v="Yes"/>
    <s v=""/>
    <n v="0"/>
    <n v="0"/>
    <s v="Yes"/>
    <s v="Shalom"/>
    <x v="0"/>
    <x v="1"/>
    <x v="1"/>
    <n v="25.424529444444399"/>
    <n v="97.433419259259296"/>
    <s v="MMR001CMP031"/>
    <x v="0"/>
    <s v="cccm_2019OCT"/>
  </r>
  <r>
    <x v="0"/>
    <x v="5"/>
    <x v="5"/>
    <s v="DFID"/>
    <x v="0"/>
    <x v="0"/>
    <x v="1"/>
    <x v="168"/>
    <n v="22"/>
    <n v="92"/>
    <d v="2018-08-01T00:00:00"/>
    <d v="2020-07-31T00:00:00"/>
    <m/>
    <n v="1"/>
    <m/>
    <m/>
    <s v="Yes"/>
    <n v="3"/>
    <m/>
    <n v="1"/>
    <m/>
    <m/>
    <n v="1"/>
    <n v="1"/>
    <m/>
    <m/>
    <m/>
    <m/>
    <m/>
    <m/>
    <m/>
    <m/>
    <m/>
    <m/>
    <m/>
    <m/>
    <m/>
    <m/>
    <m/>
    <m/>
    <m/>
    <n v="5"/>
    <m/>
    <m/>
    <m/>
    <m/>
    <m/>
    <m/>
    <m/>
    <x v="1"/>
    <x v="2"/>
    <m/>
    <m/>
    <m/>
    <m/>
    <m/>
    <m/>
    <n v="2"/>
    <m/>
    <n v="0"/>
    <n v="2"/>
    <m/>
    <n v="0"/>
    <n v="0"/>
    <m/>
    <m/>
    <s v="No"/>
    <m/>
    <m/>
    <m/>
    <m/>
    <m/>
    <m/>
    <m/>
    <m/>
    <m/>
    <m/>
    <s v="no test"/>
    <s v="no test"/>
    <s v="No Test"/>
    <n v="1"/>
    <n v="2"/>
    <n v="0"/>
    <n v="0"/>
    <n v="0"/>
    <n v="0"/>
    <n v="1"/>
    <n v="1"/>
    <n v="1"/>
    <n v="92"/>
    <n v="0"/>
    <n v="0"/>
    <n v="1"/>
    <n v="92"/>
    <n v="0.184"/>
    <n v="0"/>
    <n v="0"/>
    <n v="0.81600000000000006"/>
    <n v="1"/>
    <n v="5"/>
    <n v="1"/>
    <n v="92"/>
    <n v="0"/>
    <n v="0"/>
    <n v="0"/>
    <n v="0"/>
    <n v="5"/>
    <n v="0"/>
    <n v="0"/>
    <n v="0"/>
    <n v="0"/>
    <n v="0"/>
    <n v="0"/>
    <n v="0"/>
    <n v="0"/>
    <n v="0"/>
    <n v="1"/>
    <n v="0"/>
    <n v="0"/>
    <n v="0"/>
    <n v="2"/>
    <n v="22"/>
    <n v="0"/>
    <n v="92"/>
    <s v="No"/>
    <s v=""/>
    <n v="0"/>
    <n v="0"/>
    <s v="Yes"/>
    <s v="Shalom"/>
    <x v="0"/>
    <x v="1"/>
    <x v="1"/>
    <n v="25.374343974359"/>
    <n v="97.2843958974359"/>
    <s v="MMR001CMP020"/>
    <x v="0"/>
    <s v="cccm_2019OCT"/>
  </r>
  <r>
    <x v="0"/>
    <x v="5"/>
    <x v="5"/>
    <s v="DFID"/>
    <x v="0"/>
    <x v="0"/>
    <x v="1"/>
    <x v="169"/>
    <n v="21"/>
    <n v="123"/>
    <d v="2018-08-01T00:00:00"/>
    <d v="2020-07-31T00:00:00"/>
    <m/>
    <n v="1"/>
    <m/>
    <m/>
    <s v="Yes"/>
    <n v="1"/>
    <n v="4"/>
    <n v="0"/>
    <m/>
    <m/>
    <n v="1"/>
    <m/>
    <m/>
    <m/>
    <m/>
    <m/>
    <m/>
    <m/>
    <m/>
    <m/>
    <n v="1"/>
    <n v="1"/>
    <m/>
    <m/>
    <m/>
    <m/>
    <m/>
    <m/>
    <m/>
    <n v="5"/>
    <n v="5"/>
    <s v="Chruch"/>
    <m/>
    <m/>
    <n v="5"/>
    <m/>
    <m/>
    <x v="1"/>
    <x v="2"/>
    <m/>
    <m/>
    <m/>
    <m/>
    <m/>
    <m/>
    <n v="1"/>
    <m/>
    <n v="0"/>
    <n v="2"/>
    <m/>
    <n v="1"/>
    <n v="0"/>
    <m/>
    <m/>
    <s v="No"/>
    <m/>
    <m/>
    <m/>
    <m/>
    <m/>
    <m/>
    <m/>
    <m/>
    <m/>
    <m/>
    <s v="no test"/>
    <s v="no test"/>
    <s v="No Test"/>
    <n v="0"/>
    <n v="1"/>
    <n v="0"/>
    <n v="0"/>
    <n v="0"/>
    <n v="0"/>
    <n v="1"/>
    <n v="1"/>
    <n v="1"/>
    <n v="123"/>
    <n v="0"/>
    <n v="0"/>
    <n v="1"/>
    <n v="123"/>
    <n v="0.246"/>
    <n v="0"/>
    <n v="0"/>
    <n v="0.754"/>
    <n v="1"/>
    <n v="10"/>
    <n v="1"/>
    <n v="123"/>
    <n v="100"/>
    <n v="0"/>
    <n v="0"/>
    <n v="0"/>
    <n v="6"/>
    <n v="0"/>
    <n v="0"/>
    <n v="0"/>
    <n v="123"/>
    <n v="0"/>
    <n v="0"/>
    <n v="0"/>
    <n v="123"/>
    <n v="1"/>
    <n v="0"/>
    <n v="1"/>
    <n v="0"/>
    <n v="0"/>
    <n v="1"/>
    <n v="20"/>
    <n v="0"/>
    <n v="100"/>
    <s v="No"/>
    <s v=""/>
    <n v="0"/>
    <n v="0"/>
    <s v="Yes"/>
    <s v="Shalom"/>
    <x v="0"/>
    <x v="1"/>
    <x v="1"/>
    <n v="25.371049444444399"/>
    <n v="97.290952037037002"/>
    <s v="MMR001CMP021"/>
    <x v="0"/>
    <s v="cccm_2019OCT"/>
  </r>
  <r>
    <x v="0"/>
    <x v="5"/>
    <x v="5"/>
    <s v="DFID"/>
    <x v="0"/>
    <x v="3"/>
    <x v="1"/>
    <x v="170"/>
    <n v="11"/>
    <n v="42"/>
    <d v="2018-08-01T00:00:00"/>
    <d v="2020-07-31T00:00:00"/>
    <m/>
    <n v="1"/>
    <m/>
    <m/>
    <s v="Yes"/>
    <n v="4"/>
    <n v="4"/>
    <n v="1"/>
    <m/>
    <m/>
    <n v="0"/>
    <n v="0"/>
    <m/>
    <m/>
    <n v="2"/>
    <m/>
    <m/>
    <n v="0"/>
    <n v="0"/>
    <n v="1"/>
    <n v="0"/>
    <n v="1"/>
    <m/>
    <m/>
    <m/>
    <m/>
    <n v="0"/>
    <n v="0"/>
    <m/>
    <n v="4"/>
    <n v="0"/>
    <s v="Shalom"/>
    <m/>
    <m/>
    <m/>
    <m/>
    <n v="0"/>
    <x v="1"/>
    <x v="4"/>
    <n v="0"/>
    <n v="0"/>
    <n v="0"/>
    <m/>
    <m/>
    <m/>
    <n v="0"/>
    <m/>
    <n v="0"/>
    <n v="2"/>
    <m/>
    <n v="4"/>
    <n v="2"/>
    <m/>
    <m/>
    <s v="No"/>
    <m/>
    <m/>
    <m/>
    <m/>
    <m/>
    <m/>
    <m/>
    <m/>
    <m/>
    <m/>
    <s v="no test"/>
    <s v="no test"/>
    <s v="No Test"/>
    <n v="1"/>
    <n v="0"/>
    <n v="2"/>
    <n v="0"/>
    <n v="7.4074074074074081E-4"/>
    <n v="0"/>
    <n v="1"/>
    <n v="1"/>
    <n v="1"/>
    <n v="42"/>
    <n v="0"/>
    <n v="0"/>
    <n v="1"/>
    <n v="42"/>
    <n v="8.4000000000000005E-2"/>
    <n v="0"/>
    <n v="0"/>
    <n v="0.91600000000000004"/>
    <n v="1"/>
    <n v="4"/>
    <n v="1"/>
    <n v="42"/>
    <n v="0"/>
    <n v="0"/>
    <n v="0"/>
    <n v="0"/>
    <n v="2"/>
    <n v="0"/>
    <n v="0"/>
    <n v="0"/>
    <n v="42"/>
    <n v="0"/>
    <n v="0"/>
    <n v="0"/>
    <n v="42"/>
    <n v="1"/>
    <n v="0"/>
    <n v="1"/>
    <n v="0"/>
    <n v="0"/>
    <n v="0"/>
    <n v="0"/>
    <n v="0"/>
    <n v="0"/>
    <s v="No"/>
    <s v=""/>
    <n v="0"/>
    <n v="0"/>
    <s v="Yes"/>
    <s v="Shalom"/>
    <x v="0"/>
    <x v="0"/>
    <x v="1"/>
    <n v="25.617998"/>
    <n v="96.339590000000001"/>
    <s v="MMR001CMP192"/>
    <x v="0"/>
    <s v="cccm_2019OCT"/>
  </r>
  <r>
    <x v="0"/>
    <x v="5"/>
    <x v="5"/>
    <s v="DFID"/>
    <x v="0"/>
    <x v="2"/>
    <x v="1"/>
    <x v="171"/>
    <n v="19"/>
    <n v="82"/>
    <d v="2018-08-01T00:00:00"/>
    <d v="2020-07-31T00:00:00"/>
    <m/>
    <n v="1"/>
    <m/>
    <m/>
    <s v="Yes"/>
    <n v="0"/>
    <m/>
    <n v="1"/>
    <m/>
    <m/>
    <n v="1"/>
    <n v="0"/>
    <m/>
    <m/>
    <n v="0"/>
    <m/>
    <m/>
    <n v="0"/>
    <n v="0"/>
    <n v="0"/>
    <n v="0"/>
    <n v="0"/>
    <m/>
    <m/>
    <m/>
    <m/>
    <n v="0"/>
    <m/>
    <m/>
    <n v="6"/>
    <n v="0"/>
    <m/>
    <m/>
    <m/>
    <n v="3"/>
    <m/>
    <n v="0"/>
    <x v="1"/>
    <x v="1"/>
    <n v="0"/>
    <n v="0"/>
    <n v="0"/>
    <m/>
    <m/>
    <m/>
    <n v="1"/>
    <m/>
    <n v="0"/>
    <n v="2"/>
    <m/>
    <n v="0"/>
    <n v="0"/>
    <m/>
    <m/>
    <s v="No"/>
    <m/>
    <m/>
    <m/>
    <m/>
    <m/>
    <m/>
    <m/>
    <m/>
    <m/>
    <m/>
    <s v="no test"/>
    <s v="no test"/>
    <s v="No Test"/>
    <n v="1"/>
    <n v="1"/>
    <n v="0"/>
    <n v="0"/>
    <n v="0"/>
    <n v="0"/>
    <n v="1"/>
    <n v="1"/>
    <n v="1"/>
    <n v="82"/>
    <n v="0"/>
    <n v="0"/>
    <n v="1"/>
    <n v="82"/>
    <n v="0.16400000000000001"/>
    <n v="0"/>
    <n v="0"/>
    <n v="0.83599999999999997"/>
    <n v="1"/>
    <n v="6"/>
    <n v="1"/>
    <n v="82"/>
    <n v="60"/>
    <n v="0"/>
    <n v="0"/>
    <n v="0"/>
    <n v="4"/>
    <n v="0"/>
    <n v="0"/>
    <n v="0"/>
    <n v="0"/>
    <n v="0"/>
    <n v="0"/>
    <n v="0"/>
    <n v="0"/>
    <n v="0"/>
    <n v="1"/>
    <n v="0"/>
    <n v="0"/>
    <n v="0"/>
    <n v="1"/>
    <n v="19"/>
    <n v="0"/>
    <n v="82"/>
    <s v="No"/>
    <s v=""/>
    <n v="0"/>
    <n v="0"/>
    <s v="Yes"/>
    <s v="Shalom"/>
    <x v="0"/>
    <x v="1"/>
    <x v="1"/>
    <n v="25.351965"/>
    <n v="97.345039"/>
    <s v="MMR001CMP033"/>
    <x v="0"/>
    <s v="cccm_2019OCT"/>
  </r>
  <r>
    <x v="0"/>
    <x v="5"/>
    <x v="5"/>
    <s v="DFID"/>
    <x v="0"/>
    <x v="2"/>
    <x v="1"/>
    <x v="172"/>
    <n v="115"/>
    <n v="493"/>
    <d v="2018-08-01T00:00:00"/>
    <d v="2020-07-31T00:00:00"/>
    <n v="134"/>
    <n v="1"/>
    <m/>
    <m/>
    <s v="Yes"/>
    <n v="3"/>
    <m/>
    <n v="1"/>
    <m/>
    <m/>
    <n v="2"/>
    <n v="2"/>
    <m/>
    <m/>
    <n v="0"/>
    <m/>
    <m/>
    <n v="0"/>
    <n v="0"/>
    <n v="0"/>
    <n v="0"/>
    <n v="0"/>
    <m/>
    <m/>
    <m/>
    <m/>
    <n v="0"/>
    <n v="0"/>
    <m/>
    <n v="30"/>
    <n v="10"/>
    <s v="ICRC &amp; DVB"/>
    <m/>
    <m/>
    <m/>
    <m/>
    <n v="0"/>
    <x v="1"/>
    <x v="1"/>
    <n v="0"/>
    <n v="0"/>
    <n v="0"/>
    <m/>
    <m/>
    <m/>
    <n v="5"/>
    <m/>
    <n v="0"/>
    <n v="5"/>
    <m/>
    <n v="0"/>
    <n v="0"/>
    <m/>
    <m/>
    <s v="Yes"/>
    <m/>
    <m/>
    <m/>
    <m/>
    <m/>
    <m/>
    <m/>
    <m/>
    <m/>
    <m/>
    <s v="no test"/>
    <s v="no test"/>
    <s v="No Test"/>
    <n v="1"/>
    <n v="4"/>
    <n v="0"/>
    <n v="0"/>
    <n v="0"/>
    <n v="0"/>
    <n v="1"/>
    <n v="1"/>
    <n v="1"/>
    <n v="493"/>
    <n v="0"/>
    <n v="0"/>
    <n v="1"/>
    <n v="493"/>
    <n v="0.98599999999999999"/>
    <n v="0"/>
    <n v="0"/>
    <n v="1.4000000000000012E-2"/>
    <n v="1"/>
    <n v="40"/>
    <n v="1"/>
    <n v="493"/>
    <n v="0"/>
    <n v="0"/>
    <n v="0"/>
    <n v="0"/>
    <n v="25"/>
    <n v="0"/>
    <n v="0"/>
    <n v="0"/>
    <n v="0"/>
    <n v="0"/>
    <n v="0"/>
    <n v="0"/>
    <n v="0"/>
    <n v="0"/>
    <n v="1"/>
    <n v="0"/>
    <n v="0"/>
    <n v="0"/>
    <n v="5"/>
    <n v="100"/>
    <n v="0"/>
    <n v="493"/>
    <s v="Yes"/>
    <s v=""/>
    <n v="0"/>
    <n v="0"/>
    <s v="Yes"/>
    <s v="Shalom"/>
    <x v="0"/>
    <x v="1"/>
    <x v="1"/>
    <n v="25.3540362037037"/>
    <n v="97.441166388888902"/>
    <s v="MMR001CMP032"/>
    <x v="0"/>
    <s v="cccm_2019OCT"/>
  </r>
  <r>
    <x v="0"/>
    <x v="5"/>
    <x v="5"/>
    <s v="DFID"/>
    <x v="0"/>
    <x v="2"/>
    <x v="1"/>
    <x v="173"/>
    <n v="36"/>
    <n v="189"/>
    <d v="2018-08-01T00:00:00"/>
    <d v="2020-07-31T00:00:00"/>
    <m/>
    <n v="1"/>
    <m/>
    <m/>
    <s v="Yes"/>
    <n v="2"/>
    <n v="4"/>
    <n v="2"/>
    <m/>
    <m/>
    <n v="1"/>
    <n v="1"/>
    <m/>
    <m/>
    <n v="0"/>
    <m/>
    <m/>
    <n v="0"/>
    <n v="0"/>
    <n v="0"/>
    <n v="0"/>
    <n v="0"/>
    <m/>
    <m/>
    <m/>
    <m/>
    <n v="0"/>
    <n v="0"/>
    <m/>
    <n v="9"/>
    <n v="1"/>
    <m/>
    <m/>
    <m/>
    <m/>
    <m/>
    <n v="0"/>
    <x v="1"/>
    <x v="1"/>
    <n v="0"/>
    <n v="0"/>
    <n v="0"/>
    <m/>
    <m/>
    <m/>
    <n v="3"/>
    <m/>
    <n v="4"/>
    <n v="2"/>
    <m/>
    <n v="0"/>
    <n v="0"/>
    <m/>
    <m/>
    <s v="No"/>
    <m/>
    <m/>
    <m/>
    <m/>
    <m/>
    <m/>
    <m/>
    <m/>
    <m/>
    <m/>
    <s v="no test"/>
    <s v="no test"/>
    <s v="No Test"/>
    <n v="2"/>
    <n v="2"/>
    <n v="0"/>
    <n v="0"/>
    <n v="0"/>
    <n v="0"/>
    <n v="1"/>
    <n v="1"/>
    <n v="1"/>
    <n v="189"/>
    <n v="0"/>
    <n v="0"/>
    <n v="1"/>
    <n v="189"/>
    <n v="0.378"/>
    <n v="0"/>
    <n v="0"/>
    <n v="0.622"/>
    <n v="1"/>
    <n v="10"/>
    <n v="1"/>
    <n v="189"/>
    <n v="0"/>
    <n v="0"/>
    <n v="0"/>
    <n v="0"/>
    <n v="9"/>
    <n v="0"/>
    <n v="0"/>
    <n v="0"/>
    <n v="0"/>
    <n v="0"/>
    <n v="0"/>
    <n v="0"/>
    <n v="0"/>
    <n v="0"/>
    <n v="1"/>
    <n v="0"/>
    <n v="0"/>
    <n v="0"/>
    <n v="3"/>
    <n v="36"/>
    <n v="0"/>
    <n v="189"/>
    <s v="No"/>
    <s v=""/>
    <n v="0"/>
    <n v="0"/>
    <s v="Yes"/>
    <s v="Shalom"/>
    <x v="0"/>
    <x v="1"/>
    <x v="1"/>
    <n v="25.345918166666699"/>
    <n v="97.437472666666693"/>
    <s v="MMR001CMP030"/>
    <x v="0"/>
    <s v="cccm_2019OCT"/>
  </r>
  <r>
    <x v="0"/>
    <x v="5"/>
    <x v="5"/>
    <s v="DFID"/>
    <x v="0"/>
    <x v="3"/>
    <x v="1"/>
    <x v="174"/>
    <n v="10"/>
    <n v="38"/>
    <d v="2018-08-01T00:00:00"/>
    <d v="2020-07-31T00:00:00"/>
    <m/>
    <n v="1"/>
    <m/>
    <m/>
    <s v="Yes"/>
    <n v="2"/>
    <n v="2"/>
    <n v="1"/>
    <m/>
    <m/>
    <n v="0"/>
    <n v="0"/>
    <m/>
    <m/>
    <n v="2"/>
    <m/>
    <m/>
    <n v="0"/>
    <n v="1"/>
    <n v="1"/>
    <n v="0"/>
    <n v="1"/>
    <m/>
    <m/>
    <m/>
    <m/>
    <n v="0"/>
    <n v="0"/>
    <m/>
    <n v="4"/>
    <n v="0"/>
    <s v="Shalom"/>
    <m/>
    <m/>
    <m/>
    <m/>
    <n v="0"/>
    <x v="1"/>
    <x v="1"/>
    <n v="0"/>
    <n v="0"/>
    <n v="0"/>
    <m/>
    <m/>
    <m/>
    <n v="1"/>
    <m/>
    <n v="0"/>
    <n v="2"/>
    <m/>
    <n v="2"/>
    <n v="2"/>
    <m/>
    <m/>
    <s v="No"/>
    <m/>
    <m/>
    <m/>
    <m/>
    <m/>
    <m/>
    <m/>
    <m/>
    <m/>
    <m/>
    <s v="no test"/>
    <s v="no test"/>
    <s v="No Test"/>
    <n v="1"/>
    <n v="0"/>
    <n v="2"/>
    <n v="0"/>
    <n v="7.4074074074074081E-4"/>
    <n v="0"/>
    <n v="1"/>
    <n v="1"/>
    <n v="1"/>
    <n v="38"/>
    <n v="1"/>
    <n v="38"/>
    <n v="1"/>
    <n v="38"/>
    <n v="7.5999999999999998E-2"/>
    <n v="0"/>
    <n v="0"/>
    <n v="0.92400000000000004"/>
    <n v="1"/>
    <n v="4"/>
    <n v="1"/>
    <n v="38"/>
    <n v="0"/>
    <n v="0"/>
    <n v="0"/>
    <n v="0"/>
    <n v="2"/>
    <n v="0"/>
    <n v="0"/>
    <n v="0"/>
    <n v="38"/>
    <n v="0"/>
    <n v="0"/>
    <n v="0"/>
    <n v="38"/>
    <n v="1"/>
    <n v="0"/>
    <n v="1"/>
    <n v="0"/>
    <n v="0"/>
    <n v="1"/>
    <n v="10"/>
    <n v="0"/>
    <n v="38"/>
    <s v="No"/>
    <s v=""/>
    <n v="0"/>
    <n v="0"/>
    <s v="Yes"/>
    <s v="Shalom"/>
    <x v="0"/>
    <x v="0"/>
    <x v="1"/>
    <n v="25.56551"/>
    <n v="96.279200000000003"/>
    <s v="MMR001CMP182"/>
    <x v="0"/>
    <s v="cccm_2019OCT"/>
  </r>
  <r>
    <x v="0"/>
    <x v="5"/>
    <x v="5"/>
    <s v="DFID"/>
    <x v="0"/>
    <x v="0"/>
    <x v="1"/>
    <x v="175"/>
    <n v="24"/>
    <n v="111"/>
    <d v="2018-08-01T00:00:00"/>
    <d v="2020-07-31T00:00:00"/>
    <m/>
    <n v="1"/>
    <m/>
    <m/>
    <s v="Yes"/>
    <n v="1"/>
    <n v="4"/>
    <n v="1"/>
    <m/>
    <m/>
    <n v="0"/>
    <n v="1"/>
    <m/>
    <m/>
    <m/>
    <m/>
    <m/>
    <m/>
    <m/>
    <m/>
    <m/>
    <m/>
    <m/>
    <m/>
    <m/>
    <m/>
    <m/>
    <m/>
    <m/>
    <n v="7"/>
    <n v="5"/>
    <s v="Chruch"/>
    <m/>
    <m/>
    <m/>
    <m/>
    <m/>
    <x v="1"/>
    <x v="2"/>
    <m/>
    <m/>
    <m/>
    <m/>
    <m/>
    <m/>
    <n v="2"/>
    <m/>
    <n v="0"/>
    <n v="1"/>
    <m/>
    <n v="0"/>
    <n v="0"/>
    <m/>
    <m/>
    <s v="No"/>
    <m/>
    <m/>
    <m/>
    <m/>
    <m/>
    <m/>
    <m/>
    <m/>
    <m/>
    <m/>
    <s v="no test"/>
    <s v="no test"/>
    <s v="No Test"/>
    <n v="1"/>
    <n v="1"/>
    <n v="0"/>
    <n v="0"/>
    <n v="0"/>
    <n v="0"/>
    <n v="1"/>
    <n v="1"/>
    <n v="1"/>
    <n v="111"/>
    <n v="0"/>
    <n v="0"/>
    <n v="1"/>
    <n v="111"/>
    <n v="0.222"/>
    <n v="0"/>
    <n v="0"/>
    <n v="0.77800000000000002"/>
    <n v="1"/>
    <n v="12"/>
    <n v="1"/>
    <n v="111"/>
    <n v="0"/>
    <n v="0"/>
    <n v="0"/>
    <n v="0"/>
    <n v="6"/>
    <n v="0"/>
    <n v="0"/>
    <n v="0"/>
    <n v="0"/>
    <n v="0"/>
    <n v="0"/>
    <n v="0"/>
    <n v="0"/>
    <n v="0"/>
    <n v="1"/>
    <n v="0"/>
    <n v="0"/>
    <n v="0"/>
    <n v="2"/>
    <n v="24"/>
    <n v="0"/>
    <n v="111"/>
    <s v="No"/>
    <s v=""/>
    <n v="0"/>
    <n v="0"/>
    <s v="Yes"/>
    <s v="Shalom"/>
    <x v="0"/>
    <x v="1"/>
    <x v="1"/>
    <n v="25.423817"/>
    <n v="97.418004999999994"/>
    <s v="MMR001CMP007"/>
    <x v="0"/>
    <s v="cccm_2019OCT"/>
  </r>
  <r>
    <x v="0"/>
    <x v="5"/>
    <x v="5"/>
    <s v="DFID"/>
    <x v="0"/>
    <x v="0"/>
    <x v="1"/>
    <x v="176"/>
    <n v="54"/>
    <n v="253"/>
    <d v="2018-08-01T00:00:00"/>
    <d v="2020-07-31T00:00:00"/>
    <m/>
    <n v="1"/>
    <m/>
    <m/>
    <s v="Yes"/>
    <n v="2"/>
    <n v="3"/>
    <n v="1"/>
    <m/>
    <m/>
    <n v="4"/>
    <n v="0"/>
    <m/>
    <m/>
    <m/>
    <m/>
    <m/>
    <m/>
    <m/>
    <m/>
    <m/>
    <m/>
    <m/>
    <m/>
    <m/>
    <m/>
    <m/>
    <m/>
    <m/>
    <n v="19"/>
    <n v="0"/>
    <m/>
    <m/>
    <m/>
    <n v="9"/>
    <m/>
    <m/>
    <x v="1"/>
    <x v="1"/>
    <m/>
    <n v="1"/>
    <m/>
    <m/>
    <m/>
    <m/>
    <n v="3"/>
    <m/>
    <m/>
    <n v="4"/>
    <m/>
    <n v="2"/>
    <n v="3"/>
    <m/>
    <m/>
    <s v="No"/>
    <m/>
    <m/>
    <m/>
    <m/>
    <m/>
    <m/>
    <m/>
    <m/>
    <m/>
    <m/>
    <s v="no test"/>
    <s v="no test"/>
    <s v="No Test"/>
    <n v="1"/>
    <n v="4"/>
    <n v="0"/>
    <n v="0"/>
    <n v="0"/>
    <n v="0"/>
    <n v="1"/>
    <n v="1"/>
    <n v="1"/>
    <n v="253"/>
    <n v="0"/>
    <n v="0"/>
    <n v="1"/>
    <n v="253"/>
    <n v="0.50600000000000001"/>
    <n v="0"/>
    <n v="0"/>
    <n v="0.49399999999999999"/>
    <n v="1"/>
    <n v="19"/>
    <n v="1"/>
    <n v="253"/>
    <n v="180"/>
    <n v="0"/>
    <n v="0"/>
    <n v="0"/>
    <n v="13"/>
    <n v="0"/>
    <n v="0"/>
    <n v="0"/>
    <n v="253"/>
    <n v="0"/>
    <n v="0"/>
    <n v="0"/>
    <n v="253"/>
    <n v="1"/>
    <n v="0"/>
    <n v="1"/>
    <n v="0"/>
    <n v="0"/>
    <n v="3"/>
    <n v="54"/>
    <n v="0"/>
    <n v="253"/>
    <s v="No"/>
    <s v=""/>
    <n v="0"/>
    <n v="0"/>
    <s v="Yes"/>
    <s v="Shalom"/>
    <x v="0"/>
    <x v="1"/>
    <x v="1"/>
    <n v="25.423209"/>
    <n v="97.379987"/>
    <s v="MMR001CMP023"/>
    <x v="0"/>
    <s v="cccm_2019OCT"/>
  </r>
  <r>
    <x v="0"/>
    <x v="5"/>
    <x v="5"/>
    <s v="DFID"/>
    <x v="0"/>
    <x v="0"/>
    <x v="1"/>
    <x v="177"/>
    <n v="16"/>
    <n v="77"/>
    <d v="2018-08-01T00:00:00"/>
    <d v="2020-07-31T00:00:00"/>
    <m/>
    <n v="1"/>
    <m/>
    <m/>
    <s v="Yes"/>
    <n v="0"/>
    <m/>
    <n v="1"/>
    <m/>
    <m/>
    <n v="2"/>
    <n v="1"/>
    <m/>
    <m/>
    <m/>
    <m/>
    <m/>
    <m/>
    <m/>
    <m/>
    <m/>
    <n v="0"/>
    <m/>
    <m/>
    <m/>
    <m/>
    <m/>
    <m/>
    <m/>
    <n v="7"/>
    <n v="4"/>
    <s v="Chruch"/>
    <m/>
    <m/>
    <m/>
    <m/>
    <m/>
    <x v="1"/>
    <x v="2"/>
    <m/>
    <m/>
    <m/>
    <m/>
    <m/>
    <m/>
    <n v="2"/>
    <m/>
    <n v="0"/>
    <n v="2"/>
    <m/>
    <n v="0"/>
    <n v="0"/>
    <m/>
    <m/>
    <s v="No"/>
    <m/>
    <m/>
    <m/>
    <m/>
    <m/>
    <m/>
    <m/>
    <m/>
    <m/>
    <m/>
    <s v="no test"/>
    <s v="no test"/>
    <s v="No Test"/>
    <n v="1"/>
    <n v="3"/>
    <n v="0"/>
    <n v="0"/>
    <n v="0"/>
    <n v="0"/>
    <n v="1"/>
    <n v="1"/>
    <n v="1"/>
    <n v="77"/>
    <n v="0"/>
    <n v="0"/>
    <n v="1"/>
    <n v="77"/>
    <n v="0.154"/>
    <n v="0"/>
    <n v="0"/>
    <n v="0.84599999999999997"/>
    <n v="1"/>
    <n v="11"/>
    <n v="1"/>
    <n v="77"/>
    <n v="0"/>
    <n v="0"/>
    <n v="0"/>
    <n v="0"/>
    <n v="4"/>
    <n v="0"/>
    <n v="0"/>
    <n v="0"/>
    <n v="0"/>
    <n v="0"/>
    <n v="0"/>
    <n v="0"/>
    <n v="0"/>
    <n v="0"/>
    <n v="1"/>
    <n v="0"/>
    <n v="0"/>
    <n v="0"/>
    <n v="2"/>
    <n v="16"/>
    <n v="0"/>
    <n v="77"/>
    <s v="No"/>
    <s v=""/>
    <n v="0"/>
    <n v="0"/>
    <s v="Yes"/>
    <s v="Shalom"/>
    <x v="0"/>
    <x v="1"/>
    <x v="1"/>
    <n v="25.417733999999999"/>
    <n v="97.389778000000007"/>
    <s v="MMR001CMP004"/>
    <x v="0"/>
    <s v="cccm_2019OCT"/>
  </r>
  <r>
    <x v="0"/>
    <x v="5"/>
    <x v="5"/>
    <s v="DFID"/>
    <x v="0"/>
    <x v="2"/>
    <x v="1"/>
    <x v="178"/>
    <n v="45"/>
    <n v="186"/>
    <d v="2018-08-01T00:00:00"/>
    <d v="2020-07-31T00:00:00"/>
    <m/>
    <n v="1"/>
    <m/>
    <m/>
    <s v="Yes"/>
    <n v="0"/>
    <n v="5"/>
    <n v="1"/>
    <m/>
    <m/>
    <n v="0"/>
    <m/>
    <m/>
    <m/>
    <n v="0"/>
    <m/>
    <m/>
    <n v="0"/>
    <n v="0"/>
    <n v="0"/>
    <n v="0"/>
    <n v="0"/>
    <m/>
    <m/>
    <m/>
    <m/>
    <n v="0"/>
    <n v="0"/>
    <m/>
    <n v="7"/>
    <m/>
    <m/>
    <m/>
    <m/>
    <m/>
    <m/>
    <n v="0"/>
    <x v="1"/>
    <x v="1"/>
    <n v="0"/>
    <n v="0"/>
    <n v="0"/>
    <m/>
    <m/>
    <m/>
    <n v="2"/>
    <m/>
    <n v="0"/>
    <n v="2"/>
    <m/>
    <n v="0"/>
    <n v="0"/>
    <m/>
    <m/>
    <s v="No"/>
    <m/>
    <m/>
    <m/>
    <m/>
    <m/>
    <m/>
    <m/>
    <m/>
    <m/>
    <m/>
    <s v="no test"/>
    <s v="no test"/>
    <s v="No Test"/>
    <n v="1"/>
    <n v="0"/>
    <n v="0"/>
    <n v="0"/>
    <n v="0"/>
    <n v="0"/>
    <n v="1"/>
    <n v="1"/>
    <n v="1"/>
    <n v="186"/>
    <n v="0"/>
    <n v="0"/>
    <n v="1"/>
    <n v="186"/>
    <n v="0.372"/>
    <n v="0"/>
    <n v="0"/>
    <n v="0.628"/>
    <n v="1"/>
    <n v="7"/>
    <n v="0.75268817204301075"/>
    <n v="140"/>
    <n v="0"/>
    <n v="0"/>
    <n v="0"/>
    <n v="0"/>
    <n v="9"/>
    <n v="2"/>
    <n v="0.24731182795698925"/>
    <n v="0"/>
    <n v="0"/>
    <n v="0"/>
    <n v="0"/>
    <n v="0"/>
    <n v="0"/>
    <n v="0"/>
    <n v="1"/>
    <n v="0"/>
    <n v="0"/>
    <n v="0"/>
    <n v="2"/>
    <n v="40"/>
    <n v="0"/>
    <n v="186"/>
    <s v="No"/>
    <s v=""/>
    <n v="0"/>
    <n v="0"/>
    <s v="Yes"/>
    <s v="Shalom"/>
    <x v="0"/>
    <x v="1"/>
    <x v="1"/>
    <n v="25.333683333333301"/>
    <n v="97.428251153846105"/>
    <s v="MMR001CMP037"/>
    <x v="0"/>
    <s v="cccm_2019OCT"/>
  </r>
  <r>
    <x v="0"/>
    <x v="5"/>
    <x v="5"/>
    <s v="DFID"/>
    <x v="0"/>
    <x v="2"/>
    <x v="1"/>
    <x v="179"/>
    <n v="66"/>
    <n v="263"/>
    <d v="2018-08-01T00:00:00"/>
    <d v="2020-07-31T00:00:00"/>
    <m/>
    <n v="1"/>
    <m/>
    <m/>
    <s v="Yes"/>
    <n v="3"/>
    <m/>
    <n v="3"/>
    <m/>
    <m/>
    <n v="1"/>
    <m/>
    <m/>
    <m/>
    <n v="0"/>
    <m/>
    <m/>
    <n v="0"/>
    <n v="0"/>
    <n v="0"/>
    <n v="0"/>
    <n v="0"/>
    <m/>
    <m/>
    <m/>
    <m/>
    <n v="0"/>
    <n v="0"/>
    <m/>
    <n v="10"/>
    <m/>
    <m/>
    <m/>
    <m/>
    <m/>
    <m/>
    <n v="0"/>
    <x v="1"/>
    <x v="1"/>
    <n v="0"/>
    <n v="0"/>
    <n v="0"/>
    <m/>
    <m/>
    <m/>
    <n v="2"/>
    <m/>
    <n v="0"/>
    <n v="4"/>
    <m/>
    <n v="0"/>
    <n v="0"/>
    <m/>
    <m/>
    <s v="No"/>
    <m/>
    <m/>
    <m/>
    <m/>
    <m/>
    <m/>
    <m/>
    <m/>
    <m/>
    <m/>
    <s v="no test"/>
    <s v="no test"/>
    <s v="No Test"/>
    <n v="3"/>
    <n v="1"/>
    <n v="0"/>
    <n v="0"/>
    <n v="0"/>
    <n v="0"/>
    <n v="1"/>
    <n v="1"/>
    <n v="1"/>
    <n v="263"/>
    <n v="0"/>
    <n v="0"/>
    <n v="1"/>
    <n v="263"/>
    <n v="0.52600000000000002"/>
    <n v="0"/>
    <n v="0"/>
    <n v="0.47399999999999998"/>
    <n v="1"/>
    <n v="10"/>
    <n v="0.76045627376425851"/>
    <n v="200"/>
    <n v="0"/>
    <n v="0"/>
    <n v="0"/>
    <n v="0"/>
    <n v="13"/>
    <n v="3"/>
    <n v="0.23954372623574149"/>
    <n v="0"/>
    <n v="0"/>
    <n v="0"/>
    <n v="0"/>
    <n v="0"/>
    <n v="0"/>
    <n v="0"/>
    <n v="1"/>
    <n v="0"/>
    <n v="0"/>
    <n v="0"/>
    <n v="2"/>
    <n v="40"/>
    <n v="0"/>
    <n v="200"/>
    <s v="No"/>
    <s v=""/>
    <n v="0"/>
    <n v="0"/>
    <s v="Yes"/>
    <s v="Shalom"/>
    <x v="0"/>
    <x v="1"/>
    <x v="1"/>
    <n v="25.351250396825399"/>
    <n v="97.444283730158702"/>
    <s v="MMR001CMP038"/>
    <x v="0"/>
    <s v="cccm_2019OCT"/>
  </r>
  <r>
    <x v="0"/>
    <x v="5"/>
    <x v="5"/>
    <s v="DFID"/>
    <x v="0"/>
    <x v="3"/>
    <x v="1"/>
    <x v="180"/>
    <n v="32"/>
    <n v="172"/>
    <d v="2018-08-01T00:00:00"/>
    <d v="2020-07-31T00:00:00"/>
    <m/>
    <n v="1"/>
    <m/>
    <m/>
    <s v="Yes"/>
    <n v="4"/>
    <n v="4"/>
    <n v="0"/>
    <m/>
    <m/>
    <n v="0"/>
    <n v="0"/>
    <m/>
    <m/>
    <n v="1"/>
    <m/>
    <m/>
    <n v="0"/>
    <n v="1"/>
    <n v="1"/>
    <n v="0"/>
    <n v="1"/>
    <m/>
    <m/>
    <m/>
    <m/>
    <n v="0"/>
    <n v="0"/>
    <m/>
    <n v="11"/>
    <n v="1"/>
    <s v="Shalom"/>
    <m/>
    <m/>
    <m/>
    <m/>
    <n v="0"/>
    <x v="1"/>
    <x v="4"/>
    <n v="0"/>
    <n v="0"/>
    <n v="0"/>
    <m/>
    <m/>
    <m/>
    <n v="2"/>
    <m/>
    <m/>
    <n v="3"/>
    <m/>
    <n v="1"/>
    <n v="0"/>
    <m/>
    <m/>
    <s v="No"/>
    <m/>
    <m/>
    <m/>
    <m/>
    <m/>
    <m/>
    <m/>
    <m/>
    <m/>
    <m/>
    <s v="no test"/>
    <s v="no test"/>
    <s v="No Test"/>
    <n v="0"/>
    <n v="0"/>
    <n v="1"/>
    <n v="0"/>
    <n v="7.4074074074074081E-4"/>
    <n v="0"/>
    <n v="0.38760120585701985"/>
    <n v="0.38760120585701985"/>
    <n v="0.38760120585701985"/>
    <n v="66.66740740740741"/>
    <n v="1"/>
    <n v="172"/>
    <n v="1"/>
    <n v="172"/>
    <n v="0.34399999999999997"/>
    <n v="0"/>
    <n v="0"/>
    <n v="0.65600000000000003"/>
    <n v="1"/>
    <n v="12"/>
    <n v="1"/>
    <n v="172"/>
    <n v="0"/>
    <n v="0"/>
    <n v="0"/>
    <n v="0"/>
    <n v="9"/>
    <n v="0"/>
    <n v="0"/>
    <n v="0"/>
    <n v="172"/>
    <n v="0"/>
    <n v="0"/>
    <n v="0"/>
    <n v="172"/>
    <n v="1"/>
    <n v="0"/>
    <n v="1"/>
    <n v="0"/>
    <n v="0"/>
    <n v="2"/>
    <n v="32"/>
    <n v="0"/>
    <n v="172"/>
    <s v="No"/>
    <s v=""/>
    <n v="0"/>
    <n v="0"/>
    <s v="Yes"/>
    <s v="KBC-MYT"/>
    <x v="0"/>
    <x v="1"/>
    <x v="1"/>
    <n v="25.577559999999998"/>
    <n v="96.286680000000004"/>
    <s v="MMR001CMP184"/>
    <x v="0"/>
    <s v="cccm_2019OCT"/>
  </r>
  <r>
    <x v="0"/>
    <x v="5"/>
    <x v="5"/>
    <s v="DFID"/>
    <x v="0"/>
    <x v="3"/>
    <x v="1"/>
    <x v="181"/>
    <n v="15"/>
    <n v="67"/>
    <d v="2018-08-01T00:00:00"/>
    <d v="2020-07-31T00:00:00"/>
    <m/>
    <n v="1"/>
    <m/>
    <m/>
    <s v="Yes"/>
    <n v="2"/>
    <n v="1"/>
    <n v="0"/>
    <m/>
    <m/>
    <n v="0"/>
    <n v="0"/>
    <m/>
    <m/>
    <n v="0"/>
    <m/>
    <m/>
    <n v="0"/>
    <n v="0"/>
    <n v="0"/>
    <n v="0"/>
    <n v="0"/>
    <m/>
    <m/>
    <m/>
    <m/>
    <n v="0"/>
    <n v="0"/>
    <m/>
    <n v="4"/>
    <n v="1"/>
    <s v="Shalom &amp; Chruch"/>
    <m/>
    <m/>
    <m/>
    <m/>
    <n v="0"/>
    <x v="1"/>
    <x v="4"/>
    <n v="0"/>
    <n v="0"/>
    <n v="0"/>
    <m/>
    <m/>
    <m/>
    <n v="0"/>
    <m/>
    <n v="0"/>
    <n v="2"/>
    <m/>
    <n v="2"/>
    <n v="0"/>
    <m/>
    <m/>
    <s v="No"/>
    <m/>
    <m/>
    <m/>
    <m/>
    <m/>
    <m/>
    <m/>
    <m/>
    <m/>
    <m/>
    <s v="no test"/>
    <s v="no test"/>
    <s v="No Test"/>
    <n v="0"/>
    <n v="0"/>
    <n v="0"/>
    <n v="0"/>
    <n v="0"/>
    <n v="0"/>
    <n v="0"/>
    <n v="0"/>
    <n v="0"/>
    <n v="0"/>
    <n v="0"/>
    <n v="0"/>
    <n v="0"/>
    <n v="0"/>
    <n v="0"/>
    <n v="1"/>
    <n v="67"/>
    <n v="1"/>
    <n v="1"/>
    <n v="5"/>
    <n v="1"/>
    <n v="67"/>
    <n v="0"/>
    <n v="0"/>
    <n v="0"/>
    <n v="0"/>
    <n v="3"/>
    <n v="0"/>
    <n v="0"/>
    <n v="0"/>
    <n v="67"/>
    <n v="0"/>
    <n v="0"/>
    <n v="0"/>
    <n v="67"/>
    <n v="1"/>
    <n v="0"/>
    <n v="1"/>
    <n v="0"/>
    <n v="0"/>
    <n v="0"/>
    <n v="0"/>
    <n v="0"/>
    <n v="0"/>
    <s v="No"/>
    <s v=""/>
    <n v="0"/>
    <n v="0"/>
    <s v="Yes"/>
    <s v="KBC-MYT"/>
    <x v="0"/>
    <x v="1"/>
    <x v="1"/>
    <n v="25.599250000000001"/>
    <n v="96.306910999999999"/>
    <s v="MMR001CMP105"/>
    <x v="0"/>
    <s v="cccm_2019OCT"/>
  </r>
  <r>
    <x v="0"/>
    <x v="6"/>
    <x v="6"/>
    <s v="MHF, OFDA"/>
    <x v="0"/>
    <x v="10"/>
    <x v="0"/>
    <x v="182"/>
    <n v="31.8"/>
    <n v="159"/>
    <d v="2019-01-03T00:00:00"/>
    <d v="2021-01-30T00:00:00"/>
    <n v="159"/>
    <m/>
    <m/>
    <m/>
    <m/>
    <n v="0"/>
    <n v="5"/>
    <n v="0"/>
    <m/>
    <m/>
    <n v="0"/>
    <n v="0"/>
    <m/>
    <m/>
    <m/>
    <m/>
    <m/>
    <n v="0"/>
    <n v="0"/>
    <n v="0"/>
    <m/>
    <n v="0"/>
    <m/>
    <m/>
    <m/>
    <m/>
    <n v="0"/>
    <n v="0"/>
    <m/>
    <n v="0"/>
    <n v="0"/>
    <m/>
    <m/>
    <m/>
    <m/>
    <m/>
    <n v="0"/>
    <x v="1"/>
    <x v="1"/>
    <n v="0"/>
    <n v="0"/>
    <m/>
    <m/>
    <n v="0"/>
    <s v="Gaps in drainage"/>
    <n v="2"/>
    <m/>
    <n v="0"/>
    <m/>
    <m/>
    <n v="0"/>
    <m/>
    <m/>
    <m/>
    <m/>
    <m/>
    <n v="0.45"/>
    <m/>
    <m/>
    <m/>
    <m/>
    <m/>
    <m/>
    <m/>
    <m/>
    <s v="no test"/>
    <s v="no test"/>
    <s v="No Test"/>
    <n v="0"/>
    <n v="0"/>
    <n v="0"/>
    <n v="0"/>
    <n v="0"/>
    <n v="0"/>
    <n v="0"/>
    <n v="0"/>
    <n v="0"/>
    <n v="0"/>
    <n v="0"/>
    <n v="0"/>
    <n v="0"/>
    <n v="0"/>
    <n v="0"/>
    <n v="1"/>
    <n v="159"/>
    <n v="1"/>
    <n v="1"/>
    <n v="0"/>
    <n v="0"/>
    <n v="0"/>
    <n v="0"/>
    <n v="0"/>
    <n v="0"/>
    <n v="0"/>
    <n v="8"/>
    <n v="8"/>
    <n v="1"/>
    <n v="0"/>
    <n v="0"/>
    <n v="0"/>
    <n v="0"/>
    <n v="0"/>
    <n v="0"/>
    <n v="0"/>
    <n v="1"/>
    <n v="0"/>
    <n v="0"/>
    <n v="0"/>
    <n v="2"/>
    <n v="31.8"/>
    <n v="0"/>
    <n v="159"/>
    <s v="Yes"/>
    <s v=""/>
    <n v="0"/>
    <n v="0"/>
    <n v="0"/>
    <n v="0"/>
    <x v="0"/>
    <x v="2"/>
    <x v="1"/>
    <n v="0"/>
    <n v="0"/>
    <n v="0"/>
    <x v="0"/>
    <m/>
  </r>
  <r>
    <x v="0"/>
    <x v="6"/>
    <x v="6"/>
    <s v="MHF, OFDA"/>
    <x v="0"/>
    <x v="10"/>
    <x v="0"/>
    <x v="183"/>
    <n v="46"/>
    <n v="276"/>
    <d v="2019-01-03T00:00:00"/>
    <d v="2021-01-30T00:00:00"/>
    <m/>
    <n v="0"/>
    <n v="1"/>
    <n v="0"/>
    <s v="Yes"/>
    <n v="0"/>
    <n v="2"/>
    <n v="0"/>
    <m/>
    <m/>
    <n v="1"/>
    <n v="0"/>
    <m/>
    <m/>
    <m/>
    <m/>
    <m/>
    <m/>
    <m/>
    <m/>
    <m/>
    <m/>
    <n v="1"/>
    <m/>
    <n v="12"/>
    <m/>
    <n v="3"/>
    <m/>
    <m/>
    <n v="13"/>
    <m/>
    <m/>
    <m/>
    <m/>
    <n v="5"/>
    <m/>
    <m/>
    <x v="1"/>
    <x v="1"/>
    <n v="0"/>
    <n v="0"/>
    <m/>
    <m/>
    <n v="1"/>
    <s v="Gaps in drainage"/>
    <n v="3"/>
    <m/>
    <m/>
    <n v="2"/>
    <m/>
    <n v="0"/>
    <n v="1"/>
    <n v="30"/>
    <m/>
    <m/>
    <m/>
    <m/>
    <m/>
    <m/>
    <n v="1"/>
    <m/>
    <m/>
    <m/>
    <m/>
    <m/>
    <n v="0"/>
    <n v="0"/>
    <s v="Tested"/>
    <n v="0"/>
    <n v="1"/>
    <n v="0"/>
    <n v="0"/>
    <n v="0"/>
    <n v="0"/>
    <n v="1"/>
    <n v="0.90579710144927539"/>
    <n v="1"/>
    <n v="276"/>
    <n v="0"/>
    <n v="0"/>
    <n v="1"/>
    <n v="276"/>
    <n v="0.55200000000000005"/>
    <n v="0"/>
    <n v="0"/>
    <n v="0.44799999999999995"/>
    <n v="1"/>
    <n v="13"/>
    <n v="0.94565217391304346"/>
    <n v="261"/>
    <n v="100"/>
    <n v="0"/>
    <n v="0"/>
    <n v="0"/>
    <n v="14"/>
    <n v="1"/>
    <n v="5.4347826086956541E-2"/>
    <n v="0"/>
    <n v="276"/>
    <n v="150"/>
    <n v="0"/>
    <n v="150"/>
    <n v="276"/>
    <n v="1"/>
    <n v="0"/>
    <n v="1"/>
    <n v="1"/>
    <n v="0"/>
    <n v="3"/>
    <n v="46"/>
    <n v="0"/>
    <n v="276"/>
    <s v="No"/>
    <s v=""/>
    <n v="0"/>
    <n v="0"/>
    <n v="0"/>
    <n v="0"/>
    <x v="0"/>
    <x v="1"/>
    <x v="1"/>
    <n v="0"/>
    <n v="0"/>
    <n v="0"/>
    <x v="0"/>
    <n v="0"/>
  </r>
  <r>
    <x v="0"/>
    <x v="6"/>
    <x v="6"/>
    <s v="MHF, OFDA"/>
    <x v="0"/>
    <x v="10"/>
    <x v="1"/>
    <x v="184"/>
    <n v="190"/>
    <n v="745"/>
    <d v="2019-01-03T00:00:00"/>
    <d v="2021-01-30T00:00:00"/>
    <m/>
    <m/>
    <n v="2"/>
    <m/>
    <s v="Yes"/>
    <n v="11"/>
    <n v="3"/>
    <n v="2"/>
    <m/>
    <m/>
    <n v="5"/>
    <n v="0"/>
    <m/>
    <m/>
    <m/>
    <m/>
    <m/>
    <n v="0"/>
    <m/>
    <m/>
    <n v="2"/>
    <m/>
    <n v="3"/>
    <m/>
    <n v="15"/>
    <m/>
    <n v="6"/>
    <m/>
    <m/>
    <n v="38"/>
    <m/>
    <m/>
    <m/>
    <m/>
    <n v="19"/>
    <n v="98"/>
    <m/>
    <x v="1"/>
    <x v="1"/>
    <n v="0"/>
    <n v="0"/>
    <m/>
    <m/>
    <m/>
    <s v="Gaps in drainage"/>
    <n v="6"/>
    <m/>
    <m/>
    <n v="2"/>
    <m/>
    <n v="0"/>
    <n v="1"/>
    <n v="176"/>
    <m/>
    <m/>
    <m/>
    <m/>
    <m/>
    <m/>
    <n v="1"/>
    <m/>
    <m/>
    <m/>
    <m/>
    <m/>
    <n v="0"/>
    <n v="0"/>
    <s v="Tested"/>
    <n v="2"/>
    <n v="5"/>
    <n v="0"/>
    <n v="0"/>
    <n v="0"/>
    <n v="0"/>
    <n v="1"/>
    <n v="1"/>
    <n v="1"/>
    <n v="745"/>
    <n v="0"/>
    <n v="0"/>
    <n v="1"/>
    <n v="745"/>
    <n v="1.49"/>
    <n v="0"/>
    <n v="0"/>
    <n v="0"/>
    <n v="1"/>
    <n v="38"/>
    <n v="1"/>
    <n v="745"/>
    <n v="380"/>
    <n v="0"/>
    <n v="0"/>
    <n v="0"/>
    <n v="37"/>
    <n v="0"/>
    <n v="0"/>
    <n v="0"/>
    <n v="500"/>
    <n v="745"/>
    <n v="0"/>
    <n v="745"/>
    <n v="745"/>
    <n v="1"/>
    <n v="0"/>
    <n v="0.67114093959731547"/>
    <n v="1"/>
    <n v="0"/>
    <n v="6"/>
    <n v="120"/>
    <n v="0"/>
    <n v="600"/>
    <s v="No"/>
    <s v=""/>
    <n v="0"/>
    <n v="0"/>
    <s v="Yes"/>
    <s v="KMSS-BMO"/>
    <x v="0"/>
    <x v="1"/>
    <x v="1"/>
    <n v="24.260719999999999"/>
    <n v="97.238829999999993"/>
    <s v="MMR001CMP050"/>
    <x v="0"/>
    <s v="cccm_2019OCT"/>
  </r>
  <r>
    <x v="0"/>
    <x v="6"/>
    <x v="6"/>
    <s v="MHF, OFDA"/>
    <x v="0"/>
    <x v="7"/>
    <x v="0"/>
    <x v="185"/>
    <n v="24"/>
    <n v="93"/>
    <d v="2019-01-03T00:00:00"/>
    <d v="2021-01-30T00:00:00"/>
    <m/>
    <m/>
    <n v="1"/>
    <m/>
    <s v="Yes"/>
    <n v="5"/>
    <n v="5"/>
    <m/>
    <m/>
    <m/>
    <n v="2"/>
    <m/>
    <m/>
    <m/>
    <m/>
    <m/>
    <m/>
    <m/>
    <m/>
    <m/>
    <n v="1"/>
    <m/>
    <n v="1"/>
    <m/>
    <n v="2"/>
    <m/>
    <n v="5"/>
    <m/>
    <m/>
    <n v="1"/>
    <m/>
    <m/>
    <m/>
    <m/>
    <n v="3"/>
    <n v="7"/>
    <m/>
    <x v="1"/>
    <x v="1"/>
    <m/>
    <m/>
    <m/>
    <m/>
    <m/>
    <s v="Gaps in drainage"/>
    <n v="5"/>
    <m/>
    <m/>
    <n v="2"/>
    <m/>
    <m/>
    <n v="1"/>
    <n v="24"/>
    <m/>
    <m/>
    <m/>
    <m/>
    <m/>
    <m/>
    <n v="1"/>
    <m/>
    <m/>
    <m/>
    <m/>
    <m/>
    <n v="0"/>
    <n v="0"/>
    <s v="Tested"/>
    <n v="0"/>
    <n v="2"/>
    <n v="0"/>
    <n v="0"/>
    <n v="0"/>
    <n v="0"/>
    <n v="1"/>
    <n v="1"/>
    <n v="1"/>
    <n v="93"/>
    <n v="0"/>
    <n v="0"/>
    <n v="1"/>
    <n v="93"/>
    <n v="0.186"/>
    <n v="0"/>
    <n v="0"/>
    <n v="0.81400000000000006"/>
    <n v="1"/>
    <n v="1"/>
    <n v="0.21505376344086022"/>
    <n v="20"/>
    <n v="60"/>
    <n v="0"/>
    <n v="0"/>
    <n v="0"/>
    <n v="5"/>
    <n v="4"/>
    <n v="0.78494623655913975"/>
    <n v="0"/>
    <n v="93"/>
    <n v="93"/>
    <n v="0"/>
    <n v="93"/>
    <n v="93"/>
    <n v="1"/>
    <n v="0"/>
    <n v="1"/>
    <n v="1"/>
    <n v="0"/>
    <n v="5"/>
    <n v="24"/>
    <n v="0"/>
    <n v="93"/>
    <s v="No"/>
    <s v=""/>
    <n v="0"/>
    <n v="0"/>
    <n v="0"/>
    <n v="0"/>
    <x v="0"/>
    <x v="1"/>
    <x v="1"/>
    <n v="0"/>
    <n v="0"/>
    <n v="0"/>
    <x v="0"/>
    <m/>
  </r>
  <r>
    <x v="0"/>
    <x v="6"/>
    <x v="6"/>
    <s v="MHF, OFDA"/>
    <x v="0"/>
    <x v="7"/>
    <x v="1"/>
    <x v="186"/>
    <n v="34"/>
    <n v="241"/>
    <d v="2019-01-03T00:00:00"/>
    <d v="2021-01-30T00:00:00"/>
    <m/>
    <n v="0"/>
    <n v="1"/>
    <n v="0"/>
    <s v="Yes"/>
    <n v="5"/>
    <m/>
    <n v="1"/>
    <m/>
    <m/>
    <n v="0"/>
    <n v="0"/>
    <m/>
    <m/>
    <m/>
    <m/>
    <m/>
    <m/>
    <m/>
    <m/>
    <n v="1"/>
    <m/>
    <n v="1"/>
    <m/>
    <n v="2"/>
    <m/>
    <n v="5"/>
    <m/>
    <m/>
    <n v="9"/>
    <m/>
    <m/>
    <m/>
    <m/>
    <n v="6"/>
    <n v="21"/>
    <m/>
    <x v="1"/>
    <x v="1"/>
    <n v="0"/>
    <n v="0"/>
    <m/>
    <m/>
    <m/>
    <s v="Gaps in drainage"/>
    <n v="5"/>
    <m/>
    <m/>
    <n v="1"/>
    <m/>
    <n v="0"/>
    <n v="1"/>
    <n v="31"/>
    <m/>
    <m/>
    <m/>
    <m/>
    <m/>
    <m/>
    <n v="1"/>
    <m/>
    <m/>
    <m/>
    <m/>
    <m/>
    <n v="0"/>
    <n v="0"/>
    <s v="Tested"/>
    <n v="1"/>
    <n v="0"/>
    <n v="0"/>
    <n v="0"/>
    <n v="0"/>
    <n v="0"/>
    <n v="1"/>
    <n v="1"/>
    <n v="1"/>
    <n v="241"/>
    <n v="0"/>
    <n v="0"/>
    <n v="1"/>
    <n v="241"/>
    <n v="0.48199999999999998"/>
    <n v="0"/>
    <n v="0"/>
    <n v="0.51800000000000002"/>
    <n v="1"/>
    <n v="9"/>
    <n v="0.74688796680497926"/>
    <n v="180"/>
    <n v="120"/>
    <n v="0"/>
    <n v="0"/>
    <n v="0"/>
    <n v="12"/>
    <n v="3"/>
    <n v="0.25311203319502074"/>
    <n v="0"/>
    <n v="241"/>
    <n v="155"/>
    <n v="0"/>
    <n v="155"/>
    <n v="241"/>
    <n v="1"/>
    <n v="0"/>
    <n v="1"/>
    <n v="1"/>
    <n v="0"/>
    <n v="5"/>
    <n v="34"/>
    <n v="0"/>
    <n v="241"/>
    <s v="No"/>
    <s v=""/>
    <n v="0"/>
    <n v="0"/>
    <s v="Yes"/>
    <s v="KBC-BMO"/>
    <x v="0"/>
    <x v="1"/>
    <x v="1"/>
    <n v="24.200972"/>
    <n v="97.718582999999995"/>
    <s v="MMR001CMP071"/>
    <x v="0"/>
    <s v="cccm_2019OCT"/>
  </r>
  <r>
    <x v="0"/>
    <x v="6"/>
    <x v="6"/>
    <s v="MHF, OFDA"/>
    <x v="0"/>
    <x v="7"/>
    <x v="1"/>
    <x v="187"/>
    <n v="38"/>
    <n v="289"/>
    <d v="2019-01-03T00:00:00"/>
    <d v="2021-01-30T00:00:00"/>
    <m/>
    <m/>
    <n v="1"/>
    <n v="0"/>
    <s v="Yes"/>
    <n v="6"/>
    <m/>
    <n v="0"/>
    <m/>
    <m/>
    <n v="1"/>
    <n v="0"/>
    <m/>
    <m/>
    <m/>
    <m/>
    <m/>
    <m/>
    <m/>
    <m/>
    <n v="1"/>
    <m/>
    <n v="1"/>
    <m/>
    <n v="2"/>
    <m/>
    <m/>
    <m/>
    <m/>
    <n v="18"/>
    <m/>
    <m/>
    <m/>
    <m/>
    <n v="3"/>
    <n v="8"/>
    <m/>
    <x v="1"/>
    <x v="1"/>
    <n v="0"/>
    <n v="0"/>
    <m/>
    <m/>
    <m/>
    <s v="Gaps in drainage"/>
    <n v="5"/>
    <m/>
    <m/>
    <n v="1"/>
    <m/>
    <n v="0"/>
    <n v="1"/>
    <n v="38"/>
    <m/>
    <m/>
    <m/>
    <m/>
    <m/>
    <m/>
    <n v="1"/>
    <m/>
    <m/>
    <m/>
    <m/>
    <m/>
    <n v="0"/>
    <n v="0"/>
    <s v="Tested"/>
    <n v="0"/>
    <n v="1"/>
    <n v="0"/>
    <n v="0"/>
    <n v="0"/>
    <n v="0"/>
    <n v="1"/>
    <n v="0.86505190311418689"/>
    <n v="1"/>
    <n v="289"/>
    <n v="0"/>
    <n v="0"/>
    <n v="1"/>
    <n v="289"/>
    <n v="0.57799999999999996"/>
    <n v="0"/>
    <n v="0"/>
    <n v="0.42200000000000004"/>
    <n v="1"/>
    <n v="18"/>
    <n v="1"/>
    <n v="289"/>
    <n v="60"/>
    <n v="0"/>
    <n v="0"/>
    <n v="0"/>
    <n v="14"/>
    <n v="0"/>
    <n v="0"/>
    <n v="0"/>
    <n v="289"/>
    <n v="289"/>
    <n v="0"/>
    <n v="289"/>
    <n v="289"/>
    <n v="1"/>
    <n v="0"/>
    <n v="1"/>
    <n v="1"/>
    <n v="0"/>
    <n v="5"/>
    <n v="38"/>
    <n v="0"/>
    <n v="289"/>
    <s v="No"/>
    <s v=""/>
    <n v="0"/>
    <n v="0"/>
    <s v="Yes"/>
    <s v="KMSS-BMO"/>
    <x v="0"/>
    <x v="1"/>
    <x v="1"/>
    <n v="24.205417000000001"/>
    <n v="97.724566999999993"/>
    <s v="MMR001CMP069"/>
    <x v="0"/>
    <s v="cccm_2019OCT"/>
  </r>
  <r>
    <x v="0"/>
    <x v="6"/>
    <x v="6"/>
    <s v="MHF, OFDA"/>
    <x v="0"/>
    <x v="7"/>
    <x v="1"/>
    <x v="188"/>
    <n v="203"/>
    <n v="1138"/>
    <d v="2019-01-03T00:00:00"/>
    <d v="2021-01-30T00:00:00"/>
    <m/>
    <n v="0"/>
    <n v="4"/>
    <n v="0"/>
    <s v="Yes"/>
    <n v="11"/>
    <n v="4"/>
    <n v="5"/>
    <m/>
    <n v="1"/>
    <n v="3"/>
    <n v="0"/>
    <m/>
    <m/>
    <m/>
    <m/>
    <m/>
    <m/>
    <m/>
    <m/>
    <n v="4"/>
    <n v="1"/>
    <n v="7"/>
    <m/>
    <n v="20"/>
    <n v="1"/>
    <n v="15"/>
    <m/>
    <m/>
    <n v="38"/>
    <n v="0"/>
    <m/>
    <m/>
    <m/>
    <n v="15"/>
    <n v="81"/>
    <m/>
    <x v="1"/>
    <x v="1"/>
    <m/>
    <m/>
    <m/>
    <m/>
    <m/>
    <s v="Gaps in drainage"/>
    <n v="12"/>
    <m/>
    <m/>
    <n v="9"/>
    <m/>
    <m/>
    <n v="4"/>
    <n v="210"/>
    <m/>
    <m/>
    <m/>
    <m/>
    <m/>
    <m/>
    <n v="1"/>
    <m/>
    <m/>
    <m/>
    <m/>
    <m/>
    <n v="0"/>
    <n v="0.05"/>
    <s v="Tested"/>
    <n v="5"/>
    <n v="3"/>
    <n v="0"/>
    <n v="0"/>
    <n v="0"/>
    <n v="0"/>
    <n v="1"/>
    <n v="1"/>
    <n v="1"/>
    <n v="1138"/>
    <n v="0"/>
    <n v="0"/>
    <n v="1"/>
    <n v="1138"/>
    <n v="2.2759999999999998"/>
    <n v="0"/>
    <n v="0"/>
    <n v="0"/>
    <n v="2"/>
    <n v="38"/>
    <n v="0.66783831282952544"/>
    <n v="760"/>
    <n v="300"/>
    <n v="0"/>
    <n v="0"/>
    <n v="0"/>
    <n v="57"/>
    <n v="19"/>
    <n v="0.33216168717047456"/>
    <n v="0"/>
    <n v="1138"/>
    <n v="1050"/>
    <n v="0"/>
    <n v="1050"/>
    <n v="1138"/>
    <n v="1"/>
    <n v="0"/>
    <n v="1"/>
    <n v="1"/>
    <n v="0"/>
    <n v="12"/>
    <n v="203"/>
    <n v="0"/>
    <n v="1138"/>
    <s v="No"/>
    <s v=""/>
    <n v="0"/>
    <n v="0"/>
    <s v="Yes"/>
    <s v="KBC-BMO"/>
    <x v="0"/>
    <x v="1"/>
    <x v="1"/>
    <n v="24.200433"/>
    <n v="97.717133000000004"/>
    <s v="MMR001CMP070"/>
    <x v="0"/>
    <s v="cccm_2019OCT"/>
  </r>
  <r>
    <x v="0"/>
    <x v="6"/>
    <x v="6"/>
    <s v="MHF, OFDA"/>
    <x v="0"/>
    <x v="7"/>
    <x v="0"/>
    <x v="189"/>
    <n v="483.8"/>
    <n v="2419"/>
    <d v="2019-01-03T00:00:00"/>
    <d v="2021-01-30T00:00:00"/>
    <n v="2373"/>
    <n v="0"/>
    <n v="0"/>
    <n v="0"/>
    <s v="Yes"/>
    <n v="0"/>
    <n v="4"/>
    <n v="2"/>
    <m/>
    <m/>
    <n v="1"/>
    <n v="0"/>
    <m/>
    <m/>
    <m/>
    <m/>
    <n v="1"/>
    <m/>
    <m/>
    <m/>
    <m/>
    <m/>
    <m/>
    <m/>
    <m/>
    <m/>
    <m/>
    <n v="2"/>
    <m/>
    <n v="7"/>
    <m/>
    <m/>
    <m/>
    <m/>
    <m/>
    <m/>
    <m/>
    <x v="1"/>
    <x v="1"/>
    <n v="0"/>
    <n v="0"/>
    <m/>
    <m/>
    <m/>
    <s v="Gaps in drainage"/>
    <m/>
    <m/>
    <m/>
    <n v="0"/>
    <m/>
    <n v="0"/>
    <n v="0"/>
    <m/>
    <m/>
    <m/>
    <m/>
    <n v="0.5"/>
    <m/>
    <m/>
    <m/>
    <m/>
    <m/>
    <m/>
    <m/>
    <m/>
    <s v="no test"/>
    <s v="no test"/>
    <s v="No Test"/>
    <n v="2"/>
    <n v="1"/>
    <n v="0"/>
    <n v="0"/>
    <n v="0"/>
    <n v="1000"/>
    <n v="0.5374121537825548"/>
    <n v="0.31004547333608928"/>
    <n v="0.5374121537825548"/>
    <n v="1300"/>
    <n v="0"/>
    <n v="0"/>
    <n v="0.5374121537825548"/>
    <n v="1300"/>
    <n v="2.6"/>
    <n v="0.4625878462174452"/>
    <n v="1119"/>
    <n v="2.4"/>
    <n v="5"/>
    <n v="7"/>
    <n v="5.7875155022736671E-2"/>
    <n v="140"/>
    <n v="0"/>
    <n v="0"/>
    <n v="0"/>
    <n v="0"/>
    <n v="121"/>
    <n v="114"/>
    <n v="0.94212484497726334"/>
    <n v="0"/>
    <n v="0"/>
    <n v="0"/>
    <n v="0"/>
    <n v="0"/>
    <n v="0"/>
    <n v="0"/>
    <n v="1"/>
    <n v="0"/>
    <n v="0"/>
    <n v="0"/>
    <n v="0"/>
    <n v="0"/>
    <n v="0"/>
    <n v="0"/>
    <s v="Yes"/>
    <s v=""/>
    <n v="0"/>
    <n v="1000"/>
    <n v="0"/>
    <n v="0"/>
    <x v="0"/>
    <x v="2"/>
    <x v="1"/>
    <n v="0"/>
    <n v="0"/>
    <n v="0"/>
    <x v="0"/>
    <n v="0"/>
  </r>
  <r>
    <x v="0"/>
    <x v="6"/>
    <x v="6"/>
    <s v="MHF, OFDA"/>
    <x v="0"/>
    <x v="7"/>
    <x v="0"/>
    <x v="190"/>
    <n v="117"/>
    <n v="618"/>
    <d v="2019-01-03T00:00:00"/>
    <d v="2021-01-30T00:00:00"/>
    <m/>
    <n v="0"/>
    <n v="2"/>
    <n v="0"/>
    <s v="Yes"/>
    <n v="7"/>
    <n v="1"/>
    <n v="1"/>
    <m/>
    <m/>
    <n v="1"/>
    <n v="0"/>
    <m/>
    <m/>
    <m/>
    <m/>
    <m/>
    <m/>
    <m/>
    <m/>
    <n v="2"/>
    <m/>
    <n v="1"/>
    <m/>
    <n v="13"/>
    <n v="2"/>
    <n v="9"/>
    <m/>
    <m/>
    <n v="28"/>
    <m/>
    <m/>
    <m/>
    <m/>
    <n v="17"/>
    <n v="60"/>
    <m/>
    <x v="1"/>
    <x v="1"/>
    <n v="0"/>
    <n v="0"/>
    <m/>
    <m/>
    <m/>
    <s v="Gaps in drainage"/>
    <n v="9"/>
    <m/>
    <m/>
    <n v="4"/>
    <m/>
    <n v="0"/>
    <n v="2"/>
    <n v="117"/>
    <m/>
    <m/>
    <m/>
    <m/>
    <m/>
    <m/>
    <n v="1"/>
    <m/>
    <m/>
    <m/>
    <m/>
    <m/>
    <n v="0"/>
    <n v="0.15384615384615385"/>
    <s v="Tested"/>
    <n v="1"/>
    <n v="1"/>
    <n v="0"/>
    <n v="0"/>
    <n v="0"/>
    <n v="0"/>
    <n v="1"/>
    <n v="0.80906148867313921"/>
    <n v="1"/>
    <n v="618"/>
    <n v="0"/>
    <n v="0"/>
    <n v="1"/>
    <n v="618"/>
    <n v="1.236"/>
    <n v="0"/>
    <n v="0"/>
    <n v="0"/>
    <n v="1"/>
    <n v="28"/>
    <n v="0.90614886731391586"/>
    <n v="560"/>
    <n v="340"/>
    <n v="0"/>
    <n v="0"/>
    <n v="0"/>
    <n v="31"/>
    <n v="3"/>
    <n v="9.3851132686084138E-2"/>
    <n v="0"/>
    <n v="618"/>
    <n v="618"/>
    <n v="0"/>
    <n v="618"/>
    <n v="618"/>
    <n v="1"/>
    <n v="0"/>
    <n v="1"/>
    <n v="1"/>
    <n v="0"/>
    <n v="9"/>
    <n v="117"/>
    <n v="0"/>
    <n v="618"/>
    <s v="No"/>
    <s v=""/>
    <n v="0"/>
    <n v="0"/>
    <n v="0"/>
    <n v="0"/>
    <x v="0"/>
    <x v="1"/>
    <x v="1"/>
    <n v="0"/>
    <n v="0"/>
    <n v="0"/>
    <x v="0"/>
    <n v="0"/>
  </r>
  <r>
    <x v="0"/>
    <x v="6"/>
    <x v="6"/>
    <s v="MHF, OFDA"/>
    <x v="0"/>
    <x v="7"/>
    <x v="1"/>
    <x v="191"/>
    <n v="48"/>
    <n v="294"/>
    <d v="2019-01-03T00:00:00"/>
    <d v="2021-01-30T00:00:00"/>
    <m/>
    <n v="0"/>
    <n v="1"/>
    <n v="0"/>
    <s v="Yes"/>
    <n v="3"/>
    <n v="5"/>
    <n v="3"/>
    <m/>
    <m/>
    <n v="1"/>
    <n v="0"/>
    <m/>
    <m/>
    <m/>
    <m/>
    <m/>
    <m/>
    <m/>
    <m/>
    <n v="1"/>
    <n v="1"/>
    <n v="2"/>
    <m/>
    <n v="3"/>
    <m/>
    <n v="7"/>
    <m/>
    <m/>
    <n v="18"/>
    <m/>
    <m/>
    <m/>
    <m/>
    <n v="5"/>
    <n v="24"/>
    <m/>
    <x v="1"/>
    <x v="1"/>
    <n v="0"/>
    <n v="0"/>
    <m/>
    <m/>
    <m/>
    <s v="Gaps in drainage"/>
    <n v="7"/>
    <m/>
    <m/>
    <n v="2"/>
    <m/>
    <n v="0"/>
    <n v="1"/>
    <n v="47"/>
    <m/>
    <m/>
    <m/>
    <m/>
    <m/>
    <m/>
    <n v="1"/>
    <m/>
    <m/>
    <m/>
    <m/>
    <m/>
    <n v="0"/>
    <n v="0"/>
    <s v="Tested"/>
    <n v="3"/>
    <n v="1"/>
    <n v="0"/>
    <n v="0"/>
    <n v="0"/>
    <n v="0"/>
    <n v="1"/>
    <n v="1"/>
    <n v="1"/>
    <n v="294"/>
    <n v="0"/>
    <n v="0"/>
    <n v="1"/>
    <n v="294"/>
    <n v="0.58799999999999997"/>
    <n v="0"/>
    <n v="0"/>
    <n v="0.41200000000000003"/>
    <n v="1"/>
    <n v="18"/>
    <n v="1"/>
    <n v="294"/>
    <n v="100"/>
    <n v="0"/>
    <n v="0"/>
    <n v="0"/>
    <n v="15"/>
    <n v="0"/>
    <n v="0"/>
    <n v="0"/>
    <n v="294"/>
    <n v="235"/>
    <n v="0"/>
    <n v="235"/>
    <n v="294"/>
    <n v="1"/>
    <n v="0"/>
    <n v="1"/>
    <n v="1"/>
    <n v="0"/>
    <n v="7"/>
    <n v="48"/>
    <n v="0"/>
    <n v="294"/>
    <s v="No"/>
    <s v=""/>
    <n v="0"/>
    <n v="0"/>
    <s v="Yes"/>
    <s v="KBC-BMO"/>
    <x v="0"/>
    <x v="1"/>
    <x v="1"/>
    <n v="24.205417000000001"/>
    <n v="97.724483000000006"/>
    <s v="MMR001CMP072"/>
    <x v="0"/>
    <s v="cccm_2019OCT"/>
  </r>
  <r>
    <x v="0"/>
    <x v="6"/>
    <x v="6"/>
    <s v="MHF, OFDA"/>
    <x v="0"/>
    <x v="10"/>
    <x v="1"/>
    <x v="192"/>
    <n v="100"/>
    <n v="514"/>
    <d v="2019-01-03T00:00:00"/>
    <d v="2021-01-30T00:00:00"/>
    <m/>
    <m/>
    <n v="3"/>
    <m/>
    <s v="Yes"/>
    <n v="8"/>
    <m/>
    <n v="1"/>
    <n v="1"/>
    <m/>
    <n v="3"/>
    <n v="0"/>
    <m/>
    <m/>
    <m/>
    <m/>
    <m/>
    <m/>
    <m/>
    <m/>
    <n v="3"/>
    <m/>
    <n v="2"/>
    <m/>
    <n v="15"/>
    <m/>
    <n v="12"/>
    <m/>
    <m/>
    <n v="48"/>
    <m/>
    <m/>
    <m/>
    <m/>
    <n v="18"/>
    <n v="92"/>
    <m/>
    <x v="1"/>
    <x v="1"/>
    <n v="0"/>
    <n v="0"/>
    <m/>
    <m/>
    <m/>
    <s v="Gaps in drainage"/>
    <n v="12"/>
    <m/>
    <m/>
    <n v="2"/>
    <m/>
    <n v="0"/>
    <n v="3"/>
    <n v="100"/>
    <m/>
    <m/>
    <m/>
    <m/>
    <m/>
    <m/>
    <n v="1"/>
    <m/>
    <m/>
    <m/>
    <m/>
    <m/>
    <n v="0"/>
    <n v="0"/>
    <s v="Tested"/>
    <n v="0"/>
    <n v="3"/>
    <n v="0"/>
    <n v="0"/>
    <n v="0"/>
    <n v="0"/>
    <n v="1"/>
    <n v="1"/>
    <n v="1"/>
    <n v="514"/>
    <n v="0"/>
    <n v="0"/>
    <n v="1"/>
    <n v="514"/>
    <n v="1.028"/>
    <n v="0"/>
    <n v="0"/>
    <n v="0"/>
    <n v="1"/>
    <n v="48"/>
    <n v="1"/>
    <n v="514"/>
    <n v="360"/>
    <n v="0"/>
    <n v="0"/>
    <n v="0"/>
    <n v="26"/>
    <n v="0"/>
    <n v="0"/>
    <n v="0"/>
    <n v="514"/>
    <n v="514"/>
    <n v="0"/>
    <n v="514"/>
    <n v="514"/>
    <n v="1"/>
    <n v="0"/>
    <n v="1"/>
    <n v="1"/>
    <n v="0"/>
    <n v="12"/>
    <n v="100"/>
    <n v="0"/>
    <n v="514"/>
    <s v="No"/>
    <s v=""/>
    <n v="0"/>
    <n v="0"/>
    <s v="Yes"/>
    <s v="KBC-BMO"/>
    <x v="0"/>
    <x v="1"/>
    <x v="1"/>
    <n v="24.222349999999999"/>
    <n v="97.252650000000003"/>
    <s v="MMR001CMP193"/>
    <x v="0"/>
    <s v="cccm_2019OCT"/>
  </r>
  <r>
    <x v="0"/>
    <x v="6"/>
    <x v="6"/>
    <s v="MHF, OFDA"/>
    <x v="0"/>
    <x v="10"/>
    <x v="1"/>
    <x v="193"/>
    <n v="639"/>
    <n v="4024"/>
    <d v="2019-01-03T00:00:00"/>
    <d v="2021-01-30T00:00:00"/>
    <m/>
    <m/>
    <n v="6"/>
    <m/>
    <s v="Yes"/>
    <n v="12"/>
    <n v="5"/>
    <n v="1"/>
    <m/>
    <m/>
    <n v="14"/>
    <n v="0"/>
    <m/>
    <m/>
    <m/>
    <m/>
    <m/>
    <m/>
    <m/>
    <m/>
    <n v="6"/>
    <m/>
    <n v="10"/>
    <m/>
    <n v="21"/>
    <m/>
    <n v="19"/>
    <m/>
    <m/>
    <n v="150"/>
    <m/>
    <m/>
    <m/>
    <m/>
    <n v="53"/>
    <n v="218"/>
    <m/>
    <x v="1"/>
    <x v="1"/>
    <n v="0"/>
    <n v="0"/>
    <m/>
    <m/>
    <m/>
    <s v="Gaps in drainage"/>
    <n v="19"/>
    <m/>
    <m/>
    <n v="12"/>
    <m/>
    <n v="0"/>
    <n v="6"/>
    <n v="628"/>
    <m/>
    <m/>
    <m/>
    <m/>
    <m/>
    <m/>
    <n v="1"/>
    <m/>
    <m/>
    <m/>
    <m/>
    <m/>
    <n v="0"/>
    <n v="0"/>
    <s v="Tested"/>
    <n v="1"/>
    <n v="14"/>
    <n v="0"/>
    <n v="0"/>
    <n v="0"/>
    <n v="0"/>
    <n v="1"/>
    <n v="0.93190854870775353"/>
    <n v="1"/>
    <n v="4024"/>
    <n v="0"/>
    <n v="0"/>
    <n v="1"/>
    <n v="4024"/>
    <n v="8.048"/>
    <n v="0"/>
    <n v="0"/>
    <n v="0"/>
    <n v="8"/>
    <n v="150"/>
    <n v="0.74552683896620275"/>
    <n v="3000"/>
    <n v="1060"/>
    <n v="0"/>
    <n v="0"/>
    <n v="0"/>
    <n v="201"/>
    <n v="51"/>
    <n v="0.25447316103379725"/>
    <n v="0"/>
    <n v="3000"/>
    <n v="3140"/>
    <n v="0"/>
    <n v="3140"/>
    <n v="3140"/>
    <n v="0.78031809145129227"/>
    <n v="0.21968190854870773"/>
    <n v="0.74552683896620275"/>
    <n v="1"/>
    <n v="0"/>
    <n v="19"/>
    <n v="380"/>
    <n v="0"/>
    <n v="1900"/>
    <s v="No"/>
    <s v=""/>
    <n v="0"/>
    <n v="0"/>
    <s v="Yes"/>
    <s v="KBC-BMO"/>
    <x v="0"/>
    <x v="1"/>
    <x v="1"/>
    <n v="24.268292826086999"/>
    <n v="97.229116811594196"/>
    <s v="MMR001CMP047"/>
    <x v="0"/>
    <s v="cccm_2019OCT"/>
  </r>
  <r>
    <x v="0"/>
    <x v="6"/>
    <x v="6"/>
    <s v="MHF, OFDA"/>
    <x v="0"/>
    <x v="10"/>
    <x v="0"/>
    <x v="194"/>
    <n v="243.8"/>
    <n v="1219"/>
    <d v="2019-01-03T00:00:00"/>
    <d v="2021-01-30T00:00:00"/>
    <n v="1212"/>
    <m/>
    <n v="0"/>
    <m/>
    <s v="Yes"/>
    <m/>
    <n v="5"/>
    <n v="0"/>
    <m/>
    <m/>
    <n v="5"/>
    <n v="0"/>
    <m/>
    <m/>
    <m/>
    <m/>
    <m/>
    <m/>
    <m/>
    <m/>
    <m/>
    <m/>
    <m/>
    <m/>
    <m/>
    <m/>
    <m/>
    <n v="2"/>
    <m/>
    <m/>
    <m/>
    <m/>
    <m/>
    <m/>
    <m/>
    <m/>
    <m/>
    <x v="1"/>
    <x v="1"/>
    <n v="0"/>
    <n v="0"/>
    <m/>
    <m/>
    <m/>
    <s v="Gaps in drainage"/>
    <m/>
    <m/>
    <m/>
    <n v="0"/>
    <m/>
    <n v="0"/>
    <n v="0"/>
    <m/>
    <m/>
    <m/>
    <m/>
    <n v="0.3"/>
    <m/>
    <m/>
    <m/>
    <m/>
    <m/>
    <m/>
    <m/>
    <m/>
    <s v="no test"/>
    <s v="no test"/>
    <s v="No Test"/>
    <n v="0"/>
    <n v="5"/>
    <n v="0"/>
    <n v="0"/>
    <n v="0"/>
    <n v="1000"/>
    <n v="1"/>
    <n v="1"/>
    <n v="1"/>
    <n v="1219"/>
    <n v="0"/>
    <n v="0"/>
    <n v="1"/>
    <n v="1219"/>
    <n v="2.4380000000000002"/>
    <n v="0"/>
    <n v="0"/>
    <n v="0"/>
    <n v="2"/>
    <n v="0"/>
    <n v="0"/>
    <n v="0"/>
    <n v="0"/>
    <n v="0"/>
    <n v="0"/>
    <n v="0"/>
    <n v="61"/>
    <n v="61"/>
    <n v="1"/>
    <n v="0"/>
    <n v="0"/>
    <n v="0"/>
    <n v="0"/>
    <n v="0"/>
    <n v="0"/>
    <n v="0"/>
    <n v="1"/>
    <n v="0"/>
    <n v="0"/>
    <n v="0"/>
    <n v="0"/>
    <n v="0"/>
    <n v="0"/>
    <n v="0"/>
    <s v="Yes"/>
    <s v=""/>
    <n v="0"/>
    <n v="1000"/>
    <s v="No"/>
    <n v="0"/>
    <x v="0"/>
    <x v="1"/>
    <x v="1"/>
    <n v="0"/>
    <n v="0"/>
    <n v="0"/>
    <x v="0"/>
    <n v="0"/>
  </r>
  <r>
    <x v="0"/>
    <x v="6"/>
    <x v="6"/>
    <s v="MHF, OFDA"/>
    <x v="0"/>
    <x v="7"/>
    <x v="1"/>
    <x v="195"/>
    <n v="40"/>
    <n v="250"/>
    <d v="2019-01-03T00:00:00"/>
    <d v="2021-01-30T00:00:00"/>
    <m/>
    <n v="0"/>
    <n v="2"/>
    <n v="0"/>
    <s v="Yes"/>
    <n v="5"/>
    <n v="4"/>
    <n v="2"/>
    <m/>
    <m/>
    <n v="1"/>
    <n v="0"/>
    <m/>
    <m/>
    <m/>
    <m/>
    <m/>
    <m/>
    <m/>
    <m/>
    <n v="1"/>
    <n v="1"/>
    <n v="1"/>
    <m/>
    <n v="2"/>
    <m/>
    <n v="10"/>
    <m/>
    <m/>
    <n v="16"/>
    <m/>
    <m/>
    <m/>
    <m/>
    <n v="8"/>
    <n v="21"/>
    <m/>
    <x v="1"/>
    <x v="1"/>
    <n v="0"/>
    <n v="0"/>
    <m/>
    <m/>
    <m/>
    <s v="Gaps in drainage"/>
    <n v="7"/>
    <m/>
    <m/>
    <n v="1"/>
    <m/>
    <n v="0"/>
    <n v="0"/>
    <n v="40"/>
    <m/>
    <m/>
    <m/>
    <m/>
    <m/>
    <m/>
    <n v="1"/>
    <m/>
    <m/>
    <m/>
    <m/>
    <m/>
    <n v="0"/>
    <n v="0"/>
    <s v="Tested"/>
    <n v="2"/>
    <n v="1"/>
    <n v="0"/>
    <n v="0"/>
    <n v="0"/>
    <n v="0"/>
    <n v="1"/>
    <n v="1"/>
    <n v="1"/>
    <n v="250"/>
    <n v="0"/>
    <n v="0"/>
    <n v="1"/>
    <n v="250"/>
    <n v="0.5"/>
    <n v="0"/>
    <n v="0"/>
    <n v="0.5"/>
    <n v="1"/>
    <n v="16"/>
    <n v="1"/>
    <n v="250"/>
    <n v="160"/>
    <n v="0"/>
    <n v="0"/>
    <n v="0"/>
    <n v="13"/>
    <n v="0"/>
    <n v="0"/>
    <n v="0"/>
    <n v="0"/>
    <n v="250"/>
    <n v="0"/>
    <n v="250"/>
    <n v="250"/>
    <n v="1"/>
    <n v="0"/>
    <n v="0"/>
    <n v="1"/>
    <n v="0"/>
    <n v="7"/>
    <n v="40"/>
    <n v="0"/>
    <n v="250"/>
    <s v="No"/>
    <s v=""/>
    <n v="0"/>
    <n v="0"/>
    <s v="Yes"/>
    <s v="KBC-BMO"/>
    <x v="0"/>
    <x v="1"/>
    <x v="1"/>
    <n v="24.207332999999998"/>
    <n v="97.710864000000001"/>
    <s v="MMR001CMP073"/>
    <x v="0"/>
    <s v="cccm_2019OCT"/>
  </r>
  <r>
    <x v="0"/>
    <x v="7"/>
    <x v="7"/>
    <s v="SCI/FFO"/>
    <x v="0"/>
    <x v="9"/>
    <x v="1"/>
    <x v="196"/>
    <n v="358"/>
    <n v="1816"/>
    <m/>
    <d v="2019-11-30T00:00:00"/>
    <n v="483"/>
    <n v="7"/>
    <n v="35"/>
    <m/>
    <s v="Yes"/>
    <n v="3"/>
    <n v="4"/>
    <n v="5"/>
    <m/>
    <m/>
    <m/>
    <m/>
    <m/>
    <m/>
    <n v="65"/>
    <m/>
    <m/>
    <m/>
    <n v="5"/>
    <m/>
    <n v="2"/>
    <n v="5"/>
    <m/>
    <m/>
    <m/>
    <m/>
    <n v="0"/>
    <n v="5"/>
    <m/>
    <n v="193"/>
    <m/>
    <m/>
    <m/>
    <m/>
    <m/>
    <m/>
    <n v="73"/>
    <x v="2"/>
    <x v="1"/>
    <m/>
    <m/>
    <n v="25"/>
    <m/>
    <m/>
    <m/>
    <n v="18"/>
    <m/>
    <n v="60"/>
    <n v="15"/>
    <m/>
    <n v="3"/>
    <n v="6"/>
    <m/>
    <m/>
    <s v="Yes"/>
    <m/>
    <m/>
    <s v="Need to conduct hygiene promotion in schools &amp; boarding houses"/>
    <m/>
    <m/>
    <m/>
    <m/>
    <m/>
    <m/>
    <m/>
    <s v="no test"/>
    <s v="no test"/>
    <s v="No Test"/>
    <n v="5"/>
    <n v="0"/>
    <n v="65"/>
    <n v="0"/>
    <n v="0"/>
    <n v="2500"/>
    <n v="1"/>
    <n v="1"/>
    <n v="1"/>
    <n v="1816"/>
    <n v="0.68832599118942728"/>
    <n v="1250"/>
    <n v="1"/>
    <n v="1816"/>
    <n v="3.6320000000000001"/>
    <n v="0"/>
    <n v="0"/>
    <n v="0.36799999999999988"/>
    <n v="4"/>
    <n v="193"/>
    <n v="1"/>
    <n v="1816"/>
    <n v="0"/>
    <n v="483"/>
    <n v="0"/>
    <n v="483"/>
    <n v="91"/>
    <n v="0"/>
    <n v="0"/>
    <n v="0"/>
    <n v="1816"/>
    <n v="0"/>
    <n v="0"/>
    <n v="0"/>
    <n v="1816"/>
    <n v="1"/>
    <n v="0"/>
    <n v="1"/>
    <n v="0"/>
    <n v="0"/>
    <n v="18"/>
    <n v="358"/>
    <n v="0"/>
    <n v="1800"/>
    <s v="Yes"/>
    <s v=""/>
    <n v="0"/>
    <n v="2500"/>
    <s v="Yes"/>
    <s v="KMSS-BMO"/>
    <x v="0"/>
    <x v="1"/>
    <x v="0"/>
    <n v="24.002433"/>
    <n v="97.609832999999995"/>
    <s v="MMR001CMP129"/>
    <x v="0"/>
    <s v="cccm_2019OCT"/>
  </r>
  <r>
    <x v="0"/>
    <x v="7"/>
    <x v="7"/>
    <s v="SCI/FFO"/>
    <x v="0"/>
    <x v="9"/>
    <x v="1"/>
    <x v="197"/>
    <n v="446"/>
    <n v="2455"/>
    <m/>
    <d v="2019-11-30T00:00:00"/>
    <n v="562"/>
    <n v="12"/>
    <n v="45"/>
    <m/>
    <s v="Yes"/>
    <n v="3"/>
    <n v="5"/>
    <n v="3"/>
    <m/>
    <m/>
    <m/>
    <m/>
    <m/>
    <m/>
    <n v="70"/>
    <m/>
    <m/>
    <m/>
    <n v="1"/>
    <m/>
    <n v="2"/>
    <n v="1"/>
    <m/>
    <m/>
    <m/>
    <m/>
    <n v="5"/>
    <n v="2"/>
    <m/>
    <n v="395"/>
    <m/>
    <m/>
    <m/>
    <m/>
    <m/>
    <m/>
    <n v="266"/>
    <x v="2"/>
    <x v="1"/>
    <m/>
    <m/>
    <n v="42"/>
    <m/>
    <m/>
    <m/>
    <n v="12"/>
    <m/>
    <n v="266"/>
    <n v="4"/>
    <m/>
    <n v="2"/>
    <n v="8"/>
    <m/>
    <m/>
    <s v="Yes"/>
    <m/>
    <m/>
    <s v="Need to conduct hygiene promotion in schools &amp; boarding houses"/>
    <m/>
    <m/>
    <m/>
    <m/>
    <m/>
    <m/>
    <m/>
    <s v="no test"/>
    <s v="no test"/>
    <s v="No Test"/>
    <n v="3"/>
    <n v="0"/>
    <n v="70"/>
    <n v="0"/>
    <n v="0"/>
    <n v="1000"/>
    <n v="1"/>
    <n v="1"/>
    <n v="1"/>
    <n v="2455"/>
    <n v="0.10183299389002037"/>
    <n v="250.00000000000003"/>
    <n v="1"/>
    <n v="2455"/>
    <n v="4.91"/>
    <n v="0"/>
    <n v="0"/>
    <n v="8.9999999999999858E-2"/>
    <n v="5"/>
    <n v="395"/>
    <n v="1"/>
    <n v="2455"/>
    <n v="0"/>
    <n v="562"/>
    <n v="0"/>
    <n v="562"/>
    <n v="123"/>
    <n v="0"/>
    <n v="0"/>
    <n v="0"/>
    <n v="2455"/>
    <n v="0"/>
    <n v="0"/>
    <n v="0"/>
    <n v="2455"/>
    <n v="1"/>
    <n v="0"/>
    <n v="1"/>
    <n v="0"/>
    <n v="0"/>
    <n v="12"/>
    <n v="240"/>
    <n v="5"/>
    <n v="1200"/>
    <s v="Yes"/>
    <s v=""/>
    <n v="0"/>
    <n v="1000"/>
    <s v="Yes"/>
    <s v="KMSS-BMO"/>
    <x v="0"/>
    <x v="1"/>
    <x v="0"/>
    <n v="24.056132999999999"/>
    <n v="97.625617000000005"/>
    <s v="MMR001CMP128"/>
    <x v="0"/>
    <s v="cccm_2019OCT"/>
  </r>
  <r>
    <x v="0"/>
    <x v="7"/>
    <x v="7"/>
    <s v="SCI/FFO"/>
    <x v="0"/>
    <x v="7"/>
    <x v="1"/>
    <x v="198"/>
    <n v="329"/>
    <n v="1658"/>
    <m/>
    <d v="2019-11-30T00:00:00"/>
    <n v="440"/>
    <n v="9"/>
    <n v="40"/>
    <m/>
    <s v="Yes"/>
    <n v="3"/>
    <m/>
    <n v="2"/>
    <m/>
    <m/>
    <m/>
    <m/>
    <m/>
    <m/>
    <n v="65"/>
    <m/>
    <m/>
    <m/>
    <n v="6"/>
    <m/>
    <n v="2"/>
    <n v="6"/>
    <m/>
    <m/>
    <m/>
    <m/>
    <n v="4"/>
    <n v="2"/>
    <m/>
    <n v="181"/>
    <m/>
    <m/>
    <m/>
    <m/>
    <m/>
    <m/>
    <n v="71"/>
    <x v="2"/>
    <x v="1"/>
    <m/>
    <m/>
    <n v="12"/>
    <m/>
    <m/>
    <m/>
    <n v="25"/>
    <m/>
    <n v="30"/>
    <n v="16"/>
    <m/>
    <n v="3"/>
    <n v="6"/>
    <m/>
    <m/>
    <s v="Yes"/>
    <m/>
    <m/>
    <s v="Need to conduct hygiene promotion in schools &amp; boarding houses"/>
    <m/>
    <m/>
    <m/>
    <m/>
    <m/>
    <m/>
    <m/>
    <s v="no test"/>
    <s v="no test"/>
    <s v="No Test"/>
    <n v="2"/>
    <n v="0"/>
    <n v="65"/>
    <n v="0"/>
    <n v="0"/>
    <n v="1000"/>
    <n v="1"/>
    <n v="1"/>
    <n v="1"/>
    <n v="1658"/>
    <n v="0.90470446320868514"/>
    <n v="1500"/>
    <n v="1"/>
    <n v="1658"/>
    <n v="3.3159999999999998"/>
    <n v="0"/>
    <n v="0"/>
    <n v="0"/>
    <n v="3"/>
    <n v="181"/>
    <n v="1"/>
    <n v="1658"/>
    <n v="0"/>
    <n v="440"/>
    <n v="0"/>
    <n v="440"/>
    <n v="83"/>
    <n v="0"/>
    <n v="0"/>
    <n v="0"/>
    <n v="1658"/>
    <n v="0"/>
    <n v="0"/>
    <n v="0"/>
    <n v="1658"/>
    <n v="1"/>
    <n v="0"/>
    <n v="1"/>
    <n v="0"/>
    <n v="0"/>
    <n v="25"/>
    <n v="329"/>
    <n v="4"/>
    <n v="1658"/>
    <s v="Yes"/>
    <s v=""/>
    <n v="0"/>
    <n v="1000"/>
    <s v="Yes"/>
    <s v="KMSS-BMO"/>
    <x v="0"/>
    <x v="1"/>
    <x v="0"/>
    <n v="24.378167000000001"/>
    <n v="97.669366999999994"/>
    <s v="MMR001CMP131"/>
    <x v="0"/>
    <s v="cccm_2019OCT"/>
  </r>
  <r>
    <x v="0"/>
    <x v="7"/>
    <x v="7"/>
    <s v="SCI/FFO"/>
    <x v="0"/>
    <x v="7"/>
    <x v="1"/>
    <x v="199"/>
    <n v="604"/>
    <n v="3050"/>
    <m/>
    <d v="2019-11-30T00:00:00"/>
    <n v="923"/>
    <n v="9"/>
    <n v="60"/>
    <m/>
    <s v="Yes"/>
    <n v="3"/>
    <n v="4"/>
    <m/>
    <m/>
    <m/>
    <m/>
    <m/>
    <m/>
    <m/>
    <n v="25"/>
    <m/>
    <m/>
    <m/>
    <n v="1"/>
    <m/>
    <n v="2"/>
    <n v="1"/>
    <m/>
    <m/>
    <m/>
    <m/>
    <n v="21"/>
    <n v="6"/>
    <m/>
    <n v="244"/>
    <m/>
    <m/>
    <m/>
    <m/>
    <m/>
    <m/>
    <m/>
    <x v="2"/>
    <x v="1"/>
    <m/>
    <m/>
    <n v="97"/>
    <m/>
    <m/>
    <m/>
    <n v="46"/>
    <m/>
    <m/>
    <n v="17"/>
    <m/>
    <n v="2"/>
    <n v="7"/>
    <m/>
    <m/>
    <s v="Yes"/>
    <m/>
    <m/>
    <s v="Need to conduct hygiene promotion in schools &amp; boarding houses"/>
    <m/>
    <m/>
    <m/>
    <m/>
    <m/>
    <m/>
    <m/>
    <s v="no test"/>
    <s v="no test"/>
    <s v="No Test"/>
    <n v="0"/>
    <n v="0"/>
    <n v="25"/>
    <n v="0"/>
    <n v="0"/>
    <n v="3000"/>
    <n v="0.54644808743169404"/>
    <n v="0.54644808743169404"/>
    <n v="0.54644808743169404"/>
    <n v="1666.6666666666667"/>
    <n v="8.1967213114754092E-2"/>
    <n v="249.99999999999997"/>
    <n v="0.62841530054644812"/>
    <n v="1916.6666666666667"/>
    <n v="3.8333333333333335"/>
    <n v="0.37158469945355188"/>
    <n v="1133.3333333333333"/>
    <n v="2.1666666666666665"/>
    <n v="6"/>
    <n v="244"/>
    <n v="1"/>
    <n v="3050"/>
    <n v="0"/>
    <n v="923"/>
    <n v="0"/>
    <n v="923"/>
    <n v="153"/>
    <n v="0"/>
    <n v="0"/>
    <n v="0"/>
    <n v="3050"/>
    <n v="0"/>
    <n v="0"/>
    <n v="0"/>
    <n v="3050"/>
    <n v="1"/>
    <n v="0"/>
    <n v="1"/>
    <n v="0"/>
    <n v="0"/>
    <n v="46"/>
    <n v="604"/>
    <n v="21"/>
    <n v="3050"/>
    <s v="Yes"/>
    <s v=""/>
    <n v="0"/>
    <n v="3000"/>
    <s v="Yes"/>
    <s v="KMSS-BMO"/>
    <x v="0"/>
    <x v="1"/>
    <x v="0"/>
    <n v="24.2744"/>
    <n v="97.752667000000002"/>
    <s v="MMR001CMP126"/>
    <x v="0"/>
    <s v="cccm_2019OCT"/>
  </r>
  <r>
    <x v="1"/>
    <x v="0"/>
    <x v="0"/>
    <m/>
    <x v="0"/>
    <x v="0"/>
    <x v="0"/>
    <x v="0"/>
    <n v="24"/>
    <n v="103"/>
    <m/>
    <m/>
    <m/>
    <m/>
    <m/>
    <m/>
    <m/>
    <m/>
    <n v="4"/>
    <m/>
    <m/>
    <m/>
    <m/>
    <m/>
    <m/>
    <m/>
    <m/>
    <m/>
    <m/>
    <m/>
    <m/>
    <m/>
    <m/>
    <m/>
    <m/>
    <m/>
    <m/>
    <m/>
    <m/>
    <m/>
    <m/>
    <m/>
    <m/>
    <m/>
    <m/>
    <m/>
    <m/>
    <m/>
    <m/>
    <x v="3"/>
    <x v="3"/>
    <m/>
    <m/>
    <m/>
    <m/>
    <m/>
    <m/>
    <m/>
    <m/>
    <m/>
    <m/>
    <m/>
    <m/>
    <m/>
    <m/>
    <m/>
    <m/>
    <m/>
    <m/>
    <m/>
    <m/>
    <m/>
    <m/>
    <m/>
    <m/>
    <m/>
    <m/>
    <s v="no test"/>
    <s v="no test"/>
    <s v="No Test"/>
    <n v="0"/>
    <n v="0"/>
    <n v="0"/>
    <n v="0"/>
    <n v="0"/>
    <n v="0"/>
    <n v="0"/>
    <n v="0"/>
    <n v="0"/>
    <n v="0"/>
    <n v="0"/>
    <n v="0"/>
    <n v="0"/>
    <n v="0"/>
    <n v="0"/>
    <n v="1"/>
    <n v="103"/>
    <n v="1"/>
    <n v="1"/>
    <n v="0"/>
    <n v="0"/>
    <n v="0"/>
    <n v="0"/>
    <n v="0"/>
    <n v="0"/>
    <n v="0"/>
    <n v="5"/>
    <n v="5"/>
    <n v="1"/>
    <n v="0"/>
    <n v="0"/>
    <n v="0"/>
    <n v="0"/>
    <n v="0"/>
    <n v="0"/>
    <n v="0"/>
    <n v="1"/>
    <n v="0"/>
    <n v="0"/>
    <n v="0"/>
    <n v="0"/>
    <n v="0"/>
    <n v="0"/>
    <n v="0"/>
    <s v="No"/>
    <s v=""/>
    <n v="0"/>
    <n v="0"/>
    <n v="0"/>
    <n v="0"/>
    <x v="0"/>
    <x v="0"/>
    <x v="0"/>
    <n v="0"/>
    <n v="0"/>
    <n v="0"/>
    <x v="0"/>
    <n v="0"/>
  </r>
  <r>
    <x v="1"/>
    <x v="0"/>
    <x v="0"/>
    <m/>
    <x v="0"/>
    <x v="1"/>
    <x v="0"/>
    <x v="1"/>
    <n v="86"/>
    <n v="381"/>
    <m/>
    <m/>
    <m/>
    <m/>
    <m/>
    <m/>
    <m/>
    <m/>
    <m/>
    <m/>
    <m/>
    <m/>
    <m/>
    <m/>
    <m/>
    <m/>
    <m/>
    <m/>
    <m/>
    <m/>
    <m/>
    <m/>
    <m/>
    <m/>
    <m/>
    <m/>
    <m/>
    <m/>
    <m/>
    <m/>
    <m/>
    <m/>
    <m/>
    <m/>
    <m/>
    <m/>
    <m/>
    <m/>
    <m/>
    <x v="3"/>
    <x v="3"/>
    <m/>
    <m/>
    <m/>
    <m/>
    <m/>
    <m/>
    <m/>
    <m/>
    <m/>
    <m/>
    <m/>
    <m/>
    <m/>
    <m/>
    <m/>
    <m/>
    <m/>
    <m/>
    <m/>
    <m/>
    <m/>
    <m/>
    <m/>
    <m/>
    <m/>
    <m/>
    <s v="no test"/>
    <s v="no test"/>
    <s v="No Test"/>
    <n v="0"/>
    <n v="0"/>
    <n v="0"/>
    <n v="0"/>
    <n v="0"/>
    <n v="0"/>
    <n v="0"/>
    <n v="0"/>
    <n v="0"/>
    <n v="0"/>
    <n v="0"/>
    <n v="0"/>
    <n v="0"/>
    <n v="0"/>
    <n v="0"/>
    <n v="1"/>
    <n v="381"/>
    <n v="1"/>
    <n v="1"/>
    <n v="0"/>
    <n v="0"/>
    <n v="0"/>
    <n v="0"/>
    <n v="0"/>
    <n v="0"/>
    <n v="0"/>
    <n v="19"/>
    <n v="19"/>
    <n v="1"/>
    <n v="0"/>
    <n v="0"/>
    <n v="0"/>
    <n v="0"/>
    <n v="0"/>
    <n v="0"/>
    <n v="0"/>
    <n v="1"/>
    <n v="0"/>
    <n v="0"/>
    <n v="0"/>
    <n v="0"/>
    <n v="0"/>
    <n v="0"/>
    <n v="0"/>
    <s v="No"/>
    <s v=""/>
    <n v="0"/>
    <n v="0"/>
    <n v="0"/>
    <n v="0"/>
    <x v="0"/>
    <x v="0"/>
    <x v="0"/>
    <n v="0"/>
    <n v="0"/>
    <n v="0"/>
    <x v="0"/>
    <n v="0"/>
  </r>
  <r>
    <x v="1"/>
    <x v="0"/>
    <x v="0"/>
    <s v="PLAN(GFFO),MHF13490"/>
    <x v="0"/>
    <x v="0"/>
    <x v="1"/>
    <x v="2"/>
    <n v="43"/>
    <n v="197"/>
    <s v="5-1-2019,10-1-2019"/>
    <s v="9-30-2020,7-31-2020"/>
    <m/>
    <m/>
    <m/>
    <m/>
    <s v="Yes"/>
    <m/>
    <m/>
    <n v="0"/>
    <m/>
    <m/>
    <n v="3"/>
    <m/>
    <m/>
    <m/>
    <m/>
    <m/>
    <m/>
    <m/>
    <m/>
    <m/>
    <m/>
    <n v="3"/>
    <m/>
    <m/>
    <m/>
    <m/>
    <m/>
    <m/>
    <m/>
    <n v="7"/>
    <m/>
    <m/>
    <m/>
    <m/>
    <m/>
    <m/>
    <n v="7"/>
    <x v="1"/>
    <x v="1"/>
    <m/>
    <m/>
    <m/>
    <m/>
    <m/>
    <m/>
    <n v="3"/>
    <m/>
    <m/>
    <n v="3"/>
    <m/>
    <m/>
    <n v="2"/>
    <m/>
    <m/>
    <m/>
    <m/>
    <m/>
    <m/>
    <m/>
    <m/>
    <m/>
    <m/>
    <m/>
    <m/>
    <m/>
    <s v="no test"/>
    <s v="no test"/>
    <s v="No Test"/>
    <n v="0"/>
    <n v="3"/>
    <n v="0"/>
    <n v="0"/>
    <n v="0"/>
    <n v="0"/>
    <n v="1"/>
    <n v="1"/>
    <n v="1"/>
    <n v="197"/>
    <n v="0"/>
    <n v="0"/>
    <n v="1"/>
    <n v="197"/>
    <n v="0.39400000000000002"/>
    <n v="0"/>
    <n v="0"/>
    <n v="0.60599999999999998"/>
    <n v="1"/>
    <n v="7"/>
    <n v="0.71065989847715738"/>
    <n v="140"/>
    <n v="0"/>
    <n v="0"/>
    <n v="0"/>
    <n v="0"/>
    <n v="10"/>
    <n v="3"/>
    <n v="0.28934010152284262"/>
    <n v="0"/>
    <n v="197"/>
    <n v="0"/>
    <n v="0"/>
    <n v="0"/>
    <n v="197"/>
    <n v="1"/>
    <n v="0"/>
    <n v="1"/>
    <n v="0"/>
    <n v="0"/>
    <n v="3"/>
    <n v="43"/>
    <n v="0"/>
    <n v="197"/>
    <s v="No"/>
    <s v=""/>
    <n v="0"/>
    <n v="0"/>
    <s v="Yes"/>
    <s v="KBC-MYT"/>
    <x v="0"/>
    <x v="1"/>
    <x v="1"/>
    <n v="25.3959740909091"/>
    <n v="97.382997575757599"/>
    <s v="MMR001CMP010"/>
    <x v="0"/>
    <s v="cccm_2019OCT"/>
  </r>
  <r>
    <x v="1"/>
    <x v="1"/>
    <x v="1"/>
    <s v="HARP,UNICEF"/>
    <x v="0"/>
    <x v="2"/>
    <x v="1"/>
    <x v="48"/>
    <n v="101"/>
    <n v="458"/>
    <s v="3-1-2019, 12-11-2019"/>
    <s v="12-31-2020, 12-10-2020"/>
    <n v="48"/>
    <m/>
    <m/>
    <m/>
    <s v="Yes"/>
    <m/>
    <m/>
    <m/>
    <m/>
    <m/>
    <m/>
    <m/>
    <m/>
    <m/>
    <n v="1"/>
    <m/>
    <m/>
    <m/>
    <m/>
    <m/>
    <m/>
    <m/>
    <m/>
    <m/>
    <m/>
    <m/>
    <n v="4"/>
    <m/>
    <m/>
    <n v="90"/>
    <m/>
    <m/>
    <m/>
    <m/>
    <m/>
    <m/>
    <m/>
    <x v="1"/>
    <x v="1"/>
    <n v="0"/>
    <m/>
    <m/>
    <m/>
    <m/>
    <m/>
    <n v="2"/>
    <m/>
    <m/>
    <n v="3"/>
    <m/>
    <m/>
    <n v="2"/>
    <n v="6"/>
    <m/>
    <s v="No"/>
    <m/>
    <m/>
    <m/>
    <m/>
    <m/>
    <m/>
    <m/>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90"/>
    <n v="1"/>
    <n v="458"/>
    <n v="0"/>
    <n v="0"/>
    <n v="0"/>
    <n v="0"/>
    <n v="23"/>
    <n v="0"/>
    <n v="0"/>
    <n v="0"/>
    <n v="458"/>
    <n v="30"/>
    <n v="0"/>
    <n v="30"/>
    <n v="458"/>
    <n v="1"/>
    <n v="0"/>
    <n v="1"/>
    <n v="5.9405940594059403E-2"/>
    <n v="0"/>
    <n v="2"/>
    <n v="40"/>
    <n v="0"/>
    <n v="200"/>
    <s v="Yes"/>
    <s v=""/>
    <n v="0"/>
    <n v="0"/>
    <s v="Yes"/>
    <s v="KMSS-MYT"/>
    <x v="0"/>
    <x v="1"/>
    <x v="0"/>
    <n v="25.220278"/>
    <n v="97.915833000000006"/>
    <s v="MMR001CMP113"/>
    <x v="0"/>
    <s v="cccm_2019OCT"/>
  </r>
  <r>
    <x v="1"/>
    <x v="4"/>
    <x v="4"/>
    <m/>
    <x v="0"/>
    <x v="3"/>
    <x v="1"/>
    <x v="153"/>
    <n v="70"/>
    <n v="350"/>
    <m/>
    <m/>
    <m/>
    <m/>
    <m/>
    <m/>
    <m/>
    <m/>
    <m/>
    <m/>
    <m/>
    <m/>
    <m/>
    <m/>
    <m/>
    <m/>
    <m/>
    <m/>
    <m/>
    <m/>
    <m/>
    <m/>
    <m/>
    <m/>
    <m/>
    <m/>
    <m/>
    <m/>
    <m/>
    <m/>
    <m/>
    <m/>
    <m/>
    <m/>
    <m/>
    <m/>
    <m/>
    <m/>
    <m/>
    <x v="0"/>
    <x v="0"/>
    <m/>
    <m/>
    <m/>
    <m/>
    <m/>
    <m/>
    <m/>
    <m/>
    <m/>
    <m/>
    <m/>
    <m/>
    <m/>
    <m/>
    <m/>
    <m/>
    <m/>
    <m/>
    <m/>
    <m/>
    <m/>
    <m/>
    <m/>
    <m/>
    <m/>
    <m/>
    <s v="no test"/>
    <s v="no test"/>
    <s v="No Test"/>
    <n v="0"/>
    <n v="0"/>
    <n v="0"/>
    <n v="0"/>
    <n v="0"/>
    <n v="0"/>
    <n v="0"/>
    <n v="0"/>
    <n v="0"/>
    <n v="0"/>
    <n v="0"/>
    <n v="0"/>
    <n v="0"/>
    <n v="0"/>
    <n v="0"/>
    <n v="1"/>
    <n v="350"/>
    <n v="1"/>
    <n v="1"/>
    <n v="0"/>
    <n v="0"/>
    <n v="0"/>
    <n v="0"/>
    <n v="0"/>
    <n v="0"/>
    <n v="0"/>
    <n v="18"/>
    <n v="18"/>
    <n v="1"/>
    <n v="0"/>
    <n v="0"/>
    <n v="0"/>
    <n v="0"/>
    <n v="0"/>
    <n v="0"/>
    <n v="0"/>
    <n v="1"/>
    <n v="0"/>
    <n v="0"/>
    <n v="0"/>
    <n v="0"/>
    <n v="0"/>
    <n v="0"/>
    <n v="0"/>
    <s v="No"/>
    <s v=""/>
    <n v="0"/>
    <n v="0"/>
    <s v="Yes"/>
    <s v="KMSS-MYT"/>
    <x v="0"/>
    <x v="1"/>
    <x v="1"/>
    <n v="25.656009999999998"/>
    <n v="96.361609999999999"/>
    <s v="MMR001CMP168"/>
    <x v="1"/>
    <s v="cccm_2019OCT"/>
  </r>
  <r>
    <x v="1"/>
    <x v="0"/>
    <x v="0"/>
    <m/>
    <x v="0"/>
    <x v="4"/>
    <x v="1"/>
    <x v="5"/>
    <n v="169"/>
    <n v="837"/>
    <m/>
    <m/>
    <n v="238"/>
    <m/>
    <m/>
    <m/>
    <s v="Yes"/>
    <m/>
    <n v="4"/>
    <n v="0"/>
    <m/>
    <m/>
    <n v="0"/>
    <m/>
    <m/>
    <m/>
    <n v="1"/>
    <m/>
    <m/>
    <m/>
    <m/>
    <m/>
    <m/>
    <n v="0"/>
    <m/>
    <m/>
    <m/>
    <m/>
    <m/>
    <m/>
    <m/>
    <n v="32"/>
    <m/>
    <m/>
    <m/>
    <m/>
    <m/>
    <m/>
    <n v="32"/>
    <x v="1"/>
    <x v="1"/>
    <m/>
    <m/>
    <n v="5"/>
    <m/>
    <m/>
    <m/>
    <m/>
    <m/>
    <m/>
    <n v="4"/>
    <m/>
    <m/>
    <m/>
    <m/>
    <m/>
    <m/>
    <m/>
    <m/>
    <m/>
    <m/>
    <m/>
    <m/>
    <m/>
    <m/>
    <m/>
    <m/>
    <s v="no test"/>
    <s v="no test"/>
    <s v="No Test"/>
    <n v="0"/>
    <n v="0"/>
    <n v="1"/>
    <n v="0"/>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238"/>
    <n v="0"/>
    <n v="238"/>
    <n v="42"/>
    <n v="10"/>
    <n v="0.2353643966547192"/>
    <n v="0"/>
    <n v="0"/>
    <n v="0"/>
    <n v="0"/>
    <n v="0"/>
    <n v="0"/>
    <n v="0"/>
    <n v="1"/>
    <n v="0"/>
    <n v="0"/>
    <n v="0"/>
    <n v="0"/>
    <n v="0"/>
    <n v="0"/>
    <n v="0"/>
    <s v="Yes"/>
    <s v=""/>
    <n v="0"/>
    <n v="238"/>
    <s v="Yes"/>
    <s v="KBC-MYT"/>
    <x v="0"/>
    <x v="1"/>
    <x v="0"/>
    <n v="25.754110000000001"/>
    <n v="98.475719999999995"/>
    <s v="MMR001CMP043"/>
    <x v="0"/>
    <s v="cccm_2019OCT"/>
  </r>
  <r>
    <x v="1"/>
    <x v="0"/>
    <x v="0"/>
    <m/>
    <x v="0"/>
    <x v="5"/>
    <x v="0"/>
    <x v="6"/>
    <n v="39"/>
    <n v="121"/>
    <m/>
    <m/>
    <m/>
    <m/>
    <m/>
    <m/>
    <m/>
    <m/>
    <n v="4"/>
    <m/>
    <m/>
    <m/>
    <m/>
    <m/>
    <m/>
    <m/>
    <m/>
    <m/>
    <m/>
    <m/>
    <m/>
    <m/>
    <m/>
    <m/>
    <m/>
    <m/>
    <m/>
    <m/>
    <m/>
    <m/>
    <m/>
    <m/>
    <m/>
    <m/>
    <m/>
    <m/>
    <m/>
    <m/>
    <m/>
    <x v="3"/>
    <x v="3"/>
    <m/>
    <m/>
    <m/>
    <m/>
    <m/>
    <m/>
    <m/>
    <m/>
    <m/>
    <m/>
    <m/>
    <m/>
    <m/>
    <m/>
    <m/>
    <m/>
    <m/>
    <m/>
    <m/>
    <m/>
    <m/>
    <m/>
    <m/>
    <m/>
    <m/>
    <m/>
    <s v="no test"/>
    <s v="no test"/>
    <s v="No Test"/>
    <n v="0"/>
    <n v="0"/>
    <n v="0"/>
    <n v="0"/>
    <n v="0"/>
    <n v="0"/>
    <n v="0"/>
    <n v="0"/>
    <n v="0"/>
    <n v="0"/>
    <n v="0"/>
    <n v="0"/>
    <n v="0"/>
    <n v="0"/>
    <n v="0"/>
    <n v="1"/>
    <n v="121"/>
    <n v="1"/>
    <n v="1"/>
    <n v="0"/>
    <n v="0"/>
    <n v="0"/>
    <n v="0"/>
    <n v="0"/>
    <n v="0"/>
    <n v="0"/>
    <n v="6"/>
    <n v="6"/>
    <n v="1"/>
    <n v="0"/>
    <n v="0"/>
    <n v="0"/>
    <n v="0"/>
    <n v="0"/>
    <n v="0"/>
    <n v="0"/>
    <n v="1"/>
    <n v="0"/>
    <n v="0"/>
    <n v="0"/>
    <n v="0"/>
    <n v="0"/>
    <n v="0"/>
    <n v="0"/>
    <s v="No"/>
    <s v=""/>
    <n v="0"/>
    <n v="0"/>
    <n v="0"/>
    <n v="0"/>
    <x v="0"/>
    <x v="0"/>
    <x v="0"/>
    <n v="0"/>
    <n v="0"/>
    <n v="0"/>
    <x v="0"/>
    <n v="0"/>
  </r>
  <r>
    <x v="1"/>
    <x v="0"/>
    <x v="0"/>
    <s v="PLAN(GFFO),MHF13490"/>
    <x v="0"/>
    <x v="0"/>
    <x v="1"/>
    <x v="7"/>
    <n v="197"/>
    <n v="1050"/>
    <s v="5-1-2019,10-1-2019"/>
    <s v="9-30-2020,7-31-2020"/>
    <m/>
    <m/>
    <m/>
    <m/>
    <s v="Yes"/>
    <m/>
    <n v="1"/>
    <n v="1"/>
    <m/>
    <m/>
    <n v="4"/>
    <m/>
    <m/>
    <m/>
    <m/>
    <m/>
    <m/>
    <m/>
    <m/>
    <m/>
    <m/>
    <n v="5"/>
    <m/>
    <m/>
    <m/>
    <m/>
    <m/>
    <m/>
    <m/>
    <n v="43"/>
    <m/>
    <m/>
    <m/>
    <m/>
    <m/>
    <m/>
    <n v="43"/>
    <x v="1"/>
    <x v="1"/>
    <m/>
    <m/>
    <m/>
    <m/>
    <m/>
    <m/>
    <n v="6"/>
    <m/>
    <m/>
    <n v="3"/>
    <m/>
    <m/>
    <n v="5"/>
    <m/>
    <m/>
    <m/>
    <m/>
    <m/>
    <m/>
    <m/>
    <m/>
    <m/>
    <m/>
    <m/>
    <m/>
    <m/>
    <s v="no test"/>
    <s v="no test"/>
    <s v="No Test"/>
    <n v="1"/>
    <n v="4"/>
    <n v="0"/>
    <n v="0"/>
    <n v="0"/>
    <n v="0"/>
    <n v="1"/>
    <n v="1"/>
    <n v="1"/>
    <n v="1050"/>
    <n v="0"/>
    <n v="0"/>
    <n v="1"/>
    <n v="1050"/>
    <n v="2.1"/>
    <n v="0"/>
    <n v="0"/>
    <n v="0"/>
    <n v="2"/>
    <n v="43"/>
    <n v="0.81904761904761902"/>
    <n v="860"/>
    <n v="0"/>
    <n v="0"/>
    <n v="0"/>
    <n v="0"/>
    <n v="53"/>
    <n v="10"/>
    <n v="0.18095238095238098"/>
    <n v="0"/>
    <n v="1050"/>
    <n v="0"/>
    <n v="0"/>
    <n v="0"/>
    <n v="1050"/>
    <n v="1"/>
    <n v="0"/>
    <n v="1"/>
    <n v="0"/>
    <n v="0"/>
    <n v="6"/>
    <n v="120"/>
    <n v="0"/>
    <n v="600"/>
    <s v="No"/>
    <s v=""/>
    <n v="0"/>
    <n v="0"/>
    <s v="Yes"/>
    <s v="KBC-MYT"/>
    <x v="0"/>
    <x v="1"/>
    <x v="1"/>
    <n v="25.397850999999999"/>
    <n v="97.370900000000006"/>
    <s v="MMR001CMP018"/>
    <x v="0"/>
    <s v="cccm_2019OCT"/>
  </r>
  <r>
    <x v="1"/>
    <x v="1"/>
    <x v="1"/>
    <s v="HARP/UNICEF"/>
    <x v="0"/>
    <x v="0"/>
    <x v="1"/>
    <x v="50"/>
    <n v="90"/>
    <n v="430"/>
    <s v="3-1-2019, 12-11-2019"/>
    <s v="12-31-2020, 12-10-2020"/>
    <n v="11"/>
    <m/>
    <m/>
    <m/>
    <s v="Yes"/>
    <m/>
    <m/>
    <n v="1"/>
    <m/>
    <m/>
    <m/>
    <m/>
    <m/>
    <m/>
    <m/>
    <m/>
    <m/>
    <m/>
    <m/>
    <m/>
    <m/>
    <m/>
    <n v="1"/>
    <n v="1"/>
    <m/>
    <m/>
    <n v="1"/>
    <m/>
    <m/>
    <n v="22"/>
    <m/>
    <m/>
    <m/>
    <m/>
    <m/>
    <m/>
    <m/>
    <x v="1"/>
    <x v="1"/>
    <n v="1"/>
    <m/>
    <m/>
    <m/>
    <m/>
    <m/>
    <m/>
    <m/>
    <m/>
    <n v="3"/>
    <m/>
    <m/>
    <n v="2"/>
    <m/>
    <m/>
    <m/>
    <m/>
    <m/>
    <m/>
    <m/>
    <m/>
    <m/>
    <m/>
    <m/>
    <m/>
    <m/>
    <n v="1"/>
    <s v="no test"/>
    <s v="Tested"/>
    <n v="1"/>
    <n v="0"/>
    <n v="0"/>
    <n v="0"/>
    <n v="0"/>
    <n v="0"/>
    <n v="0.93023255813953487"/>
    <n v="0.58139534883720934"/>
    <n v="0.93023255813953487"/>
    <n v="400"/>
    <n v="0"/>
    <n v="0"/>
    <n v="0.93023255813953487"/>
    <n v="400"/>
    <n v="0.8"/>
    <n v="6.9767441860465129E-2"/>
    <n v="30.000000000000007"/>
    <n v="0.19999999999999996"/>
    <n v="1"/>
    <n v="22"/>
    <n v="1"/>
    <n v="430"/>
    <n v="0"/>
    <n v="0"/>
    <n v="0"/>
    <n v="0"/>
    <n v="22"/>
    <n v="0"/>
    <n v="0"/>
    <n v="0"/>
    <n v="430"/>
    <n v="0"/>
    <n v="0"/>
    <n v="0"/>
    <n v="430"/>
    <n v="1"/>
    <n v="0"/>
    <n v="1"/>
    <n v="0"/>
    <n v="0"/>
    <n v="0"/>
    <n v="0"/>
    <n v="0"/>
    <n v="0"/>
    <s v="Yes"/>
    <s v=""/>
    <n v="0"/>
    <n v="0"/>
    <s v="Yes"/>
    <s v="KMSS-MYT"/>
    <x v="0"/>
    <x v="1"/>
    <x v="1"/>
    <n v="25.403476999999999"/>
    <n v="97.373361000000003"/>
    <s v="MMR001CMP019"/>
    <x v="0"/>
    <s v="cccm_2019OCT"/>
  </r>
  <r>
    <x v="1"/>
    <x v="0"/>
    <x v="0"/>
    <s v="PLAN(GFFO),MHF13490"/>
    <x v="0"/>
    <x v="6"/>
    <x v="1"/>
    <x v="9"/>
    <n v="13"/>
    <n v="66"/>
    <s v="5-1-2019,10-1-2019"/>
    <s v="9-30-2020,7-31-2020"/>
    <m/>
    <m/>
    <m/>
    <m/>
    <s v="Yes"/>
    <m/>
    <n v="3"/>
    <n v="0"/>
    <m/>
    <m/>
    <n v="1"/>
    <m/>
    <m/>
    <m/>
    <m/>
    <m/>
    <m/>
    <m/>
    <m/>
    <m/>
    <m/>
    <n v="2"/>
    <m/>
    <m/>
    <m/>
    <m/>
    <m/>
    <m/>
    <m/>
    <n v="6"/>
    <m/>
    <m/>
    <m/>
    <m/>
    <m/>
    <m/>
    <n v="6"/>
    <x v="1"/>
    <x v="2"/>
    <m/>
    <m/>
    <m/>
    <m/>
    <m/>
    <m/>
    <n v="2"/>
    <m/>
    <m/>
    <n v="2"/>
    <m/>
    <m/>
    <n v="1"/>
    <m/>
    <m/>
    <m/>
    <m/>
    <m/>
    <m/>
    <m/>
    <m/>
    <m/>
    <m/>
    <m/>
    <m/>
    <m/>
    <s v="no test"/>
    <s v="no test"/>
    <s v="No Test"/>
    <n v="0"/>
    <n v="1"/>
    <n v="0"/>
    <n v="0"/>
    <n v="0"/>
    <n v="0"/>
    <n v="1"/>
    <n v="1"/>
    <n v="1"/>
    <n v="66"/>
    <n v="0"/>
    <n v="0"/>
    <n v="1"/>
    <n v="66"/>
    <n v="0.13200000000000001"/>
    <n v="0"/>
    <n v="0"/>
    <n v="0.86799999999999999"/>
    <n v="1"/>
    <n v="6"/>
    <n v="1"/>
    <n v="66"/>
    <n v="0"/>
    <n v="0"/>
    <n v="0"/>
    <n v="0"/>
    <n v="3"/>
    <n v="0"/>
    <n v="0"/>
    <n v="0"/>
    <n v="66"/>
    <n v="0"/>
    <n v="0"/>
    <n v="0"/>
    <n v="66"/>
    <n v="1"/>
    <n v="0"/>
    <n v="1"/>
    <n v="0"/>
    <n v="0"/>
    <n v="2"/>
    <n v="13"/>
    <n v="0"/>
    <n v="66"/>
    <s v="No"/>
    <s v=""/>
    <n v="0"/>
    <n v="0"/>
    <s v="Yes"/>
    <s v="KBC-MYT"/>
    <x v="0"/>
    <x v="1"/>
    <x v="1"/>
    <n v="25.305669999999999"/>
    <n v="96.922619999999995"/>
    <s v="MMR001CMP078"/>
    <x v="0"/>
    <s v="cccm_2019OCT"/>
  </r>
  <r>
    <x v="1"/>
    <x v="0"/>
    <x v="0"/>
    <s v="OFDA"/>
    <x v="0"/>
    <x v="7"/>
    <x v="0"/>
    <x v="10"/>
    <n v="440"/>
    <n v="2199"/>
    <d v="2019-07-01T00:00:00"/>
    <d v="2020-06-30T00:00:00"/>
    <n v="2098"/>
    <m/>
    <m/>
    <m/>
    <s v="Yes"/>
    <m/>
    <m/>
    <m/>
    <m/>
    <m/>
    <n v="1"/>
    <n v="0"/>
    <m/>
    <m/>
    <m/>
    <m/>
    <m/>
    <n v="0"/>
    <n v="0"/>
    <m/>
    <n v="0"/>
    <n v="0"/>
    <m/>
    <m/>
    <m/>
    <m/>
    <n v="20"/>
    <m/>
    <m/>
    <m/>
    <n v="0"/>
    <m/>
    <m/>
    <m/>
    <m/>
    <m/>
    <n v="0"/>
    <x v="3"/>
    <x v="3"/>
    <m/>
    <m/>
    <n v="51"/>
    <m/>
    <m/>
    <m/>
    <m/>
    <m/>
    <m/>
    <n v="0"/>
    <m/>
    <m/>
    <m/>
    <m/>
    <m/>
    <m/>
    <m/>
    <m/>
    <m/>
    <m/>
    <m/>
    <m/>
    <m/>
    <m/>
    <m/>
    <m/>
    <s v="no test"/>
    <s v="no test"/>
    <s v="No Test"/>
    <n v="0"/>
    <n v="1"/>
    <n v="0"/>
    <n v="0"/>
    <n v="0"/>
    <n v="0"/>
    <n v="0.22737608003638018"/>
    <n v="0.11368804001819009"/>
    <n v="0.22737608003638018"/>
    <n v="500"/>
    <n v="0"/>
    <n v="0"/>
    <n v="0.22737608003638018"/>
    <n v="500"/>
    <n v="1"/>
    <n v="0.77262391996361979"/>
    <n v="1699"/>
    <n v="3"/>
    <n v="4"/>
    <n v="0"/>
    <n v="0"/>
    <n v="0"/>
    <n v="0"/>
    <n v="2098"/>
    <n v="0"/>
    <n v="2098"/>
    <n v="110"/>
    <n v="110"/>
    <n v="1"/>
    <n v="0"/>
    <n v="0"/>
    <n v="0"/>
    <n v="0"/>
    <n v="0"/>
    <n v="0"/>
    <n v="0"/>
    <n v="1"/>
    <n v="0"/>
    <n v="0"/>
    <n v="0"/>
    <n v="0"/>
    <n v="0"/>
    <n v="0"/>
    <n v="0"/>
    <s v="Yes"/>
    <s v=""/>
    <n v="0"/>
    <n v="2098"/>
    <n v="0"/>
    <n v="0"/>
    <x v="0"/>
    <x v="2"/>
    <x v="0"/>
    <n v="0"/>
    <n v="0"/>
    <n v="0"/>
    <x v="0"/>
    <n v="0"/>
  </r>
  <r>
    <x v="1"/>
    <x v="0"/>
    <x v="0"/>
    <s v="PLAN(GFFO),MHF13490"/>
    <x v="0"/>
    <x v="0"/>
    <x v="1"/>
    <x v="8"/>
    <n v="118"/>
    <n v="489"/>
    <s v="5-1-2019,10-1-2019"/>
    <s v="9-30-2020,7-31-2020"/>
    <m/>
    <m/>
    <m/>
    <m/>
    <s v="Yes"/>
    <m/>
    <n v="5"/>
    <n v="1"/>
    <m/>
    <m/>
    <n v="7"/>
    <m/>
    <m/>
    <m/>
    <m/>
    <m/>
    <m/>
    <m/>
    <m/>
    <m/>
    <m/>
    <n v="6"/>
    <m/>
    <m/>
    <m/>
    <m/>
    <m/>
    <m/>
    <m/>
    <n v="16"/>
    <m/>
    <m/>
    <m/>
    <m/>
    <m/>
    <m/>
    <n v="16"/>
    <x v="1"/>
    <x v="1"/>
    <m/>
    <m/>
    <m/>
    <m/>
    <m/>
    <m/>
    <n v="6"/>
    <m/>
    <m/>
    <n v="0"/>
    <m/>
    <m/>
    <n v="2"/>
    <m/>
    <m/>
    <m/>
    <m/>
    <m/>
    <m/>
    <m/>
    <m/>
    <m/>
    <m/>
    <m/>
    <m/>
    <m/>
    <s v="no test"/>
    <s v="no test"/>
    <s v="No Test"/>
    <n v="1"/>
    <n v="7"/>
    <n v="0"/>
    <n v="0"/>
    <n v="0"/>
    <n v="0"/>
    <n v="1"/>
    <n v="1"/>
    <n v="1"/>
    <n v="489"/>
    <n v="0"/>
    <n v="0"/>
    <n v="1"/>
    <n v="489"/>
    <n v="0.97799999999999998"/>
    <n v="0"/>
    <n v="0"/>
    <n v="2.200000000000002E-2"/>
    <n v="1"/>
    <n v="16"/>
    <n v="0.65439672801635995"/>
    <n v="320"/>
    <n v="0"/>
    <n v="0"/>
    <n v="0"/>
    <n v="0"/>
    <n v="24"/>
    <n v="8"/>
    <n v="0.34560327198364005"/>
    <n v="0"/>
    <n v="489"/>
    <n v="0"/>
    <n v="0"/>
    <n v="0"/>
    <n v="489"/>
    <n v="1"/>
    <n v="0"/>
    <n v="1"/>
    <n v="0"/>
    <n v="0"/>
    <n v="6"/>
    <n v="118"/>
    <n v="0"/>
    <n v="489"/>
    <s v="No"/>
    <s v=""/>
    <n v="0"/>
    <n v="0"/>
    <n v="0"/>
    <s v="KBC-MYT"/>
    <x v="0"/>
    <x v="1"/>
    <x v="1"/>
    <n v="0"/>
    <n v="0"/>
    <s v="MMR001CMP265"/>
    <x v="0"/>
    <s v="cccm_2019OCT"/>
  </r>
  <r>
    <x v="1"/>
    <x v="1"/>
    <x v="1"/>
    <s v="UNICEF"/>
    <x v="0"/>
    <x v="0"/>
    <x v="1"/>
    <x v="52"/>
    <n v="14"/>
    <n v="39"/>
    <d v="2019-12-11T00:00:00"/>
    <d v="2020-12-10T00:00:00"/>
    <m/>
    <n v="2"/>
    <m/>
    <m/>
    <s v="Yes"/>
    <n v="1"/>
    <n v="2"/>
    <m/>
    <m/>
    <m/>
    <n v="1"/>
    <m/>
    <m/>
    <m/>
    <m/>
    <m/>
    <m/>
    <m/>
    <m/>
    <m/>
    <m/>
    <n v="14"/>
    <n v="1"/>
    <m/>
    <n v="2"/>
    <n v="1"/>
    <m/>
    <m/>
    <m/>
    <m/>
    <m/>
    <m/>
    <m/>
    <m/>
    <m/>
    <m/>
    <m/>
    <x v="1"/>
    <x v="1"/>
    <m/>
    <m/>
    <m/>
    <m/>
    <m/>
    <m/>
    <n v="2"/>
    <m/>
    <m/>
    <n v="2"/>
    <m/>
    <m/>
    <n v="0"/>
    <n v="6"/>
    <m/>
    <s v="No"/>
    <m/>
    <m/>
    <m/>
    <m/>
    <m/>
    <m/>
    <m/>
    <m/>
    <m/>
    <m/>
    <n v="0"/>
    <n v="0.5"/>
    <s v="Tested"/>
    <n v="0"/>
    <n v="1"/>
    <n v="0"/>
    <n v="0"/>
    <n v="0"/>
    <n v="0"/>
    <n v="1"/>
    <n v="1"/>
    <n v="1"/>
    <n v="39"/>
    <n v="0"/>
    <n v="0"/>
    <n v="1"/>
    <n v="39"/>
    <n v="7.8E-2"/>
    <n v="0"/>
    <n v="0"/>
    <n v="0.92200000000000004"/>
    <n v="1"/>
    <n v="0"/>
    <n v="0"/>
    <n v="0"/>
    <n v="0"/>
    <n v="0"/>
    <n v="0"/>
    <n v="0"/>
    <n v="2"/>
    <n v="2"/>
    <n v="1"/>
    <n v="0"/>
    <n v="0"/>
    <n v="30"/>
    <n v="0"/>
    <n v="30"/>
    <n v="30"/>
    <n v="0.76923076923076927"/>
    <n v="0.23076923076923073"/>
    <n v="0"/>
    <n v="1"/>
    <n v="0"/>
    <n v="2"/>
    <n v="14"/>
    <n v="0"/>
    <n v="39"/>
    <s v="No"/>
    <s v=""/>
    <n v="0"/>
    <n v="0"/>
    <n v="0"/>
    <s v="KMSS-MYT"/>
    <x v="0"/>
    <x v="1"/>
    <x v="1"/>
    <n v="0"/>
    <n v="0"/>
    <s v="MMR001CMP256"/>
    <x v="0"/>
    <s v="cccm_2019OCT"/>
  </r>
  <r>
    <x v="1"/>
    <x v="0"/>
    <x v="0"/>
    <m/>
    <x v="0"/>
    <x v="0"/>
    <x v="0"/>
    <x v="11"/>
    <n v="51"/>
    <n v="252"/>
    <m/>
    <m/>
    <m/>
    <m/>
    <m/>
    <m/>
    <m/>
    <m/>
    <n v="4"/>
    <n v="0"/>
    <m/>
    <m/>
    <n v="0"/>
    <m/>
    <m/>
    <m/>
    <m/>
    <m/>
    <m/>
    <m/>
    <m/>
    <m/>
    <m/>
    <n v="0"/>
    <m/>
    <m/>
    <m/>
    <m/>
    <m/>
    <m/>
    <m/>
    <n v="0"/>
    <m/>
    <m/>
    <m/>
    <m/>
    <m/>
    <m/>
    <n v="0"/>
    <x v="3"/>
    <x v="3"/>
    <m/>
    <m/>
    <m/>
    <m/>
    <m/>
    <m/>
    <m/>
    <m/>
    <m/>
    <n v="0"/>
    <m/>
    <m/>
    <m/>
    <m/>
    <m/>
    <m/>
    <m/>
    <m/>
    <m/>
    <m/>
    <m/>
    <m/>
    <m/>
    <m/>
    <m/>
    <m/>
    <s v="no test"/>
    <s v="no test"/>
    <s v="No Test"/>
    <n v="0"/>
    <n v="0"/>
    <n v="0"/>
    <n v="0"/>
    <n v="0"/>
    <n v="0"/>
    <n v="0"/>
    <n v="0"/>
    <n v="0"/>
    <n v="0"/>
    <n v="0"/>
    <n v="0"/>
    <n v="0"/>
    <n v="0"/>
    <n v="0"/>
    <n v="1"/>
    <n v="252"/>
    <n v="1"/>
    <n v="1"/>
    <n v="0"/>
    <n v="0"/>
    <n v="0"/>
    <n v="0"/>
    <n v="0"/>
    <n v="0"/>
    <n v="0"/>
    <n v="13"/>
    <n v="13"/>
    <n v="1"/>
    <n v="0"/>
    <n v="0"/>
    <n v="0"/>
    <n v="0"/>
    <n v="0"/>
    <n v="0"/>
    <n v="0"/>
    <n v="1"/>
    <n v="0"/>
    <n v="0"/>
    <n v="0"/>
    <n v="0"/>
    <n v="0"/>
    <n v="0"/>
    <n v="0"/>
    <s v="No"/>
    <s v=""/>
    <n v="0"/>
    <n v="0"/>
    <n v="0"/>
    <n v="0"/>
    <x v="0"/>
    <x v="0"/>
    <x v="0"/>
    <n v="0"/>
    <n v="0"/>
    <n v="0"/>
    <x v="0"/>
    <n v="0"/>
  </r>
  <r>
    <x v="1"/>
    <x v="0"/>
    <x v="0"/>
    <s v="PLAN(GFFO),MHF13490"/>
    <x v="0"/>
    <x v="8"/>
    <x v="1"/>
    <x v="14"/>
    <n v="60"/>
    <n v="289"/>
    <s v="5-1-2019,10-1-2019"/>
    <s v="9-30-2020,7-31-2020"/>
    <m/>
    <m/>
    <m/>
    <m/>
    <s v="Yes"/>
    <m/>
    <m/>
    <n v="1"/>
    <m/>
    <m/>
    <m/>
    <m/>
    <m/>
    <m/>
    <m/>
    <m/>
    <m/>
    <m/>
    <n v="1"/>
    <m/>
    <m/>
    <n v="1"/>
    <m/>
    <m/>
    <m/>
    <m/>
    <m/>
    <m/>
    <m/>
    <n v="12"/>
    <m/>
    <m/>
    <m/>
    <m/>
    <m/>
    <m/>
    <n v="12"/>
    <x v="1"/>
    <x v="1"/>
    <m/>
    <m/>
    <m/>
    <m/>
    <m/>
    <m/>
    <n v="4"/>
    <m/>
    <m/>
    <n v="2"/>
    <m/>
    <m/>
    <n v="2"/>
    <m/>
    <m/>
    <m/>
    <m/>
    <m/>
    <m/>
    <m/>
    <m/>
    <m/>
    <m/>
    <m/>
    <m/>
    <m/>
    <s v="no test"/>
    <s v="no test"/>
    <s v="No Test"/>
    <n v="1"/>
    <n v="0"/>
    <n v="0"/>
    <n v="0"/>
    <n v="0"/>
    <n v="0"/>
    <n v="1"/>
    <n v="0.86505190311418689"/>
    <n v="1"/>
    <n v="289"/>
    <n v="0.86505190311418689"/>
    <n v="250"/>
    <n v="1"/>
    <n v="289"/>
    <n v="0.57799999999999996"/>
    <n v="0"/>
    <n v="0"/>
    <n v="0.42200000000000004"/>
    <n v="1"/>
    <n v="12"/>
    <n v="0.83044982698961933"/>
    <n v="240"/>
    <n v="0"/>
    <n v="0"/>
    <n v="0"/>
    <n v="0"/>
    <n v="14"/>
    <n v="2"/>
    <n v="0.16955017301038067"/>
    <n v="0"/>
    <n v="289"/>
    <n v="0"/>
    <n v="0"/>
    <n v="0"/>
    <n v="289"/>
    <n v="1"/>
    <n v="0"/>
    <n v="1"/>
    <n v="0"/>
    <n v="0"/>
    <n v="4"/>
    <n v="60"/>
    <n v="0"/>
    <n v="289"/>
    <s v="No"/>
    <s v=""/>
    <n v="0"/>
    <n v="0"/>
    <s v="Yes"/>
    <s v="KBC-MYT"/>
    <x v="0"/>
    <x v="1"/>
    <x v="1"/>
    <n v="27.337499999999999"/>
    <n v="97.416121000000004"/>
    <s v="MMR001CMP234"/>
    <x v="0"/>
    <s v="cccm_2019OCT"/>
  </r>
  <r>
    <x v="1"/>
    <x v="0"/>
    <x v="0"/>
    <s v="PLAN(GFFO),MHF13490"/>
    <x v="0"/>
    <x v="6"/>
    <x v="1"/>
    <x v="15"/>
    <n v="16"/>
    <n v="78"/>
    <s v="5-1-2019,10-1-2019"/>
    <s v="9-30-2020,7-31-2020"/>
    <m/>
    <m/>
    <m/>
    <m/>
    <s v="Yes"/>
    <m/>
    <n v="3"/>
    <n v="0"/>
    <m/>
    <m/>
    <n v="1"/>
    <m/>
    <m/>
    <m/>
    <m/>
    <m/>
    <m/>
    <m/>
    <m/>
    <m/>
    <m/>
    <n v="2"/>
    <m/>
    <m/>
    <m/>
    <m/>
    <m/>
    <m/>
    <m/>
    <n v="2"/>
    <m/>
    <m/>
    <m/>
    <m/>
    <m/>
    <m/>
    <n v="2"/>
    <x v="1"/>
    <x v="1"/>
    <m/>
    <m/>
    <m/>
    <m/>
    <m/>
    <m/>
    <n v="2"/>
    <m/>
    <m/>
    <n v="2"/>
    <m/>
    <m/>
    <n v="1"/>
    <m/>
    <m/>
    <m/>
    <m/>
    <m/>
    <m/>
    <m/>
    <m/>
    <m/>
    <m/>
    <m/>
    <m/>
    <m/>
    <s v="no test"/>
    <s v="no test"/>
    <s v="No Test"/>
    <n v="0"/>
    <n v="1"/>
    <n v="0"/>
    <n v="0"/>
    <n v="0"/>
    <n v="0"/>
    <n v="1"/>
    <n v="1"/>
    <n v="1"/>
    <n v="78"/>
    <n v="0"/>
    <n v="0"/>
    <n v="1"/>
    <n v="78"/>
    <n v="0.156"/>
    <n v="0"/>
    <n v="0"/>
    <n v="0.84399999999999997"/>
    <n v="1"/>
    <n v="2"/>
    <n v="0.51282051282051277"/>
    <n v="40"/>
    <n v="0"/>
    <n v="0"/>
    <n v="0"/>
    <n v="0"/>
    <n v="4"/>
    <n v="2"/>
    <n v="0.48717948717948723"/>
    <n v="0"/>
    <n v="78"/>
    <n v="0"/>
    <n v="0"/>
    <n v="0"/>
    <n v="78"/>
    <n v="1"/>
    <n v="0"/>
    <n v="1"/>
    <n v="0"/>
    <n v="0"/>
    <n v="2"/>
    <n v="16"/>
    <n v="0"/>
    <n v="78"/>
    <s v="No"/>
    <s v=""/>
    <n v="0"/>
    <n v="0"/>
    <s v="Yes"/>
    <s v="KBC-MYT"/>
    <x v="0"/>
    <x v="1"/>
    <x v="1"/>
    <n v="25.296579999999999"/>
    <n v="96.942279999999997"/>
    <s v="MMR001CMP077"/>
    <x v="0"/>
    <s v="cccm_2019OCT"/>
  </r>
  <r>
    <x v="1"/>
    <x v="4"/>
    <x v="4"/>
    <m/>
    <x v="0"/>
    <x v="2"/>
    <x v="1"/>
    <x v="131"/>
    <n v="62"/>
    <n v="410"/>
    <m/>
    <m/>
    <m/>
    <m/>
    <m/>
    <m/>
    <m/>
    <m/>
    <n v="3"/>
    <m/>
    <m/>
    <m/>
    <m/>
    <m/>
    <m/>
    <m/>
    <m/>
    <m/>
    <m/>
    <m/>
    <m/>
    <m/>
    <m/>
    <m/>
    <m/>
    <m/>
    <m/>
    <m/>
    <m/>
    <m/>
    <m/>
    <m/>
    <m/>
    <m/>
    <m/>
    <m/>
    <m/>
    <m/>
    <m/>
    <x v="0"/>
    <x v="0"/>
    <m/>
    <m/>
    <m/>
    <m/>
    <m/>
    <m/>
    <m/>
    <m/>
    <m/>
    <m/>
    <m/>
    <m/>
    <m/>
    <m/>
    <m/>
    <m/>
    <m/>
    <m/>
    <m/>
    <m/>
    <m/>
    <m/>
    <m/>
    <m/>
    <m/>
    <m/>
    <s v="no test"/>
    <s v="no test"/>
    <s v="No Test"/>
    <n v="0"/>
    <n v="0"/>
    <n v="0"/>
    <n v="0"/>
    <n v="0"/>
    <n v="0"/>
    <n v="0"/>
    <n v="0"/>
    <n v="0"/>
    <n v="0"/>
    <n v="0"/>
    <n v="0"/>
    <n v="0"/>
    <n v="0"/>
    <n v="0"/>
    <n v="1"/>
    <n v="410"/>
    <n v="1"/>
    <n v="1"/>
    <n v="0"/>
    <n v="0"/>
    <n v="0"/>
    <n v="0"/>
    <n v="0"/>
    <n v="0"/>
    <n v="0"/>
    <n v="21"/>
    <n v="21"/>
    <n v="1"/>
    <n v="0"/>
    <n v="0"/>
    <n v="0"/>
    <n v="0"/>
    <n v="0"/>
    <n v="0"/>
    <n v="0"/>
    <n v="1"/>
    <n v="0"/>
    <n v="0"/>
    <n v="0"/>
    <n v="0"/>
    <n v="0"/>
    <n v="0"/>
    <n v="0"/>
    <s v="No"/>
    <s v=""/>
    <n v="0"/>
    <n v="0"/>
    <n v="0"/>
    <s v="uncovered"/>
    <x v="0"/>
    <x v="0"/>
    <x v="1"/>
    <n v="25.305008999999998"/>
    <n v="97.430321000000006"/>
    <s v="MMR001CMP248"/>
    <x v="1"/>
    <s v="cccm_2019OCT"/>
  </r>
  <r>
    <x v="1"/>
    <x v="5"/>
    <x v="5"/>
    <s v="DFID"/>
    <x v="0"/>
    <x v="2"/>
    <x v="1"/>
    <x v="160"/>
    <n v="92"/>
    <n v="448"/>
    <d v="2018-08-01T00:00:00"/>
    <d v="2020-07-31T00:00:00"/>
    <m/>
    <n v="1"/>
    <m/>
    <m/>
    <s v="Yes"/>
    <n v="4"/>
    <n v="4"/>
    <n v="2"/>
    <m/>
    <m/>
    <n v="1"/>
    <m/>
    <m/>
    <m/>
    <n v="0"/>
    <m/>
    <m/>
    <n v="0"/>
    <n v="0"/>
    <n v="0"/>
    <n v="0"/>
    <n v="2"/>
    <m/>
    <m/>
    <m/>
    <m/>
    <n v="0"/>
    <n v="0"/>
    <m/>
    <n v="20"/>
    <n v="20"/>
    <s v="Unicef &amp; World vision"/>
    <m/>
    <m/>
    <n v="4"/>
    <m/>
    <n v="0"/>
    <x v="1"/>
    <x v="1"/>
    <n v="2"/>
    <n v="2"/>
    <n v="0"/>
    <m/>
    <m/>
    <m/>
    <n v="8"/>
    <m/>
    <n v="0"/>
    <n v="4"/>
    <m/>
    <n v="0"/>
    <n v="0"/>
    <m/>
    <m/>
    <s v="No"/>
    <m/>
    <m/>
    <m/>
    <m/>
    <m/>
    <m/>
    <m/>
    <m/>
    <m/>
    <m/>
    <s v="no test"/>
    <s v="no test"/>
    <s v="No Test"/>
    <n v="2"/>
    <n v="1"/>
    <n v="0"/>
    <n v="0"/>
    <n v="0"/>
    <n v="0"/>
    <n v="1"/>
    <n v="1"/>
    <n v="1"/>
    <n v="448"/>
    <n v="0"/>
    <n v="0"/>
    <n v="1"/>
    <n v="448"/>
    <n v="0.89600000000000002"/>
    <n v="0"/>
    <n v="0"/>
    <n v="0.10399999999999998"/>
    <n v="1"/>
    <n v="40"/>
    <n v="1"/>
    <n v="448"/>
    <n v="80"/>
    <n v="0"/>
    <n v="0"/>
    <n v="0"/>
    <n v="22"/>
    <n v="0"/>
    <n v="0"/>
    <n v="0"/>
    <n v="0"/>
    <n v="0"/>
    <n v="0"/>
    <n v="0"/>
    <n v="0"/>
    <n v="0"/>
    <n v="1"/>
    <n v="0"/>
    <n v="0"/>
    <n v="0"/>
    <n v="8"/>
    <n v="92"/>
    <n v="0"/>
    <n v="448"/>
    <s v="No"/>
    <s v=""/>
    <n v="0"/>
    <n v="0"/>
    <s v="Yes"/>
    <s v="Shalom"/>
    <x v="0"/>
    <x v="1"/>
    <x v="1"/>
    <n v="25.321710740740698"/>
    <n v="97.404195925926004"/>
    <s v="MMR001CMP028"/>
    <x v="0"/>
    <s v="cccm_2019OCT"/>
  </r>
  <r>
    <x v="1"/>
    <x v="0"/>
    <x v="0"/>
    <s v="MHF13490"/>
    <x v="0"/>
    <x v="2"/>
    <x v="1"/>
    <x v="3"/>
    <n v="140"/>
    <n v="875"/>
    <d v="2019-01-10T00:00:00"/>
    <s v="31-7-2020"/>
    <m/>
    <m/>
    <m/>
    <m/>
    <s v="Yes"/>
    <m/>
    <n v="3"/>
    <n v="0"/>
    <m/>
    <m/>
    <n v="0"/>
    <m/>
    <m/>
    <m/>
    <n v="1"/>
    <m/>
    <m/>
    <m/>
    <m/>
    <m/>
    <m/>
    <n v="0"/>
    <m/>
    <m/>
    <m/>
    <m/>
    <m/>
    <m/>
    <m/>
    <n v="50"/>
    <m/>
    <m/>
    <m/>
    <m/>
    <m/>
    <m/>
    <n v="50"/>
    <x v="1"/>
    <x v="1"/>
    <m/>
    <m/>
    <m/>
    <m/>
    <m/>
    <m/>
    <n v="50"/>
    <m/>
    <m/>
    <n v="4"/>
    <m/>
    <m/>
    <n v="3"/>
    <m/>
    <m/>
    <m/>
    <m/>
    <m/>
    <m/>
    <m/>
    <m/>
    <m/>
    <m/>
    <m/>
    <m/>
    <m/>
    <s v="no test"/>
    <s v="no test"/>
    <s v="No Test"/>
    <n v="0"/>
    <n v="0"/>
    <n v="1"/>
    <n v="0"/>
    <n v="0"/>
    <n v="0"/>
    <n v="7.6190476190476197E-2"/>
    <n v="7.6190476190476197E-2"/>
    <n v="7.6190476190476197E-2"/>
    <n v="66.666666666666671"/>
    <n v="0"/>
    <n v="0"/>
    <n v="7.6190476190476197E-2"/>
    <n v="66.666666666666671"/>
    <n v="0.13333333333333333"/>
    <n v="0.92380952380952386"/>
    <n v="808.33333333333337"/>
    <n v="1.8666666666666667"/>
    <n v="2"/>
    <n v="50"/>
    <n v="1"/>
    <n v="875"/>
    <n v="0"/>
    <n v="0"/>
    <n v="0"/>
    <n v="0"/>
    <n v="44"/>
    <n v="0"/>
    <n v="0"/>
    <n v="0"/>
    <n v="875"/>
    <n v="0"/>
    <n v="0"/>
    <n v="0"/>
    <n v="875"/>
    <n v="1"/>
    <n v="0"/>
    <n v="1"/>
    <n v="0"/>
    <n v="0"/>
    <n v="50"/>
    <n v="140"/>
    <n v="0"/>
    <n v="875"/>
    <s v="No"/>
    <s v=""/>
    <n v="0"/>
    <n v="0"/>
    <s v="Yes"/>
    <s v="KBC-MYT"/>
    <x v="0"/>
    <x v="1"/>
    <x v="0"/>
    <n v="25.200333000000001"/>
    <n v="97.807182999999995"/>
    <s v="MMR001CMP115"/>
    <x v="0"/>
    <s v="cccm_2019OCT"/>
  </r>
  <r>
    <x v="1"/>
    <x v="8"/>
    <x v="8"/>
    <s v="(PLAN(GFFO),MH), UNICEF"/>
    <x v="0"/>
    <x v="9"/>
    <x v="1"/>
    <x v="19"/>
    <n v="429"/>
    <n v="1900"/>
    <s v="(5/1/2019,10/1/2019,4/4/2019),1/1/2020"/>
    <s v="(30.Sep 2020/ 31.jul.2020/30.April 2020), 1-Dec-2020"/>
    <n v="685"/>
    <n v="18"/>
    <n v="37"/>
    <m/>
    <s v="Yes"/>
    <n v="14"/>
    <n v="42"/>
    <n v="0"/>
    <m/>
    <m/>
    <n v="4"/>
    <m/>
    <n v="1"/>
    <m/>
    <m/>
    <m/>
    <m/>
    <m/>
    <m/>
    <m/>
    <n v="5"/>
    <m/>
    <n v="6"/>
    <n v="5"/>
    <n v="33"/>
    <n v="31"/>
    <n v="8"/>
    <m/>
    <s v="Water safety plan need to install"/>
    <n v="110"/>
    <m/>
    <m/>
    <m/>
    <n v="18"/>
    <m/>
    <n v="68.13"/>
    <n v="110"/>
    <x v="1"/>
    <x v="1"/>
    <m/>
    <m/>
    <n v="4"/>
    <m/>
    <n v="76"/>
    <s v="Need waste truck and disludging truck"/>
    <n v="7"/>
    <m/>
    <m/>
    <n v="10"/>
    <m/>
    <m/>
    <n v="6"/>
    <n v="419"/>
    <n v="639"/>
    <m/>
    <m/>
    <m/>
    <s v="need more hygiene items especially MHM Kits"/>
    <n v="1"/>
    <n v="1"/>
    <n v="1900"/>
    <n v="1"/>
    <m/>
    <m/>
    <m/>
    <n v="0.83333333333333337"/>
    <n v="0.93939393939393945"/>
    <s v="Tested"/>
    <n v="0"/>
    <n v="3"/>
    <n v="0"/>
    <n v="0"/>
    <n v="0"/>
    <n v="0"/>
    <n v="0.78947368421052633"/>
    <n v="0.39473684210526316"/>
    <n v="0.78947368421052633"/>
    <n v="1500"/>
    <n v="0"/>
    <n v="0"/>
    <n v="0.78947368421052633"/>
    <n v="1500"/>
    <n v="3"/>
    <n v="0.21052631578947367"/>
    <n v="400"/>
    <n v="1"/>
    <n v="4"/>
    <n v="110"/>
    <n v="1"/>
    <n v="1900"/>
    <n v="0"/>
    <n v="200"/>
    <n v="0"/>
    <n v="200"/>
    <n v="95"/>
    <n v="0"/>
    <n v="0"/>
    <n v="0"/>
    <n v="1900"/>
    <n v="1900"/>
    <n v="639"/>
    <n v="1900"/>
    <n v="1900"/>
    <n v="1"/>
    <n v="0"/>
    <n v="1"/>
    <n v="1"/>
    <n v="1"/>
    <n v="7"/>
    <n v="140"/>
    <n v="0"/>
    <n v="700"/>
    <s v="Yes"/>
    <n v="1"/>
    <n v="0"/>
    <n v="200"/>
    <s v="Yes"/>
    <s v="KBC-BMO"/>
    <x v="0"/>
    <x v="1"/>
    <x v="1"/>
    <n v="23.972453000000002"/>
    <n v="97.225881000000001"/>
    <s v="MMR001CMP218"/>
    <x v="0"/>
    <s v="cccm_2019OCT"/>
  </r>
  <r>
    <x v="1"/>
    <x v="0"/>
    <x v="0"/>
    <s v="PLAN(GFFO),MHF13490"/>
    <x v="0"/>
    <x v="0"/>
    <x v="1"/>
    <x v="12"/>
    <n v="99"/>
    <n v="547"/>
    <s v="5-1-2019,10-1-2019"/>
    <s v="9-30-2020,7-31-2020"/>
    <m/>
    <m/>
    <m/>
    <m/>
    <s v="Yes"/>
    <m/>
    <m/>
    <n v="0"/>
    <m/>
    <m/>
    <n v="3"/>
    <m/>
    <m/>
    <m/>
    <m/>
    <m/>
    <m/>
    <m/>
    <m/>
    <m/>
    <m/>
    <n v="2"/>
    <m/>
    <m/>
    <m/>
    <m/>
    <m/>
    <m/>
    <m/>
    <n v="8"/>
    <m/>
    <m/>
    <m/>
    <m/>
    <m/>
    <m/>
    <n v="8"/>
    <x v="1"/>
    <x v="2"/>
    <m/>
    <m/>
    <m/>
    <m/>
    <m/>
    <m/>
    <n v="5"/>
    <m/>
    <m/>
    <n v="2"/>
    <m/>
    <m/>
    <n v="1"/>
    <m/>
    <m/>
    <m/>
    <m/>
    <m/>
    <m/>
    <m/>
    <m/>
    <m/>
    <m/>
    <m/>
    <m/>
    <m/>
    <s v="no test"/>
    <s v="no test"/>
    <s v="No Test"/>
    <n v="0"/>
    <n v="3"/>
    <n v="0"/>
    <n v="0"/>
    <n v="0"/>
    <n v="0"/>
    <n v="1"/>
    <n v="1"/>
    <n v="1"/>
    <n v="547"/>
    <n v="0"/>
    <n v="0"/>
    <n v="1"/>
    <n v="547"/>
    <n v="1.0940000000000001"/>
    <n v="0"/>
    <n v="0"/>
    <n v="0"/>
    <n v="1"/>
    <n v="8"/>
    <n v="0.29250457038391225"/>
    <n v="160"/>
    <n v="0"/>
    <n v="0"/>
    <n v="0"/>
    <n v="0"/>
    <n v="27"/>
    <n v="19"/>
    <n v="0.7074954296160878"/>
    <n v="0"/>
    <n v="500"/>
    <n v="0"/>
    <n v="0"/>
    <n v="0"/>
    <n v="500"/>
    <n v="0.91407678244972579"/>
    <n v="8.5923217550274211E-2"/>
    <n v="0.91407678244972579"/>
    <n v="0"/>
    <n v="0"/>
    <n v="5"/>
    <n v="99"/>
    <n v="0"/>
    <n v="500"/>
    <s v="No"/>
    <s v=""/>
    <n v="0"/>
    <n v="0"/>
    <s v="Yes"/>
    <s v="KBC-MYT"/>
    <x v="0"/>
    <x v="1"/>
    <x v="1"/>
    <n v="25.362420757575801"/>
    <n v="97.409035000000003"/>
    <s v="MMR001CMP015"/>
    <x v="0"/>
    <s v="cccm_2019OCT"/>
  </r>
  <r>
    <x v="1"/>
    <x v="0"/>
    <x v="0"/>
    <s v="PLAN(GFFO),MHF13490"/>
    <x v="0"/>
    <x v="0"/>
    <x v="1"/>
    <x v="13"/>
    <n v="132"/>
    <n v="676"/>
    <s v="5-1-2019,10-1-2019"/>
    <s v="9-30-2020,7-31-2020"/>
    <m/>
    <m/>
    <m/>
    <m/>
    <s v="Yes"/>
    <m/>
    <n v="5"/>
    <n v="0"/>
    <m/>
    <m/>
    <n v="3"/>
    <m/>
    <m/>
    <m/>
    <m/>
    <m/>
    <m/>
    <m/>
    <m/>
    <m/>
    <m/>
    <n v="2"/>
    <m/>
    <m/>
    <m/>
    <m/>
    <m/>
    <m/>
    <m/>
    <n v="32"/>
    <m/>
    <m/>
    <m/>
    <m/>
    <m/>
    <m/>
    <n v="32"/>
    <x v="1"/>
    <x v="1"/>
    <m/>
    <m/>
    <m/>
    <m/>
    <m/>
    <m/>
    <n v="4"/>
    <m/>
    <m/>
    <n v="2"/>
    <m/>
    <m/>
    <n v="1"/>
    <m/>
    <m/>
    <m/>
    <m/>
    <m/>
    <m/>
    <m/>
    <m/>
    <m/>
    <m/>
    <m/>
    <m/>
    <m/>
    <s v="no test"/>
    <s v="no test"/>
    <s v="No Test"/>
    <n v="0"/>
    <n v="3"/>
    <n v="0"/>
    <n v="0"/>
    <n v="0"/>
    <n v="0"/>
    <n v="1"/>
    <n v="1"/>
    <n v="1"/>
    <n v="676"/>
    <n v="0"/>
    <n v="0"/>
    <n v="1"/>
    <n v="676"/>
    <n v="1.3520000000000001"/>
    <n v="0"/>
    <n v="0"/>
    <n v="0"/>
    <n v="1"/>
    <n v="32"/>
    <n v="0.94674556213017746"/>
    <n v="640"/>
    <n v="0"/>
    <n v="0"/>
    <n v="0"/>
    <n v="0"/>
    <n v="34"/>
    <n v="2"/>
    <n v="5.3254437869822535E-2"/>
    <n v="0"/>
    <n v="500"/>
    <n v="0"/>
    <n v="0"/>
    <n v="0"/>
    <n v="500"/>
    <n v="0.73964497041420119"/>
    <n v="0.26035502958579881"/>
    <n v="0.73964497041420119"/>
    <n v="0"/>
    <n v="0"/>
    <n v="4"/>
    <n v="80"/>
    <n v="0"/>
    <n v="400"/>
    <s v="No"/>
    <s v=""/>
    <n v="0"/>
    <n v="0"/>
    <s v="Yes"/>
    <s v="KBC-MYT"/>
    <x v="0"/>
    <x v="1"/>
    <x v="1"/>
    <n v="25.3510167948718"/>
    <n v="97.403402307692303"/>
    <s v="MMR001CMP014"/>
    <x v="0"/>
    <s v="cccm_2019OCT"/>
  </r>
  <r>
    <x v="1"/>
    <x v="9"/>
    <x v="9"/>
    <s v="(WHH-AA, USAID, MHF),UNICEF"/>
    <x v="0"/>
    <x v="10"/>
    <x v="1"/>
    <x v="84"/>
    <n v="141"/>
    <n v="800"/>
    <s v="(1-10-2018, 30-9-2019,1-6-2020), 4-1-2019"/>
    <s v="(9-30-2020, 8-31-2020, 11-30-2020), 4-30-2020"/>
    <n v="111"/>
    <m/>
    <n v="4"/>
    <m/>
    <s v="Yes"/>
    <n v="2"/>
    <n v="2"/>
    <n v="1"/>
    <m/>
    <m/>
    <m/>
    <n v="1"/>
    <m/>
    <m/>
    <m/>
    <m/>
    <m/>
    <m/>
    <m/>
    <m/>
    <m/>
    <m/>
    <n v="4"/>
    <n v="1"/>
    <n v="1"/>
    <m/>
    <m/>
    <m/>
    <s v="Water safety plan need to install"/>
    <n v="21"/>
    <m/>
    <m/>
    <m/>
    <m/>
    <m/>
    <m/>
    <m/>
    <x v="1"/>
    <x v="1"/>
    <m/>
    <m/>
    <n v="5"/>
    <m/>
    <m/>
    <m/>
    <n v="12"/>
    <m/>
    <m/>
    <n v="5"/>
    <m/>
    <m/>
    <n v="6"/>
    <n v="112"/>
    <n v="191"/>
    <s v="No"/>
    <m/>
    <m/>
    <s v="need more hygiene items especially MHM Kits"/>
    <n v="1"/>
    <n v="1"/>
    <n v="800"/>
    <n v="1"/>
    <m/>
    <m/>
    <m/>
    <n v="0.25"/>
    <n v="0"/>
    <s v="Tested"/>
    <n v="1"/>
    <n v="1"/>
    <n v="0"/>
    <n v="0"/>
    <n v="0"/>
    <n v="0"/>
    <n v="1"/>
    <n v="0.625"/>
    <n v="1"/>
    <n v="800"/>
    <n v="0"/>
    <n v="0"/>
    <n v="1"/>
    <n v="800"/>
    <n v="1.6"/>
    <n v="0"/>
    <n v="0"/>
    <n v="0.39999999999999991"/>
    <n v="2"/>
    <n v="21"/>
    <n v="0.52500000000000002"/>
    <n v="420"/>
    <n v="0"/>
    <n v="111"/>
    <n v="0"/>
    <n v="111"/>
    <n v="40"/>
    <n v="19"/>
    <n v="0.47499999999999998"/>
    <n v="0"/>
    <n v="800"/>
    <n v="560"/>
    <n v="191"/>
    <n v="560"/>
    <n v="800"/>
    <n v="1"/>
    <n v="0"/>
    <n v="1"/>
    <n v="1"/>
    <n v="1"/>
    <n v="12"/>
    <n v="141"/>
    <n v="0"/>
    <n v="800"/>
    <s v="Yes"/>
    <n v="1"/>
    <n v="0"/>
    <n v="111"/>
    <s v="Yes"/>
    <s v="Shalom"/>
    <x v="0"/>
    <x v="1"/>
    <x v="1"/>
    <n v="24.2631743589744"/>
    <n v="97.240183461538507"/>
    <s v="MMR001CMP049"/>
    <x v="0"/>
    <s v="cccm_2019OCT"/>
  </r>
  <r>
    <x v="1"/>
    <x v="0"/>
    <x v="0"/>
    <s v="PLAN(GFFO),MHF13490"/>
    <x v="0"/>
    <x v="6"/>
    <x v="0"/>
    <x v="23"/>
    <n v="6"/>
    <n v="36"/>
    <s v="5-1-2019,10-1-2019"/>
    <s v="9-30-2020,7-31-2020"/>
    <m/>
    <m/>
    <m/>
    <m/>
    <s v="Yes"/>
    <m/>
    <n v="1"/>
    <n v="0"/>
    <m/>
    <m/>
    <n v="1"/>
    <m/>
    <m/>
    <m/>
    <m/>
    <m/>
    <m/>
    <m/>
    <m/>
    <m/>
    <m/>
    <n v="3"/>
    <m/>
    <m/>
    <m/>
    <m/>
    <m/>
    <m/>
    <m/>
    <n v="2"/>
    <m/>
    <m/>
    <m/>
    <m/>
    <m/>
    <m/>
    <n v="2"/>
    <x v="1"/>
    <x v="1"/>
    <m/>
    <m/>
    <m/>
    <m/>
    <m/>
    <m/>
    <n v="1"/>
    <m/>
    <m/>
    <n v="0"/>
    <m/>
    <m/>
    <n v="1"/>
    <m/>
    <m/>
    <m/>
    <m/>
    <m/>
    <m/>
    <m/>
    <m/>
    <m/>
    <m/>
    <m/>
    <m/>
    <m/>
    <s v="no test"/>
    <s v="no test"/>
    <s v="No Test"/>
    <n v="0"/>
    <n v="1"/>
    <n v="0"/>
    <n v="0"/>
    <n v="0"/>
    <n v="0"/>
    <n v="1"/>
    <n v="1"/>
    <n v="1"/>
    <n v="36"/>
    <n v="0"/>
    <n v="0"/>
    <n v="1"/>
    <n v="36"/>
    <n v="7.1999999999999995E-2"/>
    <n v="0"/>
    <n v="0"/>
    <n v="0.92800000000000005"/>
    <n v="1"/>
    <n v="2"/>
    <n v="1"/>
    <n v="36"/>
    <n v="0"/>
    <n v="0"/>
    <n v="0"/>
    <n v="0"/>
    <n v="2"/>
    <n v="0"/>
    <n v="0"/>
    <n v="0"/>
    <n v="36"/>
    <n v="0"/>
    <n v="0"/>
    <n v="0"/>
    <n v="36"/>
    <n v="1"/>
    <n v="0"/>
    <n v="1"/>
    <n v="0"/>
    <n v="0"/>
    <n v="1"/>
    <n v="6"/>
    <n v="0"/>
    <n v="36"/>
    <s v="No"/>
    <s v=""/>
    <n v="0"/>
    <n v="0"/>
    <n v="0"/>
    <n v="0"/>
    <x v="0"/>
    <x v="0"/>
    <x v="1"/>
    <n v="0"/>
    <n v="0"/>
    <n v="0"/>
    <x v="0"/>
    <n v="0"/>
  </r>
  <r>
    <x v="1"/>
    <x v="0"/>
    <x v="0"/>
    <s v="PLAN(GFFO),MHF13490"/>
    <x v="0"/>
    <x v="6"/>
    <x v="1"/>
    <x v="24"/>
    <n v="105"/>
    <n v="474"/>
    <s v="5-1-2019,10-1-2019"/>
    <s v="9-30-2020,7-31-2020"/>
    <m/>
    <m/>
    <m/>
    <m/>
    <s v="Yes"/>
    <m/>
    <n v="2"/>
    <n v="1"/>
    <m/>
    <m/>
    <m/>
    <m/>
    <m/>
    <m/>
    <m/>
    <m/>
    <m/>
    <m/>
    <m/>
    <m/>
    <m/>
    <n v="2"/>
    <m/>
    <m/>
    <m/>
    <m/>
    <m/>
    <m/>
    <m/>
    <n v="13"/>
    <m/>
    <m/>
    <m/>
    <m/>
    <m/>
    <m/>
    <n v="12"/>
    <x v="1"/>
    <x v="1"/>
    <m/>
    <m/>
    <m/>
    <m/>
    <m/>
    <m/>
    <n v="3"/>
    <m/>
    <m/>
    <n v="3"/>
    <m/>
    <m/>
    <n v="2"/>
    <m/>
    <m/>
    <m/>
    <m/>
    <m/>
    <m/>
    <m/>
    <m/>
    <m/>
    <m/>
    <m/>
    <m/>
    <m/>
    <s v="no test"/>
    <s v="no test"/>
    <s v="No Test"/>
    <n v="1"/>
    <n v="0"/>
    <n v="0"/>
    <n v="0"/>
    <n v="0"/>
    <n v="0"/>
    <n v="0.84388185654008441"/>
    <n v="0.52742616033755274"/>
    <n v="0.84388185654008441"/>
    <n v="400"/>
    <n v="0"/>
    <n v="0"/>
    <n v="0.84388185654008441"/>
    <n v="400"/>
    <n v="0.8"/>
    <n v="0.15611814345991559"/>
    <n v="73.999999999999986"/>
    <n v="0.19999999999999996"/>
    <n v="1"/>
    <n v="13"/>
    <n v="0.54852320675105481"/>
    <n v="260"/>
    <n v="0"/>
    <n v="0"/>
    <n v="0"/>
    <n v="0"/>
    <n v="24"/>
    <n v="11"/>
    <n v="0.45147679324894519"/>
    <n v="0"/>
    <n v="474"/>
    <n v="0"/>
    <n v="0"/>
    <n v="0"/>
    <n v="474"/>
    <n v="1"/>
    <n v="0"/>
    <n v="1"/>
    <n v="0"/>
    <n v="0"/>
    <n v="3"/>
    <n v="60"/>
    <n v="0"/>
    <n v="300"/>
    <s v="No"/>
    <s v=""/>
    <n v="0"/>
    <n v="0"/>
    <n v="0"/>
    <s v="KBC-MYT"/>
    <x v="0"/>
    <x v="1"/>
    <x v="1"/>
    <n v="25.379014999999999"/>
    <n v="97.104997409999996"/>
    <s v="MMR001CMP261"/>
    <x v="0"/>
    <s v="cccm_2019OCT"/>
  </r>
  <r>
    <x v="1"/>
    <x v="0"/>
    <x v="0"/>
    <s v="PLAN(GFFO),MHF13490"/>
    <x v="0"/>
    <x v="6"/>
    <x v="1"/>
    <x v="25"/>
    <n v="10"/>
    <n v="41"/>
    <s v="5-1-2019,10-1-2019"/>
    <s v="9-30-2020,7-31-2020"/>
    <m/>
    <m/>
    <m/>
    <m/>
    <s v="Yes"/>
    <m/>
    <n v="5"/>
    <n v="1"/>
    <m/>
    <m/>
    <m/>
    <m/>
    <m/>
    <m/>
    <m/>
    <m/>
    <m/>
    <m/>
    <m/>
    <m/>
    <m/>
    <n v="3"/>
    <m/>
    <m/>
    <m/>
    <m/>
    <m/>
    <m/>
    <m/>
    <n v="3"/>
    <m/>
    <m/>
    <m/>
    <m/>
    <m/>
    <m/>
    <n v="3"/>
    <x v="1"/>
    <x v="1"/>
    <m/>
    <m/>
    <m/>
    <m/>
    <m/>
    <m/>
    <n v="2"/>
    <m/>
    <m/>
    <n v="2"/>
    <m/>
    <m/>
    <n v="1"/>
    <m/>
    <m/>
    <m/>
    <m/>
    <m/>
    <m/>
    <m/>
    <m/>
    <m/>
    <m/>
    <m/>
    <m/>
    <m/>
    <s v="no test"/>
    <s v="no test"/>
    <s v="No Test"/>
    <n v="1"/>
    <n v="0"/>
    <n v="0"/>
    <n v="0"/>
    <n v="0"/>
    <n v="0"/>
    <n v="1"/>
    <n v="1"/>
    <n v="1"/>
    <n v="41"/>
    <n v="0"/>
    <n v="0"/>
    <n v="1"/>
    <n v="41"/>
    <n v="8.2000000000000003E-2"/>
    <n v="0"/>
    <n v="0"/>
    <n v="0.91800000000000004"/>
    <n v="1"/>
    <n v="3"/>
    <n v="1"/>
    <n v="41"/>
    <n v="0"/>
    <n v="0"/>
    <n v="0"/>
    <n v="0"/>
    <n v="2"/>
    <n v="0"/>
    <n v="0"/>
    <n v="0"/>
    <n v="41"/>
    <n v="0"/>
    <n v="0"/>
    <n v="0"/>
    <n v="41"/>
    <n v="1"/>
    <n v="0"/>
    <n v="1"/>
    <n v="0"/>
    <n v="0"/>
    <n v="2"/>
    <n v="10"/>
    <n v="0"/>
    <n v="41"/>
    <s v="No"/>
    <s v=""/>
    <n v="0"/>
    <n v="0"/>
    <s v="Yes"/>
    <s v="KBC-MYT"/>
    <x v="0"/>
    <x v="1"/>
    <x v="1"/>
    <n v="25.30442"/>
    <n v="96.948740000000001"/>
    <s v="MMR001CMP079"/>
    <x v="0"/>
    <s v="cccm_2019OCT"/>
  </r>
  <r>
    <x v="1"/>
    <x v="0"/>
    <x v="0"/>
    <s v="PLAN(GFFO),MHF13490"/>
    <x v="0"/>
    <x v="5"/>
    <x v="1"/>
    <x v="26"/>
    <n v="22"/>
    <n v="113"/>
    <s v="5-1-2019,10-1-2019"/>
    <s v="9-30-2020,7-31-2020"/>
    <m/>
    <m/>
    <m/>
    <m/>
    <s v="Yes"/>
    <m/>
    <n v="1"/>
    <n v="0"/>
    <m/>
    <m/>
    <n v="3"/>
    <m/>
    <m/>
    <m/>
    <m/>
    <m/>
    <m/>
    <m/>
    <m/>
    <m/>
    <m/>
    <n v="0"/>
    <m/>
    <m/>
    <m/>
    <m/>
    <m/>
    <m/>
    <m/>
    <n v="5"/>
    <m/>
    <m/>
    <m/>
    <m/>
    <m/>
    <m/>
    <m/>
    <x v="1"/>
    <x v="2"/>
    <m/>
    <m/>
    <m/>
    <m/>
    <m/>
    <m/>
    <n v="2"/>
    <m/>
    <m/>
    <n v="2"/>
    <m/>
    <m/>
    <n v="1"/>
    <m/>
    <m/>
    <m/>
    <m/>
    <m/>
    <m/>
    <m/>
    <m/>
    <m/>
    <m/>
    <m/>
    <m/>
    <m/>
    <s v="no test"/>
    <s v="no test"/>
    <s v="No Test"/>
    <n v="0"/>
    <n v="3"/>
    <n v="0"/>
    <n v="0"/>
    <n v="0"/>
    <n v="0"/>
    <n v="1"/>
    <n v="1"/>
    <n v="1"/>
    <n v="113"/>
    <n v="0"/>
    <n v="0"/>
    <n v="1"/>
    <n v="113"/>
    <n v="0.22600000000000001"/>
    <n v="0"/>
    <n v="0"/>
    <n v="0.77400000000000002"/>
    <n v="1"/>
    <n v="5"/>
    <n v="0.88495575221238942"/>
    <n v="100"/>
    <n v="0"/>
    <n v="0"/>
    <n v="0"/>
    <n v="0"/>
    <n v="6"/>
    <n v="1"/>
    <n v="0.11504424778761058"/>
    <n v="0"/>
    <n v="113"/>
    <n v="0"/>
    <n v="0"/>
    <n v="0"/>
    <n v="113"/>
    <n v="1"/>
    <n v="0"/>
    <n v="1"/>
    <n v="0"/>
    <n v="0"/>
    <n v="2"/>
    <n v="22"/>
    <n v="0"/>
    <n v="113"/>
    <s v="No"/>
    <s v=""/>
    <n v="0"/>
    <n v="0"/>
    <s v="Yes"/>
    <s v="KBC-MYT"/>
    <x v="0"/>
    <x v="1"/>
    <x v="1"/>
    <n v="24.998349999999999"/>
    <n v="96.364949999999993"/>
    <s v="MMR001CMP152"/>
    <x v="0"/>
    <s v="cccm_2019OCT"/>
  </r>
  <r>
    <x v="1"/>
    <x v="0"/>
    <x v="0"/>
    <s v="MHF13490"/>
    <x v="0"/>
    <x v="11"/>
    <x v="1"/>
    <x v="27"/>
    <n v="127"/>
    <n v="547"/>
    <d v="2019-01-10T00:00:00"/>
    <s v="31-7-2020"/>
    <m/>
    <m/>
    <m/>
    <m/>
    <s v="Yes"/>
    <m/>
    <m/>
    <n v="0"/>
    <m/>
    <m/>
    <n v="0"/>
    <m/>
    <m/>
    <m/>
    <n v="1"/>
    <m/>
    <m/>
    <m/>
    <m/>
    <m/>
    <m/>
    <n v="0"/>
    <m/>
    <m/>
    <m/>
    <m/>
    <m/>
    <m/>
    <m/>
    <n v="90"/>
    <m/>
    <m/>
    <m/>
    <m/>
    <m/>
    <m/>
    <n v="90"/>
    <x v="1"/>
    <x v="1"/>
    <m/>
    <m/>
    <m/>
    <m/>
    <m/>
    <m/>
    <n v="90"/>
    <m/>
    <m/>
    <n v="0"/>
    <m/>
    <m/>
    <n v="2"/>
    <m/>
    <m/>
    <m/>
    <m/>
    <m/>
    <m/>
    <m/>
    <m/>
    <m/>
    <m/>
    <m/>
    <m/>
    <m/>
    <s v="no test"/>
    <s v="no test"/>
    <s v="No Test"/>
    <n v="0"/>
    <n v="0"/>
    <n v="1"/>
    <n v="0"/>
    <n v="0"/>
    <n v="0"/>
    <n v="0.12187690432663011"/>
    <n v="0.12187690432663011"/>
    <n v="0.12187690432663011"/>
    <n v="66.666666666666671"/>
    <n v="0"/>
    <n v="0"/>
    <n v="0.12187690432663011"/>
    <n v="66.666666666666671"/>
    <n v="0.13333333333333333"/>
    <n v="0.87812309567336988"/>
    <n v="480.33333333333331"/>
    <n v="0.8666666666666667"/>
    <n v="1"/>
    <n v="90"/>
    <n v="1"/>
    <n v="547"/>
    <n v="0"/>
    <n v="0"/>
    <n v="0"/>
    <n v="0"/>
    <n v="27"/>
    <n v="0"/>
    <n v="0"/>
    <n v="0"/>
    <n v="547"/>
    <n v="0"/>
    <n v="0"/>
    <n v="0"/>
    <n v="547"/>
    <n v="1"/>
    <n v="0"/>
    <n v="1"/>
    <n v="0"/>
    <n v="0"/>
    <n v="90"/>
    <n v="127"/>
    <n v="0"/>
    <n v="547"/>
    <s v="No"/>
    <s v=""/>
    <n v="0"/>
    <n v="0"/>
    <s v="Yes"/>
    <s v="KBC-MYT"/>
    <x v="0"/>
    <x v="1"/>
    <x v="0"/>
    <n v="26.569633"/>
    <n v="97.745480999999998"/>
    <s v="MMR001CMP238"/>
    <x v="0"/>
    <s v="cccm_2019OCT"/>
  </r>
  <r>
    <x v="1"/>
    <x v="0"/>
    <x v="0"/>
    <s v="PLAN(GFFO),MHF13490"/>
    <x v="0"/>
    <x v="0"/>
    <x v="1"/>
    <x v="20"/>
    <n v="61"/>
    <n v="290"/>
    <s v="5-1-2019,10-1-2019"/>
    <s v="9-30-2020,7-31-2020"/>
    <m/>
    <m/>
    <m/>
    <m/>
    <s v="Yes"/>
    <m/>
    <n v="4"/>
    <n v="1"/>
    <m/>
    <m/>
    <n v="1"/>
    <m/>
    <m/>
    <m/>
    <m/>
    <m/>
    <m/>
    <m/>
    <m/>
    <m/>
    <m/>
    <n v="2"/>
    <m/>
    <m/>
    <m/>
    <m/>
    <m/>
    <m/>
    <m/>
    <n v="7"/>
    <m/>
    <m/>
    <m/>
    <m/>
    <m/>
    <m/>
    <n v="7"/>
    <x v="1"/>
    <x v="2"/>
    <m/>
    <m/>
    <m/>
    <m/>
    <m/>
    <m/>
    <n v="3"/>
    <m/>
    <m/>
    <n v="3"/>
    <m/>
    <m/>
    <n v="1"/>
    <m/>
    <m/>
    <m/>
    <m/>
    <m/>
    <m/>
    <m/>
    <m/>
    <m/>
    <m/>
    <m/>
    <m/>
    <m/>
    <s v="no test"/>
    <s v="no test"/>
    <s v="No Test"/>
    <n v="1"/>
    <n v="1"/>
    <n v="0"/>
    <n v="0"/>
    <n v="0"/>
    <n v="0"/>
    <n v="1"/>
    <n v="1"/>
    <n v="1"/>
    <n v="290"/>
    <n v="0"/>
    <n v="0"/>
    <n v="1"/>
    <n v="290"/>
    <n v="0.57999999999999996"/>
    <n v="0"/>
    <n v="0"/>
    <n v="0.42000000000000004"/>
    <n v="1"/>
    <n v="7"/>
    <n v="0.48275862068965519"/>
    <n v="140"/>
    <n v="0"/>
    <n v="0"/>
    <n v="0"/>
    <n v="0"/>
    <n v="15"/>
    <n v="8"/>
    <n v="0.51724137931034475"/>
    <n v="0"/>
    <n v="290"/>
    <n v="0"/>
    <n v="0"/>
    <n v="0"/>
    <n v="290"/>
    <n v="1"/>
    <n v="0"/>
    <n v="1"/>
    <n v="0"/>
    <n v="0"/>
    <n v="3"/>
    <n v="60"/>
    <n v="0"/>
    <n v="290"/>
    <s v="No"/>
    <s v=""/>
    <n v="0"/>
    <n v="0"/>
    <s v="Yes"/>
    <s v="KBC-MYT"/>
    <x v="0"/>
    <x v="1"/>
    <x v="1"/>
    <n v="25.360463124999999"/>
    <n v="97.4113064583333"/>
    <s v="MMR001CMP016"/>
    <x v="0"/>
    <s v="cccm_2019OCT"/>
  </r>
  <r>
    <x v="1"/>
    <x v="2"/>
    <x v="2"/>
    <s v="WHH-AA, USAID"/>
    <x v="0"/>
    <x v="2"/>
    <x v="1"/>
    <x v="77"/>
    <n v="144"/>
    <n v="680"/>
    <s v="10-1-2018, 9-30-2019"/>
    <s v="9-30-2020, 8-31-2020"/>
    <m/>
    <m/>
    <m/>
    <m/>
    <m/>
    <m/>
    <m/>
    <m/>
    <m/>
    <m/>
    <m/>
    <m/>
    <m/>
    <m/>
    <n v="2"/>
    <m/>
    <m/>
    <m/>
    <m/>
    <n v="48240"/>
    <m/>
    <m/>
    <m/>
    <m/>
    <m/>
    <m/>
    <m/>
    <n v="2"/>
    <m/>
    <n v="89"/>
    <m/>
    <m/>
    <m/>
    <m/>
    <m/>
    <m/>
    <m/>
    <x v="1"/>
    <x v="1"/>
    <m/>
    <m/>
    <m/>
    <m/>
    <m/>
    <m/>
    <n v="4"/>
    <m/>
    <m/>
    <n v="5"/>
    <m/>
    <m/>
    <m/>
    <m/>
    <m/>
    <m/>
    <m/>
    <m/>
    <m/>
    <m/>
    <m/>
    <m/>
    <m/>
    <m/>
    <m/>
    <m/>
    <s v="no test"/>
    <s v="no test"/>
    <s v="No Test"/>
    <n v="0"/>
    <n v="0"/>
    <n v="2"/>
    <n v="0"/>
    <n v="35.733333333333334"/>
    <n v="1000"/>
    <n v="0.24862745098039216"/>
    <n v="0.24862745098039216"/>
    <n v="0.24862745098039216"/>
    <n v="169.06666666666666"/>
    <n v="0"/>
    <n v="0"/>
    <n v="0.24862745098039216"/>
    <n v="169.06666666666666"/>
    <n v="0.33813333333333334"/>
    <n v="0.75137254901960782"/>
    <n v="510.93333333333334"/>
    <n v="0.6618666666666666"/>
    <n v="1"/>
    <n v="89"/>
    <n v="1"/>
    <n v="680"/>
    <n v="0"/>
    <n v="0"/>
    <n v="0"/>
    <n v="0"/>
    <n v="34"/>
    <n v="0"/>
    <n v="0"/>
    <n v="0"/>
    <n v="0"/>
    <n v="0"/>
    <n v="0"/>
    <n v="0"/>
    <n v="0"/>
    <n v="0"/>
    <n v="1"/>
    <n v="0"/>
    <n v="0"/>
    <n v="0"/>
    <n v="4"/>
    <n v="80"/>
    <n v="0"/>
    <n v="400"/>
    <s v="No"/>
    <s v=""/>
    <n v="0"/>
    <n v="1000"/>
    <n v="0"/>
    <s v="uncovered"/>
    <x v="0"/>
    <x v="3"/>
    <x v="0"/>
    <n v="24.752471"/>
    <n v="97.541793999999996"/>
    <s v="MMR001CMP208"/>
    <x v="0"/>
    <s v="cccm_2019OCT"/>
  </r>
  <r>
    <x v="1"/>
    <x v="0"/>
    <x v="0"/>
    <s v="UNICEF"/>
    <x v="0"/>
    <x v="1"/>
    <x v="1"/>
    <x v="30"/>
    <n v="386"/>
    <n v="1397"/>
    <d v="2019-04-01T00:00:00"/>
    <d v="2020-04-30T00:00:00"/>
    <n v="383"/>
    <m/>
    <n v="74"/>
    <m/>
    <m/>
    <n v="19"/>
    <n v="55"/>
    <n v="13"/>
    <m/>
    <m/>
    <n v="1"/>
    <m/>
    <m/>
    <m/>
    <m/>
    <m/>
    <m/>
    <m/>
    <m/>
    <m/>
    <n v="7"/>
    <m/>
    <n v="16"/>
    <n v="5"/>
    <n v="22"/>
    <n v="16"/>
    <m/>
    <m/>
    <s v="Water safety plan need to install"/>
    <n v="5"/>
    <m/>
    <m/>
    <m/>
    <n v="2"/>
    <m/>
    <m/>
    <m/>
    <x v="1"/>
    <x v="3"/>
    <m/>
    <m/>
    <n v="50"/>
    <m/>
    <m/>
    <m/>
    <m/>
    <m/>
    <m/>
    <m/>
    <m/>
    <m/>
    <m/>
    <m/>
    <m/>
    <s v="No"/>
    <m/>
    <m/>
    <s v="need more hygiene items especially MHM Kits"/>
    <n v="1"/>
    <n v="1"/>
    <n v="1397"/>
    <n v="1"/>
    <m/>
    <m/>
    <m/>
    <n v="0.3125"/>
    <n v="0.72727272727272729"/>
    <s v="Tested"/>
    <n v="13"/>
    <n v="1"/>
    <n v="0"/>
    <n v="0"/>
    <n v="0"/>
    <n v="0"/>
    <n v="1"/>
    <n v="1"/>
    <n v="1"/>
    <n v="1397"/>
    <n v="0"/>
    <n v="0"/>
    <n v="1"/>
    <n v="1397"/>
    <n v="2.794"/>
    <n v="0"/>
    <n v="0"/>
    <n v="0.20599999999999996"/>
    <n v="3"/>
    <n v="5"/>
    <n v="7.158196134574088E-2"/>
    <n v="100"/>
    <n v="0"/>
    <n v="383"/>
    <n v="0"/>
    <n v="383"/>
    <n v="70"/>
    <n v="65"/>
    <n v="0.92841803865425909"/>
    <n v="0"/>
    <n v="0"/>
    <n v="0"/>
    <n v="0"/>
    <n v="0"/>
    <n v="0"/>
    <n v="0"/>
    <n v="1"/>
    <n v="0"/>
    <n v="0"/>
    <n v="0"/>
    <n v="0"/>
    <n v="0"/>
    <n v="0"/>
    <n v="0"/>
    <s v="Yes"/>
    <n v="1"/>
    <n v="0"/>
    <n v="383"/>
    <n v="0"/>
    <s v="uncovered"/>
    <x v="0"/>
    <x v="0"/>
    <x v="0"/>
    <n v="0"/>
    <n v="0"/>
    <s v="MMR001CMP273"/>
    <x v="0"/>
    <s v="cccm_2019OCT"/>
  </r>
  <r>
    <x v="1"/>
    <x v="0"/>
    <x v="0"/>
    <s v="PLAN(GFFO),MHF13490"/>
    <x v="0"/>
    <x v="2"/>
    <x v="1"/>
    <x v="16"/>
    <n v="28"/>
    <n v="159"/>
    <s v="5-1-2019,10-1-2019"/>
    <s v="9-30-2020,7-31-2020"/>
    <m/>
    <m/>
    <m/>
    <m/>
    <s v="Yes"/>
    <m/>
    <n v="1"/>
    <n v="2"/>
    <m/>
    <m/>
    <n v="1"/>
    <m/>
    <m/>
    <m/>
    <n v="0"/>
    <m/>
    <m/>
    <m/>
    <m/>
    <m/>
    <m/>
    <n v="3"/>
    <m/>
    <m/>
    <m/>
    <m/>
    <m/>
    <m/>
    <m/>
    <n v="6"/>
    <m/>
    <m/>
    <m/>
    <m/>
    <m/>
    <m/>
    <n v="6"/>
    <x v="1"/>
    <x v="1"/>
    <m/>
    <m/>
    <m/>
    <m/>
    <m/>
    <m/>
    <n v="2"/>
    <m/>
    <m/>
    <n v="3"/>
    <m/>
    <m/>
    <n v="1"/>
    <m/>
    <m/>
    <m/>
    <m/>
    <m/>
    <m/>
    <m/>
    <m/>
    <m/>
    <m/>
    <m/>
    <m/>
    <m/>
    <s v="no test"/>
    <s v="no test"/>
    <s v="No Test"/>
    <n v="2"/>
    <n v="1"/>
    <n v="0"/>
    <n v="0"/>
    <n v="0"/>
    <n v="0"/>
    <n v="1"/>
    <n v="1"/>
    <n v="1"/>
    <n v="159"/>
    <n v="0"/>
    <n v="0"/>
    <n v="1"/>
    <n v="159"/>
    <n v="0.318"/>
    <n v="0"/>
    <n v="0"/>
    <n v="0.68199999999999994"/>
    <n v="1"/>
    <n v="6"/>
    <n v="0.75471698113207553"/>
    <n v="120"/>
    <n v="0"/>
    <n v="0"/>
    <n v="0"/>
    <n v="0"/>
    <n v="8"/>
    <n v="2"/>
    <n v="0.24528301886792447"/>
    <n v="0"/>
    <n v="159"/>
    <n v="0"/>
    <n v="0"/>
    <n v="0"/>
    <n v="159"/>
    <n v="1"/>
    <n v="0"/>
    <n v="1"/>
    <n v="0"/>
    <n v="0"/>
    <n v="2"/>
    <n v="28"/>
    <n v="0"/>
    <n v="159"/>
    <s v="No"/>
    <s v=""/>
    <n v="0"/>
    <n v="0"/>
    <s v="Yes"/>
    <s v="KBC-MYT"/>
    <x v="0"/>
    <x v="1"/>
    <x v="1"/>
    <n v="25.356632000000001"/>
    <n v="97.451965000000001"/>
    <s v="MMR001CMP027"/>
    <x v="0"/>
    <s v="cccm_2019OCT"/>
  </r>
  <r>
    <x v="1"/>
    <x v="0"/>
    <x v="0"/>
    <s v="MHF13490"/>
    <x v="0"/>
    <x v="11"/>
    <x v="1"/>
    <x v="32"/>
    <n v="63"/>
    <n v="325"/>
    <d v="2019-01-10T00:00:00"/>
    <s v="31-7-2020"/>
    <m/>
    <m/>
    <m/>
    <m/>
    <s v="Yes"/>
    <m/>
    <m/>
    <n v="0"/>
    <m/>
    <m/>
    <n v="0"/>
    <m/>
    <m/>
    <m/>
    <n v="1"/>
    <m/>
    <m/>
    <m/>
    <m/>
    <m/>
    <m/>
    <n v="0"/>
    <m/>
    <m/>
    <m/>
    <m/>
    <m/>
    <m/>
    <m/>
    <n v="65"/>
    <m/>
    <m/>
    <m/>
    <m/>
    <m/>
    <m/>
    <n v="65"/>
    <x v="1"/>
    <x v="1"/>
    <m/>
    <m/>
    <m/>
    <m/>
    <m/>
    <m/>
    <n v="65"/>
    <m/>
    <m/>
    <n v="0"/>
    <m/>
    <m/>
    <n v="2"/>
    <m/>
    <m/>
    <m/>
    <m/>
    <m/>
    <m/>
    <m/>
    <m/>
    <m/>
    <m/>
    <m/>
    <m/>
    <m/>
    <s v="no test"/>
    <s v="no test"/>
    <s v="No Test"/>
    <n v="0"/>
    <n v="0"/>
    <n v="1"/>
    <n v="0"/>
    <n v="0"/>
    <n v="0"/>
    <n v="0.20512820512820515"/>
    <n v="0.20512820512820515"/>
    <n v="0.20512820512820515"/>
    <n v="66.666666666666671"/>
    <n v="0"/>
    <n v="0"/>
    <n v="0.20512820512820515"/>
    <n v="66.666666666666671"/>
    <n v="0.13333333333333333"/>
    <n v="0.79487179487179482"/>
    <n v="258.33333333333331"/>
    <n v="0.8666666666666667"/>
    <n v="1"/>
    <n v="65"/>
    <n v="1"/>
    <n v="325"/>
    <n v="0"/>
    <n v="0"/>
    <n v="0"/>
    <n v="0"/>
    <n v="16"/>
    <n v="0"/>
    <n v="0"/>
    <n v="0"/>
    <n v="325"/>
    <n v="0"/>
    <n v="0"/>
    <n v="0"/>
    <n v="325"/>
    <n v="1"/>
    <n v="0"/>
    <n v="1"/>
    <n v="0"/>
    <n v="0"/>
    <n v="65"/>
    <n v="63"/>
    <n v="0"/>
    <n v="325"/>
    <s v="No"/>
    <s v=""/>
    <n v="0"/>
    <n v="0"/>
    <s v="Yes"/>
    <s v="KBC-MYT"/>
    <x v="0"/>
    <x v="1"/>
    <x v="0"/>
    <n v="26.548506"/>
    <n v="97.75609"/>
    <s v="MMR001CMP239"/>
    <x v="0"/>
    <s v="cccm_2019OCT"/>
  </r>
  <r>
    <x v="1"/>
    <x v="0"/>
    <x v="0"/>
    <s v="PLAN(GFFO),MHF13490"/>
    <x v="0"/>
    <x v="6"/>
    <x v="1"/>
    <x v="33"/>
    <n v="28"/>
    <n v="136"/>
    <s v="5-1-2019,10-1-2019"/>
    <s v="9-30-2020,7-31-2020"/>
    <m/>
    <m/>
    <m/>
    <m/>
    <s v="Yes"/>
    <m/>
    <n v="4"/>
    <n v="1"/>
    <m/>
    <m/>
    <n v="1"/>
    <m/>
    <m/>
    <m/>
    <m/>
    <m/>
    <m/>
    <m/>
    <m/>
    <m/>
    <m/>
    <n v="3"/>
    <m/>
    <m/>
    <m/>
    <m/>
    <m/>
    <m/>
    <m/>
    <n v="12"/>
    <m/>
    <m/>
    <m/>
    <m/>
    <m/>
    <m/>
    <n v="12"/>
    <x v="1"/>
    <x v="2"/>
    <m/>
    <m/>
    <m/>
    <m/>
    <m/>
    <m/>
    <n v="6"/>
    <m/>
    <m/>
    <n v="2"/>
    <m/>
    <m/>
    <n v="1"/>
    <m/>
    <m/>
    <m/>
    <m/>
    <m/>
    <m/>
    <m/>
    <m/>
    <m/>
    <m/>
    <m/>
    <m/>
    <m/>
    <s v="no test"/>
    <s v="no test"/>
    <s v="No Test"/>
    <n v="1"/>
    <n v="1"/>
    <n v="0"/>
    <n v="0"/>
    <n v="0"/>
    <n v="0"/>
    <n v="1"/>
    <n v="1"/>
    <n v="1"/>
    <n v="136"/>
    <n v="0"/>
    <n v="0"/>
    <n v="1"/>
    <n v="136"/>
    <n v="0.27200000000000002"/>
    <n v="0"/>
    <n v="0"/>
    <n v="0.72799999999999998"/>
    <n v="1"/>
    <n v="12"/>
    <n v="1"/>
    <n v="136"/>
    <n v="0"/>
    <n v="0"/>
    <n v="0"/>
    <n v="0"/>
    <n v="7"/>
    <n v="0"/>
    <n v="0"/>
    <n v="0"/>
    <n v="136"/>
    <n v="0"/>
    <n v="0"/>
    <n v="0"/>
    <n v="136"/>
    <n v="1"/>
    <n v="0"/>
    <n v="1"/>
    <n v="0"/>
    <n v="0"/>
    <n v="6"/>
    <n v="28"/>
    <n v="0"/>
    <n v="136"/>
    <s v="No"/>
    <s v=""/>
    <n v="0"/>
    <n v="0"/>
    <s v="Yes"/>
    <s v="KBC-MYT"/>
    <x v="0"/>
    <x v="1"/>
    <x v="1"/>
    <n v="25.225000000000001"/>
    <n v="96.793999999999997"/>
    <s v="MMR001CMP236"/>
    <x v="0"/>
    <s v="cccm_2019OCT"/>
  </r>
  <r>
    <x v="1"/>
    <x v="4"/>
    <x v="4"/>
    <m/>
    <x v="0"/>
    <x v="2"/>
    <x v="1"/>
    <x v="137"/>
    <n v="407"/>
    <n v="1801"/>
    <m/>
    <m/>
    <n v="218"/>
    <m/>
    <m/>
    <m/>
    <s v="Yes"/>
    <m/>
    <n v="5"/>
    <m/>
    <m/>
    <m/>
    <m/>
    <m/>
    <m/>
    <m/>
    <n v="6"/>
    <m/>
    <m/>
    <m/>
    <m/>
    <m/>
    <m/>
    <m/>
    <m/>
    <m/>
    <m/>
    <m/>
    <m/>
    <m/>
    <m/>
    <n v="407"/>
    <m/>
    <m/>
    <m/>
    <m/>
    <m/>
    <m/>
    <m/>
    <x v="1"/>
    <x v="1"/>
    <n v="3"/>
    <m/>
    <m/>
    <m/>
    <m/>
    <m/>
    <n v="400"/>
    <m/>
    <m/>
    <m/>
    <m/>
    <m/>
    <m/>
    <m/>
    <m/>
    <m/>
    <m/>
    <m/>
    <m/>
    <m/>
    <m/>
    <m/>
    <m/>
    <m/>
    <m/>
    <m/>
    <s v="no test"/>
    <s v="no test"/>
    <s v="No Test"/>
    <n v="0"/>
    <n v="0"/>
    <n v="6"/>
    <n v="0"/>
    <n v="0"/>
    <n v="0"/>
    <n v="0.2220988339811216"/>
    <n v="0.2220988339811216"/>
    <n v="0.2220988339811216"/>
    <n v="400"/>
    <n v="0"/>
    <n v="0"/>
    <n v="0.2220988339811216"/>
    <n v="400"/>
    <n v="0.8"/>
    <n v="0.77790116601887838"/>
    <n v="1401"/>
    <n v="3.2"/>
    <n v="4"/>
    <n v="407"/>
    <n v="1"/>
    <n v="1801"/>
    <n v="0"/>
    <n v="0"/>
    <n v="0"/>
    <n v="0"/>
    <n v="300"/>
    <n v="0"/>
    <n v="0"/>
    <n v="0"/>
    <n v="0"/>
    <n v="0"/>
    <n v="0"/>
    <n v="0"/>
    <n v="0"/>
    <n v="0"/>
    <n v="1"/>
    <n v="0"/>
    <n v="0"/>
    <n v="0"/>
    <n v="400"/>
    <n v="407"/>
    <n v="0"/>
    <n v="1801"/>
    <s v="Yes"/>
    <s v=""/>
    <n v="0"/>
    <n v="0"/>
    <s v="Yes"/>
    <s v="KMSS-MYT"/>
    <x v="1"/>
    <x v="1"/>
    <x v="0"/>
    <n v="24.980250000000002"/>
    <n v="97.715230000000005"/>
    <s v="MMR001CMP119"/>
    <x v="1"/>
    <s v="cccm_2019OCT"/>
  </r>
  <r>
    <x v="1"/>
    <x v="5"/>
    <x v="5"/>
    <s v="DFID"/>
    <x v="0"/>
    <x v="3"/>
    <x v="1"/>
    <x v="154"/>
    <n v="70"/>
    <n v="371"/>
    <d v="2018-08-01T00:00:00"/>
    <d v="2020-07-31T00:00:00"/>
    <m/>
    <n v="1"/>
    <m/>
    <m/>
    <s v="Yes"/>
    <n v="10"/>
    <n v="3"/>
    <n v="1"/>
    <m/>
    <m/>
    <n v="0"/>
    <n v="0"/>
    <m/>
    <m/>
    <n v="0"/>
    <m/>
    <m/>
    <n v="0"/>
    <n v="0"/>
    <n v="0"/>
    <n v="0"/>
    <n v="1"/>
    <m/>
    <m/>
    <m/>
    <m/>
    <n v="0"/>
    <n v="0"/>
    <m/>
    <n v="19"/>
    <n v="7"/>
    <s v="Chruch"/>
    <m/>
    <m/>
    <m/>
    <m/>
    <n v="0"/>
    <x v="1"/>
    <x v="1"/>
    <n v="0"/>
    <n v="0"/>
    <n v="0"/>
    <m/>
    <m/>
    <m/>
    <n v="2"/>
    <m/>
    <n v="0"/>
    <n v="4"/>
    <m/>
    <n v="8"/>
    <n v="5"/>
    <m/>
    <m/>
    <m/>
    <m/>
    <m/>
    <m/>
    <m/>
    <m/>
    <m/>
    <m/>
    <m/>
    <m/>
    <m/>
    <s v="no test"/>
    <s v="no test"/>
    <s v="No Test"/>
    <n v="1"/>
    <n v="0"/>
    <n v="0"/>
    <n v="0"/>
    <n v="0"/>
    <n v="0"/>
    <n v="1"/>
    <n v="0.67385444743935308"/>
    <n v="1"/>
    <n v="371"/>
    <n v="0"/>
    <n v="0"/>
    <n v="1"/>
    <n v="371"/>
    <n v="0.74199999999999999"/>
    <n v="0"/>
    <n v="0"/>
    <n v="0.25800000000000001"/>
    <n v="1"/>
    <n v="26"/>
    <n v="1"/>
    <n v="371"/>
    <n v="0"/>
    <n v="0"/>
    <n v="0"/>
    <n v="0"/>
    <n v="19"/>
    <n v="0"/>
    <n v="0"/>
    <n v="0"/>
    <n v="371"/>
    <n v="0"/>
    <n v="0"/>
    <n v="0"/>
    <n v="371"/>
    <n v="1"/>
    <n v="0"/>
    <n v="1"/>
    <n v="0"/>
    <n v="0"/>
    <n v="2"/>
    <n v="40"/>
    <n v="0"/>
    <n v="200"/>
    <s v="No"/>
    <s v=""/>
    <n v="0"/>
    <n v="0"/>
    <s v="Yes"/>
    <s v="Shalom"/>
    <x v="0"/>
    <x v="1"/>
    <x v="1"/>
    <n v="25.635300000000001"/>
    <n v="96.345569999999995"/>
    <s v="MMR001CMP176"/>
    <x v="0"/>
    <s v="cccm_2019OCT"/>
  </r>
  <r>
    <x v="1"/>
    <x v="5"/>
    <x v="5"/>
    <s v="DFID"/>
    <x v="0"/>
    <x v="3"/>
    <x v="1"/>
    <x v="155"/>
    <n v="13"/>
    <n v="83"/>
    <d v="2018-08-01T00:00:00"/>
    <d v="2020-07-31T00:00:00"/>
    <m/>
    <n v="1"/>
    <m/>
    <m/>
    <s v="Yes"/>
    <n v="0"/>
    <n v="1"/>
    <n v="1"/>
    <m/>
    <m/>
    <n v="0"/>
    <n v="0"/>
    <m/>
    <m/>
    <n v="0"/>
    <m/>
    <m/>
    <n v="0"/>
    <n v="0"/>
    <n v="0"/>
    <n v="0"/>
    <n v="0"/>
    <m/>
    <m/>
    <m/>
    <m/>
    <n v="0"/>
    <n v="0"/>
    <m/>
    <n v="5"/>
    <n v="1"/>
    <s v="Shalom"/>
    <m/>
    <m/>
    <m/>
    <m/>
    <n v="0"/>
    <x v="1"/>
    <x v="4"/>
    <n v="0"/>
    <n v="0"/>
    <n v="0"/>
    <m/>
    <m/>
    <m/>
    <n v="3"/>
    <m/>
    <n v="0"/>
    <n v="2"/>
    <m/>
    <n v="1"/>
    <n v="2"/>
    <m/>
    <m/>
    <m/>
    <m/>
    <m/>
    <m/>
    <m/>
    <m/>
    <m/>
    <m/>
    <m/>
    <m/>
    <m/>
    <s v="no test"/>
    <s v="no test"/>
    <s v="No Test"/>
    <n v="1"/>
    <n v="0"/>
    <n v="0"/>
    <n v="0"/>
    <n v="0"/>
    <n v="0"/>
    <n v="1"/>
    <n v="1"/>
    <n v="1"/>
    <n v="83"/>
    <n v="0"/>
    <n v="0"/>
    <n v="1"/>
    <n v="83"/>
    <n v="0.16600000000000001"/>
    <n v="0"/>
    <n v="0"/>
    <n v="0.83399999999999996"/>
    <n v="1"/>
    <n v="6"/>
    <n v="1"/>
    <n v="83"/>
    <n v="0"/>
    <n v="0"/>
    <n v="0"/>
    <n v="0"/>
    <n v="4"/>
    <n v="0"/>
    <n v="0"/>
    <n v="0"/>
    <n v="83"/>
    <n v="0"/>
    <n v="0"/>
    <n v="0"/>
    <n v="83"/>
    <n v="1"/>
    <n v="0"/>
    <n v="1"/>
    <n v="0"/>
    <n v="0"/>
    <n v="3"/>
    <n v="13"/>
    <n v="0"/>
    <n v="83"/>
    <s v="No"/>
    <s v=""/>
    <n v="0"/>
    <n v="0"/>
    <s v="Yes"/>
    <s v="Shalom"/>
    <x v="0"/>
    <x v="1"/>
    <x v="1"/>
    <n v="25.616509000000001"/>
    <n v="96.317350000000005"/>
    <s v="MMR001CMP190"/>
    <x v="0"/>
    <s v="cccm_2019OCT"/>
  </r>
  <r>
    <x v="1"/>
    <x v="0"/>
    <x v="0"/>
    <s v="PLAN(GFFO),MHF13490"/>
    <x v="0"/>
    <x v="0"/>
    <x v="1"/>
    <x v="21"/>
    <n v="101"/>
    <n v="547"/>
    <s v="5-1-2019,10-1-2019"/>
    <s v="9-30-2020,7-31-2020"/>
    <m/>
    <m/>
    <m/>
    <m/>
    <s v="Yes"/>
    <m/>
    <n v="5"/>
    <n v="0"/>
    <m/>
    <m/>
    <n v="2"/>
    <m/>
    <m/>
    <m/>
    <m/>
    <m/>
    <m/>
    <m/>
    <m/>
    <m/>
    <m/>
    <n v="3"/>
    <m/>
    <m/>
    <m/>
    <m/>
    <m/>
    <m/>
    <m/>
    <n v="34"/>
    <m/>
    <m/>
    <m/>
    <m/>
    <m/>
    <m/>
    <n v="34"/>
    <x v="1"/>
    <x v="2"/>
    <m/>
    <m/>
    <m/>
    <m/>
    <m/>
    <m/>
    <n v="2"/>
    <m/>
    <m/>
    <n v="2"/>
    <m/>
    <m/>
    <n v="2"/>
    <m/>
    <m/>
    <m/>
    <m/>
    <m/>
    <m/>
    <m/>
    <m/>
    <m/>
    <m/>
    <m/>
    <m/>
    <m/>
    <s v="no test"/>
    <s v="no test"/>
    <s v="No Test"/>
    <n v="0"/>
    <n v="2"/>
    <n v="0"/>
    <n v="0"/>
    <n v="0"/>
    <n v="0"/>
    <n v="1"/>
    <n v="0.91407678244972579"/>
    <n v="1"/>
    <n v="547"/>
    <n v="0"/>
    <n v="0"/>
    <n v="1"/>
    <n v="547"/>
    <n v="1.0940000000000001"/>
    <n v="0"/>
    <n v="0"/>
    <n v="0"/>
    <n v="1"/>
    <n v="34"/>
    <n v="1"/>
    <n v="547"/>
    <n v="0"/>
    <n v="0"/>
    <n v="0"/>
    <n v="0"/>
    <n v="27"/>
    <n v="0"/>
    <n v="0"/>
    <n v="0"/>
    <n v="547"/>
    <n v="0"/>
    <n v="0"/>
    <n v="0"/>
    <n v="547"/>
    <n v="1"/>
    <n v="0"/>
    <n v="1"/>
    <n v="0"/>
    <n v="0"/>
    <n v="2"/>
    <n v="40"/>
    <n v="0"/>
    <n v="200"/>
    <s v="No"/>
    <s v=""/>
    <n v="0"/>
    <n v="0"/>
    <s v="Yes"/>
    <s v="KBC-MYT"/>
    <x v="0"/>
    <x v="1"/>
    <x v="1"/>
    <n v="25.428910999999999"/>
    <n v="97.418694000000002"/>
    <s v="MMR001CMP008"/>
    <x v="0"/>
    <s v="cccm_2019OCT"/>
  </r>
  <r>
    <x v="1"/>
    <x v="5"/>
    <x v="5"/>
    <s v="DFID"/>
    <x v="0"/>
    <x v="2"/>
    <x v="1"/>
    <x v="167"/>
    <n v="347"/>
    <n v="2065"/>
    <d v="2018-08-01T00:00:00"/>
    <d v="2020-07-31T00:00:00"/>
    <n v="80"/>
    <n v="1"/>
    <m/>
    <m/>
    <s v="Yes"/>
    <n v="1"/>
    <n v="3"/>
    <n v="4"/>
    <m/>
    <m/>
    <n v="3"/>
    <n v="3"/>
    <m/>
    <m/>
    <n v="0"/>
    <m/>
    <m/>
    <n v="0"/>
    <n v="0"/>
    <n v="0"/>
    <n v="0"/>
    <n v="0"/>
    <m/>
    <m/>
    <m/>
    <m/>
    <n v="0"/>
    <n v="0"/>
    <m/>
    <n v="30"/>
    <m/>
    <m/>
    <m/>
    <m/>
    <n v="6"/>
    <m/>
    <n v="0"/>
    <x v="1"/>
    <x v="1"/>
    <n v="0"/>
    <n v="0"/>
    <n v="0"/>
    <m/>
    <m/>
    <m/>
    <n v="20"/>
    <m/>
    <n v="0"/>
    <n v="7"/>
    <m/>
    <n v="0"/>
    <n v="0"/>
    <m/>
    <m/>
    <s v="No"/>
    <m/>
    <m/>
    <m/>
    <m/>
    <m/>
    <m/>
    <m/>
    <m/>
    <m/>
    <m/>
    <s v="no test"/>
    <s v="no test"/>
    <s v="No Test"/>
    <n v="4"/>
    <n v="6"/>
    <n v="0"/>
    <n v="0"/>
    <n v="0"/>
    <n v="0"/>
    <n v="1"/>
    <n v="1"/>
    <n v="1"/>
    <n v="2065"/>
    <n v="0"/>
    <n v="0"/>
    <n v="1"/>
    <n v="2065"/>
    <n v="4.13"/>
    <n v="0"/>
    <n v="0"/>
    <n v="0"/>
    <n v="4"/>
    <n v="30"/>
    <n v="0.29055690072639223"/>
    <n v="600"/>
    <n v="120"/>
    <n v="0"/>
    <n v="0"/>
    <n v="0"/>
    <n v="103"/>
    <n v="73"/>
    <n v="0.70944309927360782"/>
    <n v="0"/>
    <n v="0"/>
    <n v="0"/>
    <n v="0"/>
    <n v="0"/>
    <n v="0"/>
    <n v="0"/>
    <n v="1"/>
    <n v="0"/>
    <n v="0"/>
    <n v="0"/>
    <n v="20"/>
    <n v="347"/>
    <n v="0"/>
    <n v="2000"/>
    <s v="Yes"/>
    <s v=""/>
    <n v="0"/>
    <n v="0"/>
    <s v="Yes"/>
    <s v="Shalom"/>
    <x v="0"/>
    <x v="1"/>
    <x v="1"/>
    <n v="25.424529444444399"/>
    <n v="97.433419259259296"/>
    <s v="MMR001CMP031"/>
    <x v="0"/>
    <s v="cccm_2019OCT"/>
  </r>
  <r>
    <x v="1"/>
    <x v="5"/>
    <x v="5"/>
    <s v="DFID"/>
    <x v="0"/>
    <x v="0"/>
    <x v="1"/>
    <x v="168"/>
    <n v="22"/>
    <n v="92"/>
    <d v="2018-08-01T00:00:00"/>
    <d v="2020-07-31T00:00:00"/>
    <m/>
    <n v="1"/>
    <m/>
    <m/>
    <s v="Yes"/>
    <n v="3"/>
    <n v="7"/>
    <n v="1"/>
    <m/>
    <m/>
    <n v="1"/>
    <n v="1"/>
    <m/>
    <m/>
    <m/>
    <m/>
    <m/>
    <m/>
    <m/>
    <m/>
    <m/>
    <m/>
    <m/>
    <m/>
    <m/>
    <m/>
    <m/>
    <m/>
    <m/>
    <n v="5"/>
    <m/>
    <m/>
    <m/>
    <m/>
    <m/>
    <m/>
    <m/>
    <x v="1"/>
    <x v="2"/>
    <m/>
    <m/>
    <m/>
    <m/>
    <m/>
    <m/>
    <n v="4"/>
    <m/>
    <n v="0"/>
    <n v="2"/>
    <m/>
    <n v="0"/>
    <n v="0"/>
    <m/>
    <m/>
    <m/>
    <m/>
    <m/>
    <m/>
    <m/>
    <m/>
    <m/>
    <m/>
    <m/>
    <m/>
    <m/>
    <s v="no test"/>
    <s v="no test"/>
    <s v="No Test"/>
    <n v="1"/>
    <n v="2"/>
    <n v="0"/>
    <n v="0"/>
    <n v="0"/>
    <n v="0"/>
    <n v="1"/>
    <n v="1"/>
    <n v="1"/>
    <n v="92"/>
    <n v="0"/>
    <n v="0"/>
    <n v="1"/>
    <n v="92"/>
    <n v="0.184"/>
    <n v="0"/>
    <n v="0"/>
    <n v="0.81600000000000006"/>
    <n v="1"/>
    <n v="5"/>
    <n v="1"/>
    <n v="92"/>
    <n v="0"/>
    <n v="0"/>
    <n v="0"/>
    <n v="0"/>
    <n v="5"/>
    <n v="0"/>
    <n v="0"/>
    <n v="0"/>
    <n v="0"/>
    <n v="0"/>
    <n v="0"/>
    <n v="0"/>
    <n v="0"/>
    <n v="0"/>
    <n v="1"/>
    <n v="0"/>
    <n v="0"/>
    <n v="0"/>
    <n v="4"/>
    <n v="22"/>
    <n v="0"/>
    <n v="92"/>
    <s v="No"/>
    <s v=""/>
    <n v="0"/>
    <n v="0"/>
    <s v="Yes"/>
    <s v="Shalom"/>
    <x v="0"/>
    <x v="1"/>
    <x v="1"/>
    <n v="25.374343974359"/>
    <n v="97.2843958974359"/>
    <s v="MMR001CMP020"/>
    <x v="0"/>
    <s v="cccm_2019OCT"/>
  </r>
  <r>
    <x v="1"/>
    <x v="0"/>
    <x v="0"/>
    <m/>
    <x v="0"/>
    <x v="1"/>
    <x v="0"/>
    <x v="40"/>
    <n v="63"/>
    <n v="270"/>
    <m/>
    <m/>
    <m/>
    <m/>
    <m/>
    <m/>
    <m/>
    <m/>
    <n v="5"/>
    <m/>
    <m/>
    <m/>
    <m/>
    <m/>
    <m/>
    <m/>
    <m/>
    <m/>
    <m/>
    <m/>
    <m/>
    <m/>
    <m/>
    <m/>
    <m/>
    <m/>
    <m/>
    <m/>
    <m/>
    <m/>
    <m/>
    <m/>
    <m/>
    <m/>
    <m/>
    <m/>
    <m/>
    <m/>
    <m/>
    <x v="3"/>
    <x v="3"/>
    <m/>
    <m/>
    <m/>
    <m/>
    <m/>
    <m/>
    <m/>
    <m/>
    <m/>
    <m/>
    <m/>
    <m/>
    <m/>
    <m/>
    <m/>
    <m/>
    <m/>
    <m/>
    <m/>
    <m/>
    <m/>
    <m/>
    <m/>
    <m/>
    <m/>
    <m/>
    <s v="no test"/>
    <s v="no test"/>
    <s v="No Test"/>
    <n v="0"/>
    <n v="0"/>
    <n v="0"/>
    <n v="0"/>
    <n v="0"/>
    <n v="0"/>
    <n v="0"/>
    <n v="0"/>
    <n v="0"/>
    <n v="0"/>
    <n v="0"/>
    <n v="0"/>
    <n v="0"/>
    <n v="0"/>
    <n v="0"/>
    <n v="1"/>
    <n v="270"/>
    <n v="1"/>
    <n v="1"/>
    <n v="0"/>
    <n v="0"/>
    <n v="0"/>
    <n v="0"/>
    <n v="0"/>
    <n v="0"/>
    <n v="0"/>
    <n v="14"/>
    <n v="14"/>
    <n v="1"/>
    <n v="0"/>
    <n v="0"/>
    <n v="0"/>
    <n v="0"/>
    <n v="0"/>
    <n v="0"/>
    <n v="0"/>
    <n v="1"/>
    <n v="0"/>
    <n v="0"/>
    <n v="0"/>
    <n v="0"/>
    <n v="0"/>
    <n v="0"/>
    <n v="0"/>
    <s v="No"/>
    <s v=""/>
    <n v="0"/>
    <n v="0"/>
    <n v="0"/>
    <n v="0"/>
    <x v="0"/>
    <x v="0"/>
    <x v="0"/>
    <n v="0"/>
    <n v="0"/>
    <n v="0"/>
    <x v="0"/>
    <n v="0"/>
  </r>
  <r>
    <x v="1"/>
    <x v="5"/>
    <x v="5"/>
    <s v="DFID"/>
    <x v="0"/>
    <x v="0"/>
    <x v="1"/>
    <x v="169"/>
    <n v="21"/>
    <n v="123"/>
    <d v="2018-08-01T00:00:00"/>
    <d v="2020-07-31T00:00:00"/>
    <m/>
    <n v="1"/>
    <m/>
    <m/>
    <s v="Yes"/>
    <n v="1"/>
    <n v="4"/>
    <n v="0"/>
    <m/>
    <m/>
    <n v="1"/>
    <m/>
    <m/>
    <m/>
    <m/>
    <m/>
    <m/>
    <m/>
    <m/>
    <m/>
    <n v="1"/>
    <n v="1"/>
    <m/>
    <m/>
    <m/>
    <m/>
    <m/>
    <m/>
    <m/>
    <n v="6"/>
    <n v="5"/>
    <s v="Chruch"/>
    <m/>
    <m/>
    <m/>
    <m/>
    <m/>
    <x v="1"/>
    <x v="2"/>
    <m/>
    <m/>
    <m/>
    <m/>
    <m/>
    <m/>
    <n v="1"/>
    <m/>
    <n v="0"/>
    <n v="2"/>
    <m/>
    <n v="1"/>
    <n v="0"/>
    <m/>
    <m/>
    <m/>
    <m/>
    <m/>
    <m/>
    <m/>
    <m/>
    <m/>
    <m/>
    <m/>
    <m/>
    <m/>
    <s v="no test"/>
    <s v="no test"/>
    <s v="No Test"/>
    <n v="0"/>
    <n v="1"/>
    <n v="0"/>
    <n v="0"/>
    <n v="0"/>
    <n v="0"/>
    <n v="1"/>
    <n v="1"/>
    <n v="1"/>
    <n v="123"/>
    <n v="0"/>
    <n v="0"/>
    <n v="1"/>
    <n v="123"/>
    <n v="0.246"/>
    <n v="0"/>
    <n v="0"/>
    <n v="0.754"/>
    <n v="1"/>
    <n v="11"/>
    <n v="1"/>
    <n v="123"/>
    <n v="0"/>
    <n v="0"/>
    <n v="0"/>
    <n v="0"/>
    <n v="6"/>
    <n v="0"/>
    <n v="0"/>
    <n v="0"/>
    <n v="123"/>
    <n v="0"/>
    <n v="0"/>
    <n v="0"/>
    <n v="123"/>
    <n v="1"/>
    <n v="0"/>
    <n v="1"/>
    <n v="0"/>
    <n v="0"/>
    <n v="1"/>
    <n v="20"/>
    <n v="0"/>
    <n v="100"/>
    <s v="No"/>
    <s v=""/>
    <n v="0"/>
    <n v="0"/>
    <s v="Yes"/>
    <s v="Shalom"/>
    <x v="0"/>
    <x v="1"/>
    <x v="1"/>
    <n v="25.371049444444399"/>
    <n v="97.290952037037002"/>
    <s v="MMR001CMP021"/>
    <x v="0"/>
    <s v="cccm_2019OCT"/>
  </r>
  <r>
    <x v="1"/>
    <x v="1"/>
    <x v="1"/>
    <s v="HARP/UNICEF"/>
    <x v="0"/>
    <x v="0"/>
    <x v="1"/>
    <x v="60"/>
    <n v="63"/>
    <n v="309"/>
    <s v="3-1-2019, 12-11-2019"/>
    <s v="12-31-2020, 12-10-2020"/>
    <n v="18"/>
    <m/>
    <m/>
    <m/>
    <s v="Yes"/>
    <m/>
    <m/>
    <m/>
    <m/>
    <m/>
    <n v="4"/>
    <m/>
    <m/>
    <m/>
    <m/>
    <m/>
    <m/>
    <m/>
    <m/>
    <m/>
    <m/>
    <m/>
    <m/>
    <m/>
    <m/>
    <m/>
    <m/>
    <m/>
    <m/>
    <n v="20"/>
    <m/>
    <m/>
    <m/>
    <m/>
    <m/>
    <m/>
    <m/>
    <x v="1"/>
    <x v="1"/>
    <n v="1"/>
    <m/>
    <m/>
    <m/>
    <m/>
    <m/>
    <m/>
    <m/>
    <m/>
    <n v="2"/>
    <m/>
    <n v="1"/>
    <n v="1"/>
    <m/>
    <m/>
    <m/>
    <m/>
    <m/>
    <m/>
    <m/>
    <m/>
    <m/>
    <m/>
    <m/>
    <m/>
    <m/>
    <s v="no test"/>
    <s v="no test"/>
    <s v="No Test"/>
    <n v="0"/>
    <n v="4"/>
    <n v="0"/>
    <n v="0"/>
    <n v="0"/>
    <n v="0"/>
    <n v="1"/>
    <n v="1"/>
    <n v="1"/>
    <n v="309"/>
    <n v="0"/>
    <n v="0"/>
    <n v="1"/>
    <n v="309"/>
    <n v="0.61799999999999999"/>
    <n v="0"/>
    <n v="0"/>
    <n v="0.38200000000000001"/>
    <n v="1"/>
    <n v="20"/>
    <n v="1"/>
    <n v="309"/>
    <n v="0"/>
    <n v="0"/>
    <n v="0"/>
    <n v="0"/>
    <n v="15"/>
    <n v="0"/>
    <n v="0"/>
    <n v="0"/>
    <n v="309"/>
    <n v="0"/>
    <n v="0"/>
    <n v="0"/>
    <n v="309"/>
    <n v="1"/>
    <n v="0"/>
    <n v="1"/>
    <n v="0"/>
    <n v="0"/>
    <n v="0"/>
    <n v="0"/>
    <n v="0"/>
    <n v="0"/>
    <s v="Yes"/>
    <s v=""/>
    <n v="0"/>
    <n v="0"/>
    <s v="Yes"/>
    <s v="KMSS-MYT"/>
    <x v="0"/>
    <x v="1"/>
    <x v="1"/>
    <n v="25.410569299999999"/>
    <n v="97.359320179999997"/>
    <s v="MMR001CMP024"/>
    <x v="0"/>
    <s v="cccm_2019OCT"/>
  </r>
  <r>
    <x v="1"/>
    <x v="0"/>
    <x v="0"/>
    <s v="PLAN(GFFO),MHF13490"/>
    <x v="0"/>
    <x v="0"/>
    <x v="1"/>
    <x v="28"/>
    <n v="67"/>
    <n v="281"/>
    <s v="5-1-2019,10-1-2019"/>
    <s v="9-30-2020,7-31-2020"/>
    <m/>
    <m/>
    <m/>
    <m/>
    <s v="Yes"/>
    <m/>
    <n v="4"/>
    <n v="1"/>
    <m/>
    <m/>
    <n v="2"/>
    <m/>
    <m/>
    <m/>
    <m/>
    <m/>
    <m/>
    <m/>
    <m/>
    <m/>
    <m/>
    <n v="3"/>
    <m/>
    <m/>
    <m/>
    <m/>
    <m/>
    <m/>
    <m/>
    <n v="15"/>
    <m/>
    <m/>
    <m/>
    <m/>
    <m/>
    <m/>
    <n v="15"/>
    <x v="1"/>
    <x v="1"/>
    <m/>
    <m/>
    <m/>
    <m/>
    <m/>
    <m/>
    <n v="6"/>
    <m/>
    <m/>
    <n v="2"/>
    <m/>
    <m/>
    <n v="1"/>
    <m/>
    <m/>
    <m/>
    <m/>
    <m/>
    <m/>
    <m/>
    <m/>
    <m/>
    <m/>
    <m/>
    <m/>
    <m/>
    <s v="no test"/>
    <s v="no test"/>
    <s v="No Test"/>
    <n v="1"/>
    <n v="2"/>
    <n v="0"/>
    <n v="0"/>
    <n v="0"/>
    <n v="0"/>
    <n v="1"/>
    <n v="1"/>
    <n v="1"/>
    <n v="281"/>
    <n v="0"/>
    <n v="0"/>
    <n v="1"/>
    <n v="281"/>
    <n v="0.56200000000000006"/>
    <n v="0"/>
    <n v="0"/>
    <n v="0.43799999999999994"/>
    <n v="1"/>
    <n v="15"/>
    <n v="1"/>
    <n v="281"/>
    <n v="0"/>
    <n v="0"/>
    <n v="0"/>
    <n v="0"/>
    <n v="14"/>
    <n v="0"/>
    <n v="0"/>
    <n v="0"/>
    <n v="281"/>
    <n v="0"/>
    <n v="0"/>
    <n v="0"/>
    <n v="281"/>
    <n v="1"/>
    <n v="0"/>
    <n v="1"/>
    <n v="0"/>
    <n v="0"/>
    <n v="6"/>
    <n v="67"/>
    <n v="0"/>
    <n v="281"/>
    <s v="No"/>
    <s v=""/>
    <n v="0"/>
    <n v="0"/>
    <s v="Yes"/>
    <s v="KBC-MYT"/>
    <x v="0"/>
    <x v="1"/>
    <x v="1"/>
    <n v="25.422194000000001"/>
    <n v="97.394547000000003"/>
    <s v="MMR001CMP002"/>
    <x v="0"/>
    <s v="cccm_2019OCT"/>
  </r>
  <r>
    <x v="1"/>
    <x v="1"/>
    <x v="1"/>
    <s v="HARP/UNICEF"/>
    <x v="0"/>
    <x v="0"/>
    <x v="1"/>
    <x v="62"/>
    <n v="147"/>
    <n v="882"/>
    <s v="3-1-2019, 12-11-2019"/>
    <s v="12-31-2020, 12-10-2020"/>
    <n v="72"/>
    <n v="2"/>
    <m/>
    <m/>
    <s v="Yes"/>
    <n v="3"/>
    <n v="4"/>
    <n v="5"/>
    <n v="1"/>
    <m/>
    <n v="2"/>
    <m/>
    <m/>
    <m/>
    <n v="5"/>
    <m/>
    <n v="1"/>
    <m/>
    <m/>
    <m/>
    <m/>
    <m/>
    <n v="4"/>
    <n v="2"/>
    <n v="4"/>
    <n v="1"/>
    <m/>
    <m/>
    <m/>
    <n v="74"/>
    <m/>
    <m/>
    <m/>
    <m/>
    <m/>
    <m/>
    <m/>
    <x v="1"/>
    <x v="1"/>
    <m/>
    <m/>
    <m/>
    <m/>
    <m/>
    <m/>
    <m/>
    <m/>
    <m/>
    <n v="13"/>
    <m/>
    <m/>
    <n v="4"/>
    <m/>
    <m/>
    <m/>
    <m/>
    <m/>
    <m/>
    <m/>
    <m/>
    <m/>
    <m/>
    <m/>
    <m/>
    <m/>
    <n v="0.5"/>
    <n v="0.25"/>
    <s v="Tested"/>
    <n v="4"/>
    <n v="2"/>
    <n v="5"/>
    <n v="0"/>
    <n v="0"/>
    <n v="0"/>
    <n v="1"/>
    <n v="1"/>
    <n v="1"/>
    <n v="882"/>
    <n v="0"/>
    <n v="0"/>
    <n v="1"/>
    <n v="882"/>
    <n v="1.764"/>
    <n v="0"/>
    <n v="0"/>
    <n v="0.23599999999999999"/>
    <n v="2"/>
    <n v="74"/>
    <n v="1"/>
    <n v="882"/>
    <n v="0"/>
    <n v="0"/>
    <n v="0"/>
    <n v="0"/>
    <n v="44"/>
    <n v="0"/>
    <n v="0"/>
    <n v="0"/>
    <n v="882"/>
    <n v="0"/>
    <n v="0"/>
    <n v="0"/>
    <n v="882"/>
    <n v="1"/>
    <n v="0"/>
    <n v="1"/>
    <n v="0"/>
    <n v="0"/>
    <n v="0"/>
    <n v="0"/>
    <n v="0"/>
    <n v="0"/>
    <s v="Yes"/>
    <s v=""/>
    <n v="0"/>
    <n v="0"/>
    <s v="Yes"/>
    <s v="KMSS-MYT"/>
    <x v="0"/>
    <x v="1"/>
    <x v="1"/>
    <n v="25.493819999999999"/>
    <n v="97.4345"/>
    <s v="MMR001CMP162"/>
    <x v="0"/>
    <s v="cccm_2019OCT"/>
  </r>
  <r>
    <x v="1"/>
    <x v="1"/>
    <x v="1"/>
    <s v="HARP/UNICEF"/>
    <x v="0"/>
    <x v="0"/>
    <x v="1"/>
    <x v="63"/>
    <n v="255"/>
    <n v="1374"/>
    <s v="3-1-2019, 12-11-2019"/>
    <s v="12-31-2020, 12-10-2020"/>
    <m/>
    <m/>
    <m/>
    <m/>
    <m/>
    <m/>
    <m/>
    <n v="2"/>
    <m/>
    <n v="1"/>
    <m/>
    <m/>
    <m/>
    <m/>
    <n v="2"/>
    <m/>
    <m/>
    <m/>
    <m/>
    <m/>
    <m/>
    <m/>
    <n v="4"/>
    <m/>
    <n v="4"/>
    <n v="2"/>
    <m/>
    <m/>
    <m/>
    <n v="62"/>
    <m/>
    <m/>
    <m/>
    <m/>
    <m/>
    <m/>
    <m/>
    <x v="1"/>
    <x v="1"/>
    <n v="1"/>
    <m/>
    <n v="62"/>
    <m/>
    <m/>
    <m/>
    <m/>
    <m/>
    <n v="7"/>
    <n v="7"/>
    <m/>
    <m/>
    <m/>
    <m/>
    <m/>
    <m/>
    <n v="6"/>
    <m/>
    <m/>
    <m/>
    <m/>
    <m/>
    <m/>
    <m/>
    <m/>
    <m/>
    <n v="0"/>
    <n v="0.5"/>
    <s v="Tested"/>
    <n v="2"/>
    <n v="0"/>
    <n v="2"/>
    <n v="0"/>
    <n v="0"/>
    <n v="0"/>
    <n v="0.67928190198932559"/>
    <n v="0.46094129063561379"/>
    <n v="0.67928190198932559"/>
    <n v="933.33333333333337"/>
    <n v="0"/>
    <n v="0"/>
    <n v="0.67928190198932559"/>
    <n v="933.33333333333337"/>
    <n v="1.8666666666666667"/>
    <n v="0.32071809801067441"/>
    <n v="440.66666666666663"/>
    <n v="1.1333333333333333"/>
    <n v="3"/>
    <n v="62"/>
    <n v="0.91703056768558955"/>
    <n v="1260"/>
    <n v="0"/>
    <n v="0"/>
    <n v="0"/>
    <n v="0"/>
    <n v="69"/>
    <n v="7"/>
    <n v="8.2969432314410452E-2"/>
    <n v="0"/>
    <n v="0"/>
    <n v="0"/>
    <n v="0"/>
    <n v="0"/>
    <n v="0"/>
    <n v="0"/>
    <n v="1"/>
    <n v="0"/>
    <n v="0"/>
    <n v="0"/>
    <n v="0"/>
    <n v="0"/>
    <n v="0"/>
    <n v="0"/>
    <s v="No"/>
    <s v=""/>
    <n v="0"/>
    <n v="0"/>
    <s v="Yes"/>
    <s v="KMSS-MYT"/>
    <x v="0"/>
    <x v="1"/>
    <x v="1"/>
    <n v="25.493819999999999"/>
    <n v="97.4345"/>
    <s v="MMR001CMP271"/>
    <x v="0"/>
    <s v="cccm_2019OCT"/>
  </r>
  <r>
    <x v="1"/>
    <x v="1"/>
    <x v="1"/>
    <s v="HARP,UNICEF"/>
    <x v="0"/>
    <x v="2"/>
    <x v="1"/>
    <x v="57"/>
    <n v="283"/>
    <n v="1481"/>
    <s v="3-1-2019, 12-11-2019"/>
    <s v="12-31-2020, 12-10-2020"/>
    <n v="85"/>
    <m/>
    <m/>
    <m/>
    <s v="Yes"/>
    <m/>
    <m/>
    <n v="10"/>
    <m/>
    <m/>
    <m/>
    <m/>
    <m/>
    <m/>
    <m/>
    <m/>
    <m/>
    <m/>
    <m/>
    <m/>
    <m/>
    <m/>
    <m/>
    <n v="2"/>
    <n v="1"/>
    <m/>
    <n v="2"/>
    <m/>
    <m/>
    <n v="97"/>
    <m/>
    <m/>
    <m/>
    <m/>
    <m/>
    <m/>
    <m/>
    <x v="1"/>
    <x v="1"/>
    <n v="4"/>
    <m/>
    <m/>
    <m/>
    <m/>
    <m/>
    <m/>
    <m/>
    <m/>
    <n v="6"/>
    <m/>
    <m/>
    <n v="4"/>
    <m/>
    <m/>
    <s v="No"/>
    <m/>
    <m/>
    <m/>
    <m/>
    <m/>
    <m/>
    <m/>
    <m/>
    <m/>
    <m/>
    <s v="no test"/>
    <n v="0"/>
    <s v="Tested"/>
    <n v="10"/>
    <n v="0"/>
    <n v="0"/>
    <n v="0"/>
    <n v="0"/>
    <n v="0"/>
    <n v="1"/>
    <n v="1"/>
    <n v="1"/>
    <n v="1481"/>
    <n v="0"/>
    <n v="0"/>
    <n v="1"/>
    <n v="1481"/>
    <n v="2.9620000000000002"/>
    <n v="0"/>
    <n v="0"/>
    <n v="3.7999999999999812E-2"/>
    <n v="3"/>
    <n v="97"/>
    <n v="1"/>
    <n v="1481"/>
    <n v="0"/>
    <n v="0"/>
    <n v="0"/>
    <n v="0"/>
    <n v="74"/>
    <n v="0"/>
    <n v="0"/>
    <n v="0"/>
    <n v="1481"/>
    <n v="0"/>
    <n v="0"/>
    <n v="0"/>
    <n v="1481"/>
    <n v="1"/>
    <n v="0"/>
    <n v="1"/>
    <n v="0"/>
    <n v="0"/>
    <n v="0"/>
    <n v="0"/>
    <n v="0"/>
    <n v="0"/>
    <s v="Yes"/>
    <s v=""/>
    <n v="0"/>
    <n v="0"/>
    <s v="Yes"/>
    <s v="KMSS-MYT"/>
    <x v="0"/>
    <x v="1"/>
    <x v="1"/>
    <n v="25.415667500000001"/>
    <n v="97.437782499999997"/>
    <s v="MMR001CMP029"/>
    <x v="0"/>
    <s v="cccm_2019OCT"/>
  </r>
  <r>
    <x v="1"/>
    <x v="0"/>
    <x v="0"/>
    <m/>
    <x v="0"/>
    <x v="1"/>
    <x v="0"/>
    <x v="47"/>
    <n v="78"/>
    <n v="324"/>
    <m/>
    <m/>
    <n v="442"/>
    <m/>
    <m/>
    <m/>
    <m/>
    <m/>
    <m/>
    <m/>
    <m/>
    <m/>
    <m/>
    <m/>
    <m/>
    <m/>
    <m/>
    <m/>
    <m/>
    <m/>
    <m/>
    <m/>
    <m/>
    <n v="0"/>
    <m/>
    <m/>
    <m/>
    <m/>
    <m/>
    <m/>
    <m/>
    <m/>
    <m/>
    <m/>
    <m/>
    <m/>
    <m/>
    <m/>
    <m/>
    <x v="1"/>
    <x v="3"/>
    <m/>
    <m/>
    <m/>
    <m/>
    <m/>
    <m/>
    <m/>
    <m/>
    <m/>
    <n v="0"/>
    <m/>
    <m/>
    <m/>
    <m/>
    <m/>
    <m/>
    <m/>
    <m/>
    <m/>
    <m/>
    <m/>
    <m/>
    <m/>
    <m/>
    <m/>
    <m/>
    <s v="no test"/>
    <s v="no test"/>
    <s v="No Test"/>
    <n v="0"/>
    <n v="0"/>
    <n v="0"/>
    <n v="0"/>
    <n v="0"/>
    <n v="0"/>
    <n v="0"/>
    <n v="0"/>
    <n v="0"/>
    <n v="0"/>
    <n v="0"/>
    <n v="0"/>
    <n v="0"/>
    <n v="0"/>
    <n v="0"/>
    <n v="1"/>
    <n v="324"/>
    <n v="1"/>
    <n v="1"/>
    <n v="0"/>
    <n v="0"/>
    <n v="0"/>
    <n v="0"/>
    <n v="0"/>
    <n v="0"/>
    <n v="0"/>
    <n v="16"/>
    <n v="16"/>
    <n v="1"/>
    <n v="0"/>
    <n v="0"/>
    <n v="0"/>
    <n v="0"/>
    <n v="0"/>
    <n v="0"/>
    <n v="0"/>
    <n v="1"/>
    <n v="0"/>
    <n v="0"/>
    <n v="0"/>
    <n v="0"/>
    <n v="0"/>
    <n v="0"/>
    <n v="0"/>
    <s v="Yes"/>
    <s v=""/>
    <n v="0"/>
    <n v="0"/>
    <n v="0"/>
    <n v="0"/>
    <x v="0"/>
    <x v="0"/>
    <x v="0"/>
    <n v="0"/>
    <n v="0"/>
    <n v="0"/>
    <x v="0"/>
    <n v="0"/>
  </r>
  <r>
    <x v="1"/>
    <x v="0"/>
    <x v="0"/>
    <s v="PLAN(GFFO),MHF13490"/>
    <x v="0"/>
    <x v="2"/>
    <x v="1"/>
    <x v="17"/>
    <n v="494"/>
    <n v="2500"/>
    <s v="5-1-2019,10-1-2019"/>
    <s v="9-30-2020,7-31-2020"/>
    <m/>
    <m/>
    <m/>
    <m/>
    <s v="Yes"/>
    <m/>
    <m/>
    <n v="9"/>
    <m/>
    <m/>
    <n v="2"/>
    <m/>
    <m/>
    <m/>
    <m/>
    <m/>
    <m/>
    <n v="9000"/>
    <m/>
    <m/>
    <m/>
    <n v="9"/>
    <m/>
    <m/>
    <m/>
    <m/>
    <m/>
    <m/>
    <m/>
    <n v="130"/>
    <m/>
    <m/>
    <m/>
    <m/>
    <m/>
    <m/>
    <n v="130"/>
    <x v="1"/>
    <x v="1"/>
    <m/>
    <m/>
    <m/>
    <m/>
    <m/>
    <m/>
    <n v="2"/>
    <m/>
    <m/>
    <n v="6"/>
    <m/>
    <m/>
    <n v="5"/>
    <m/>
    <m/>
    <m/>
    <m/>
    <m/>
    <m/>
    <m/>
    <m/>
    <m/>
    <m/>
    <m/>
    <m/>
    <m/>
    <s v="no test"/>
    <s v="no test"/>
    <s v="No Test"/>
    <n v="9"/>
    <n v="2"/>
    <n v="0"/>
    <n v="6.666666666666667"/>
    <n v="0"/>
    <n v="0"/>
    <n v="1"/>
    <n v="1"/>
    <n v="1"/>
    <n v="2500"/>
    <n v="0"/>
    <n v="0"/>
    <n v="1"/>
    <n v="2500"/>
    <n v="5"/>
    <n v="0"/>
    <n v="0"/>
    <n v="0"/>
    <n v="5"/>
    <n v="130"/>
    <n v="1"/>
    <n v="2500"/>
    <n v="0"/>
    <n v="0"/>
    <n v="0"/>
    <n v="0"/>
    <n v="125"/>
    <n v="0"/>
    <n v="0"/>
    <n v="0"/>
    <n v="2500"/>
    <n v="0"/>
    <n v="0"/>
    <n v="0"/>
    <n v="2500"/>
    <n v="1"/>
    <n v="0"/>
    <n v="1"/>
    <n v="0"/>
    <n v="0"/>
    <n v="2"/>
    <n v="40"/>
    <n v="0"/>
    <n v="200"/>
    <s v="No"/>
    <s v=""/>
    <n v="0"/>
    <n v="0"/>
    <s v="Yes"/>
    <s v="KBC-MYT"/>
    <x v="0"/>
    <x v="1"/>
    <x v="1"/>
    <n v="25.4118005797101"/>
    <n v="97.434855869565197"/>
    <s v="MMR001CMP040"/>
    <x v="0"/>
    <s v="cccm_2019OCT"/>
  </r>
  <r>
    <x v="1"/>
    <x v="1"/>
    <x v="1"/>
    <s v="HARP,UNICEF"/>
    <x v="0"/>
    <x v="7"/>
    <x v="1"/>
    <x v="49"/>
    <n v="101"/>
    <n v="458"/>
    <s v="3-1-2019, 12-11-2019"/>
    <s v="12-31-2020, 12-10-2020"/>
    <n v="125"/>
    <n v="2"/>
    <m/>
    <m/>
    <s v="Yes"/>
    <m/>
    <m/>
    <m/>
    <m/>
    <m/>
    <m/>
    <m/>
    <m/>
    <m/>
    <n v="1"/>
    <m/>
    <m/>
    <m/>
    <m/>
    <m/>
    <m/>
    <m/>
    <m/>
    <m/>
    <m/>
    <m/>
    <n v="3"/>
    <m/>
    <m/>
    <n v="86"/>
    <m/>
    <m/>
    <m/>
    <m/>
    <m/>
    <m/>
    <m/>
    <x v="1"/>
    <x v="1"/>
    <n v="1"/>
    <m/>
    <m/>
    <m/>
    <m/>
    <m/>
    <m/>
    <m/>
    <m/>
    <n v="3"/>
    <m/>
    <m/>
    <n v="2"/>
    <m/>
    <m/>
    <s v="No"/>
    <m/>
    <m/>
    <m/>
    <m/>
    <m/>
    <m/>
    <m/>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86"/>
    <n v="1"/>
    <n v="458"/>
    <n v="0"/>
    <n v="0"/>
    <n v="0"/>
    <n v="0"/>
    <n v="23"/>
    <n v="0"/>
    <n v="0"/>
    <n v="0"/>
    <n v="458"/>
    <n v="0"/>
    <n v="0"/>
    <n v="0"/>
    <n v="458"/>
    <n v="1"/>
    <n v="0"/>
    <n v="1"/>
    <n v="0"/>
    <n v="0"/>
    <n v="0"/>
    <n v="0"/>
    <n v="0"/>
    <n v="0"/>
    <s v="Yes"/>
    <s v=""/>
    <n v="0"/>
    <n v="0"/>
    <s v="Yes"/>
    <s v="KMSS-MYT"/>
    <x v="0"/>
    <x v="1"/>
    <x v="0"/>
    <n v="24.461033"/>
    <n v="97.537099999999995"/>
    <s v="MMR001CMP123"/>
    <x v="0"/>
    <s v="cccm_2019OCT"/>
  </r>
  <r>
    <x v="1"/>
    <x v="1"/>
    <x v="1"/>
    <s v="UNICEF"/>
    <x v="0"/>
    <x v="0"/>
    <x v="0"/>
    <x v="200"/>
    <n v="26"/>
    <n v="130"/>
    <d v="2019-12-11T00:00:00"/>
    <d v="2020-12-10T00:00:00"/>
    <m/>
    <n v="1"/>
    <m/>
    <m/>
    <s v="Yes"/>
    <n v="2"/>
    <n v="1"/>
    <m/>
    <m/>
    <m/>
    <n v="2"/>
    <m/>
    <m/>
    <n v="1"/>
    <m/>
    <m/>
    <m/>
    <m/>
    <m/>
    <m/>
    <m/>
    <m/>
    <m/>
    <m/>
    <m/>
    <m/>
    <m/>
    <m/>
    <m/>
    <n v="4"/>
    <m/>
    <m/>
    <m/>
    <m/>
    <m/>
    <m/>
    <m/>
    <x v="1"/>
    <x v="4"/>
    <m/>
    <m/>
    <m/>
    <m/>
    <m/>
    <m/>
    <m/>
    <m/>
    <m/>
    <m/>
    <m/>
    <m/>
    <m/>
    <n v="6"/>
    <m/>
    <s v="No"/>
    <m/>
    <m/>
    <m/>
    <m/>
    <m/>
    <m/>
    <m/>
    <m/>
    <m/>
    <m/>
    <s v="no test"/>
    <s v="no test"/>
    <s v="No Test"/>
    <n v="0"/>
    <n v="2"/>
    <n v="0"/>
    <n v="0"/>
    <n v="0"/>
    <n v="0"/>
    <n v="1"/>
    <n v="1"/>
    <n v="1"/>
    <n v="130"/>
    <n v="0"/>
    <n v="0"/>
    <n v="1"/>
    <n v="130"/>
    <n v="0.26"/>
    <n v="0"/>
    <n v="0"/>
    <n v="0.74"/>
    <n v="1"/>
    <n v="4"/>
    <n v="0.61538461538461542"/>
    <n v="80"/>
    <n v="0"/>
    <n v="0"/>
    <n v="0"/>
    <n v="0"/>
    <n v="7"/>
    <n v="3"/>
    <n v="0.38461538461538458"/>
    <n v="0"/>
    <n v="0"/>
    <n v="30"/>
    <n v="0"/>
    <n v="30"/>
    <n v="30"/>
    <n v="0.23076923076923078"/>
    <n v="0.76923076923076916"/>
    <n v="0"/>
    <n v="0.92307692307692313"/>
    <n v="0"/>
    <n v="0"/>
    <n v="0"/>
    <n v="0"/>
    <n v="0"/>
    <s v="No"/>
    <s v=""/>
    <n v="0"/>
    <n v="0"/>
    <n v="0"/>
    <n v="0"/>
    <x v="0"/>
    <x v="1"/>
    <x v="1"/>
    <n v="0"/>
    <n v="0"/>
    <n v="0"/>
    <x v="0"/>
    <n v="0"/>
  </r>
  <r>
    <x v="1"/>
    <x v="4"/>
    <x v="4"/>
    <m/>
    <x v="0"/>
    <x v="0"/>
    <x v="1"/>
    <x v="146"/>
    <n v="30"/>
    <n v="159"/>
    <m/>
    <m/>
    <m/>
    <m/>
    <m/>
    <m/>
    <m/>
    <m/>
    <n v="4"/>
    <m/>
    <m/>
    <m/>
    <m/>
    <m/>
    <m/>
    <m/>
    <m/>
    <m/>
    <m/>
    <m/>
    <m/>
    <m/>
    <m/>
    <m/>
    <m/>
    <m/>
    <m/>
    <m/>
    <m/>
    <m/>
    <m/>
    <m/>
    <m/>
    <m/>
    <m/>
    <m/>
    <m/>
    <m/>
    <m/>
    <x v="0"/>
    <x v="0"/>
    <m/>
    <m/>
    <m/>
    <m/>
    <m/>
    <m/>
    <m/>
    <m/>
    <m/>
    <m/>
    <m/>
    <m/>
    <m/>
    <m/>
    <m/>
    <m/>
    <m/>
    <m/>
    <m/>
    <m/>
    <m/>
    <m/>
    <m/>
    <m/>
    <m/>
    <m/>
    <s v="no test"/>
    <s v="no test"/>
    <s v="No Test"/>
    <n v="0"/>
    <n v="0"/>
    <n v="0"/>
    <n v="0"/>
    <n v="0"/>
    <n v="0"/>
    <n v="0"/>
    <n v="0"/>
    <n v="0"/>
    <n v="0"/>
    <n v="0"/>
    <n v="0"/>
    <n v="0"/>
    <n v="0"/>
    <n v="0"/>
    <n v="1"/>
    <n v="159"/>
    <n v="1"/>
    <n v="1"/>
    <n v="0"/>
    <n v="0"/>
    <n v="0"/>
    <n v="0"/>
    <n v="0"/>
    <n v="0"/>
    <n v="0"/>
    <n v="8"/>
    <n v="8"/>
    <n v="1"/>
    <n v="0"/>
    <n v="0"/>
    <n v="0"/>
    <n v="0"/>
    <n v="0"/>
    <n v="0"/>
    <n v="0"/>
    <n v="1"/>
    <n v="0"/>
    <n v="0"/>
    <n v="0"/>
    <n v="0"/>
    <n v="0"/>
    <n v="0"/>
    <n v="0"/>
    <s v="No"/>
    <s v=""/>
    <n v="0"/>
    <n v="0"/>
    <n v="0"/>
    <s v="uncovered"/>
    <x v="0"/>
    <x v="0"/>
    <x v="1"/>
    <n v="25.387892000000001"/>
    <n v="97.325181999999998"/>
    <s v="MMR001CMP276"/>
    <x v="1"/>
    <s v="cccm_2019OCT"/>
  </r>
  <r>
    <x v="1"/>
    <x v="9"/>
    <x v="9"/>
    <s v="(WHH-AA, USAID, MHF),UNICEF"/>
    <x v="0"/>
    <x v="7"/>
    <x v="0"/>
    <x v="69"/>
    <n v="126"/>
    <n v="571"/>
    <s v="(10-1-2018, 9-30-2019, 6-1-2020), 4-1-2019 "/>
    <s v="(9-30-2020, 8-31-2020, 11-30-2020), 4-30-2020"/>
    <n v="127"/>
    <m/>
    <n v="4"/>
    <m/>
    <s v="Yes"/>
    <n v="2"/>
    <n v="3"/>
    <n v="1"/>
    <m/>
    <m/>
    <n v="1"/>
    <n v="1"/>
    <m/>
    <m/>
    <m/>
    <m/>
    <m/>
    <m/>
    <m/>
    <m/>
    <m/>
    <m/>
    <m/>
    <m/>
    <n v="2"/>
    <n v="2"/>
    <n v="2"/>
    <m/>
    <s v="Water safety plan need to install"/>
    <n v="28"/>
    <m/>
    <m/>
    <m/>
    <m/>
    <m/>
    <m/>
    <m/>
    <x v="1"/>
    <x v="1"/>
    <m/>
    <m/>
    <n v="3"/>
    <m/>
    <m/>
    <m/>
    <n v="12"/>
    <m/>
    <m/>
    <n v="3"/>
    <m/>
    <m/>
    <n v="4"/>
    <n v="126"/>
    <n v="214"/>
    <s v="No"/>
    <m/>
    <m/>
    <s v="need more hygiene items especially MHM Kits"/>
    <n v="1"/>
    <n v="1"/>
    <n v="571"/>
    <n v="1"/>
    <m/>
    <m/>
    <m/>
    <s v="no test"/>
    <n v="1"/>
    <s v="Tested"/>
    <n v="1"/>
    <n v="2"/>
    <n v="0"/>
    <n v="0"/>
    <n v="0"/>
    <n v="0"/>
    <n v="1"/>
    <n v="1"/>
    <n v="1"/>
    <n v="571"/>
    <n v="0"/>
    <n v="0"/>
    <n v="1"/>
    <n v="571"/>
    <n v="1.1419999999999999"/>
    <n v="0"/>
    <n v="0"/>
    <n v="0"/>
    <n v="1"/>
    <n v="28"/>
    <n v="0.98073555166374782"/>
    <n v="560"/>
    <n v="0"/>
    <n v="127"/>
    <n v="0"/>
    <n v="127"/>
    <n v="29"/>
    <n v="1"/>
    <n v="1.9264448336252182E-2"/>
    <n v="0"/>
    <n v="571"/>
    <n v="571"/>
    <n v="214"/>
    <n v="571"/>
    <n v="571"/>
    <n v="1"/>
    <n v="0"/>
    <n v="1"/>
    <n v="1"/>
    <n v="1"/>
    <n v="12"/>
    <n v="126"/>
    <n v="0"/>
    <n v="571"/>
    <s v="Yes"/>
    <n v="1"/>
    <n v="0"/>
    <n v="127"/>
    <n v="0"/>
    <n v="0"/>
    <x v="0"/>
    <x v="1"/>
    <x v="1"/>
    <n v="0"/>
    <n v="0"/>
    <n v="0"/>
    <x v="0"/>
    <n v="0"/>
  </r>
  <r>
    <x v="1"/>
    <x v="0"/>
    <x v="0"/>
    <s v="PLAN(GFFO),MHF13490"/>
    <x v="0"/>
    <x v="0"/>
    <x v="1"/>
    <x v="37"/>
    <n v="107"/>
    <n v="534"/>
    <s v="5-1-2019,10-1-2019"/>
    <s v="9-30-2020,7-31-2020"/>
    <m/>
    <m/>
    <m/>
    <m/>
    <s v="Yes"/>
    <m/>
    <n v="4"/>
    <n v="1"/>
    <m/>
    <m/>
    <n v="1"/>
    <m/>
    <m/>
    <m/>
    <m/>
    <m/>
    <m/>
    <m/>
    <m/>
    <m/>
    <m/>
    <n v="2"/>
    <m/>
    <m/>
    <m/>
    <m/>
    <m/>
    <m/>
    <m/>
    <n v="13"/>
    <m/>
    <m/>
    <m/>
    <m/>
    <m/>
    <m/>
    <n v="13"/>
    <x v="1"/>
    <x v="1"/>
    <m/>
    <m/>
    <m/>
    <m/>
    <m/>
    <m/>
    <n v="4"/>
    <m/>
    <m/>
    <n v="2"/>
    <m/>
    <m/>
    <n v="2"/>
    <m/>
    <m/>
    <m/>
    <m/>
    <m/>
    <m/>
    <m/>
    <m/>
    <m/>
    <m/>
    <m/>
    <m/>
    <m/>
    <s v="no test"/>
    <s v="no test"/>
    <s v="No Test"/>
    <n v="1"/>
    <n v="1"/>
    <n v="0"/>
    <n v="0"/>
    <n v="0"/>
    <n v="0"/>
    <n v="1"/>
    <n v="0.93632958801498123"/>
    <n v="1"/>
    <n v="534"/>
    <n v="0"/>
    <n v="0"/>
    <n v="1"/>
    <n v="534"/>
    <n v="1.0680000000000001"/>
    <n v="0"/>
    <n v="0"/>
    <n v="0"/>
    <n v="1"/>
    <n v="13"/>
    <n v="0.48689138576779029"/>
    <n v="260"/>
    <n v="0"/>
    <n v="0"/>
    <n v="0"/>
    <n v="0"/>
    <n v="27"/>
    <n v="14"/>
    <n v="0.51310861423220966"/>
    <n v="0"/>
    <n v="534"/>
    <n v="0"/>
    <n v="0"/>
    <n v="0"/>
    <n v="534"/>
    <n v="1"/>
    <n v="0"/>
    <n v="1"/>
    <n v="0"/>
    <n v="0"/>
    <n v="4"/>
    <n v="80"/>
    <n v="0"/>
    <n v="400"/>
    <s v="No"/>
    <s v=""/>
    <n v="0"/>
    <n v="0"/>
    <s v="Yes"/>
    <s v="KBC-MYT"/>
    <x v="0"/>
    <x v="1"/>
    <x v="1"/>
    <n v="25.412313000000001"/>
    <n v="97.399628000000007"/>
    <s v="MMR001CMP006"/>
    <x v="0"/>
    <s v="cccm_2019OCT"/>
  </r>
  <r>
    <x v="1"/>
    <x v="5"/>
    <x v="5"/>
    <s v="DFID"/>
    <x v="0"/>
    <x v="3"/>
    <x v="1"/>
    <x v="156"/>
    <n v="36"/>
    <n v="228"/>
    <d v="2018-08-01T00:00:00"/>
    <d v="2020-07-31T00:00:00"/>
    <m/>
    <n v="1"/>
    <m/>
    <m/>
    <s v="Yes"/>
    <n v="2"/>
    <n v="2"/>
    <n v="2"/>
    <m/>
    <m/>
    <n v="0"/>
    <n v="0"/>
    <m/>
    <m/>
    <n v="0"/>
    <m/>
    <m/>
    <n v="0"/>
    <n v="0"/>
    <n v="0"/>
    <n v="0"/>
    <n v="1"/>
    <m/>
    <m/>
    <m/>
    <m/>
    <n v="0"/>
    <n v="0"/>
    <m/>
    <n v="10"/>
    <n v="0"/>
    <s v="Shalom"/>
    <m/>
    <m/>
    <m/>
    <m/>
    <n v="0"/>
    <x v="1"/>
    <x v="1"/>
    <n v="0"/>
    <n v="0"/>
    <n v="0"/>
    <m/>
    <m/>
    <m/>
    <n v="0"/>
    <m/>
    <n v="0"/>
    <n v="3"/>
    <m/>
    <n v="2"/>
    <n v="2"/>
    <m/>
    <m/>
    <m/>
    <m/>
    <m/>
    <m/>
    <m/>
    <m/>
    <m/>
    <m/>
    <m/>
    <m/>
    <m/>
    <s v="no test"/>
    <s v="no test"/>
    <s v="No Test"/>
    <n v="2"/>
    <n v="0"/>
    <n v="0"/>
    <n v="0"/>
    <n v="0"/>
    <n v="0"/>
    <n v="1"/>
    <n v="1"/>
    <n v="1"/>
    <n v="228"/>
    <n v="0"/>
    <n v="0"/>
    <n v="1"/>
    <n v="228"/>
    <n v="0.45600000000000002"/>
    <n v="0"/>
    <n v="0"/>
    <n v="0.54400000000000004"/>
    <n v="1"/>
    <n v="10"/>
    <n v="0.8771929824561403"/>
    <n v="200"/>
    <n v="0"/>
    <n v="0"/>
    <n v="0"/>
    <n v="0"/>
    <n v="11"/>
    <n v="1"/>
    <n v="0.1228070175438597"/>
    <n v="0"/>
    <n v="228"/>
    <n v="0"/>
    <n v="0"/>
    <n v="0"/>
    <n v="228"/>
    <n v="1"/>
    <n v="0"/>
    <n v="1"/>
    <n v="0"/>
    <n v="0"/>
    <n v="0"/>
    <n v="0"/>
    <n v="0"/>
    <n v="0"/>
    <s v="No"/>
    <s v=""/>
    <n v="0"/>
    <n v="0"/>
    <s v="Yes"/>
    <s v="KBC-MYT"/>
    <x v="0"/>
    <x v="1"/>
    <x v="1"/>
    <n v="25.647649999999999"/>
    <n v="96.346469999999997"/>
    <s v="MMR001CMP169"/>
    <x v="0"/>
    <s v="cccm_2019OCT"/>
  </r>
  <r>
    <x v="1"/>
    <x v="1"/>
    <x v="1"/>
    <s v="UNICEF"/>
    <x v="0"/>
    <x v="6"/>
    <x v="1"/>
    <x v="54"/>
    <n v="79"/>
    <n v="396"/>
    <d v="2019-12-11T00:00:00"/>
    <d v="2020-12-10T00:00:00"/>
    <n v="24"/>
    <m/>
    <m/>
    <m/>
    <s v="Yes"/>
    <n v="2"/>
    <n v="1"/>
    <n v="2"/>
    <m/>
    <m/>
    <m/>
    <m/>
    <m/>
    <m/>
    <n v="2"/>
    <m/>
    <m/>
    <m/>
    <m/>
    <m/>
    <m/>
    <m/>
    <n v="1"/>
    <n v="1"/>
    <m/>
    <m/>
    <m/>
    <m/>
    <s v="Water points are facing contamination of flood water due to heavy rain"/>
    <n v="16"/>
    <m/>
    <m/>
    <m/>
    <n v="6"/>
    <m/>
    <m/>
    <m/>
    <x v="1"/>
    <x v="2"/>
    <m/>
    <m/>
    <n v="16"/>
    <m/>
    <m/>
    <m/>
    <m/>
    <m/>
    <n v="2"/>
    <n v="2"/>
    <m/>
    <m/>
    <n v="1"/>
    <n v="6"/>
    <m/>
    <m/>
    <m/>
    <m/>
    <m/>
    <n v="0.4"/>
    <n v="0.3"/>
    <m/>
    <n v="0.1"/>
    <n v="16"/>
    <n v="6"/>
    <n v="2"/>
    <n v="1"/>
    <s v="no test"/>
    <s v="Tested"/>
    <n v="2"/>
    <n v="0"/>
    <n v="2"/>
    <n v="0"/>
    <n v="0"/>
    <n v="0"/>
    <n v="1"/>
    <n v="1"/>
    <n v="1"/>
    <n v="396"/>
    <n v="0"/>
    <n v="0"/>
    <n v="1"/>
    <n v="396"/>
    <n v="0.79200000000000004"/>
    <n v="0"/>
    <n v="0"/>
    <n v="0.20799999999999996"/>
    <n v="1"/>
    <n v="16"/>
    <n v="0.80808080808080807"/>
    <n v="320"/>
    <n v="0"/>
    <n v="24"/>
    <n v="0"/>
    <n v="24"/>
    <n v="20"/>
    <n v="4"/>
    <n v="0.19191919191919193"/>
    <n v="0"/>
    <n v="396"/>
    <n v="30"/>
    <n v="0"/>
    <n v="30"/>
    <n v="396"/>
    <n v="1"/>
    <n v="0"/>
    <n v="1"/>
    <n v="0.30379746835443039"/>
    <n v="0"/>
    <n v="0"/>
    <n v="0"/>
    <n v="0"/>
    <n v="0"/>
    <s v="Yes"/>
    <s v=""/>
    <n v="24"/>
    <n v="24"/>
    <n v="0"/>
    <s v="KMSS-MYT"/>
    <x v="0"/>
    <x v="1"/>
    <x v="1"/>
    <n v="25.383465999999999"/>
    <n v="97.013800000000003"/>
    <s v="MMR001CMP260"/>
    <x v="0"/>
    <s v="cccm_2019OCT"/>
  </r>
  <r>
    <x v="1"/>
    <x v="5"/>
    <x v="5"/>
    <s v="DFID"/>
    <x v="0"/>
    <x v="3"/>
    <x v="1"/>
    <x v="157"/>
    <n v="6"/>
    <n v="31"/>
    <d v="2018-08-01T00:00:00"/>
    <d v="2020-07-31T00:00:00"/>
    <m/>
    <n v="1"/>
    <m/>
    <m/>
    <s v="Yes"/>
    <n v="1"/>
    <n v="2"/>
    <n v="0"/>
    <m/>
    <m/>
    <n v="0"/>
    <n v="0"/>
    <m/>
    <m/>
    <n v="0"/>
    <m/>
    <m/>
    <n v="0"/>
    <n v="0"/>
    <n v="0"/>
    <n v="0"/>
    <n v="0"/>
    <m/>
    <m/>
    <m/>
    <m/>
    <n v="0"/>
    <n v="0"/>
    <m/>
    <n v="2"/>
    <n v="0"/>
    <s v="Shalom"/>
    <m/>
    <m/>
    <m/>
    <m/>
    <n v="0"/>
    <x v="1"/>
    <x v="4"/>
    <n v="0"/>
    <n v="0"/>
    <n v="0"/>
    <m/>
    <m/>
    <m/>
    <n v="0"/>
    <m/>
    <n v="0"/>
    <n v="1"/>
    <m/>
    <n v="1"/>
    <n v="2"/>
    <m/>
    <m/>
    <m/>
    <m/>
    <m/>
    <m/>
    <m/>
    <m/>
    <m/>
    <m/>
    <m/>
    <m/>
    <m/>
    <s v="no test"/>
    <s v="no test"/>
    <s v="No Test"/>
    <n v="0"/>
    <n v="0"/>
    <n v="0"/>
    <n v="0"/>
    <n v="0"/>
    <n v="0"/>
    <n v="0"/>
    <n v="0"/>
    <n v="0"/>
    <n v="0"/>
    <n v="0"/>
    <n v="0"/>
    <n v="0"/>
    <n v="0"/>
    <n v="0"/>
    <n v="1"/>
    <n v="31"/>
    <n v="1"/>
    <n v="1"/>
    <n v="2"/>
    <n v="1"/>
    <n v="31"/>
    <n v="0"/>
    <n v="0"/>
    <n v="0"/>
    <n v="0"/>
    <n v="2"/>
    <n v="0"/>
    <n v="0"/>
    <n v="0"/>
    <n v="31"/>
    <n v="0"/>
    <n v="0"/>
    <n v="0"/>
    <n v="31"/>
    <n v="1"/>
    <n v="0"/>
    <n v="1"/>
    <n v="0"/>
    <n v="0"/>
    <n v="0"/>
    <n v="0"/>
    <n v="0"/>
    <n v="0"/>
    <s v="No"/>
    <s v=""/>
    <n v="0"/>
    <n v="0"/>
    <s v="Yes"/>
    <s v="Shalom"/>
    <x v="0"/>
    <x v="0"/>
    <x v="1"/>
    <n v="25.582065"/>
    <n v="96.283377000000002"/>
    <s v="MMR001CMP109"/>
    <x v="0"/>
    <s v="cccm_2019OCT"/>
  </r>
  <r>
    <x v="1"/>
    <x v="5"/>
    <x v="5"/>
    <s v="DFID"/>
    <x v="0"/>
    <x v="3"/>
    <x v="1"/>
    <x v="159"/>
    <n v="70"/>
    <n v="377"/>
    <d v="2018-08-01T00:00:00"/>
    <d v="2020-07-31T00:00:00"/>
    <m/>
    <n v="1"/>
    <m/>
    <m/>
    <s v="Yes"/>
    <n v="4"/>
    <n v="4"/>
    <n v="0"/>
    <m/>
    <m/>
    <n v="0"/>
    <n v="0"/>
    <m/>
    <m/>
    <n v="0"/>
    <m/>
    <m/>
    <n v="0"/>
    <n v="0"/>
    <n v="0"/>
    <n v="0"/>
    <n v="0"/>
    <m/>
    <m/>
    <m/>
    <m/>
    <n v="0"/>
    <n v="0"/>
    <m/>
    <n v="22"/>
    <n v="0"/>
    <s v="Shalom"/>
    <m/>
    <m/>
    <m/>
    <m/>
    <n v="0"/>
    <x v="1"/>
    <x v="1"/>
    <n v="0"/>
    <n v="1"/>
    <n v="0"/>
    <m/>
    <m/>
    <m/>
    <n v="8"/>
    <n v="4"/>
    <n v="0"/>
    <n v="3"/>
    <m/>
    <n v="2"/>
    <n v="3"/>
    <m/>
    <m/>
    <m/>
    <m/>
    <m/>
    <m/>
    <m/>
    <m/>
    <m/>
    <m/>
    <m/>
    <m/>
    <m/>
    <s v="no test"/>
    <s v="no test"/>
    <s v="No Test"/>
    <n v="0"/>
    <n v="0"/>
    <n v="0"/>
    <n v="0"/>
    <n v="0"/>
    <n v="0"/>
    <n v="0"/>
    <n v="0"/>
    <n v="0"/>
    <n v="0"/>
    <n v="0"/>
    <n v="0"/>
    <n v="0"/>
    <n v="0"/>
    <n v="0"/>
    <n v="1"/>
    <n v="377"/>
    <n v="1"/>
    <n v="1"/>
    <n v="22"/>
    <n v="1"/>
    <n v="377"/>
    <n v="0"/>
    <n v="0"/>
    <n v="0"/>
    <n v="0"/>
    <n v="19"/>
    <n v="0"/>
    <n v="0"/>
    <n v="0"/>
    <n v="377"/>
    <n v="0"/>
    <n v="0"/>
    <n v="0"/>
    <n v="377"/>
    <n v="1"/>
    <n v="0"/>
    <n v="1"/>
    <n v="0"/>
    <n v="0"/>
    <n v="4"/>
    <n v="70"/>
    <n v="0"/>
    <n v="377"/>
    <s v="No"/>
    <s v=""/>
    <n v="0"/>
    <n v="0"/>
    <s v="Yes"/>
    <s v="Shalom"/>
    <x v="0"/>
    <x v="1"/>
    <x v="1"/>
    <n v="25.637309999999999"/>
    <n v="96.35257"/>
    <s v="MMR001CMP174"/>
    <x v="0"/>
    <s v="cccm_2019OCT"/>
  </r>
  <r>
    <x v="1"/>
    <x v="0"/>
    <x v="0"/>
    <s v="PLAN(GFFO),MHF13490"/>
    <x v="0"/>
    <x v="2"/>
    <x v="1"/>
    <x v="18"/>
    <n v="43"/>
    <n v="191"/>
    <s v="5-1-2019,10-1-2019"/>
    <s v="9-30-2020,7-31-2020"/>
    <m/>
    <m/>
    <m/>
    <m/>
    <s v="Yes"/>
    <m/>
    <n v="4"/>
    <n v="1"/>
    <m/>
    <m/>
    <n v="0"/>
    <m/>
    <m/>
    <m/>
    <m/>
    <m/>
    <m/>
    <m/>
    <m/>
    <m/>
    <m/>
    <n v="2"/>
    <m/>
    <m/>
    <m/>
    <m/>
    <m/>
    <m/>
    <m/>
    <n v="10"/>
    <m/>
    <m/>
    <m/>
    <m/>
    <m/>
    <m/>
    <n v="10"/>
    <x v="1"/>
    <x v="1"/>
    <m/>
    <m/>
    <m/>
    <m/>
    <m/>
    <m/>
    <n v="2"/>
    <m/>
    <m/>
    <n v="2"/>
    <m/>
    <m/>
    <n v="1"/>
    <m/>
    <m/>
    <m/>
    <m/>
    <m/>
    <m/>
    <m/>
    <m/>
    <m/>
    <m/>
    <m/>
    <m/>
    <m/>
    <s v="no test"/>
    <s v="no test"/>
    <s v="No Test"/>
    <n v="1"/>
    <n v="0"/>
    <n v="0"/>
    <n v="0"/>
    <n v="0"/>
    <n v="0"/>
    <n v="1"/>
    <n v="1"/>
    <n v="1"/>
    <n v="191"/>
    <n v="0"/>
    <n v="0"/>
    <n v="1"/>
    <n v="191"/>
    <n v="0.38200000000000001"/>
    <n v="0"/>
    <n v="0"/>
    <n v="0.61799999999999999"/>
    <n v="1"/>
    <n v="10"/>
    <n v="1"/>
    <n v="191"/>
    <n v="0"/>
    <n v="0"/>
    <n v="0"/>
    <n v="0"/>
    <n v="10"/>
    <n v="0"/>
    <n v="0"/>
    <n v="0"/>
    <n v="191"/>
    <n v="0"/>
    <n v="0"/>
    <n v="0"/>
    <n v="191"/>
    <n v="1"/>
    <n v="0"/>
    <n v="1"/>
    <n v="0"/>
    <n v="0"/>
    <n v="2"/>
    <n v="40"/>
    <n v="0"/>
    <n v="191"/>
    <s v="No"/>
    <s v=""/>
    <n v="0"/>
    <n v="0"/>
    <s v="Yes"/>
    <s v="KBC-MYT"/>
    <x v="0"/>
    <x v="1"/>
    <x v="1"/>
    <n v="25.409612685185198"/>
    <n v="97.426536944444507"/>
    <s v="MMR001CMP039"/>
    <x v="0"/>
    <s v="cccm_2019OCT"/>
  </r>
  <r>
    <x v="1"/>
    <x v="1"/>
    <x v="1"/>
    <s v="HARP"/>
    <x v="0"/>
    <x v="9"/>
    <x v="1"/>
    <x v="58"/>
    <n v="154"/>
    <n v="694"/>
    <d v="2019-03-01T00:00:00"/>
    <d v="2020-12-31T00:00:00"/>
    <m/>
    <m/>
    <m/>
    <m/>
    <s v="Yes"/>
    <m/>
    <n v="4"/>
    <n v="1"/>
    <m/>
    <m/>
    <n v="3"/>
    <n v="2"/>
    <m/>
    <m/>
    <m/>
    <m/>
    <m/>
    <m/>
    <m/>
    <m/>
    <m/>
    <m/>
    <m/>
    <m/>
    <m/>
    <m/>
    <m/>
    <m/>
    <m/>
    <n v="61"/>
    <m/>
    <m/>
    <m/>
    <m/>
    <m/>
    <m/>
    <m/>
    <x v="1"/>
    <x v="1"/>
    <m/>
    <m/>
    <m/>
    <m/>
    <m/>
    <m/>
    <n v="10"/>
    <m/>
    <m/>
    <n v="7"/>
    <m/>
    <m/>
    <n v="2"/>
    <m/>
    <m/>
    <m/>
    <m/>
    <m/>
    <m/>
    <m/>
    <m/>
    <m/>
    <m/>
    <m/>
    <m/>
    <m/>
    <s v="no test"/>
    <s v="no test"/>
    <s v="No Test"/>
    <n v="1"/>
    <n v="5"/>
    <n v="0"/>
    <n v="0"/>
    <n v="0"/>
    <n v="0"/>
    <n v="1"/>
    <n v="1"/>
    <n v="1"/>
    <n v="694"/>
    <n v="0"/>
    <n v="0"/>
    <n v="1"/>
    <n v="694"/>
    <n v="1.3879999999999999"/>
    <n v="0"/>
    <n v="0"/>
    <n v="0"/>
    <n v="1"/>
    <n v="61"/>
    <n v="1"/>
    <n v="694"/>
    <n v="0"/>
    <n v="0"/>
    <n v="0"/>
    <n v="0"/>
    <n v="35"/>
    <n v="0"/>
    <n v="0"/>
    <n v="0"/>
    <n v="694"/>
    <n v="0"/>
    <n v="0"/>
    <n v="0"/>
    <n v="694"/>
    <n v="1"/>
    <n v="0"/>
    <n v="1"/>
    <n v="0"/>
    <n v="0"/>
    <n v="10"/>
    <n v="154"/>
    <n v="0"/>
    <n v="694"/>
    <s v="No"/>
    <s v=""/>
    <n v="0"/>
    <n v="0"/>
    <s v="Yes"/>
    <s v="KMSS-BMO"/>
    <x v="0"/>
    <x v="1"/>
    <x v="1"/>
    <n v="23.976571"/>
    <n v="97.227057000000002"/>
    <s v="MMR001CMP223"/>
    <x v="0"/>
    <s v="cccm_2019OCT"/>
  </r>
  <r>
    <x v="1"/>
    <x v="1"/>
    <x v="1"/>
    <s v="UNICEF"/>
    <x v="0"/>
    <x v="6"/>
    <x v="1"/>
    <x v="59"/>
    <n v="45"/>
    <n v="235"/>
    <d v="2019-12-11T00:00:00"/>
    <d v="2020-12-10T00:00:00"/>
    <n v="24"/>
    <n v="1"/>
    <m/>
    <m/>
    <s v="Yes"/>
    <m/>
    <n v="1"/>
    <n v="1"/>
    <m/>
    <m/>
    <m/>
    <n v="2"/>
    <m/>
    <m/>
    <n v="1"/>
    <m/>
    <m/>
    <m/>
    <m/>
    <m/>
    <m/>
    <m/>
    <n v="1"/>
    <n v="1"/>
    <m/>
    <m/>
    <m/>
    <m/>
    <s v="Water points are facing contamination of flood water due to heavy rain"/>
    <n v="16"/>
    <m/>
    <m/>
    <m/>
    <n v="6"/>
    <m/>
    <m/>
    <m/>
    <x v="1"/>
    <x v="4"/>
    <m/>
    <m/>
    <m/>
    <m/>
    <m/>
    <m/>
    <m/>
    <m/>
    <n v="2"/>
    <n v="2"/>
    <m/>
    <n v="1"/>
    <m/>
    <n v="6"/>
    <m/>
    <m/>
    <m/>
    <m/>
    <m/>
    <m/>
    <n v="0.45"/>
    <m/>
    <n v="0.1"/>
    <n v="6"/>
    <n v="6"/>
    <n v="2"/>
    <n v="1"/>
    <s v="no test"/>
    <s v="Tested"/>
    <n v="1"/>
    <n v="2"/>
    <n v="1"/>
    <n v="0"/>
    <n v="0"/>
    <n v="0"/>
    <n v="1"/>
    <n v="1"/>
    <n v="1"/>
    <n v="235"/>
    <n v="0"/>
    <n v="0"/>
    <n v="1"/>
    <n v="235"/>
    <n v="0.47"/>
    <n v="0"/>
    <n v="0"/>
    <n v="0.53"/>
    <n v="1"/>
    <n v="16"/>
    <n v="1"/>
    <n v="235"/>
    <n v="0"/>
    <n v="0"/>
    <n v="0"/>
    <n v="0"/>
    <n v="12"/>
    <n v="0"/>
    <n v="0"/>
    <n v="0"/>
    <n v="235"/>
    <n v="30"/>
    <n v="0"/>
    <n v="30"/>
    <n v="235"/>
    <n v="1"/>
    <n v="0"/>
    <n v="1"/>
    <n v="0.53333333333333333"/>
    <n v="0"/>
    <n v="0"/>
    <n v="0"/>
    <n v="0"/>
    <n v="0"/>
    <s v="Yes"/>
    <s v=""/>
    <n v="14"/>
    <n v="0"/>
    <n v="0"/>
    <s v="KMSS-MYT"/>
    <x v="0"/>
    <x v="1"/>
    <x v="1"/>
    <n v="25.370330525559201"/>
    <n v="97.010629910000006"/>
    <s v="MMR001CMP259"/>
    <x v="0"/>
    <s v="cccm_2019OCT"/>
  </r>
  <r>
    <x v="1"/>
    <x v="5"/>
    <x v="5"/>
    <s v="DFID"/>
    <x v="0"/>
    <x v="0"/>
    <x v="1"/>
    <x v="175"/>
    <n v="24"/>
    <n v="111"/>
    <d v="2018-08-01T00:00:00"/>
    <d v="2020-07-31T00:00:00"/>
    <m/>
    <n v="1"/>
    <m/>
    <m/>
    <s v="Yes"/>
    <n v="1"/>
    <n v="3"/>
    <n v="1"/>
    <m/>
    <m/>
    <n v="0"/>
    <n v="1"/>
    <m/>
    <m/>
    <m/>
    <m/>
    <m/>
    <m/>
    <m/>
    <m/>
    <m/>
    <m/>
    <m/>
    <m/>
    <m/>
    <m/>
    <m/>
    <m/>
    <m/>
    <n v="7"/>
    <n v="5"/>
    <s v="Chruch"/>
    <m/>
    <m/>
    <m/>
    <m/>
    <m/>
    <x v="1"/>
    <x v="2"/>
    <m/>
    <m/>
    <m/>
    <m/>
    <m/>
    <m/>
    <n v="4"/>
    <m/>
    <n v="0"/>
    <n v="1"/>
    <m/>
    <n v="0"/>
    <n v="0"/>
    <m/>
    <m/>
    <m/>
    <m/>
    <m/>
    <m/>
    <m/>
    <m/>
    <m/>
    <m/>
    <m/>
    <m/>
    <m/>
    <s v="no test"/>
    <s v="no test"/>
    <s v="No Test"/>
    <n v="1"/>
    <n v="1"/>
    <n v="0"/>
    <n v="0"/>
    <n v="0"/>
    <n v="0"/>
    <n v="1"/>
    <n v="1"/>
    <n v="1"/>
    <n v="111"/>
    <n v="0"/>
    <n v="0"/>
    <n v="1"/>
    <n v="111"/>
    <n v="0.222"/>
    <n v="0"/>
    <n v="0"/>
    <n v="0.77800000000000002"/>
    <n v="1"/>
    <n v="12"/>
    <n v="1"/>
    <n v="111"/>
    <n v="0"/>
    <n v="0"/>
    <n v="0"/>
    <n v="0"/>
    <n v="6"/>
    <n v="0"/>
    <n v="0"/>
    <n v="0"/>
    <n v="0"/>
    <n v="0"/>
    <n v="0"/>
    <n v="0"/>
    <n v="0"/>
    <n v="0"/>
    <n v="1"/>
    <n v="0"/>
    <n v="0"/>
    <n v="0"/>
    <n v="4"/>
    <n v="24"/>
    <n v="0"/>
    <n v="111"/>
    <s v="No"/>
    <s v=""/>
    <n v="0"/>
    <n v="0"/>
    <s v="Yes"/>
    <s v="Shalom"/>
    <x v="0"/>
    <x v="1"/>
    <x v="1"/>
    <n v="25.423817"/>
    <n v="97.418004999999994"/>
    <s v="MMR001CMP007"/>
    <x v="0"/>
    <s v="cccm_2019OCT"/>
  </r>
  <r>
    <x v="1"/>
    <x v="0"/>
    <x v="0"/>
    <s v="PLAN(GFFO),MHF13490"/>
    <x v="0"/>
    <x v="3"/>
    <x v="1"/>
    <x v="4"/>
    <n v="31"/>
    <n v="132"/>
    <s v="5-1-2019,10-1-2019"/>
    <s v="9-30-2020,7-31-2020"/>
    <m/>
    <m/>
    <m/>
    <m/>
    <s v="Yes"/>
    <m/>
    <n v="1"/>
    <n v="0"/>
    <m/>
    <m/>
    <n v="1"/>
    <m/>
    <m/>
    <m/>
    <m/>
    <m/>
    <m/>
    <m/>
    <m/>
    <m/>
    <m/>
    <n v="0"/>
    <m/>
    <m/>
    <m/>
    <m/>
    <m/>
    <m/>
    <m/>
    <n v="9"/>
    <m/>
    <m/>
    <m/>
    <m/>
    <m/>
    <m/>
    <n v="4"/>
    <x v="1"/>
    <x v="1"/>
    <m/>
    <m/>
    <m/>
    <m/>
    <m/>
    <m/>
    <n v="1"/>
    <m/>
    <m/>
    <n v="2"/>
    <m/>
    <m/>
    <n v="1"/>
    <m/>
    <m/>
    <m/>
    <m/>
    <m/>
    <m/>
    <m/>
    <m/>
    <m/>
    <m/>
    <m/>
    <m/>
    <m/>
    <s v="no test"/>
    <s v="no test"/>
    <s v="No Test"/>
    <n v="0"/>
    <n v="1"/>
    <n v="0"/>
    <n v="0"/>
    <n v="0"/>
    <n v="0"/>
    <n v="1"/>
    <n v="1"/>
    <n v="1"/>
    <n v="132"/>
    <n v="0"/>
    <n v="0"/>
    <n v="1"/>
    <n v="132"/>
    <n v="0.26400000000000001"/>
    <n v="0"/>
    <n v="0"/>
    <n v="0.73599999999999999"/>
    <n v="1"/>
    <n v="9"/>
    <n v="1"/>
    <n v="132"/>
    <n v="0"/>
    <n v="0"/>
    <n v="0"/>
    <n v="0"/>
    <n v="7"/>
    <n v="0"/>
    <n v="0"/>
    <n v="0"/>
    <n v="132"/>
    <n v="0"/>
    <n v="0"/>
    <n v="0"/>
    <n v="132"/>
    <n v="1"/>
    <n v="0"/>
    <n v="1"/>
    <n v="0"/>
    <n v="0"/>
    <n v="1"/>
    <n v="20"/>
    <n v="0"/>
    <n v="100"/>
    <s v="No"/>
    <s v=""/>
    <n v="0"/>
    <n v="0"/>
    <s v="Yes"/>
    <s v="KBC-MYT"/>
    <x v="0"/>
    <x v="1"/>
    <x v="1"/>
    <n v="25.51352"/>
    <n v="96.705960000000005"/>
    <s v="MMR001CMP148"/>
    <x v="0"/>
    <s v="cccm_2019OCT"/>
  </r>
  <r>
    <x v="1"/>
    <x v="0"/>
    <x v="0"/>
    <s v="PLAN(GFFO),MHF13490"/>
    <x v="0"/>
    <x v="0"/>
    <x v="1"/>
    <x v="39"/>
    <n v="93"/>
    <n v="499"/>
    <s v="5-1-2019,10-1-2019"/>
    <s v="9-30-2020,7-31-2020"/>
    <m/>
    <m/>
    <m/>
    <m/>
    <s v="Yes"/>
    <m/>
    <n v="5"/>
    <n v="2"/>
    <m/>
    <m/>
    <n v="2"/>
    <m/>
    <m/>
    <m/>
    <m/>
    <m/>
    <m/>
    <m/>
    <m/>
    <m/>
    <m/>
    <n v="2"/>
    <m/>
    <m/>
    <m/>
    <m/>
    <m/>
    <m/>
    <m/>
    <n v="17"/>
    <m/>
    <m/>
    <m/>
    <m/>
    <m/>
    <m/>
    <n v="17"/>
    <x v="1"/>
    <x v="1"/>
    <m/>
    <m/>
    <m/>
    <m/>
    <m/>
    <m/>
    <n v="4"/>
    <m/>
    <m/>
    <n v="2"/>
    <m/>
    <m/>
    <n v="2"/>
    <m/>
    <m/>
    <m/>
    <m/>
    <m/>
    <m/>
    <m/>
    <m/>
    <m/>
    <m/>
    <m/>
    <m/>
    <m/>
    <s v="no test"/>
    <s v="no test"/>
    <s v="No Test"/>
    <n v="2"/>
    <n v="2"/>
    <n v="0"/>
    <n v="0"/>
    <n v="0"/>
    <n v="0"/>
    <n v="1"/>
    <n v="1"/>
    <n v="1"/>
    <n v="499"/>
    <n v="0"/>
    <n v="0"/>
    <n v="1"/>
    <n v="499"/>
    <n v="0.998"/>
    <n v="0"/>
    <n v="0"/>
    <n v="2.0000000000000018E-3"/>
    <n v="1"/>
    <n v="17"/>
    <n v="0.68136272545090182"/>
    <n v="340"/>
    <n v="0"/>
    <n v="0"/>
    <n v="0"/>
    <n v="0"/>
    <n v="25"/>
    <n v="8"/>
    <n v="0.31863727454909818"/>
    <n v="0"/>
    <n v="499"/>
    <n v="0"/>
    <n v="0"/>
    <n v="0"/>
    <n v="499"/>
    <n v="1"/>
    <n v="0"/>
    <n v="1"/>
    <n v="0"/>
    <n v="0"/>
    <n v="4"/>
    <n v="80"/>
    <n v="0"/>
    <n v="400"/>
    <s v="No"/>
    <s v=""/>
    <n v="0"/>
    <n v="0"/>
    <s v="Yes"/>
    <s v="KBC-MYT"/>
    <x v="0"/>
    <x v="1"/>
    <x v="1"/>
    <n v="25.440928"/>
    <n v="97.419403000000003"/>
    <s v="MMR001CMP009"/>
    <x v="0"/>
    <s v="cccm_2019OCT"/>
  </r>
  <r>
    <x v="1"/>
    <x v="0"/>
    <x v="0"/>
    <s v="PLAN(GFFO),MHF13490"/>
    <x v="0"/>
    <x v="0"/>
    <x v="1"/>
    <x v="41"/>
    <n v="69"/>
    <n v="351"/>
    <s v="5-1-2019,10-1-2019"/>
    <s v="9-30-2020,7-31-2020"/>
    <m/>
    <m/>
    <m/>
    <m/>
    <s v="Yes"/>
    <m/>
    <n v="4"/>
    <n v="0"/>
    <m/>
    <m/>
    <n v="2"/>
    <m/>
    <m/>
    <m/>
    <m/>
    <m/>
    <m/>
    <m/>
    <m/>
    <m/>
    <m/>
    <n v="2"/>
    <m/>
    <m/>
    <m/>
    <m/>
    <m/>
    <m/>
    <m/>
    <n v="11"/>
    <m/>
    <m/>
    <m/>
    <m/>
    <m/>
    <m/>
    <n v="11"/>
    <x v="1"/>
    <x v="1"/>
    <m/>
    <m/>
    <m/>
    <m/>
    <m/>
    <m/>
    <n v="2"/>
    <m/>
    <m/>
    <n v="2"/>
    <m/>
    <m/>
    <n v="1"/>
    <m/>
    <m/>
    <m/>
    <m/>
    <m/>
    <m/>
    <m/>
    <m/>
    <m/>
    <m/>
    <m/>
    <m/>
    <m/>
    <s v="no test"/>
    <s v="no test"/>
    <s v="No Test"/>
    <n v="0"/>
    <n v="2"/>
    <n v="0"/>
    <n v="0"/>
    <n v="0"/>
    <n v="0"/>
    <n v="1"/>
    <n v="1"/>
    <n v="1"/>
    <n v="351"/>
    <n v="0"/>
    <n v="0"/>
    <n v="1"/>
    <n v="351"/>
    <n v="0.70199999999999996"/>
    <n v="0"/>
    <n v="0"/>
    <n v="0.29800000000000004"/>
    <n v="1"/>
    <n v="11"/>
    <n v="0.62678062678062674"/>
    <n v="220"/>
    <n v="0"/>
    <n v="0"/>
    <n v="0"/>
    <n v="0"/>
    <n v="18"/>
    <n v="7"/>
    <n v="0.37321937321937326"/>
    <n v="0"/>
    <n v="351"/>
    <n v="0"/>
    <n v="0"/>
    <n v="0"/>
    <n v="351"/>
    <n v="1"/>
    <n v="0"/>
    <n v="1"/>
    <n v="0"/>
    <n v="0"/>
    <n v="2"/>
    <n v="40"/>
    <n v="0"/>
    <n v="200"/>
    <s v="No"/>
    <s v=""/>
    <n v="0"/>
    <n v="0"/>
    <s v="Yes"/>
    <s v="KBC-MYT"/>
    <x v="0"/>
    <x v="1"/>
    <x v="1"/>
    <n v="25.415482000000001"/>
    <n v="97.386718999999999"/>
    <s v="MMR001CMP001"/>
    <x v="0"/>
    <s v="cccm_2019OCT"/>
  </r>
  <r>
    <x v="1"/>
    <x v="1"/>
    <x v="1"/>
    <s v="HARP/UNICEF"/>
    <x v="0"/>
    <x v="4"/>
    <x v="1"/>
    <x v="64"/>
    <n v="57"/>
    <n v="264"/>
    <s v="3-1-2019, 12-11-2019"/>
    <s v="12-31-2020, 12-10-2020"/>
    <n v="148"/>
    <m/>
    <m/>
    <m/>
    <s v="Yes"/>
    <m/>
    <m/>
    <m/>
    <m/>
    <m/>
    <m/>
    <m/>
    <m/>
    <m/>
    <n v="1"/>
    <m/>
    <m/>
    <m/>
    <m/>
    <m/>
    <m/>
    <m/>
    <m/>
    <m/>
    <m/>
    <m/>
    <m/>
    <m/>
    <m/>
    <n v="28"/>
    <m/>
    <m/>
    <m/>
    <m/>
    <m/>
    <m/>
    <m/>
    <x v="1"/>
    <x v="1"/>
    <n v="2"/>
    <m/>
    <m/>
    <m/>
    <m/>
    <m/>
    <m/>
    <m/>
    <m/>
    <n v="2"/>
    <m/>
    <m/>
    <m/>
    <m/>
    <m/>
    <m/>
    <m/>
    <m/>
    <m/>
    <m/>
    <m/>
    <m/>
    <m/>
    <m/>
    <m/>
    <m/>
    <s v="no test"/>
    <s v="no test"/>
    <s v="No Test"/>
    <n v="0"/>
    <n v="0"/>
    <n v="1"/>
    <n v="0"/>
    <n v="0"/>
    <n v="0"/>
    <n v="0.25252525252525254"/>
    <n v="0.25252525252525254"/>
    <n v="0.25252525252525254"/>
    <n v="66.666666666666671"/>
    <n v="0"/>
    <n v="0"/>
    <n v="0.25252525252525254"/>
    <n v="66.666666666666671"/>
    <n v="0.13333333333333333"/>
    <n v="0.7474747474747474"/>
    <n v="197.33333333333331"/>
    <n v="0.8666666666666667"/>
    <n v="1"/>
    <n v="28"/>
    <n v="1"/>
    <n v="264"/>
    <n v="0"/>
    <n v="0"/>
    <n v="0"/>
    <n v="0"/>
    <n v="13"/>
    <n v="0"/>
    <n v="0"/>
    <n v="0"/>
    <n v="0"/>
    <n v="0"/>
    <n v="0"/>
    <n v="0"/>
    <n v="0"/>
    <n v="0"/>
    <n v="1"/>
    <n v="0"/>
    <n v="0"/>
    <n v="0"/>
    <n v="0"/>
    <n v="0"/>
    <n v="0"/>
    <n v="0"/>
    <s v="Yes"/>
    <s v=""/>
    <n v="0"/>
    <n v="0"/>
    <s v="Yes"/>
    <s v="KMSS-MYT"/>
    <x v="0"/>
    <x v="1"/>
    <x v="1"/>
    <n v="25.60867"/>
    <n v="98.377780000000001"/>
    <s v="MMR001CMP210"/>
    <x v="0"/>
    <s v="cccm_2019OCT"/>
  </r>
  <r>
    <x v="1"/>
    <x v="5"/>
    <x v="5"/>
    <s v="DFID"/>
    <x v="0"/>
    <x v="2"/>
    <x v="1"/>
    <x v="171"/>
    <n v="19"/>
    <n v="82"/>
    <d v="2018-08-01T00:00:00"/>
    <d v="2020-07-31T00:00:00"/>
    <m/>
    <n v="1"/>
    <m/>
    <m/>
    <s v="Yes"/>
    <n v="0"/>
    <n v="4"/>
    <n v="1"/>
    <m/>
    <m/>
    <n v="1"/>
    <n v="0"/>
    <m/>
    <m/>
    <n v="0"/>
    <m/>
    <m/>
    <n v="0"/>
    <n v="0"/>
    <n v="0"/>
    <n v="0"/>
    <n v="0"/>
    <m/>
    <m/>
    <m/>
    <m/>
    <n v="0"/>
    <m/>
    <m/>
    <n v="6"/>
    <n v="0"/>
    <m/>
    <m/>
    <m/>
    <m/>
    <m/>
    <n v="0"/>
    <x v="1"/>
    <x v="1"/>
    <n v="0"/>
    <n v="0"/>
    <n v="0"/>
    <m/>
    <m/>
    <m/>
    <n v="4"/>
    <m/>
    <n v="0"/>
    <n v="2"/>
    <m/>
    <n v="0"/>
    <n v="0"/>
    <m/>
    <m/>
    <s v="No"/>
    <m/>
    <m/>
    <m/>
    <m/>
    <m/>
    <m/>
    <m/>
    <m/>
    <m/>
    <m/>
    <s v="no test"/>
    <s v="no test"/>
    <s v="No Test"/>
    <n v="1"/>
    <n v="1"/>
    <n v="0"/>
    <n v="0"/>
    <n v="0"/>
    <n v="0"/>
    <n v="1"/>
    <n v="1"/>
    <n v="1"/>
    <n v="82"/>
    <n v="0"/>
    <n v="0"/>
    <n v="1"/>
    <n v="82"/>
    <n v="0.16400000000000001"/>
    <n v="0"/>
    <n v="0"/>
    <n v="0.83599999999999997"/>
    <n v="1"/>
    <n v="6"/>
    <n v="1"/>
    <n v="82"/>
    <n v="0"/>
    <n v="0"/>
    <n v="0"/>
    <n v="0"/>
    <n v="4"/>
    <n v="0"/>
    <n v="0"/>
    <n v="0"/>
    <n v="0"/>
    <n v="0"/>
    <n v="0"/>
    <n v="0"/>
    <n v="0"/>
    <n v="0"/>
    <n v="1"/>
    <n v="0"/>
    <n v="0"/>
    <n v="0"/>
    <n v="4"/>
    <n v="19"/>
    <n v="0"/>
    <n v="82"/>
    <s v="No"/>
    <s v=""/>
    <n v="0"/>
    <n v="0"/>
    <s v="Yes"/>
    <s v="Shalom"/>
    <x v="0"/>
    <x v="1"/>
    <x v="1"/>
    <n v="25.351965"/>
    <n v="97.345039"/>
    <s v="MMR001CMP033"/>
    <x v="0"/>
    <s v="cccm_2019OCT"/>
  </r>
  <r>
    <x v="1"/>
    <x v="1"/>
    <x v="1"/>
    <s v="HARP/UNICEF"/>
    <x v="0"/>
    <x v="4"/>
    <x v="1"/>
    <x v="66"/>
    <n v="31"/>
    <n v="173"/>
    <s v="3-1-2019, 12-11-2019"/>
    <s v="12-31-2020, 12-10-2020"/>
    <m/>
    <m/>
    <m/>
    <m/>
    <s v="Yes"/>
    <m/>
    <m/>
    <m/>
    <m/>
    <m/>
    <m/>
    <m/>
    <m/>
    <m/>
    <m/>
    <m/>
    <m/>
    <m/>
    <m/>
    <m/>
    <m/>
    <m/>
    <m/>
    <m/>
    <m/>
    <m/>
    <m/>
    <m/>
    <m/>
    <n v="10"/>
    <m/>
    <m/>
    <m/>
    <m/>
    <m/>
    <m/>
    <m/>
    <x v="1"/>
    <x v="1"/>
    <n v="2"/>
    <m/>
    <m/>
    <m/>
    <m/>
    <m/>
    <m/>
    <m/>
    <m/>
    <m/>
    <m/>
    <n v="1"/>
    <m/>
    <m/>
    <m/>
    <m/>
    <m/>
    <m/>
    <m/>
    <m/>
    <m/>
    <m/>
    <m/>
    <m/>
    <m/>
    <m/>
    <s v="no test"/>
    <s v="no test"/>
    <s v="No Test"/>
    <n v="0"/>
    <n v="0"/>
    <n v="0"/>
    <n v="0"/>
    <n v="0"/>
    <n v="0"/>
    <n v="0"/>
    <n v="0"/>
    <n v="0"/>
    <n v="0"/>
    <n v="0"/>
    <n v="0"/>
    <n v="0"/>
    <n v="0"/>
    <n v="0"/>
    <n v="1"/>
    <n v="173"/>
    <n v="1"/>
    <n v="1"/>
    <n v="10"/>
    <n v="1"/>
    <n v="173"/>
    <n v="0"/>
    <n v="0"/>
    <n v="0"/>
    <n v="0"/>
    <n v="9"/>
    <n v="0"/>
    <n v="0"/>
    <n v="0"/>
    <n v="173"/>
    <n v="0"/>
    <n v="0"/>
    <n v="0"/>
    <n v="173"/>
    <n v="1"/>
    <n v="0"/>
    <n v="1"/>
    <n v="0"/>
    <n v="0"/>
    <n v="0"/>
    <n v="0"/>
    <n v="0"/>
    <n v="0"/>
    <s v="No"/>
    <s v=""/>
    <n v="0"/>
    <n v="0"/>
    <s v="Yes"/>
    <s v="KMSS-MYT"/>
    <x v="0"/>
    <x v="1"/>
    <x v="1"/>
    <n v="25.645959999999999"/>
    <n v="98.356260000000006"/>
    <s v="MMR001CMP225"/>
    <x v="0"/>
    <s v="cccm_2019OCT"/>
  </r>
  <r>
    <x v="1"/>
    <x v="1"/>
    <x v="1"/>
    <s v="HARP,UNICEF"/>
    <x v="0"/>
    <x v="5"/>
    <x v="1"/>
    <x v="68"/>
    <n v="11"/>
    <n v="52"/>
    <s v="3-1-2019, 12-11-2019"/>
    <s v="12-31-2020, 12-10-2020"/>
    <n v="32"/>
    <m/>
    <m/>
    <m/>
    <s v="Yes"/>
    <m/>
    <m/>
    <n v="1"/>
    <m/>
    <m/>
    <m/>
    <m/>
    <m/>
    <m/>
    <m/>
    <m/>
    <m/>
    <m/>
    <m/>
    <m/>
    <m/>
    <m/>
    <m/>
    <m/>
    <m/>
    <m/>
    <m/>
    <m/>
    <m/>
    <n v="7"/>
    <m/>
    <m/>
    <m/>
    <m/>
    <m/>
    <m/>
    <m/>
    <x v="1"/>
    <x v="1"/>
    <n v="1"/>
    <m/>
    <m/>
    <m/>
    <m/>
    <m/>
    <m/>
    <m/>
    <m/>
    <n v="2"/>
    <m/>
    <m/>
    <n v="1"/>
    <m/>
    <m/>
    <m/>
    <m/>
    <m/>
    <m/>
    <m/>
    <m/>
    <m/>
    <m/>
    <m/>
    <m/>
    <m/>
    <s v="no test"/>
    <s v="no test"/>
    <s v="No Test"/>
    <n v="1"/>
    <n v="0"/>
    <n v="0"/>
    <n v="0"/>
    <n v="0"/>
    <n v="0"/>
    <n v="1"/>
    <n v="1"/>
    <n v="1"/>
    <n v="52"/>
    <n v="0"/>
    <n v="0"/>
    <n v="1"/>
    <n v="52"/>
    <n v="0.104"/>
    <n v="0"/>
    <n v="0"/>
    <n v="0.89600000000000002"/>
    <n v="1"/>
    <n v="7"/>
    <n v="1"/>
    <n v="52"/>
    <n v="0"/>
    <n v="0"/>
    <n v="0"/>
    <n v="0"/>
    <n v="3"/>
    <n v="0"/>
    <n v="0"/>
    <n v="0"/>
    <n v="52"/>
    <n v="0"/>
    <n v="0"/>
    <n v="0"/>
    <n v="52"/>
    <n v="1"/>
    <n v="0"/>
    <n v="1"/>
    <n v="0"/>
    <n v="0"/>
    <n v="0"/>
    <n v="0"/>
    <n v="0"/>
    <n v="0"/>
    <s v="Yes"/>
    <s v=""/>
    <n v="0"/>
    <n v="0"/>
    <s v="Yes"/>
    <s v="KMSS-MYT"/>
    <x v="0"/>
    <x v="1"/>
    <x v="1"/>
    <n v="24.764800000000001"/>
    <n v="96.367059999999995"/>
    <s v="MMR001CMP080"/>
    <x v="0"/>
    <s v="cccm_2019OCT"/>
  </r>
  <r>
    <x v="1"/>
    <x v="10"/>
    <x v="10"/>
    <s v="UNICEF,(OFDA,MHF 2186,UNICEF)"/>
    <x v="0"/>
    <x v="7"/>
    <x v="1"/>
    <x v="51"/>
    <n v="1538"/>
    <n v="8786"/>
    <s v="12-11-2019,(7-07-2019, 2-1-2020, 4-1-2019)"/>
    <s v="12-10-2020,(6-30-2020, 1-1-2021, 4-30-2020)"/>
    <n v="2174"/>
    <n v="30"/>
    <n v="149"/>
    <m/>
    <s v="Yes"/>
    <n v="28"/>
    <n v="151"/>
    <n v="4"/>
    <m/>
    <m/>
    <m/>
    <m/>
    <m/>
    <m/>
    <n v="1"/>
    <m/>
    <m/>
    <m/>
    <m/>
    <m/>
    <n v="11"/>
    <m/>
    <n v="7"/>
    <m/>
    <n v="81"/>
    <m/>
    <n v="3"/>
    <m/>
    <s v="Water safety plan need to install"/>
    <n v="26"/>
    <m/>
    <m/>
    <m/>
    <n v="15"/>
    <m/>
    <n v="171.70627999999999"/>
    <m/>
    <x v="1"/>
    <x v="1"/>
    <n v="6"/>
    <m/>
    <n v="49"/>
    <m/>
    <m/>
    <m/>
    <m/>
    <m/>
    <m/>
    <n v="3"/>
    <m/>
    <m/>
    <n v="9"/>
    <n v="1538"/>
    <n v="606"/>
    <s v="No"/>
    <m/>
    <m/>
    <s v="need more hygiene items especially MHM Kits"/>
    <n v="1"/>
    <n v="1"/>
    <n v="8786"/>
    <n v="1"/>
    <m/>
    <m/>
    <m/>
    <n v="0"/>
    <n v="0"/>
    <s v="Tested"/>
    <n v="4"/>
    <n v="0"/>
    <n v="1"/>
    <n v="0"/>
    <n v="0"/>
    <n v="0"/>
    <n v="0.18969572805220428"/>
    <n v="0.12140526595341074"/>
    <n v="0.18969572805220428"/>
    <n v="1666.6666666666667"/>
    <n v="0"/>
    <n v="0"/>
    <n v="0.18969572805220428"/>
    <n v="1666.6666666666667"/>
    <n v="3.3333333333333335"/>
    <n v="0.81030427194779575"/>
    <n v="7119.333333333333"/>
    <n v="14.666666666666666"/>
    <n v="18"/>
    <n v="26"/>
    <n v="7.2843159572046443E-2"/>
    <n v="640"/>
    <n v="0"/>
    <n v="2174"/>
    <n v="0"/>
    <n v="2174"/>
    <n v="439"/>
    <n v="413"/>
    <n v="0.92715684042795354"/>
    <n v="0"/>
    <n v="4500"/>
    <n v="8786"/>
    <n v="606"/>
    <n v="8786"/>
    <n v="8786"/>
    <n v="1"/>
    <n v="0"/>
    <n v="0.51217846574095149"/>
    <n v="1"/>
    <n v="0.39401820546163852"/>
    <n v="0"/>
    <n v="0"/>
    <n v="0"/>
    <n v="0"/>
    <s v="Yes"/>
    <n v="1"/>
    <n v="0"/>
    <n v="2174"/>
    <s v="Yes"/>
    <s v="KMSS-MYT"/>
    <x v="0"/>
    <x v="1"/>
    <x v="0"/>
    <n v="24.688338999999999"/>
    <n v="97.568331999999998"/>
    <s v="MMR001CMP121"/>
    <x v="0"/>
    <s v="cccm_2019OCT"/>
  </r>
  <r>
    <x v="1"/>
    <x v="2"/>
    <x v="2"/>
    <s v="WHH-AA, USAID, MHF"/>
    <x v="0"/>
    <x v="10"/>
    <x v="1"/>
    <x v="70"/>
    <n v="11"/>
    <n v="55"/>
    <s v="10-1-2018, 9-30-2019, 6-1-2020"/>
    <s v="9-30-2020, 8-31-2020, 11-30-2020"/>
    <m/>
    <m/>
    <m/>
    <m/>
    <s v="No"/>
    <m/>
    <n v="1"/>
    <m/>
    <m/>
    <m/>
    <m/>
    <n v="1"/>
    <m/>
    <m/>
    <m/>
    <m/>
    <m/>
    <m/>
    <m/>
    <m/>
    <m/>
    <m/>
    <m/>
    <m/>
    <m/>
    <m/>
    <m/>
    <m/>
    <m/>
    <n v="2"/>
    <m/>
    <m/>
    <m/>
    <m/>
    <m/>
    <m/>
    <m/>
    <x v="1"/>
    <x v="3"/>
    <m/>
    <m/>
    <m/>
    <m/>
    <m/>
    <m/>
    <n v="1"/>
    <m/>
    <m/>
    <n v="1"/>
    <m/>
    <m/>
    <n v="1"/>
    <n v="11"/>
    <n v="18"/>
    <m/>
    <m/>
    <m/>
    <m/>
    <n v="1"/>
    <n v="1"/>
    <m/>
    <n v="0"/>
    <m/>
    <m/>
    <m/>
    <s v="no test"/>
    <s v="no test"/>
    <s v="No Test"/>
    <n v="0"/>
    <n v="1"/>
    <n v="0"/>
    <n v="0"/>
    <n v="0"/>
    <n v="0"/>
    <n v="1"/>
    <n v="1"/>
    <n v="1"/>
    <n v="55"/>
    <n v="0"/>
    <n v="0"/>
    <n v="1"/>
    <n v="55"/>
    <n v="0.11"/>
    <n v="0"/>
    <n v="0"/>
    <n v="0.89"/>
    <n v="1"/>
    <n v="2"/>
    <n v="0.72727272727272729"/>
    <n v="40"/>
    <n v="0"/>
    <n v="0"/>
    <n v="0"/>
    <n v="0"/>
    <n v="3"/>
    <n v="1"/>
    <n v="0.27272727272727271"/>
    <n v="0"/>
    <n v="55"/>
    <n v="55"/>
    <n v="18"/>
    <n v="55"/>
    <n v="55"/>
    <n v="1"/>
    <n v="0"/>
    <n v="1"/>
    <n v="1"/>
    <n v="1"/>
    <n v="1"/>
    <n v="11"/>
    <n v="0"/>
    <n v="55"/>
    <s v="No"/>
    <s v=""/>
    <n v="0"/>
    <n v="0"/>
    <s v="Yes"/>
    <s v="KBC-BMO"/>
    <x v="0"/>
    <x v="1"/>
    <x v="1"/>
    <n v="24.260466999999998"/>
    <n v="97.252650000000003"/>
    <s v="MMR001CMP194"/>
    <x v="0"/>
    <s v="cccm_2019OCT"/>
  </r>
  <r>
    <x v="1"/>
    <x v="2"/>
    <x v="2"/>
    <s v="UNICEF, MHF, WHH(AA)"/>
    <x v="1"/>
    <x v="12"/>
    <x v="0"/>
    <x v="71"/>
    <n v="23"/>
    <n v="95"/>
    <s v="2-01-2019, 10-30-Oct-2019"/>
    <s v="4-30-2021, 9-30-2020"/>
    <m/>
    <m/>
    <m/>
    <m/>
    <s v="Yes"/>
    <n v="5"/>
    <n v="1"/>
    <m/>
    <m/>
    <m/>
    <m/>
    <m/>
    <m/>
    <m/>
    <m/>
    <m/>
    <m/>
    <m/>
    <m/>
    <m/>
    <m/>
    <m/>
    <m/>
    <m/>
    <m/>
    <m/>
    <m/>
    <m/>
    <m/>
    <n v="23"/>
    <m/>
    <m/>
    <m/>
    <m/>
    <m/>
    <m/>
    <m/>
    <x v="3"/>
    <x v="3"/>
    <m/>
    <m/>
    <m/>
    <m/>
    <m/>
    <m/>
    <m/>
    <m/>
    <m/>
    <m/>
    <m/>
    <m/>
    <m/>
    <n v="60"/>
    <m/>
    <m/>
    <m/>
    <m/>
    <m/>
    <m/>
    <m/>
    <m/>
    <m/>
    <m/>
    <m/>
    <m/>
    <s v="no test"/>
    <s v="no test"/>
    <s v="No Test"/>
    <n v="0"/>
    <n v="0"/>
    <n v="0"/>
    <n v="0"/>
    <n v="0"/>
    <n v="0"/>
    <n v="0"/>
    <n v="0"/>
    <n v="0"/>
    <n v="0"/>
    <n v="0"/>
    <n v="0"/>
    <n v="0"/>
    <n v="0"/>
    <n v="0"/>
    <n v="1"/>
    <n v="95"/>
    <n v="1"/>
    <n v="1"/>
    <n v="23"/>
    <n v="1"/>
    <n v="95"/>
    <n v="0"/>
    <n v="0"/>
    <n v="0"/>
    <n v="0"/>
    <n v="5"/>
    <n v="0"/>
    <n v="0"/>
    <n v="0"/>
    <n v="0"/>
    <n v="95"/>
    <n v="0"/>
    <n v="95"/>
    <n v="95"/>
    <n v="1"/>
    <n v="0"/>
    <n v="0"/>
    <n v="1"/>
    <n v="0"/>
    <n v="0"/>
    <n v="0"/>
    <n v="0"/>
    <n v="0"/>
    <s v="No"/>
    <s v=""/>
    <n v="0"/>
    <n v="0"/>
    <n v="0"/>
    <n v="0"/>
    <x v="0"/>
    <x v="0"/>
    <x v="1"/>
    <n v="0"/>
    <n v="0"/>
    <n v="0"/>
    <x v="0"/>
    <n v="0"/>
  </r>
  <r>
    <x v="1"/>
    <x v="2"/>
    <x v="2"/>
    <s v="UNICEF, MHF, WHH(AA)"/>
    <x v="1"/>
    <x v="13"/>
    <x v="1"/>
    <x v="72"/>
    <n v="71"/>
    <n v="496"/>
    <s v="2-01-2019, 10-30-Oct-2019"/>
    <s v="4-30-2021, 9-30-2020"/>
    <m/>
    <n v="1"/>
    <m/>
    <m/>
    <s v="Yes"/>
    <n v="5"/>
    <n v="1"/>
    <m/>
    <m/>
    <m/>
    <m/>
    <m/>
    <m/>
    <m/>
    <m/>
    <m/>
    <m/>
    <m/>
    <m/>
    <m/>
    <m/>
    <m/>
    <m/>
    <m/>
    <m/>
    <m/>
    <m/>
    <m/>
    <m/>
    <m/>
    <m/>
    <m/>
    <m/>
    <m/>
    <m/>
    <m/>
    <m/>
    <x v="3"/>
    <x v="3"/>
    <m/>
    <m/>
    <m/>
    <m/>
    <m/>
    <m/>
    <m/>
    <m/>
    <m/>
    <m/>
    <m/>
    <m/>
    <n v="1"/>
    <n v="67"/>
    <m/>
    <s v="No"/>
    <m/>
    <m/>
    <m/>
    <m/>
    <m/>
    <m/>
    <m/>
    <m/>
    <m/>
    <m/>
    <s v="no test"/>
    <s v="no test"/>
    <s v="No Test"/>
    <n v="0"/>
    <n v="0"/>
    <n v="0"/>
    <n v="0"/>
    <n v="0"/>
    <n v="0"/>
    <n v="0"/>
    <n v="0"/>
    <n v="0"/>
    <n v="0"/>
    <n v="0"/>
    <n v="0"/>
    <n v="0"/>
    <n v="0"/>
    <n v="0"/>
    <n v="1"/>
    <n v="496"/>
    <n v="1"/>
    <n v="1"/>
    <n v="0"/>
    <n v="0"/>
    <n v="0"/>
    <n v="0"/>
    <n v="0"/>
    <n v="0"/>
    <n v="0"/>
    <n v="25"/>
    <n v="25"/>
    <n v="1"/>
    <n v="0"/>
    <n v="496"/>
    <n v="335"/>
    <n v="0"/>
    <n v="335"/>
    <n v="496"/>
    <n v="1"/>
    <n v="0"/>
    <n v="1"/>
    <n v="1"/>
    <n v="0"/>
    <n v="0"/>
    <n v="0"/>
    <n v="0"/>
    <n v="0"/>
    <s v="No"/>
    <s v=""/>
    <n v="0"/>
    <n v="0"/>
    <n v="0"/>
    <s v="uncovered"/>
    <x v="0"/>
    <x v="0"/>
    <x v="1"/>
    <n v="0"/>
    <n v="0"/>
    <s v="MMR015CMP212"/>
    <x v="0"/>
    <s v="cccm_2019OCT"/>
  </r>
  <r>
    <x v="1"/>
    <x v="2"/>
    <x v="2"/>
    <s v="UNICEF, MHF, WHH(AA)"/>
    <x v="1"/>
    <x v="14"/>
    <x v="1"/>
    <x v="73"/>
    <n v="136"/>
    <n v="553"/>
    <s v="2-01-2019, 10-30-Oct-2019"/>
    <s v="4-30-2021, 9-30-2020"/>
    <m/>
    <m/>
    <m/>
    <m/>
    <m/>
    <n v="5"/>
    <n v="1"/>
    <n v="0"/>
    <m/>
    <m/>
    <n v="0"/>
    <n v="0"/>
    <m/>
    <m/>
    <n v="41"/>
    <m/>
    <m/>
    <n v="0"/>
    <m/>
    <n v="0"/>
    <m/>
    <n v="1"/>
    <m/>
    <m/>
    <m/>
    <m/>
    <m/>
    <m/>
    <m/>
    <n v="40"/>
    <n v="0"/>
    <m/>
    <m/>
    <m/>
    <m/>
    <m/>
    <m/>
    <x v="2"/>
    <x v="2"/>
    <n v="0"/>
    <n v="0"/>
    <m/>
    <m/>
    <m/>
    <m/>
    <n v="2"/>
    <m/>
    <n v="0"/>
    <n v="6"/>
    <m/>
    <n v="0"/>
    <n v="2"/>
    <m/>
    <m/>
    <m/>
    <m/>
    <m/>
    <m/>
    <m/>
    <m/>
    <m/>
    <m/>
    <m/>
    <m/>
    <m/>
    <s v="no test"/>
    <s v="no test"/>
    <s v="No Test"/>
    <n v="0"/>
    <n v="0"/>
    <n v="41"/>
    <n v="0"/>
    <n v="0"/>
    <n v="0"/>
    <n v="1"/>
    <n v="1"/>
    <n v="1"/>
    <n v="553"/>
    <n v="0"/>
    <n v="0"/>
    <n v="1"/>
    <n v="553"/>
    <n v="1.1060000000000001"/>
    <n v="0"/>
    <n v="0"/>
    <n v="0"/>
    <n v="1"/>
    <n v="40"/>
    <n v="1"/>
    <n v="553"/>
    <n v="0"/>
    <n v="0"/>
    <n v="0"/>
    <n v="0"/>
    <n v="28"/>
    <n v="0"/>
    <n v="0"/>
    <n v="0"/>
    <n v="553"/>
    <n v="0"/>
    <n v="0"/>
    <n v="0"/>
    <n v="553"/>
    <n v="1"/>
    <n v="0"/>
    <n v="1"/>
    <n v="0"/>
    <n v="0"/>
    <n v="2"/>
    <n v="40"/>
    <n v="0"/>
    <n v="200"/>
    <s v="No"/>
    <s v=""/>
    <n v="0"/>
    <n v="0"/>
    <s v="Yes"/>
    <s v="KBC-NSS"/>
    <x v="0"/>
    <x v="1"/>
    <x v="1"/>
    <n v="24.08738"/>
    <n v="98.115809999999996"/>
    <s v="MMR015CMP247"/>
    <x v="0"/>
    <s v="cccm_2019OCT"/>
  </r>
  <r>
    <x v="1"/>
    <x v="2"/>
    <x v="2"/>
    <s v="WHH-AA, USAID"/>
    <x v="0"/>
    <x v="7"/>
    <x v="1"/>
    <x v="74"/>
    <n v="714"/>
    <n v="3659"/>
    <s v="10-1-2018, 9-30-2019"/>
    <s v="9-30-2020, 8-31-2020"/>
    <m/>
    <n v="0"/>
    <n v="0"/>
    <m/>
    <s v="Yes"/>
    <n v="7"/>
    <n v="3"/>
    <n v="3"/>
    <m/>
    <m/>
    <m/>
    <m/>
    <m/>
    <m/>
    <n v="3"/>
    <m/>
    <m/>
    <m/>
    <m/>
    <n v="293760"/>
    <m/>
    <m/>
    <m/>
    <m/>
    <m/>
    <m/>
    <n v="3"/>
    <n v="3"/>
    <m/>
    <n v="306"/>
    <m/>
    <m/>
    <m/>
    <m/>
    <n v="7"/>
    <n v="19000"/>
    <m/>
    <x v="1"/>
    <x v="1"/>
    <n v="13"/>
    <m/>
    <n v="46"/>
    <m/>
    <m/>
    <m/>
    <n v="77"/>
    <m/>
    <m/>
    <n v="22"/>
    <m/>
    <m/>
    <n v="3"/>
    <n v="685"/>
    <n v="667"/>
    <s v="No"/>
    <m/>
    <m/>
    <m/>
    <n v="1"/>
    <n v="1"/>
    <m/>
    <n v="0"/>
    <m/>
    <m/>
    <m/>
    <s v="no test"/>
    <s v="no test"/>
    <s v="No Test"/>
    <n v="3"/>
    <n v="0"/>
    <n v="3"/>
    <n v="0"/>
    <n v="217.6"/>
    <n v="1500"/>
    <n v="0.44208800218638972"/>
    <n v="0.31910358021317298"/>
    <n v="0.44208800218638972"/>
    <n v="1617.6"/>
    <n v="0"/>
    <n v="0"/>
    <n v="0.44208800218638972"/>
    <n v="1617.6"/>
    <n v="3.2351999999999999"/>
    <n v="0.55791199781361023"/>
    <n v="2041.3999999999999"/>
    <n v="3.7648000000000001"/>
    <n v="7"/>
    <n v="306"/>
    <n v="1"/>
    <n v="3659"/>
    <n v="140"/>
    <n v="0"/>
    <n v="0"/>
    <n v="0"/>
    <n v="183"/>
    <n v="0"/>
    <n v="0"/>
    <n v="0"/>
    <n v="1500"/>
    <n v="3425"/>
    <n v="667"/>
    <n v="3425"/>
    <n v="3425"/>
    <n v="0.93604810057392729"/>
    <n v="6.3951899426072711E-2"/>
    <n v="0.40994807324405574"/>
    <n v="0.95938375350140059"/>
    <n v="0.93417366946778713"/>
    <n v="77"/>
    <n v="714"/>
    <n v="0"/>
    <n v="3659"/>
    <s v="No"/>
    <s v=""/>
    <n v="0"/>
    <n v="1500"/>
    <s v="Yes"/>
    <s v="KMSS-MYT"/>
    <x v="0"/>
    <x v="1"/>
    <x v="0"/>
    <n v="24.661905999999998"/>
    <n v="97.573126000000002"/>
    <s v="MMR001CMP122"/>
    <x v="0"/>
    <s v="cccm_2019OCT"/>
  </r>
  <r>
    <x v="1"/>
    <x v="2"/>
    <x v="2"/>
    <s v="WHH-AA, USAID, MHF"/>
    <x v="0"/>
    <x v="10"/>
    <x v="1"/>
    <x v="75"/>
    <n v="37"/>
    <n v="291"/>
    <s v="10-1-2018, 9-30-2019, 6-1-2020"/>
    <s v="9-30-2020, 8-31-2020, 11-30-2020"/>
    <m/>
    <m/>
    <m/>
    <m/>
    <s v="Yes"/>
    <n v="1"/>
    <n v="2"/>
    <n v="1"/>
    <m/>
    <m/>
    <m/>
    <n v="2"/>
    <m/>
    <m/>
    <m/>
    <m/>
    <m/>
    <m/>
    <m/>
    <m/>
    <m/>
    <m/>
    <m/>
    <m/>
    <m/>
    <m/>
    <m/>
    <m/>
    <m/>
    <n v="7"/>
    <m/>
    <m/>
    <m/>
    <m/>
    <m/>
    <m/>
    <m/>
    <x v="1"/>
    <x v="1"/>
    <m/>
    <m/>
    <m/>
    <m/>
    <m/>
    <m/>
    <n v="4"/>
    <m/>
    <m/>
    <n v="2"/>
    <m/>
    <m/>
    <n v="1"/>
    <n v="37"/>
    <n v="76"/>
    <m/>
    <m/>
    <m/>
    <m/>
    <n v="1"/>
    <n v="1"/>
    <m/>
    <n v="0"/>
    <m/>
    <m/>
    <m/>
    <s v="no test"/>
    <s v="no test"/>
    <s v="No Test"/>
    <n v="1"/>
    <n v="2"/>
    <n v="0"/>
    <n v="0"/>
    <n v="0"/>
    <n v="0"/>
    <n v="1"/>
    <n v="1"/>
    <n v="1"/>
    <n v="291"/>
    <n v="0"/>
    <n v="0"/>
    <n v="1"/>
    <n v="291"/>
    <n v="0.58199999999999996"/>
    <n v="0"/>
    <n v="0"/>
    <n v="0.41800000000000004"/>
    <n v="1"/>
    <n v="7"/>
    <n v="0.48109965635738833"/>
    <n v="140"/>
    <n v="0"/>
    <n v="0"/>
    <n v="0"/>
    <n v="0"/>
    <n v="15"/>
    <n v="8"/>
    <n v="0.51890034364261162"/>
    <n v="0"/>
    <n v="291"/>
    <n v="291"/>
    <n v="76"/>
    <n v="291"/>
    <n v="291"/>
    <n v="1"/>
    <n v="0"/>
    <n v="1"/>
    <n v="1"/>
    <n v="1"/>
    <n v="4"/>
    <n v="37"/>
    <n v="0"/>
    <n v="291"/>
    <s v="No"/>
    <s v=""/>
    <n v="0"/>
    <n v="0"/>
    <s v="Yes"/>
    <s v="KBC-BMO"/>
    <x v="0"/>
    <x v="1"/>
    <x v="1"/>
    <n v="24.24766"/>
    <n v="97.236919999999998"/>
    <s v="MMR001CMP052"/>
    <x v="0"/>
    <s v="cccm_2019OCT"/>
  </r>
  <r>
    <x v="1"/>
    <x v="2"/>
    <x v="2"/>
    <s v="UNICEF, MHF, WHH(AA)"/>
    <x v="1"/>
    <x v="13"/>
    <x v="1"/>
    <x v="76"/>
    <n v="32"/>
    <n v="154"/>
    <s v="2-01-2019, 10-30-Oct-2019"/>
    <s v="4-30-2021, 9-30-2020"/>
    <m/>
    <n v="1"/>
    <m/>
    <m/>
    <s v="Yes"/>
    <n v="4"/>
    <n v="5"/>
    <n v="0"/>
    <m/>
    <m/>
    <n v="0"/>
    <n v="0"/>
    <m/>
    <m/>
    <n v="37"/>
    <m/>
    <m/>
    <n v="0"/>
    <m/>
    <n v="0"/>
    <n v="3"/>
    <m/>
    <m/>
    <m/>
    <m/>
    <m/>
    <m/>
    <m/>
    <m/>
    <n v="30"/>
    <n v="0"/>
    <m/>
    <m/>
    <m/>
    <m/>
    <m/>
    <m/>
    <x v="1"/>
    <x v="1"/>
    <n v="0"/>
    <n v="0"/>
    <m/>
    <m/>
    <m/>
    <m/>
    <n v="0"/>
    <m/>
    <n v="0"/>
    <n v="1"/>
    <m/>
    <n v="0"/>
    <n v="1"/>
    <n v="30"/>
    <m/>
    <m/>
    <m/>
    <m/>
    <m/>
    <m/>
    <m/>
    <m/>
    <m/>
    <m/>
    <m/>
    <m/>
    <s v="no test"/>
    <s v="no test"/>
    <s v="No Test"/>
    <n v="0"/>
    <n v="0"/>
    <n v="37"/>
    <n v="0"/>
    <n v="0"/>
    <n v="0"/>
    <n v="1"/>
    <n v="1"/>
    <n v="1"/>
    <n v="154"/>
    <n v="0"/>
    <n v="0"/>
    <n v="1"/>
    <n v="154"/>
    <n v="0.308"/>
    <n v="0"/>
    <n v="0"/>
    <n v="0.69199999999999995"/>
    <n v="1"/>
    <n v="30"/>
    <n v="1"/>
    <n v="154"/>
    <n v="0"/>
    <n v="0"/>
    <n v="0"/>
    <n v="0"/>
    <n v="8"/>
    <n v="0"/>
    <n v="0"/>
    <n v="0"/>
    <n v="154"/>
    <n v="150"/>
    <n v="0"/>
    <n v="150"/>
    <n v="154"/>
    <n v="1"/>
    <n v="0"/>
    <n v="1"/>
    <n v="1"/>
    <n v="0"/>
    <n v="0"/>
    <n v="0"/>
    <n v="0"/>
    <n v="0"/>
    <s v="No"/>
    <s v=""/>
    <n v="0"/>
    <n v="0"/>
    <s v="Yes"/>
    <s v="KMSS-LSO"/>
    <x v="0"/>
    <x v="1"/>
    <x v="1"/>
    <n v="0"/>
    <n v="0"/>
    <s v="MMR015CMP250"/>
    <x v="0"/>
    <s v="cccm_2019OCT"/>
  </r>
  <r>
    <x v="1"/>
    <x v="0"/>
    <x v="0"/>
    <s v="MHF13490"/>
    <x v="0"/>
    <x v="2"/>
    <x v="1"/>
    <x v="29"/>
    <n v="178"/>
    <n v="846"/>
    <d v="2019-01-10T00:00:00"/>
    <s v="31-7-2020"/>
    <m/>
    <m/>
    <m/>
    <m/>
    <s v="Yes"/>
    <m/>
    <n v="4"/>
    <n v="0"/>
    <m/>
    <m/>
    <n v="0"/>
    <m/>
    <m/>
    <m/>
    <n v="3"/>
    <m/>
    <m/>
    <m/>
    <m/>
    <m/>
    <m/>
    <n v="0"/>
    <m/>
    <m/>
    <m/>
    <m/>
    <m/>
    <m/>
    <m/>
    <n v="150"/>
    <m/>
    <m/>
    <m/>
    <m/>
    <m/>
    <m/>
    <n v="150"/>
    <x v="1"/>
    <x v="1"/>
    <m/>
    <m/>
    <m/>
    <m/>
    <m/>
    <m/>
    <n v="150"/>
    <m/>
    <m/>
    <n v="4"/>
    <m/>
    <m/>
    <n v="3"/>
    <m/>
    <m/>
    <m/>
    <m/>
    <m/>
    <m/>
    <m/>
    <m/>
    <m/>
    <m/>
    <m/>
    <m/>
    <m/>
    <s v="no test"/>
    <s v="no test"/>
    <s v="No Test"/>
    <n v="0"/>
    <n v="0"/>
    <n v="3"/>
    <n v="0"/>
    <n v="0"/>
    <n v="0"/>
    <n v="0.2364066193853428"/>
    <n v="0.2364066193853428"/>
    <n v="0.2364066193853428"/>
    <n v="200"/>
    <n v="0"/>
    <n v="0"/>
    <n v="0.2364066193853428"/>
    <n v="200"/>
    <n v="0.4"/>
    <n v="0.7635933806146572"/>
    <n v="646"/>
    <n v="1.6"/>
    <n v="2"/>
    <n v="150"/>
    <n v="0.88652482269503541"/>
    <n v="750"/>
    <n v="0"/>
    <n v="0"/>
    <n v="0"/>
    <n v="0"/>
    <n v="141"/>
    <n v="0"/>
    <n v="0.11347517730496459"/>
    <n v="0"/>
    <n v="846"/>
    <n v="0"/>
    <n v="0"/>
    <n v="0"/>
    <n v="846"/>
    <n v="1"/>
    <n v="0"/>
    <n v="1"/>
    <n v="0"/>
    <n v="0"/>
    <n v="150"/>
    <n v="178"/>
    <n v="0"/>
    <n v="846"/>
    <s v="No"/>
    <s v=""/>
    <n v="0"/>
    <n v="0"/>
    <s v="Yes"/>
    <s v="KBC-MYT"/>
    <x v="1"/>
    <x v="1"/>
    <x v="0"/>
    <n v="24.831944"/>
    <n v="97.751389000000003"/>
    <s v="MMR001CMP120"/>
    <x v="0"/>
    <s v="cccm_2019OCT"/>
  </r>
  <r>
    <x v="1"/>
    <x v="2"/>
    <x v="2"/>
    <s v="WHH-AA,USAID, MHF"/>
    <x v="0"/>
    <x v="7"/>
    <x v="0"/>
    <x v="78"/>
    <n v="17"/>
    <n v="106"/>
    <s v="10-1-2018, 9-30-2019, 6-1-2020"/>
    <s v="9-30-2020, 8-31-2020, 11-30-2020"/>
    <m/>
    <m/>
    <m/>
    <m/>
    <s v="No"/>
    <m/>
    <m/>
    <n v="1"/>
    <m/>
    <m/>
    <m/>
    <m/>
    <m/>
    <m/>
    <m/>
    <m/>
    <m/>
    <m/>
    <m/>
    <m/>
    <m/>
    <m/>
    <m/>
    <m/>
    <m/>
    <m/>
    <m/>
    <m/>
    <m/>
    <n v="4"/>
    <m/>
    <m/>
    <m/>
    <m/>
    <m/>
    <m/>
    <m/>
    <x v="1"/>
    <x v="1"/>
    <m/>
    <m/>
    <m/>
    <m/>
    <m/>
    <m/>
    <n v="3"/>
    <m/>
    <m/>
    <n v="2"/>
    <m/>
    <m/>
    <n v="1"/>
    <n v="15"/>
    <n v="29"/>
    <m/>
    <m/>
    <m/>
    <m/>
    <n v="1"/>
    <n v="1"/>
    <m/>
    <n v="0"/>
    <m/>
    <m/>
    <m/>
    <s v="no test"/>
    <s v="no test"/>
    <s v="No Test"/>
    <n v="1"/>
    <n v="0"/>
    <n v="0"/>
    <n v="0"/>
    <n v="0"/>
    <n v="0"/>
    <n v="1"/>
    <n v="1"/>
    <n v="1"/>
    <n v="106"/>
    <n v="0"/>
    <n v="0"/>
    <n v="1"/>
    <n v="106"/>
    <n v="0.21199999999999999"/>
    <n v="0"/>
    <n v="0"/>
    <n v="0.78800000000000003"/>
    <n v="1"/>
    <n v="4"/>
    <n v="0.75471698113207553"/>
    <n v="80"/>
    <n v="0"/>
    <n v="0"/>
    <n v="0"/>
    <n v="0"/>
    <n v="5"/>
    <n v="1"/>
    <n v="0.24528301886792447"/>
    <n v="0"/>
    <n v="106"/>
    <n v="75"/>
    <n v="29"/>
    <n v="75"/>
    <n v="106"/>
    <n v="1"/>
    <n v="0"/>
    <n v="1"/>
    <n v="1"/>
    <n v="1"/>
    <n v="3"/>
    <n v="17"/>
    <n v="0"/>
    <n v="106"/>
    <s v="No"/>
    <s v=""/>
    <n v="0"/>
    <n v="0"/>
    <n v="0"/>
    <n v="0"/>
    <x v="0"/>
    <x v="1"/>
    <x v="1"/>
    <n v="0"/>
    <n v="0"/>
    <n v="0"/>
    <x v="0"/>
    <n v="0"/>
  </r>
  <r>
    <x v="1"/>
    <x v="2"/>
    <x v="2"/>
    <s v="WHH-AA, USAID, MHF"/>
    <x v="0"/>
    <x v="7"/>
    <x v="0"/>
    <x v="79"/>
    <n v="19"/>
    <n v="94"/>
    <s v="10-1-2018, 9-30-2019, 6-1-2020"/>
    <s v="9-30-2020, 8-31-2020, 11-30-2020"/>
    <m/>
    <m/>
    <m/>
    <m/>
    <s v="No"/>
    <m/>
    <m/>
    <m/>
    <m/>
    <m/>
    <m/>
    <n v="1"/>
    <m/>
    <m/>
    <m/>
    <m/>
    <m/>
    <m/>
    <m/>
    <m/>
    <m/>
    <m/>
    <m/>
    <m/>
    <m/>
    <m/>
    <m/>
    <m/>
    <m/>
    <n v="5"/>
    <m/>
    <m/>
    <m/>
    <m/>
    <m/>
    <m/>
    <m/>
    <x v="1"/>
    <x v="1"/>
    <m/>
    <m/>
    <m/>
    <m/>
    <m/>
    <m/>
    <n v="2"/>
    <m/>
    <m/>
    <n v="1"/>
    <m/>
    <m/>
    <n v="1"/>
    <n v="19"/>
    <n v="20"/>
    <m/>
    <m/>
    <m/>
    <m/>
    <n v="1"/>
    <n v="1"/>
    <m/>
    <n v="0"/>
    <m/>
    <m/>
    <m/>
    <s v="no test"/>
    <s v="no test"/>
    <s v="No Test"/>
    <n v="0"/>
    <n v="1"/>
    <n v="0"/>
    <n v="0"/>
    <n v="0"/>
    <n v="0"/>
    <n v="1"/>
    <n v="1"/>
    <n v="1"/>
    <n v="94"/>
    <n v="0"/>
    <n v="0"/>
    <n v="1"/>
    <n v="94"/>
    <n v="0.188"/>
    <n v="0"/>
    <n v="0"/>
    <n v="0.81200000000000006"/>
    <n v="1"/>
    <n v="5"/>
    <n v="1"/>
    <n v="94"/>
    <n v="0"/>
    <n v="0"/>
    <n v="0"/>
    <n v="0"/>
    <n v="5"/>
    <n v="0"/>
    <n v="0"/>
    <n v="0"/>
    <n v="94"/>
    <n v="94"/>
    <n v="20"/>
    <n v="94"/>
    <n v="94"/>
    <n v="1"/>
    <n v="0"/>
    <n v="1"/>
    <n v="1"/>
    <n v="1"/>
    <n v="2"/>
    <n v="19"/>
    <n v="0"/>
    <n v="94"/>
    <s v="No"/>
    <s v=""/>
    <n v="0"/>
    <n v="0"/>
    <n v="0"/>
    <n v="0"/>
    <x v="0"/>
    <x v="1"/>
    <x v="1"/>
    <n v="0"/>
    <n v="0"/>
    <n v="0"/>
    <x v="0"/>
    <n v="0"/>
  </r>
  <r>
    <x v="1"/>
    <x v="2"/>
    <x v="2"/>
    <s v="UNICEF, MHF, WHH(AA)"/>
    <x v="1"/>
    <x v="13"/>
    <x v="1"/>
    <x v="80"/>
    <n v="52"/>
    <n v="259"/>
    <s v="2-01-2019, 10-30-Oct-2019"/>
    <s v="4-30-2021, 9-30-2020"/>
    <m/>
    <n v="1"/>
    <m/>
    <m/>
    <s v="Yes"/>
    <n v="3"/>
    <n v="3"/>
    <n v="1"/>
    <m/>
    <m/>
    <n v="1"/>
    <n v="2"/>
    <m/>
    <m/>
    <n v="24"/>
    <m/>
    <m/>
    <m/>
    <m/>
    <m/>
    <n v="3"/>
    <m/>
    <m/>
    <m/>
    <m/>
    <m/>
    <m/>
    <m/>
    <m/>
    <n v="12"/>
    <m/>
    <m/>
    <m/>
    <m/>
    <m/>
    <m/>
    <m/>
    <x v="1"/>
    <x v="4"/>
    <m/>
    <m/>
    <n v="1"/>
    <m/>
    <m/>
    <m/>
    <n v="7"/>
    <m/>
    <m/>
    <n v="1"/>
    <m/>
    <m/>
    <n v="1"/>
    <n v="53"/>
    <m/>
    <m/>
    <m/>
    <m/>
    <m/>
    <m/>
    <m/>
    <m/>
    <m/>
    <m/>
    <m/>
    <m/>
    <s v="no test"/>
    <s v="no test"/>
    <s v="No Test"/>
    <n v="1"/>
    <n v="3"/>
    <n v="24"/>
    <n v="0"/>
    <n v="0"/>
    <n v="0"/>
    <n v="1"/>
    <n v="1"/>
    <n v="1"/>
    <n v="259"/>
    <n v="0"/>
    <n v="0"/>
    <n v="1"/>
    <n v="259"/>
    <n v="0.51800000000000002"/>
    <n v="0"/>
    <n v="0"/>
    <n v="0.48199999999999998"/>
    <n v="1"/>
    <n v="12"/>
    <n v="0.92664092664092668"/>
    <n v="240"/>
    <n v="0"/>
    <n v="0"/>
    <n v="0"/>
    <n v="0"/>
    <n v="13"/>
    <n v="1"/>
    <n v="7.3359073359073323E-2"/>
    <n v="0"/>
    <n v="259"/>
    <n v="259"/>
    <n v="0"/>
    <n v="259"/>
    <n v="259"/>
    <n v="1"/>
    <n v="0"/>
    <n v="1"/>
    <n v="1"/>
    <n v="0"/>
    <n v="7"/>
    <n v="52"/>
    <n v="0"/>
    <n v="259"/>
    <s v="No"/>
    <s v=""/>
    <n v="0"/>
    <n v="0"/>
    <s v="Yes"/>
    <s v="KBC-NSS"/>
    <x v="0"/>
    <x v="1"/>
    <x v="1"/>
    <n v="23.450914000000001"/>
    <n v="97.926813999999993"/>
    <s v="MMR015CMP016"/>
    <x v="0"/>
    <s v="cccm_2019OCT"/>
  </r>
  <r>
    <x v="1"/>
    <x v="2"/>
    <x v="2"/>
    <s v="UNICEF, MHF, WHH(AA)"/>
    <x v="1"/>
    <x v="13"/>
    <x v="1"/>
    <x v="81"/>
    <n v="35"/>
    <n v="156"/>
    <s v="2-01-2019, 10-30-Oct-2019"/>
    <s v="4-30-2021, 9-30-2020"/>
    <m/>
    <m/>
    <m/>
    <m/>
    <m/>
    <n v="4"/>
    <n v="5"/>
    <n v="1"/>
    <m/>
    <m/>
    <n v="1"/>
    <m/>
    <m/>
    <m/>
    <n v="7"/>
    <m/>
    <m/>
    <m/>
    <m/>
    <m/>
    <m/>
    <m/>
    <m/>
    <m/>
    <m/>
    <m/>
    <m/>
    <m/>
    <m/>
    <n v="9"/>
    <m/>
    <m/>
    <m/>
    <m/>
    <m/>
    <m/>
    <m/>
    <x v="1"/>
    <x v="1"/>
    <m/>
    <m/>
    <m/>
    <m/>
    <m/>
    <m/>
    <n v="4"/>
    <m/>
    <m/>
    <n v="2"/>
    <m/>
    <m/>
    <n v="1"/>
    <n v="34"/>
    <m/>
    <s v="No"/>
    <m/>
    <m/>
    <m/>
    <m/>
    <m/>
    <m/>
    <m/>
    <m/>
    <m/>
    <m/>
    <s v="no test"/>
    <s v="no test"/>
    <s v="No Test"/>
    <n v="1"/>
    <n v="1"/>
    <n v="7"/>
    <n v="0"/>
    <n v="0"/>
    <n v="0"/>
    <n v="1"/>
    <n v="1"/>
    <n v="1"/>
    <n v="156"/>
    <n v="0"/>
    <n v="0"/>
    <n v="1"/>
    <n v="156"/>
    <n v="0.312"/>
    <n v="0"/>
    <n v="0"/>
    <n v="0.68799999999999994"/>
    <n v="1"/>
    <n v="9"/>
    <n v="1"/>
    <n v="156"/>
    <n v="0"/>
    <n v="0"/>
    <n v="0"/>
    <n v="0"/>
    <n v="8"/>
    <n v="0"/>
    <n v="0"/>
    <n v="0"/>
    <n v="156"/>
    <n v="156"/>
    <n v="0"/>
    <n v="156"/>
    <n v="156"/>
    <n v="1"/>
    <n v="0"/>
    <n v="1"/>
    <n v="1"/>
    <n v="0"/>
    <n v="4"/>
    <n v="35"/>
    <n v="0"/>
    <n v="156"/>
    <s v="No"/>
    <s v=""/>
    <n v="0"/>
    <n v="0"/>
    <s v="Yes"/>
    <s v="KBC-NSS"/>
    <x v="0"/>
    <x v="1"/>
    <x v="1"/>
    <n v="23.460349999999998"/>
    <n v="97.947360000000003"/>
    <s v="MMR015CMP245"/>
    <x v="0"/>
    <s v="cccm_2019OCT"/>
  </r>
  <r>
    <x v="1"/>
    <x v="2"/>
    <x v="2"/>
    <s v="UNICEF, MHF, WHH(AA)"/>
    <x v="1"/>
    <x v="13"/>
    <x v="1"/>
    <x v="82"/>
    <n v="30"/>
    <n v="138"/>
    <s v="2-01-2019, 10-30-Oct-2019"/>
    <s v="4-30-2021, 9-30-2020"/>
    <m/>
    <m/>
    <m/>
    <m/>
    <m/>
    <n v="3"/>
    <n v="2"/>
    <m/>
    <m/>
    <m/>
    <m/>
    <m/>
    <m/>
    <m/>
    <n v="38"/>
    <m/>
    <m/>
    <m/>
    <m/>
    <m/>
    <n v="3"/>
    <m/>
    <m/>
    <m/>
    <m/>
    <m/>
    <m/>
    <m/>
    <s v="Although Kutkai downtown (RC) church camp and Zup Aung camp differ namely, on the ground situation, they are in same compound and they use the same water source."/>
    <n v="27"/>
    <m/>
    <m/>
    <m/>
    <m/>
    <m/>
    <m/>
    <n v="2"/>
    <x v="1"/>
    <x v="4"/>
    <m/>
    <m/>
    <m/>
    <m/>
    <m/>
    <m/>
    <n v="4"/>
    <m/>
    <m/>
    <n v="2"/>
    <m/>
    <m/>
    <n v="1"/>
    <n v="27"/>
    <m/>
    <m/>
    <m/>
    <m/>
    <m/>
    <m/>
    <m/>
    <m/>
    <m/>
    <m/>
    <m/>
    <m/>
    <s v="no test"/>
    <s v="no test"/>
    <s v="No Test"/>
    <n v="0"/>
    <n v="0"/>
    <n v="38"/>
    <n v="0"/>
    <n v="0"/>
    <n v="0"/>
    <n v="1"/>
    <n v="1"/>
    <n v="1"/>
    <n v="138"/>
    <n v="0"/>
    <n v="0"/>
    <n v="1"/>
    <n v="138"/>
    <n v="0.27600000000000002"/>
    <n v="0"/>
    <n v="0"/>
    <n v="0.72399999999999998"/>
    <n v="1"/>
    <n v="27"/>
    <n v="1"/>
    <n v="138"/>
    <n v="0"/>
    <n v="0"/>
    <n v="0"/>
    <n v="0"/>
    <n v="7"/>
    <n v="0"/>
    <n v="0"/>
    <n v="0"/>
    <n v="138"/>
    <n v="135"/>
    <n v="0"/>
    <n v="135"/>
    <n v="138"/>
    <n v="1"/>
    <n v="0"/>
    <n v="1"/>
    <n v="1"/>
    <n v="0"/>
    <n v="4"/>
    <n v="30"/>
    <n v="0"/>
    <n v="138"/>
    <s v="No"/>
    <s v=""/>
    <n v="0"/>
    <n v="0"/>
    <s v="Yes"/>
    <s v="KMSS-LSO"/>
    <x v="0"/>
    <x v="1"/>
    <x v="1"/>
    <n v="23.460349999999998"/>
    <n v="97.947360000000003"/>
    <s v="MMR015CMP017"/>
    <x v="0"/>
    <s v="cccm_2019OCT"/>
  </r>
  <r>
    <x v="1"/>
    <x v="2"/>
    <x v="2"/>
    <s v="UNICEF, MHF, WHH(AA)"/>
    <x v="1"/>
    <x v="15"/>
    <x v="1"/>
    <x v="83"/>
    <n v="38"/>
    <n v="267"/>
    <s v="2-01-2019, 10-30-Oct-2019"/>
    <s v="4-30-2021, 9-30-2020"/>
    <m/>
    <m/>
    <n v="1"/>
    <m/>
    <s v="Yes"/>
    <n v="4"/>
    <n v="3"/>
    <n v="1"/>
    <m/>
    <m/>
    <n v="1"/>
    <m/>
    <m/>
    <m/>
    <n v="32"/>
    <m/>
    <m/>
    <m/>
    <m/>
    <m/>
    <n v="3"/>
    <m/>
    <m/>
    <m/>
    <m/>
    <m/>
    <n v="2"/>
    <m/>
    <m/>
    <n v="16"/>
    <m/>
    <m/>
    <m/>
    <m/>
    <m/>
    <m/>
    <m/>
    <x v="1"/>
    <x v="1"/>
    <m/>
    <m/>
    <m/>
    <m/>
    <m/>
    <m/>
    <n v="11"/>
    <m/>
    <m/>
    <n v="2"/>
    <m/>
    <m/>
    <n v="1"/>
    <n v="60"/>
    <m/>
    <m/>
    <m/>
    <m/>
    <m/>
    <m/>
    <m/>
    <m/>
    <m/>
    <m/>
    <m/>
    <m/>
    <s v="no test"/>
    <s v="no test"/>
    <s v="No Test"/>
    <n v="1"/>
    <n v="1"/>
    <n v="32"/>
    <n v="0"/>
    <n v="0"/>
    <n v="0"/>
    <n v="1"/>
    <n v="1"/>
    <n v="1"/>
    <n v="267"/>
    <n v="0"/>
    <n v="0"/>
    <n v="1"/>
    <n v="267"/>
    <n v="0.53400000000000003"/>
    <n v="0"/>
    <n v="0"/>
    <n v="0.46599999999999997"/>
    <n v="1"/>
    <n v="16"/>
    <n v="1"/>
    <n v="267"/>
    <n v="0"/>
    <n v="0"/>
    <n v="0"/>
    <n v="0"/>
    <n v="13"/>
    <n v="0"/>
    <n v="0"/>
    <n v="0"/>
    <n v="267"/>
    <n v="267"/>
    <n v="0"/>
    <n v="267"/>
    <n v="267"/>
    <n v="1"/>
    <n v="0"/>
    <n v="1"/>
    <n v="1"/>
    <n v="0"/>
    <n v="11"/>
    <n v="38"/>
    <n v="0"/>
    <n v="267"/>
    <s v="No"/>
    <s v=""/>
    <n v="0"/>
    <n v="0"/>
    <s v="Yes"/>
    <s v="KMSS-LSO"/>
    <x v="0"/>
    <x v="1"/>
    <x v="1"/>
    <n v="23.099304"/>
    <n v="97.400671000000003"/>
    <s v="MMR015CMP248"/>
    <x v="0"/>
    <e v="#N/A"/>
  </r>
  <r>
    <x v="1"/>
    <x v="0"/>
    <x v="0"/>
    <s v="PLAN(GFFO),MHF13490"/>
    <x v="0"/>
    <x v="10"/>
    <x v="0"/>
    <x v="22"/>
    <n v="42"/>
    <n v="197"/>
    <s v="5-1-2019,10-1-2019"/>
    <s v="9-30-2020,7-31-2020"/>
    <m/>
    <n v="4"/>
    <m/>
    <m/>
    <s v="Yes"/>
    <n v="2"/>
    <n v="2"/>
    <m/>
    <m/>
    <m/>
    <n v="2"/>
    <m/>
    <m/>
    <m/>
    <m/>
    <m/>
    <m/>
    <m/>
    <m/>
    <m/>
    <m/>
    <n v="2"/>
    <n v="3"/>
    <n v="2"/>
    <n v="5"/>
    <n v="5"/>
    <n v="1"/>
    <m/>
    <s v="Water safety plan need to install"/>
    <n v="7"/>
    <m/>
    <m/>
    <m/>
    <n v="7"/>
    <m/>
    <m/>
    <n v="6"/>
    <x v="1"/>
    <x v="1"/>
    <m/>
    <m/>
    <m/>
    <m/>
    <n v="4"/>
    <s v="Need waste truck and disludging truck"/>
    <n v="3"/>
    <m/>
    <m/>
    <n v="2"/>
    <m/>
    <m/>
    <n v="2"/>
    <n v="42"/>
    <n v="74"/>
    <s v="No"/>
    <m/>
    <m/>
    <s v="need more hygiene items especially MHM Kits"/>
    <n v="1"/>
    <n v="1"/>
    <n v="197"/>
    <n v="1"/>
    <m/>
    <m/>
    <m/>
    <n v="0.66666666666666663"/>
    <n v="1"/>
    <s v="Tested"/>
    <n v="0"/>
    <n v="2"/>
    <n v="0"/>
    <n v="0"/>
    <n v="0"/>
    <n v="0"/>
    <n v="1"/>
    <n v="1"/>
    <n v="1"/>
    <n v="197"/>
    <n v="0"/>
    <n v="0"/>
    <n v="1"/>
    <n v="197"/>
    <n v="0.39400000000000002"/>
    <n v="0"/>
    <n v="0"/>
    <n v="0.60599999999999998"/>
    <n v="1"/>
    <n v="7"/>
    <n v="0.73096446700507611"/>
    <n v="144"/>
    <n v="0"/>
    <n v="0"/>
    <n v="0"/>
    <n v="0"/>
    <n v="10"/>
    <n v="3"/>
    <n v="0.26903553299492389"/>
    <n v="0"/>
    <n v="197"/>
    <n v="197"/>
    <n v="74"/>
    <n v="197"/>
    <n v="197"/>
    <n v="1"/>
    <n v="0"/>
    <n v="1"/>
    <n v="1"/>
    <n v="1"/>
    <n v="3"/>
    <n v="42"/>
    <n v="0"/>
    <n v="197"/>
    <s v="No"/>
    <n v="1"/>
    <n v="0"/>
    <n v="0"/>
    <n v="0"/>
    <n v="0"/>
    <x v="0"/>
    <x v="0"/>
    <x v="1"/>
    <n v="0"/>
    <n v="0"/>
    <n v="0"/>
    <x v="0"/>
    <n v="0"/>
  </r>
  <r>
    <x v="1"/>
    <x v="2"/>
    <x v="2"/>
    <s v="UNICEF, MHF, WHH(AA)"/>
    <x v="1"/>
    <x v="15"/>
    <x v="1"/>
    <x v="85"/>
    <n v="28"/>
    <n v="146"/>
    <s v="2-01-2019, 10-30-Oct-2019"/>
    <s v="4-30-2021, 9-30-2020"/>
    <m/>
    <m/>
    <n v="1"/>
    <m/>
    <s v="Yes"/>
    <n v="3"/>
    <n v="3"/>
    <m/>
    <m/>
    <m/>
    <n v="2"/>
    <m/>
    <m/>
    <m/>
    <n v="60"/>
    <m/>
    <m/>
    <m/>
    <m/>
    <m/>
    <n v="3"/>
    <m/>
    <m/>
    <m/>
    <m/>
    <m/>
    <m/>
    <m/>
    <m/>
    <n v="10"/>
    <n v="2"/>
    <m/>
    <m/>
    <m/>
    <m/>
    <m/>
    <n v="2"/>
    <x v="1"/>
    <x v="1"/>
    <m/>
    <m/>
    <m/>
    <m/>
    <m/>
    <m/>
    <n v="11"/>
    <m/>
    <m/>
    <n v="3"/>
    <m/>
    <m/>
    <n v="1"/>
    <n v="30"/>
    <m/>
    <m/>
    <m/>
    <m/>
    <m/>
    <m/>
    <m/>
    <m/>
    <m/>
    <m/>
    <m/>
    <m/>
    <s v="no test"/>
    <s v="no test"/>
    <s v="No Test"/>
    <n v="0"/>
    <n v="2"/>
    <n v="60"/>
    <n v="0"/>
    <n v="0"/>
    <n v="0"/>
    <n v="1"/>
    <n v="1"/>
    <n v="1"/>
    <n v="146"/>
    <n v="0"/>
    <n v="0"/>
    <n v="1"/>
    <n v="146"/>
    <n v="0.29199999999999998"/>
    <n v="0"/>
    <n v="0"/>
    <n v="0.70799999999999996"/>
    <n v="1"/>
    <n v="12"/>
    <n v="1"/>
    <n v="146"/>
    <n v="0"/>
    <n v="0"/>
    <n v="0"/>
    <n v="0"/>
    <n v="7"/>
    <n v="0"/>
    <n v="0"/>
    <n v="0"/>
    <n v="146"/>
    <n v="146"/>
    <n v="0"/>
    <n v="146"/>
    <n v="146"/>
    <n v="1"/>
    <n v="0"/>
    <n v="1"/>
    <n v="1"/>
    <n v="0"/>
    <n v="11"/>
    <n v="28"/>
    <n v="0"/>
    <n v="146"/>
    <s v="No"/>
    <s v=""/>
    <n v="0"/>
    <n v="0"/>
    <s v="Yes"/>
    <s v="KMSS-LSO"/>
    <x v="0"/>
    <x v="1"/>
    <x v="1"/>
    <n v="0"/>
    <n v="0"/>
    <s v="MMR015CMP232"/>
    <x v="0"/>
    <e v="#N/A"/>
  </r>
  <r>
    <x v="1"/>
    <x v="2"/>
    <x v="2"/>
    <s v="UNICEF, MHF, WHH(AA)"/>
    <x v="1"/>
    <x v="13"/>
    <x v="1"/>
    <x v="86"/>
    <n v="69"/>
    <n v="721"/>
    <s v="2-01-2019, 10-30-Oct-2019"/>
    <s v="4-30-2021, 9-30-2020"/>
    <m/>
    <m/>
    <m/>
    <m/>
    <m/>
    <n v="6"/>
    <n v="3"/>
    <m/>
    <m/>
    <m/>
    <m/>
    <m/>
    <m/>
    <m/>
    <n v="47"/>
    <m/>
    <m/>
    <m/>
    <m/>
    <m/>
    <n v="3"/>
    <m/>
    <m/>
    <m/>
    <m/>
    <m/>
    <n v="1"/>
    <n v="2"/>
    <m/>
    <n v="85"/>
    <m/>
    <m/>
    <m/>
    <m/>
    <m/>
    <m/>
    <n v="5"/>
    <x v="1"/>
    <x v="2"/>
    <m/>
    <m/>
    <m/>
    <m/>
    <m/>
    <m/>
    <n v="2"/>
    <m/>
    <m/>
    <n v="1"/>
    <m/>
    <n v="1"/>
    <m/>
    <n v="70"/>
    <m/>
    <m/>
    <m/>
    <m/>
    <m/>
    <m/>
    <m/>
    <m/>
    <m/>
    <m/>
    <m/>
    <m/>
    <s v="no test"/>
    <s v="no test"/>
    <s v="No Test"/>
    <n v="0"/>
    <n v="0"/>
    <n v="47"/>
    <n v="0"/>
    <n v="0"/>
    <n v="1000"/>
    <n v="1"/>
    <n v="1"/>
    <n v="1"/>
    <n v="721"/>
    <n v="0"/>
    <n v="0"/>
    <n v="1"/>
    <n v="721"/>
    <n v="1.4419999999999999"/>
    <n v="0"/>
    <n v="0"/>
    <n v="0"/>
    <n v="1"/>
    <n v="85"/>
    <n v="1"/>
    <n v="721"/>
    <n v="0"/>
    <n v="0"/>
    <n v="0"/>
    <n v="0"/>
    <n v="36"/>
    <n v="0"/>
    <n v="0"/>
    <n v="0"/>
    <n v="500"/>
    <n v="350"/>
    <n v="0"/>
    <n v="350"/>
    <n v="500"/>
    <n v="0.69348127600554788"/>
    <n v="0.30651872399445212"/>
    <n v="0.69348127600554788"/>
    <n v="1"/>
    <n v="0"/>
    <n v="2"/>
    <n v="40"/>
    <n v="0"/>
    <n v="200"/>
    <s v="No"/>
    <s v=""/>
    <n v="0"/>
    <n v="1000"/>
    <s v="Yes"/>
    <s v="KMSS-LSO"/>
    <x v="0"/>
    <x v="1"/>
    <x v="1"/>
    <n v="23.591999999999999"/>
    <n v="97.796999999999997"/>
    <s v="MMR015CMP220"/>
    <x v="0"/>
    <s v="cccm_2019OCT"/>
  </r>
  <r>
    <x v="1"/>
    <x v="2"/>
    <x v="2"/>
    <s v="WHH-AA, USAID, MHF"/>
    <x v="0"/>
    <x v="7"/>
    <x v="1"/>
    <x v="87"/>
    <n v="127"/>
    <n v="741"/>
    <s v="10-1-2018, 9-30-2019, 6-1-2020"/>
    <s v="9-30-2020, 8-31-2020, 11-30-2020"/>
    <m/>
    <m/>
    <m/>
    <m/>
    <s v="No"/>
    <m/>
    <m/>
    <m/>
    <m/>
    <m/>
    <n v="2"/>
    <n v="1"/>
    <m/>
    <m/>
    <m/>
    <m/>
    <m/>
    <m/>
    <m/>
    <m/>
    <m/>
    <m/>
    <m/>
    <m/>
    <m/>
    <m/>
    <m/>
    <m/>
    <m/>
    <n v="40"/>
    <m/>
    <m/>
    <m/>
    <m/>
    <m/>
    <m/>
    <m/>
    <x v="1"/>
    <x v="1"/>
    <m/>
    <m/>
    <m/>
    <m/>
    <m/>
    <m/>
    <n v="17"/>
    <m/>
    <m/>
    <n v="5"/>
    <m/>
    <m/>
    <n v="1"/>
    <n v="97"/>
    <n v="126"/>
    <m/>
    <m/>
    <m/>
    <m/>
    <n v="1"/>
    <n v="1"/>
    <m/>
    <n v="0"/>
    <m/>
    <m/>
    <m/>
    <s v="no test"/>
    <s v="no test"/>
    <s v="No Test"/>
    <n v="0"/>
    <n v="3"/>
    <n v="0"/>
    <n v="0"/>
    <n v="0"/>
    <n v="0"/>
    <n v="1"/>
    <n v="1"/>
    <n v="1"/>
    <n v="741"/>
    <n v="0"/>
    <n v="0"/>
    <n v="1"/>
    <n v="741"/>
    <n v="1.482"/>
    <n v="0"/>
    <n v="0"/>
    <n v="0"/>
    <n v="1"/>
    <n v="40"/>
    <n v="1"/>
    <n v="741"/>
    <n v="0"/>
    <n v="0"/>
    <n v="0"/>
    <n v="0"/>
    <n v="37"/>
    <n v="0"/>
    <n v="0"/>
    <n v="0"/>
    <n v="500"/>
    <n v="485"/>
    <n v="126"/>
    <n v="485"/>
    <n v="500"/>
    <n v="0.67476383265856954"/>
    <n v="0.32523616734143046"/>
    <n v="0.67476383265856954"/>
    <n v="1"/>
    <n v="0.99212598425196852"/>
    <n v="17"/>
    <n v="127"/>
    <n v="0"/>
    <n v="741"/>
    <s v="No"/>
    <s v=""/>
    <n v="0"/>
    <n v="0"/>
    <s v="Yes"/>
    <s v="KMSS-BMO"/>
    <x v="0"/>
    <x v="1"/>
    <x v="1"/>
    <n v="24.245100000000001"/>
    <n v="97.325019999999995"/>
    <s v="MMR001CMP062"/>
    <x v="0"/>
    <s v="cccm_2019OCT"/>
  </r>
  <r>
    <x v="1"/>
    <x v="2"/>
    <x v="2"/>
    <s v="UNICEF, MHF, WHH(AA)"/>
    <x v="1"/>
    <x v="13"/>
    <x v="1"/>
    <x v="88"/>
    <n v="24"/>
    <n v="85"/>
    <s v="2-01-2019, 10-30-Oct-2019"/>
    <s v="4-30-2021, 9-30-2020"/>
    <m/>
    <m/>
    <m/>
    <m/>
    <m/>
    <m/>
    <m/>
    <m/>
    <m/>
    <m/>
    <m/>
    <m/>
    <m/>
    <m/>
    <m/>
    <m/>
    <m/>
    <m/>
    <m/>
    <m/>
    <m/>
    <m/>
    <m/>
    <m/>
    <m/>
    <m/>
    <m/>
    <m/>
    <m/>
    <n v="4"/>
    <m/>
    <m/>
    <m/>
    <m/>
    <m/>
    <m/>
    <m/>
    <x v="3"/>
    <x v="3"/>
    <m/>
    <m/>
    <m/>
    <m/>
    <m/>
    <m/>
    <m/>
    <m/>
    <m/>
    <m/>
    <m/>
    <m/>
    <m/>
    <n v="25"/>
    <m/>
    <s v="No"/>
    <m/>
    <m/>
    <m/>
    <m/>
    <m/>
    <m/>
    <m/>
    <m/>
    <m/>
    <m/>
    <s v="no test"/>
    <s v="no test"/>
    <s v="No Test"/>
    <n v="0"/>
    <n v="0"/>
    <n v="0"/>
    <n v="0"/>
    <n v="0"/>
    <n v="0"/>
    <n v="0"/>
    <n v="0"/>
    <n v="0"/>
    <n v="0"/>
    <n v="0"/>
    <n v="0"/>
    <n v="0"/>
    <n v="0"/>
    <n v="0"/>
    <n v="1"/>
    <n v="85"/>
    <n v="1"/>
    <n v="1"/>
    <n v="4"/>
    <n v="0.94117647058823528"/>
    <n v="80"/>
    <n v="0"/>
    <n v="0"/>
    <n v="0"/>
    <n v="0"/>
    <n v="4"/>
    <n v="0"/>
    <n v="5.8823529411764719E-2"/>
    <n v="0"/>
    <n v="0"/>
    <n v="85"/>
    <n v="0"/>
    <n v="85"/>
    <n v="85"/>
    <n v="1"/>
    <n v="0"/>
    <n v="0"/>
    <n v="1"/>
    <n v="0"/>
    <n v="0"/>
    <n v="0"/>
    <n v="0"/>
    <n v="0"/>
    <s v="No"/>
    <s v=""/>
    <n v="0"/>
    <n v="0"/>
    <n v="0"/>
    <s v="uncovered"/>
    <x v="0"/>
    <x v="0"/>
    <x v="1"/>
    <n v="0"/>
    <n v="0"/>
    <s v="MMR015CMP246"/>
    <x v="0"/>
    <s v="cccm_2019OCT"/>
  </r>
  <r>
    <x v="1"/>
    <x v="2"/>
    <x v="2"/>
    <s v="UNICEF, MHF, WHH(AA)"/>
    <x v="0"/>
    <x v="9"/>
    <x v="1"/>
    <x v="89"/>
    <n v="98"/>
    <n v="529"/>
    <s v="2-01-2019, 10-30-Oct-2019"/>
    <s v="4-30-2021, 9-30-2020"/>
    <m/>
    <n v="1"/>
    <m/>
    <m/>
    <s v="Yes"/>
    <m/>
    <m/>
    <m/>
    <m/>
    <m/>
    <m/>
    <m/>
    <m/>
    <m/>
    <m/>
    <m/>
    <m/>
    <m/>
    <m/>
    <m/>
    <m/>
    <m/>
    <m/>
    <m/>
    <m/>
    <m/>
    <m/>
    <m/>
    <m/>
    <n v="8"/>
    <m/>
    <m/>
    <m/>
    <m/>
    <m/>
    <m/>
    <m/>
    <x v="3"/>
    <x v="3"/>
    <m/>
    <m/>
    <m/>
    <m/>
    <m/>
    <m/>
    <m/>
    <m/>
    <m/>
    <m/>
    <m/>
    <m/>
    <n v="1"/>
    <m/>
    <m/>
    <m/>
    <m/>
    <m/>
    <m/>
    <m/>
    <m/>
    <m/>
    <m/>
    <m/>
    <m/>
    <m/>
    <s v="no test"/>
    <s v="no test"/>
    <s v="No Test"/>
    <n v="0"/>
    <n v="0"/>
    <n v="0"/>
    <n v="0"/>
    <n v="0"/>
    <n v="0"/>
    <n v="0"/>
    <n v="0"/>
    <n v="0"/>
    <n v="0"/>
    <n v="0"/>
    <n v="0"/>
    <n v="0"/>
    <n v="0"/>
    <n v="0"/>
    <n v="1"/>
    <n v="529"/>
    <n v="1"/>
    <n v="1"/>
    <n v="8"/>
    <n v="0.30245746691871456"/>
    <n v="160"/>
    <n v="0"/>
    <n v="0"/>
    <n v="0"/>
    <n v="0"/>
    <n v="26"/>
    <n v="18"/>
    <n v="0.69754253308128544"/>
    <n v="0"/>
    <n v="500"/>
    <n v="0"/>
    <n v="0"/>
    <n v="0"/>
    <n v="500"/>
    <n v="0.94517958412098302"/>
    <n v="5.4820415879016982E-2"/>
    <n v="0.94517958412098302"/>
    <n v="0"/>
    <n v="0"/>
    <n v="0"/>
    <n v="0"/>
    <n v="0"/>
    <n v="0"/>
    <s v="No"/>
    <s v=""/>
    <n v="0"/>
    <n v="0"/>
    <s v="Yes"/>
    <s v="KBC-NSS"/>
    <x v="0"/>
    <x v="1"/>
    <x v="1"/>
    <n v="23.83013"/>
    <n v="97.589979999999997"/>
    <s v="MMR001CMP133"/>
    <x v="0"/>
    <s v="cccm_2019OCT"/>
  </r>
  <r>
    <x v="1"/>
    <x v="2"/>
    <x v="2"/>
    <s v="UNICEF, MHF, WHH(AA)"/>
    <x v="0"/>
    <x v="9"/>
    <x v="1"/>
    <x v="90"/>
    <n v="120"/>
    <n v="535"/>
    <s v="2-01-2019, 10-30-Oct-2019"/>
    <s v="4-30-2021, 9-30-2020"/>
    <m/>
    <m/>
    <m/>
    <m/>
    <m/>
    <m/>
    <m/>
    <m/>
    <m/>
    <m/>
    <m/>
    <m/>
    <m/>
    <m/>
    <m/>
    <m/>
    <m/>
    <m/>
    <m/>
    <m/>
    <m/>
    <m/>
    <m/>
    <m/>
    <m/>
    <m/>
    <m/>
    <m/>
    <m/>
    <n v="12"/>
    <m/>
    <m/>
    <m/>
    <m/>
    <m/>
    <m/>
    <m/>
    <x v="3"/>
    <x v="3"/>
    <m/>
    <m/>
    <m/>
    <m/>
    <m/>
    <m/>
    <m/>
    <m/>
    <m/>
    <m/>
    <m/>
    <m/>
    <m/>
    <m/>
    <m/>
    <m/>
    <m/>
    <m/>
    <m/>
    <m/>
    <m/>
    <m/>
    <m/>
    <m/>
    <m/>
    <m/>
    <s v="no test"/>
    <s v="no test"/>
    <s v="No Test"/>
    <n v="0"/>
    <n v="0"/>
    <n v="0"/>
    <n v="0"/>
    <n v="0"/>
    <n v="0"/>
    <n v="0"/>
    <n v="0"/>
    <n v="0"/>
    <n v="0"/>
    <n v="0"/>
    <n v="0"/>
    <n v="0"/>
    <n v="0"/>
    <n v="0"/>
    <n v="1"/>
    <n v="535"/>
    <n v="1"/>
    <n v="1"/>
    <n v="12"/>
    <n v="0.44859813084112149"/>
    <n v="240"/>
    <n v="0"/>
    <n v="0"/>
    <n v="0"/>
    <n v="0"/>
    <n v="27"/>
    <n v="15"/>
    <n v="0.55140186915887845"/>
    <n v="0"/>
    <n v="0"/>
    <n v="0"/>
    <n v="0"/>
    <n v="0"/>
    <n v="0"/>
    <n v="0"/>
    <n v="1"/>
    <n v="0"/>
    <n v="0"/>
    <n v="0"/>
    <n v="0"/>
    <n v="0"/>
    <n v="0"/>
    <n v="0"/>
    <s v="No"/>
    <s v=""/>
    <n v="0"/>
    <n v="0"/>
    <s v="Yes"/>
    <s v="KBC-NSS"/>
    <x v="0"/>
    <x v="1"/>
    <x v="1"/>
    <n v="23.829599000000002"/>
    <n v="97.590767"/>
    <s v="MMR001CMP230"/>
    <x v="0"/>
    <s v="cccm_2019OCT"/>
  </r>
  <r>
    <x v="1"/>
    <x v="2"/>
    <x v="2"/>
    <s v="UNICEF, MHF, WHH(AA)"/>
    <x v="0"/>
    <x v="9"/>
    <x v="1"/>
    <x v="91"/>
    <n v="471"/>
    <n v="2306"/>
    <s v="2-01-2019, 10-30-Oct-2019"/>
    <s v="4-30-2021, 9-30-2020"/>
    <m/>
    <m/>
    <m/>
    <m/>
    <m/>
    <m/>
    <m/>
    <m/>
    <m/>
    <m/>
    <m/>
    <m/>
    <m/>
    <m/>
    <m/>
    <m/>
    <m/>
    <m/>
    <m/>
    <m/>
    <m/>
    <m/>
    <m/>
    <m/>
    <m/>
    <m/>
    <m/>
    <m/>
    <m/>
    <m/>
    <m/>
    <m/>
    <m/>
    <m/>
    <m/>
    <m/>
    <m/>
    <x v="3"/>
    <x v="3"/>
    <m/>
    <m/>
    <m/>
    <m/>
    <m/>
    <m/>
    <m/>
    <m/>
    <m/>
    <m/>
    <m/>
    <m/>
    <n v="1"/>
    <m/>
    <m/>
    <m/>
    <m/>
    <m/>
    <m/>
    <m/>
    <m/>
    <m/>
    <m/>
    <m/>
    <m/>
    <m/>
    <s v="no test"/>
    <s v="no test"/>
    <s v="No Test"/>
    <n v="0"/>
    <n v="0"/>
    <n v="0"/>
    <n v="0"/>
    <n v="0"/>
    <n v="0"/>
    <n v="0"/>
    <n v="0"/>
    <n v="0"/>
    <n v="0"/>
    <n v="0"/>
    <n v="0"/>
    <n v="0"/>
    <n v="0"/>
    <n v="0"/>
    <n v="1"/>
    <n v="2306"/>
    <n v="5"/>
    <n v="5"/>
    <n v="0"/>
    <n v="0"/>
    <n v="0"/>
    <n v="0"/>
    <n v="0"/>
    <n v="0"/>
    <n v="0"/>
    <n v="115"/>
    <n v="115"/>
    <n v="1"/>
    <n v="0"/>
    <n v="500"/>
    <n v="0"/>
    <n v="0"/>
    <n v="0"/>
    <n v="500"/>
    <n v="0.2168256721595837"/>
    <n v="0.7831743278404163"/>
    <n v="0.2168256721595837"/>
    <n v="0"/>
    <n v="0"/>
    <n v="0"/>
    <n v="0"/>
    <n v="0"/>
    <n v="0"/>
    <s v="No"/>
    <s v=""/>
    <n v="0"/>
    <n v="0"/>
    <s v="Yes"/>
    <s v="KMSS-BMO"/>
    <x v="0"/>
    <x v="1"/>
    <x v="1"/>
    <n v="23.835319999999999"/>
    <n v="97.578490000000002"/>
    <s v="MMR001CMP132"/>
    <x v="0"/>
    <s v="cccm_2019OCT"/>
  </r>
  <r>
    <x v="1"/>
    <x v="2"/>
    <x v="2"/>
    <s v="UNICEF, MHF, WHH(AA)"/>
    <x v="0"/>
    <x v="9"/>
    <x v="1"/>
    <x v="92"/>
    <n v="144"/>
    <n v="631"/>
    <s v="2-01-2019, 10-30-Oct-2019"/>
    <s v="4-30-2021, 9-30-2020"/>
    <m/>
    <m/>
    <m/>
    <m/>
    <m/>
    <m/>
    <m/>
    <m/>
    <m/>
    <m/>
    <m/>
    <m/>
    <m/>
    <m/>
    <m/>
    <m/>
    <m/>
    <m/>
    <m/>
    <m/>
    <m/>
    <m/>
    <m/>
    <m/>
    <m/>
    <m/>
    <m/>
    <m/>
    <m/>
    <m/>
    <m/>
    <m/>
    <m/>
    <m/>
    <m/>
    <m/>
    <m/>
    <x v="3"/>
    <x v="3"/>
    <m/>
    <m/>
    <m/>
    <m/>
    <m/>
    <m/>
    <m/>
    <m/>
    <m/>
    <m/>
    <m/>
    <m/>
    <m/>
    <m/>
    <m/>
    <m/>
    <m/>
    <m/>
    <m/>
    <m/>
    <m/>
    <m/>
    <m/>
    <m/>
    <m/>
    <m/>
    <s v="no test"/>
    <s v="no test"/>
    <s v="No Test"/>
    <n v="0"/>
    <n v="0"/>
    <n v="0"/>
    <n v="0"/>
    <n v="0"/>
    <n v="0"/>
    <n v="0"/>
    <n v="0"/>
    <n v="0"/>
    <n v="0"/>
    <n v="0"/>
    <n v="0"/>
    <n v="0"/>
    <n v="0"/>
    <n v="0"/>
    <n v="1"/>
    <n v="631"/>
    <n v="1"/>
    <n v="1"/>
    <n v="0"/>
    <n v="0"/>
    <n v="0"/>
    <n v="0"/>
    <n v="0"/>
    <n v="0"/>
    <n v="0"/>
    <n v="32"/>
    <n v="32"/>
    <n v="1"/>
    <n v="0"/>
    <n v="0"/>
    <n v="0"/>
    <n v="0"/>
    <n v="0"/>
    <n v="0"/>
    <n v="0"/>
    <n v="1"/>
    <n v="0"/>
    <n v="0"/>
    <n v="0"/>
    <n v="0"/>
    <n v="0"/>
    <n v="0"/>
    <n v="0"/>
    <s v="No"/>
    <s v=""/>
    <n v="0"/>
    <n v="0"/>
    <s v="Yes"/>
    <s v="KMSS-BMO"/>
    <x v="0"/>
    <x v="1"/>
    <x v="1"/>
    <n v="23.833477999999999"/>
    <n v="97.578367"/>
    <s v="MMR001CMP228"/>
    <x v="0"/>
    <s v="cccm_2019OCT"/>
  </r>
  <r>
    <x v="1"/>
    <x v="2"/>
    <x v="2"/>
    <s v="UNICEF, WHH(AA)"/>
    <x v="0"/>
    <x v="9"/>
    <x v="1"/>
    <x v="93"/>
    <n v="204"/>
    <n v="1105"/>
    <s v="2-1-2019, 10-1-18"/>
    <s v="4-30-2020, 9-30-2020"/>
    <m/>
    <m/>
    <m/>
    <m/>
    <m/>
    <m/>
    <m/>
    <m/>
    <m/>
    <m/>
    <m/>
    <m/>
    <m/>
    <m/>
    <m/>
    <m/>
    <m/>
    <m/>
    <m/>
    <m/>
    <m/>
    <m/>
    <m/>
    <m/>
    <m/>
    <m/>
    <m/>
    <m/>
    <m/>
    <m/>
    <m/>
    <m/>
    <m/>
    <m/>
    <m/>
    <m/>
    <m/>
    <x v="3"/>
    <x v="3"/>
    <m/>
    <m/>
    <m/>
    <m/>
    <m/>
    <m/>
    <m/>
    <m/>
    <m/>
    <m/>
    <m/>
    <m/>
    <m/>
    <m/>
    <m/>
    <m/>
    <m/>
    <m/>
    <m/>
    <m/>
    <m/>
    <m/>
    <m/>
    <m/>
    <m/>
    <m/>
    <s v="no test"/>
    <s v="no test"/>
    <s v="No Test"/>
    <n v="0"/>
    <n v="0"/>
    <n v="0"/>
    <n v="0"/>
    <n v="0"/>
    <n v="0"/>
    <n v="0"/>
    <n v="0"/>
    <n v="0"/>
    <n v="0"/>
    <n v="0"/>
    <n v="0"/>
    <n v="0"/>
    <n v="0"/>
    <n v="0"/>
    <n v="1"/>
    <n v="1105"/>
    <n v="2"/>
    <n v="2"/>
    <n v="0"/>
    <n v="0"/>
    <n v="0"/>
    <n v="0"/>
    <n v="0"/>
    <n v="0"/>
    <n v="0"/>
    <n v="55"/>
    <n v="55"/>
    <n v="1"/>
    <n v="0"/>
    <n v="0"/>
    <n v="0"/>
    <n v="0"/>
    <n v="0"/>
    <n v="0"/>
    <n v="0"/>
    <n v="1"/>
    <n v="0"/>
    <n v="0"/>
    <n v="0"/>
    <n v="0"/>
    <n v="0"/>
    <n v="0"/>
    <n v="0"/>
    <s v="No"/>
    <s v=""/>
    <n v="0"/>
    <n v="0"/>
    <n v="0"/>
    <s v="uncovered"/>
    <x v="0"/>
    <x v="4"/>
    <x v="1"/>
    <n v="23.827870999999998"/>
    <n v="97.588291999999996"/>
    <s v="MMR001CMP134"/>
    <x v="0"/>
    <s v="cccm_2019OCT"/>
  </r>
  <r>
    <x v="1"/>
    <x v="2"/>
    <x v="2"/>
    <s v="UNICEF, MHF, WHH(AA)"/>
    <x v="1"/>
    <x v="16"/>
    <x v="1"/>
    <x v="95"/>
    <n v="29"/>
    <n v="135"/>
    <s v="2-01-2019, 10-30-Oct-2019"/>
    <s v="4-30-2021, 9-30-2020"/>
    <m/>
    <m/>
    <n v="1"/>
    <m/>
    <s v="Yes"/>
    <m/>
    <m/>
    <m/>
    <m/>
    <m/>
    <n v="1"/>
    <n v="1"/>
    <m/>
    <m/>
    <m/>
    <m/>
    <m/>
    <m/>
    <m/>
    <m/>
    <m/>
    <m/>
    <m/>
    <m/>
    <m/>
    <m/>
    <m/>
    <m/>
    <m/>
    <n v="18"/>
    <m/>
    <m/>
    <m/>
    <m/>
    <m/>
    <m/>
    <m/>
    <x v="1"/>
    <x v="1"/>
    <m/>
    <m/>
    <m/>
    <m/>
    <m/>
    <m/>
    <m/>
    <m/>
    <m/>
    <n v="5"/>
    <m/>
    <m/>
    <n v="1"/>
    <n v="28"/>
    <m/>
    <s v="No"/>
    <m/>
    <m/>
    <m/>
    <m/>
    <m/>
    <m/>
    <m/>
    <m/>
    <m/>
    <m/>
    <s v="no test"/>
    <s v="no test"/>
    <s v="No Test"/>
    <n v="0"/>
    <n v="2"/>
    <n v="0"/>
    <n v="0"/>
    <n v="0"/>
    <n v="0"/>
    <n v="1"/>
    <n v="1"/>
    <n v="1"/>
    <n v="135"/>
    <n v="0"/>
    <n v="0"/>
    <n v="1"/>
    <n v="135"/>
    <n v="0.27"/>
    <n v="0"/>
    <n v="0"/>
    <n v="0.73"/>
    <n v="1"/>
    <n v="18"/>
    <n v="1"/>
    <n v="135"/>
    <n v="0"/>
    <n v="0"/>
    <n v="0"/>
    <n v="0"/>
    <n v="7"/>
    <n v="0"/>
    <n v="0"/>
    <n v="0"/>
    <n v="135"/>
    <n v="135"/>
    <n v="0"/>
    <n v="135"/>
    <n v="135"/>
    <n v="1"/>
    <n v="0"/>
    <n v="1"/>
    <n v="1"/>
    <n v="0"/>
    <n v="0"/>
    <n v="0"/>
    <n v="0"/>
    <n v="0"/>
    <s v="No"/>
    <s v=""/>
    <n v="0"/>
    <n v="0"/>
    <s v="Yes"/>
    <s v="KBC-NSS"/>
    <x v="0"/>
    <x v="1"/>
    <x v="1"/>
    <n v="23.250678000000001"/>
    <n v="97.124403000000001"/>
    <s v="MMR015CMP009"/>
    <x v="0"/>
    <s v="cccm_2019OCT"/>
  </r>
  <r>
    <x v="1"/>
    <x v="9"/>
    <x v="9"/>
    <s v="(WHH-AA , USAID, MHF), UNICEF"/>
    <x v="0"/>
    <x v="9"/>
    <x v="1"/>
    <x v="96"/>
    <n v="172"/>
    <n v="789"/>
    <s v="10-1-2018, 9-30-2019, 6-1-2020"/>
    <s v="9-30-2020, 8-31-2020, 11-30-2020"/>
    <n v="148"/>
    <m/>
    <n v="7"/>
    <m/>
    <s v="Yes"/>
    <m/>
    <n v="7"/>
    <n v="2"/>
    <m/>
    <m/>
    <n v="2"/>
    <n v="3"/>
    <m/>
    <m/>
    <m/>
    <m/>
    <m/>
    <m/>
    <m/>
    <m/>
    <m/>
    <m/>
    <n v="4"/>
    <n v="3"/>
    <n v="1"/>
    <n v="1"/>
    <n v="1"/>
    <m/>
    <s v="Water safety plan need to install"/>
    <n v="40"/>
    <m/>
    <m/>
    <m/>
    <m/>
    <m/>
    <m/>
    <m/>
    <x v="1"/>
    <x v="1"/>
    <m/>
    <n v="1"/>
    <n v="3"/>
    <m/>
    <m/>
    <m/>
    <n v="22"/>
    <m/>
    <m/>
    <n v="7"/>
    <m/>
    <m/>
    <n v="3"/>
    <n v="172"/>
    <n v="209"/>
    <m/>
    <m/>
    <m/>
    <s v="need more hygiene items especially MHM Kits"/>
    <n v="1"/>
    <n v="1"/>
    <n v="789"/>
    <n v="1"/>
    <m/>
    <m/>
    <m/>
    <n v="0.75"/>
    <n v="1"/>
    <s v="Tested"/>
    <n v="2"/>
    <n v="5"/>
    <n v="0"/>
    <n v="0"/>
    <n v="0"/>
    <n v="0"/>
    <n v="1"/>
    <n v="1"/>
    <n v="1"/>
    <n v="789"/>
    <n v="0"/>
    <n v="0"/>
    <n v="1"/>
    <n v="789"/>
    <n v="1.5780000000000001"/>
    <n v="0"/>
    <n v="0"/>
    <n v="0.42199999999999993"/>
    <n v="2"/>
    <n v="40"/>
    <n v="1"/>
    <n v="789"/>
    <n v="0"/>
    <n v="148"/>
    <n v="0"/>
    <n v="148"/>
    <n v="39"/>
    <n v="0"/>
    <n v="0"/>
    <n v="0"/>
    <n v="789"/>
    <n v="789"/>
    <n v="209"/>
    <n v="789"/>
    <n v="789"/>
    <n v="1"/>
    <n v="0"/>
    <n v="1"/>
    <n v="1"/>
    <n v="1"/>
    <n v="22"/>
    <n v="172"/>
    <n v="0"/>
    <n v="789"/>
    <s v="Yes"/>
    <n v="1"/>
    <n v="0"/>
    <n v="148"/>
    <s v="Yes"/>
    <s v="KBC-BMO"/>
    <x v="0"/>
    <x v="1"/>
    <x v="1"/>
    <n v="24.129059999999999"/>
    <n v="97.291820000000001"/>
    <s v="MMR001CMP066"/>
    <x v="0"/>
    <s v="cccm_2019OCT"/>
  </r>
  <r>
    <x v="1"/>
    <x v="2"/>
    <x v="2"/>
    <s v="UNICEF, MHF, WHH(AA)"/>
    <x v="1"/>
    <x v="17"/>
    <x v="0"/>
    <x v="97"/>
    <n v="11"/>
    <n v="53"/>
    <s v="2-01-2019, 10-30-Oct-2019"/>
    <s v="4-30-2021, 9-30-2020"/>
    <m/>
    <m/>
    <m/>
    <m/>
    <m/>
    <m/>
    <m/>
    <m/>
    <m/>
    <m/>
    <m/>
    <m/>
    <m/>
    <m/>
    <m/>
    <m/>
    <m/>
    <m/>
    <m/>
    <m/>
    <m/>
    <m/>
    <m/>
    <m/>
    <m/>
    <m/>
    <m/>
    <m/>
    <m/>
    <m/>
    <m/>
    <m/>
    <m/>
    <m/>
    <m/>
    <m/>
    <m/>
    <x v="3"/>
    <x v="3"/>
    <m/>
    <m/>
    <m/>
    <m/>
    <m/>
    <m/>
    <m/>
    <m/>
    <m/>
    <m/>
    <m/>
    <m/>
    <m/>
    <m/>
    <m/>
    <s v="No"/>
    <m/>
    <m/>
    <m/>
    <m/>
    <m/>
    <m/>
    <m/>
    <m/>
    <m/>
    <m/>
    <s v="no test"/>
    <s v="no test"/>
    <s v="No Test"/>
    <n v="0"/>
    <n v="0"/>
    <n v="0"/>
    <n v="0"/>
    <n v="0"/>
    <n v="0"/>
    <n v="0"/>
    <n v="0"/>
    <n v="0"/>
    <n v="0"/>
    <n v="0"/>
    <n v="0"/>
    <n v="0"/>
    <n v="0"/>
    <n v="0"/>
    <n v="1"/>
    <n v="53"/>
    <n v="1"/>
    <n v="1"/>
    <n v="0"/>
    <n v="0"/>
    <n v="0"/>
    <n v="0"/>
    <n v="0"/>
    <n v="0"/>
    <n v="0"/>
    <n v="3"/>
    <n v="3"/>
    <n v="1"/>
    <n v="0"/>
    <n v="0"/>
    <n v="0"/>
    <n v="0"/>
    <n v="0"/>
    <n v="0"/>
    <n v="0"/>
    <n v="1"/>
    <n v="0"/>
    <n v="0"/>
    <n v="0"/>
    <n v="0"/>
    <n v="0"/>
    <n v="0"/>
    <n v="0"/>
    <s v="No"/>
    <s v=""/>
    <n v="0"/>
    <n v="0"/>
    <n v="0"/>
    <n v="0"/>
    <x v="0"/>
    <x v="1"/>
    <x v="1"/>
    <n v="0"/>
    <n v="0"/>
    <n v="0"/>
    <x v="0"/>
    <e v="#N/A"/>
  </r>
  <r>
    <x v="1"/>
    <x v="2"/>
    <x v="2"/>
    <s v="UNICEF, MHF, WHH(AA)"/>
    <x v="1"/>
    <x v="13"/>
    <x v="1"/>
    <x v="98"/>
    <n v="145"/>
    <n v="305"/>
    <s v="2-01-2019, 10-30-Oct-2019"/>
    <s v="4-30-2021, 9-30-2020"/>
    <m/>
    <n v="1"/>
    <m/>
    <m/>
    <s v="Yes"/>
    <n v="4"/>
    <n v="5"/>
    <m/>
    <m/>
    <m/>
    <m/>
    <m/>
    <m/>
    <m/>
    <n v="75"/>
    <m/>
    <m/>
    <m/>
    <m/>
    <m/>
    <n v="3"/>
    <n v="1"/>
    <m/>
    <m/>
    <m/>
    <m/>
    <n v="3"/>
    <m/>
    <s v="Spring pipe line is usually maintained by camp because farmers along spring pipe line damaged it."/>
    <n v="71"/>
    <m/>
    <m/>
    <m/>
    <m/>
    <m/>
    <m/>
    <m/>
    <x v="2"/>
    <x v="2"/>
    <m/>
    <m/>
    <n v="4"/>
    <m/>
    <m/>
    <m/>
    <n v="5"/>
    <m/>
    <m/>
    <n v="3"/>
    <m/>
    <n v="1"/>
    <m/>
    <n v="67"/>
    <m/>
    <s v="Yes"/>
    <m/>
    <m/>
    <m/>
    <m/>
    <m/>
    <m/>
    <m/>
    <m/>
    <m/>
    <m/>
    <s v="no test"/>
    <s v="no test"/>
    <s v="No Test"/>
    <n v="0"/>
    <n v="0"/>
    <n v="75"/>
    <n v="0"/>
    <n v="0"/>
    <n v="0"/>
    <n v="1"/>
    <n v="1"/>
    <n v="1"/>
    <n v="305"/>
    <n v="0"/>
    <n v="0"/>
    <n v="1"/>
    <n v="305"/>
    <n v="0.61"/>
    <n v="0"/>
    <n v="0"/>
    <n v="0.39"/>
    <n v="1"/>
    <n v="71"/>
    <n v="1"/>
    <n v="305"/>
    <n v="0"/>
    <n v="0"/>
    <n v="0"/>
    <n v="0"/>
    <n v="51"/>
    <n v="0"/>
    <n v="0"/>
    <n v="0"/>
    <n v="305"/>
    <n v="305"/>
    <n v="0"/>
    <n v="305"/>
    <n v="305"/>
    <n v="1"/>
    <n v="0"/>
    <n v="1"/>
    <n v="1"/>
    <n v="0"/>
    <n v="5"/>
    <n v="100"/>
    <n v="3"/>
    <n v="305"/>
    <s v="No"/>
    <s v=""/>
    <n v="0"/>
    <n v="0"/>
    <s v="Yes"/>
    <s v="KMSS-LSO"/>
    <x v="1"/>
    <x v="1"/>
    <x v="1"/>
    <n v="23.588920000000002"/>
    <n v="97.793019999999999"/>
    <s v="MMR015CMP018"/>
    <x v="0"/>
    <s v="cccm_2019OCT"/>
  </r>
  <r>
    <x v="1"/>
    <x v="11"/>
    <x v="11"/>
    <s v="(MHF, OFDA,ECHO),UNICEF"/>
    <x v="0"/>
    <x v="7"/>
    <x v="0"/>
    <x v="190"/>
    <n v="117"/>
    <n v="618"/>
    <s v="3/12020, 4-1-2019 "/>
    <s v="6/30/2021, 4-30-2020"/>
    <n v="113"/>
    <n v="0"/>
    <n v="5"/>
    <n v="30"/>
    <s v="Yes"/>
    <n v="7"/>
    <n v="7"/>
    <n v="1"/>
    <m/>
    <m/>
    <n v="1"/>
    <n v="0"/>
    <m/>
    <m/>
    <m/>
    <m/>
    <m/>
    <m/>
    <m/>
    <m/>
    <n v="2"/>
    <m/>
    <n v="1"/>
    <n v="1"/>
    <n v="12"/>
    <n v="10"/>
    <n v="9"/>
    <m/>
    <s v="Water safety plan need to install"/>
    <n v="28"/>
    <m/>
    <m/>
    <m/>
    <m/>
    <n v="10"/>
    <n v="4400"/>
    <m/>
    <x v="1"/>
    <x v="1"/>
    <n v="0"/>
    <n v="0"/>
    <n v="2"/>
    <m/>
    <m/>
    <s v="Gaps in drainage/ Infrastructure rehabiliation "/>
    <n v="9"/>
    <m/>
    <m/>
    <n v="4"/>
    <m/>
    <n v="0"/>
    <n v="9"/>
    <m/>
    <m/>
    <s v="No"/>
    <m/>
    <m/>
    <s v="need more hygiene items especially MHM Kits"/>
    <n v="1"/>
    <n v="1"/>
    <n v="618"/>
    <n v="1"/>
    <m/>
    <m/>
    <m/>
    <n v="1"/>
    <n v="0.83333333333333337"/>
    <s v="Tested"/>
    <n v="1"/>
    <n v="1"/>
    <n v="0"/>
    <n v="0"/>
    <n v="0"/>
    <n v="0"/>
    <n v="1"/>
    <n v="0.80906148867313921"/>
    <n v="1"/>
    <n v="618"/>
    <n v="0"/>
    <n v="0"/>
    <n v="1"/>
    <n v="618"/>
    <n v="1.236"/>
    <n v="0"/>
    <n v="0"/>
    <n v="0"/>
    <n v="1"/>
    <n v="28"/>
    <n v="0.90614886731391586"/>
    <n v="560"/>
    <n v="200"/>
    <n v="100"/>
    <n v="0"/>
    <n v="100"/>
    <n v="31"/>
    <n v="3"/>
    <n v="9.3851132686084138E-2"/>
    <n v="0"/>
    <n v="618"/>
    <n v="0"/>
    <n v="0"/>
    <n v="0"/>
    <n v="618"/>
    <n v="1"/>
    <n v="0"/>
    <n v="1"/>
    <n v="0"/>
    <n v="0"/>
    <n v="9"/>
    <n v="117"/>
    <n v="0"/>
    <n v="618"/>
    <s v="Yes"/>
    <n v="1"/>
    <n v="0"/>
    <n v="100"/>
    <n v="0"/>
    <n v="0"/>
    <x v="0"/>
    <x v="1"/>
    <x v="1"/>
    <n v="0"/>
    <n v="0"/>
    <n v="0"/>
    <x v="0"/>
    <n v="0"/>
  </r>
  <r>
    <x v="1"/>
    <x v="2"/>
    <x v="2"/>
    <s v="UNICEF, MHF, WHH(AA)"/>
    <x v="1"/>
    <x v="18"/>
    <x v="1"/>
    <x v="100"/>
    <n v="60"/>
    <n v="276"/>
    <s v="2-01-2019, 10-30-Oct-2019"/>
    <s v="4-30-2021, 9-30-2020"/>
    <m/>
    <m/>
    <m/>
    <m/>
    <m/>
    <n v="4"/>
    <n v="5"/>
    <n v="0"/>
    <m/>
    <m/>
    <m/>
    <n v="0"/>
    <m/>
    <m/>
    <n v="30"/>
    <m/>
    <m/>
    <n v="0"/>
    <m/>
    <n v="0"/>
    <m/>
    <m/>
    <m/>
    <m/>
    <m/>
    <m/>
    <m/>
    <m/>
    <m/>
    <n v="10"/>
    <n v="0"/>
    <m/>
    <m/>
    <m/>
    <m/>
    <m/>
    <m/>
    <x v="1"/>
    <x v="1"/>
    <n v="0"/>
    <n v="0"/>
    <m/>
    <m/>
    <m/>
    <m/>
    <n v="2"/>
    <m/>
    <n v="0"/>
    <n v="2"/>
    <m/>
    <n v="0"/>
    <n v="1"/>
    <m/>
    <m/>
    <s v="No"/>
    <m/>
    <m/>
    <m/>
    <m/>
    <m/>
    <m/>
    <m/>
    <m/>
    <m/>
    <m/>
    <s v="no test"/>
    <s v="no test"/>
    <s v="No Test"/>
    <n v="0"/>
    <n v="0"/>
    <n v="30"/>
    <n v="0"/>
    <n v="0"/>
    <n v="0"/>
    <n v="1"/>
    <n v="1"/>
    <n v="1"/>
    <n v="276"/>
    <n v="0"/>
    <n v="0"/>
    <n v="1"/>
    <n v="276"/>
    <n v="0.55200000000000005"/>
    <n v="0"/>
    <n v="0"/>
    <n v="0.44799999999999995"/>
    <n v="1"/>
    <n v="10"/>
    <n v="0.72463768115942029"/>
    <n v="200"/>
    <n v="0"/>
    <n v="0"/>
    <n v="0"/>
    <n v="0"/>
    <n v="14"/>
    <n v="4"/>
    <n v="0.27536231884057971"/>
    <n v="0"/>
    <n v="276"/>
    <n v="0"/>
    <n v="0"/>
    <n v="0"/>
    <n v="276"/>
    <n v="1"/>
    <n v="0"/>
    <n v="1"/>
    <n v="0"/>
    <n v="0"/>
    <n v="2"/>
    <n v="40"/>
    <n v="0"/>
    <n v="200"/>
    <s v="No"/>
    <s v=""/>
    <n v="0"/>
    <n v="0"/>
    <n v="0"/>
    <s v="uncovered"/>
    <x v="0"/>
    <x v="0"/>
    <x v="1"/>
    <n v="23.611999999999998"/>
    <n v="97.506"/>
    <s v="MMR015CMP224"/>
    <x v="0"/>
    <s v="cccm_2019OCT"/>
  </r>
  <r>
    <x v="1"/>
    <x v="2"/>
    <x v="2"/>
    <s v="UNICEF, MHF, WHH(AA)"/>
    <x v="1"/>
    <x v="13"/>
    <x v="1"/>
    <x v="101"/>
    <n v="34"/>
    <n v="180"/>
    <s v="2-01-2019, 10-30-Oct-2019"/>
    <s v="4-30-2021, 9-30-2020"/>
    <m/>
    <m/>
    <m/>
    <m/>
    <m/>
    <n v="5"/>
    <n v="4"/>
    <n v="0"/>
    <m/>
    <m/>
    <n v="0"/>
    <n v="0"/>
    <m/>
    <m/>
    <n v="25"/>
    <m/>
    <m/>
    <n v="0"/>
    <m/>
    <n v="0"/>
    <m/>
    <m/>
    <m/>
    <m/>
    <m/>
    <m/>
    <m/>
    <m/>
    <m/>
    <n v="34"/>
    <n v="0"/>
    <m/>
    <m/>
    <m/>
    <m/>
    <m/>
    <m/>
    <x v="1"/>
    <x v="1"/>
    <n v="0"/>
    <n v="0"/>
    <n v="2"/>
    <m/>
    <m/>
    <m/>
    <n v="2"/>
    <m/>
    <n v="0"/>
    <n v="2"/>
    <m/>
    <n v="0"/>
    <n v="1"/>
    <n v="31"/>
    <m/>
    <s v="No"/>
    <m/>
    <m/>
    <m/>
    <m/>
    <m/>
    <m/>
    <m/>
    <m/>
    <m/>
    <m/>
    <s v="no test"/>
    <s v="no test"/>
    <s v="No Test"/>
    <n v="0"/>
    <n v="0"/>
    <n v="25"/>
    <n v="0"/>
    <n v="0"/>
    <n v="0"/>
    <n v="1"/>
    <n v="1"/>
    <n v="1"/>
    <n v="180"/>
    <n v="0"/>
    <n v="0"/>
    <n v="1"/>
    <n v="180"/>
    <n v="0.36"/>
    <n v="0"/>
    <n v="0"/>
    <n v="0.64"/>
    <n v="1"/>
    <n v="34"/>
    <n v="1"/>
    <n v="180"/>
    <n v="0"/>
    <n v="0"/>
    <n v="0"/>
    <n v="0"/>
    <n v="9"/>
    <n v="0"/>
    <n v="0"/>
    <n v="0"/>
    <n v="180"/>
    <n v="155"/>
    <n v="0"/>
    <n v="155"/>
    <n v="180"/>
    <n v="1"/>
    <n v="0"/>
    <n v="1"/>
    <n v="1"/>
    <n v="0"/>
    <n v="2"/>
    <n v="34"/>
    <n v="0"/>
    <n v="180"/>
    <s v="No"/>
    <s v=""/>
    <n v="0"/>
    <n v="0"/>
    <n v="0"/>
    <s v="uncovered"/>
    <x v="0"/>
    <x v="0"/>
    <x v="1"/>
    <n v="23.850999999999999"/>
    <n v="98.337999999999994"/>
    <s v="MMR015CMP227"/>
    <x v="0"/>
    <s v="cccm_2019OCT"/>
  </r>
  <r>
    <x v="1"/>
    <x v="2"/>
    <x v="2"/>
    <s v="UNICEF, MHF, WHH(AA)"/>
    <x v="1"/>
    <x v="13"/>
    <x v="1"/>
    <x v="102"/>
    <n v="44"/>
    <n v="264"/>
    <s v="2-01-2019, 10-30-Oct-2019"/>
    <s v="4-30-2021, 9-30-2020"/>
    <m/>
    <n v="1"/>
    <m/>
    <m/>
    <s v="Yes"/>
    <m/>
    <m/>
    <m/>
    <m/>
    <m/>
    <m/>
    <m/>
    <m/>
    <m/>
    <n v="1"/>
    <m/>
    <m/>
    <m/>
    <m/>
    <m/>
    <m/>
    <m/>
    <m/>
    <m/>
    <m/>
    <m/>
    <m/>
    <m/>
    <m/>
    <n v="6"/>
    <m/>
    <m/>
    <m/>
    <m/>
    <m/>
    <m/>
    <m/>
    <x v="1"/>
    <x v="4"/>
    <m/>
    <m/>
    <m/>
    <m/>
    <m/>
    <m/>
    <m/>
    <m/>
    <m/>
    <m/>
    <m/>
    <m/>
    <m/>
    <n v="37"/>
    <m/>
    <s v="No"/>
    <m/>
    <m/>
    <m/>
    <m/>
    <m/>
    <m/>
    <m/>
    <m/>
    <m/>
    <m/>
    <s v="no test"/>
    <s v="no test"/>
    <s v="No Test"/>
    <n v="0"/>
    <n v="0"/>
    <n v="1"/>
    <n v="0"/>
    <n v="0"/>
    <n v="0"/>
    <n v="0.25252525252525254"/>
    <n v="0.25252525252525254"/>
    <n v="0.25252525252525254"/>
    <n v="66.666666666666671"/>
    <n v="0"/>
    <n v="0"/>
    <n v="0.25252525252525254"/>
    <n v="66.666666666666671"/>
    <n v="0.13333333333333333"/>
    <n v="0.7474747474747474"/>
    <n v="197.33333333333331"/>
    <n v="0.8666666666666667"/>
    <n v="1"/>
    <n v="6"/>
    <n v="0.11363636363636363"/>
    <n v="30"/>
    <n v="0"/>
    <n v="0"/>
    <n v="0"/>
    <n v="0"/>
    <n v="44"/>
    <n v="38"/>
    <n v="0.88636363636363635"/>
    <n v="0"/>
    <n v="0"/>
    <n v="185"/>
    <n v="0"/>
    <n v="185"/>
    <n v="185"/>
    <n v="0.7007575757575758"/>
    <n v="0.2992424242424242"/>
    <n v="0"/>
    <n v="1"/>
    <n v="0"/>
    <n v="0"/>
    <n v="0"/>
    <n v="0"/>
    <n v="0"/>
    <s v="No"/>
    <s v=""/>
    <n v="0"/>
    <n v="0"/>
    <s v="Yes"/>
    <s v="KBC-NSS"/>
    <x v="1"/>
    <x v="1"/>
    <x v="1"/>
    <n v="23.400155999999999"/>
    <n v="98.220614999999995"/>
    <s v="MMR015CMP006"/>
    <x v="0"/>
    <s v="cccm_2019OCT"/>
  </r>
  <r>
    <x v="1"/>
    <x v="2"/>
    <x v="2"/>
    <s v="UNICEF, MHF, WHH(AA)"/>
    <x v="1"/>
    <x v="13"/>
    <x v="1"/>
    <x v="103"/>
    <n v="22"/>
    <n v="111"/>
    <s v="2-01-2019, 10-30-Oct-2019"/>
    <s v="4-30-2021, 9-30-2020"/>
    <m/>
    <m/>
    <m/>
    <m/>
    <m/>
    <m/>
    <m/>
    <n v="0"/>
    <m/>
    <m/>
    <n v="0"/>
    <m/>
    <m/>
    <m/>
    <m/>
    <m/>
    <m/>
    <m/>
    <n v="1"/>
    <m/>
    <m/>
    <m/>
    <m/>
    <m/>
    <m/>
    <m/>
    <m/>
    <m/>
    <m/>
    <n v="11"/>
    <m/>
    <m/>
    <m/>
    <m/>
    <m/>
    <m/>
    <m/>
    <x v="1"/>
    <x v="1"/>
    <m/>
    <m/>
    <n v="0"/>
    <m/>
    <m/>
    <m/>
    <m/>
    <m/>
    <n v="0"/>
    <n v="2"/>
    <m/>
    <m/>
    <n v="0"/>
    <n v="23"/>
    <m/>
    <s v="No"/>
    <m/>
    <m/>
    <m/>
    <m/>
    <m/>
    <m/>
    <m/>
    <m/>
    <m/>
    <m/>
    <s v="no test"/>
    <s v="no test"/>
    <s v="No Test"/>
    <n v="0"/>
    <n v="0"/>
    <n v="0"/>
    <n v="0"/>
    <n v="0"/>
    <n v="0"/>
    <n v="0"/>
    <n v="0"/>
    <n v="0"/>
    <n v="0"/>
    <n v="1"/>
    <n v="111"/>
    <n v="1"/>
    <n v="111"/>
    <n v="0.222"/>
    <n v="0"/>
    <n v="0"/>
    <n v="0.77800000000000002"/>
    <n v="1"/>
    <n v="11"/>
    <n v="1"/>
    <n v="111"/>
    <n v="0"/>
    <n v="0"/>
    <n v="0"/>
    <n v="0"/>
    <n v="6"/>
    <n v="0"/>
    <n v="0"/>
    <n v="0"/>
    <n v="0"/>
    <n v="111"/>
    <n v="0"/>
    <n v="111"/>
    <n v="111"/>
    <n v="1"/>
    <n v="0"/>
    <n v="0"/>
    <n v="1"/>
    <n v="0"/>
    <n v="0"/>
    <n v="0"/>
    <n v="0"/>
    <n v="0"/>
    <s v="No"/>
    <s v=""/>
    <n v="0"/>
    <n v="0"/>
    <s v="Yes"/>
    <s v="KMSS-LSO"/>
    <x v="0"/>
    <x v="1"/>
    <x v="1"/>
    <n v="23.463000000000001"/>
    <n v="98.248999999999995"/>
    <s v="MMR015CMP217"/>
    <x v="0"/>
    <s v="cccm_2019OCT"/>
  </r>
  <r>
    <x v="1"/>
    <x v="2"/>
    <x v="2"/>
    <s v="UNICEF, MHF, WHH(AA)"/>
    <x v="1"/>
    <x v="14"/>
    <x v="1"/>
    <x v="104"/>
    <n v="24"/>
    <n v="114"/>
    <s v="2-01-2019, 10-30-Oct-2019"/>
    <s v="4-30-2021, 9-30-2020"/>
    <m/>
    <m/>
    <m/>
    <m/>
    <m/>
    <m/>
    <m/>
    <n v="1"/>
    <m/>
    <m/>
    <n v="1"/>
    <m/>
    <m/>
    <m/>
    <m/>
    <m/>
    <m/>
    <m/>
    <m/>
    <m/>
    <m/>
    <m/>
    <m/>
    <m/>
    <m/>
    <m/>
    <m/>
    <m/>
    <m/>
    <n v="8"/>
    <m/>
    <m/>
    <m/>
    <m/>
    <m/>
    <m/>
    <m/>
    <x v="1"/>
    <x v="2"/>
    <m/>
    <m/>
    <n v="1"/>
    <m/>
    <m/>
    <m/>
    <m/>
    <m/>
    <n v="1"/>
    <n v="2"/>
    <m/>
    <m/>
    <n v="2"/>
    <m/>
    <m/>
    <m/>
    <m/>
    <m/>
    <m/>
    <m/>
    <m/>
    <m/>
    <m/>
    <m/>
    <m/>
    <m/>
    <s v="no test"/>
    <s v="no test"/>
    <s v="No Test"/>
    <n v="1"/>
    <n v="1"/>
    <n v="0"/>
    <n v="0"/>
    <n v="0"/>
    <n v="0"/>
    <n v="1"/>
    <n v="1"/>
    <n v="1"/>
    <n v="114"/>
    <n v="0"/>
    <n v="0"/>
    <n v="1"/>
    <n v="114"/>
    <n v="0.22800000000000001"/>
    <n v="0"/>
    <n v="0"/>
    <n v="0.77200000000000002"/>
    <n v="1"/>
    <n v="8"/>
    <n v="1"/>
    <n v="114"/>
    <n v="0"/>
    <n v="0"/>
    <n v="0"/>
    <n v="0"/>
    <n v="6"/>
    <n v="0"/>
    <n v="0"/>
    <n v="0"/>
    <n v="114"/>
    <n v="0"/>
    <n v="0"/>
    <n v="0"/>
    <n v="114"/>
    <n v="1"/>
    <n v="0"/>
    <n v="1"/>
    <n v="0"/>
    <n v="0"/>
    <n v="0"/>
    <n v="0"/>
    <n v="0"/>
    <n v="0"/>
    <s v="No"/>
    <s v=""/>
    <n v="0"/>
    <n v="0"/>
    <s v="Yes"/>
    <s v="KMSS-LSO"/>
    <x v="0"/>
    <x v="1"/>
    <x v="1"/>
    <n v="24.006789000000001"/>
    <n v="97.911647000000002"/>
    <s v="MMR015CMP216"/>
    <x v="0"/>
    <s v="cccm_2019OCT"/>
  </r>
  <r>
    <x v="1"/>
    <x v="2"/>
    <x v="2"/>
    <s v="WHH-AA, USAID, MHF"/>
    <x v="0"/>
    <x v="10"/>
    <x v="1"/>
    <x v="105"/>
    <n v="10"/>
    <n v="45"/>
    <s v="10-1-2018, 9-30-2019, 6-1-2020"/>
    <s v="9-30-2020, 8-31-2020, 11-30-2020"/>
    <m/>
    <m/>
    <m/>
    <m/>
    <s v="No"/>
    <m/>
    <m/>
    <m/>
    <m/>
    <m/>
    <n v="1"/>
    <n v="1"/>
    <m/>
    <m/>
    <m/>
    <m/>
    <m/>
    <m/>
    <m/>
    <m/>
    <m/>
    <m/>
    <m/>
    <m/>
    <m/>
    <m/>
    <m/>
    <m/>
    <m/>
    <n v="4"/>
    <m/>
    <m/>
    <m/>
    <m/>
    <m/>
    <m/>
    <m/>
    <x v="1"/>
    <x v="1"/>
    <m/>
    <m/>
    <m/>
    <m/>
    <m/>
    <m/>
    <n v="2"/>
    <m/>
    <m/>
    <n v="2"/>
    <m/>
    <m/>
    <n v="1"/>
    <n v="13"/>
    <n v="21"/>
    <m/>
    <m/>
    <m/>
    <m/>
    <n v="1"/>
    <n v="1"/>
    <m/>
    <n v="0"/>
    <m/>
    <m/>
    <m/>
    <s v="no test"/>
    <s v="no test"/>
    <s v="No Test"/>
    <n v="0"/>
    <n v="2"/>
    <n v="0"/>
    <n v="0"/>
    <n v="0"/>
    <n v="0"/>
    <n v="1"/>
    <n v="1"/>
    <n v="1"/>
    <n v="45"/>
    <n v="0"/>
    <n v="0"/>
    <n v="1"/>
    <n v="45"/>
    <n v="0.09"/>
    <n v="0"/>
    <n v="0"/>
    <n v="0.91"/>
    <n v="1"/>
    <n v="4"/>
    <n v="1"/>
    <n v="45"/>
    <n v="0"/>
    <n v="0"/>
    <n v="0"/>
    <n v="0"/>
    <n v="2"/>
    <n v="0"/>
    <n v="0"/>
    <n v="0"/>
    <n v="45"/>
    <n v="45"/>
    <n v="21"/>
    <n v="45"/>
    <n v="45"/>
    <n v="1"/>
    <n v="0"/>
    <n v="1"/>
    <n v="1"/>
    <n v="1"/>
    <n v="2"/>
    <n v="10"/>
    <n v="0"/>
    <n v="45"/>
    <s v="No"/>
    <s v=""/>
    <n v="0"/>
    <n v="0"/>
    <s v="Yes"/>
    <s v="Shalom"/>
    <x v="0"/>
    <x v="1"/>
    <x v="1"/>
    <n v="24.253067000000001"/>
    <n v="97.234200000000001"/>
    <s v="MMR001CMP051"/>
    <x v="0"/>
    <s v="cccm_2019OCT"/>
  </r>
  <r>
    <x v="1"/>
    <x v="2"/>
    <x v="2"/>
    <s v="UNICEF, MHF, WHH(AA)"/>
    <x v="1"/>
    <x v="18"/>
    <x v="1"/>
    <x v="106"/>
    <n v="68"/>
    <n v="350"/>
    <s v="2-01-2019, 10-30-Oct-2019"/>
    <s v="4-30-2021, 9-30-2020"/>
    <m/>
    <n v="1"/>
    <n v="1"/>
    <m/>
    <s v="Yes"/>
    <m/>
    <m/>
    <m/>
    <m/>
    <m/>
    <m/>
    <n v="1"/>
    <m/>
    <m/>
    <m/>
    <m/>
    <m/>
    <m/>
    <m/>
    <m/>
    <m/>
    <m/>
    <m/>
    <m/>
    <m/>
    <m/>
    <m/>
    <m/>
    <m/>
    <n v="10"/>
    <m/>
    <m/>
    <m/>
    <m/>
    <m/>
    <m/>
    <m/>
    <x v="3"/>
    <x v="3"/>
    <m/>
    <m/>
    <m/>
    <m/>
    <m/>
    <m/>
    <m/>
    <m/>
    <m/>
    <m/>
    <m/>
    <m/>
    <m/>
    <m/>
    <m/>
    <s v="No"/>
    <m/>
    <m/>
    <m/>
    <m/>
    <m/>
    <m/>
    <m/>
    <m/>
    <m/>
    <m/>
    <s v="no test"/>
    <s v="no test"/>
    <s v="No Test"/>
    <n v="0"/>
    <n v="1"/>
    <n v="0"/>
    <n v="0"/>
    <n v="0"/>
    <n v="0"/>
    <n v="1"/>
    <n v="0.7142857142857143"/>
    <n v="1"/>
    <n v="350"/>
    <n v="0"/>
    <n v="0"/>
    <n v="1"/>
    <n v="350"/>
    <n v="0.7"/>
    <n v="0"/>
    <n v="0"/>
    <n v="0.30000000000000004"/>
    <n v="1"/>
    <n v="10"/>
    <n v="0.5714285714285714"/>
    <n v="200"/>
    <n v="0"/>
    <n v="0"/>
    <n v="0"/>
    <n v="0"/>
    <n v="18"/>
    <n v="8"/>
    <n v="0.4285714285714286"/>
    <n v="0"/>
    <n v="0"/>
    <n v="0"/>
    <n v="0"/>
    <n v="0"/>
    <n v="0"/>
    <n v="0"/>
    <n v="1"/>
    <n v="0"/>
    <n v="0"/>
    <n v="0"/>
    <n v="0"/>
    <n v="0"/>
    <n v="0"/>
    <n v="0"/>
    <s v="No"/>
    <s v=""/>
    <n v="0"/>
    <n v="0"/>
    <s v="Yes"/>
    <s v="KBC-NSS"/>
    <x v="0"/>
    <x v="1"/>
    <x v="1"/>
    <n v="23.828520000000001"/>
    <n v="97.669557999999995"/>
    <s v="MMR015CMP001"/>
    <x v="0"/>
    <s v="cccm_2019OCT"/>
  </r>
  <r>
    <x v="1"/>
    <x v="2"/>
    <x v="2"/>
    <s v="UNICEF, MHF, WHH(AA)"/>
    <x v="1"/>
    <x v="18"/>
    <x v="1"/>
    <x v="107"/>
    <n v="37"/>
    <n v="176"/>
    <s v="2-01-2019, 10-30-Oct-2019"/>
    <s v="4-30-2021, 9-30-2020"/>
    <m/>
    <m/>
    <n v="1"/>
    <m/>
    <m/>
    <m/>
    <m/>
    <m/>
    <m/>
    <m/>
    <m/>
    <n v="1"/>
    <m/>
    <m/>
    <m/>
    <m/>
    <m/>
    <m/>
    <m/>
    <m/>
    <m/>
    <m/>
    <m/>
    <m/>
    <m/>
    <m/>
    <m/>
    <m/>
    <m/>
    <m/>
    <m/>
    <m/>
    <m/>
    <m/>
    <m/>
    <m/>
    <m/>
    <x v="3"/>
    <x v="3"/>
    <m/>
    <m/>
    <m/>
    <m/>
    <m/>
    <m/>
    <m/>
    <m/>
    <m/>
    <m/>
    <m/>
    <m/>
    <n v="1"/>
    <m/>
    <m/>
    <s v="No"/>
    <m/>
    <m/>
    <m/>
    <m/>
    <m/>
    <m/>
    <m/>
    <m/>
    <m/>
    <m/>
    <s v="no test"/>
    <s v="no test"/>
    <s v="No Test"/>
    <n v="0"/>
    <n v="1"/>
    <n v="0"/>
    <n v="0"/>
    <n v="0"/>
    <n v="0"/>
    <n v="1"/>
    <n v="1"/>
    <n v="1"/>
    <n v="176"/>
    <n v="0"/>
    <n v="0"/>
    <n v="1"/>
    <n v="176"/>
    <n v="0.35199999999999998"/>
    <n v="0"/>
    <n v="0"/>
    <n v="0.64800000000000002"/>
    <n v="1"/>
    <n v="0"/>
    <n v="0"/>
    <n v="0"/>
    <n v="0"/>
    <n v="0"/>
    <n v="0"/>
    <n v="0"/>
    <n v="9"/>
    <n v="9"/>
    <n v="1"/>
    <n v="0"/>
    <n v="176"/>
    <n v="0"/>
    <n v="0"/>
    <n v="0"/>
    <n v="176"/>
    <n v="1"/>
    <n v="0"/>
    <n v="1"/>
    <n v="0"/>
    <n v="0"/>
    <n v="0"/>
    <n v="0"/>
    <n v="0"/>
    <n v="0"/>
    <s v="No"/>
    <s v=""/>
    <n v="0"/>
    <n v="0"/>
    <s v="Yes"/>
    <s v="KBC-NSS"/>
    <x v="0"/>
    <x v="1"/>
    <x v="1"/>
    <n v="23.841646999999998"/>
    <n v="97.700940000000003"/>
    <s v="MMR015CMP214"/>
    <x v="0"/>
    <e v="#N/A"/>
  </r>
  <r>
    <x v="1"/>
    <x v="2"/>
    <x v="2"/>
    <s v="UNICEF, MHF, WHH(AA)"/>
    <x v="1"/>
    <x v="13"/>
    <x v="1"/>
    <x v="108"/>
    <n v="56"/>
    <n v="263"/>
    <s v="2-01-2019, 10-30-Oct-2019"/>
    <s v="4-30-2021, 9-30-2020"/>
    <m/>
    <n v="1"/>
    <m/>
    <m/>
    <s v="Yes"/>
    <n v="5"/>
    <n v="4"/>
    <m/>
    <m/>
    <m/>
    <m/>
    <m/>
    <m/>
    <m/>
    <n v="23"/>
    <m/>
    <m/>
    <m/>
    <m/>
    <m/>
    <n v="1"/>
    <n v="1"/>
    <m/>
    <m/>
    <m/>
    <m/>
    <m/>
    <m/>
    <m/>
    <n v="18"/>
    <m/>
    <m/>
    <m/>
    <m/>
    <m/>
    <m/>
    <m/>
    <x v="1"/>
    <x v="1"/>
    <m/>
    <m/>
    <m/>
    <m/>
    <m/>
    <m/>
    <n v="6"/>
    <m/>
    <m/>
    <n v="1"/>
    <m/>
    <m/>
    <n v="2"/>
    <n v="55"/>
    <m/>
    <m/>
    <m/>
    <m/>
    <m/>
    <m/>
    <m/>
    <m/>
    <m/>
    <m/>
    <m/>
    <m/>
    <s v="no test"/>
    <s v="no test"/>
    <s v="No Test"/>
    <n v="0"/>
    <n v="0"/>
    <n v="23"/>
    <n v="0"/>
    <n v="0"/>
    <n v="0"/>
    <n v="1"/>
    <n v="1"/>
    <n v="1"/>
    <n v="263"/>
    <n v="0"/>
    <n v="0"/>
    <n v="1"/>
    <n v="263"/>
    <n v="0.52600000000000002"/>
    <n v="0"/>
    <n v="0"/>
    <n v="0.47399999999999998"/>
    <n v="1"/>
    <n v="18"/>
    <n v="1"/>
    <n v="263"/>
    <n v="0"/>
    <n v="0"/>
    <n v="0"/>
    <n v="0"/>
    <n v="13"/>
    <n v="0"/>
    <n v="0"/>
    <n v="0"/>
    <n v="263"/>
    <n v="263"/>
    <n v="0"/>
    <n v="263"/>
    <n v="263"/>
    <n v="1"/>
    <n v="0"/>
    <n v="1"/>
    <n v="1"/>
    <n v="0"/>
    <n v="6"/>
    <n v="56"/>
    <n v="0"/>
    <n v="263"/>
    <s v="No"/>
    <s v=""/>
    <n v="0"/>
    <n v="0"/>
    <s v="Yes"/>
    <s v="KBC-NSS"/>
    <x v="0"/>
    <x v="1"/>
    <x v="1"/>
    <n v="23.694130000000001"/>
    <n v="97.818979999999996"/>
    <s v="MMR015CMP007"/>
    <x v="0"/>
    <s v="cccm_2019OCT"/>
  </r>
  <r>
    <x v="1"/>
    <x v="2"/>
    <x v="2"/>
    <s v="UNICEF, MHF, WHH(AA)"/>
    <x v="1"/>
    <x v="13"/>
    <x v="1"/>
    <x v="109"/>
    <n v="34"/>
    <n v="114"/>
    <s v="2-01-2019, 10-30-Oct-2019"/>
    <s v="4-30-2021, 9-30-2020"/>
    <m/>
    <n v="1"/>
    <m/>
    <m/>
    <s v="Yes"/>
    <n v="5"/>
    <n v="4"/>
    <m/>
    <m/>
    <m/>
    <n v="2"/>
    <m/>
    <m/>
    <m/>
    <m/>
    <m/>
    <m/>
    <m/>
    <m/>
    <m/>
    <n v="1"/>
    <n v="1"/>
    <m/>
    <m/>
    <m/>
    <m/>
    <m/>
    <m/>
    <m/>
    <n v="8"/>
    <m/>
    <m/>
    <m/>
    <m/>
    <m/>
    <m/>
    <m/>
    <x v="1"/>
    <x v="4"/>
    <m/>
    <m/>
    <m/>
    <m/>
    <m/>
    <m/>
    <n v="4"/>
    <m/>
    <m/>
    <n v="1"/>
    <m/>
    <m/>
    <n v="2"/>
    <n v="35"/>
    <m/>
    <m/>
    <m/>
    <m/>
    <m/>
    <m/>
    <m/>
    <m/>
    <m/>
    <m/>
    <m/>
    <m/>
    <s v="no test"/>
    <s v="no test"/>
    <s v="No Test"/>
    <n v="0"/>
    <n v="2"/>
    <n v="0"/>
    <n v="0"/>
    <n v="0"/>
    <n v="0"/>
    <n v="1"/>
    <n v="1"/>
    <n v="1"/>
    <n v="114"/>
    <n v="0"/>
    <n v="0"/>
    <n v="1"/>
    <n v="114"/>
    <n v="0.22800000000000001"/>
    <n v="0"/>
    <n v="0"/>
    <n v="0.77200000000000002"/>
    <n v="1"/>
    <n v="8"/>
    <n v="1"/>
    <n v="114"/>
    <n v="0"/>
    <n v="0"/>
    <n v="0"/>
    <n v="0"/>
    <n v="6"/>
    <n v="0"/>
    <n v="0"/>
    <n v="0"/>
    <n v="114"/>
    <n v="114"/>
    <n v="0"/>
    <n v="114"/>
    <n v="114"/>
    <n v="1"/>
    <n v="0"/>
    <n v="1"/>
    <n v="1"/>
    <n v="0"/>
    <n v="4"/>
    <n v="34"/>
    <n v="0"/>
    <n v="114"/>
    <s v="No"/>
    <s v=""/>
    <n v="0"/>
    <n v="0"/>
    <s v="Yes"/>
    <s v="KMSS-LSO"/>
    <x v="0"/>
    <x v="1"/>
    <x v="1"/>
    <n v="23.682887999999998"/>
    <n v="97.810101000000003"/>
    <s v="MMR015CMP225"/>
    <x v="0"/>
    <s v="cccm_2019OCT"/>
  </r>
  <r>
    <x v="1"/>
    <x v="2"/>
    <x v="2"/>
    <s v="UNICEF, MHF, WHH(AA)"/>
    <x v="1"/>
    <x v="19"/>
    <x v="1"/>
    <x v="110"/>
    <n v="34"/>
    <n v="182"/>
    <s v="2-01-2019, 10-30-Oct-2019"/>
    <s v="4-30-2021, 9-30-2020"/>
    <m/>
    <m/>
    <n v="1"/>
    <m/>
    <s v="Yes"/>
    <m/>
    <n v="5"/>
    <n v="4"/>
    <m/>
    <m/>
    <n v="1"/>
    <m/>
    <m/>
    <m/>
    <m/>
    <m/>
    <m/>
    <m/>
    <m/>
    <m/>
    <m/>
    <m/>
    <m/>
    <m/>
    <m/>
    <m/>
    <m/>
    <m/>
    <m/>
    <n v="4"/>
    <n v="10"/>
    <m/>
    <m/>
    <n v="2"/>
    <m/>
    <m/>
    <m/>
    <x v="1"/>
    <x v="1"/>
    <m/>
    <m/>
    <m/>
    <m/>
    <m/>
    <m/>
    <m/>
    <m/>
    <m/>
    <n v="2"/>
    <m/>
    <m/>
    <n v="1"/>
    <n v="35"/>
    <m/>
    <s v="No"/>
    <m/>
    <m/>
    <m/>
    <m/>
    <m/>
    <m/>
    <m/>
    <m/>
    <m/>
    <m/>
    <s v="no test"/>
    <s v="no test"/>
    <s v="No Test"/>
    <n v="4"/>
    <n v="1"/>
    <n v="0"/>
    <n v="0"/>
    <n v="0"/>
    <n v="0"/>
    <n v="1"/>
    <n v="1"/>
    <n v="1"/>
    <n v="182"/>
    <n v="0"/>
    <n v="0"/>
    <n v="1"/>
    <n v="182"/>
    <n v="0.36399999999999999"/>
    <n v="0"/>
    <n v="0"/>
    <n v="0.63600000000000001"/>
    <n v="1"/>
    <n v="14"/>
    <n v="1"/>
    <n v="182"/>
    <n v="0"/>
    <n v="0"/>
    <n v="0"/>
    <n v="0"/>
    <n v="9"/>
    <n v="0"/>
    <n v="0"/>
    <n v="0"/>
    <n v="182"/>
    <n v="175"/>
    <n v="0"/>
    <n v="175"/>
    <n v="182"/>
    <n v="1"/>
    <n v="0"/>
    <n v="1"/>
    <n v="1"/>
    <n v="0"/>
    <n v="0"/>
    <n v="0"/>
    <n v="0"/>
    <n v="0"/>
    <s v="No"/>
    <s v=""/>
    <n v="0"/>
    <n v="0"/>
    <s v="Yes"/>
    <s v="KBC-NSS"/>
    <x v="0"/>
    <x v="1"/>
    <x v="1"/>
    <n v="23.354268999999999"/>
    <n v="98.218626999999998"/>
    <s v="MMR015CMP218"/>
    <x v="0"/>
    <s v="cccm_2019OCT"/>
  </r>
  <r>
    <x v="1"/>
    <x v="2"/>
    <x v="2"/>
    <s v="UNICEF, MHF, WHH(AA)"/>
    <x v="1"/>
    <x v="15"/>
    <x v="1"/>
    <x v="111"/>
    <n v="38"/>
    <n v="161"/>
    <s v="2-01-2019, 10-30-Oct-2019"/>
    <s v="4-30-2021, 9-30-2020"/>
    <m/>
    <m/>
    <n v="1"/>
    <m/>
    <s v="Yes"/>
    <n v="3"/>
    <n v="3"/>
    <m/>
    <m/>
    <m/>
    <m/>
    <m/>
    <m/>
    <m/>
    <n v="15"/>
    <m/>
    <m/>
    <m/>
    <m/>
    <m/>
    <n v="3"/>
    <m/>
    <m/>
    <m/>
    <m/>
    <m/>
    <m/>
    <m/>
    <m/>
    <n v="8"/>
    <m/>
    <m/>
    <m/>
    <m/>
    <m/>
    <m/>
    <m/>
    <x v="1"/>
    <x v="1"/>
    <m/>
    <m/>
    <m/>
    <m/>
    <m/>
    <m/>
    <n v="5"/>
    <m/>
    <m/>
    <n v="2"/>
    <m/>
    <m/>
    <n v="1"/>
    <n v="35"/>
    <m/>
    <m/>
    <m/>
    <m/>
    <m/>
    <m/>
    <m/>
    <m/>
    <m/>
    <m/>
    <m/>
    <m/>
    <s v="no test"/>
    <s v="no test"/>
    <s v="No Test"/>
    <n v="0"/>
    <n v="0"/>
    <n v="15"/>
    <n v="0"/>
    <n v="0"/>
    <n v="0"/>
    <n v="1"/>
    <n v="1"/>
    <n v="1"/>
    <n v="161"/>
    <n v="0"/>
    <n v="0"/>
    <n v="1"/>
    <n v="161"/>
    <n v="0.32200000000000001"/>
    <n v="0"/>
    <n v="0"/>
    <n v="0.67799999999999994"/>
    <n v="1"/>
    <n v="8"/>
    <n v="0.99378881987577639"/>
    <n v="160"/>
    <n v="0"/>
    <n v="0"/>
    <n v="0"/>
    <n v="0"/>
    <n v="8"/>
    <n v="0"/>
    <n v="6.2111801242236142E-3"/>
    <n v="0"/>
    <n v="161"/>
    <n v="161"/>
    <n v="0"/>
    <n v="161"/>
    <n v="161"/>
    <n v="1"/>
    <n v="0"/>
    <n v="1"/>
    <n v="1"/>
    <n v="0"/>
    <n v="5"/>
    <n v="38"/>
    <n v="0"/>
    <n v="161"/>
    <s v="No"/>
    <s v=""/>
    <n v="0"/>
    <n v="0"/>
    <s v="Yes"/>
    <s v="KBC-NSS"/>
    <x v="0"/>
    <x v="1"/>
    <x v="1"/>
    <n v="23.094290000000001"/>
    <n v="97.404089999999997"/>
    <s v="MMR015CMP014"/>
    <x v="0"/>
    <e v="#N/A"/>
  </r>
  <r>
    <x v="1"/>
    <x v="2"/>
    <x v="2"/>
    <s v="UNICEF, MHF, WHH(AA)"/>
    <x v="1"/>
    <x v="18"/>
    <x v="1"/>
    <x v="112"/>
    <n v="111"/>
    <n v="568"/>
    <s v="2-01-2019, 10-30-Oct-2019"/>
    <s v="4-30-2021, 9-30-2020"/>
    <m/>
    <m/>
    <n v="1"/>
    <m/>
    <m/>
    <m/>
    <m/>
    <m/>
    <m/>
    <m/>
    <m/>
    <m/>
    <m/>
    <m/>
    <n v="1"/>
    <m/>
    <m/>
    <m/>
    <m/>
    <m/>
    <m/>
    <m/>
    <m/>
    <m/>
    <m/>
    <m/>
    <m/>
    <m/>
    <m/>
    <m/>
    <n v="16"/>
    <m/>
    <m/>
    <m/>
    <m/>
    <m/>
    <m/>
    <x v="3"/>
    <x v="3"/>
    <m/>
    <m/>
    <m/>
    <m/>
    <m/>
    <m/>
    <m/>
    <m/>
    <m/>
    <m/>
    <m/>
    <m/>
    <m/>
    <m/>
    <m/>
    <s v="No"/>
    <m/>
    <m/>
    <m/>
    <m/>
    <m/>
    <m/>
    <m/>
    <m/>
    <m/>
    <m/>
    <s v="no test"/>
    <s v="no test"/>
    <s v="No Test"/>
    <n v="0"/>
    <n v="0"/>
    <n v="1"/>
    <n v="0"/>
    <n v="0"/>
    <n v="0"/>
    <n v="0.11737089201877936"/>
    <n v="0.11737089201877936"/>
    <n v="0.11737089201877936"/>
    <n v="66.666666666666671"/>
    <n v="0"/>
    <n v="0"/>
    <n v="0.11737089201877936"/>
    <n v="66.666666666666671"/>
    <n v="0.13333333333333333"/>
    <n v="0.88262910798122063"/>
    <n v="501.33333333333331"/>
    <n v="0.8666666666666667"/>
    <n v="1"/>
    <n v="16"/>
    <n v="0.56338028169014087"/>
    <n v="320"/>
    <n v="0"/>
    <n v="0"/>
    <n v="0"/>
    <n v="0"/>
    <n v="28"/>
    <n v="12"/>
    <n v="0.43661971830985913"/>
    <n v="0"/>
    <n v="0"/>
    <n v="0"/>
    <n v="0"/>
    <n v="0"/>
    <n v="0"/>
    <n v="0"/>
    <n v="1"/>
    <n v="0"/>
    <n v="0"/>
    <n v="0"/>
    <n v="0"/>
    <n v="0"/>
    <n v="0"/>
    <n v="0"/>
    <s v="No"/>
    <s v=""/>
    <n v="0"/>
    <n v="0"/>
    <s v="Yes"/>
    <s v="KBC-NSS"/>
    <x v="0"/>
    <x v="1"/>
    <x v="1"/>
    <n v="23.838190000000001"/>
    <n v="97.709879999999998"/>
    <s v="MMR015CMP215"/>
    <x v="0"/>
    <e v="#N/A"/>
  </r>
  <r>
    <x v="1"/>
    <x v="2"/>
    <x v="2"/>
    <s v="UNICEF, MHF, WHH(AA)"/>
    <x v="1"/>
    <x v="13"/>
    <x v="1"/>
    <x v="114"/>
    <n v="103"/>
    <n v="632"/>
    <s v="2-01-2019, 10-30-Oct-2019"/>
    <s v="4-30-2021, 9-30-2020"/>
    <m/>
    <n v="1"/>
    <m/>
    <m/>
    <s v="Yes"/>
    <n v="4"/>
    <n v="5"/>
    <m/>
    <m/>
    <m/>
    <m/>
    <m/>
    <m/>
    <m/>
    <n v="20"/>
    <m/>
    <m/>
    <m/>
    <m/>
    <m/>
    <m/>
    <m/>
    <m/>
    <m/>
    <m/>
    <m/>
    <n v="1"/>
    <m/>
    <m/>
    <n v="105"/>
    <m/>
    <m/>
    <m/>
    <m/>
    <m/>
    <m/>
    <m/>
    <x v="1"/>
    <x v="1"/>
    <m/>
    <m/>
    <m/>
    <m/>
    <m/>
    <m/>
    <n v="2"/>
    <m/>
    <m/>
    <m/>
    <m/>
    <m/>
    <n v="1"/>
    <n v="108"/>
    <m/>
    <s v="No"/>
    <m/>
    <m/>
    <m/>
    <m/>
    <m/>
    <m/>
    <m/>
    <m/>
    <m/>
    <m/>
    <s v="no test"/>
    <s v="no test"/>
    <s v="No Test"/>
    <n v="0"/>
    <n v="0"/>
    <n v="20"/>
    <n v="0"/>
    <n v="0"/>
    <n v="0"/>
    <n v="1"/>
    <n v="1"/>
    <n v="1"/>
    <n v="632"/>
    <n v="0"/>
    <n v="0"/>
    <n v="1"/>
    <n v="632"/>
    <n v="1.264"/>
    <n v="0"/>
    <n v="0"/>
    <n v="0"/>
    <n v="1"/>
    <n v="105"/>
    <n v="0.83069620253164556"/>
    <n v="525"/>
    <n v="0"/>
    <n v="0"/>
    <n v="0"/>
    <n v="0"/>
    <n v="105"/>
    <n v="0"/>
    <n v="0.16930379746835444"/>
    <n v="0"/>
    <n v="500"/>
    <n v="540"/>
    <n v="0"/>
    <n v="540"/>
    <n v="540"/>
    <n v="0.85443037974683544"/>
    <n v="0.14556962025316456"/>
    <n v="0.79113924050632911"/>
    <n v="1"/>
    <n v="0"/>
    <n v="2"/>
    <n v="40"/>
    <n v="0"/>
    <n v="200"/>
    <s v="No"/>
    <s v=""/>
    <n v="0"/>
    <n v="0"/>
    <s v="Yes"/>
    <s v="KMSS-LSO"/>
    <x v="1"/>
    <x v="1"/>
    <x v="1"/>
    <n v="23.447111"/>
    <n v="97.868876999999998"/>
    <s v="MMR015CMP219"/>
    <x v="0"/>
    <s v="cccm_2019OCT"/>
  </r>
  <r>
    <x v="1"/>
    <x v="2"/>
    <x v="2"/>
    <s v="UNICEF, MHF, WHH(AA)"/>
    <x v="1"/>
    <x v="13"/>
    <x v="1"/>
    <x v="115"/>
    <n v="33"/>
    <n v="196"/>
    <s v="2-01-2019, 10-30-Oct-2019"/>
    <s v="4-30-2021, 9-30-2020"/>
    <m/>
    <m/>
    <m/>
    <m/>
    <m/>
    <n v="5"/>
    <n v="4"/>
    <m/>
    <m/>
    <m/>
    <m/>
    <m/>
    <m/>
    <m/>
    <n v="16"/>
    <m/>
    <m/>
    <m/>
    <m/>
    <m/>
    <n v="3"/>
    <n v="1"/>
    <m/>
    <m/>
    <m/>
    <m/>
    <n v="2"/>
    <n v="1"/>
    <m/>
    <n v="37"/>
    <m/>
    <m/>
    <m/>
    <m/>
    <m/>
    <m/>
    <n v="3"/>
    <x v="2"/>
    <x v="2"/>
    <m/>
    <m/>
    <n v="2"/>
    <m/>
    <m/>
    <m/>
    <n v="7"/>
    <m/>
    <m/>
    <m/>
    <m/>
    <m/>
    <n v="1"/>
    <n v="37"/>
    <m/>
    <m/>
    <m/>
    <m/>
    <m/>
    <m/>
    <m/>
    <m/>
    <m/>
    <m/>
    <m/>
    <m/>
    <s v="no test"/>
    <s v="no test"/>
    <s v="No Test"/>
    <n v="0"/>
    <n v="0"/>
    <n v="16"/>
    <n v="0"/>
    <n v="0"/>
    <n v="500"/>
    <n v="1"/>
    <n v="1"/>
    <n v="1"/>
    <n v="196"/>
    <n v="0"/>
    <n v="0"/>
    <n v="1"/>
    <n v="196"/>
    <n v="0.39200000000000002"/>
    <n v="0"/>
    <n v="0"/>
    <n v="0.60799999999999998"/>
    <n v="1"/>
    <n v="37"/>
    <n v="1"/>
    <n v="196"/>
    <n v="0"/>
    <n v="0"/>
    <n v="0"/>
    <n v="0"/>
    <n v="10"/>
    <n v="0"/>
    <n v="0"/>
    <n v="0"/>
    <n v="196"/>
    <n v="185"/>
    <n v="0"/>
    <n v="185"/>
    <n v="196"/>
    <n v="1"/>
    <n v="0"/>
    <n v="1"/>
    <n v="1"/>
    <n v="0"/>
    <n v="7"/>
    <n v="33"/>
    <n v="0"/>
    <n v="196"/>
    <s v="No"/>
    <s v=""/>
    <n v="0"/>
    <n v="500"/>
    <s v="Yes"/>
    <s v="KMSS-LSO"/>
    <x v="0"/>
    <x v="1"/>
    <x v="1"/>
    <n v="0"/>
    <n v="0"/>
    <s v="MMR015CMP249"/>
    <x v="0"/>
    <s v="cccm_2019OCT"/>
  </r>
  <r>
    <x v="1"/>
    <x v="2"/>
    <x v="2"/>
    <s v="UNICEF, MHF, WHH(AA)"/>
    <x v="1"/>
    <x v="15"/>
    <x v="1"/>
    <x v="116"/>
    <n v="6"/>
    <n v="27"/>
    <s v="2-01-2019, 10-30-Oct-2019"/>
    <s v="4-30-2021, 9-30-2020"/>
    <m/>
    <m/>
    <m/>
    <m/>
    <m/>
    <m/>
    <m/>
    <m/>
    <m/>
    <m/>
    <m/>
    <m/>
    <m/>
    <m/>
    <m/>
    <m/>
    <m/>
    <m/>
    <m/>
    <m/>
    <m/>
    <m/>
    <m/>
    <m/>
    <m/>
    <m/>
    <m/>
    <m/>
    <m/>
    <n v="6"/>
    <m/>
    <m/>
    <m/>
    <m/>
    <m/>
    <m/>
    <m/>
    <x v="2"/>
    <x v="2"/>
    <m/>
    <m/>
    <m/>
    <m/>
    <m/>
    <m/>
    <m/>
    <m/>
    <m/>
    <m/>
    <m/>
    <m/>
    <m/>
    <n v="4"/>
    <m/>
    <s v="No"/>
    <m/>
    <m/>
    <m/>
    <m/>
    <m/>
    <m/>
    <m/>
    <m/>
    <m/>
    <m/>
    <s v="no test"/>
    <s v="no test"/>
    <s v="No Test"/>
    <n v="0"/>
    <n v="0"/>
    <n v="0"/>
    <n v="0"/>
    <n v="0"/>
    <n v="0"/>
    <n v="0"/>
    <n v="0"/>
    <n v="0"/>
    <n v="0"/>
    <n v="0"/>
    <n v="0"/>
    <n v="0"/>
    <n v="0"/>
    <n v="0"/>
    <n v="1"/>
    <n v="27"/>
    <n v="1"/>
    <n v="1"/>
    <n v="6"/>
    <n v="1"/>
    <n v="27"/>
    <n v="0"/>
    <n v="0"/>
    <n v="0"/>
    <n v="0"/>
    <n v="1"/>
    <n v="0"/>
    <n v="0"/>
    <n v="0"/>
    <n v="0"/>
    <n v="20"/>
    <n v="0"/>
    <n v="20"/>
    <n v="20"/>
    <n v="0.7407407407407407"/>
    <n v="0.2592592592592593"/>
    <n v="0"/>
    <n v="1"/>
    <n v="0"/>
    <n v="0"/>
    <n v="0"/>
    <n v="0"/>
    <n v="0"/>
    <s v="No"/>
    <s v=""/>
    <n v="0"/>
    <n v="0"/>
    <n v="0"/>
    <s v="uncovered"/>
    <x v="0"/>
    <x v="0"/>
    <x v="1"/>
    <n v="22.765999999999998"/>
    <n v="97.358999999999995"/>
    <s v="MMR015CMP221"/>
    <x v="0"/>
    <e v="#N/A"/>
  </r>
  <r>
    <x v="1"/>
    <x v="9"/>
    <x v="9"/>
    <s v="(WHH-AA, USAID, MHF),UNICEF"/>
    <x v="0"/>
    <x v="1"/>
    <x v="1"/>
    <x v="117"/>
    <n v="51"/>
    <n v="298"/>
    <s v="(10-1-2018, 9-30-2019, 6-1-2020), 4-1-2019 "/>
    <s v="(9-30-2020, 8-31-2020, 11-30-2020), 4-30-2020"/>
    <n v="128"/>
    <m/>
    <n v="7"/>
    <m/>
    <s v="Yes"/>
    <n v="2"/>
    <n v="4"/>
    <m/>
    <m/>
    <m/>
    <m/>
    <n v="2"/>
    <m/>
    <m/>
    <m/>
    <m/>
    <m/>
    <m/>
    <m/>
    <m/>
    <m/>
    <m/>
    <n v="1"/>
    <m/>
    <n v="11"/>
    <n v="10"/>
    <n v="5"/>
    <m/>
    <s v="Water safety plan need to install"/>
    <n v="13"/>
    <m/>
    <m/>
    <m/>
    <m/>
    <m/>
    <m/>
    <m/>
    <x v="1"/>
    <x v="1"/>
    <m/>
    <m/>
    <n v="4"/>
    <m/>
    <m/>
    <m/>
    <n v="6"/>
    <m/>
    <m/>
    <n v="4"/>
    <m/>
    <m/>
    <n v="1"/>
    <n v="31"/>
    <n v="46"/>
    <s v="No"/>
    <m/>
    <m/>
    <s v="need more hygiene items especially MHM Kits"/>
    <n v="1"/>
    <n v="1"/>
    <n v="298"/>
    <n v="1"/>
    <m/>
    <m/>
    <m/>
    <n v="0"/>
    <n v="0.90909090909090906"/>
    <s v="Tested"/>
    <n v="0"/>
    <n v="2"/>
    <n v="0"/>
    <n v="0"/>
    <n v="0"/>
    <n v="0"/>
    <n v="1"/>
    <n v="1"/>
    <n v="1"/>
    <n v="298"/>
    <n v="0"/>
    <n v="0"/>
    <n v="1"/>
    <n v="298"/>
    <n v="0.59599999999999997"/>
    <n v="0"/>
    <n v="0"/>
    <n v="0.40400000000000003"/>
    <n v="1"/>
    <n v="13"/>
    <n v="0.87248322147651003"/>
    <n v="260"/>
    <n v="0"/>
    <n v="128"/>
    <n v="0"/>
    <n v="128"/>
    <n v="15"/>
    <n v="2"/>
    <n v="0.12751677852348997"/>
    <n v="0"/>
    <n v="298"/>
    <n v="155"/>
    <n v="46"/>
    <n v="155"/>
    <n v="298"/>
    <n v="1"/>
    <n v="0"/>
    <n v="1"/>
    <n v="1"/>
    <n v="0.90196078431372551"/>
    <n v="6"/>
    <n v="51"/>
    <n v="0"/>
    <n v="298"/>
    <s v="Yes"/>
    <n v="1"/>
    <n v="0"/>
    <n v="128"/>
    <s v="Yes"/>
    <s v="KBC-BMO"/>
    <x v="0"/>
    <x v="1"/>
    <x v="1"/>
    <n v="24.200361000000001"/>
    <n v="96.807353000000006"/>
    <s v="MMR001CMP067"/>
    <x v="0"/>
    <s v="cccm_2019OCT"/>
  </r>
  <r>
    <x v="1"/>
    <x v="2"/>
    <x v="2"/>
    <s v="WHH-AA, USAID, MHF"/>
    <x v="0"/>
    <x v="1"/>
    <x v="1"/>
    <x v="118"/>
    <n v="38"/>
    <n v="189"/>
    <s v="10-1-2018, 9-30-2019, 6-1-2020"/>
    <s v="9-30-2020, 8-31-2020, 11-30-2020"/>
    <m/>
    <m/>
    <m/>
    <m/>
    <s v="Yes"/>
    <n v="1"/>
    <n v="1"/>
    <m/>
    <m/>
    <m/>
    <m/>
    <n v="1"/>
    <m/>
    <m/>
    <m/>
    <m/>
    <m/>
    <m/>
    <m/>
    <m/>
    <m/>
    <m/>
    <m/>
    <m/>
    <m/>
    <m/>
    <m/>
    <m/>
    <m/>
    <n v="9"/>
    <m/>
    <m/>
    <m/>
    <m/>
    <m/>
    <m/>
    <m/>
    <x v="1"/>
    <x v="1"/>
    <m/>
    <m/>
    <m/>
    <m/>
    <m/>
    <m/>
    <n v="4"/>
    <m/>
    <m/>
    <n v="2"/>
    <m/>
    <m/>
    <n v="1"/>
    <n v="19"/>
    <n v="32"/>
    <m/>
    <m/>
    <m/>
    <m/>
    <n v="1"/>
    <n v="1"/>
    <m/>
    <n v="0"/>
    <m/>
    <m/>
    <m/>
    <s v="no test"/>
    <s v="no test"/>
    <s v="No Test"/>
    <n v="0"/>
    <n v="1"/>
    <n v="0"/>
    <n v="0"/>
    <n v="0"/>
    <n v="0"/>
    <n v="1"/>
    <n v="1"/>
    <n v="1"/>
    <n v="189"/>
    <n v="0"/>
    <n v="0"/>
    <n v="1"/>
    <n v="189"/>
    <n v="0.378"/>
    <n v="0"/>
    <n v="0"/>
    <n v="0.622"/>
    <n v="1"/>
    <n v="9"/>
    <n v="0.95238095238095233"/>
    <n v="180"/>
    <n v="0"/>
    <n v="0"/>
    <n v="0"/>
    <n v="0"/>
    <n v="9"/>
    <n v="0"/>
    <n v="4.7619047619047672E-2"/>
    <n v="0"/>
    <n v="189"/>
    <n v="95"/>
    <n v="32"/>
    <n v="95"/>
    <n v="189"/>
    <n v="1"/>
    <n v="0"/>
    <n v="1"/>
    <n v="1"/>
    <n v="0.84210526315789469"/>
    <n v="4"/>
    <n v="38"/>
    <n v="0"/>
    <n v="189"/>
    <s v="No"/>
    <s v=""/>
    <n v="0"/>
    <n v="0"/>
    <s v="Yes"/>
    <s v="KMSS-BMO"/>
    <x v="0"/>
    <x v="1"/>
    <x v="1"/>
    <n v="24.200367"/>
    <n v="96.807353000000006"/>
    <s v="MMR001CMP068"/>
    <x v="0"/>
    <s v="cccm_2019OCT"/>
  </r>
  <r>
    <x v="1"/>
    <x v="2"/>
    <x v="2"/>
    <s v="UNICEF, MHF, WHH(AA)"/>
    <x v="1"/>
    <x v="19"/>
    <x v="1"/>
    <x v="119"/>
    <n v="38"/>
    <n v="183"/>
    <s v="2-01-2019, 10-30-Oct-2019"/>
    <s v="4-30-2021, 9-30-2020"/>
    <m/>
    <m/>
    <m/>
    <m/>
    <m/>
    <n v="4"/>
    <n v="4"/>
    <n v="1"/>
    <m/>
    <m/>
    <n v="1"/>
    <m/>
    <m/>
    <m/>
    <n v="13"/>
    <m/>
    <m/>
    <m/>
    <m/>
    <m/>
    <n v="1"/>
    <n v="1"/>
    <m/>
    <m/>
    <m/>
    <m/>
    <m/>
    <m/>
    <m/>
    <n v="38"/>
    <n v="9"/>
    <m/>
    <m/>
    <n v="3"/>
    <m/>
    <m/>
    <m/>
    <x v="2"/>
    <x v="4"/>
    <m/>
    <m/>
    <m/>
    <m/>
    <m/>
    <m/>
    <m/>
    <m/>
    <m/>
    <m/>
    <m/>
    <m/>
    <n v="1"/>
    <n v="40"/>
    <m/>
    <m/>
    <m/>
    <m/>
    <m/>
    <m/>
    <m/>
    <m/>
    <m/>
    <m/>
    <m/>
    <m/>
    <s v="no test"/>
    <s v="no test"/>
    <s v="No Test"/>
    <n v="1"/>
    <n v="1"/>
    <n v="13"/>
    <n v="0"/>
    <n v="0"/>
    <n v="0"/>
    <n v="1"/>
    <n v="1"/>
    <n v="1"/>
    <n v="183"/>
    <n v="0"/>
    <n v="0"/>
    <n v="1"/>
    <n v="183"/>
    <n v="0.36599999999999999"/>
    <n v="0"/>
    <n v="0"/>
    <n v="0.63400000000000001"/>
    <n v="1"/>
    <n v="47"/>
    <n v="1"/>
    <n v="183"/>
    <n v="0"/>
    <n v="0"/>
    <n v="0"/>
    <n v="0"/>
    <n v="9"/>
    <n v="0"/>
    <n v="0"/>
    <n v="0"/>
    <n v="183"/>
    <n v="183"/>
    <n v="0"/>
    <n v="183"/>
    <n v="183"/>
    <n v="1"/>
    <n v="0"/>
    <n v="1"/>
    <n v="1"/>
    <n v="0"/>
    <n v="0"/>
    <n v="0"/>
    <n v="0"/>
    <n v="0"/>
    <s v="No"/>
    <s v=""/>
    <n v="0"/>
    <n v="0"/>
    <n v="0"/>
    <n v="0"/>
    <x v="0"/>
    <x v="5"/>
    <x v="1"/>
    <n v="23.353999999999999"/>
    <n v="98.221000000000004"/>
    <s v="MMR015CMP226"/>
    <x v="0"/>
    <s v="closed_cccm2018Mar"/>
  </r>
  <r>
    <x v="1"/>
    <x v="1"/>
    <x v="1"/>
    <s v="HARP,UNICEF"/>
    <x v="0"/>
    <x v="2"/>
    <x v="1"/>
    <x v="65"/>
    <n v="100"/>
    <n v="612"/>
    <s v="3-1-2019, 12-11-2019"/>
    <s v="12-31-2020, 12-10-2020"/>
    <n v="57"/>
    <m/>
    <m/>
    <m/>
    <s v="Yes"/>
    <m/>
    <m/>
    <m/>
    <m/>
    <m/>
    <m/>
    <m/>
    <m/>
    <m/>
    <n v="1"/>
    <m/>
    <m/>
    <m/>
    <m/>
    <m/>
    <m/>
    <m/>
    <m/>
    <m/>
    <m/>
    <m/>
    <n v="4"/>
    <m/>
    <m/>
    <n v="98"/>
    <m/>
    <m/>
    <m/>
    <m/>
    <m/>
    <m/>
    <m/>
    <x v="1"/>
    <x v="1"/>
    <n v="3"/>
    <m/>
    <m/>
    <m/>
    <m/>
    <m/>
    <m/>
    <m/>
    <m/>
    <n v="4"/>
    <m/>
    <n v="1"/>
    <n v="1"/>
    <m/>
    <m/>
    <s v="No"/>
    <m/>
    <m/>
    <m/>
    <m/>
    <m/>
    <m/>
    <m/>
    <m/>
    <m/>
    <m/>
    <s v="no test"/>
    <s v="no test"/>
    <s v="No Test"/>
    <n v="0"/>
    <n v="0"/>
    <n v="1"/>
    <n v="0"/>
    <n v="0"/>
    <n v="0"/>
    <n v="0.10893246187363835"/>
    <n v="0.10893246187363835"/>
    <n v="0.10893246187363835"/>
    <n v="66.666666666666671"/>
    <n v="0"/>
    <n v="0"/>
    <n v="0.10893246187363835"/>
    <n v="66.666666666666671"/>
    <n v="0.13333333333333333"/>
    <n v="0.89106753812636164"/>
    <n v="545.33333333333337"/>
    <n v="0.8666666666666667"/>
    <n v="1"/>
    <n v="98"/>
    <n v="1"/>
    <n v="612"/>
    <n v="0"/>
    <n v="0"/>
    <n v="0"/>
    <n v="0"/>
    <n v="31"/>
    <n v="0"/>
    <n v="0"/>
    <n v="0"/>
    <n v="612"/>
    <n v="0"/>
    <n v="0"/>
    <n v="0"/>
    <n v="612"/>
    <n v="1"/>
    <n v="0"/>
    <n v="1"/>
    <n v="0"/>
    <n v="0"/>
    <n v="0"/>
    <n v="0"/>
    <n v="0"/>
    <n v="0"/>
    <s v="Yes"/>
    <s v=""/>
    <n v="0"/>
    <n v="0"/>
    <s v="Yes"/>
    <s v="KMSS-MYT"/>
    <x v="0"/>
    <x v="1"/>
    <x v="0"/>
    <n v="25.265277999999999"/>
    <n v="97.990555999999998"/>
    <s v="MMR001CMP160"/>
    <x v="0"/>
    <s v="cccm_2019OCT"/>
  </r>
  <r>
    <x v="1"/>
    <x v="5"/>
    <x v="5"/>
    <s v="DFID"/>
    <x v="0"/>
    <x v="2"/>
    <x v="1"/>
    <x v="172"/>
    <n v="115"/>
    <n v="493"/>
    <d v="2018-08-01T00:00:00"/>
    <d v="2020-07-31T00:00:00"/>
    <n v="134"/>
    <n v="1"/>
    <m/>
    <m/>
    <s v="Yes"/>
    <n v="3"/>
    <n v="4"/>
    <n v="1"/>
    <m/>
    <m/>
    <n v="2"/>
    <n v="3"/>
    <m/>
    <m/>
    <n v="0"/>
    <m/>
    <m/>
    <n v="0"/>
    <n v="0"/>
    <n v="0"/>
    <n v="0"/>
    <n v="0"/>
    <m/>
    <m/>
    <m/>
    <m/>
    <n v="0"/>
    <n v="0"/>
    <m/>
    <n v="30"/>
    <n v="10"/>
    <s v="ICRC &amp; DVB"/>
    <m/>
    <m/>
    <m/>
    <m/>
    <n v="0"/>
    <x v="1"/>
    <x v="1"/>
    <n v="0"/>
    <n v="0"/>
    <n v="0"/>
    <m/>
    <m/>
    <m/>
    <n v="8"/>
    <m/>
    <n v="0"/>
    <n v="5"/>
    <m/>
    <n v="0"/>
    <n v="0"/>
    <m/>
    <m/>
    <s v="Yes"/>
    <m/>
    <m/>
    <m/>
    <m/>
    <m/>
    <m/>
    <m/>
    <m/>
    <m/>
    <m/>
    <s v="no test"/>
    <s v="no test"/>
    <s v="No Test"/>
    <n v="1"/>
    <n v="5"/>
    <n v="0"/>
    <n v="0"/>
    <n v="0"/>
    <n v="0"/>
    <n v="1"/>
    <n v="1"/>
    <n v="1"/>
    <n v="493"/>
    <n v="0"/>
    <n v="0"/>
    <n v="1"/>
    <n v="493"/>
    <n v="0.98599999999999999"/>
    <n v="0"/>
    <n v="0"/>
    <n v="1.4000000000000012E-2"/>
    <n v="1"/>
    <n v="40"/>
    <n v="1"/>
    <n v="493"/>
    <n v="0"/>
    <n v="0"/>
    <n v="0"/>
    <n v="0"/>
    <n v="25"/>
    <n v="0"/>
    <n v="0"/>
    <n v="0"/>
    <n v="0"/>
    <n v="0"/>
    <n v="0"/>
    <n v="0"/>
    <n v="0"/>
    <n v="0"/>
    <n v="1"/>
    <n v="0"/>
    <n v="0"/>
    <n v="0"/>
    <n v="8"/>
    <n v="115"/>
    <n v="0"/>
    <n v="493"/>
    <s v="Yes"/>
    <s v=""/>
    <n v="0"/>
    <n v="0"/>
    <s v="Yes"/>
    <s v="Shalom"/>
    <x v="0"/>
    <x v="1"/>
    <x v="1"/>
    <n v="25.3540362037037"/>
    <n v="97.441166388888902"/>
    <s v="MMR001CMP032"/>
    <x v="0"/>
    <s v="cccm_2019OCT"/>
  </r>
  <r>
    <x v="1"/>
    <x v="0"/>
    <x v="0"/>
    <s v="PLAN(GFFO),MHF13490"/>
    <x v="0"/>
    <x v="2"/>
    <x v="1"/>
    <x v="31"/>
    <n v="60"/>
    <n v="307"/>
    <s v="5-1-2019,10-1-2019"/>
    <s v="9-30-2020,7-31-2020"/>
    <m/>
    <m/>
    <m/>
    <m/>
    <s v="Yes"/>
    <m/>
    <n v="3"/>
    <n v="2"/>
    <m/>
    <m/>
    <n v="0"/>
    <m/>
    <m/>
    <m/>
    <m/>
    <m/>
    <m/>
    <m/>
    <m/>
    <m/>
    <m/>
    <n v="1"/>
    <m/>
    <m/>
    <m/>
    <m/>
    <m/>
    <m/>
    <m/>
    <n v="14"/>
    <m/>
    <m/>
    <m/>
    <m/>
    <m/>
    <m/>
    <n v="10"/>
    <x v="1"/>
    <x v="1"/>
    <m/>
    <m/>
    <m/>
    <m/>
    <m/>
    <m/>
    <n v="4"/>
    <m/>
    <m/>
    <n v="2"/>
    <m/>
    <m/>
    <n v="1"/>
    <m/>
    <m/>
    <m/>
    <m/>
    <m/>
    <m/>
    <m/>
    <m/>
    <m/>
    <m/>
    <m/>
    <m/>
    <m/>
    <s v="no test"/>
    <s v="no test"/>
    <s v="No Test"/>
    <n v="2"/>
    <n v="0"/>
    <n v="0"/>
    <n v="0"/>
    <n v="0"/>
    <n v="0"/>
    <n v="1"/>
    <n v="1"/>
    <n v="1"/>
    <n v="307"/>
    <n v="0"/>
    <n v="0"/>
    <n v="1"/>
    <n v="307"/>
    <n v="0.61399999999999999"/>
    <n v="0"/>
    <n v="0"/>
    <n v="0.38600000000000001"/>
    <n v="1"/>
    <n v="14"/>
    <n v="0.91205211726384361"/>
    <n v="280"/>
    <n v="0"/>
    <n v="0"/>
    <n v="0"/>
    <n v="0"/>
    <n v="15"/>
    <n v="1"/>
    <n v="8.7947882736156391E-2"/>
    <n v="0"/>
    <n v="307"/>
    <n v="0"/>
    <n v="0"/>
    <n v="0"/>
    <n v="307"/>
    <n v="1"/>
    <n v="0"/>
    <n v="1"/>
    <n v="0"/>
    <n v="0"/>
    <n v="4"/>
    <n v="60"/>
    <n v="0"/>
    <n v="307"/>
    <s v="No"/>
    <s v=""/>
    <n v="0"/>
    <n v="0"/>
    <s v="Yes"/>
    <s v="KBC-MYT"/>
    <x v="0"/>
    <x v="1"/>
    <x v="1"/>
    <n v="25.351724999999998"/>
    <n v="97.438432380952406"/>
    <s v="MMR001CMP025"/>
    <x v="0"/>
    <s v="cccm_2019OCT"/>
  </r>
  <r>
    <x v="1"/>
    <x v="2"/>
    <x v="2"/>
    <s v="UNICEF, MHF, WHH(AA)"/>
    <x v="1"/>
    <x v="13"/>
    <x v="1"/>
    <x v="124"/>
    <n v="205"/>
    <n v="1077"/>
    <s v="2-01-2019, 10-30-Oct-2019"/>
    <s v="4-30-2021, 9-30-2020"/>
    <m/>
    <n v="2"/>
    <m/>
    <m/>
    <s v="Yes"/>
    <n v="5"/>
    <n v="4"/>
    <n v="2"/>
    <m/>
    <m/>
    <n v="1"/>
    <m/>
    <m/>
    <m/>
    <n v="99"/>
    <m/>
    <m/>
    <m/>
    <m/>
    <m/>
    <n v="3"/>
    <n v="1"/>
    <m/>
    <m/>
    <m/>
    <m/>
    <m/>
    <n v="2"/>
    <m/>
    <n v="200"/>
    <n v="5"/>
    <m/>
    <m/>
    <n v="37"/>
    <m/>
    <m/>
    <n v="18"/>
    <x v="2"/>
    <x v="4"/>
    <m/>
    <m/>
    <n v="2"/>
    <m/>
    <m/>
    <m/>
    <n v="2"/>
    <m/>
    <m/>
    <n v="5"/>
    <m/>
    <m/>
    <n v="1"/>
    <n v="207"/>
    <m/>
    <m/>
    <m/>
    <m/>
    <m/>
    <m/>
    <m/>
    <m/>
    <m/>
    <m/>
    <m/>
    <m/>
    <s v="no test"/>
    <s v="no test"/>
    <s v="No Test"/>
    <n v="2"/>
    <n v="1"/>
    <n v="99"/>
    <n v="0"/>
    <n v="0"/>
    <n v="1000"/>
    <n v="1"/>
    <n v="1"/>
    <n v="1"/>
    <n v="1077"/>
    <n v="0"/>
    <n v="0"/>
    <n v="1"/>
    <n v="1077"/>
    <n v="2.1539999999999999"/>
    <n v="0"/>
    <n v="0"/>
    <n v="0"/>
    <n v="2"/>
    <n v="205"/>
    <n v="0.95171773444753949"/>
    <n v="1025"/>
    <n v="0"/>
    <n v="0"/>
    <n v="0"/>
    <n v="0"/>
    <n v="180"/>
    <n v="0"/>
    <n v="4.8282265552460513E-2"/>
    <n v="0"/>
    <n v="500"/>
    <n v="1035"/>
    <n v="0"/>
    <n v="1035"/>
    <n v="1035"/>
    <n v="0.96100278551532037"/>
    <n v="3.8997214484679632E-2"/>
    <n v="0.46425255338904364"/>
    <n v="1"/>
    <n v="0"/>
    <n v="2"/>
    <n v="40"/>
    <n v="0"/>
    <n v="200"/>
    <s v="No"/>
    <s v=""/>
    <n v="0"/>
    <n v="1000"/>
    <s v="Yes"/>
    <s v="KBC-NSS"/>
    <x v="1"/>
    <x v="1"/>
    <x v="1"/>
    <n v="23.38503"/>
    <n v="97.837040000000002"/>
    <s v="MMR015CMP020"/>
    <x v="0"/>
    <s v="cccm_2019OCT"/>
  </r>
  <r>
    <x v="1"/>
    <x v="3"/>
    <x v="3"/>
    <s v="(UNICEF, MHF, WHH (AA)),HARP"/>
    <x v="1"/>
    <x v="16"/>
    <x v="1"/>
    <x v="125"/>
    <n v="29"/>
    <n v="235"/>
    <s v="2-01-2019, 10-30-Oct-2019"/>
    <s v="4-30-2021, 9-30-2020"/>
    <m/>
    <n v="2"/>
    <m/>
    <m/>
    <s v="Yes"/>
    <n v="2"/>
    <n v="8"/>
    <n v="1"/>
    <m/>
    <m/>
    <n v="2"/>
    <m/>
    <m/>
    <m/>
    <m/>
    <m/>
    <m/>
    <m/>
    <n v="2"/>
    <m/>
    <n v="1"/>
    <n v="1"/>
    <m/>
    <m/>
    <m/>
    <m/>
    <n v="4"/>
    <m/>
    <m/>
    <n v="8"/>
    <m/>
    <m/>
    <m/>
    <m/>
    <m/>
    <m/>
    <n v="8"/>
    <x v="1"/>
    <x v="1"/>
    <m/>
    <m/>
    <n v="0"/>
    <m/>
    <m/>
    <m/>
    <n v="4"/>
    <m/>
    <n v="0"/>
    <n v="2"/>
    <m/>
    <m/>
    <n v="2"/>
    <n v="30"/>
    <m/>
    <s v="Yes"/>
    <m/>
    <m/>
    <m/>
    <m/>
    <m/>
    <m/>
    <m/>
    <m/>
    <m/>
    <m/>
    <s v="no test"/>
    <s v="no test"/>
    <s v="No Test"/>
    <n v="1"/>
    <n v="2"/>
    <n v="0"/>
    <n v="0"/>
    <n v="0"/>
    <n v="0"/>
    <n v="1"/>
    <n v="1"/>
    <n v="1"/>
    <n v="235"/>
    <n v="1"/>
    <n v="235"/>
    <n v="1"/>
    <n v="235"/>
    <n v="0.47"/>
    <n v="0"/>
    <n v="0"/>
    <n v="0.53"/>
    <n v="1"/>
    <n v="8"/>
    <n v="0.68085106382978722"/>
    <n v="160"/>
    <n v="0"/>
    <n v="0"/>
    <n v="0"/>
    <n v="0"/>
    <n v="12"/>
    <n v="4"/>
    <n v="0.31914893617021278"/>
    <n v="0"/>
    <n v="235"/>
    <n v="150"/>
    <n v="0"/>
    <n v="150"/>
    <n v="235"/>
    <n v="1"/>
    <n v="0"/>
    <n v="1"/>
    <n v="1"/>
    <n v="0"/>
    <n v="4"/>
    <n v="29"/>
    <n v="4"/>
    <n v="235"/>
    <s v="No"/>
    <s v=""/>
    <n v="0"/>
    <n v="0"/>
    <s v="Yes"/>
    <s v="KMSS-LSO"/>
    <x v="0"/>
    <x v="1"/>
    <x v="1"/>
    <n v="23.24661"/>
    <n v="97.116680000000002"/>
    <s v="MMR015CMP209"/>
    <x v="0"/>
    <s v="cccm_2019OCT"/>
  </r>
  <r>
    <x v="1"/>
    <x v="3"/>
    <x v="3"/>
    <s v="(UNICEF, MHF, WHH (AA)),HARP"/>
    <x v="1"/>
    <x v="18"/>
    <x v="1"/>
    <x v="126"/>
    <n v="76"/>
    <n v="390"/>
    <s v="2-01-2019, 10-30-Oct-2019"/>
    <s v="4-30-2021, 9-30-2020"/>
    <m/>
    <n v="2"/>
    <m/>
    <m/>
    <s v="Yes"/>
    <n v="7"/>
    <n v="9"/>
    <n v="0"/>
    <m/>
    <m/>
    <n v="1"/>
    <m/>
    <m/>
    <m/>
    <n v="1"/>
    <m/>
    <m/>
    <m/>
    <m/>
    <m/>
    <n v="1"/>
    <n v="2"/>
    <m/>
    <m/>
    <m/>
    <m/>
    <n v="8"/>
    <m/>
    <m/>
    <n v="14"/>
    <n v="6"/>
    <m/>
    <m/>
    <m/>
    <m/>
    <m/>
    <n v="14"/>
    <x v="1"/>
    <x v="1"/>
    <m/>
    <m/>
    <m/>
    <m/>
    <m/>
    <m/>
    <n v="8"/>
    <m/>
    <n v="0"/>
    <n v="2"/>
    <m/>
    <n v="1"/>
    <n v="1"/>
    <m/>
    <m/>
    <s v="Yes"/>
    <m/>
    <m/>
    <m/>
    <m/>
    <m/>
    <m/>
    <m/>
    <m/>
    <m/>
    <m/>
    <s v="no test"/>
    <s v="no test"/>
    <s v="No Test"/>
    <n v="0"/>
    <n v="1"/>
    <n v="1"/>
    <n v="0"/>
    <n v="0"/>
    <n v="0"/>
    <n v="1"/>
    <n v="0.81196581196581197"/>
    <n v="1"/>
    <n v="390"/>
    <n v="0"/>
    <n v="0"/>
    <n v="1"/>
    <n v="390"/>
    <n v="0.78"/>
    <n v="0"/>
    <n v="0"/>
    <n v="0.21999999999999997"/>
    <n v="1"/>
    <n v="20"/>
    <n v="1"/>
    <n v="390"/>
    <n v="0"/>
    <n v="0"/>
    <n v="0"/>
    <n v="0"/>
    <n v="20"/>
    <n v="0"/>
    <n v="0"/>
    <n v="0"/>
    <n v="390"/>
    <n v="0"/>
    <n v="0"/>
    <n v="0"/>
    <n v="390"/>
    <n v="1"/>
    <n v="0"/>
    <n v="1"/>
    <n v="0"/>
    <n v="0"/>
    <n v="8"/>
    <n v="76"/>
    <n v="8"/>
    <n v="390"/>
    <s v="No"/>
    <s v=""/>
    <n v="0"/>
    <n v="0"/>
    <s v="Yes"/>
    <s v="KBC-NSS"/>
    <x v="0"/>
    <x v="1"/>
    <x v="1"/>
    <n v="23.821380000000001"/>
    <n v="97.681970000000007"/>
    <s v="MMR015CMP004"/>
    <x v="0"/>
    <s v="cccm_2019OCT"/>
  </r>
  <r>
    <x v="1"/>
    <x v="3"/>
    <x v="3"/>
    <s v="(UNICEF, MHF, WHH (AA)),HARP"/>
    <x v="1"/>
    <x v="18"/>
    <x v="1"/>
    <x v="127"/>
    <n v="43"/>
    <n v="212"/>
    <s v="2-01-2019, 10-30-Oct-2019"/>
    <s v="4-30-2021, 9-30-2020"/>
    <m/>
    <n v="2"/>
    <m/>
    <m/>
    <s v="Yes"/>
    <n v="3"/>
    <n v="9"/>
    <n v="1"/>
    <m/>
    <m/>
    <n v="2"/>
    <m/>
    <m/>
    <m/>
    <m/>
    <m/>
    <m/>
    <m/>
    <n v="1"/>
    <m/>
    <n v="1"/>
    <n v="2"/>
    <m/>
    <m/>
    <m/>
    <m/>
    <n v="3"/>
    <m/>
    <m/>
    <n v="14"/>
    <m/>
    <m/>
    <m/>
    <m/>
    <m/>
    <m/>
    <n v="14"/>
    <x v="1"/>
    <x v="1"/>
    <m/>
    <m/>
    <m/>
    <m/>
    <m/>
    <m/>
    <n v="3"/>
    <m/>
    <n v="0"/>
    <n v="2"/>
    <m/>
    <n v="1"/>
    <n v="1"/>
    <m/>
    <m/>
    <s v="Yes"/>
    <m/>
    <m/>
    <m/>
    <m/>
    <m/>
    <m/>
    <m/>
    <m/>
    <m/>
    <m/>
    <s v="no test"/>
    <s v="no test"/>
    <s v="No Test"/>
    <n v="1"/>
    <n v="2"/>
    <n v="0"/>
    <n v="0"/>
    <n v="0"/>
    <n v="0"/>
    <n v="1"/>
    <n v="1"/>
    <n v="1"/>
    <n v="212"/>
    <n v="1"/>
    <n v="212"/>
    <n v="1"/>
    <n v="212"/>
    <n v="0.42399999999999999"/>
    <n v="0"/>
    <n v="0"/>
    <n v="0.57600000000000007"/>
    <n v="1"/>
    <n v="14"/>
    <n v="1"/>
    <n v="212"/>
    <n v="0"/>
    <n v="0"/>
    <n v="0"/>
    <n v="0"/>
    <n v="11"/>
    <n v="0"/>
    <n v="0"/>
    <n v="0"/>
    <n v="212"/>
    <n v="0"/>
    <n v="0"/>
    <n v="0"/>
    <n v="212"/>
    <n v="1"/>
    <n v="0"/>
    <n v="1"/>
    <n v="0"/>
    <n v="0"/>
    <n v="3"/>
    <n v="43"/>
    <n v="3"/>
    <n v="212"/>
    <s v="No"/>
    <s v=""/>
    <n v="0"/>
    <n v="0"/>
    <s v="Yes"/>
    <s v="KMSS-LSO"/>
    <x v="0"/>
    <x v="1"/>
    <x v="1"/>
    <n v="23.828150000000001"/>
    <n v="97.670360000000002"/>
    <s v="MMR015CMP003"/>
    <x v="0"/>
    <e v="#N/A"/>
  </r>
  <r>
    <x v="1"/>
    <x v="4"/>
    <x v="4"/>
    <m/>
    <x v="0"/>
    <x v="10"/>
    <x v="1"/>
    <x v="128"/>
    <n v="190"/>
    <n v="928"/>
    <m/>
    <m/>
    <m/>
    <m/>
    <m/>
    <m/>
    <m/>
    <m/>
    <n v="4"/>
    <m/>
    <m/>
    <m/>
    <m/>
    <m/>
    <m/>
    <m/>
    <m/>
    <m/>
    <m/>
    <m/>
    <m/>
    <m/>
    <m/>
    <m/>
    <m/>
    <m/>
    <m/>
    <m/>
    <m/>
    <m/>
    <m/>
    <m/>
    <m/>
    <m/>
    <m/>
    <m/>
    <m/>
    <m/>
    <m/>
    <x v="0"/>
    <x v="0"/>
    <m/>
    <m/>
    <m/>
    <m/>
    <m/>
    <m/>
    <m/>
    <m/>
    <m/>
    <m/>
    <m/>
    <m/>
    <m/>
    <m/>
    <m/>
    <m/>
    <m/>
    <m/>
    <m/>
    <m/>
    <m/>
    <m/>
    <m/>
    <m/>
    <m/>
    <m/>
    <s v="no test"/>
    <s v="no test"/>
    <s v="No Test"/>
    <n v="0"/>
    <n v="0"/>
    <n v="0"/>
    <n v="0"/>
    <n v="0"/>
    <n v="0"/>
    <n v="0"/>
    <n v="0"/>
    <n v="0"/>
    <n v="0"/>
    <n v="0"/>
    <n v="0"/>
    <n v="0"/>
    <n v="0"/>
    <n v="0"/>
    <n v="1"/>
    <n v="928"/>
    <n v="2"/>
    <n v="2"/>
    <n v="0"/>
    <n v="0"/>
    <n v="0"/>
    <n v="0"/>
    <n v="0"/>
    <n v="0"/>
    <n v="0"/>
    <n v="46"/>
    <n v="46"/>
    <n v="1"/>
    <n v="0"/>
    <n v="0"/>
    <n v="0"/>
    <n v="0"/>
    <n v="0"/>
    <n v="0"/>
    <n v="0"/>
    <n v="1"/>
    <n v="0"/>
    <n v="0"/>
    <n v="0"/>
    <n v="0"/>
    <n v="0"/>
    <n v="0"/>
    <n v="0"/>
    <s v="No"/>
    <s v=""/>
    <n v="0"/>
    <n v="0"/>
    <n v="0"/>
    <s v="uncovered"/>
    <x v="0"/>
    <x v="4"/>
    <x v="1"/>
    <n v="24.263786"/>
    <n v="97.228835000000004"/>
    <s v="MMR001CMP163"/>
    <x v="1"/>
    <s v="cccm_2019OCT"/>
  </r>
  <r>
    <x v="1"/>
    <x v="4"/>
    <x v="4"/>
    <m/>
    <x v="0"/>
    <x v="6"/>
    <x v="1"/>
    <x v="129"/>
    <n v="6"/>
    <n v="32"/>
    <m/>
    <m/>
    <m/>
    <m/>
    <m/>
    <m/>
    <m/>
    <m/>
    <m/>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No"/>
    <s v=""/>
    <n v="0"/>
    <n v="0"/>
    <n v="0"/>
    <s v="uncovered"/>
    <x v="0"/>
    <x v="0"/>
    <x v="1"/>
    <n v="0"/>
    <n v="0"/>
    <s v="MMR001CMP262"/>
    <x v="1"/>
    <s v="cccm_2019OCT"/>
  </r>
  <r>
    <x v="1"/>
    <x v="4"/>
    <x v="4"/>
    <m/>
    <x v="0"/>
    <x v="11"/>
    <x v="1"/>
    <x v="130"/>
    <n v="29"/>
    <n v="140"/>
    <m/>
    <m/>
    <m/>
    <m/>
    <m/>
    <m/>
    <m/>
    <m/>
    <n v="4"/>
    <m/>
    <m/>
    <m/>
    <m/>
    <m/>
    <m/>
    <m/>
    <m/>
    <m/>
    <m/>
    <m/>
    <m/>
    <m/>
    <m/>
    <m/>
    <m/>
    <m/>
    <m/>
    <m/>
    <m/>
    <m/>
    <m/>
    <m/>
    <m/>
    <m/>
    <m/>
    <m/>
    <m/>
    <m/>
    <m/>
    <x v="0"/>
    <x v="0"/>
    <m/>
    <m/>
    <m/>
    <m/>
    <m/>
    <m/>
    <m/>
    <m/>
    <m/>
    <m/>
    <m/>
    <m/>
    <m/>
    <m/>
    <m/>
    <m/>
    <m/>
    <m/>
    <m/>
    <m/>
    <m/>
    <m/>
    <m/>
    <m/>
    <m/>
    <m/>
    <s v="no test"/>
    <s v="no test"/>
    <s v="No Test"/>
    <n v="0"/>
    <n v="0"/>
    <n v="0"/>
    <n v="0"/>
    <n v="0"/>
    <n v="0"/>
    <n v="0"/>
    <n v="0"/>
    <n v="0"/>
    <n v="0"/>
    <n v="0"/>
    <n v="0"/>
    <n v="0"/>
    <n v="0"/>
    <n v="0"/>
    <n v="1"/>
    <n v="140"/>
    <n v="1"/>
    <n v="1"/>
    <n v="0"/>
    <n v="0"/>
    <n v="0"/>
    <n v="0"/>
    <n v="0"/>
    <n v="0"/>
    <n v="0"/>
    <n v="7"/>
    <n v="7"/>
    <n v="1"/>
    <n v="0"/>
    <n v="0"/>
    <n v="0"/>
    <n v="0"/>
    <n v="0"/>
    <n v="0"/>
    <n v="0"/>
    <n v="1"/>
    <n v="0"/>
    <n v="0"/>
    <n v="0"/>
    <n v="0"/>
    <n v="0"/>
    <n v="0"/>
    <n v="0"/>
    <s v="No"/>
    <s v=""/>
    <n v="0"/>
    <n v="0"/>
    <n v="0"/>
    <s v="uncovered"/>
    <x v="0"/>
    <x v="0"/>
    <x v="1"/>
    <n v="26.299828999999999"/>
    <n v="97.487258999999995"/>
    <s v="MMR001CMP272"/>
    <x v="1"/>
    <s v="cccm_2019OCT"/>
  </r>
  <r>
    <x v="1"/>
    <x v="5"/>
    <x v="5"/>
    <s v="DFID"/>
    <x v="0"/>
    <x v="2"/>
    <x v="1"/>
    <x v="173"/>
    <n v="36"/>
    <n v="189"/>
    <d v="2018-08-01T00:00:00"/>
    <d v="2020-07-31T00:00:00"/>
    <m/>
    <n v="1"/>
    <m/>
    <m/>
    <s v="Yes"/>
    <n v="2"/>
    <n v="2"/>
    <n v="2"/>
    <m/>
    <m/>
    <n v="1"/>
    <n v="1"/>
    <m/>
    <m/>
    <n v="0"/>
    <m/>
    <m/>
    <n v="0"/>
    <n v="0"/>
    <n v="0"/>
    <n v="0"/>
    <n v="0"/>
    <m/>
    <m/>
    <m/>
    <m/>
    <n v="0"/>
    <n v="0"/>
    <m/>
    <n v="9"/>
    <n v="1"/>
    <m/>
    <m/>
    <m/>
    <m/>
    <m/>
    <n v="0"/>
    <x v="1"/>
    <x v="1"/>
    <n v="0"/>
    <n v="0"/>
    <n v="0"/>
    <m/>
    <m/>
    <m/>
    <n v="6"/>
    <m/>
    <n v="4"/>
    <n v="2"/>
    <m/>
    <n v="0"/>
    <n v="0"/>
    <m/>
    <m/>
    <s v="No"/>
    <m/>
    <m/>
    <m/>
    <m/>
    <m/>
    <m/>
    <m/>
    <m/>
    <m/>
    <m/>
    <s v="no test"/>
    <s v="no test"/>
    <s v="No Test"/>
    <n v="2"/>
    <n v="2"/>
    <n v="0"/>
    <n v="0"/>
    <n v="0"/>
    <n v="0"/>
    <n v="1"/>
    <n v="1"/>
    <n v="1"/>
    <n v="189"/>
    <n v="0"/>
    <n v="0"/>
    <n v="1"/>
    <n v="189"/>
    <n v="0.378"/>
    <n v="0"/>
    <n v="0"/>
    <n v="0.622"/>
    <n v="1"/>
    <n v="10"/>
    <n v="1"/>
    <n v="189"/>
    <n v="0"/>
    <n v="0"/>
    <n v="0"/>
    <n v="0"/>
    <n v="9"/>
    <n v="0"/>
    <n v="0"/>
    <n v="0"/>
    <n v="0"/>
    <n v="0"/>
    <n v="0"/>
    <n v="0"/>
    <n v="0"/>
    <n v="0"/>
    <n v="1"/>
    <n v="0"/>
    <n v="0"/>
    <n v="0"/>
    <n v="6"/>
    <n v="36"/>
    <n v="0"/>
    <n v="189"/>
    <s v="No"/>
    <s v=""/>
    <n v="0"/>
    <n v="0"/>
    <s v="Yes"/>
    <s v="Shalom"/>
    <x v="0"/>
    <x v="1"/>
    <x v="1"/>
    <n v="25.345918166666699"/>
    <n v="97.437472666666693"/>
    <s v="MMR001CMP030"/>
    <x v="0"/>
    <s v="cccm_2019OCT"/>
  </r>
  <r>
    <x v="1"/>
    <x v="4"/>
    <x v="4"/>
    <m/>
    <x v="0"/>
    <x v="5"/>
    <x v="1"/>
    <x v="132"/>
    <n v="27"/>
    <n v="121"/>
    <m/>
    <m/>
    <m/>
    <m/>
    <m/>
    <m/>
    <m/>
    <m/>
    <m/>
    <m/>
    <m/>
    <m/>
    <m/>
    <m/>
    <m/>
    <m/>
    <m/>
    <m/>
    <m/>
    <m/>
    <m/>
    <m/>
    <m/>
    <m/>
    <m/>
    <m/>
    <m/>
    <m/>
    <m/>
    <m/>
    <m/>
    <m/>
    <m/>
    <m/>
    <m/>
    <m/>
    <m/>
    <m/>
    <m/>
    <x v="0"/>
    <x v="0"/>
    <m/>
    <m/>
    <m/>
    <m/>
    <m/>
    <m/>
    <m/>
    <m/>
    <m/>
    <m/>
    <m/>
    <m/>
    <m/>
    <m/>
    <m/>
    <m/>
    <m/>
    <m/>
    <m/>
    <m/>
    <m/>
    <m/>
    <m/>
    <m/>
    <m/>
    <m/>
    <s v="no test"/>
    <s v="no test"/>
    <s v="No Test"/>
    <n v="0"/>
    <n v="0"/>
    <n v="0"/>
    <n v="0"/>
    <n v="0"/>
    <n v="0"/>
    <n v="0"/>
    <n v="0"/>
    <n v="0"/>
    <n v="0"/>
    <n v="0"/>
    <n v="0"/>
    <n v="0"/>
    <n v="0"/>
    <n v="0"/>
    <n v="1"/>
    <n v="121"/>
    <n v="1"/>
    <n v="1"/>
    <n v="0"/>
    <n v="0"/>
    <n v="0"/>
    <n v="0"/>
    <n v="0"/>
    <n v="0"/>
    <n v="0"/>
    <n v="6"/>
    <n v="6"/>
    <n v="1"/>
    <n v="0"/>
    <n v="0"/>
    <n v="0"/>
    <n v="0"/>
    <n v="0"/>
    <n v="0"/>
    <n v="0"/>
    <n v="1"/>
    <n v="0"/>
    <n v="0"/>
    <n v="0"/>
    <n v="0"/>
    <n v="0"/>
    <n v="0"/>
    <n v="0"/>
    <s v="No"/>
    <s v=""/>
    <n v="0"/>
    <n v="0"/>
    <n v="0"/>
    <s v="uncovered"/>
    <x v="0"/>
    <x v="4"/>
    <x v="1"/>
    <n v="24.996279999999999"/>
    <n v="96.52534"/>
    <s v="MMR001CMP232"/>
    <x v="1"/>
    <s v="cccm_2019OCT"/>
  </r>
  <r>
    <x v="1"/>
    <x v="4"/>
    <x v="4"/>
    <m/>
    <x v="0"/>
    <x v="7"/>
    <x v="1"/>
    <x v="133"/>
    <m/>
    <n v="26"/>
    <m/>
    <m/>
    <m/>
    <m/>
    <m/>
    <m/>
    <m/>
    <m/>
    <n v="4"/>
    <m/>
    <m/>
    <m/>
    <m/>
    <m/>
    <m/>
    <m/>
    <m/>
    <m/>
    <m/>
    <m/>
    <m/>
    <m/>
    <m/>
    <m/>
    <m/>
    <m/>
    <m/>
    <m/>
    <m/>
    <m/>
    <m/>
    <m/>
    <m/>
    <m/>
    <m/>
    <m/>
    <m/>
    <m/>
    <m/>
    <x v="0"/>
    <x v="0"/>
    <m/>
    <m/>
    <m/>
    <m/>
    <m/>
    <m/>
    <m/>
    <m/>
    <m/>
    <m/>
    <m/>
    <m/>
    <m/>
    <m/>
    <m/>
    <m/>
    <m/>
    <m/>
    <m/>
    <m/>
    <m/>
    <m/>
    <m/>
    <m/>
    <m/>
    <m/>
    <s v="no test"/>
    <s v="no test"/>
    <s v="No Test"/>
    <n v="0"/>
    <n v="0"/>
    <n v="0"/>
    <n v="0"/>
    <n v="0"/>
    <n v="0"/>
    <n v="0"/>
    <n v="0"/>
    <n v="0"/>
    <n v="0"/>
    <n v="0"/>
    <n v="0"/>
    <n v="0"/>
    <n v="0"/>
    <n v="0"/>
    <n v="1"/>
    <n v="26"/>
    <n v="1"/>
    <n v="1"/>
    <n v="0"/>
    <n v="0"/>
    <n v="0"/>
    <n v="0"/>
    <n v="0"/>
    <n v="0"/>
    <n v="0"/>
    <n v="1"/>
    <n v="1"/>
    <n v="1"/>
    <n v="0"/>
    <n v="0"/>
    <n v="0"/>
    <n v="0"/>
    <n v="0"/>
    <n v="0"/>
    <n v="0"/>
    <n v="1"/>
    <n v="0"/>
    <e v="#DIV/0!"/>
    <e v="#DIV/0!"/>
    <n v="0"/>
    <n v="0"/>
    <n v="0"/>
    <n v="0"/>
    <s v="No"/>
    <s v=""/>
    <n v="0"/>
    <n v="0"/>
    <n v="0"/>
    <s v="uncovered"/>
    <x v="0"/>
    <x v="3"/>
    <x v="1"/>
    <n v="24.613662999999999"/>
    <n v="97.461727999999994"/>
    <s v="MMR001CMP274"/>
    <x v="1"/>
    <s v="cccm_2019OCT"/>
  </r>
  <r>
    <x v="1"/>
    <x v="4"/>
    <x v="4"/>
    <m/>
    <x v="0"/>
    <x v="8"/>
    <x v="1"/>
    <x v="134"/>
    <n v="10"/>
    <n v="56"/>
    <m/>
    <m/>
    <m/>
    <m/>
    <m/>
    <m/>
    <m/>
    <m/>
    <n v="3"/>
    <m/>
    <m/>
    <m/>
    <m/>
    <m/>
    <m/>
    <m/>
    <m/>
    <m/>
    <m/>
    <m/>
    <m/>
    <m/>
    <m/>
    <m/>
    <m/>
    <m/>
    <m/>
    <m/>
    <m/>
    <m/>
    <m/>
    <m/>
    <m/>
    <m/>
    <m/>
    <m/>
    <m/>
    <m/>
    <m/>
    <x v="0"/>
    <x v="0"/>
    <m/>
    <m/>
    <m/>
    <m/>
    <m/>
    <m/>
    <m/>
    <m/>
    <m/>
    <m/>
    <m/>
    <m/>
    <m/>
    <m/>
    <m/>
    <m/>
    <m/>
    <m/>
    <m/>
    <m/>
    <m/>
    <m/>
    <m/>
    <m/>
    <m/>
    <m/>
    <s v="no test"/>
    <s v="no test"/>
    <s v="No Test"/>
    <n v="0"/>
    <n v="0"/>
    <n v="0"/>
    <n v="0"/>
    <n v="0"/>
    <n v="0"/>
    <n v="0"/>
    <n v="0"/>
    <n v="0"/>
    <n v="0"/>
    <n v="0"/>
    <n v="0"/>
    <n v="0"/>
    <n v="0"/>
    <n v="0"/>
    <n v="1"/>
    <n v="56"/>
    <n v="1"/>
    <n v="1"/>
    <n v="0"/>
    <n v="0"/>
    <n v="0"/>
    <n v="0"/>
    <n v="0"/>
    <n v="0"/>
    <n v="0"/>
    <n v="3"/>
    <n v="3"/>
    <n v="1"/>
    <n v="0"/>
    <n v="0"/>
    <n v="0"/>
    <n v="0"/>
    <n v="0"/>
    <n v="0"/>
    <n v="0"/>
    <n v="1"/>
    <n v="0"/>
    <n v="0"/>
    <n v="0"/>
    <n v="0"/>
    <n v="0"/>
    <n v="0"/>
    <n v="0"/>
    <s v="No"/>
    <s v=""/>
    <n v="0"/>
    <n v="0"/>
    <n v="0"/>
    <s v="uncovered"/>
    <x v="0"/>
    <x v="4"/>
    <x v="1"/>
    <n v="27.248964999999998"/>
    <n v="97.561105999999995"/>
    <s v="MMR001CMP227"/>
    <x v="1"/>
    <s v="cccm_2019OCT"/>
  </r>
  <r>
    <x v="1"/>
    <x v="4"/>
    <x v="4"/>
    <m/>
    <x v="0"/>
    <x v="7"/>
    <x v="1"/>
    <x v="135"/>
    <n v="3"/>
    <n v="18"/>
    <m/>
    <m/>
    <m/>
    <m/>
    <m/>
    <m/>
    <m/>
    <m/>
    <n v="3"/>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n v="0"/>
    <s v="uncovered"/>
    <x v="0"/>
    <x v="4"/>
    <x v="1"/>
    <n v="24.377054000000001"/>
    <n v="97.343406999999999"/>
    <s v="MMR001CMP200"/>
    <x v="1"/>
    <s v="cccm_2019OCT"/>
  </r>
  <r>
    <x v="1"/>
    <x v="4"/>
    <x v="4"/>
    <m/>
    <x v="0"/>
    <x v="7"/>
    <x v="1"/>
    <x v="136"/>
    <m/>
    <n v="31"/>
    <m/>
    <m/>
    <m/>
    <m/>
    <m/>
    <m/>
    <m/>
    <m/>
    <m/>
    <m/>
    <m/>
    <m/>
    <m/>
    <m/>
    <m/>
    <m/>
    <m/>
    <m/>
    <m/>
    <m/>
    <m/>
    <m/>
    <m/>
    <m/>
    <m/>
    <m/>
    <m/>
    <m/>
    <m/>
    <m/>
    <m/>
    <m/>
    <m/>
    <m/>
    <m/>
    <m/>
    <m/>
    <m/>
    <m/>
    <x v="0"/>
    <x v="0"/>
    <m/>
    <m/>
    <m/>
    <m/>
    <m/>
    <m/>
    <m/>
    <m/>
    <m/>
    <m/>
    <m/>
    <m/>
    <m/>
    <m/>
    <m/>
    <m/>
    <m/>
    <m/>
    <m/>
    <m/>
    <m/>
    <m/>
    <m/>
    <m/>
    <m/>
    <m/>
    <s v="no test"/>
    <s v="no test"/>
    <s v="No Test"/>
    <n v="0"/>
    <n v="0"/>
    <n v="0"/>
    <n v="0"/>
    <n v="0"/>
    <n v="0"/>
    <n v="0"/>
    <n v="0"/>
    <n v="0"/>
    <n v="0"/>
    <n v="0"/>
    <n v="0"/>
    <n v="0"/>
    <n v="0"/>
    <n v="0"/>
    <n v="1"/>
    <n v="31"/>
    <n v="1"/>
    <n v="1"/>
    <n v="0"/>
    <n v="0"/>
    <n v="0"/>
    <n v="0"/>
    <n v="0"/>
    <n v="0"/>
    <n v="0"/>
    <n v="2"/>
    <n v="2"/>
    <n v="1"/>
    <n v="0"/>
    <n v="0"/>
    <n v="0"/>
    <n v="0"/>
    <n v="0"/>
    <n v="0"/>
    <n v="0"/>
    <n v="1"/>
    <n v="0"/>
    <e v="#DIV/0!"/>
    <e v="#DIV/0!"/>
    <n v="0"/>
    <n v="0"/>
    <n v="0"/>
    <n v="0"/>
    <s v="No"/>
    <s v=""/>
    <n v="0"/>
    <n v="0"/>
    <n v="0"/>
    <s v="uncovered"/>
    <x v="0"/>
    <x v="3"/>
    <x v="1"/>
    <n v="24.721878"/>
    <n v="97.721878000000004"/>
    <s v="MMR001CMP275"/>
    <x v="1"/>
    <s v="cccm_2019OCT"/>
  </r>
  <r>
    <x v="1"/>
    <x v="4"/>
    <x v="4"/>
    <m/>
    <x v="0"/>
    <x v="2"/>
    <x v="1"/>
    <x v="145"/>
    <n v="80"/>
    <n v="449"/>
    <m/>
    <m/>
    <m/>
    <m/>
    <m/>
    <m/>
    <m/>
    <m/>
    <n v="2"/>
    <m/>
    <m/>
    <m/>
    <m/>
    <m/>
    <m/>
    <m/>
    <m/>
    <m/>
    <m/>
    <m/>
    <m/>
    <m/>
    <m/>
    <m/>
    <m/>
    <m/>
    <m/>
    <m/>
    <m/>
    <m/>
    <m/>
    <m/>
    <m/>
    <m/>
    <m/>
    <m/>
    <m/>
    <m/>
    <m/>
    <x v="0"/>
    <x v="0"/>
    <m/>
    <m/>
    <m/>
    <m/>
    <m/>
    <m/>
    <m/>
    <m/>
    <m/>
    <m/>
    <m/>
    <m/>
    <m/>
    <m/>
    <m/>
    <m/>
    <m/>
    <m/>
    <m/>
    <m/>
    <m/>
    <m/>
    <m/>
    <m/>
    <m/>
    <m/>
    <s v="no test"/>
    <s v="no test"/>
    <s v="No Test"/>
    <n v="0"/>
    <n v="0"/>
    <n v="0"/>
    <n v="0"/>
    <n v="0"/>
    <n v="0"/>
    <n v="0"/>
    <n v="0"/>
    <n v="0"/>
    <n v="0"/>
    <n v="0"/>
    <n v="0"/>
    <n v="0"/>
    <n v="0"/>
    <n v="0"/>
    <n v="1"/>
    <n v="449"/>
    <n v="1"/>
    <n v="1"/>
    <n v="0"/>
    <n v="0"/>
    <n v="0"/>
    <n v="0"/>
    <n v="0"/>
    <n v="0"/>
    <n v="0"/>
    <n v="22"/>
    <n v="22"/>
    <n v="1"/>
    <n v="0"/>
    <n v="0"/>
    <n v="0"/>
    <n v="0"/>
    <n v="0"/>
    <n v="0"/>
    <n v="0"/>
    <n v="1"/>
    <n v="0"/>
    <n v="0"/>
    <n v="0"/>
    <n v="0"/>
    <n v="0"/>
    <n v="0"/>
    <n v="0"/>
    <s v="No"/>
    <s v=""/>
    <n v="0"/>
    <n v="0"/>
    <n v="0"/>
    <s v="uncovered"/>
    <x v="0"/>
    <x v="0"/>
    <x v="1"/>
    <n v="25.391428000000001"/>
    <n v="97.898184999999998"/>
    <s v="MMR001CMP258"/>
    <x v="1"/>
    <s v="cccm_2019OCT"/>
  </r>
  <r>
    <x v="1"/>
    <x v="4"/>
    <x v="4"/>
    <m/>
    <x v="1"/>
    <x v="20"/>
    <x v="1"/>
    <x v="138"/>
    <n v="37"/>
    <n v="120"/>
    <m/>
    <m/>
    <m/>
    <m/>
    <m/>
    <m/>
    <m/>
    <m/>
    <n v="4"/>
    <m/>
    <m/>
    <m/>
    <m/>
    <m/>
    <m/>
    <m/>
    <m/>
    <m/>
    <m/>
    <m/>
    <m/>
    <m/>
    <m/>
    <m/>
    <m/>
    <m/>
    <m/>
    <m/>
    <m/>
    <m/>
    <m/>
    <m/>
    <m/>
    <m/>
    <m/>
    <m/>
    <m/>
    <m/>
    <m/>
    <x v="0"/>
    <x v="0"/>
    <m/>
    <m/>
    <m/>
    <m/>
    <m/>
    <m/>
    <m/>
    <m/>
    <m/>
    <m/>
    <m/>
    <m/>
    <m/>
    <m/>
    <m/>
    <m/>
    <m/>
    <m/>
    <m/>
    <m/>
    <m/>
    <m/>
    <m/>
    <m/>
    <m/>
    <m/>
    <s v="no test"/>
    <s v="no test"/>
    <s v="No Test"/>
    <n v="0"/>
    <n v="0"/>
    <n v="0"/>
    <n v="0"/>
    <n v="0"/>
    <n v="0"/>
    <n v="0"/>
    <n v="0"/>
    <n v="0"/>
    <n v="0"/>
    <n v="0"/>
    <n v="0"/>
    <n v="0"/>
    <n v="0"/>
    <n v="0"/>
    <n v="1"/>
    <n v="120"/>
    <n v="1"/>
    <n v="1"/>
    <n v="0"/>
    <n v="0"/>
    <n v="0"/>
    <n v="0"/>
    <n v="0"/>
    <n v="0"/>
    <n v="0"/>
    <n v="6"/>
    <n v="6"/>
    <n v="1"/>
    <n v="0"/>
    <n v="0"/>
    <n v="0"/>
    <n v="0"/>
    <n v="0"/>
    <n v="0"/>
    <n v="0"/>
    <n v="1"/>
    <n v="0"/>
    <n v="0"/>
    <n v="0"/>
    <n v="0"/>
    <n v="0"/>
    <n v="0"/>
    <n v="0"/>
    <s v="No"/>
    <s v=""/>
    <n v="0"/>
    <n v="0"/>
    <n v="0"/>
    <s v="uncovered"/>
    <x v="0"/>
    <x v="0"/>
    <x v="1"/>
    <n v="22.677008000000001"/>
    <n v="97.314762999999999"/>
    <s v="MMR015CMP244"/>
    <x v="1"/>
    <s v="cccm_2019OCT"/>
  </r>
  <r>
    <x v="1"/>
    <x v="4"/>
    <x v="4"/>
    <m/>
    <x v="0"/>
    <x v="9"/>
    <x v="1"/>
    <x v="139"/>
    <n v="80"/>
    <n v="290"/>
    <m/>
    <m/>
    <m/>
    <m/>
    <m/>
    <m/>
    <m/>
    <m/>
    <n v="4"/>
    <m/>
    <m/>
    <m/>
    <m/>
    <m/>
    <m/>
    <m/>
    <m/>
    <m/>
    <m/>
    <m/>
    <m/>
    <m/>
    <m/>
    <m/>
    <m/>
    <m/>
    <m/>
    <m/>
    <m/>
    <m/>
    <m/>
    <m/>
    <m/>
    <m/>
    <m/>
    <m/>
    <m/>
    <m/>
    <m/>
    <x v="0"/>
    <x v="0"/>
    <m/>
    <m/>
    <m/>
    <m/>
    <m/>
    <m/>
    <m/>
    <m/>
    <m/>
    <m/>
    <m/>
    <m/>
    <m/>
    <m/>
    <m/>
    <m/>
    <m/>
    <m/>
    <m/>
    <m/>
    <m/>
    <m/>
    <m/>
    <m/>
    <m/>
    <m/>
    <s v="no test"/>
    <s v="no test"/>
    <s v="No Test"/>
    <n v="0"/>
    <n v="0"/>
    <n v="0"/>
    <n v="0"/>
    <n v="0"/>
    <n v="0"/>
    <n v="0"/>
    <n v="0"/>
    <n v="0"/>
    <n v="0"/>
    <n v="0"/>
    <n v="0"/>
    <n v="0"/>
    <n v="0"/>
    <n v="0"/>
    <n v="1"/>
    <n v="290"/>
    <n v="1"/>
    <n v="1"/>
    <n v="0"/>
    <n v="0"/>
    <n v="0"/>
    <n v="0"/>
    <n v="0"/>
    <n v="0"/>
    <n v="0"/>
    <n v="15"/>
    <n v="15"/>
    <n v="1"/>
    <n v="0"/>
    <n v="0"/>
    <n v="0"/>
    <n v="0"/>
    <n v="0"/>
    <n v="0"/>
    <n v="0"/>
    <n v="1"/>
    <n v="0"/>
    <n v="0"/>
    <n v="0"/>
    <n v="0"/>
    <n v="0"/>
    <n v="0"/>
    <n v="0"/>
    <s v="No"/>
    <s v=""/>
    <n v="0"/>
    <n v="0"/>
    <n v="0"/>
    <s v="uncovered"/>
    <x v="0"/>
    <x v="4"/>
    <x v="1"/>
    <n v="24.118618999999999"/>
    <n v="97.298055000000005"/>
    <s v="MMR001CMP196"/>
    <x v="1"/>
    <s v="cccm_2019OCT"/>
  </r>
  <r>
    <x v="1"/>
    <x v="5"/>
    <x v="5"/>
    <s v="DFID"/>
    <x v="0"/>
    <x v="3"/>
    <x v="1"/>
    <x v="161"/>
    <n v="2"/>
    <n v="14"/>
    <d v="2018-08-01T00:00:00"/>
    <d v="2020-07-31T00:00:00"/>
    <m/>
    <n v="0"/>
    <m/>
    <m/>
    <m/>
    <m/>
    <m/>
    <m/>
    <m/>
    <m/>
    <n v="0"/>
    <m/>
    <m/>
    <m/>
    <m/>
    <m/>
    <m/>
    <m/>
    <m/>
    <m/>
    <m/>
    <m/>
    <m/>
    <m/>
    <m/>
    <m/>
    <m/>
    <m/>
    <m/>
    <n v="0"/>
    <m/>
    <m/>
    <m/>
    <m/>
    <m/>
    <m/>
    <n v="0"/>
    <x v="3"/>
    <x v="3"/>
    <m/>
    <m/>
    <m/>
    <m/>
    <m/>
    <m/>
    <m/>
    <m/>
    <n v="0"/>
    <m/>
    <m/>
    <m/>
    <m/>
    <m/>
    <m/>
    <m/>
    <m/>
    <m/>
    <m/>
    <m/>
    <m/>
    <m/>
    <m/>
    <m/>
    <m/>
    <m/>
    <s v="no test"/>
    <s v="no test"/>
    <s v="No Test"/>
    <n v="0"/>
    <n v="0"/>
    <n v="0"/>
    <n v="0"/>
    <n v="0"/>
    <n v="0"/>
    <n v="0"/>
    <n v="0"/>
    <n v="0"/>
    <n v="0"/>
    <n v="0"/>
    <n v="0"/>
    <n v="0"/>
    <n v="0"/>
    <n v="0"/>
    <n v="1"/>
    <n v="14"/>
    <n v="1"/>
    <n v="1"/>
    <n v="0"/>
    <n v="0"/>
    <n v="0"/>
    <n v="0"/>
    <n v="0"/>
    <n v="0"/>
    <n v="0"/>
    <n v="1"/>
    <n v="1"/>
    <n v="1"/>
    <n v="0"/>
    <n v="0"/>
    <n v="0"/>
    <n v="0"/>
    <n v="0"/>
    <n v="0"/>
    <n v="0"/>
    <n v="1"/>
    <n v="0"/>
    <n v="0"/>
    <n v="0"/>
    <n v="0"/>
    <n v="0"/>
    <n v="0"/>
    <n v="0"/>
    <s v="No"/>
    <s v=""/>
    <n v="0"/>
    <n v="0"/>
    <s v="Yes"/>
    <s v="Shalom"/>
    <x v="0"/>
    <x v="0"/>
    <x v="1"/>
    <n v="25.615960999999999"/>
    <n v="96.316564"/>
    <s v="MMR001CMP191"/>
    <x v="0"/>
    <s v="cccm_2019OCT"/>
  </r>
  <r>
    <x v="1"/>
    <x v="4"/>
    <x v="4"/>
    <m/>
    <x v="0"/>
    <x v="5"/>
    <x v="1"/>
    <x v="141"/>
    <n v="14"/>
    <n v="63"/>
    <m/>
    <m/>
    <m/>
    <m/>
    <m/>
    <m/>
    <m/>
    <m/>
    <n v="4"/>
    <m/>
    <m/>
    <m/>
    <m/>
    <m/>
    <m/>
    <m/>
    <m/>
    <m/>
    <m/>
    <m/>
    <m/>
    <m/>
    <m/>
    <m/>
    <m/>
    <m/>
    <m/>
    <m/>
    <m/>
    <m/>
    <m/>
    <m/>
    <m/>
    <m/>
    <m/>
    <m/>
    <m/>
    <m/>
    <m/>
    <x v="0"/>
    <x v="0"/>
    <m/>
    <m/>
    <m/>
    <m/>
    <m/>
    <m/>
    <m/>
    <m/>
    <m/>
    <m/>
    <m/>
    <m/>
    <m/>
    <m/>
    <m/>
    <m/>
    <m/>
    <m/>
    <m/>
    <m/>
    <m/>
    <m/>
    <m/>
    <m/>
    <m/>
    <m/>
    <s v="no test"/>
    <s v="no test"/>
    <s v="No Test"/>
    <n v="0"/>
    <n v="0"/>
    <n v="0"/>
    <n v="0"/>
    <n v="0"/>
    <n v="0"/>
    <n v="0"/>
    <n v="0"/>
    <n v="0"/>
    <n v="0"/>
    <n v="0"/>
    <n v="0"/>
    <n v="0"/>
    <n v="0"/>
    <n v="0"/>
    <n v="1"/>
    <n v="63"/>
    <n v="1"/>
    <n v="1"/>
    <n v="0"/>
    <n v="0"/>
    <n v="0"/>
    <n v="0"/>
    <n v="0"/>
    <n v="0"/>
    <n v="0"/>
    <n v="3"/>
    <n v="3"/>
    <n v="1"/>
    <n v="0"/>
    <n v="0"/>
    <n v="0"/>
    <n v="0"/>
    <n v="0"/>
    <n v="0"/>
    <n v="0"/>
    <n v="1"/>
    <n v="0"/>
    <n v="0"/>
    <n v="0"/>
    <n v="0"/>
    <n v="0"/>
    <n v="0"/>
    <n v="0"/>
    <s v="No"/>
    <s v=""/>
    <n v="0"/>
    <n v="0"/>
    <n v="0"/>
    <s v="uncovered"/>
    <x v="0"/>
    <x v="4"/>
    <x v="1"/>
    <n v="24.764959999999999"/>
    <n v="96.366919999999993"/>
    <s v="MMR001CMP233"/>
    <x v="1"/>
    <s v="cccm_2019OCT"/>
  </r>
  <r>
    <x v="1"/>
    <x v="4"/>
    <x v="4"/>
    <m/>
    <x v="0"/>
    <x v="7"/>
    <x v="1"/>
    <x v="142"/>
    <n v="223"/>
    <n v="1067"/>
    <m/>
    <m/>
    <m/>
    <m/>
    <m/>
    <m/>
    <m/>
    <m/>
    <n v="4"/>
    <m/>
    <m/>
    <m/>
    <m/>
    <m/>
    <m/>
    <m/>
    <m/>
    <m/>
    <m/>
    <m/>
    <m/>
    <m/>
    <m/>
    <m/>
    <m/>
    <m/>
    <m/>
    <m/>
    <m/>
    <m/>
    <m/>
    <m/>
    <m/>
    <m/>
    <m/>
    <m/>
    <m/>
    <m/>
    <m/>
    <x v="0"/>
    <x v="0"/>
    <m/>
    <m/>
    <m/>
    <m/>
    <m/>
    <m/>
    <m/>
    <m/>
    <m/>
    <m/>
    <m/>
    <m/>
    <m/>
    <m/>
    <m/>
    <m/>
    <m/>
    <m/>
    <m/>
    <m/>
    <m/>
    <m/>
    <m/>
    <m/>
    <m/>
    <m/>
    <s v="no test"/>
    <s v="no test"/>
    <s v="No Test"/>
    <n v="0"/>
    <n v="0"/>
    <n v="0"/>
    <n v="0"/>
    <n v="0"/>
    <n v="0"/>
    <n v="0"/>
    <n v="0"/>
    <n v="0"/>
    <n v="0"/>
    <n v="0"/>
    <n v="0"/>
    <n v="0"/>
    <n v="0"/>
    <n v="0"/>
    <n v="1"/>
    <n v="1067"/>
    <n v="2"/>
    <n v="2"/>
    <n v="0"/>
    <n v="0"/>
    <n v="0"/>
    <n v="0"/>
    <n v="0"/>
    <n v="0"/>
    <n v="0"/>
    <n v="53"/>
    <n v="53"/>
    <n v="1"/>
    <n v="0"/>
    <n v="0"/>
    <n v="0"/>
    <n v="0"/>
    <n v="0"/>
    <n v="0"/>
    <n v="0"/>
    <n v="1"/>
    <n v="0"/>
    <n v="0"/>
    <n v="0"/>
    <n v="0"/>
    <n v="0"/>
    <n v="0"/>
    <n v="0"/>
    <s v="No"/>
    <s v=""/>
    <n v="0"/>
    <n v="0"/>
    <n v="0"/>
    <s v="uncovered"/>
    <x v="0"/>
    <x v="4"/>
    <x v="1"/>
    <n v="24.251232000000002"/>
    <n v="97.348405"/>
    <s v="MMR001CMP197"/>
    <x v="1"/>
    <s v="cccm_2019OCT"/>
  </r>
  <r>
    <x v="1"/>
    <x v="5"/>
    <x v="5"/>
    <s v="DFID"/>
    <x v="0"/>
    <x v="3"/>
    <x v="1"/>
    <x v="162"/>
    <n v="107"/>
    <n v="519"/>
    <d v="2018-08-01T00:00:00"/>
    <d v="2020-07-31T00:00:00"/>
    <n v="28"/>
    <n v="1"/>
    <m/>
    <m/>
    <s v="Yes"/>
    <n v="4"/>
    <n v="1"/>
    <n v="0"/>
    <m/>
    <m/>
    <n v="0"/>
    <n v="0"/>
    <m/>
    <m/>
    <n v="1"/>
    <m/>
    <m/>
    <n v="0"/>
    <n v="4"/>
    <m/>
    <n v="0"/>
    <n v="1"/>
    <m/>
    <m/>
    <m/>
    <m/>
    <n v="0"/>
    <n v="0"/>
    <m/>
    <n v="32"/>
    <n v="0"/>
    <s v="Shalom"/>
    <m/>
    <m/>
    <m/>
    <m/>
    <n v="0"/>
    <x v="1"/>
    <x v="1"/>
    <n v="2"/>
    <n v="0"/>
    <n v="2"/>
    <m/>
    <m/>
    <m/>
    <n v="5"/>
    <m/>
    <n v="0"/>
    <n v="5"/>
    <m/>
    <n v="4"/>
    <n v="4"/>
    <m/>
    <m/>
    <m/>
    <m/>
    <m/>
    <m/>
    <m/>
    <m/>
    <m/>
    <m/>
    <m/>
    <m/>
    <m/>
    <s v="no test"/>
    <s v="no test"/>
    <s v="No Test"/>
    <n v="0"/>
    <n v="0"/>
    <n v="1"/>
    <n v="0"/>
    <n v="0"/>
    <n v="0"/>
    <n v="0.12845215157353887"/>
    <n v="0.12845215157353887"/>
    <n v="0.12845215157353887"/>
    <n v="66.666666666666671"/>
    <n v="1"/>
    <n v="519"/>
    <n v="1"/>
    <n v="519"/>
    <n v="1.038"/>
    <n v="0"/>
    <n v="0"/>
    <n v="0"/>
    <n v="1"/>
    <n v="32"/>
    <n v="1"/>
    <n v="519"/>
    <n v="0"/>
    <n v="28"/>
    <n v="0"/>
    <n v="28"/>
    <n v="26"/>
    <n v="0"/>
    <n v="0"/>
    <n v="0"/>
    <n v="519"/>
    <n v="0"/>
    <n v="0"/>
    <n v="0"/>
    <n v="519"/>
    <n v="1"/>
    <n v="0"/>
    <n v="1"/>
    <n v="0"/>
    <n v="0"/>
    <n v="5"/>
    <n v="100"/>
    <n v="0"/>
    <n v="500"/>
    <s v="Yes"/>
    <s v=""/>
    <n v="0"/>
    <n v="28"/>
    <s v="Yes"/>
    <s v="KBC-MYT"/>
    <x v="0"/>
    <x v="1"/>
    <x v="1"/>
    <n v="25.611160000000002"/>
    <n v="96.312790000000007"/>
    <s v="MMR001CMP229"/>
    <x v="0"/>
    <s v="cccm_2019OCT"/>
  </r>
  <r>
    <x v="1"/>
    <x v="4"/>
    <x v="4"/>
    <m/>
    <x v="0"/>
    <x v="7"/>
    <x v="1"/>
    <x v="144"/>
    <n v="47"/>
    <n v="153"/>
    <m/>
    <m/>
    <m/>
    <m/>
    <m/>
    <m/>
    <m/>
    <m/>
    <n v="1"/>
    <m/>
    <m/>
    <m/>
    <m/>
    <m/>
    <m/>
    <m/>
    <m/>
    <m/>
    <m/>
    <m/>
    <m/>
    <m/>
    <m/>
    <m/>
    <m/>
    <m/>
    <m/>
    <m/>
    <m/>
    <m/>
    <m/>
    <m/>
    <m/>
    <m/>
    <m/>
    <m/>
    <m/>
    <m/>
    <m/>
    <x v="0"/>
    <x v="0"/>
    <m/>
    <m/>
    <m/>
    <m/>
    <m/>
    <m/>
    <m/>
    <m/>
    <m/>
    <m/>
    <m/>
    <m/>
    <m/>
    <m/>
    <m/>
    <m/>
    <m/>
    <m/>
    <m/>
    <m/>
    <m/>
    <m/>
    <m/>
    <m/>
    <m/>
    <m/>
    <s v="no test"/>
    <s v="no test"/>
    <s v="No Test"/>
    <n v="0"/>
    <n v="0"/>
    <n v="0"/>
    <n v="0"/>
    <n v="0"/>
    <n v="0"/>
    <n v="0"/>
    <n v="0"/>
    <n v="0"/>
    <n v="0"/>
    <n v="0"/>
    <n v="0"/>
    <n v="0"/>
    <n v="0"/>
    <n v="0"/>
    <n v="1"/>
    <n v="153"/>
    <n v="1"/>
    <n v="1"/>
    <n v="0"/>
    <n v="0"/>
    <n v="0"/>
    <n v="0"/>
    <n v="0"/>
    <n v="0"/>
    <n v="0"/>
    <n v="8"/>
    <n v="8"/>
    <n v="1"/>
    <n v="0"/>
    <n v="0"/>
    <n v="0"/>
    <n v="0"/>
    <n v="0"/>
    <n v="0"/>
    <n v="0"/>
    <n v="1"/>
    <n v="0"/>
    <n v="0"/>
    <n v="0"/>
    <n v="0"/>
    <n v="0"/>
    <n v="0"/>
    <n v="0"/>
    <s v="No"/>
    <s v=""/>
    <n v="0"/>
    <n v="0"/>
    <n v="0"/>
    <s v="uncovered"/>
    <x v="0"/>
    <x v="4"/>
    <x v="1"/>
    <n v="24.404876999999999"/>
    <n v="97.407787999999996"/>
    <s v="MMR001CMP061"/>
    <x v="1"/>
    <s v="cccm_2019OCT"/>
  </r>
  <r>
    <x v="1"/>
    <x v="0"/>
    <x v="0"/>
    <s v="MHF13490"/>
    <x v="0"/>
    <x v="2"/>
    <x v="1"/>
    <x v="34"/>
    <n v="391"/>
    <n v="1775"/>
    <d v="2019-01-10T00:00:00"/>
    <s v="31-7-2020"/>
    <m/>
    <m/>
    <m/>
    <m/>
    <s v="Yes"/>
    <m/>
    <n v="2"/>
    <n v="0"/>
    <m/>
    <m/>
    <n v="0"/>
    <m/>
    <m/>
    <m/>
    <n v="4"/>
    <m/>
    <m/>
    <m/>
    <m/>
    <m/>
    <m/>
    <n v="0"/>
    <m/>
    <m/>
    <m/>
    <m/>
    <m/>
    <m/>
    <m/>
    <n v="391"/>
    <m/>
    <m/>
    <m/>
    <m/>
    <m/>
    <m/>
    <n v="413"/>
    <x v="1"/>
    <x v="1"/>
    <m/>
    <m/>
    <m/>
    <m/>
    <m/>
    <m/>
    <n v="413"/>
    <m/>
    <m/>
    <n v="9"/>
    <m/>
    <m/>
    <n v="5"/>
    <m/>
    <m/>
    <m/>
    <m/>
    <m/>
    <m/>
    <m/>
    <m/>
    <m/>
    <m/>
    <m/>
    <m/>
    <m/>
    <s v="no test"/>
    <s v="no test"/>
    <s v="No Test"/>
    <n v="0"/>
    <n v="0"/>
    <n v="4"/>
    <n v="0"/>
    <n v="0"/>
    <n v="0"/>
    <n v="0.15023474178403756"/>
    <n v="0.15023474178403756"/>
    <n v="0.15023474178403756"/>
    <n v="266.66666666666669"/>
    <n v="0"/>
    <n v="0"/>
    <n v="0.15023474178403756"/>
    <n v="266.66666666666669"/>
    <n v="0.53333333333333333"/>
    <n v="0.84976525821596249"/>
    <n v="1508.3333333333335"/>
    <n v="3.4666666666666668"/>
    <n v="4"/>
    <n v="391"/>
    <n v="1"/>
    <n v="1775"/>
    <n v="0"/>
    <n v="0"/>
    <n v="0"/>
    <n v="0"/>
    <n v="89"/>
    <n v="0"/>
    <n v="0"/>
    <n v="0"/>
    <n v="1775"/>
    <n v="0"/>
    <n v="0"/>
    <n v="0"/>
    <n v="1775"/>
    <n v="1"/>
    <n v="0"/>
    <n v="1"/>
    <n v="0"/>
    <n v="0"/>
    <n v="413"/>
    <n v="391"/>
    <n v="0"/>
    <n v="1775"/>
    <s v="No"/>
    <s v=""/>
    <n v="0"/>
    <n v="0"/>
    <s v="Yes"/>
    <s v="KBC-MYT"/>
    <x v="0"/>
    <x v="1"/>
    <x v="0"/>
    <n v="0"/>
    <n v="0"/>
    <s v="MMR001CMP249"/>
    <x v="0"/>
    <s v="cccm_2019OCT"/>
  </r>
  <r>
    <x v="1"/>
    <x v="5"/>
    <x v="5"/>
    <s v="DFID"/>
    <x v="0"/>
    <x v="0"/>
    <x v="1"/>
    <x v="176"/>
    <n v="54"/>
    <n v="253"/>
    <d v="2018-08-01T00:00:00"/>
    <d v="2020-07-31T00:00:00"/>
    <m/>
    <n v="1"/>
    <m/>
    <m/>
    <s v="Yes"/>
    <n v="2"/>
    <n v="3"/>
    <n v="1"/>
    <m/>
    <m/>
    <n v="4"/>
    <n v="0"/>
    <m/>
    <m/>
    <m/>
    <m/>
    <m/>
    <m/>
    <m/>
    <m/>
    <m/>
    <m/>
    <m/>
    <m/>
    <m/>
    <m/>
    <m/>
    <m/>
    <m/>
    <n v="19"/>
    <n v="0"/>
    <m/>
    <m/>
    <m/>
    <m/>
    <m/>
    <m/>
    <x v="1"/>
    <x v="1"/>
    <m/>
    <n v="1"/>
    <m/>
    <m/>
    <m/>
    <m/>
    <n v="7"/>
    <m/>
    <m/>
    <n v="4"/>
    <m/>
    <n v="2"/>
    <n v="3"/>
    <m/>
    <m/>
    <m/>
    <m/>
    <m/>
    <m/>
    <m/>
    <m/>
    <m/>
    <m/>
    <m/>
    <m/>
    <m/>
    <s v="no test"/>
    <s v="no test"/>
    <s v="No Test"/>
    <n v="1"/>
    <n v="4"/>
    <n v="0"/>
    <n v="0"/>
    <n v="0"/>
    <n v="0"/>
    <n v="1"/>
    <n v="1"/>
    <n v="1"/>
    <n v="253"/>
    <n v="0"/>
    <n v="0"/>
    <n v="1"/>
    <n v="253"/>
    <n v="0.50600000000000001"/>
    <n v="0"/>
    <n v="0"/>
    <n v="0.49399999999999999"/>
    <n v="1"/>
    <n v="19"/>
    <n v="1"/>
    <n v="253"/>
    <n v="0"/>
    <n v="0"/>
    <n v="0"/>
    <n v="0"/>
    <n v="13"/>
    <n v="0"/>
    <n v="0"/>
    <n v="0"/>
    <n v="253"/>
    <n v="0"/>
    <n v="0"/>
    <n v="0"/>
    <n v="253"/>
    <n v="1"/>
    <n v="0"/>
    <n v="1"/>
    <n v="0"/>
    <n v="0"/>
    <n v="7"/>
    <n v="54"/>
    <n v="0"/>
    <n v="253"/>
    <s v="No"/>
    <s v=""/>
    <n v="0"/>
    <n v="0"/>
    <s v="Yes"/>
    <s v="Shalom"/>
    <x v="0"/>
    <x v="1"/>
    <x v="1"/>
    <n v="25.423209"/>
    <n v="97.379987"/>
    <s v="MMR001CMP023"/>
    <x v="0"/>
    <s v="cccm_2019OCT"/>
  </r>
  <r>
    <x v="1"/>
    <x v="1"/>
    <x v="1"/>
    <s v="UNICEF"/>
    <x v="0"/>
    <x v="3"/>
    <x v="1"/>
    <x v="53"/>
    <n v="16"/>
    <n v="63"/>
    <d v="2019-12-11T00:00:00"/>
    <d v="2020-12-10T00:00:00"/>
    <n v="73"/>
    <n v="2"/>
    <m/>
    <m/>
    <s v="Yes"/>
    <n v="2"/>
    <n v="2"/>
    <n v="4"/>
    <m/>
    <m/>
    <n v="1"/>
    <m/>
    <m/>
    <n v="1"/>
    <n v="1"/>
    <m/>
    <m/>
    <m/>
    <m/>
    <m/>
    <m/>
    <n v="1"/>
    <m/>
    <m/>
    <m/>
    <m/>
    <n v="2"/>
    <n v="1"/>
    <m/>
    <n v="4"/>
    <m/>
    <m/>
    <m/>
    <n v="1"/>
    <m/>
    <m/>
    <m/>
    <x v="1"/>
    <x v="4"/>
    <n v="2"/>
    <m/>
    <n v="4"/>
    <m/>
    <m/>
    <m/>
    <n v="2"/>
    <m/>
    <m/>
    <n v="2"/>
    <m/>
    <m/>
    <n v="1"/>
    <m/>
    <m/>
    <m/>
    <m/>
    <m/>
    <m/>
    <n v="0.3"/>
    <n v="0.3"/>
    <n v="30"/>
    <n v="0.1"/>
    <m/>
    <m/>
    <m/>
    <s v="no test"/>
    <s v="no test"/>
    <s v="No Test"/>
    <n v="4"/>
    <n v="1"/>
    <n v="1"/>
    <n v="0"/>
    <n v="0"/>
    <n v="500"/>
    <n v="1"/>
    <n v="1"/>
    <n v="1"/>
    <n v="63"/>
    <n v="0"/>
    <n v="0"/>
    <n v="1"/>
    <n v="63"/>
    <n v="0.126"/>
    <n v="0"/>
    <n v="0"/>
    <n v="0.874"/>
    <n v="1"/>
    <n v="4"/>
    <n v="1"/>
    <n v="63"/>
    <n v="0"/>
    <n v="73"/>
    <n v="0"/>
    <n v="73"/>
    <n v="3"/>
    <n v="0"/>
    <n v="0"/>
    <n v="0"/>
    <n v="63"/>
    <n v="0"/>
    <n v="0"/>
    <n v="0"/>
    <n v="63"/>
    <n v="1"/>
    <n v="0"/>
    <n v="1"/>
    <n v="0"/>
    <n v="0"/>
    <n v="2"/>
    <n v="16"/>
    <n v="0"/>
    <n v="63"/>
    <s v="Yes"/>
    <n v="0.47619047619047616"/>
    <n v="0"/>
    <n v="500"/>
    <n v="0"/>
    <s v="KMSS-MYT"/>
    <x v="0"/>
    <x v="1"/>
    <x v="1"/>
    <n v="0"/>
    <n v="0"/>
    <s v="MMR001CMP270"/>
    <x v="0"/>
    <s v="cccm_2019OCT"/>
  </r>
  <r>
    <x v="1"/>
    <x v="1"/>
    <x v="1"/>
    <s v="UNICEF"/>
    <x v="0"/>
    <x v="21"/>
    <x v="1"/>
    <x v="148"/>
    <n v="155"/>
    <n v="775"/>
    <d v="2019-12-11T00:00:00"/>
    <d v="2020-12-10T00:00:00"/>
    <n v="113"/>
    <n v="1"/>
    <m/>
    <m/>
    <s v="Yes"/>
    <n v="1"/>
    <n v="3"/>
    <m/>
    <m/>
    <m/>
    <n v="1"/>
    <m/>
    <m/>
    <n v="1"/>
    <n v="1"/>
    <m/>
    <m/>
    <m/>
    <m/>
    <m/>
    <m/>
    <m/>
    <n v="8"/>
    <n v="3"/>
    <n v="5"/>
    <n v="2"/>
    <m/>
    <m/>
    <m/>
    <n v="16"/>
    <m/>
    <m/>
    <m/>
    <m/>
    <m/>
    <m/>
    <m/>
    <x v="1"/>
    <x v="1"/>
    <n v="2"/>
    <m/>
    <m/>
    <m/>
    <m/>
    <m/>
    <m/>
    <m/>
    <m/>
    <n v="7"/>
    <m/>
    <m/>
    <m/>
    <n v="6"/>
    <m/>
    <s v="No"/>
    <m/>
    <m/>
    <m/>
    <m/>
    <m/>
    <m/>
    <m/>
    <m/>
    <m/>
    <m/>
    <n v="0.375"/>
    <n v="0.4"/>
    <s v="Tested"/>
    <n v="0"/>
    <n v="1"/>
    <n v="1"/>
    <n v="0"/>
    <n v="0"/>
    <n v="0"/>
    <n v="0.73118279569892464"/>
    <n v="0.40860215053763443"/>
    <n v="0.73118279569892464"/>
    <n v="566.66666666666663"/>
    <n v="0"/>
    <n v="0"/>
    <n v="0.73118279569892464"/>
    <n v="566.66666666666663"/>
    <n v="1.1333333333333333"/>
    <n v="0.26881720430107536"/>
    <n v="208.3333333333334"/>
    <n v="0.8666666666666667"/>
    <n v="2"/>
    <n v="16"/>
    <n v="0.46451612903225808"/>
    <n v="360"/>
    <n v="0"/>
    <n v="0"/>
    <n v="0"/>
    <n v="0"/>
    <n v="39"/>
    <n v="23"/>
    <n v="0.53548387096774186"/>
    <n v="0"/>
    <n v="0"/>
    <n v="30"/>
    <n v="0"/>
    <n v="30"/>
    <n v="30"/>
    <n v="3.870967741935484E-2"/>
    <n v="0.96129032258064517"/>
    <n v="0"/>
    <n v="0.15483870967741936"/>
    <n v="0"/>
    <n v="0"/>
    <n v="0"/>
    <n v="0"/>
    <n v="0"/>
    <s v="Yes"/>
    <s v=""/>
    <n v="0"/>
    <n v="0"/>
    <s v="Yes"/>
    <s v="KMSS-MYT"/>
    <x v="0"/>
    <x v="1"/>
    <x v="1"/>
    <n v="26.350176000000001"/>
    <n v="96.711387999999999"/>
    <s v="MMR001CMP251"/>
    <x v="0"/>
    <s v="cccm_2019OCT"/>
  </r>
  <r>
    <x v="1"/>
    <x v="4"/>
    <x v="4"/>
    <m/>
    <x v="0"/>
    <x v="11"/>
    <x v="1"/>
    <x v="149"/>
    <n v="5"/>
    <n v="32"/>
    <m/>
    <m/>
    <n v="113"/>
    <n v="1"/>
    <m/>
    <m/>
    <s v="Yes"/>
    <n v="1"/>
    <n v="3"/>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Yes"/>
    <s v=""/>
    <n v="0"/>
    <n v="0"/>
    <n v="0"/>
    <s v="uncovered"/>
    <x v="0"/>
    <x v="0"/>
    <x v="1"/>
    <n v="26.541930000000001"/>
    <n v="97.568836000000005"/>
    <s v="MMR001CMP206"/>
    <x v="1"/>
    <s v="cccm_2019OCT"/>
  </r>
  <r>
    <x v="1"/>
    <x v="1"/>
    <x v="1"/>
    <s v="UNICEF"/>
    <x v="0"/>
    <x v="21"/>
    <x v="1"/>
    <x v="150"/>
    <n v="35"/>
    <n v="175"/>
    <d v="2019-12-11T00:00:00"/>
    <d v="2020-12-10T00:00:00"/>
    <m/>
    <n v="1"/>
    <m/>
    <m/>
    <s v="Yes"/>
    <n v="2"/>
    <n v="1"/>
    <m/>
    <m/>
    <m/>
    <n v="1"/>
    <m/>
    <m/>
    <m/>
    <n v="1"/>
    <m/>
    <m/>
    <m/>
    <m/>
    <m/>
    <m/>
    <m/>
    <n v="1"/>
    <m/>
    <n v="2"/>
    <n v="1"/>
    <m/>
    <m/>
    <m/>
    <n v="4"/>
    <m/>
    <m/>
    <m/>
    <m/>
    <m/>
    <m/>
    <m/>
    <x v="1"/>
    <x v="4"/>
    <m/>
    <m/>
    <m/>
    <m/>
    <m/>
    <m/>
    <m/>
    <m/>
    <n v="2"/>
    <n v="2"/>
    <m/>
    <m/>
    <m/>
    <n v="6"/>
    <m/>
    <s v="No"/>
    <m/>
    <m/>
    <m/>
    <m/>
    <m/>
    <m/>
    <m/>
    <m/>
    <m/>
    <m/>
    <n v="0"/>
    <n v="0.5"/>
    <s v="Tested"/>
    <n v="0"/>
    <n v="1"/>
    <n v="1"/>
    <n v="0"/>
    <n v="0"/>
    <n v="0"/>
    <n v="1"/>
    <n v="1"/>
    <n v="1"/>
    <n v="175"/>
    <n v="0"/>
    <n v="0"/>
    <n v="1"/>
    <n v="175"/>
    <n v="0.35"/>
    <n v="0"/>
    <n v="0"/>
    <n v="0.65"/>
    <n v="1"/>
    <n v="4"/>
    <n v="0.45714285714285713"/>
    <n v="80"/>
    <n v="0"/>
    <n v="0"/>
    <n v="0"/>
    <n v="0"/>
    <n v="9"/>
    <n v="5"/>
    <n v="0.54285714285714293"/>
    <n v="0"/>
    <n v="0"/>
    <n v="30"/>
    <n v="0"/>
    <n v="30"/>
    <n v="30"/>
    <n v="0.17142857142857143"/>
    <n v="0.82857142857142851"/>
    <n v="0"/>
    <n v="0.68571428571428572"/>
    <n v="0"/>
    <n v="0"/>
    <n v="0"/>
    <n v="0"/>
    <n v="0"/>
    <s v="No"/>
    <s v=""/>
    <n v="0"/>
    <n v="0"/>
    <s v="Yes"/>
    <s v="KMSS-MYT"/>
    <x v="0"/>
    <x v="1"/>
    <x v="1"/>
    <n v="26.351690999999999"/>
    <n v="96.690871999999999"/>
    <s v="MMR001CMP254"/>
    <x v="0"/>
    <s v="cccm_2019OCT"/>
  </r>
  <r>
    <x v="1"/>
    <x v="4"/>
    <x v="4"/>
    <m/>
    <x v="0"/>
    <x v="21"/>
    <x v="1"/>
    <x v="151"/>
    <n v="127"/>
    <n v="450"/>
    <m/>
    <m/>
    <m/>
    <m/>
    <m/>
    <m/>
    <m/>
    <m/>
    <m/>
    <m/>
    <m/>
    <m/>
    <m/>
    <m/>
    <m/>
    <m/>
    <m/>
    <m/>
    <m/>
    <m/>
    <m/>
    <m/>
    <m/>
    <m/>
    <m/>
    <m/>
    <m/>
    <m/>
    <m/>
    <m/>
    <m/>
    <m/>
    <m/>
    <m/>
    <m/>
    <m/>
    <m/>
    <m/>
    <m/>
    <x v="0"/>
    <x v="0"/>
    <m/>
    <m/>
    <m/>
    <m/>
    <m/>
    <m/>
    <m/>
    <m/>
    <m/>
    <m/>
    <m/>
    <m/>
    <m/>
    <m/>
    <m/>
    <m/>
    <m/>
    <m/>
    <m/>
    <m/>
    <m/>
    <m/>
    <m/>
    <m/>
    <m/>
    <m/>
    <s v="no test"/>
    <s v="no test"/>
    <s v="No Test"/>
    <n v="0"/>
    <n v="0"/>
    <n v="0"/>
    <n v="0"/>
    <n v="0"/>
    <n v="0"/>
    <n v="0"/>
    <n v="0"/>
    <n v="0"/>
    <n v="0"/>
    <n v="0"/>
    <n v="0"/>
    <n v="0"/>
    <n v="0"/>
    <n v="0"/>
    <n v="1"/>
    <n v="450"/>
    <n v="1"/>
    <n v="1"/>
    <n v="0"/>
    <n v="0"/>
    <n v="0"/>
    <n v="0"/>
    <n v="0"/>
    <n v="0"/>
    <n v="0"/>
    <n v="23"/>
    <n v="23"/>
    <n v="1"/>
    <n v="0"/>
    <n v="0"/>
    <n v="0"/>
    <n v="0"/>
    <n v="0"/>
    <n v="0"/>
    <n v="0"/>
    <n v="1"/>
    <n v="0"/>
    <n v="0"/>
    <n v="0"/>
    <n v="0"/>
    <n v="0"/>
    <n v="0"/>
    <n v="0"/>
    <s v="No"/>
    <s v=""/>
    <n v="0"/>
    <n v="0"/>
    <s v="Yes"/>
    <s v="KBC-MYT"/>
    <x v="0"/>
    <x v="1"/>
    <x v="1"/>
    <n v="0"/>
    <n v="0"/>
    <s v="MMR001CMP253"/>
    <x v="1"/>
    <s v="cccm_2019OCT"/>
  </r>
  <r>
    <x v="1"/>
    <x v="4"/>
    <x v="4"/>
    <m/>
    <x v="0"/>
    <x v="8"/>
    <x v="1"/>
    <x v="152"/>
    <n v="14"/>
    <n v="75"/>
    <m/>
    <m/>
    <m/>
    <m/>
    <m/>
    <m/>
    <m/>
    <m/>
    <n v="5"/>
    <m/>
    <m/>
    <m/>
    <m/>
    <m/>
    <m/>
    <m/>
    <m/>
    <m/>
    <m/>
    <m/>
    <m/>
    <m/>
    <m/>
    <m/>
    <m/>
    <m/>
    <m/>
    <m/>
    <m/>
    <m/>
    <m/>
    <m/>
    <m/>
    <m/>
    <m/>
    <m/>
    <m/>
    <m/>
    <m/>
    <x v="0"/>
    <x v="0"/>
    <m/>
    <m/>
    <m/>
    <m/>
    <m/>
    <m/>
    <m/>
    <m/>
    <m/>
    <m/>
    <m/>
    <m/>
    <m/>
    <m/>
    <m/>
    <m/>
    <m/>
    <m/>
    <m/>
    <m/>
    <m/>
    <m/>
    <m/>
    <m/>
    <m/>
    <m/>
    <s v="no test"/>
    <s v="no test"/>
    <s v="No Test"/>
    <n v="0"/>
    <n v="0"/>
    <n v="0"/>
    <n v="0"/>
    <n v="0"/>
    <n v="0"/>
    <n v="0"/>
    <n v="0"/>
    <n v="0"/>
    <n v="0"/>
    <n v="0"/>
    <n v="0"/>
    <n v="0"/>
    <n v="0"/>
    <n v="0"/>
    <n v="1"/>
    <n v="75"/>
    <n v="1"/>
    <n v="1"/>
    <n v="0"/>
    <n v="0"/>
    <n v="0"/>
    <n v="0"/>
    <n v="0"/>
    <n v="0"/>
    <n v="0"/>
    <n v="4"/>
    <n v="4"/>
    <n v="1"/>
    <n v="0"/>
    <n v="0"/>
    <n v="0"/>
    <n v="0"/>
    <n v="0"/>
    <n v="0"/>
    <n v="0"/>
    <n v="1"/>
    <n v="0"/>
    <n v="0"/>
    <n v="0"/>
    <n v="0"/>
    <n v="0"/>
    <n v="0"/>
    <n v="0"/>
    <s v="No"/>
    <s v=""/>
    <n v="0"/>
    <n v="0"/>
    <n v="0"/>
    <s v="uncovered"/>
    <x v="0"/>
    <x v="4"/>
    <x v="1"/>
    <n v="27.311699999999998"/>
    <n v="97.415289999999999"/>
    <s v="MMR001CMP075"/>
    <x v="1"/>
    <s v="cccm_2019OCT"/>
  </r>
  <r>
    <x v="1"/>
    <x v="1"/>
    <x v="1"/>
    <s v="UNICEF"/>
    <x v="0"/>
    <x v="3"/>
    <x v="1"/>
    <x v="55"/>
    <n v="47"/>
    <n v="218"/>
    <d v="2019-12-11T00:00:00"/>
    <d v="2020-12-10T00:00:00"/>
    <n v="56"/>
    <m/>
    <m/>
    <m/>
    <s v="Yes"/>
    <n v="1"/>
    <n v="2"/>
    <n v="1"/>
    <m/>
    <m/>
    <m/>
    <n v="1"/>
    <m/>
    <m/>
    <n v="1"/>
    <m/>
    <m/>
    <m/>
    <m/>
    <m/>
    <m/>
    <m/>
    <m/>
    <m/>
    <m/>
    <m/>
    <n v="2"/>
    <m/>
    <m/>
    <n v="8"/>
    <n v="4"/>
    <m/>
    <m/>
    <n v="6"/>
    <m/>
    <m/>
    <m/>
    <x v="1"/>
    <x v="4"/>
    <n v="2"/>
    <m/>
    <n v="8"/>
    <m/>
    <m/>
    <m/>
    <n v="2"/>
    <m/>
    <n v="2"/>
    <n v="2"/>
    <m/>
    <m/>
    <n v="1"/>
    <n v="6"/>
    <m/>
    <m/>
    <m/>
    <m/>
    <m/>
    <n v="0.4"/>
    <n v="0.3"/>
    <m/>
    <n v="0.1"/>
    <n v="8"/>
    <n v="6"/>
    <n v="2"/>
    <s v="no test"/>
    <s v="no test"/>
    <s v="No Test"/>
    <n v="1"/>
    <n v="1"/>
    <n v="1"/>
    <n v="0"/>
    <n v="0"/>
    <n v="0"/>
    <n v="1"/>
    <n v="1"/>
    <n v="1"/>
    <n v="218"/>
    <n v="0"/>
    <n v="0"/>
    <n v="1"/>
    <n v="218"/>
    <n v="0.436"/>
    <n v="0"/>
    <n v="0"/>
    <n v="0.56400000000000006"/>
    <n v="1"/>
    <n v="12"/>
    <n v="1"/>
    <n v="218"/>
    <n v="0"/>
    <n v="56"/>
    <n v="0"/>
    <n v="56"/>
    <n v="11"/>
    <n v="0"/>
    <n v="0"/>
    <n v="0"/>
    <n v="218"/>
    <n v="30"/>
    <n v="0"/>
    <n v="30"/>
    <n v="218"/>
    <n v="1"/>
    <n v="0"/>
    <n v="1"/>
    <n v="0.51063829787234039"/>
    <n v="0"/>
    <n v="2"/>
    <n v="40"/>
    <n v="0"/>
    <n v="200"/>
    <s v="Yes"/>
    <s v=""/>
    <n v="16"/>
    <n v="56"/>
    <n v="0"/>
    <s v="KMSS-MYT"/>
    <x v="0"/>
    <x v="1"/>
    <x v="1"/>
    <n v="0"/>
    <n v="0"/>
    <s v="MMR001CMP268"/>
    <x v="0"/>
    <s v="cccm_2019OCT"/>
  </r>
  <r>
    <x v="1"/>
    <x v="5"/>
    <x v="5"/>
    <s v="DFID"/>
    <x v="0"/>
    <x v="3"/>
    <x v="1"/>
    <x v="163"/>
    <n v="123"/>
    <n v="672"/>
    <d v="2018-08-01T00:00:00"/>
    <d v="2020-07-31T00:00:00"/>
    <n v="23"/>
    <n v="2"/>
    <m/>
    <m/>
    <s v="Yes"/>
    <n v="1"/>
    <n v="2"/>
    <n v="0"/>
    <m/>
    <m/>
    <n v="0"/>
    <n v="0"/>
    <m/>
    <m/>
    <n v="1"/>
    <m/>
    <m/>
    <n v="0"/>
    <n v="1"/>
    <m/>
    <n v="0"/>
    <n v="0"/>
    <m/>
    <m/>
    <m/>
    <m/>
    <n v="0"/>
    <n v="0"/>
    <m/>
    <n v="23"/>
    <n v="13"/>
    <s v="ICRC"/>
    <m/>
    <m/>
    <m/>
    <m/>
    <n v="0"/>
    <x v="1"/>
    <x v="1"/>
    <n v="0"/>
    <n v="0"/>
    <n v="0"/>
    <m/>
    <m/>
    <m/>
    <n v="4"/>
    <m/>
    <n v="0"/>
    <n v="4"/>
    <m/>
    <n v="1"/>
    <n v="2"/>
    <m/>
    <m/>
    <m/>
    <m/>
    <m/>
    <m/>
    <m/>
    <m/>
    <m/>
    <m/>
    <m/>
    <m/>
    <m/>
    <s v="no test"/>
    <s v="no test"/>
    <s v="No Test"/>
    <n v="0"/>
    <n v="0"/>
    <n v="1"/>
    <n v="0"/>
    <n v="0"/>
    <n v="0"/>
    <n v="9.9206349206349215E-2"/>
    <n v="9.9206349206349215E-2"/>
    <n v="9.9206349206349215E-2"/>
    <n v="66.666666666666671"/>
    <n v="0.37202380952380953"/>
    <n v="250"/>
    <n v="0.47123015873015872"/>
    <n v="316.66666666666669"/>
    <n v="0.63333333333333341"/>
    <n v="0.52876984126984128"/>
    <n v="355.33333333333331"/>
    <n v="0.36666666666666659"/>
    <n v="1"/>
    <n v="36"/>
    <n v="1"/>
    <n v="672"/>
    <n v="0"/>
    <n v="0"/>
    <n v="0"/>
    <n v="0"/>
    <n v="34"/>
    <n v="0"/>
    <n v="0"/>
    <n v="0"/>
    <n v="672"/>
    <n v="0"/>
    <n v="0"/>
    <n v="0"/>
    <n v="672"/>
    <n v="1"/>
    <n v="0"/>
    <n v="1"/>
    <n v="0"/>
    <n v="0"/>
    <n v="4"/>
    <n v="80"/>
    <n v="0"/>
    <n v="400"/>
    <s v="Yes"/>
    <s v=""/>
    <n v="0"/>
    <n v="0"/>
    <s v="Yes"/>
    <s v="KBC-MYT"/>
    <x v="0"/>
    <x v="1"/>
    <x v="1"/>
    <n v="0"/>
    <n v="0"/>
    <s v="MMR001CMP250"/>
    <x v="0"/>
    <s v="cccm_2019OCT"/>
  </r>
  <r>
    <x v="1"/>
    <x v="5"/>
    <x v="5"/>
    <s v="DFID"/>
    <x v="0"/>
    <x v="3"/>
    <x v="1"/>
    <x v="165"/>
    <n v="18"/>
    <n v="103"/>
    <d v="2018-08-01T00:00:00"/>
    <d v="2020-07-31T00:00:00"/>
    <m/>
    <n v="1"/>
    <m/>
    <m/>
    <s v="Yes"/>
    <n v="1"/>
    <n v="2"/>
    <n v="0"/>
    <m/>
    <m/>
    <n v="0"/>
    <n v="0"/>
    <m/>
    <m/>
    <n v="2"/>
    <m/>
    <m/>
    <n v="0"/>
    <n v="2"/>
    <m/>
    <n v="1"/>
    <n v="0"/>
    <m/>
    <m/>
    <m/>
    <m/>
    <n v="0"/>
    <n v="0"/>
    <m/>
    <n v="4"/>
    <n v="0"/>
    <s v="Shalom"/>
    <m/>
    <m/>
    <m/>
    <m/>
    <n v="0"/>
    <x v="1"/>
    <x v="1"/>
    <n v="0"/>
    <n v="0"/>
    <n v="0"/>
    <m/>
    <m/>
    <m/>
    <n v="2"/>
    <m/>
    <n v="0"/>
    <n v="2"/>
    <m/>
    <n v="1"/>
    <n v="2"/>
    <m/>
    <m/>
    <m/>
    <m/>
    <m/>
    <m/>
    <m/>
    <m/>
    <m/>
    <m/>
    <m/>
    <m/>
    <m/>
    <s v="no test"/>
    <s v="no test"/>
    <s v="No Test"/>
    <n v="0"/>
    <n v="0"/>
    <n v="2"/>
    <n v="0"/>
    <n v="0"/>
    <n v="0"/>
    <n v="1"/>
    <n v="1"/>
    <n v="1"/>
    <n v="103"/>
    <n v="1"/>
    <n v="103"/>
    <n v="1"/>
    <n v="103"/>
    <n v="0.20599999999999999"/>
    <n v="0"/>
    <n v="0"/>
    <n v="0.79400000000000004"/>
    <n v="1"/>
    <n v="4"/>
    <n v="0.77669902912621358"/>
    <n v="80"/>
    <n v="0"/>
    <n v="0"/>
    <n v="0"/>
    <n v="0"/>
    <n v="5"/>
    <n v="1"/>
    <n v="0.22330097087378642"/>
    <n v="0"/>
    <n v="103"/>
    <n v="0"/>
    <n v="0"/>
    <n v="0"/>
    <n v="103"/>
    <n v="1"/>
    <n v="0"/>
    <n v="1"/>
    <n v="0"/>
    <n v="0"/>
    <n v="2"/>
    <n v="18"/>
    <n v="0"/>
    <n v="103"/>
    <s v="No"/>
    <s v=""/>
    <n v="0"/>
    <n v="0"/>
    <s v="Yes"/>
    <s v="Shalom"/>
    <x v="0"/>
    <x v="1"/>
    <x v="1"/>
    <n v="25.566510000000001"/>
    <n v="96.269199999999998"/>
    <s v="MMR001CMP181"/>
    <x v="0"/>
    <s v="cccm_2019OCT"/>
  </r>
  <r>
    <x v="1"/>
    <x v="5"/>
    <x v="5"/>
    <s v="DFID"/>
    <x v="0"/>
    <x v="3"/>
    <x v="1"/>
    <x v="166"/>
    <n v="12"/>
    <n v="60"/>
    <d v="2018-08-01T00:00:00"/>
    <d v="2020-07-31T00:00:00"/>
    <m/>
    <n v="1"/>
    <m/>
    <m/>
    <s v="Yes"/>
    <n v="3"/>
    <n v="4"/>
    <n v="0"/>
    <m/>
    <m/>
    <n v="0"/>
    <n v="0"/>
    <m/>
    <m/>
    <n v="0"/>
    <m/>
    <m/>
    <n v="0"/>
    <n v="0"/>
    <m/>
    <n v="0"/>
    <n v="1"/>
    <m/>
    <m/>
    <m/>
    <m/>
    <n v="0"/>
    <n v="0"/>
    <m/>
    <n v="2"/>
    <n v="0"/>
    <s v="Shalom"/>
    <m/>
    <m/>
    <m/>
    <m/>
    <n v="0"/>
    <x v="1"/>
    <x v="4"/>
    <n v="0"/>
    <n v="0"/>
    <n v="0"/>
    <m/>
    <m/>
    <m/>
    <n v="1"/>
    <m/>
    <n v="0"/>
    <n v="2"/>
    <m/>
    <n v="3"/>
    <n v="4"/>
    <m/>
    <m/>
    <m/>
    <m/>
    <m/>
    <m/>
    <m/>
    <m/>
    <m/>
    <m/>
    <m/>
    <m/>
    <m/>
    <s v="no test"/>
    <s v="no test"/>
    <s v="No Test"/>
    <n v="0"/>
    <n v="0"/>
    <n v="0"/>
    <n v="0"/>
    <n v="0"/>
    <n v="0"/>
    <n v="0"/>
    <n v="0"/>
    <n v="0"/>
    <n v="0"/>
    <n v="0"/>
    <n v="0"/>
    <n v="0"/>
    <n v="0"/>
    <n v="0"/>
    <n v="1"/>
    <n v="60"/>
    <n v="1"/>
    <n v="1"/>
    <n v="2"/>
    <n v="0.66666666666666663"/>
    <n v="40"/>
    <n v="0"/>
    <n v="0"/>
    <n v="0"/>
    <n v="0"/>
    <n v="3"/>
    <n v="1"/>
    <n v="0.33333333333333337"/>
    <n v="0"/>
    <n v="60"/>
    <n v="0"/>
    <n v="0"/>
    <n v="0"/>
    <n v="60"/>
    <n v="1"/>
    <n v="0"/>
    <n v="1"/>
    <n v="0"/>
    <n v="0"/>
    <n v="1"/>
    <n v="12"/>
    <n v="0"/>
    <n v="60"/>
    <s v="No"/>
    <s v=""/>
    <n v="0"/>
    <n v="0"/>
    <s v="Yes"/>
    <s v="Shalom"/>
    <x v="0"/>
    <x v="1"/>
    <x v="1"/>
    <n v="25.61842"/>
    <n v="96.316400000000002"/>
    <s v="MMR001CMP167"/>
    <x v="0"/>
    <s v="cccm_2019OCT"/>
  </r>
  <r>
    <x v="1"/>
    <x v="1"/>
    <x v="1"/>
    <s v="HARP/UNICEF"/>
    <x v="0"/>
    <x v="3"/>
    <x v="0"/>
    <x v="56"/>
    <n v="72"/>
    <n v="329"/>
    <s v="3-1-2019, 12-11-2019"/>
    <s v="12-31-2020, 12-10-2020"/>
    <n v="75"/>
    <m/>
    <m/>
    <m/>
    <s v="Yes"/>
    <m/>
    <m/>
    <n v="2"/>
    <m/>
    <m/>
    <m/>
    <m/>
    <m/>
    <m/>
    <n v="1"/>
    <m/>
    <m/>
    <m/>
    <m/>
    <m/>
    <m/>
    <m/>
    <m/>
    <m/>
    <m/>
    <m/>
    <m/>
    <m/>
    <m/>
    <n v="12"/>
    <m/>
    <m/>
    <m/>
    <m/>
    <m/>
    <m/>
    <m/>
    <x v="1"/>
    <x v="1"/>
    <n v="3"/>
    <m/>
    <m/>
    <m/>
    <m/>
    <m/>
    <m/>
    <m/>
    <m/>
    <n v="2"/>
    <m/>
    <n v="1"/>
    <m/>
    <m/>
    <m/>
    <m/>
    <m/>
    <m/>
    <m/>
    <m/>
    <m/>
    <m/>
    <m/>
    <m/>
    <m/>
    <m/>
    <s v="no test"/>
    <s v="no test"/>
    <s v="No Test"/>
    <n v="2"/>
    <n v="0"/>
    <n v="1"/>
    <n v="0"/>
    <n v="0"/>
    <n v="0"/>
    <n v="1"/>
    <n v="1"/>
    <n v="1"/>
    <n v="329"/>
    <n v="0"/>
    <n v="0"/>
    <n v="1"/>
    <n v="329"/>
    <n v="0.65800000000000003"/>
    <n v="0"/>
    <n v="0"/>
    <n v="0.34199999999999997"/>
    <n v="1"/>
    <n v="12"/>
    <n v="0.91185410334346506"/>
    <n v="300"/>
    <n v="0"/>
    <n v="0"/>
    <n v="0"/>
    <n v="0"/>
    <n v="16"/>
    <n v="4"/>
    <n v="8.8145896656534939E-2"/>
    <n v="0"/>
    <n v="329"/>
    <n v="0"/>
    <n v="0"/>
    <n v="0"/>
    <n v="329"/>
    <n v="1"/>
    <n v="0"/>
    <n v="1"/>
    <n v="0"/>
    <n v="0"/>
    <n v="0"/>
    <n v="0"/>
    <n v="0"/>
    <n v="0"/>
    <s v="Yes"/>
    <s v=""/>
    <n v="0"/>
    <n v="0"/>
    <n v="0"/>
    <n v="0"/>
    <x v="0"/>
    <x v="0"/>
    <x v="1"/>
    <n v="0"/>
    <n v="0"/>
    <n v="0"/>
    <x v="0"/>
    <n v="0"/>
  </r>
  <r>
    <x v="1"/>
    <x v="5"/>
    <x v="5"/>
    <s v="DFID"/>
    <x v="0"/>
    <x v="4"/>
    <x v="1"/>
    <x v="158"/>
    <n v="162"/>
    <n v="830"/>
    <d v="2018-08-01T00:00:00"/>
    <d v="2020-07-31T00:00:00"/>
    <m/>
    <n v="1"/>
    <m/>
    <m/>
    <s v="Yes"/>
    <n v="2"/>
    <n v="3"/>
    <n v="0"/>
    <m/>
    <m/>
    <n v="0"/>
    <m/>
    <m/>
    <m/>
    <n v="1"/>
    <m/>
    <m/>
    <m/>
    <m/>
    <m/>
    <m/>
    <n v="1"/>
    <m/>
    <m/>
    <m/>
    <m/>
    <m/>
    <m/>
    <m/>
    <n v="38"/>
    <n v="12"/>
    <s v="ICRC"/>
    <m/>
    <m/>
    <m/>
    <m/>
    <n v="0"/>
    <x v="2"/>
    <x v="2"/>
    <n v="0"/>
    <n v="0"/>
    <n v="0"/>
    <m/>
    <m/>
    <m/>
    <n v="14"/>
    <m/>
    <n v="0"/>
    <n v="9"/>
    <m/>
    <n v="2"/>
    <n v="3"/>
    <m/>
    <n v="207"/>
    <s v="No"/>
    <m/>
    <m/>
    <m/>
    <m/>
    <m/>
    <m/>
    <m/>
    <m/>
    <m/>
    <m/>
    <s v="no test"/>
    <s v="no test"/>
    <s v="No Test"/>
    <n v="0"/>
    <n v="0"/>
    <n v="1"/>
    <n v="0"/>
    <n v="0"/>
    <n v="0"/>
    <n v="8.0321285140562249E-2"/>
    <n v="8.0321285140562249E-2"/>
    <n v="8.0321285140562249E-2"/>
    <n v="66.666666666666671"/>
    <n v="0"/>
    <n v="0"/>
    <n v="8.0321285140562249E-2"/>
    <n v="66.666666666666671"/>
    <n v="0.13333333333333333"/>
    <n v="0.91967871485943775"/>
    <n v="763.33333333333337"/>
    <n v="1.8666666666666667"/>
    <n v="2"/>
    <n v="50"/>
    <n v="1"/>
    <n v="830"/>
    <n v="0"/>
    <n v="0"/>
    <n v="0"/>
    <n v="0"/>
    <n v="42"/>
    <n v="0"/>
    <n v="0"/>
    <n v="0"/>
    <n v="830"/>
    <n v="0"/>
    <n v="207"/>
    <n v="207"/>
    <n v="830"/>
    <n v="1"/>
    <n v="0"/>
    <n v="1"/>
    <n v="0"/>
    <n v="1"/>
    <n v="14"/>
    <n v="162"/>
    <n v="0"/>
    <n v="830"/>
    <s v="No"/>
    <s v=""/>
    <n v="0"/>
    <n v="0"/>
    <s v="Yes"/>
    <s v="Shalom"/>
    <x v="0"/>
    <x v="1"/>
    <x v="1"/>
    <n v="25.889410000000002"/>
    <n v="98.131550000000004"/>
    <s v="MMR001CMP042"/>
    <x v="0"/>
    <s v="cccm_2019OCT"/>
  </r>
  <r>
    <x v="1"/>
    <x v="4"/>
    <x v="4"/>
    <m/>
    <x v="0"/>
    <x v="3"/>
    <x v="1"/>
    <x v="140"/>
    <n v="3"/>
    <n v="15"/>
    <m/>
    <m/>
    <m/>
    <n v="0"/>
    <m/>
    <m/>
    <s v="Yes"/>
    <m/>
    <n v="5"/>
    <n v="1"/>
    <m/>
    <m/>
    <n v="1"/>
    <m/>
    <m/>
    <m/>
    <n v="0"/>
    <m/>
    <m/>
    <m/>
    <m/>
    <m/>
    <m/>
    <n v="1"/>
    <m/>
    <m/>
    <m/>
    <m/>
    <m/>
    <m/>
    <m/>
    <n v="0"/>
    <m/>
    <m/>
    <m/>
    <m/>
    <m/>
    <m/>
    <n v="0"/>
    <x v="1"/>
    <x v="2"/>
    <m/>
    <m/>
    <m/>
    <m/>
    <m/>
    <m/>
    <m/>
    <m/>
    <n v="0"/>
    <m/>
    <m/>
    <m/>
    <m/>
    <m/>
    <m/>
    <m/>
    <m/>
    <m/>
    <m/>
    <m/>
    <m/>
    <m/>
    <m/>
    <m/>
    <m/>
    <m/>
    <s v="no test"/>
    <s v="no test"/>
    <s v="No Test"/>
    <n v="1"/>
    <n v="1"/>
    <n v="0"/>
    <n v="0"/>
    <n v="0"/>
    <n v="0"/>
    <n v="1"/>
    <n v="1"/>
    <n v="1"/>
    <n v="15"/>
    <n v="0"/>
    <n v="0"/>
    <n v="1"/>
    <n v="15"/>
    <n v="0.03"/>
    <n v="0"/>
    <n v="0"/>
    <n v="0.97"/>
    <n v="1"/>
    <n v="0"/>
    <n v="0"/>
    <n v="0"/>
    <n v="0"/>
    <n v="0"/>
    <n v="0"/>
    <n v="0"/>
    <n v="1"/>
    <n v="1"/>
    <n v="1"/>
    <n v="0"/>
    <n v="0"/>
    <n v="0"/>
    <n v="0"/>
    <n v="0"/>
    <n v="0"/>
    <n v="0"/>
    <n v="1"/>
    <n v="0"/>
    <n v="0"/>
    <n v="0"/>
    <n v="0"/>
    <n v="0"/>
    <n v="0"/>
    <n v="0"/>
    <s v="No"/>
    <s v=""/>
    <n v="0"/>
    <n v="0"/>
    <s v="Yes"/>
    <s v="Shalom"/>
    <x v="0"/>
    <x v="0"/>
    <x v="1"/>
    <n v="25.6145"/>
    <n v="96.319829999999996"/>
    <s v="MMR001CMP091"/>
    <x v="1"/>
    <s v="cccm_2019OCT"/>
  </r>
  <r>
    <x v="1"/>
    <x v="0"/>
    <x v="0"/>
    <m/>
    <x v="0"/>
    <x v="2"/>
    <x v="1"/>
    <x v="38"/>
    <n v="179"/>
    <n v="958"/>
    <m/>
    <m/>
    <m/>
    <m/>
    <m/>
    <m/>
    <s v="Yes"/>
    <m/>
    <m/>
    <n v="0"/>
    <m/>
    <m/>
    <n v="0"/>
    <m/>
    <m/>
    <m/>
    <n v="1"/>
    <m/>
    <m/>
    <m/>
    <m/>
    <m/>
    <m/>
    <n v="0"/>
    <m/>
    <m/>
    <m/>
    <m/>
    <m/>
    <m/>
    <m/>
    <n v="158"/>
    <m/>
    <m/>
    <m/>
    <m/>
    <m/>
    <m/>
    <n v="158"/>
    <x v="1"/>
    <x v="1"/>
    <m/>
    <m/>
    <m/>
    <m/>
    <m/>
    <m/>
    <n v="158"/>
    <m/>
    <m/>
    <n v="4"/>
    <m/>
    <m/>
    <m/>
    <m/>
    <m/>
    <m/>
    <m/>
    <m/>
    <m/>
    <m/>
    <m/>
    <m/>
    <m/>
    <m/>
    <m/>
    <m/>
    <s v="no test"/>
    <s v="no test"/>
    <s v="No Test"/>
    <n v="0"/>
    <n v="0"/>
    <n v="1"/>
    <n v="0"/>
    <n v="0"/>
    <n v="0"/>
    <n v="6.9589422407794019E-2"/>
    <n v="6.9589422407794019E-2"/>
    <n v="6.9589422407794019E-2"/>
    <n v="66.666666666666671"/>
    <n v="0"/>
    <n v="0"/>
    <n v="6.9589422407794019E-2"/>
    <n v="66.666666666666671"/>
    <n v="0.13333333333333333"/>
    <n v="0.93041057759220602"/>
    <n v="891.33333333333337"/>
    <n v="1.8666666666666667"/>
    <n v="2"/>
    <n v="158"/>
    <n v="1"/>
    <n v="958"/>
    <n v="0"/>
    <n v="0"/>
    <n v="0"/>
    <n v="0"/>
    <n v="48"/>
    <n v="0"/>
    <n v="0"/>
    <n v="0"/>
    <n v="0"/>
    <n v="0"/>
    <n v="0"/>
    <n v="0"/>
    <n v="0"/>
    <n v="0"/>
    <n v="1"/>
    <n v="0"/>
    <n v="0"/>
    <n v="0"/>
    <n v="158"/>
    <n v="179"/>
    <n v="0"/>
    <n v="958"/>
    <s v="No"/>
    <s v=""/>
    <n v="0"/>
    <n v="0"/>
    <s v="Yes"/>
    <s v="KBC-MYT"/>
    <x v="0"/>
    <x v="1"/>
    <x v="1"/>
    <n v="25.418084"/>
    <n v="98.025662999999994"/>
    <s v="MMR001CMP041"/>
    <x v="0"/>
    <s v="cccm_2019OCT"/>
  </r>
  <r>
    <x v="1"/>
    <x v="4"/>
    <x v="4"/>
    <m/>
    <x v="0"/>
    <x v="3"/>
    <x v="1"/>
    <x v="143"/>
    <n v="10"/>
    <n v="18"/>
    <m/>
    <m/>
    <m/>
    <m/>
    <m/>
    <m/>
    <m/>
    <m/>
    <n v="4"/>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s v="Yes"/>
    <s v="KMSS-MYT"/>
    <x v="0"/>
    <x v="1"/>
    <x v="1"/>
    <n v="25.920006000000001"/>
    <n v="96.662092000000001"/>
    <s v="MMR001CMP247"/>
    <x v="1"/>
    <s v="cccm_2019OCT"/>
  </r>
  <r>
    <x v="1"/>
    <x v="5"/>
    <x v="5"/>
    <s v="DFID"/>
    <x v="0"/>
    <x v="3"/>
    <x v="1"/>
    <x v="170"/>
    <n v="11"/>
    <n v="42"/>
    <d v="2018-08-01T00:00:00"/>
    <d v="2020-07-31T00:00:00"/>
    <m/>
    <n v="1"/>
    <m/>
    <m/>
    <s v="Yes"/>
    <n v="4"/>
    <n v="2"/>
    <n v="1"/>
    <m/>
    <m/>
    <n v="0"/>
    <n v="0"/>
    <m/>
    <m/>
    <n v="2"/>
    <m/>
    <m/>
    <n v="0"/>
    <n v="0"/>
    <m/>
    <n v="0"/>
    <n v="1"/>
    <m/>
    <m/>
    <m/>
    <m/>
    <n v="0"/>
    <n v="0"/>
    <m/>
    <n v="3"/>
    <n v="0"/>
    <s v="Shalom"/>
    <m/>
    <m/>
    <m/>
    <m/>
    <n v="0"/>
    <x v="1"/>
    <x v="4"/>
    <n v="0"/>
    <n v="0"/>
    <n v="0"/>
    <m/>
    <m/>
    <m/>
    <n v="0"/>
    <m/>
    <n v="0"/>
    <n v="2"/>
    <m/>
    <n v="4"/>
    <n v="2"/>
    <m/>
    <m/>
    <m/>
    <m/>
    <m/>
    <m/>
    <m/>
    <m/>
    <m/>
    <m/>
    <m/>
    <m/>
    <m/>
    <s v="no test"/>
    <s v="no test"/>
    <s v="No Test"/>
    <n v="1"/>
    <n v="0"/>
    <n v="2"/>
    <n v="0"/>
    <n v="0"/>
    <n v="0"/>
    <n v="1"/>
    <n v="1"/>
    <n v="1"/>
    <n v="42"/>
    <n v="0"/>
    <n v="0"/>
    <n v="1"/>
    <n v="42"/>
    <n v="8.4000000000000005E-2"/>
    <n v="0"/>
    <n v="0"/>
    <n v="0.91600000000000004"/>
    <n v="1"/>
    <n v="3"/>
    <n v="1"/>
    <n v="42"/>
    <n v="0"/>
    <n v="0"/>
    <n v="0"/>
    <n v="0"/>
    <n v="2"/>
    <n v="0"/>
    <n v="0"/>
    <n v="0"/>
    <n v="42"/>
    <n v="0"/>
    <n v="0"/>
    <n v="0"/>
    <n v="42"/>
    <n v="1"/>
    <n v="0"/>
    <n v="1"/>
    <n v="0"/>
    <n v="0"/>
    <n v="0"/>
    <n v="0"/>
    <n v="0"/>
    <n v="0"/>
    <s v="No"/>
    <s v=""/>
    <n v="0"/>
    <n v="0"/>
    <s v="Yes"/>
    <s v="Shalom"/>
    <x v="0"/>
    <x v="0"/>
    <x v="1"/>
    <n v="25.617998"/>
    <n v="96.339590000000001"/>
    <s v="MMR001CMP192"/>
    <x v="0"/>
    <s v="cccm_2019OCT"/>
  </r>
  <r>
    <x v="1"/>
    <x v="1"/>
    <x v="1"/>
    <s v="HARP/UNICEF"/>
    <x v="0"/>
    <x v="3"/>
    <x v="1"/>
    <x v="61"/>
    <n v="50"/>
    <n v="218"/>
    <s v="3-1-2019, 12-11-2019"/>
    <s v="12-31-2020, 12-10-2020"/>
    <n v="32"/>
    <m/>
    <m/>
    <m/>
    <s v="Yes"/>
    <m/>
    <m/>
    <n v="1"/>
    <m/>
    <m/>
    <m/>
    <m/>
    <m/>
    <m/>
    <m/>
    <m/>
    <m/>
    <m/>
    <m/>
    <m/>
    <m/>
    <m/>
    <m/>
    <m/>
    <m/>
    <m/>
    <m/>
    <m/>
    <m/>
    <n v="16"/>
    <m/>
    <m/>
    <m/>
    <m/>
    <m/>
    <m/>
    <m/>
    <x v="1"/>
    <x v="1"/>
    <n v="1"/>
    <m/>
    <m/>
    <m/>
    <m/>
    <m/>
    <m/>
    <m/>
    <m/>
    <n v="2"/>
    <m/>
    <n v="2"/>
    <m/>
    <m/>
    <m/>
    <m/>
    <m/>
    <m/>
    <m/>
    <m/>
    <m/>
    <m/>
    <m/>
    <m/>
    <m/>
    <m/>
    <s v="no test"/>
    <s v="no test"/>
    <s v="No Test"/>
    <n v="1"/>
    <n v="0"/>
    <n v="0"/>
    <n v="0"/>
    <n v="0"/>
    <n v="0"/>
    <n v="1"/>
    <n v="1"/>
    <n v="1"/>
    <n v="218"/>
    <n v="0"/>
    <n v="0"/>
    <n v="1"/>
    <n v="218"/>
    <n v="0.436"/>
    <n v="0"/>
    <n v="0"/>
    <n v="0.56400000000000006"/>
    <n v="1"/>
    <n v="16"/>
    <n v="1"/>
    <n v="218"/>
    <n v="0"/>
    <n v="0"/>
    <n v="0"/>
    <n v="0"/>
    <n v="11"/>
    <n v="0"/>
    <n v="0"/>
    <n v="0"/>
    <n v="218"/>
    <n v="0"/>
    <n v="0"/>
    <n v="0"/>
    <n v="218"/>
    <n v="1"/>
    <n v="0"/>
    <n v="1"/>
    <n v="0"/>
    <n v="0"/>
    <n v="0"/>
    <n v="0"/>
    <n v="0"/>
    <n v="0"/>
    <s v="Yes"/>
    <s v=""/>
    <n v="0"/>
    <n v="0"/>
    <s v="Yes"/>
    <s v="KMSS-MYT"/>
    <x v="0"/>
    <x v="1"/>
    <x v="1"/>
    <n v="25.613894999999999"/>
    <n v="96.341352999999998"/>
    <s v="MMR001CMP103"/>
    <x v="0"/>
    <s v="cccm_2019OCT"/>
  </r>
  <r>
    <x v="1"/>
    <x v="5"/>
    <x v="5"/>
    <s v="DFID"/>
    <x v="0"/>
    <x v="4"/>
    <x v="1"/>
    <x v="164"/>
    <n v="202"/>
    <n v="895"/>
    <d v="2018-08-01T00:00:00"/>
    <d v="2020-07-31T00:00:00"/>
    <m/>
    <n v="1"/>
    <m/>
    <m/>
    <s v="Yes"/>
    <n v="4"/>
    <n v="2"/>
    <n v="0"/>
    <m/>
    <m/>
    <n v="0"/>
    <m/>
    <m/>
    <m/>
    <n v="1"/>
    <m/>
    <m/>
    <m/>
    <m/>
    <m/>
    <m/>
    <n v="1"/>
    <m/>
    <m/>
    <m/>
    <m/>
    <m/>
    <m/>
    <m/>
    <n v="50"/>
    <n v="14"/>
    <s v="Oxfam/ ICRC"/>
    <m/>
    <m/>
    <m/>
    <m/>
    <n v="0"/>
    <x v="2"/>
    <x v="2"/>
    <n v="0"/>
    <n v="0"/>
    <n v="0"/>
    <m/>
    <m/>
    <m/>
    <n v="14"/>
    <m/>
    <n v="0"/>
    <n v="14"/>
    <m/>
    <n v="4"/>
    <n v="2"/>
    <m/>
    <n v="238"/>
    <s v="No"/>
    <m/>
    <m/>
    <m/>
    <m/>
    <m/>
    <m/>
    <m/>
    <m/>
    <m/>
    <m/>
    <s v="no test"/>
    <s v="no test"/>
    <s v="No Test"/>
    <n v="0"/>
    <n v="0"/>
    <n v="1"/>
    <n v="0"/>
    <n v="0"/>
    <n v="0"/>
    <n v="7.4487895716946001E-2"/>
    <n v="7.4487895716946001E-2"/>
    <n v="7.4487895716946001E-2"/>
    <n v="66.666666666666671"/>
    <n v="0"/>
    <n v="0"/>
    <n v="7.4487895716946001E-2"/>
    <n v="66.666666666666671"/>
    <n v="0.13333333333333333"/>
    <n v="0.92551210428305397"/>
    <n v="828.33333333333326"/>
    <n v="1.8666666666666667"/>
    <n v="2"/>
    <n v="64"/>
    <n v="1"/>
    <n v="895"/>
    <n v="0"/>
    <n v="0"/>
    <n v="0"/>
    <n v="0"/>
    <n v="45"/>
    <n v="0"/>
    <n v="0"/>
    <n v="0"/>
    <n v="895"/>
    <n v="0"/>
    <n v="238"/>
    <n v="238"/>
    <n v="895"/>
    <n v="1"/>
    <n v="0"/>
    <n v="1"/>
    <n v="0"/>
    <n v="1"/>
    <n v="14"/>
    <n v="202"/>
    <n v="0"/>
    <n v="895"/>
    <s v="No"/>
    <s v=""/>
    <n v="0"/>
    <n v="0"/>
    <s v="Yes"/>
    <s v="Shalom"/>
    <x v="0"/>
    <x v="1"/>
    <x v="1"/>
    <n v="25.887339999999998"/>
    <n v="98.129990000000006"/>
    <s v="MMR001CMP195"/>
    <x v="0"/>
    <s v="cccm_2019OCT"/>
  </r>
  <r>
    <x v="1"/>
    <x v="5"/>
    <x v="5"/>
    <s v="DFID"/>
    <x v="0"/>
    <x v="3"/>
    <x v="1"/>
    <x v="174"/>
    <n v="10"/>
    <n v="38"/>
    <d v="2018-08-01T00:00:00"/>
    <d v="2020-07-31T00:00:00"/>
    <m/>
    <n v="1"/>
    <m/>
    <m/>
    <s v="Yes"/>
    <n v="2"/>
    <n v="2"/>
    <n v="1"/>
    <m/>
    <m/>
    <n v="0"/>
    <n v="0"/>
    <m/>
    <m/>
    <n v="2"/>
    <m/>
    <m/>
    <n v="0"/>
    <n v="1"/>
    <m/>
    <n v="0"/>
    <n v="1"/>
    <m/>
    <m/>
    <m/>
    <m/>
    <n v="0"/>
    <n v="0"/>
    <m/>
    <n v="4"/>
    <n v="0"/>
    <s v="Shalom"/>
    <m/>
    <m/>
    <m/>
    <m/>
    <n v="0"/>
    <x v="1"/>
    <x v="1"/>
    <n v="0"/>
    <n v="0"/>
    <n v="0"/>
    <m/>
    <m/>
    <m/>
    <n v="1"/>
    <m/>
    <n v="0"/>
    <n v="2"/>
    <m/>
    <n v="2"/>
    <n v="2"/>
    <m/>
    <m/>
    <m/>
    <m/>
    <m/>
    <m/>
    <m/>
    <m/>
    <m/>
    <m/>
    <m/>
    <m/>
    <m/>
    <s v="no test"/>
    <s v="no test"/>
    <s v="No Test"/>
    <n v="1"/>
    <n v="0"/>
    <n v="2"/>
    <n v="0"/>
    <n v="0"/>
    <n v="0"/>
    <n v="1"/>
    <n v="1"/>
    <n v="1"/>
    <n v="38"/>
    <n v="1"/>
    <n v="38"/>
    <n v="1"/>
    <n v="38"/>
    <n v="7.5999999999999998E-2"/>
    <n v="0"/>
    <n v="0"/>
    <n v="0.92400000000000004"/>
    <n v="1"/>
    <n v="4"/>
    <n v="1"/>
    <n v="38"/>
    <n v="0"/>
    <n v="0"/>
    <n v="0"/>
    <n v="0"/>
    <n v="2"/>
    <n v="0"/>
    <n v="0"/>
    <n v="0"/>
    <n v="38"/>
    <n v="0"/>
    <n v="0"/>
    <n v="0"/>
    <n v="38"/>
    <n v="1"/>
    <n v="0"/>
    <n v="1"/>
    <n v="0"/>
    <n v="0"/>
    <n v="1"/>
    <n v="10"/>
    <n v="0"/>
    <n v="38"/>
    <s v="No"/>
    <s v=""/>
    <n v="0"/>
    <n v="0"/>
    <s v="Yes"/>
    <s v="Shalom"/>
    <x v="0"/>
    <x v="0"/>
    <x v="1"/>
    <n v="25.56551"/>
    <n v="96.279200000000003"/>
    <s v="MMR001CMP182"/>
    <x v="0"/>
    <s v="cccm_2019OCT"/>
  </r>
  <r>
    <x v="1"/>
    <x v="0"/>
    <x v="0"/>
    <s v="PLAN(GFFO),MHF13490"/>
    <x v="0"/>
    <x v="3"/>
    <x v="1"/>
    <x v="35"/>
    <n v="28"/>
    <n v="103"/>
    <s v="5-1-2019,10-1-2019"/>
    <s v="9-30-2020,7-31-2020"/>
    <m/>
    <m/>
    <m/>
    <m/>
    <s v="Yes"/>
    <m/>
    <n v="4"/>
    <n v="1"/>
    <m/>
    <m/>
    <n v="1"/>
    <m/>
    <m/>
    <m/>
    <m/>
    <m/>
    <m/>
    <m/>
    <m/>
    <m/>
    <m/>
    <n v="0"/>
    <m/>
    <m/>
    <m/>
    <m/>
    <m/>
    <m/>
    <m/>
    <n v="8"/>
    <m/>
    <m/>
    <m/>
    <m/>
    <m/>
    <m/>
    <n v="8"/>
    <x v="1"/>
    <x v="2"/>
    <m/>
    <m/>
    <m/>
    <m/>
    <m/>
    <m/>
    <n v="2"/>
    <m/>
    <m/>
    <n v="2"/>
    <m/>
    <m/>
    <n v="1"/>
    <m/>
    <m/>
    <m/>
    <m/>
    <m/>
    <m/>
    <m/>
    <m/>
    <m/>
    <m/>
    <m/>
    <m/>
    <m/>
    <s v="no test"/>
    <s v="no test"/>
    <s v="No Test"/>
    <n v="1"/>
    <n v="1"/>
    <n v="0"/>
    <n v="0"/>
    <n v="0"/>
    <n v="0"/>
    <n v="1"/>
    <n v="1"/>
    <n v="1"/>
    <n v="103"/>
    <n v="0"/>
    <n v="0"/>
    <n v="1"/>
    <n v="103"/>
    <n v="0.20599999999999999"/>
    <n v="0"/>
    <n v="0"/>
    <n v="0.79400000000000004"/>
    <n v="1"/>
    <n v="8"/>
    <n v="1"/>
    <n v="103"/>
    <n v="0"/>
    <n v="0"/>
    <n v="0"/>
    <n v="0"/>
    <n v="5"/>
    <n v="0"/>
    <n v="0"/>
    <n v="0"/>
    <n v="103"/>
    <n v="0"/>
    <n v="0"/>
    <n v="0"/>
    <n v="103"/>
    <n v="1"/>
    <n v="0"/>
    <n v="1"/>
    <n v="0"/>
    <n v="0"/>
    <n v="2"/>
    <n v="28"/>
    <n v="0"/>
    <n v="103"/>
    <s v="No"/>
    <s v=""/>
    <n v="0"/>
    <n v="0"/>
    <s v="Yes"/>
    <s v="KBC-MYT"/>
    <x v="0"/>
    <x v="1"/>
    <x v="1"/>
    <n v="25.920006000000001"/>
    <n v="96.662092000000001"/>
    <s v="MMR001CMP244"/>
    <x v="0"/>
    <s v="cccm_2019OCT"/>
  </r>
  <r>
    <x v="1"/>
    <x v="5"/>
    <x v="5"/>
    <s v="DFID"/>
    <x v="0"/>
    <x v="2"/>
    <x v="1"/>
    <x v="178"/>
    <n v="45"/>
    <n v="186"/>
    <d v="2018-08-01T00:00:00"/>
    <d v="2020-07-31T00:00:00"/>
    <m/>
    <n v="1"/>
    <m/>
    <m/>
    <s v="Yes"/>
    <n v="0"/>
    <n v="5"/>
    <n v="1"/>
    <m/>
    <m/>
    <n v="0"/>
    <m/>
    <m/>
    <m/>
    <n v="0"/>
    <m/>
    <m/>
    <n v="0"/>
    <n v="0"/>
    <n v="0"/>
    <n v="0"/>
    <n v="0"/>
    <m/>
    <m/>
    <m/>
    <m/>
    <n v="0"/>
    <n v="0"/>
    <m/>
    <n v="7"/>
    <m/>
    <m/>
    <m/>
    <m/>
    <m/>
    <m/>
    <n v="0"/>
    <x v="1"/>
    <x v="1"/>
    <n v="0"/>
    <n v="0"/>
    <n v="0"/>
    <m/>
    <m/>
    <m/>
    <n v="4"/>
    <m/>
    <n v="0"/>
    <n v="2"/>
    <m/>
    <n v="0"/>
    <n v="0"/>
    <m/>
    <m/>
    <s v="No"/>
    <m/>
    <m/>
    <m/>
    <m/>
    <m/>
    <m/>
    <m/>
    <m/>
    <m/>
    <m/>
    <s v="no test"/>
    <s v="no test"/>
    <s v="No Test"/>
    <n v="1"/>
    <n v="0"/>
    <n v="0"/>
    <n v="0"/>
    <n v="0"/>
    <n v="0"/>
    <n v="1"/>
    <n v="1"/>
    <n v="1"/>
    <n v="186"/>
    <n v="0"/>
    <n v="0"/>
    <n v="1"/>
    <n v="186"/>
    <n v="0.372"/>
    <n v="0"/>
    <n v="0"/>
    <n v="0.628"/>
    <n v="1"/>
    <n v="7"/>
    <n v="0.75268817204301075"/>
    <n v="140"/>
    <n v="0"/>
    <n v="0"/>
    <n v="0"/>
    <n v="0"/>
    <n v="9"/>
    <n v="2"/>
    <n v="0.24731182795698925"/>
    <n v="0"/>
    <n v="0"/>
    <n v="0"/>
    <n v="0"/>
    <n v="0"/>
    <n v="0"/>
    <n v="0"/>
    <n v="1"/>
    <n v="0"/>
    <n v="0"/>
    <n v="0"/>
    <n v="4"/>
    <n v="45"/>
    <n v="0"/>
    <n v="186"/>
    <s v="No"/>
    <s v=""/>
    <n v="0"/>
    <n v="0"/>
    <s v="Yes"/>
    <s v="Shalom"/>
    <x v="0"/>
    <x v="1"/>
    <x v="1"/>
    <n v="25.333683333333301"/>
    <n v="97.428251153846105"/>
    <s v="MMR001CMP037"/>
    <x v="0"/>
    <s v="cccm_2019OCT"/>
  </r>
  <r>
    <x v="1"/>
    <x v="5"/>
    <x v="5"/>
    <s v="DFID"/>
    <x v="0"/>
    <x v="0"/>
    <x v="1"/>
    <x v="177"/>
    <n v="16"/>
    <n v="77"/>
    <d v="2018-08-01T00:00:00"/>
    <d v="2020-07-31T00:00:00"/>
    <m/>
    <n v="1"/>
    <m/>
    <m/>
    <s v="Yes"/>
    <n v="0"/>
    <n v="3"/>
    <n v="1"/>
    <m/>
    <m/>
    <n v="2"/>
    <n v="1"/>
    <m/>
    <m/>
    <m/>
    <m/>
    <m/>
    <m/>
    <m/>
    <m/>
    <m/>
    <n v="0"/>
    <m/>
    <m/>
    <m/>
    <m/>
    <m/>
    <m/>
    <m/>
    <n v="7"/>
    <n v="4"/>
    <s v="Chruch"/>
    <m/>
    <m/>
    <m/>
    <m/>
    <m/>
    <x v="1"/>
    <x v="2"/>
    <m/>
    <m/>
    <m/>
    <m/>
    <m/>
    <m/>
    <n v="4"/>
    <m/>
    <n v="0"/>
    <n v="2"/>
    <m/>
    <n v="0"/>
    <n v="0"/>
    <m/>
    <m/>
    <m/>
    <m/>
    <m/>
    <m/>
    <m/>
    <m/>
    <m/>
    <m/>
    <m/>
    <m/>
    <m/>
    <s v="no test"/>
    <s v="no test"/>
    <s v="No Test"/>
    <n v="1"/>
    <n v="3"/>
    <n v="0"/>
    <n v="0"/>
    <n v="0"/>
    <n v="0"/>
    <n v="1"/>
    <n v="1"/>
    <n v="1"/>
    <n v="77"/>
    <n v="0"/>
    <n v="0"/>
    <n v="1"/>
    <n v="77"/>
    <n v="0.154"/>
    <n v="0"/>
    <n v="0"/>
    <n v="0.84599999999999997"/>
    <n v="1"/>
    <n v="11"/>
    <n v="1"/>
    <n v="77"/>
    <n v="0"/>
    <n v="0"/>
    <n v="0"/>
    <n v="0"/>
    <n v="4"/>
    <n v="0"/>
    <n v="0"/>
    <n v="0"/>
    <n v="0"/>
    <n v="0"/>
    <n v="0"/>
    <n v="0"/>
    <n v="0"/>
    <n v="0"/>
    <n v="1"/>
    <n v="0"/>
    <n v="0"/>
    <n v="0"/>
    <n v="4"/>
    <n v="16"/>
    <n v="0"/>
    <n v="77"/>
    <s v="No"/>
    <s v=""/>
    <n v="0"/>
    <n v="0"/>
    <s v="Yes"/>
    <s v="Shalom"/>
    <x v="0"/>
    <x v="1"/>
    <x v="1"/>
    <n v="25.417733999999999"/>
    <n v="97.389778000000007"/>
    <s v="MMR001CMP004"/>
    <x v="0"/>
    <s v="cccm_2019OCT"/>
  </r>
  <r>
    <x v="1"/>
    <x v="0"/>
    <x v="0"/>
    <s v="PLAN(GFFO),MHF13490"/>
    <x v="0"/>
    <x v="0"/>
    <x v="1"/>
    <x v="42"/>
    <n v="30"/>
    <n v="165"/>
    <s v="5-1-2019,10-1-2019"/>
    <s v="9-30-2020,7-31-2020"/>
    <m/>
    <m/>
    <m/>
    <m/>
    <s v="Yes"/>
    <m/>
    <n v="5"/>
    <n v="0"/>
    <m/>
    <m/>
    <n v="2"/>
    <m/>
    <m/>
    <m/>
    <m/>
    <m/>
    <m/>
    <m/>
    <m/>
    <m/>
    <m/>
    <n v="3"/>
    <m/>
    <m/>
    <m/>
    <m/>
    <m/>
    <m/>
    <m/>
    <n v="5"/>
    <m/>
    <m/>
    <m/>
    <m/>
    <m/>
    <m/>
    <n v="5"/>
    <x v="1"/>
    <x v="1"/>
    <m/>
    <m/>
    <m/>
    <m/>
    <m/>
    <m/>
    <n v="2"/>
    <m/>
    <m/>
    <n v="2"/>
    <m/>
    <m/>
    <n v="1"/>
    <m/>
    <m/>
    <m/>
    <m/>
    <m/>
    <m/>
    <m/>
    <m/>
    <m/>
    <m/>
    <m/>
    <m/>
    <m/>
    <s v="no test"/>
    <s v="no test"/>
    <s v="No Test"/>
    <n v="0"/>
    <n v="2"/>
    <n v="0"/>
    <n v="0"/>
    <n v="0"/>
    <n v="0"/>
    <n v="1"/>
    <n v="1"/>
    <n v="1"/>
    <n v="165"/>
    <n v="0"/>
    <n v="0"/>
    <n v="1"/>
    <n v="165"/>
    <n v="0.33"/>
    <n v="0"/>
    <n v="0"/>
    <n v="0.66999999999999993"/>
    <n v="1"/>
    <n v="5"/>
    <n v="0.60606060606060608"/>
    <n v="100"/>
    <n v="0"/>
    <n v="0"/>
    <n v="0"/>
    <n v="0"/>
    <n v="8"/>
    <n v="3"/>
    <n v="0.39393939393939392"/>
    <n v="0"/>
    <n v="165"/>
    <n v="0"/>
    <n v="0"/>
    <n v="0"/>
    <n v="165"/>
    <n v="1"/>
    <n v="0"/>
    <n v="1"/>
    <n v="0"/>
    <n v="0"/>
    <n v="2"/>
    <n v="30"/>
    <n v="0"/>
    <n v="165"/>
    <s v="No"/>
    <s v=""/>
    <n v="0"/>
    <n v="0"/>
    <s v="Yes"/>
    <s v="KBC-MYT"/>
    <x v="0"/>
    <x v="1"/>
    <x v="1"/>
    <n v="25.404752999999999"/>
    <n v="97.377662999999998"/>
    <s v="MMR001CMP003"/>
    <x v="0"/>
    <s v="cccm_2019OCT"/>
  </r>
  <r>
    <x v="1"/>
    <x v="4"/>
    <x v="4"/>
    <m/>
    <x v="0"/>
    <x v="3"/>
    <x v="1"/>
    <x v="147"/>
    <n v="4"/>
    <n v="11"/>
    <m/>
    <m/>
    <m/>
    <m/>
    <m/>
    <m/>
    <m/>
    <m/>
    <m/>
    <m/>
    <m/>
    <m/>
    <m/>
    <m/>
    <m/>
    <m/>
    <m/>
    <m/>
    <m/>
    <m/>
    <m/>
    <m/>
    <m/>
    <m/>
    <m/>
    <m/>
    <m/>
    <m/>
    <m/>
    <m/>
    <m/>
    <m/>
    <m/>
    <m/>
    <m/>
    <m/>
    <m/>
    <m/>
    <m/>
    <x v="0"/>
    <x v="0"/>
    <m/>
    <m/>
    <m/>
    <m/>
    <m/>
    <m/>
    <m/>
    <m/>
    <m/>
    <m/>
    <m/>
    <m/>
    <m/>
    <m/>
    <m/>
    <m/>
    <m/>
    <m/>
    <m/>
    <m/>
    <m/>
    <m/>
    <m/>
    <m/>
    <m/>
    <m/>
    <s v="no test"/>
    <s v="no test"/>
    <s v="No Test"/>
    <n v="0"/>
    <n v="0"/>
    <n v="0"/>
    <n v="0"/>
    <n v="0"/>
    <n v="0"/>
    <n v="0"/>
    <n v="0"/>
    <n v="0"/>
    <n v="0"/>
    <n v="0"/>
    <n v="0"/>
    <n v="0"/>
    <n v="0"/>
    <n v="0"/>
    <n v="1"/>
    <n v="11"/>
    <n v="1"/>
    <n v="1"/>
    <n v="0"/>
    <n v="0"/>
    <n v="0"/>
    <n v="0"/>
    <n v="0"/>
    <n v="0"/>
    <n v="0"/>
    <n v="1"/>
    <n v="1"/>
    <n v="1"/>
    <n v="0"/>
    <n v="0"/>
    <n v="0"/>
    <n v="0"/>
    <n v="0"/>
    <n v="0"/>
    <n v="0"/>
    <n v="1"/>
    <n v="0"/>
    <n v="0"/>
    <n v="0"/>
    <n v="0"/>
    <n v="0"/>
    <n v="0"/>
    <n v="0"/>
    <s v="No"/>
    <s v=""/>
    <n v="0"/>
    <n v="0"/>
    <s v="Yes"/>
    <s v="uncovered"/>
    <x v="0"/>
    <x v="0"/>
    <x v="1"/>
    <n v="25.920006000000001"/>
    <n v="96.662092000000001"/>
    <s v="MMR001CMP246"/>
    <x v="1"/>
    <s v="cccm_2019OCT"/>
  </r>
  <r>
    <x v="1"/>
    <x v="0"/>
    <x v="0"/>
    <s v="PLAN(GFFO),MHF13490"/>
    <x v="0"/>
    <x v="2"/>
    <x v="1"/>
    <x v="46"/>
    <n v="79"/>
    <n v="356"/>
    <s v="5-1-2019,10-1-2019"/>
    <s v="9-30-2020,7-31-2020"/>
    <m/>
    <m/>
    <m/>
    <m/>
    <s v="Yes"/>
    <m/>
    <n v="5"/>
    <n v="0"/>
    <m/>
    <m/>
    <n v="1"/>
    <m/>
    <m/>
    <m/>
    <m/>
    <m/>
    <m/>
    <m/>
    <m/>
    <m/>
    <m/>
    <n v="3"/>
    <m/>
    <m/>
    <m/>
    <m/>
    <m/>
    <m/>
    <m/>
    <n v="8"/>
    <m/>
    <m/>
    <m/>
    <m/>
    <m/>
    <m/>
    <n v="6"/>
    <x v="1"/>
    <x v="1"/>
    <m/>
    <m/>
    <m/>
    <m/>
    <m/>
    <m/>
    <n v="4"/>
    <m/>
    <m/>
    <n v="0"/>
    <m/>
    <m/>
    <n v="1"/>
    <m/>
    <m/>
    <m/>
    <m/>
    <m/>
    <m/>
    <m/>
    <m/>
    <m/>
    <m/>
    <m/>
    <m/>
    <m/>
    <s v="no test"/>
    <s v="no test"/>
    <s v="No Test"/>
    <n v="0"/>
    <n v="1"/>
    <n v="0"/>
    <n v="0"/>
    <n v="0"/>
    <n v="0"/>
    <n v="1"/>
    <n v="0.702247191011236"/>
    <n v="1"/>
    <n v="356"/>
    <n v="0"/>
    <n v="0"/>
    <n v="1"/>
    <n v="356"/>
    <n v="0.71199999999999997"/>
    <n v="0"/>
    <n v="0"/>
    <n v="0.28800000000000003"/>
    <n v="1"/>
    <n v="8"/>
    <n v="0.449438202247191"/>
    <n v="160"/>
    <n v="0"/>
    <n v="0"/>
    <n v="0"/>
    <n v="0"/>
    <n v="18"/>
    <n v="10"/>
    <n v="0.550561797752809"/>
    <n v="0"/>
    <n v="356"/>
    <n v="0"/>
    <n v="0"/>
    <n v="0"/>
    <n v="356"/>
    <n v="1"/>
    <n v="0"/>
    <n v="1"/>
    <n v="0"/>
    <n v="0"/>
    <n v="4"/>
    <n v="79"/>
    <n v="0"/>
    <n v="356"/>
    <s v="No"/>
    <s v=""/>
    <n v="0"/>
    <n v="0"/>
    <s v="Yes"/>
    <s v="KBC-MYT"/>
    <x v="0"/>
    <x v="1"/>
    <x v="1"/>
    <n v="0"/>
    <n v="0"/>
    <s v="MMR001CMP269"/>
    <x v="0"/>
    <s v="cccm_2019OCT"/>
  </r>
  <r>
    <x v="1"/>
    <x v="5"/>
    <x v="5"/>
    <s v="DFID"/>
    <x v="0"/>
    <x v="2"/>
    <x v="1"/>
    <x v="179"/>
    <n v="66"/>
    <n v="263"/>
    <d v="2018-08-01T00:00:00"/>
    <d v="2020-07-31T00:00:00"/>
    <m/>
    <n v="1"/>
    <m/>
    <m/>
    <s v="Yes"/>
    <n v="3"/>
    <n v="2"/>
    <n v="3"/>
    <m/>
    <m/>
    <n v="1"/>
    <m/>
    <m/>
    <m/>
    <n v="0"/>
    <m/>
    <m/>
    <n v="0"/>
    <n v="0"/>
    <n v="0"/>
    <n v="0"/>
    <n v="0"/>
    <m/>
    <m/>
    <m/>
    <m/>
    <n v="0"/>
    <n v="0"/>
    <m/>
    <n v="10"/>
    <m/>
    <m/>
    <m/>
    <m/>
    <n v="3"/>
    <m/>
    <n v="0"/>
    <x v="1"/>
    <x v="1"/>
    <n v="0"/>
    <n v="0"/>
    <n v="0"/>
    <m/>
    <m/>
    <m/>
    <n v="6"/>
    <m/>
    <n v="0"/>
    <n v="4"/>
    <m/>
    <n v="0"/>
    <n v="0"/>
    <m/>
    <m/>
    <s v="No"/>
    <m/>
    <m/>
    <m/>
    <m/>
    <m/>
    <m/>
    <m/>
    <m/>
    <m/>
    <m/>
    <s v="no test"/>
    <s v="no test"/>
    <s v="No Test"/>
    <n v="3"/>
    <n v="1"/>
    <n v="0"/>
    <n v="0"/>
    <n v="0"/>
    <n v="0"/>
    <n v="1"/>
    <n v="1"/>
    <n v="1"/>
    <n v="263"/>
    <n v="0"/>
    <n v="0"/>
    <n v="1"/>
    <n v="263"/>
    <n v="0.52600000000000002"/>
    <n v="0"/>
    <n v="0"/>
    <n v="0.47399999999999998"/>
    <n v="1"/>
    <n v="10"/>
    <n v="0.76045627376425851"/>
    <n v="200"/>
    <n v="60"/>
    <n v="0"/>
    <n v="0"/>
    <n v="0"/>
    <n v="13"/>
    <n v="3"/>
    <n v="0.23954372623574149"/>
    <n v="0"/>
    <n v="0"/>
    <n v="0"/>
    <n v="0"/>
    <n v="0"/>
    <n v="0"/>
    <n v="0"/>
    <n v="1"/>
    <n v="0"/>
    <n v="0"/>
    <n v="0"/>
    <n v="6"/>
    <n v="66"/>
    <n v="0"/>
    <n v="263"/>
    <s v="No"/>
    <s v=""/>
    <n v="0"/>
    <n v="0"/>
    <s v="Yes"/>
    <s v="Shalom"/>
    <x v="0"/>
    <x v="1"/>
    <x v="1"/>
    <n v="25.351250396825399"/>
    <n v="97.444283730158702"/>
    <s v="MMR001CMP038"/>
    <x v="0"/>
    <s v="cccm_2019OCT"/>
  </r>
  <r>
    <x v="1"/>
    <x v="2"/>
    <x v="2"/>
    <s v="WHH-AA, USAID"/>
    <x v="0"/>
    <x v="2"/>
    <x v="1"/>
    <x v="120"/>
    <n v="1230"/>
    <n v="6501"/>
    <s v="10-1-2018, 9-30-2019"/>
    <s v="9-30-2020, 8-31-2020"/>
    <m/>
    <m/>
    <m/>
    <m/>
    <s v="Yes"/>
    <n v="3"/>
    <n v="2"/>
    <m/>
    <m/>
    <m/>
    <m/>
    <m/>
    <m/>
    <m/>
    <n v="3"/>
    <m/>
    <m/>
    <m/>
    <m/>
    <n v="533440"/>
    <m/>
    <m/>
    <m/>
    <m/>
    <m/>
    <m/>
    <m/>
    <n v="3"/>
    <m/>
    <n v="228"/>
    <m/>
    <m/>
    <n v="20"/>
    <m/>
    <n v="22"/>
    <n v="52800"/>
    <m/>
    <x v="1"/>
    <x v="1"/>
    <n v="4"/>
    <n v="2"/>
    <n v="8"/>
    <m/>
    <m/>
    <m/>
    <n v="50"/>
    <m/>
    <m/>
    <n v="22"/>
    <m/>
    <m/>
    <n v="6"/>
    <n v="1245"/>
    <n v="1183"/>
    <s v="No"/>
    <m/>
    <m/>
    <m/>
    <n v="1"/>
    <n v="1"/>
    <m/>
    <n v="0"/>
    <m/>
    <m/>
    <m/>
    <s v="no test"/>
    <s v="no test"/>
    <s v="No Test"/>
    <n v="0"/>
    <n v="0"/>
    <n v="3"/>
    <n v="0"/>
    <n v="395.14074074074074"/>
    <n v="1500"/>
    <n v="9.1546029955505426E-2"/>
    <n v="9.1546029955505426E-2"/>
    <n v="9.1546029955505426E-2"/>
    <n v="595.14074074074074"/>
    <n v="0"/>
    <n v="0"/>
    <n v="9.1546029955505426E-2"/>
    <n v="595.14074074074074"/>
    <n v="1.1902814814814815"/>
    <n v="0.90845397004449457"/>
    <n v="5905.8592592592595"/>
    <n v="11.809718518518519"/>
    <n v="13"/>
    <n v="208"/>
    <n v="0.65220735271496688"/>
    <n v="4240"/>
    <n v="440"/>
    <n v="0"/>
    <n v="0"/>
    <n v="0"/>
    <n v="325"/>
    <n v="97"/>
    <n v="0.34779264728503312"/>
    <n v="8.771929824561403E-2"/>
    <n v="3000"/>
    <n v="6225"/>
    <n v="1183"/>
    <n v="6225"/>
    <n v="6225"/>
    <n v="0.95754499307798802"/>
    <n v="4.2455006922011984E-2"/>
    <n v="0.46146746654360865"/>
    <n v="1"/>
    <n v="0.96178861788617886"/>
    <n v="50"/>
    <n v="1000"/>
    <n v="0"/>
    <n v="5000"/>
    <s v="No"/>
    <s v=""/>
    <n v="0"/>
    <n v="1500"/>
    <s v="Yes"/>
    <s v="KMSS-MYT"/>
    <x v="0"/>
    <x v="1"/>
    <x v="0"/>
    <n v="24.755253"/>
    <n v="97.546893999999995"/>
    <s v="MMR001CMP116"/>
    <x v="0"/>
    <s v="cccm_2019OCT"/>
  </r>
  <r>
    <x v="1"/>
    <x v="0"/>
    <x v="0"/>
    <s v="PLAN(GFFO),MHF13490"/>
    <x v="0"/>
    <x v="3"/>
    <x v="0"/>
    <x v="36"/>
    <n v="18"/>
    <n v="80"/>
    <s v="5-1-2019,10-1-2019"/>
    <s v="9-30-2020,7-31-2020"/>
    <m/>
    <m/>
    <m/>
    <m/>
    <s v="Yes"/>
    <m/>
    <n v="4"/>
    <n v="2"/>
    <m/>
    <m/>
    <m/>
    <m/>
    <m/>
    <m/>
    <m/>
    <m/>
    <m/>
    <m/>
    <m/>
    <m/>
    <m/>
    <n v="0"/>
    <m/>
    <m/>
    <m/>
    <m/>
    <m/>
    <m/>
    <m/>
    <n v="4"/>
    <m/>
    <m/>
    <m/>
    <m/>
    <m/>
    <m/>
    <n v="4"/>
    <x v="1"/>
    <x v="1"/>
    <m/>
    <m/>
    <m/>
    <m/>
    <m/>
    <m/>
    <n v="2"/>
    <m/>
    <m/>
    <n v="1"/>
    <m/>
    <m/>
    <n v="1"/>
    <m/>
    <m/>
    <m/>
    <m/>
    <m/>
    <m/>
    <m/>
    <m/>
    <m/>
    <m/>
    <m/>
    <m/>
    <m/>
    <s v="no test"/>
    <s v="no test"/>
    <s v="No Test"/>
    <n v="2"/>
    <n v="0"/>
    <n v="0"/>
    <n v="0"/>
    <n v="0"/>
    <n v="0"/>
    <n v="1"/>
    <n v="1"/>
    <n v="1"/>
    <n v="80"/>
    <n v="0"/>
    <n v="0"/>
    <n v="1"/>
    <n v="80"/>
    <n v="0.16"/>
    <n v="0"/>
    <n v="0"/>
    <n v="0.84"/>
    <n v="1"/>
    <n v="4"/>
    <n v="1"/>
    <n v="80"/>
    <n v="0"/>
    <n v="0"/>
    <n v="0"/>
    <n v="0"/>
    <n v="4"/>
    <n v="0"/>
    <n v="0"/>
    <n v="0"/>
    <n v="80"/>
    <n v="0"/>
    <n v="0"/>
    <n v="0"/>
    <n v="80"/>
    <n v="1"/>
    <n v="0"/>
    <n v="1"/>
    <n v="0"/>
    <n v="0"/>
    <n v="2"/>
    <n v="18"/>
    <n v="0"/>
    <n v="80"/>
    <s v="No"/>
    <s v=""/>
    <n v="0"/>
    <n v="0"/>
    <n v="0"/>
    <n v="0"/>
    <x v="0"/>
    <x v="1"/>
    <x v="1"/>
    <n v="0"/>
    <n v="0"/>
    <n v="0"/>
    <x v="0"/>
    <n v="0"/>
  </r>
  <r>
    <x v="1"/>
    <x v="0"/>
    <x v="0"/>
    <s v="PLAN(GFFO),MHF13490"/>
    <x v="0"/>
    <x v="0"/>
    <x v="1"/>
    <x v="43"/>
    <n v="43"/>
    <n v="219"/>
    <s v="5-1-2019,10-1-2019"/>
    <s v="9-30-2020,7-31-2020"/>
    <m/>
    <m/>
    <m/>
    <m/>
    <s v="Yes"/>
    <m/>
    <n v="4"/>
    <n v="0"/>
    <m/>
    <m/>
    <n v="2"/>
    <m/>
    <m/>
    <m/>
    <m/>
    <m/>
    <m/>
    <m/>
    <m/>
    <m/>
    <m/>
    <n v="3"/>
    <m/>
    <m/>
    <m/>
    <m/>
    <m/>
    <m/>
    <m/>
    <n v="13"/>
    <m/>
    <m/>
    <m/>
    <m/>
    <m/>
    <m/>
    <n v="13"/>
    <x v="1"/>
    <x v="1"/>
    <m/>
    <m/>
    <m/>
    <m/>
    <m/>
    <m/>
    <n v="2"/>
    <m/>
    <m/>
    <n v="3"/>
    <m/>
    <m/>
    <n v="1"/>
    <m/>
    <m/>
    <m/>
    <m/>
    <m/>
    <m/>
    <m/>
    <m/>
    <m/>
    <m/>
    <m/>
    <m/>
    <m/>
    <s v="no test"/>
    <s v="no test"/>
    <s v="No Test"/>
    <n v="0"/>
    <n v="2"/>
    <n v="0"/>
    <n v="0"/>
    <n v="0"/>
    <n v="0"/>
    <n v="1"/>
    <n v="1"/>
    <n v="1"/>
    <n v="219"/>
    <n v="0"/>
    <n v="0"/>
    <n v="1"/>
    <n v="219"/>
    <n v="0.438"/>
    <n v="0"/>
    <n v="0"/>
    <n v="0.56200000000000006"/>
    <n v="1"/>
    <n v="13"/>
    <n v="1"/>
    <n v="219"/>
    <n v="0"/>
    <n v="0"/>
    <n v="0"/>
    <n v="0"/>
    <n v="11"/>
    <n v="0"/>
    <n v="0"/>
    <n v="0"/>
    <n v="219"/>
    <n v="0"/>
    <n v="0"/>
    <n v="0"/>
    <n v="219"/>
    <n v="1"/>
    <n v="0"/>
    <n v="1"/>
    <n v="0"/>
    <n v="0"/>
    <n v="2"/>
    <n v="40"/>
    <n v="0"/>
    <n v="200"/>
    <s v="No"/>
    <s v=""/>
    <n v="0"/>
    <n v="0"/>
    <s v="Yes"/>
    <s v="KBC-MYT"/>
    <x v="0"/>
    <x v="1"/>
    <x v="1"/>
    <n v="25.437125999999999"/>
    <n v="97.387276"/>
    <s v="MMR001CMP005"/>
    <x v="0"/>
    <s v="cccm_2019OCT"/>
  </r>
  <r>
    <x v="1"/>
    <x v="0"/>
    <x v="0"/>
    <m/>
    <x v="0"/>
    <x v="0"/>
    <x v="1"/>
    <x v="44"/>
    <n v="18"/>
    <n v="87"/>
    <m/>
    <m/>
    <m/>
    <m/>
    <m/>
    <m/>
    <s v="Yes"/>
    <m/>
    <n v="3"/>
    <n v="0"/>
    <m/>
    <m/>
    <n v="0"/>
    <m/>
    <m/>
    <m/>
    <n v="1"/>
    <m/>
    <m/>
    <m/>
    <m/>
    <m/>
    <m/>
    <n v="0"/>
    <m/>
    <m/>
    <m/>
    <m/>
    <m/>
    <m/>
    <m/>
    <n v="10"/>
    <m/>
    <m/>
    <m/>
    <m/>
    <m/>
    <m/>
    <n v="10"/>
    <x v="1"/>
    <x v="1"/>
    <m/>
    <m/>
    <m/>
    <m/>
    <m/>
    <m/>
    <n v="2"/>
    <m/>
    <m/>
    <n v="0"/>
    <m/>
    <m/>
    <m/>
    <m/>
    <m/>
    <m/>
    <m/>
    <m/>
    <m/>
    <m/>
    <m/>
    <m/>
    <m/>
    <m/>
    <m/>
    <m/>
    <s v="no test"/>
    <s v="no test"/>
    <s v="No Test"/>
    <n v="0"/>
    <n v="0"/>
    <n v="1"/>
    <n v="0"/>
    <n v="0"/>
    <n v="0"/>
    <n v="0.76628352490421459"/>
    <n v="0.76628352490421459"/>
    <n v="0.76628352490421459"/>
    <n v="66.666666666666671"/>
    <n v="0"/>
    <n v="0"/>
    <n v="0.76628352490421459"/>
    <n v="66.666666666666671"/>
    <n v="0.13333333333333333"/>
    <n v="0.23371647509578541"/>
    <n v="20.333333333333332"/>
    <n v="0.8666666666666667"/>
    <n v="1"/>
    <n v="10"/>
    <n v="1"/>
    <n v="87"/>
    <n v="0"/>
    <n v="0"/>
    <n v="0"/>
    <n v="0"/>
    <n v="4"/>
    <n v="0"/>
    <n v="0"/>
    <n v="0"/>
    <n v="0"/>
    <n v="0"/>
    <n v="0"/>
    <n v="0"/>
    <n v="0"/>
    <n v="0"/>
    <n v="1"/>
    <n v="0"/>
    <n v="0"/>
    <n v="0"/>
    <n v="2"/>
    <n v="18"/>
    <n v="0"/>
    <n v="87"/>
    <s v="No"/>
    <s v=""/>
    <n v="0"/>
    <n v="0"/>
    <n v="0"/>
    <s v="uncovered"/>
    <x v="0"/>
    <x v="0"/>
    <x v="1"/>
    <n v="0"/>
    <n v="0"/>
    <s v="MMR001CMP267"/>
    <x v="0"/>
    <s v="cccm_2019OCT"/>
  </r>
  <r>
    <x v="1"/>
    <x v="0"/>
    <x v="0"/>
    <s v="PLAN(GFFO),MHF13490"/>
    <x v="0"/>
    <x v="0"/>
    <x v="1"/>
    <x v="45"/>
    <n v="169"/>
    <n v="724"/>
    <s v="5-1-2019,10-1-2019"/>
    <s v="9-30-2020,7-31-2020"/>
    <m/>
    <m/>
    <m/>
    <m/>
    <s v="Yes"/>
    <m/>
    <n v="3"/>
    <n v="1"/>
    <m/>
    <m/>
    <n v="1"/>
    <m/>
    <m/>
    <m/>
    <m/>
    <m/>
    <m/>
    <n v="10200"/>
    <m/>
    <m/>
    <m/>
    <n v="4"/>
    <m/>
    <m/>
    <m/>
    <m/>
    <m/>
    <m/>
    <m/>
    <n v="28"/>
    <m/>
    <m/>
    <m/>
    <m/>
    <m/>
    <m/>
    <n v="10"/>
    <x v="1"/>
    <x v="1"/>
    <m/>
    <m/>
    <m/>
    <m/>
    <m/>
    <m/>
    <n v="2"/>
    <m/>
    <m/>
    <n v="0"/>
    <m/>
    <m/>
    <n v="2"/>
    <m/>
    <m/>
    <m/>
    <m/>
    <m/>
    <m/>
    <m/>
    <m/>
    <m/>
    <m/>
    <m/>
    <m/>
    <m/>
    <s v="no test"/>
    <s v="no test"/>
    <s v="No Test"/>
    <n v="1"/>
    <n v="1"/>
    <n v="0"/>
    <n v="7.5555555555555554"/>
    <n v="0"/>
    <n v="0"/>
    <n v="1"/>
    <n v="0.70104358502148556"/>
    <n v="1"/>
    <n v="724"/>
    <n v="0"/>
    <n v="0"/>
    <n v="1"/>
    <n v="724"/>
    <n v="1.448"/>
    <n v="0"/>
    <n v="0"/>
    <n v="0"/>
    <n v="1"/>
    <n v="28"/>
    <n v="0.77348066298342544"/>
    <n v="560"/>
    <n v="0"/>
    <n v="0"/>
    <n v="0"/>
    <n v="0"/>
    <n v="36"/>
    <n v="8"/>
    <n v="0.22651933701657456"/>
    <n v="0"/>
    <n v="724"/>
    <n v="0"/>
    <n v="0"/>
    <n v="0"/>
    <n v="724"/>
    <n v="1"/>
    <n v="0"/>
    <n v="1"/>
    <n v="0"/>
    <n v="0"/>
    <n v="2"/>
    <n v="40"/>
    <n v="0"/>
    <n v="200"/>
    <s v="No"/>
    <s v=""/>
    <n v="0"/>
    <n v="0"/>
    <s v="Yes"/>
    <s v="KBC-MYT"/>
    <x v="0"/>
    <x v="1"/>
    <x v="1"/>
    <n v="25.480989999999998"/>
    <n v="97.431079999999994"/>
    <s v="MMR001CMP263"/>
    <x v="0"/>
    <s v="cccm_2019OCT"/>
  </r>
  <r>
    <x v="1"/>
    <x v="2"/>
    <x v="2"/>
    <s v="WHH-AA, USAID"/>
    <x v="0"/>
    <x v="2"/>
    <x v="0"/>
    <x v="121"/>
    <n v="134"/>
    <n v="709"/>
    <s v="10-1-2018, 9-30-2019"/>
    <s v="9-30-2020, 8-31-2020"/>
    <m/>
    <m/>
    <m/>
    <m/>
    <m/>
    <m/>
    <m/>
    <m/>
    <m/>
    <m/>
    <m/>
    <m/>
    <m/>
    <m/>
    <m/>
    <m/>
    <m/>
    <m/>
    <m/>
    <m/>
    <m/>
    <m/>
    <m/>
    <m/>
    <m/>
    <m/>
    <m/>
    <m/>
    <m/>
    <m/>
    <m/>
    <m/>
    <m/>
    <m/>
    <m/>
    <m/>
    <m/>
    <x v="1"/>
    <x v="2"/>
    <m/>
    <m/>
    <m/>
    <m/>
    <m/>
    <m/>
    <m/>
    <m/>
    <m/>
    <m/>
    <m/>
    <m/>
    <m/>
    <m/>
    <m/>
    <m/>
    <m/>
    <m/>
    <m/>
    <n v="1"/>
    <n v="1"/>
    <m/>
    <m/>
    <m/>
    <m/>
    <m/>
    <s v="no test"/>
    <s v="no test"/>
    <s v="No Test"/>
    <n v="0"/>
    <n v="0"/>
    <n v="0"/>
    <n v="0"/>
    <n v="0"/>
    <n v="0"/>
    <n v="0"/>
    <n v="0"/>
    <n v="0"/>
    <n v="0"/>
    <n v="0"/>
    <n v="0"/>
    <n v="0"/>
    <n v="0"/>
    <n v="0"/>
    <n v="1"/>
    <n v="709"/>
    <n v="1"/>
    <n v="1"/>
    <n v="0"/>
    <n v="0"/>
    <n v="0"/>
    <n v="0"/>
    <n v="0"/>
    <n v="0"/>
    <n v="0"/>
    <n v="35"/>
    <n v="35"/>
    <n v="1"/>
    <n v="0"/>
    <n v="0"/>
    <n v="0"/>
    <n v="0"/>
    <n v="0"/>
    <n v="0"/>
    <n v="0"/>
    <n v="1"/>
    <n v="0"/>
    <n v="0"/>
    <n v="0"/>
    <n v="0"/>
    <n v="0"/>
    <n v="0"/>
    <n v="0"/>
    <s v="No"/>
    <s v=""/>
    <n v="0"/>
    <n v="0"/>
    <n v="0"/>
    <n v="0"/>
    <x v="0"/>
    <x v="1"/>
    <x v="0"/>
    <n v="0"/>
    <n v="0"/>
    <n v="0"/>
    <x v="0"/>
    <n v="0"/>
  </r>
  <r>
    <x v="1"/>
    <x v="2"/>
    <x v="2"/>
    <s v="WHH-AA, USAID"/>
    <x v="0"/>
    <x v="2"/>
    <x v="0"/>
    <x v="122"/>
    <n v="546"/>
    <n v="2550"/>
    <s v="10-1-2018, 9-30-2019"/>
    <s v="9-30-2020, 8-31-2020"/>
    <m/>
    <m/>
    <m/>
    <m/>
    <m/>
    <m/>
    <m/>
    <m/>
    <m/>
    <m/>
    <m/>
    <m/>
    <m/>
    <m/>
    <m/>
    <m/>
    <m/>
    <m/>
    <m/>
    <m/>
    <m/>
    <m/>
    <m/>
    <m/>
    <m/>
    <m/>
    <m/>
    <m/>
    <m/>
    <m/>
    <m/>
    <m/>
    <m/>
    <m/>
    <m/>
    <m/>
    <m/>
    <x v="2"/>
    <x v="4"/>
    <m/>
    <m/>
    <m/>
    <m/>
    <m/>
    <m/>
    <m/>
    <m/>
    <m/>
    <m/>
    <m/>
    <m/>
    <m/>
    <m/>
    <m/>
    <m/>
    <m/>
    <m/>
    <m/>
    <m/>
    <m/>
    <m/>
    <m/>
    <m/>
    <m/>
    <m/>
    <s v="no test"/>
    <s v="no test"/>
    <s v="No Test"/>
    <n v="0"/>
    <n v="0"/>
    <n v="0"/>
    <n v="0"/>
    <n v="0"/>
    <n v="0"/>
    <n v="0"/>
    <n v="0"/>
    <n v="0"/>
    <n v="0"/>
    <n v="0"/>
    <n v="0"/>
    <n v="0"/>
    <n v="0"/>
    <n v="0"/>
    <n v="1"/>
    <n v="2550"/>
    <n v="5"/>
    <n v="5"/>
    <n v="0"/>
    <n v="0"/>
    <n v="0"/>
    <n v="0"/>
    <n v="0"/>
    <n v="0"/>
    <n v="0"/>
    <n v="128"/>
    <n v="128"/>
    <n v="1"/>
    <n v="0"/>
    <n v="0"/>
    <n v="0"/>
    <n v="0"/>
    <n v="0"/>
    <n v="0"/>
    <n v="0"/>
    <n v="1"/>
    <n v="0"/>
    <n v="0"/>
    <n v="0"/>
    <n v="0"/>
    <n v="0"/>
    <n v="0"/>
    <n v="0"/>
    <s v="No"/>
    <s v=""/>
    <n v="0"/>
    <n v="0"/>
    <n v="0"/>
    <n v="0"/>
    <x v="0"/>
    <x v="4"/>
    <x v="0"/>
    <n v="0"/>
    <n v="0"/>
    <n v="0"/>
    <x v="0"/>
    <n v="0"/>
  </r>
  <r>
    <x v="1"/>
    <x v="5"/>
    <x v="5"/>
    <s v="DFID"/>
    <x v="0"/>
    <x v="3"/>
    <x v="1"/>
    <x v="180"/>
    <n v="32"/>
    <n v="172"/>
    <d v="2018-08-01T00:00:00"/>
    <d v="2020-07-31T00:00:00"/>
    <m/>
    <n v="1"/>
    <m/>
    <m/>
    <s v="Yes"/>
    <n v="4"/>
    <n v="1"/>
    <n v="0"/>
    <m/>
    <m/>
    <n v="0"/>
    <n v="0"/>
    <m/>
    <m/>
    <n v="1"/>
    <m/>
    <m/>
    <n v="0"/>
    <n v="1"/>
    <m/>
    <n v="0"/>
    <n v="1"/>
    <m/>
    <m/>
    <m/>
    <m/>
    <n v="0"/>
    <n v="0"/>
    <m/>
    <n v="11"/>
    <n v="1"/>
    <s v="Shalom"/>
    <m/>
    <m/>
    <m/>
    <m/>
    <n v="0"/>
    <x v="1"/>
    <x v="4"/>
    <n v="0"/>
    <n v="0"/>
    <n v="0"/>
    <m/>
    <m/>
    <m/>
    <n v="2"/>
    <m/>
    <m/>
    <n v="3"/>
    <m/>
    <n v="1"/>
    <n v="0"/>
    <m/>
    <m/>
    <m/>
    <m/>
    <m/>
    <m/>
    <m/>
    <m/>
    <m/>
    <m/>
    <m/>
    <m/>
    <m/>
    <s v="no test"/>
    <s v="no test"/>
    <s v="No Test"/>
    <n v="0"/>
    <n v="0"/>
    <n v="1"/>
    <n v="0"/>
    <n v="0"/>
    <n v="0"/>
    <n v="0.38759689922480622"/>
    <n v="0.38759689922480622"/>
    <n v="0.38759689922480622"/>
    <n v="66.666666666666671"/>
    <n v="1"/>
    <n v="172"/>
    <n v="1"/>
    <n v="172"/>
    <n v="0.34399999999999997"/>
    <n v="0"/>
    <n v="0"/>
    <n v="0.65600000000000003"/>
    <n v="1"/>
    <n v="12"/>
    <n v="1"/>
    <n v="172"/>
    <n v="0"/>
    <n v="0"/>
    <n v="0"/>
    <n v="0"/>
    <n v="9"/>
    <n v="0"/>
    <n v="0"/>
    <n v="0"/>
    <n v="172"/>
    <n v="0"/>
    <n v="0"/>
    <n v="0"/>
    <n v="172"/>
    <n v="1"/>
    <n v="0"/>
    <n v="1"/>
    <n v="0"/>
    <n v="0"/>
    <n v="2"/>
    <n v="32"/>
    <n v="0"/>
    <n v="172"/>
    <s v="No"/>
    <s v=""/>
    <n v="0"/>
    <n v="0"/>
    <s v="Yes"/>
    <s v="KBC-MYT"/>
    <x v="0"/>
    <x v="1"/>
    <x v="1"/>
    <n v="25.577559999999998"/>
    <n v="96.286680000000004"/>
    <s v="MMR001CMP184"/>
    <x v="0"/>
    <s v="cccm_2019OCT"/>
  </r>
  <r>
    <x v="1"/>
    <x v="5"/>
    <x v="5"/>
    <s v="DFID"/>
    <x v="0"/>
    <x v="3"/>
    <x v="1"/>
    <x v="181"/>
    <n v="15"/>
    <n v="67"/>
    <d v="2018-08-01T00:00:00"/>
    <d v="2020-07-31T00:00:00"/>
    <m/>
    <n v="1"/>
    <m/>
    <m/>
    <s v="Yes"/>
    <n v="2"/>
    <n v="2"/>
    <n v="0"/>
    <m/>
    <m/>
    <n v="0"/>
    <n v="0"/>
    <m/>
    <m/>
    <n v="0"/>
    <m/>
    <m/>
    <n v="0"/>
    <n v="0"/>
    <n v="0"/>
    <n v="0"/>
    <n v="0"/>
    <m/>
    <m/>
    <m/>
    <m/>
    <n v="0"/>
    <n v="0"/>
    <m/>
    <n v="4"/>
    <n v="1"/>
    <s v="Shalom &amp; Chruch"/>
    <m/>
    <m/>
    <m/>
    <m/>
    <n v="0"/>
    <x v="1"/>
    <x v="4"/>
    <n v="0"/>
    <n v="0"/>
    <n v="0"/>
    <m/>
    <m/>
    <m/>
    <n v="0"/>
    <m/>
    <n v="0"/>
    <n v="2"/>
    <m/>
    <n v="2"/>
    <n v="0"/>
    <m/>
    <m/>
    <m/>
    <m/>
    <m/>
    <m/>
    <m/>
    <m/>
    <m/>
    <m/>
    <m/>
    <m/>
    <m/>
    <s v="no test"/>
    <s v="no test"/>
    <s v="No Test"/>
    <n v="0"/>
    <n v="0"/>
    <n v="0"/>
    <n v="0"/>
    <n v="0"/>
    <n v="0"/>
    <n v="0"/>
    <n v="0"/>
    <n v="0"/>
    <n v="0"/>
    <n v="0"/>
    <n v="0"/>
    <n v="0"/>
    <n v="0"/>
    <n v="0"/>
    <n v="1"/>
    <n v="67"/>
    <n v="1"/>
    <n v="1"/>
    <n v="5"/>
    <n v="1"/>
    <n v="67"/>
    <n v="0"/>
    <n v="0"/>
    <n v="0"/>
    <n v="0"/>
    <n v="3"/>
    <n v="0"/>
    <n v="0"/>
    <n v="0"/>
    <n v="67"/>
    <n v="0"/>
    <n v="0"/>
    <n v="0"/>
    <n v="67"/>
    <n v="1"/>
    <n v="0"/>
    <n v="1"/>
    <n v="0"/>
    <n v="0"/>
    <n v="0"/>
    <n v="0"/>
    <n v="0"/>
    <n v="0"/>
    <s v="No"/>
    <s v=""/>
    <n v="0"/>
    <n v="0"/>
    <s v="Yes"/>
    <s v="KBC-MYT"/>
    <x v="0"/>
    <x v="1"/>
    <x v="1"/>
    <n v="25.599250000000001"/>
    <n v="96.306910999999999"/>
    <s v="MMR001CMP105"/>
    <x v="0"/>
    <s v="cccm_2019OCT"/>
  </r>
  <r>
    <x v="1"/>
    <x v="6"/>
    <x v="6"/>
    <s v="MHF, OFDA,ECHO"/>
    <x v="0"/>
    <x v="10"/>
    <x v="0"/>
    <x v="182"/>
    <n v="26.2"/>
    <n v="131"/>
    <d v="2020-01-03T00:00:00"/>
    <d v="2021-06-30T00:00:00"/>
    <n v="159"/>
    <m/>
    <m/>
    <n v="30"/>
    <s v="Yes"/>
    <n v="0"/>
    <n v="0"/>
    <n v="0"/>
    <m/>
    <m/>
    <n v="0"/>
    <n v="0"/>
    <m/>
    <m/>
    <m/>
    <m/>
    <m/>
    <n v="0"/>
    <n v="0"/>
    <n v="0"/>
    <m/>
    <n v="0"/>
    <m/>
    <m/>
    <m/>
    <m/>
    <n v="0"/>
    <n v="0"/>
    <m/>
    <n v="0"/>
    <n v="0"/>
    <m/>
    <m/>
    <m/>
    <m/>
    <m/>
    <n v="0"/>
    <x v="1"/>
    <x v="1"/>
    <n v="0"/>
    <n v="0"/>
    <m/>
    <m/>
    <n v="0"/>
    <s v="Gaps in drainage/ Infrastructure rehabiliation "/>
    <n v="2"/>
    <m/>
    <n v="0"/>
    <m/>
    <m/>
    <n v="0"/>
    <m/>
    <m/>
    <m/>
    <m/>
    <m/>
    <m/>
    <m/>
    <m/>
    <m/>
    <m/>
    <m/>
    <m/>
    <m/>
    <m/>
    <s v="no test"/>
    <s v="no test"/>
    <s v="No Test"/>
    <n v="0"/>
    <n v="0"/>
    <n v="0"/>
    <n v="0"/>
    <n v="0"/>
    <n v="0"/>
    <n v="0"/>
    <n v="0"/>
    <n v="0"/>
    <n v="0"/>
    <n v="0"/>
    <n v="0"/>
    <n v="0"/>
    <n v="0"/>
    <n v="0"/>
    <n v="1"/>
    <n v="131"/>
    <n v="1"/>
    <n v="1"/>
    <n v="0"/>
    <n v="0"/>
    <n v="0"/>
    <n v="0"/>
    <n v="0"/>
    <n v="0"/>
    <n v="0"/>
    <n v="7"/>
    <n v="7"/>
    <n v="1"/>
    <n v="0"/>
    <n v="0"/>
    <n v="0"/>
    <n v="0"/>
    <n v="0"/>
    <n v="0"/>
    <n v="0"/>
    <n v="1"/>
    <n v="0"/>
    <n v="0"/>
    <n v="0"/>
    <n v="2"/>
    <n v="26.2"/>
    <n v="0"/>
    <n v="131"/>
    <s v="Yes"/>
    <s v=""/>
    <n v="0"/>
    <n v="0"/>
    <n v="0"/>
    <n v="0"/>
    <x v="0"/>
    <x v="2"/>
    <x v="1"/>
    <n v="0"/>
    <n v="0"/>
    <n v="0"/>
    <x v="0"/>
    <e v="#N/A"/>
  </r>
  <r>
    <x v="1"/>
    <x v="6"/>
    <x v="6"/>
    <s v="MHF, OFDA,ECHO"/>
    <x v="0"/>
    <x v="10"/>
    <x v="0"/>
    <x v="183"/>
    <n v="23"/>
    <n v="167"/>
    <d v="2020-01-03T00:00:00"/>
    <d v="2021-06-30T00:00:00"/>
    <m/>
    <n v="0"/>
    <n v="1"/>
    <n v="30"/>
    <s v="Yes"/>
    <n v="0"/>
    <n v="0"/>
    <n v="0"/>
    <m/>
    <m/>
    <n v="1"/>
    <n v="0"/>
    <m/>
    <m/>
    <m/>
    <m/>
    <m/>
    <m/>
    <m/>
    <m/>
    <n v="1"/>
    <m/>
    <n v="1"/>
    <n v="1"/>
    <n v="12"/>
    <n v="11"/>
    <n v="3"/>
    <m/>
    <m/>
    <n v="13"/>
    <m/>
    <m/>
    <m/>
    <m/>
    <n v="9"/>
    <n v="1000"/>
    <m/>
    <x v="1"/>
    <x v="1"/>
    <n v="0"/>
    <n v="0"/>
    <m/>
    <m/>
    <n v="1"/>
    <s v="Gaps in drainage/ Infrastructure rehabiliation "/>
    <n v="3"/>
    <m/>
    <m/>
    <n v="2"/>
    <m/>
    <n v="0"/>
    <n v="1"/>
    <m/>
    <m/>
    <m/>
    <m/>
    <m/>
    <m/>
    <m/>
    <m/>
    <m/>
    <m/>
    <m/>
    <m/>
    <m/>
    <n v="1"/>
    <n v="0.91666666666666663"/>
    <s v="Tested"/>
    <n v="0"/>
    <n v="1"/>
    <n v="0"/>
    <n v="0"/>
    <n v="0"/>
    <n v="0"/>
    <n v="1"/>
    <n v="1"/>
    <n v="1"/>
    <n v="167"/>
    <n v="0"/>
    <n v="0"/>
    <n v="1"/>
    <n v="167"/>
    <n v="0.33400000000000002"/>
    <n v="0"/>
    <n v="0"/>
    <n v="0.66599999999999993"/>
    <n v="1"/>
    <n v="13"/>
    <n v="1"/>
    <n v="167"/>
    <n v="167"/>
    <n v="0"/>
    <n v="0"/>
    <n v="0"/>
    <n v="8"/>
    <n v="0"/>
    <n v="0"/>
    <n v="0"/>
    <n v="167"/>
    <n v="0"/>
    <n v="0"/>
    <n v="0"/>
    <n v="167"/>
    <n v="1"/>
    <n v="0"/>
    <n v="1"/>
    <n v="0"/>
    <n v="0"/>
    <n v="3"/>
    <n v="23"/>
    <n v="0"/>
    <n v="167"/>
    <s v="No"/>
    <s v=""/>
    <n v="0"/>
    <n v="0"/>
    <n v="0"/>
    <n v="0"/>
    <x v="0"/>
    <x v="1"/>
    <x v="1"/>
    <n v="0"/>
    <n v="0"/>
    <n v="0"/>
    <x v="0"/>
    <n v="0"/>
  </r>
  <r>
    <x v="1"/>
    <x v="6"/>
    <x v="6"/>
    <s v="MHF, OFDA,ECHO"/>
    <x v="0"/>
    <x v="10"/>
    <x v="1"/>
    <x v="184"/>
    <n v="183"/>
    <n v="723"/>
    <d v="2020-01-03T00:00:00"/>
    <d v="2021-06-30T00:00:00"/>
    <m/>
    <m/>
    <n v="2"/>
    <n v="30"/>
    <s v="Yes"/>
    <n v="11"/>
    <n v="9"/>
    <n v="2"/>
    <m/>
    <m/>
    <n v="5"/>
    <n v="0"/>
    <m/>
    <m/>
    <m/>
    <m/>
    <m/>
    <n v="0"/>
    <m/>
    <m/>
    <n v="2"/>
    <m/>
    <n v="3"/>
    <n v="3"/>
    <n v="15"/>
    <n v="15"/>
    <n v="6"/>
    <m/>
    <m/>
    <n v="38"/>
    <m/>
    <m/>
    <m/>
    <m/>
    <n v="19"/>
    <n v="6160"/>
    <m/>
    <x v="1"/>
    <x v="1"/>
    <n v="0"/>
    <n v="0"/>
    <m/>
    <m/>
    <m/>
    <s v="Gaps in drainage/ Infrastructure rehabiliation "/>
    <n v="6"/>
    <m/>
    <m/>
    <n v="2"/>
    <m/>
    <n v="0"/>
    <n v="2"/>
    <m/>
    <m/>
    <m/>
    <m/>
    <m/>
    <m/>
    <m/>
    <m/>
    <m/>
    <m/>
    <m/>
    <m/>
    <m/>
    <n v="1"/>
    <n v="1"/>
    <s v="Tested"/>
    <n v="2"/>
    <n v="5"/>
    <n v="0"/>
    <n v="0"/>
    <n v="0"/>
    <n v="0"/>
    <n v="1"/>
    <n v="1"/>
    <n v="1"/>
    <n v="723"/>
    <n v="0"/>
    <n v="0"/>
    <n v="1"/>
    <n v="723"/>
    <n v="1.446"/>
    <n v="0"/>
    <n v="0"/>
    <n v="0"/>
    <n v="1"/>
    <n v="38"/>
    <n v="1"/>
    <n v="723"/>
    <n v="380"/>
    <n v="0"/>
    <n v="0"/>
    <n v="0"/>
    <n v="36"/>
    <n v="0"/>
    <n v="0"/>
    <n v="0"/>
    <n v="723"/>
    <n v="0"/>
    <n v="0"/>
    <n v="0"/>
    <n v="723"/>
    <n v="1"/>
    <n v="0"/>
    <n v="1"/>
    <n v="0"/>
    <n v="0"/>
    <n v="6"/>
    <n v="120"/>
    <n v="0"/>
    <n v="600"/>
    <s v="No"/>
    <s v=""/>
    <n v="0"/>
    <n v="0"/>
    <s v="Yes"/>
    <s v="KMSS-BMO"/>
    <x v="0"/>
    <x v="1"/>
    <x v="1"/>
    <n v="24.260719999999999"/>
    <n v="97.238829999999993"/>
    <s v="MMR001CMP050"/>
    <x v="0"/>
    <s v="cccm_2019OCT"/>
  </r>
  <r>
    <x v="1"/>
    <x v="6"/>
    <x v="6"/>
    <s v="MHF, OFDA,ECHO"/>
    <x v="0"/>
    <x v="7"/>
    <x v="0"/>
    <x v="185"/>
    <n v="24"/>
    <n v="120"/>
    <d v="2020-01-03T00:00:00"/>
    <d v="2021-06-30T00:00:00"/>
    <m/>
    <m/>
    <n v="1"/>
    <n v="30"/>
    <s v="Yes"/>
    <n v="5"/>
    <n v="6"/>
    <m/>
    <m/>
    <m/>
    <n v="2"/>
    <m/>
    <m/>
    <m/>
    <m/>
    <m/>
    <m/>
    <m/>
    <m/>
    <m/>
    <n v="1"/>
    <m/>
    <n v="1"/>
    <n v="1"/>
    <n v="2"/>
    <n v="2"/>
    <n v="5"/>
    <m/>
    <m/>
    <n v="1"/>
    <m/>
    <m/>
    <m/>
    <m/>
    <n v="4"/>
    <n v="500"/>
    <m/>
    <x v="1"/>
    <x v="1"/>
    <m/>
    <m/>
    <m/>
    <m/>
    <m/>
    <s v="Gaps in drainage/ Infrastructure rehabiliation "/>
    <n v="5"/>
    <m/>
    <m/>
    <n v="2"/>
    <m/>
    <m/>
    <n v="1"/>
    <m/>
    <m/>
    <m/>
    <m/>
    <m/>
    <m/>
    <m/>
    <m/>
    <m/>
    <m/>
    <m/>
    <m/>
    <m/>
    <n v="1"/>
    <n v="1"/>
    <s v="Tested"/>
    <n v="0"/>
    <n v="2"/>
    <n v="0"/>
    <n v="0"/>
    <n v="0"/>
    <n v="0"/>
    <n v="1"/>
    <n v="1"/>
    <n v="1"/>
    <n v="120"/>
    <n v="0"/>
    <n v="0"/>
    <n v="1"/>
    <n v="120"/>
    <n v="0.24"/>
    <n v="0"/>
    <n v="0"/>
    <n v="0.76"/>
    <n v="1"/>
    <n v="1"/>
    <n v="0.16666666666666666"/>
    <n v="20"/>
    <n v="80"/>
    <n v="0"/>
    <n v="0"/>
    <n v="0"/>
    <n v="6"/>
    <n v="5"/>
    <n v="0.83333333333333337"/>
    <n v="0"/>
    <n v="120"/>
    <n v="0"/>
    <n v="0"/>
    <n v="0"/>
    <n v="120"/>
    <n v="1"/>
    <n v="0"/>
    <n v="1"/>
    <n v="0"/>
    <n v="0"/>
    <n v="5"/>
    <n v="24"/>
    <n v="0"/>
    <n v="120"/>
    <s v="No"/>
    <s v=""/>
    <n v="0"/>
    <n v="0"/>
    <n v="0"/>
    <n v="0"/>
    <x v="0"/>
    <x v="1"/>
    <x v="1"/>
    <n v="0"/>
    <n v="0"/>
    <n v="0"/>
    <x v="0"/>
    <n v="0"/>
  </r>
  <r>
    <x v="1"/>
    <x v="6"/>
    <x v="6"/>
    <s v="MHF, OFDA,ECHO"/>
    <x v="0"/>
    <x v="7"/>
    <x v="1"/>
    <x v="186"/>
    <n v="33"/>
    <n v="209"/>
    <d v="2020-01-03T00:00:00"/>
    <d v="2021-06-30T00:00:00"/>
    <m/>
    <n v="0"/>
    <n v="1"/>
    <n v="30"/>
    <s v="Yes"/>
    <n v="5"/>
    <n v="8"/>
    <n v="1"/>
    <m/>
    <m/>
    <n v="0"/>
    <n v="0"/>
    <m/>
    <m/>
    <m/>
    <m/>
    <m/>
    <m/>
    <m/>
    <m/>
    <n v="1"/>
    <m/>
    <n v="1"/>
    <n v="1"/>
    <n v="2"/>
    <n v="2"/>
    <n v="5"/>
    <m/>
    <m/>
    <n v="9"/>
    <m/>
    <m/>
    <m/>
    <m/>
    <n v="4"/>
    <n v="1480"/>
    <m/>
    <x v="1"/>
    <x v="1"/>
    <n v="0"/>
    <n v="0"/>
    <m/>
    <m/>
    <m/>
    <s v="Gaps in drainage/ Infrastructure rehabiliation "/>
    <n v="5"/>
    <m/>
    <m/>
    <n v="1"/>
    <m/>
    <n v="0"/>
    <n v="1"/>
    <m/>
    <m/>
    <m/>
    <m/>
    <m/>
    <m/>
    <m/>
    <m/>
    <m/>
    <m/>
    <m/>
    <m/>
    <m/>
    <n v="1"/>
    <n v="1"/>
    <s v="Tested"/>
    <n v="1"/>
    <n v="0"/>
    <n v="0"/>
    <n v="0"/>
    <n v="0"/>
    <n v="0"/>
    <n v="1"/>
    <n v="1"/>
    <n v="1"/>
    <n v="209"/>
    <n v="0"/>
    <n v="0"/>
    <n v="1"/>
    <n v="209"/>
    <n v="0.41799999999999998"/>
    <n v="0"/>
    <n v="0"/>
    <n v="0.58200000000000007"/>
    <n v="1"/>
    <n v="9"/>
    <n v="0.86124401913875603"/>
    <n v="180"/>
    <n v="80"/>
    <n v="0"/>
    <n v="0"/>
    <n v="0"/>
    <n v="10"/>
    <n v="1"/>
    <n v="0.13875598086124397"/>
    <n v="0"/>
    <n v="209"/>
    <n v="0"/>
    <n v="0"/>
    <n v="0"/>
    <n v="209"/>
    <n v="1"/>
    <n v="0"/>
    <n v="1"/>
    <n v="0"/>
    <n v="0"/>
    <n v="5"/>
    <n v="33"/>
    <n v="0"/>
    <n v="209"/>
    <s v="No"/>
    <s v=""/>
    <n v="0"/>
    <n v="0"/>
    <s v="Yes"/>
    <s v="KBC-BMO"/>
    <x v="0"/>
    <x v="1"/>
    <x v="1"/>
    <n v="24.200972"/>
    <n v="97.718582999999995"/>
    <s v="MMR001CMP071"/>
    <x v="0"/>
    <s v="cccm_2019OCT"/>
  </r>
  <r>
    <x v="1"/>
    <x v="6"/>
    <x v="6"/>
    <s v="MHF, OFDA,ECHO"/>
    <x v="0"/>
    <x v="7"/>
    <x v="1"/>
    <x v="187"/>
    <n v="38"/>
    <n v="291"/>
    <d v="2020-01-03T00:00:00"/>
    <d v="2021-06-30T00:00:00"/>
    <m/>
    <m/>
    <n v="1"/>
    <n v="30"/>
    <s v="Yes"/>
    <n v="6"/>
    <n v="7"/>
    <n v="0"/>
    <m/>
    <m/>
    <n v="1"/>
    <n v="0"/>
    <m/>
    <m/>
    <m/>
    <m/>
    <m/>
    <m/>
    <m/>
    <m/>
    <n v="1"/>
    <m/>
    <n v="1"/>
    <n v="1"/>
    <n v="2"/>
    <n v="2"/>
    <m/>
    <m/>
    <m/>
    <n v="18"/>
    <m/>
    <m/>
    <m/>
    <m/>
    <n v="4"/>
    <n v="571"/>
    <m/>
    <x v="1"/>
    <x v="1"/>
    <n v="0"/>
    <n v="0"/>
    <m/>
    <m/>
    <m/>
    <s v="Gaps in drainage/ Infrastructure rehabiliation "/>
    <n v="5"/>
    <m/>
    <m/>
    <n v="1"/>
    <m/>
    <n v="0"/>
    <n v="1"/>
    <m/>
    <m/>
    <m/>
    <m/>
    <m/>
    <m/>
    <m/>
    <m/>
    <m/>
    <m/>
    <m/>
    <m/>
    <m/>
    <n v="1"/>
    <n v="1"/>
    <s v="Tested"/>
    <n v="0"/>
    <n v="1"/>
    <n v="0"/>
    <n v="0"/>
    <n v="0"/>
    <n v="0"/>
    <n v="1"/>
    <n v="0.85910652920962194"/>
    <n v="1"/>
    <n v="291"/>
    <n v="0"/>
    <n v="0"/>
    <n v="1"/>
    <n v="291"/>
    <n v="0.58199999999999996"/>
    <n v="0"/>
    <n v="0"/>
    <n v="0.41800000000000004"/>
    <n v="1"/>
    <n v="18"/>
    <n v="1"/>
    <n v="291"/>
    <n v="80"/>
    <n v="0"/>
    <n v="0"/>
    <n v="0"/>
    <n v="15"/>
    <n v="0"/>
    <n v="0"/>
    <n v="0"/>
    <n v="291"/>
    <n v="0"/>
    <n v="0"/>
    <n v="0"/>
    <n v="291"/>
    <n v="1"/>
    <n v="0"/>
    <n v="1"/>
    <n v="0"/>
    <n v="0"/>
    <n v="5"/>
    <n v="38"/>
    <n v="0"/>
    <n v="291"/>
    <s v="No"/>
    <s v=""/>
    <n v="0"/>
    <n v="0"/>
    <s v="Yes"/>
    <s v="KMSS-BMO"/>
    <x v="0"/>
    <x v="1"/>
    <x v="1"/>
    <n v="24.205417000000001"/>
    <n v="97.724566999999993"/>
    <s v="MMR001CMP069"/>
    <x v="0"/>
    <s v="cccm_2019OCT"/>
  </r>
  <r>
    <x v="1"/>
    <x v="6"/>
    <x v="6"/>
    <s v="MHF, OFDA,ECHO"/>
    <x v="0"/>
    <x v="7"/>
    <x v="1"/>
    <x v="188"/>
    <n v="219"/>
    <n v="1267"/>
    <d v="2020-01-03T00:00:00"/>
    <d v="2021-06-30T00:00:00"/>
    <m/>
    <n v="0"/>
    <n v="4"/>
    <n v="30"/>
    <s v="Yes"/>
    <n v="11"/>
    <n v="13"/>
    <n v="5"/>
    <m/>
    <m/>
    <n v="3"/>
    <n v="0"/>
    <m/>
    <m/>
    <m/>
    <m/>
    <m/>
    <m/>
    <m/>
    <m/>
    <n v="4"/>
    <m/>
    <n v="7"/>
    <n v="7"/>
    <n v="12"/>
    <n v="12"/>
    <n v="15"/>
    <m/>
    <m/>
    <n v="38"/>
    <n v="0"/>
    <m/>
    <m/>
    <m/>
    <n v="12"/>
    <n v="6000"/>
    <m/>
    <x v="1"/>
    <x v="1"/>
    <m/>
    <m/>
    <m/>
    <m/>
    <m/>
    <s v="Gaps in drainage/ Infrastructure rehabiliation "/>
    <n v="12"/>
    <m/>
    <m/>
    <n v="9"/>
    <m/>
    <m/>
    <n v="4"/>
    <m/>
    <m/>
    <m/>
    <m/>
    <m/>
    <m/>
    <m/>
    <m/>
    <m/>
    <m/>
    <m/>
    <m/>
    <m/>
    <n v="1"/>
    <n v="1"/>
    <s v="Tested"/>
    <n v="5"/>
    <n v="3"/>
    <n v="0"/>
    <n v="0"/>
    <n v="0"/>
    <n v="0"/>
    <n v="1"/>
    <n v="1"/>
    <n v="1"/>
    <n v="1267"/>
    <n v="0"/>
    <n v="0"/>
    <n v="1"/>
    <n v="1267"/>
    <n v="2.5339999999999998"/>
    <n v="0"/>
    <n v="0"/>
    <n v="0.46600000000000019"/>
    <n v="3"/>
    <n v="38"/>
    <n v="0.59984214680347281"/>
    <n v="760"/>
    <n v="240"/>
    <n v="0"/>
    <n v="0"/>
    <n v="0"/>
    <n v="63"/>
    <n v="25"/>
    <n v="0.40015785319652719"/>
    <n v="0"/>
    <n v="1267"/>
    <n v="0"/>
    <n v="0"/>
    <n v="0"/>
    <n v="1267"/>
    <n v="1"/>
    <n v="0"/>
    <n v="1"/>
    <n v="0"/>
    <n v="0"/>
    <n v="12"/>
    <n v="219"/>
    <n v="0"/>
    <n v="1200"/>
    <s v="No"/>
    <s v=""/>
    <n v="0"/>
    <n v="0"/>
    <s v="Yes"/>
    <s v="KBC-BMO"/>
    <x v="0"/>
    <x v="1"/>
    <x v="1"/>
    <n v="24.200433"/>
    <n v="97.717133000000004"/>
    <s v="MMR001CMP070"/>
    <x v="0"/>
    <s v="cccm_2019OCT"/>
  </r>
  <r>
    <x v="1"/>
    <x v="6"/>
    <x v="6"/>
    <s v="MHF, OFDA,ECHO"/>
    <x v="0"/>
    <x v="7"/>
    <x v="0"/>
    <x v="189"/>
    <n v="483.8"/>
    <n v="2419"/>
    <d v="2020-01-03T00:00:00"/>
    <d v="2021-06-30T00:00:00"/>
    <n v="2373"/>
    <n v="0"/>
    <n v="0"/>
    <n v="30"/>
    <s v="Yes"/>
    <n v="0"/>
    <n v="0"/>
    <n v="2"/>
    <m/>
    <m/>
    <n v="1"/>
    <n v="0"/>
    <m/>
    <m/>
    <m/>
    <m/>
    <m/>
    <m/>
    <m/>
    <m/>
    <m/>
    <m/>
    <m/>
    <m/>
    <m/>
    <m/>
    <m/>
    <n v="2"/>
    <m/>
    <n v="7"/>
    <m/>
    <m/>
    <m/>
    <m/>
    <m/>
    <m/>
    <m/>
    <x v="1"/>
    <x v="1"/>
    <n v="0"/>
    <n v="0"/>
    <m/>
    <m/>
    <m/>
    <s v="Gaps in drainage/ Infrastructure rehabiliation "/>
    <m/>
    <m/>
    <m/>
    <n v="0"/>
    <m/>
    <n v="0"/>
    <n v="0"/>
    <m/>
    <m/>
    <m/>
    <m/>
    <m/>
    <m/>
    <m/>
    <m/>
    <m/>
    <m/>
    <m/>
    <m/>
    <m/>
    <s v="no test"/>
    <s v="no test"/>
    <s v="No Test"/>
    <n v="2"/>
    <n v="1"/>
    <n v="0"/>
    <n v="0"/>
    <n v="0"/>
    <n v="1000"/>
    <n v="0.5374121537825548"/>
    <n v="0.31004547333608928"/>
    <n v="0.5374121537825548"/>
    <n v="1300"/>
    <n v="0"/>
    <n v="0"/>
    <n v="0.5374121537825548"/>
    <n v="1300"/>
    <n v="2.6"/>
    <n v="0.4625878462174452"/>
    <n v="1119"/>
    <n v="2.4"/>
    <n v="5"/>
    <n v="7"/>
    <n v="5.7875155022736671E-2"/>
    <n v="140"/>
    <n v="0"/>
    <n v="0"/>
    <n v="0"/>
    <n v="0"/>
    <n v="121"/>
    <n v="114"/>
    <n v="0.94212484497726334"/>
    <n v="0"/>
    <n v="0"/>
    <n v="0"/>
    <n v="0"/>
    <n v="0"/>
    <n v="0"/>
    <n v="0"/>
    <n v="1"/>
    <n v="0"/>
    <n v="0"/>
    <n v="0"/>
    <n v="0"/>
    <n v="0"/>
    <n v="0"/>
    <n v="0"/>
    <s v="Yes"/>
    <s v=""/>
    <n v="0"/>
    <n v="1000"/>
    <n v="0"/>
    <n v="0"/>
    <x v="0"/>
    <x v="2"/>
    <x v="1"/>
    <n v="0"/>
    <n v="0"/>
    <n v="0"/>
    <x v="0"/>
    <n v="0"/>
  </r>
  <r>
    <x v="1"/>
    <x v="9"/>
    <x v="9"/>
    <s v="(WHH-AA , USAID, MHF),UNICEF"/>
    <x v="0"/>
    <x v="7"/>
    <x v="1"/>
    <x v="99"/>
    <n v="97"/>
    <n v="527"/>
    <s v="(10/1/2018, 9/30/2019,6/1/2020),4/1/2019 "/>
    <s v="(9/30/2020, 8/31/2020, 11/302020),4/30/2020"/>
    <n v="41"/>
    <m/>
    <n v="6"/>
    <m/>
    <s v="Yes"/>
    <n v="5"/>
    <n v="3"/>
    <n v="2"/>
    <m/>
    <n v="1"/>
    <m/>
    <m/>
    <m/>
    <m/>
    <m/>
    <m/>
    <m/>
    <m/>
    <m/>
    <m/>
    <m/>
    <m/>
    <n v="2"/>
    <n v="2"/>
    <m/>
    <m/>
    <n v="1"/>
    <m/>
    <s v="Water safety plan need to install"/>
    <n v="14"/>
    <m/>
    <m/>
    <m/>
    <n v="4"/>
    <m/>
    <m/>
    <m/>
    <x v="1"/>
    <x v="1"/>
    <m/>
    <m/>
    <n v="2"/>
    <m/>
    <m/>
    <m/>
    <n v="8"/>
    <m/>
    <m/>
    <n v="4"/>
    <m/>
    <m/>
    <n v="43"/>
    <n v="93"/>
    <n v="128"/>
    <s v="No"/>
    <m/>
    <m/>
    <s v="need more hygiene items especially MHM Kits"/>
    <n v="1"/>
    <n v="1"/>
    <n v="527"/>
    <n v="1"/>
    <m/>
    <m/>
    <m/>
    <n v="1"/>
    <s v="no test"/>
    <s v="Tested"/>
    <n v="2"/>
    <n v="0"/>
    <n v="0"/>
    <n v="0"/>
    <n v="0"/>
    <n v="0"/>
    <n v="1"/>
    <n v="0.94876660341555974"/>
    <n v="1"/>
    <n v="527"/>
    <n v="0"/>
    <n v="0"/>
    <n v="1"/>
    <n v="527"/>
    <n v="1.054"/>
    <n v="0"/>
    <n v="0"/>
    <n v="0"/>
    <n v="1"/>
    <n v="14"/>
    <n v="0.53130929791271342"/>
    <n v="280"/>
    <n v="0"/>
    <n v="41"/>
    <n v="0"/>
    <n v="41"/>
    <n v="26"/>
    <n v="12"/>
    <n v="0.46869070208728658"/>
    <n v="0"/>
    <n v="527"/>
    <n v="465"/>
    <n v="128"/>
    <n v="465"/>
    <n v="527"/>
    <n v="1"/>
    <n v="0"/>
    <n v="1"/>
    <n v="1"/>
    <n v="1"/>
    <n v="8"/>
    <n v="97"/>
    <n v="0"/>
    <n v="527"/>
    <s v="Yes"/>
    <n v="1"/>
    <n v="0"/>
    <n v="41"/>
    <s v="Yes"/>
    <s v="KBC-BMO"/>
    <x v="0"/>
    <x v="1"/>
    <x v="1"/>
    <n v="24.250689999999999"/>
    <n v="97.344359999999995"/>
    <s v="MMR001CMP056"/>
    <x v="0"/>
    <s v="cccm_2019OCT"/>
  </r>
  <r>
    <x v="1"/>
    <x v="6"/>
    <x v="6"/>
    <s v="MHF, OFDA,ECHO"/>
    <x v="0"/>
    <x v="7"/>
    <x v="1"/>
    <x v="191"/>
    <n v="47"/>
    <n v="294"/>
    <d v="2020-01-03T00:00:00"/>
    <d v="2021-06-30T00:00:00"/>
    <m/>
    <n v="0"/>
    <n v="1"/>
    <n v="30"/>
    <s v="Yes"/>
    <n v="3"/>
    <n v="9"/>
    <n v="3"/>
    <m/>
    <m/>
    <n v="1"/>
    <n v="0"/>
    <m/>
    <m/>
    <m/>
    <m/>
    <m/>
    <m/>
    <m/>
    <m/>
    <n v="1"/>
    <m/>
    <n v="2"/>
    <n v="2"/>
    <n v="3"/>
    <n v="3"/>
    <n v="7"/>
    <m/>
    <m/>
    <n v="18"/>
    <m/>
    <m/>
    <m/>
    <m/>
    <n v="1"/>
    <n v="1815"/>
    <m/>
    <x v="1"/>
    <x v="1"/>
    <n v="0"/>
    <n v="0"/>
    <m/>
    <m/>
    <m/>
    <s v="Gaps in drainage/ Infrastructure rehabiliation "/>
    <n v="7"/>
    <m/>
    <m/>
    <n v="2"/>
    <m/>
    <n v="0"/>
    <n v="1"/>
    <m/>
    <m/>
    <m/>
    <m/>
    <m/>
    <m/>
    <m/>
    <m/>
    <m/>
    <m/>
    <m/>
    <m/>
    <m/>
    <n v="1"/>
    <n v="1"/>
    <s v="Tested"/>
    <n v="3"/>
    <n v="1"/>
    <n v="0"/>
    <n v="0"/>
    <n v="0"/>
    <n v="0"/>
    <n v="1"/>
    <n v="1"/>
    <n v="1"/>
    <n v="294"/>
    <n v="0"/>
    <n v="0"/>
    <n v="1"/>
    <n v="294"/>
    <n v="0.58799999999999997"/>
    <n v="0"/>
    <n v="0"/>
    <n v="0.41200000000000003"/>
    <n v="1"/>
    <n v="18"/>
    <n v="1"/>
    <n v="294"/>
    <n v="20"/>
    <n v="0"/>
    <n v="0"/>
    <n v="0"/>
    <n v="15"/>
    <n v="0"/>
    <n v="0"/>
    <n v="0"/>
    <n v="294"/>
    <n v="0"/>
    <n v="0"/>
    <n v="0"/>
    <n v="294"/>
    <n v="1"/>
    <n v="0"/>
    <n v="1"/>
    <n v="0"/>
    <n v="0"/>
    <n v="7"/>
    <n v="47"/>
    <n v="0"/>
    <n v="294"/>
    <s v="No"/>
    <s v=""/>
    <n v="0"/>
    <n v="0"/>
    <s v="Yes"/>
    <s v="KBC-BMO"/>
    <x v="0"/>
    <x v="1"/>
    <x v="1"/>
    <n v="24.205417000000001"/>
    <n v="97.724483000000006"/>
    <s v="MMR001CMP072"/>
    <x v="0"/>
    <s v="cccm_2019OCT"/>
  </r>
  <r>
    <x v="1"/>
    <x v="11"/>
    <x v="11"/>
    <s v="(MHF, OFDA,ECHO), UNICEF"/>
    <x v="0"/>
    <x v="10"/>
    <x v="1"/>
    <x v="192"/>
    <n v="100"/>
    <n v="514"/>
    <s v="1-3-2020, 4-1-2019"/>
    <s v="6-30-2021, 4-30-2020"/>
    <n v="114"/>
    <m/>
    <n v="7"/>
    <m/>
    <s v="Yes"/>
    <n v="8"/>
    <n v="15"/>
    <n v="1"/>
    <m/>
    <m/>
    <n v="3"/>
    <n v="0"/>
    <m/>
    <m/>
    <m/>
    <m/>
    <m/>
    <m/>
    <m/>
    <m/>
    <n v="3"/>
    <m/>
    <n v="4"/>
    <n v="4"/>
    <n v="18"/>
    <n v="18"/>
    <n v="14"/>
    <m/>
    <s v="Water safety plan need to install"/>
    <n v="48"/>
    <m/>
    <m/>
    <m/>
    <m/>
    <n v="19"/>
    <n v="6160"/>
    <m/>
    <x v="1"/>
    <x v="1"/>
    <n v="0"/>
    <n v="0"/>
    <n v="2"/>
    <m/>
    <m/>
    <s v="Gaps in drainage/ Infrastructure rehabiliation "/>
    <n v="12"/>
    <m/>
    <m/>
    <n v="3"/>
    <m/>
    <n v="0"/>
    <n v="5"/>
    <m/>
    <m/>
    <s v="No"/>
    <m/>
    <m/>
    <s v="need more hygiene items especially MHM Kits"/>
    <n v="1"/>
    <n v="1"/>
    <n v="514"/>
    <n v="1"/>
    <m/>
    <m/>
    <m/>
    <n v="1"/>
    <n v="1"/>
    <s v="Tested"/>
    <n v="1"/>
    <n v="3"/>
    <n v="0"/>
    <n v="0"/>
    <n v="0"/>
    <n v="0"/>
    <n v="1"/>
    <n v="1"/>
    <n v="1"/>
    <n v="514"/>
    <n v="0"/>
    <n v="0"/>
    <n v="1"/>
    <n v="514"/>
    <n v="1.028"/>
    <n v="0"/>
    <n v="0"/>
    <n v="0"/>
    <n v="1"/>
    <n v="48"/>
    <n v="1"/>
    <n v="514"/>
    <n v="380"/>
    <n v="100"/>
    <n v="0"/>
    <n v="100"/>
    <n v="26"/>
    <n v="0"/>
    <n v="0"/>
    <n v="0"/>
    <n v="514"/>
    <n v="0"/>
    <n v="0"/>
    <n v="0"/>
    <n v="514"/>
    <n v="1"/>
    <n v="0"/>
    <n v="1"/>
    <n v="0"/>
    <n v="0"/>
    <n v="12"/>
    <n v="100"/>
    <n v="0"/>
    <n v="514"/>
    <s v="Yes"/>
    <n v="1"/>
    <n v="0"/>
    <n v="100"/>
    <s v="Yes"/>
    <s v="KBC-BMO"/>
    <x v="0"/>
    <x v="1"/>
    <x v="1"/>
    <n v="24.222349999999999"/>
    <n v="97.252650000000003"/>
    <s v="MMR001CMP193"/>
    <x v="0"/>
    <s v="cccm_2019OCT"/>
  </r>
  <r>
    <x v="1"/>
    <x v="6"/>
    <x v="6"/>
    <s v="MHF, OFDA,ECHO"/>
    <x v="0"/>
    <x v="10"/>
    <x v="1"/>
    <x v="193"/>
    <n v="620"/>
    <n v="3876"/>
    <d v="2020-01-03T00:00:00"/>
    <d v="2021-06-30T00:00:00"/>
    <m/>
    <m/>
    <n v="6"/>
    <n v="30"/>
    <s v="Yes"/>
    <n v="12"/>
    <n v="9"/>
    <n v="1"/>
    <m/>
    <m/>
    <n v="14"/>
    <n v="0"/>
    <m/>
    <m/>
    <m/>
    <m/>
    <m/>
    <m/>
    <m/>
    <m/>
    <n v="6"/>
    <m/>
    <n v="14"/>
    <n v="14"/>
    <n v="21"/>
    <n v="21"/>
    <n v="19"/>
    <m/>
    <m/>
    <n v="150"/>
    <m/>
    <m/>
    <m/>
    <m/>
    <n v="52"/>
    <n v="16000"/>
    <m/>
    <x v="1"/>
    <x v="1"/>
    <n v="0"/>
    <n v="0"/>
    <m/>
    <m/>
    <m/>
    <s v="Gaps in drainage/ Infrastructure rehabiliation "/>
    <n v="19"/>
    <m/>
    <m/>
    <n v="12"/>
    <m/>
    <n v="0"/>
    <n v="6"/>
    <m/>
    <m/>
    <m/>
    <m/>
    <m/>
    <m/>
    <m/>
    <m/>
    <m/>
    <m/>
    <m/>
    <m/>
    <m/>
    <n v="1"/>
    <n v="1"/>
    <s v="Tested"/>
    <n v="1"/>
    <n v="14"/>
    <n v="0"/>
    <n v="0"/>
    <n v="0"/>
    <n v="0"/>
    <n v="1"/>
    <n v="0.96749226006191946"/>
    <n v="1"/>
    <n v="3876"/>
    <n v="0"/>
    <n v="0"/>
    <n v="1"/>
    <n v="3876"/>
    <n v="7.7519999999999998"/>
    <n v="0"/>
    <n v="0"/>
    <n v="0.24800000000000022"/>
    <n v="8"/>
    <n v="150"/>
    <n v="0.77399380804953566"/>
    <n v="3000"/>
    <n v="1040"/>
    <n v="0"/>
    <n v="0"/>
    <n v="0"/>
    <n v="194"/>
    <n v="44"/>
    <n v="0.22600619195046434"/>
    <n v="0"/>
    <n v="3000"/>
    <n v="0"/>
    <n v="0"/>
    <n v="0"/>
    <n v="3000"/>
    <n v="0.77399380804953566"/>
    <n v="0.22600619195046434"/>
    <n v="0.77399380804953566"/>
    <n v="0"/>
    <n v="0"/>
    <n v="19"/>
    <n v="380"/>
    <n v="0"/>
    <n v="1900"/>
    <s v="No"/>
    <s v=""/>
    <n v="0"/>
    <n v="0"/>
    <s v="Yes"/>
    <s v="KBC-BMO"/>
    <x v="0"/>
    <x v="1"/>
    <x v="1"/>
    <n v="24.268292826086999"/>
    <n v="97.229116811594196"/>
    <s v="MMR001CMP047"/>
    <x v="0"/>
    <s v="cccm_2019OCT"/>
  </r>
  <r>
    <x v="1"/>
    <x v="6"/>
    <x v="6"/>
    <s v="MHF, OFDA,ECHO"/>
    <x v="0"/>
    <x v="10"/>
    <x v="0"/>
    <x v="194"/>
    <n v="243.8"/>
    <n v="1219"/>
    <d v="2020-01-03T00:00:00"/>
    <d v="2021-06-30T00:00:00"/>
    <n v="1212"/>
    <m/>
    <n v="0"/>
    <n v="30"/>
    <s v="Yes"/>
    <m/>
    <n v="0"/>
    <n v="0"/>
    <m/>
    <m/>
    <n v="5"/>
    <n v="0"/>
    <m/>
    <m/>
    <m/>
    <m/>
    <m/>
    <m/>
    <m/>
    <m/>
    <m/>
    <m/>
    <m/>
    <m/>
    <m/>
    <m/>
    <m/>
    <n v="2"/>
    <m/>
    <m/>
    <m/>
    <m/>
    <m/>
    <m/>
    <m/>
    <m/>
    <m/>
    <x v="1"/>
    <x v="1"/>
    <n v="0"/>
    <n v="0"/>
    <m/>
    <m/>
    <m/>
    <s v="Gaps in drainage/ Infrastructure rehabiliation "/>
    <m/>
    <m/>
    <m/>
    <n v="0"/>
    <m/>
    <n v="0"/>
    <n v="0"/>
    <m/>
    <m/>
    <m/>
    <m/>
    <m/>
    <m/>
    <m/>
    <m/>
    <m/>
    <m/>
    <m/>
    <m/>
    <m/>
    <s v="no test"/>
    <s v="no test"/>
    <s v="No Test"/>
    <n v="0"/>
    <n v="5"/>
    <n v="0"/>
    <n v="0"/>
    <n v="0"/>
    <n v="1000"/>
    <n v="1"/>
    <n v="1"/>
    <n v="1"/>
    <n v="1219"/>
    <n v="0"/>
    <n v="0"/>
    <n v="1"/>
    <n v="1219"/>
    <n v="2.4380000000000002"/>
    <n v="0"/>
    <n v="0"/>
    <n v="0"/>
    <n v="2"/>
    <n v="0"/>
    <n v="0"/>
    <n v="0"/>
    <n v="0"/>
    <n v="0"/>
    <n v="0"/>
    <n v="0"/>
    <n v="61"/>
    <n v="61"/>
    <n v="1"/>
    <n v="0"/>
    <n v="0"/>
    <n v="0"/>
    <n v="0"/>
    <n v="0"/>
    <n v="0"/>
    <n v="0"/>
    <n v="1"/>
    <n v="0"/>
    <n v="0"/>
    <n v="0"/>
    <n v="0"/>
    <n v="0"/>
    <n v="0"/>
    <n v="0"/>
    <s v="Yes"/>
    <s v=""/>
    <n v="0"/>
    <n v="1000"/>
    <s v="No"/>
    <n v="0"/>
    <x v="0"/>
    <x v="1"/>
    <x v="1"/>
    <n v="0"/>
    <n v="0"/>
    <n v="0"/>
    <x v="0"/>
    <n v="0"/>
  </r>
  <r>
    <x v="1"/>
    <x v="6"/>
    <x v="6"/>
    <s v="MHF, OFDA,ECHO"/>
    <x v="0"/>
    <x v="7"/>
    <x v="1"/>
    <x v="195"/>
    <n v="40"/>
    <n v="255"/>
    <d v="2020-01-03T00:00:00"/>
    <d v="2021-06-30T00:00:00"/>
    <m/>
    <n v="0"/>
    <n v="2"/>
    <n v="30"/>
    <s v="Yes"/>
    <n v="5"/>
    <n v="7"/>
    <n v="2"/>
    <n v="1"/>
    <m/>
    <n v="1"/>
    <n v="0"/>
    <m/>
    <m/>
    <m/>
    <m/>
    <m/>
    <m/>
    <m/>
    <m/>
    <n v="2"/>
    <m/>
    <n v="1"/>
    <n v="1"/>
    <n v="2"/>
    <n v="2"/>
    <n v="10"/>
    <m/>
    <m/>
    <n v="16"/>
    <m/>
    <m/>
    <m/>
    <m/>
    <n v="4"/>
    <n v="1539"/>
    <m/>
    <x v="1"/>
    <x v="1"/>
    <n v="0"/>
    <n v="0"/>
    <m/>
    <m/>
    <m/>
    <s v="Gaps in drainage/ Infrastructure rehabiliation "/>
    <n v="7"/>
    <m/>
    <m/>
    <n v="1"/>
    <m/>
    <n v="1"/>
    <n v="1"/>
    <m/>
    <m/>
    <m/>
    <m/>
    <m/>
    <m/>
    <m/>
    <m/>
    <m/>
    <m/>
    <m/>
    <m/>
    <m/>
    <n v="1"/>
    <n v="1"/>
    <s v="Tested"/>
    <n v="1"/>
    <n v="1"/>
    <n v="0"/>
    <n v="0"/>
    <n v="0"/>
    <n v="0"/>
    <n v="1"/>
    <n v="1"/>
    <n v="1"/>
    <n v="255"/>
    <n v="0"/>
    <n v="0"/>
    <n v="1"/>
    <n v="255"/>
    <n v="0.51"/>
    <n v="0"/>
    <n v="0"/>
    <n v="0.49"/>
    <n v="1"/>
    <n v="16"/>
    <n v="1"/>
    <n v="255"/>
    <n v="80"/>
    <n v="0"/>
    <n v="0"/>
    <n v="0"/>
    <n v="13"/>
    <n v="0"/>
    <n v="0"/>
    <n v="0"/>
    <n v="255"/>
    <n v="0"/>
    <n v="0"/>
    <n v="0"/>
    <n v="255"/>
    <n v="1"/>
    <n v="0"/>
    <n v="1"/>
    <n v="0"/>
    <n v="0"/>
    <n v="7"/>
    <n v="40"/>
    <n v="0"/>
    <n v="255"/>
    <s v="No"/>
    <s v=""/>
    <n v="0"/>
    <n v="0"/>
    <s v="Yes"/>
    <s v="KBC-BMO"/>
    <x v="0"/>
    <x v="1"/>
    <x v="1"/>
    <n v="24.207332999999998"/>
    <n v="97.710864000000001"/>
    <s v="MMR001CMP073"/>
    <x v="0"/>
    <s v="cccm_2019OCT"/>
  </r>
  <r>
    <x v="1"/>
    <x v="12"/>
    <x v="12"/>
    <s v="SI (ECHO), UNICEF"/>
    <x v="0"/>
    <x v="9"/>
    <x v="1"/>
    <x v="196"/>
    <n v="361"/>
    <n v="1887"/>
    <s v="5-1-2020, 1-1-2020"/>
    <s v="2-28-2020, 12-1-2020"/>
    <m/>
    <m/>
    <m/>
    <m/>
    <s v="Yes"/>
    <m/>
    <m/>
    <n v="4"/>
    <m/>
    <m/>
    <m/>
    <m/>
    <m/>
    <m/>
    <m/>
    <m/>
    <m/>
    <m/>
    <n v="5"/>
    <m/>
    <n v="2"/>
    <n v="5"/>
    <m/>
    <m/>
    <n v="32"/>
    <n v="15"/>
    <n v="0"/>
    <n v="5"/>
    <m/>
    <n v="185"/>
    <m/>
    <m/>
    <m/>
    <m/>
    <m/>
    <m/>
    <n v="73"/>
    <x v="2"/>
    <x v="1"/>
    <n v="4"/>
    <n v="60"/>
    <n v="15"/>
    <n v="2"/>
    <m/>
    <m/>
    <n v="53"/>
    <m/>
    <n v="60"/>
    <n v="12"/>
    <m/>
    <n v="2"/>
    <n v="6"/>
    <m/>
    <m/>
    <s v="Yes"/>
    <m/>
    <m/>
    <m/>
    <n v="0.6"/>
    <n v="0.9"/>
    <m/>
    <n v="0.9"/>
    <m/>
    <m/>
    <m/>
    <s v="no test"/>
    <n v="0.46875"/>
    <s v="Tested"/>
    <n v="4"/>
    <n v="0"/>
    <n v="0"/>
    <n v="0"/>
    <n v="0"/>
    <n v="2500"/>
    <n v="0.84790673025967145"/>
    <n v="0.52994170641229466"/>
    <n v="0.84790673025967145"/>
    <n v="1600"/>
    <n v="0.66242713301536826"/>
    <n v="1250"/>
    <n v="1"/>
    <n v="1887"/>
    <n v="3.774"/>
    <n v="0"/>
    <n v="0"/>
    <n v="0.22599999999999998"/>
    <n v="4"/>
    <n v="185"/>
    <n v="1"/>
    <n v="1887"/>
    <n v="0"/>
    <n v="0"/>
    <n v="100"/>
    <n v="100"/>
    <n v="94"/>
    <n v="0"/>
    <n v="0"/>
    <n v="0"/>
    <n v="1887"/>
    <n v="0"/>
    <n v="0"/>
    <n v="0"/>
    <n v="1887"/>
    <n v="1"/>
    <n v="0"/>
    <n v="1"/>
    <n v="0"/>
    <n v="0"/>
    <n v="53"/>
    <n v="361"/>
    <n v="0"/>
    <n v="1887"/>
    <s v="No"/>
    <s v=""/>
    <n v="0"/>
    <n v="2500"/>
    <s v="Yes"/>
    <s v="KMSS-BMO"/>
    <x v="0"/>
    <x v="1"/>
    <x v="0"/>
    <n v="24.002433"/>
    <n v="97.609832999999995"/>
    <s v="MMR001CMP129"/>
    <x v="0"/>
    <s v="cccm_2019OCT"/>
  </r>
  <r>
    <x v="1"/>
    <x v="12"/>
    <x v="12"/>
    <s v="(SI (ECHO), Harp - F),UNICEF"/>
    <x v="0"/>
    <x v="9"/>
    <x v="1"/>
    <x v="197"/>
    <n v="481"/>
    <n v="2691"/>
    <s v="5-1-2020, 1-1-2020"/>
    <s v="2-28-2020, 12-1-2020"/>
    <m/>
    <m/>
    <m/>
    <m/>
    <s v="Yes"/>
    <m/>
    <m/>
    <n v="4"/>
    <m/>
    <m/>
    <m/>
    <m/>
    <m/>
    <m/>
    <m/>
    <m/>
    <m/>
    <m/>
    <n v="1"/>
    <m/>
    <n v="2"/>
    <n v="1"/>
    <m/>
    <m/>
    <n v="16"/>
    <n v="7"/>
    <n v="5"/>
    <n v="2"/>
    <m/>
    <n v="438"/>
    <m/>
    <m/>
    <m/>
    <m/>
    <m/>
    <m/>
    <n v="266"/>
    <x v="2"/>
    <x v="1"/>
    <n v="6"/>
    <n v="274"/>
    <n v="62"/>
    <n v="2"/>
    <m/>
    <m/>
    <n v="59"/>
    <m/>
    <n v="266"/>
    <n v="3"/>
    <m/>
    <m/>
    <n v="7"/>
    <m/>
    <m/>
    <s v="Yes"/>
    <m/>
    <m/>
    <m/>
    <n v="0.6"/>
    <n v="0.9"/>
    <m/>
    <n v="0.9"/>
    <m/>
    <m/>
    <m/>
    <s v="no test"/>
    <n v="0.4375"/>
    <s v="Tested"/>
    <n v="4"/>
    <n v="0"/>
    <n v="0"/>
    <n v="0"/>
    <n v="0"/>
    <n v="1000"/>
    <n v="0.59457450761798591"/>
    <n v="0.37160906726124115"/>
    <n v="0.59457450761798591"/>
    <n v="1600"/>
    <n v="9.2902266815310289E-2"/>
    <n v="250"/>
    <n v="0.68747677443329624"/>
    <n v="1850"/>
    <n v="3.7"/>
    <n v="0.31252322556670376"/>
    <n v="840.99999999999977"/>
    <n v="1.2999999999999998"/>
    <n v="5"/>
    <n v="438"/>
    <n v="1"/>
    <n v="2691"/>
    <n v="0"/>
    <n v="0"/>
    <n v="100"/>
    <n v="100"/>
    <n v="135"/>
    <n v="0"/>
    <n v="0"/>
    <n v="0"/>
    <n v="2691"/>
    <n v="0"/>
    <n v="0"/>
    <n v="0"/>
    <n v="2691"/>
    <n v="1"/>
    <n v="0"/>
    <n v="1"/>
    <n v="0"/>
    <n v="0"/>
    <n v="59"/>
    <n v="481"/>
    <n v="5"/>
    <n v="2691"/>
    <s v="No"/>
    <s v=""/>
    <n v="0"/>
    <n v="1000"/>
    <s v="Yes"/>
    <s v="KMSS-BMO"/>
    <x v="0"/>
    <x v="1"/>
    <x v="0"/>
    <n v="24.056132999999999"/>
    <n v="97.625617000000005"/>
    <s v="MMR001CMP128"/>
    <x v="0"/>
    <s v="cccm_2019OCT"/>
  </r>
  <r>
    <x v="1"/>
    <x v="7"/>
    <x v="7"/>
    <s v="MHF-Metta"/>
    <x v="0"/>
    <x v="7"/>
    <x v="1"/>
    <x v="198"/>
    <n v="332"/>
    <n v="1675"/>
    <d v="2020-02-13T00:00:00"/>
    <d v="2021-02-12T00:00:00"/>
    <m/>
    <m/>
    <m/>
    <m/>
    <s v="Yes"/>
    <m/>
    <m/>
    <m/>
    <m/>
    <m/>
    <m/>
    <m/>
    <m/>
    <m/>
    <m/>
    <m/>
    <m/>
    <m/>
    <n v="6"/>
    <m/>
    <n v="2"/>
    <n v="6"/>
    <m/>
    <m/>
    <m/>
    <m/>
    <n v="4"/>
    <n v="2"/>
    <m/>
    <n v="181"/>
    <m/>
    <m/>
    <m/>
    <m/>
    <m/>
    <m/>
    <n v="71"/>
    <x v="2"/>
    <x v="1"/>
    <n v="2"/>
    <m/>
    <n v="16"/>
    <n v="2"/>
    <m/>
    <m/>
    <n v="52"/>
    <m/>
    <n v="30"/>
    <n v="22"/>
    <m/>
    <m/>
    <n v="6"/>
    <m/>
    <m/>
    <s v="Yes"/>
    <m/>
    <m/>
    <m/>
    <n v="0.6"/>
    <n v="0.9"/>
    <m/>
    <n v="0.6"/>
    <m/>
    <m/>
    <m/>
    <s v="no test"/>
    <s v="no test"/>
    <s v="No Test"/>
    <n v="0"/>
    <n v="0"/>
    <n v="0"/>
    <n v="0"/>
    <n v="0"/>
    <n v="1000"/>
    <n v="0"/>
    <n v="0"/>
    <n v="0"/>
    <n v="0"/>
    <n v="0.89552238805970152"/>
    <n v="1500"/>
    <n v="0.89552238805970152"/>
    <n v="1500"/>
    <n v="3"/>
    <n v="0.10447761194029848"/>
    <n v="174.99999999999994"/>
    <n v="0"/>
    <n v="3"/>
    <n v="181"/>
    <n v="1"/>
    <n v="1675"/>
    <n v="0"/>
    <n v="0"/>
    <n v="100"/>
    <n v="100"/>
    <n v="84"/>
    <n v="0"/>
    <n v="0"/>
    <n v="0"/>
    <n v="1675"/>
    <n v="0"/>
    <n v="0"/>
    <n v="0"/>
    <n v="1675"/>
    <n v="1"/>
    <n v="0"/>
    <n v="1"/>
    <n v="0"/>
    <n v="0"/>
    <n v="52"/>
    <n v="332"/>
    <n v="4"/>
    <n v="1675"/>
    <s v="No"/>
    <s v=""/>
    <n v="0"/>
    <n v="1000"/>
    <s v="Yes"/>
    <s v="KMSS-BMO"/>
    <x v="0"/>
    <x v="1"/>
    <x v="0"/>
    <n v="24.378167000000001"/>
    <n v="97.669366999999994"/>
    <s v="MMR001CMP131"/>
    <x v="0"/>
    <s v="cccm_2019OCT"/>
  </r>
  <r>
    <x v="1"/>
    <x v="7"/>
    <x v="7"/>
    <s v="MHF-Metta"/>
    <x v="0"/>
    <x v="7"/>
    <x v="1"/>
    <x v="199"/>
    <n v="593"/>
    <n v="2975"/>
    <d v="2020-02-13T00:00:00"/>
    <d v="2021-02-12T00:00:00"/>
    <m/>
    <m/>
    <m/>
    <m/>
    <s v="Yes"/>
    <m/>
    <m/>
    <m/>
    <m/>
    <m/>
    <m/>
    <m/>
    <m/>
    <m/>
    <n v="25"/>
    <m/>
    <m/>
    <m/>
    <n v="1"/>
    <m/>
    <n v="2"/>
    <n v="1"/>
    <m/>
    <m/>
    <n v="32"/>
    <n v="16"/>
    <n v="21"/>
    <n v="6"/>
    <m/>
    <n v="152"/>
    <m/>
    <m/>
    <m/>
    <m/>
    <m/>
    <m/>
    <m/>
    <x v="2"/>
    <x v="1"/>
    <n v="4"/>
    <m/>
    <n v="16"/>
    <n v="2"/>
    <m/>
    <m/>
    <n v="39"/>
    <m/>
    <m/>
    <n v="10"/>
    <m/>
    <m/>
    <n v="6"/>
    <m/>
    <m/>
    <s v="Yes"/>
    <m/>
    <m/>
    <m/>
    <n v="0.6"/>
    <n v="0.9"/>
    <m/>
    <n v="0.6"/>
    <m/>
    <m/>
    <m/>
    <s v="no test"/>
    <n v="0.5"/>
    <s v="Tested"/>
    <n v="0"/>
    <n v="0"/>
    <n v="25"/>
    <n v="0"/>
    <n v="0"/>
    <n v="3000"/>
    <n v="0.56022408963585435"/>
    <n v="0.56022408963585435"/>
    <n v="0.56022408963585435"/>
    <n v="1666.6666666666667"/>
    <n v="8.4033613445378158E-2"/>
    <n v="250.00000000000003"/>
    <n v="0.64425770308123254"/>
    <n v="1916.6666666666667"/>
    <n v="3.8333333333333335"/>
    <n v="0.35574229691876746"/>
    <n v="1058.3333333333333"/>
    <n v="2.1666666666666665"/>
    <n v="6"/>
    <n v="152"/>
    <n v="1"/>
    <n v="2975"/>
    <n v="0"/>
    <n v="0"/>
    <n v="100"/>
    <n v="100"/>
    <n v="149"/>
    <n v="0"/>
    <n v="0"/>
    <n v="0"/>
    <n v="2975"/>
    <n v="0"/>
    <n v="0"/>
    <n v="0"/>
    <n v="2975"/>
    <n v="1"/>
    <n v="0"/>
    <n v="1"/>
    <n v="0"/>
    <n v="0"/>
    <n v="39"/>
    <n v="593"/>
    <n v="21"/>
    <n v="2975"/>
    <s v="No"/>
    <s v=""/>
    <n v="0"/>
    <n v="3000"/>
    <s v="Yes"/>
    <s v="KMSS-BMO"/>
    <x v="0"/>
    <x v="1"/>
    <x v="0"/>
    <n v="24.2744"/>
    <n v="97.752667000000002"/>
    <s v="MMR001CMP126"/>
    <x v="0"/>
    <s v="cccm_2019OCT"/>
  </r>
  <r>
    <x v="2"/>
    <x v="0"/>
    <x v="0"/>
    <m/>
    <x v="0"/>
    <x v="0"/>
    <x v="0"/>
    <x v="0"/>
    <n v="24"/>
    <n v="103"/>
    <m/>
    <m/>
    <m/>
    <m/>
    <m/>
    <m/>
    <m/>
    <m/>
    <n v="4"/>
    <m/>
    <m/>
    <m/>
    <m/>
    <m/>
    <m/>
    <m/>
    <m/>
    <m/>
    <m/>
    <m/>
    <m/>
    <m/>
    <m/>
    <m/>
    <m/>
    <m/>
    <m/>
    <m/>
    <m/>
    <m/>
    <m/>
    <m/>
    <m/>
    <m/>
    <m/>
    <m/>
    <m/>
    <m/>
    <m/>
    <x v="3"/>
    <x v="3"/>
    <m/>
    <m/>
    <m/>
    <m/>
    <m/>
    <m/>
    <m/>
    <m/>
    <m/>
    <m/>
    <m/>
    <m/>
    <m/>
    <m/>
    <m/>
    <m/>
    <m/>
    <m/>
    <m/>
    <m/>
    <m/>
    <m/>
    <m/>
    <m/>
    <m/>
    <m/>
    <s v="no test"/>
    <s v="no test"/>
    <s v="No Test"/>
    <n v="0"/>
    <n v="0"/>
    <n v="0"/>
    <n v="0"/>
    <n v="0"/>
    <n v="0"/>
    <n v="0"/>
    <n v="0"/>
    <n v="0"/>
    <n v="0"/>
    <n v="0"/>
    <n v="0"/>
    <n v="0"/>
    <n v="0"/>
    <n v="0"/>
    <n v="1"/>
    <n v="103"/>
    <n v="1"/>
    <n v="1"/>
    <n v="0"/>
    <n v="0"/>
    <n v="0"/>
    <n v="0"/>
    <n v="0"/>
    <n v="0"/>
    <n v="0"/>
    <n v="5"/>
    <n v="5"/>
    <n v="1"/>
    <n v="0"/>
    <n v="0"/>
    <n v="0"/>
    <n v="0"/>
    <n v="0"/>
    <n v="0"/>
    <n v="0"/>
    <n v="1"/>
    <n v="0"/>
    <n v="0"/>
    <n v="0"/>
    <n v="0"/>
    <n v="0"/>
    <n v="0"/>
    <n v="0"/>
    <s v="No"/>
    <s v=""/>
    <n v="0"/>
    <n v="0"/>
    <n v="0"/>
    <n v="0"/>
    <x v="0"/>
    <x v="0"/>
    <x v="0"/>
    <n v="0"/>
    <n v="0"/>
    <n v="0"/>
    <x v="0"/>
    <n v="0"/>
  </r>
  <r>
    <x v="2"/>
    <x v="0"/>
    <x v="0"/>
    <m/>
    <x v="0"/>
    <x v="1"/>
    <x v="0"/>
    <x v="1"/>
    <n v="86"/>
    <n v="381"/>
    <m/>
    <m/>
    <m/>
    <m/>
    <m/>
    <m/>
    <m/>
    <m/>
    <m/>
    <m/>
    <m/>
    <m/>
    <m/>
    <m/>
    <m/>
    <m/>
    <m/>
    <m/>
    <m/>
    <m/>
    <m/>
    <m/>
    <m/>
    <m/>
    <m/>
    <m/>
    <m/>
    <m/>
    <m/>
    <m/>
    <m/>
    <m/>
    <m/>
    <m/>
    <m/>
    <m/>
    <m/>
    <m/>
    <m/>
    <x v="3"/>
    <x v="3"/>
    <m/>
    <m/>
    <m/>
    <m/>
    <m/>
    <m/>
    <m/>
    <m/>
    <m/>
    <m/>
    <m/>
    <m/>
    <m/>
    <m/>
    <m/>
    <m/>
    <m/>
    <m/>
    <m/>
    <m/>
    <m/>
    <m/>
    <m/>
    <m/>
    <m/>
    <m/>
    <s v="no test"/>
    <s v="no test"/>
    <s v="No Test"/>
    <n v="0"/>
    <n v="0"/>
    <n v="0"/>
    <n v="0"/>
    <n v="0"/>
    <n v="0"/>
    <n v="0"/>
    <n v="0"/>
    <n v="0"/>
    <n v="0"/>
    <n v="0"/>
    <n v="0"/>
    <n v="0"/>
    <n v="0"/>
    <n v="0"/>
    <n v="1"/>
    <n v="381"/>
    <n v="1"/>
    <n v="1"/>
    <n v="0"/>
    <n v="0"/>
    <n v="0"/>
    <n v="0"/>
    <n v="0"/>
    <n v="0"/>
    <n v="0"/>
    <n v="19"/>
    <n v="19"/>
    <n v="1"/>
    <n v="0"/>
    <n v="0"/>
    <n v="0"/>
    <n v="0"/>
    <n v="0"/>
    <n v="0"/>
    <n v="0"/>
    <n v="1"/>
    <n v="0"/>
    <n v="0"/>
    <n v="0"/>
    <n v="0"/>
    <n v="0"/>
    <n v="0"/>
    <n v="0"/>
    <s v="No"/>
    <s v=""/>
    <n v="0"/>
    <n v="0"/>
    <n v="0"/>
    <n v="0"/>
    <x v="0"/>
    <x v="0"/>
    <x v="0"/>
    <n v="0"/>
    <n v="0"/>
    <n v="0"/>
    <x v="0"/>
    <n v="0"/>
  </r>
  <r>
    <x v="2"/>
    <x v="0"/>
    <x v="0"/>
    <s v="PLAN(GFFO),MHF13490"/>
    <x v="0"/>
    <x v="0"/>
    <x v="1"/>
    <x v="2"/>
    <n v="43"/>
    <n v="197"/>
    <s v="5-1-2019,10-1-2019"/>
    <s v="9-30-2020,7-31-2020"/>
    <m/>
    <m/>
    <m/>
    <m/>
    <s v="Yes"/>
    <m/>
    <m/>
    <n v="0"/>
    <m/>
    <m/>
    <n v="3"/>
    <m/>
    <m/>
    <m/>
    <m/>
    <m/>
    <m/>
    <m/>
    <m/>
    <m/>
    <m/>
    <n v="3"/>
    <m/>
    <m/>
    <m/>
    <m/>
    <m/>
    <m/>
    <m/>
    <n v="7"/>
    <m/>
    <m/>
    <m/>
    <m/>
    <m/>
    <m/>
    <n v="7"/>
    <x v="1"/>
    <x v="1"/>
    <m/>
    <m/>
    <m/>
    <m/>
    <m/>
    <m/>
    <n v="3"/>
    <m/>
    <m/>
    <n v="3"/>
    <m/>
    <m/>
    <n v="2"/>
    <m/>
    <m/>
    <m/>
    <m/>
    <m/>
    <m/>
    <m/>
    <m/>
    <m/>
    <m/>
    <m/>
    <m/>
    <m/>
    <s v="no test"/>
    <s v="no test"/>
    <s v="No Test"/>
    <n v="0"/>
    <n v="3"/>
    <n v="0"/>
    <n v="0"/>
    <n v="0"/>
    <n v="0"/>
    <n v="1"/>
    <n v="1"/>
    <n v="1"/>
    <n v="197"/>
    <n v="0"/>
    <n v="0"/>
    <n v="1"/>
    <n v="197"/>
    <n v="0.39400000000000002"/>
    <n v="0"/>
    <n v="0"/>
    <n v="0.60599999999999998"/>
    <n v="1"/>
    <n v="7"/>
    <n v="0.71065989847715738"/>
    <n v="140"/>
    <n v="0"/>
    <n v="0"/>
    <n v="0"/>
    <n v="0"/>
    <n v="10"/>
    <n v="3"/>
    <n v="0.28934010152284262"/>
    <n v="0"/>
    <n v="197"/>
    <n v="0"/>
    <n v="0"/>
    <n v="0"/>
    <n v="197"/>
    <n v="1"/>
    <n v="0"/>
    <n v="1"/>
    <n v="0"/>
    <n v="0"/>
    <n v="3"/>
    <n v="43"/>
    <n v="0"/>
    <n v="197"/>
    <s v="No"/>
    <s v=""/>
    <n v="0"/>
    <n v="0"/>
    <s v="Yes"/>
    <s v="KBC-MYT"/>
    <x v="0"/>
    <x v="1"/>
    <x v="1"/>
    <n v="25.3959740909091"/>
    <n v="97.382997575757599"/>
    <s v="MMR001CMP010"/>
    <x v="0"/>
    <s v="cccm_2019OCT"/>
  </r>
  <r>
    <x v="2"/>
    <x v="1"/>
    <x v="1"/>
    <s v="HARP,UNICEF"/>
    <x v="0"/>
    <x v="2"/>
    <x v="1"/>
    <x v="48"/>
    <n v="101"/>
    <n v="458"/>
    <s v="3-1-2019, 12-11-2019"/>
    <s v="12-31-2020, 12-10-2020"/>
    <m/>
    <m/>
    <m/>
    <m/>
    <s v="Yes"/>
    <m/>
    <m/>
    <m/>
    <m/>
    <m/>
    <m/>
    <m/>
    <m/>
    <m/>
    <n v="1"/>
    <m/>
    <m/>
    <m/>
    <m/>
    <m/>
    <m/>
    <m/>
    <m/>
    <m/>
    <m/>
    <m/>
    <n v="4"/>
    <m/>
    <m/>
    <n v="90"/>
    <m/>
    <m/>
    <m/>
    <m/>
    <m/>
    <m/>
    <m/>
    <x v="1"/>
    <x v="1"/>
    <n v="0"/>
    <m/>
    <m/>
    <m/>
    <m/>
    <m/>
    <n v="2"/>
    <m/>
    <m/>
    <n v="3"/>
    <m/>
    <m/>
    <n v="2"/>
    <n v="6"/>
    <m/>
    <s v="No"/>
    <m/>
    <n v="0.75"/>
    <m/>
    <m/>
    <m/>
    <m/>
    <m/>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90"/>
    <n v="1"/>
    <n v="458"/>
    <n v="0"/>
    <n v="0"/>
    <n v="0"/>
    <n v="0"/>
    <n v="23"/>
    <n v="0"/>
    <n v="0"/>
    <n v="0"/>
    <n v="458"/>
    <n v="30"/>
    <n v="0"/>
    <n v="30"/>
    <n v="458"/>
    <n v="1"/>
    <n v="0"/>
    <n v="1"/>
    <n v="5.9405940594059403E-2"/>
    <n v="0"/>
    <n v="2"/>
    <n v="40"/>
    <n v="0"/>
    <n v="200"/>
    <s v="No"/>
    <s v=""/>
    <n v="0"/>
    <n v="0"/>
    <s v="Yes"/>
    <s v="KMSS-MYT"/>
    <x v="0"/>
    <x v="1"/>
    <x v="0"/>
    <n v="25.220278"/>
    <n v="97.915833000000006"/>
    <s v="MMR001CMP113"/>
    <x v="0"/>
    <s v="cccm_2019OCT"/>
  </r>
  <r>
    <x v="2"/>
    <x v="4"/>
    <x v="4"/>
    <m/>
    <x v="0"/>
    <x v="3"/>
    <x v="1"/>
    <x v="153"/>
    <n v="70"/>
    <n v="350"/>
    <m/>
    <m/>
    <m/>
    <m/>
    <m/>
    <m/>
    <m/>
    <m/>
    <m/>
    <m/>
    <m/>
    <m/>
    <m/>
    <m/>
    <m/>
    <m/>
    <m/>
    <m/>
    <m/>
    <m/>
    <m/>
    <m/>
    <m/>
    <m/>
    <m/>
    <m/>
    <m/>
    <m/>
    <m/>
    <m/>
    <m/>
    <m/>
    <m/>
    <m/>
    <m/>
    <m/>
    <m/>
    <m/>
    <m/>
    <x v="0"/>
    <x v="0"/>
    <m/>
    <m/>
    <m/>
    <m/>
    <m/>
    <m/>
    <m/>
    <m/>
    <m/>
    <m/>
    <m/>
    <m/>
    <m/>
    <m/>
    <m/>
    <m/>
    <m/>
    <m/>
    <m/>
    <m/>
    <m/>
    <m/>
    <m/>
    <m/>
    <m/>
    <m/>
    <s v="no test"/>
    <s v="no test"/>
    <s v="No Test"/>
    <n v="0"/>
    <n v="0"/>
    <n v="0"/>
    <n v="0"/>
    <n v="0"/>
    <n v="0"/>
    <n v="0"/>
    <n v="0"/>
    <n v="0"/>
    <n v="0"/>
    <n v="0"/>
    <n v="0"/>
    <n v="0"/>
    <n v="0"/>
    <n v="0"/>
    <n v="1"/>
    <n v="350"/>
    <n v="1"/>
    <n v="1"/>
    <n v="0"/>
    <n v="0"/>
    <n v="0"/>
    <n v="0"/>
    <n v="0"/>
    <n v="0"/>
    <n v="0"/>
    <n v="18"/>
    <n v="18"/>
    <n v="1"/>
    <n v="0"/>
    <n v="0"/>
    <n v="0"/>
    <n v="0"/>
    <n v="0"/>
    <n v="0"/>
    <n v="0"/>
    <n v="1"/>
    <n v="0"/>
    <n v="0"/>
    <n v="0"/>
    <n v="0"/>
    <n v="0"/>
    <n v="0"/>
    <n v="0"/>
    <s v="No"/>
    <s v=""/>
    <n v="0"/>
    <n v="0"/>
    <s v="Yes"/>
    <s v="KMSS-MYT"/>
    <x v="0"/>
    <x v="1"/>
    <x v="1"/>
    <n v="25.656009999999998"/>
    <n v="96.361609999999999"/>
    <s v="MMR001CMP168"/>
    <x v="1"/>
    <s v="cccm_2019OCT"/>
  </r>
  <r>
    <x v="2"/>
    <x v="0"/>
    <x v="0"/>
    <m/>
    <x v="0"/>
    <x v="4"/>
    <x v="1"/>
    <x v="5"/>
    <n v="169"/>
    <n v="837"/>
    <m/>
    <m/>
    <m/>
    <m/>
    <m/>
    <m/>
    <s v="Yes"/>
    <m/>
    <n v="4"/>
    <n v="0"/>
    <m/>
    <m/>
    <n v="0"/>
    <m/>
    <m/>
    <m/>
    <n v="1"/>
    <m/>
    <m/>
    <m/>
    <m/>
    <m/>
    <m/>
    <n v="0"/>
    <m/>
    <m/>
    <m/>
    <m/>
    <m/>
    <m/>
    <m/>
    <n v="32"/>
    <m/>
    <m/>
    <m/>
    <m/>
    <m/>
    <m/>
    <n v="32"/>
    <x v="1"/>
    <x v="1"/>
    <m/>
    <m/>
    <n v="5"/>
    <m/>
    <m/>
    <m/>
    <m/>
    <m/>
    <m/>
    <n v="4"/>
    <m/>
    <m/>
    <m/>
    <m/>
    <m/>
    <m/>
    <m/>
    <m/>
    <m/>
    <m/>
    <m/>
    <m/>
    <m/>
    <m/>
    <m/>
    <m/>
    <s v="no test"/>
    <s v="no test"/>
    <s v="No Test"/>
    <n v="0"/>
    <n v="0"/>
    <n v="1"/>
    <n v="0"/>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0"/>
    <n v="0"/>
    <n v="0"/>
    <n v="42"/>
    <n v="10"/>
    <n v="0.2353643966547192"/>
    <n v="0"/>
    <n v="0"/>
    <n v="0"/>
    <n v="0"/>
    <n v="0"/>
    <n v="0"/>
    <n v="0"/>
    <n v="1"/>
    <n v="0"/>
    <n v="0"/>
    <n v="0"/>
    <n v="0"/>
    <n v="0"/>
    <n v="0"/>
    <n v="0"/>
    <s v="No"/>
    <s v=""/>
    <n v="0"/>
    <n v="0"/>
    <s v="Yes"/>
    <s v="KBC-MYT"/>
    <x v="0"/>
    <x v="1"/>
    <x v="0"/>
    <n v="25.754110000000001"/>
    <n v="98.475719999999995"/>
    <s v="MMR001CMP043"/>
    <x v="0"/>
    <s v="cccm_2019OCT"/>
  </r>
  <r>
    <x v="2"/>
    <x v="0"/>
    <x v="0"/>
    <m/>
    <x v="0"/>
    <x v="5"/>
    <x v="0"/>
    <x v="6"/>
    <n v="39"/>
    <n v="121"/>
    <m/>
    <m/>
    <m/>
    <m/>
    <m/>
    <m/>
    <m/>
    <m/>
    <n v="4"/>
    <m/>
    <m/>
    <m/>
    <m/>
    <m/>
    <m/>
    <m/>
    <m/>
    <m/>
    <m/>
    <m/>
    <m/>
    <m/>
    <m/>
    <m/>
    <m/>
    <m/>
    <m/>
    <m/>
    <m/>
    <m/>
    <m/>
    <m/>
    <m/>
    <m/>
    <m/>
    <m/>
    <m/>
    <m/>
    <m/>
    <x v="3"/>
    <x v="3"/>
    <m/>
    <m/>
    <m/>
    <m/>
    <m/>
    <m/>
    <m/>
    <m/>
    <m/>
    <m/>
    <m/>
    <m/>
    <m/>
    <m/>
    <m/>
    <m/>
    <m/>
    <m/>
    <m/>
    <m/>
    <m/>
    <m/>
    <m/>
    <m/>
    <m/>
    <m/>
    <s v="no test"/>
    <s v="no test"/>
    <s v="No Test"/>
    <n v="0"/>
    <n v="0"/>
    <n v="0"/>
    <n v="0"/>
    <n v="0"/>
    <n v="0"/>
    <n v="0"/>
    <n v="0"/>
    <n v="0"/>
    <n v="0"/>
    <n v="0"/>
    <n v="0"/>
    <n v="0"/>
    <n v="0"/>
    <n v="0"/>
    <n v="1"/>
    <n v="121"/>
    <n v="1"/>
    <n v="1"/>
    <n v="0"/>
    <n v="0"/>
    <n v="0"/>
    <n v="0"/>
    <n v="0"/>
    <n v="0"/>
    <n v="0"/>
    <n v="6"/>
    <n v="6"/>
    <n v="1"/>
    <n v="0"/>
    <n v="0"/>
    <n v="0"/>
    <n v="0"/>
    <n v="0"/>
    <n v="0"/>
    <n v="0"/>
    <n v="1"/>
    <n v="0"/>
    <n v="0"/>
    <n v="0"/>
    <n v="0"/>
    <n v="0"/>
    <n v="0"/>
    <n v="0"/>
    <s v="No"/>
    <s v=""/>
    <n v="0"/>
    <n v="0"/>
    <n v="0"/>
    <n v="0"/>
    <x v="0"/>
    <x v="0"/>
    <x v="0"/>
    <n v="0"/>
    <n v="0"/>
    <n v="0"/>
    <x v="0"/>
    <n v="0"/>
  </r>
  <r>
    <x v="2"/>
    <x v="0"/>
    <x v="0"/>
    <s v="PLAN(GFFO),MHF13490"/>
    <x v="0"/>
    <x v="0"/>
    <x v="1"/>
    <x v="7"/>
    <n v="197"/>
    <n v="1050"/>
    <s v="5-1-2019,10-1-2019"/>
    <s v="9-30-2020,7-31-2020"/>
    <m/>
    <m/>
    <m/>
    <m/>
    <s v="Yes"/>
    <m/>
    <n v="1"/>
    <n v="1"/>
    <m/>
    <m/>
    <n v="4"/>
    <m/>
    <m/>
    <m/>
    <m/>
    <m/>
    <m/>
    <m/>
    <m/>
    <m/>
    <m/>
    <n v="5"/>
    <m/>
    <m/>
    <m/>
    <m/>
    <m/>
    <m/>
    <m/>
    <n v="43"/>
    <m/>
    <m/>
    <m/>
    <m/>
    <m/>
    <m/>
    <n v="43"/>
    <x v="1"/>
    <x v="1"/>
    <m/>
    <m/>
    <m/>
    <m/>
    <m/>
    <m/>
    <n v="6"/>
    <m/>
    <m/>
    <n v="3"/>
    <m/>
    <m/>
    <n v="5"/>
    <m/>
    <m/>
    <m/>
    <m/>
    <m/>
    <m/>
    <m/>
    <m/>
    <m/>
    <m/>
    <m/>
    <m/>
    <m/>
    <s v="no test"/>
    <s v="no test"/>
    <s v="No Test"/>
    <n v="1"/>
    <n v="4"/>
    <n v="0"/>
    <n v="0"/>
    <n v="0"/>
    <n v="0"/>
    <n v="1"/>
    <n v="1"/>
    <n v="1"/>
    <n v="1050"/>
    <n v="0"/>
    <n v="0"/>
    <n v="1"/>
    <n v="1050"/>
    <n v="2.1"/>
    <n v="0"/>
    <n v="0"/>
    <n v="0"/>
    <n v="2"/>
    <n v="43"/>
    <n v="0.81904761904761902"/>
    <n v="860"/>
    <n v="0"/>
    <n v="0"/>
    <n v="0"/>
    <n v="0"/>
    <n v="53"/>
    <n v="10"/>
    <n v="0.18095238095238098"/>
    <n v="0"/>
    <n v="1050"/>
    <n v="0"/>
    <n v="0"/>
    <n v="0"/>
    <n v="1050"/>
    <n v="1"/>
    <n v="0"/>
    <n v="1"/>
    <n v="0"/>
    <n v="0"/>
    <n v="6"/>
    <n v="120"/>
    <n v="0"/>
    <n v="600"/>
    <s v="No"/>
    <s v=""/>
    <n v="0"/>
    <n v="0"/>
    <s v="Yes"/>
    <s v="KBC-MYT"/>
    <x v="0"/>
    <x v="1"/>
    <x v="1"/>
    <n v="25.397850999999999"/>
    <n v="97.370900000000006"/>
    <s v="MMR001CMP018"/>
    <x v="0"/>
    <s v="cccm_2019OCT"/>
  </r>
  <r>
    <x v="2"/>
    <x v="1"/>
    <x v="1"/>
    <s v="HARP/UNICEF"/>
    <x v="0"/>
    <x v="0"/>
    <x v="1"/>
    <x v="50"/>
    <n v="90"/>
    <n v="430"/>
    <s v="3-1-2019, 12-11-2019"/>
    <s v="12-31-2020, 12-10-2020"/>
    <m/>
    <m/>
    <m/>
    <m/>
    <s v="Yes"/>
    <m/>
    <m/>
    <n v="1"/>
    <m/>
    <m/>
    <m/>
    <m/>
    <m/>
    <m/>
    <m/>
    <m/>
    <m/>
    <m/>
    <m/>
    <m/>
    <m/>
    <m/>
    <n v="1"/>
    <n v="1"/>
    <m/>
    <m/>
    <n v="1"/>
    <m/>
    <m/>
    <n v="22"/>
    <m/>
    <m/>
    <m/>
    <m/>
    <m/>
    <m/>
    <m/>
    <x v="1"/>
    <x v="1"/>
    <n v="1"/>
    <m/>
    <m/>
    <m/>
    <m/>
    <m/>
    <m/>
    <m/>
    <m/>
    <n v="3"/>
    <m/>
    <m/>
    <n v="2"/>
    <m/>
    <m/>
    <m/>
    <m/>
    <m/>
    <m/>
    <m/>
    <m/>
    <m/>
    <m/>
    <m/>
    <m/>
    <m/>
    <n v="1"/>
    <s v="no test"/>
    <s v="Tested"/>
    <n v="1"/>
    <n v="0"/>
    <n v="0"/>
    <n v="0"/>
    <n v="0"/>
    <n v="0"/>
    <n v="0.93023255813953487"/>
    <n v="0.58139534883720934"/>
    <n v="0.93023255813953487"/>
    <n v="400"/>
    <n v="0"/>
    <n v="0"/>
    <n v="0.93023255813953487"/>
    <n v="400"/>
    <n v="0.8"/>
    <n v="6.9767441860465129E-2"/>
    <n v="30.000000000000007"/>
    <n v="0.19999999999999996"/>
    <n v="1"/>
    <n v="22"/>
    <n v="1"/>
    <n v="430"/>
    <n v="0"/>
    <n v="0"/>
    <n v="0"/>
    <n v="0"/>
    <n v="22"/>
    <n v="0"/>
    <n v="0"/>
    <n v="0"/>
    <n v="430"/>
    <n v="0"/>
    <n v="0"/>
    <n v="0"/>
    <n v="430"/>
    <n v="1"/>
    <n v="0"/>
    <n v="1"/>
    <n v="0"/>
    <n v="0"/>
    <n v="0"/>
    <n v="0"/>
    <n v="0"/>
    <n v="0"/>
    <s v="No"/>
    <s v=""/>
    <n v="0"/>
    <n v="0"/>
    <s v="Yes"/>
    <s v="KMSS-MYT"/>
    <x v="0"/>
    <x v="1"/>
    <x v="1"/>
    <n v="25.403476999999999"/>
    <n v="97.373361000000003"/>
    <s v="MMR001CMP019"/>
    <x v="0"/>
    <s v="cccm_2019OCT"/>
  </r>
  <r>
    <x v="2"/>
    <x v="0"/>
    <x v="0"/>
    <s v="PLAN(GFFO),MHF13490"/>
    <x v="0"/>
    <x v="6"/>
    <x v="1"/>
    <x v="9"/>
    <n v="13"/>
    <n v="66"/>
    <s v="5-1-2019,10-1-2019"/>
    <s v="9-30-2020,7-31-2020"/>
    <m/>
    <m/>
    <m/>
    <m/>
    <s v="Yes"/>
    <m/>
    <n v="3"/>
    <n v="0"/>
    <m/>
    <m/>
    <n v="1"/>
    <m/>
    <m/>
    <m/>
    <m/>
    <m/>
    <m/>
    <m/>
    <m/>
    <m/>
    <m/>
    <n v="2"/>
    <m/>
    <m/>
    <m/>
    <m/>
    <m/>
    <m/>
    <m/>
    <n v="6"/>
    <m/>
    <m/>
    <m/>
    <m/>
    <m/>
    <m/>
    <n v="6"/>
    <x v="1"/>
    <x v="2"/>
    <m/>
    <m/>
    <m/>
    <m/>
    <m/>
    <m/>
    <n v="2"/>
    <m/>
    <m/>
    <n v="2"/>
    <m/>
    <m/>
    <n v="1"/>
    <m/>
    <m/>
    <m/>
    <m/>
    <m/>
    <m/>
    <m/>
    <m/>
    <m/>
    <m/>
    <m/>
    <m/>
    <m/>
    <s v="no test"/>
    <s v="no test"/>
    <s v="No Test"/>
    <n v="0"/>
    <n v="1"/>
    <n v="0"/>
    <n v="0"/>
    <n v="0"/>
    <n v="0"/>
    <n v="1"/>
    <n v="1"/>
    <n v="1"/>
    <n v="66"/>
    <n v="0"/>
    <n v="0"/>
    <n v="1"/>
    <n v="66"/>
    <n v="0.13200000000000001"/>
    <n v="0"/>
    <n v="0"/>
    <n v="0.86799999999999999"/>
    <n v="1"/>
    <n v="6"/>
    <n v="1"/>
    <n v="66"/>
    <n v="0"/>
    <n v="0"/>
    <n v="0"/>
    <n v="0"/>
    <n v="3"/>
    <n v="0"/>
    <n v="0"/>
    <n v="0"/>
    <n v="66"/>
    <n v="0"/>
    <n v="0"/>
    <n v="0"/>
    <n v="66"/>
    <n v="1"/>
    <n v="0"/>
    <n v="1"/>
    <n v="0"/>
    <n v="0"/>
    <n v="2"/>
    <n v="13"/>
    <n v="0"/>
    <n v="66"/>
    <s v="No"/>
    <s v=""/>
    <n v="0"/>
    <n v="0"/>
    <s v="Yes"/>
    <s v="KBC-MYT"/>
    <x v="0"/>
    <x v="1"/>
    <x v="1"/>
    <n v="25.305669999999999"/>
    <n v="96.922619999999995"/>
    <s v="MMR001CMP078"/>
    <x v="0"/>
    <s v="cccm_2019OCT"/>
  </r>
  <r>
    <x v="2"/>
    <x v="0"/>
    <x v="0"/>
    <s v="OFDA"/>
    <x v="0"/>
    <x v="7"/>
    <x v="0"/>
    <x v="10"/>
    <n v="440"/>
    <n v="2199"/>
    <d v="2019-07-01T00:00:00"/>
    <d v="2020-06-30T00:00:00"/>
    <m/>
    <m/>
    <m/>
    <m/>
    <s v="Yes"/>
    <m/>
    <m/>
    <m/>
    <m/>
    <m/>
    <n v="1"/>
    <n v="0"/>
    <m/>
    <m/>
    <m/>
    <m/>
    <m/>
    <n v="0"/>
    <n v="0"/>
    <m/>
    <n v="0"/>
    <n v="0"/>
    <m/>
    <m/>
    <m/>
    <m/>
    <n v="20"/>
    <m/>
    <m/>
    <m/>
    <n v="0"/>
    <m/>
    <m/>
    <m/>
    <m/>
    <m/>
    <n v="0"/>
    <x v="3"/>
    <x v="3"/>
    <m/>
    <m/>
    <n v="51"/>
    <m/>
    <m/>
    <m/>
    <m/>
    <m/>
    <m/>
    <n v="0"/>
    <m/>
    <m/>
    <m/>
    <m/>
    <m/>
    <m/>
    <m/>
    <m/>
    <m/>
    <m/>
    <m/>
    <m/>
    <m/>
    <m/>
    <m/>
    <m/>
    <s v="no test"/>
    <s v="no test"/>
    <s v="No Test"/>
    <n v="0"/>
    <n v="1"/>
    <n v="0"/>
    <n v="0"/>
    <n v="0"/>
    <n v="0"/>
    <n v="0.22737608003638018"/>
    <n v="0.11368804001819009"/>
    <n v="0.22737608003638018"/>
    <n v="500"/>
    <n v="0"/>
    <n v="0"/>
    <n v="0.22737608003638018"/>
    <n v="500"/>
    <n v="1"/>
    <n v="0.77262391996361979"/>
    <n v="1699"/>
    <n v="3"/>
    <n v="4"/>
    <n v="0"/>
    <n v="0"/>
    <n v="0"/>
    <n v="0"/>
    <n v="0"/>
    <n v="0"/>
    <n v="0"/>
    <n v="110"/>
    <n v="110"/>
    <n v="1"/>
    <n v="0"/>
    <n v="0"/>
    <n v="0"/>
    <n v="0"/>
    <n v="0"/>
    <n v="0"/>
    <n v="0"/>
    <n v="1"/>
    <n v="0"/>
    <n v="0"/>
    <n v="0"/>
    <n v="0"/>
    <n v="0"/>
    <n v="0"/>
    <n v="0"/>
    <s v="No"/>
    <s v=""/>
    <n v="0"/>
    <n v="0"/>
    <n v="0"/>
    <n v="0"/>
    <x v="0"/>
    <x v="2"/>
    <x v="0"/>
    <n v="0"/>
    <n v="0"/>
    <n v="0"/>
    <x v="0"/>
    <n v="0"/>
  </r>
  <r>
    <x v="2"/>
    <x v="0"/>
    <x v="0"/>
    <s v="PLAN(GFFO),MHF13490"/>
    <x v="0"/>
    <x v="0"/>
    <x v="1"/>
    <x v="8"/>
    <n v="118"/>
    <n v="489"/>
    <s v="5-1-2019,10-1-2019"/>
    <s v="9-30-2020,7-31-2020"/>
    <m/>
    <m/>
    <m/>
    <m/>
    <s v="Yes"/>
    <m/>
    <n v="5"/>
    <n v="1"/>
    <m/>
    <m/>
    <n v="7"/>
    <m/>
    <m/>
    <m/>
    <m/>
    <m/>
    <m/>
    <m/>
    <m/>
    <m/>
    <m/>
    <n v="6"/>
    <m/>
    <m/>
    <m/>
    <m/>
    <m/>
    <m/>
    <m/>
    <n v="16"/>
    <m/>
    <m/>
    <m/>
    <m/>
    <m/>
    <m/>
    <n v="16"/>
    <x v="1"/>
    <x v="1"/>
    <m/>
    <m/>
    <m/>
    <m/>
    <m/>
    <m/>
    <n v="6"/>
    <m/>
    <m/>
    <n v="0"/>
    <m/>
    <m/>
    <n v="2"/>
    <m/>
    <m/>
    <m/>
    <m/>
    <m/>
    <m/>
    <m/>
    <m/>
    <m/>
    <m/>
    <m/>
    <m/>
    <m/>
    <s v="no test"/>
    <s v="no test"/>
    <s v="No Test"/>
    <n v="1"/>
    <n v="7"/>
    <n v="0"/>
    <n v="0"/>
    <n v="0"/>
    <n v="0"/>
    <n v="1"/>
    <n v="1"/>
    <n v="1"/>
    <n v="489"/>
    <n v="0"/>
    <n v="0"/>
    <n v="1"/>
    <n v="489"/>
    <n v="0.97799999999999998"/>
    <n v="0"/>
    <n v="0"/>
    <n v="2.200000000000002E-2"/>
    <n v="1"/>
    <n v="16"/>
    <n v="0.65439672801635995"/>
    <n v="320"/>
    <n v="0"/>
    <n v="0"/>
    <n v="0"/>
    <n v="0"/>
    <n v="24"/>
    <n v="8"/>
    <n v="0.34560327198364005"/>
    <n v="0"/>
    <n v="489"/>
    <n v="0"/>
    <n v="0"/>
    <n v="0"/>
    <n v="489"/>
    <n v="1"/>
    <n v="0"/>
    <n v="1"/>
    <n v="0"/>
    <n v="0"/>
    <n v="6"/>
    <n v="118"/>
    <n v="0"/>
    <n v="489"/>
    <s v="No"/>
    <s v=""/>
    <n v="0"/>
    <n v="0"/>
    <n v="0"/>
    <s v="KBC-MYT"/>
    <x v="0"/>
    <x v="1"/>
    <x v="1"/>
    <n v="0"/>
    <n v="0"/>
    <s v="MMR001CMP265"/>
    <x v="0"/>
    <s v="cccm_2019OCT"/>
  </r>
  <r>
    <x v="2"/>
    <x v="1"/>
    <x v="1"/>
    <s v="UNICEF"/>
    <x v="0"/>
    <x v="0"/>
    <x v="1"/>
    <x v="52"/>
    <n v="14"/>
    <n v="39"/>
    <d v="2019-12-11T00:00:00"/>
    <d v="2020-12-10T00:00:00"/>
    <m/>
    <n v="2"/>
    <m/>
    <m/>
    <s v="Yes"/>
    <n v="1"/>
    <n v="2"/>
    <m/>
    <m/>
    <m/>
    <n v="1"/>
    <m/>
    <m/>
    <m/>
    <m/>
    <m/>
    <m/>
    <m/>
    <m/>
    <m/>
    <m/>
    <n v="14"/>
    <n v="1"/>
    <m/>
    <n v="2"/>
    <n v="1"/>
    <m/>
    <m/>
    <m/>
    <m/>
    <m/>
    <m/>
    <m/>
    <m/>
    <m/>
    <m/>
    <m/>
    <x v="1"/>
    <x v="1"/>
    <m/>
    <m/>
    <m/>
    <m/>
    <m/>
    <m/>
    <n v="2"/>
    <m/>
    <m/>
    <n v="2"/>
    <m/>
    <m/>
    <n v="0"/>
    <n v="6"/>
    <m/>
    <s v="No"/>
    <m/>
    <m/>
    <m/>
    <n v="0.3"/>
    <n v="0.3"/>
    <m/>
    <m/>
    <m/>
    <m/>
    <m/>
    <n v="0"/>
    <n v="0.5"/>
    <s v="Tested"/>
    <n v="0"/>
    <n v="1"/>
    <n v="0"/>
    <n v="0"/>
    <n v="0"/>
    <n v="0"/>
    <n v="1"/>
    <n v="1"/>
    <n v="1"/>
    <n v="39"/>
    <n v="0"/>
    <n v="0"/>
    <n v="1"/>
    <n v="39"/>
    <n v="7.8E-2"/>
    <n v="0"/>
    <n v="0"/>
    <n v="0.92200000000000004"/>
    <n v="1"/>
    <n v="0"/>
    <n v="0"/>
    <n v="0"/>
    <n v="0"/>
    <n v="0"/>
    <n v="0"/>
    <n v="0"/>
    <n v="2"/>
    <n v="2"/>
    <n v="1"/>
    <n v="0"/>
    <n v="0"/>
    <n v="30"/>
    <n v="0"/>
    <n v="30"/>
    <n v="30"/>
    <n v="0.76923076923076927"/>
    <n v="0.23076923076923073"/>
    <n v="0"/>
    <n v="1"/>
    <n v="0"/>
    <n v="2"/>
    <n v="14"/>
    <n v="0"/>
    <n v="39"/>
    <s v="No"/>
    <s v=""/>
    <n v="0"/>
    <n v="0"/>
    <n v="0"/>
    <s v="KMSS-MYT"/>
    <x v="0"/>
    <x v="1"/>
    <x v="1"/>
    <n v="0"/>
    <n v="0"/>
    <s v="MMR001CMP256"/>
    <x v="0"/>
    <s v="cccm_2019OCT"/>
  </r>
  <r>
    <x v="2"/>
    <x v="0"/>
    <x v="0"/>
    <m/>
    <x v="0"/>
    <x v="0"/>
    <x v="0"/>
    <x v="11"/>
    <n v="51"/>
    <n v="252"/>
    <m/>
    <m/>
    <m/>
    <m/>
    <m/>
    <m/>
    <m/>
    <m/>
    <n v="4"/>
    <n v="0"/>
    <m/>
    <m/>
    <n v="0"/>
    <m/>
    <m/>
    <m/>
    <m/>
    <m/>
    <m/>
    <m/>
    <m/>
    <m/>
    <m/>
    <n v="0"/>
    <m/>
    <m/>
    <m/>
    <m/>
    <m/>
    <m/>
    <m/>
    <n v="0"/>
    <m/>
    <m/>
    <m/>
    <m/>
    <m/>
    <m/>
    <n v="0"/>
    <x v="3"/>
    <x v="3"/>
    <m/>
    <m/>
    <m/>
    <m/>
    <m/>
    <m/>
    <m/>
    <m/>
    <m/>
    <n v="0"/>
    <m/>
    <m/>
    <m/>
    <m/>
    <m/>
    <m/>
    <m/>
    <m/>
    <m/>
    <m/>
    <m/>
    <m/>
    <m/>
    <m/>
    <m/>
    <m/>
    <s v="no test"/>
    <s v="no test"/>
    <s v="No Test"/>
    <n v="0"/>
    <n v="0"/>
    <n v="0"/>
    <n v="0"/>
    <n v="0"/>
    <n v="0"/>
    <n v="0"/>
    <n v="0"/>
    <n v="0"/>
    <n v="0"/>
    <n v="0"/>
    <n v="0"/>
    <n v="0"/>
    <n v="0"/>
    <n v="0"/>
    <n v="1"/>
    <n v="252"/>
    <n v="1"/>
    <n v="1"/>
    <n v="0"/>
    <n v="0"/>
    <n v="0"/>
    <n v="0"/>
    <n v="0"/>
    <n v="0"/>
    <n v="0"/>
    <n v="13"/>
    <n v="13"/>
    <n v="1"/>
    <n v="0"/>
    <n v="0"/>
    <n v="0"/>
    <n v="0"/>
    <n v="0"/>
    <n v="0"/>
    <n v="0"/>
    <n v="1"/>
    <n v="0"/>
    <n v="0"/>
    <n v="0"/>
    <n v="0"/>
    <n v="0"/>
    <n v="0"/>
    <n v="0"/>
    <s v="No"/>
    <s v=""/>
    <n v="0"/>
    <n v="0"/>
    <n v="0"/>
    <n v="0"/>
    <x v="0"/>
    <x v="0"/>
    <x v="0"/>
    <n v="0"/>
    <n v="0"/>
    <n v="0"/>
    <x v="0"/>
    <n v="0"/>
  </r>
  <r>
    <x v="2"/>
    <x v="0"/>
    <x v="0"/>
    <s v="PLAN(GFFO),MHF13490"/>
    <x v="0"/>
    <x v="8"/>
    <x v="1"/>
    <x v="14"/>
    <n v="60"/>
    <n v="289"/>
    <s v="5-1-2019,10-1-2019"/>
    <s v="9-30-2020,7-31-2020"/>
    <m/>
    <m/>
    <m/>
    <m/>
    <s v="Yes"/>
    <m/>
    <m/>
    <n v="1"/>
    <m/>
    <m/>
    <m/>
    <m/>
    <m/>
    <m/>
    <m/>
    <m/>
    <m/>
    <m/>
    <n v="1"/>
    <m/>
    <m/>
    <n v="1"/>
    <m/>
    <m/>
    <m/>
    <m/>
    <m/>
    <m/>
    <m/>
    <n v="12"/>
    <m/>
    <m/>
    <m/>
    <m/>
    <m/>
    <m/>
    <n v="12"/>
    <x v="1"/>
    <x v="1"/>
    <m/>
    <m/>
    <m/>
    <m/>
    <m/>
    <m/>
    <n v="4"/>
    <m/>
    <m/>
    <n v="2"/>
    <m/>
    <m/>
    <n v="2"/>
    <m/>
    <m/>
    <m/>
    <m/>
    <m/>
    <m/>
    <m/>
    <m/>
    <m/>
    <m/>
    <m/>
    <m/>
    <m/>
    <s v="no test"/>
    <s v="no test"/>
    <s v="No Test"/>
    <n v="1"/>
    <n v="0"/>
    <n v="0"/>
    <n v="0"/>
    <n v="0"/>
    <n v="0"/>
    <n v="1"/>
    <n v="0.86505190311418689"/>
    <n v="1"/>
    <n v="289"/>
    <n v="0.86505190311418689"/>
    <n v="250"/>
    <n v="1"/>
    <n v="289"/>
    <n v="0.57799999999999996"/>
    <n v="0"/>
    <n v="0"/>
    <n v="0.42200000000000004"/>
    <n v="1"/>
    <n v="12"/>
    <n v="0.83044982698961933"/>
    <n v="240"/>
    <n v="0"/>
    <n v="0"/>
    <n v="0"/>
    <n v="0"/>
    <n v="14"/>
    <n v="2"/>
    <n v="0.16955017301038067"/>
    <n v="0"/>
    <n v="289"/>
    <n v="0"/>
    <n v="0"/>
    <n v="0"/>
    <n v="289"/>
    <n v="1"/>
    <n v="0"/>
    <n v="1"/>
    <n v="0"/>
    <n v="0"/>
    <n v="4"/>
    <n v="60"/>
    <n v="0"/>
    <n v="289"/>
    <s v="No"/>
    <s v=""/>
    <n v="0"/>
    <n v="0"/>
    <s v="Yes"/>
    <s v="KBC-MYT"/>
    <x v="0"/>
    <x v="1"/>
    <x v="1"/>
    <n v="27.337499999999999"/>
    <n v="97.416121000000004"/>
    <s v="MMR001CMP234"/>
    <x v="0"/>
    <s v="cccm_2019OCT"/>
  </r>
  <r>
    <x v="2"/>
    <x v="0"/>
    <x v="0"/>
    <s v="PLAN(GFFO),MHF13490"/>
    <x v="0"/>
    <x v="6"/>
    <x v="1"/>
    <x v="15"/>
    <n v="16"/>
    <n v="78"/>
    <s v="5-1-2019,10-1-2019"/>
    <s v="9-30-2020,7-31-2020"/>
    <m/>
    <m/>
    <m/>
    <m/>
    <s v="Yes"/>
    <m/>
    <n v="3"/>
    <n v="0"/>
    <m/>
    <m/>
    <n v="1"/>
    <m/>
    <m/>
    <m/>
    <m/>
    <m/>
    <m/>
    <m/>
    <m/>
    <m/>
    <m/>
    <n v="2"/>
    <m/>
    <m/>
    <m/>
    <m/>
    <m/>
    <m/>
    <m/>
    <n v="2"/>
    <m/>
    <m/>
    <m/>
    <m/>
    <m/>
    <m/>
    <n v="2"/>
    <x v="1"/>
    <x v="1"/>
    <m/>
    <m/>
    <m/>
    <m/>
    <m/>
    <m/>
    <n v="2"/>
    <m/>
    <m/>
    <n v="2"/>
    <m/>
    <m/>
    <n v="1"/>
    <m/>
    <m/>
    <m/>
    <m/>
    <m/>
    <m/>
    <m/>
    <m/>
    <m/>
    <m/>
    <m/>
    <m/>
    <m/>
    <s v="no test"/>
    <s v="no test"/>
    <s v="No Test"/>
    <n v="0"/>
    <n v="1"/>
    <n v="0"/>
    <n v="0"/>
    <n v="0"/>
    <n v="0"/>
    <n v="1"/>
    <n v="1"/>
    <n v="1"/>
    <n v="78"/>
    <n v="0"/>
    <n v="0"/>
    <n v="1"/>
    <n v="78"/>
    <n v="0.156"/>
    <n v="0"/>
    <n v="0"/>
    <n v="0.84399999999999997"/>
    <n v="1"/>
    <n v="2"/>
    <n v="0.51282051282051277"/>
    <n v="40"/>
    <n v="0"/>
    <n v="0"/>
    <n v="0"/>
    <n v="0"/>
    <n v="4"/>
    <n v="2"/>
    <n v="0.48717948717948723"/>
    <n v="0"/>
    <n v="78"/>
    <n v="0"/>
    <n v="0"/>
    <n v="0"/>
    <n v="78"/>
    <n v="1"/>
    <n v="0"/>
    <n v="1"/>
    <n v="0"/>
    <n v="0"/>
    <n v="2"/>
    <n v="16"/>
    <n v="0"/>
    <n v="78"/>
    <s v="No"/>
    <s v=""/>
    <n v="0"/>
    <n v="0"/>
    <s v="Yes"/>
    <s v="KBC-MYT"/>
    <x v="0"/>
    <x v="1"/>
    <x v="1"/>
    <n v="25.296579999999999"/>
    <n v="96.942279999999997"/>
    <s v="MMR001CMP077"/>
    <x v="0"/>
    <s v="cccm_2019OCT"/>
  </r>
  <r>
    <x v="2"/>
    <x v="4"/>
    <x v="4"/>
    <m/>
    <x v="0"/>
    <x v="2"/>
    <x v="1"/>
    <x v="131"/>
    <n v="62"/>
    <n v="410"/>
    <m/>
    <m/>
    <m/>
    <m/>
    <m/>
    <m/>
    <m/>
    <m/>
    <n v="3"/>
    <m/>
    <m/>
    <m/>
    <m/>
    <m/>
    <m/>
    <m/>
    <m/>
    <m/>
    <m/>
    <m/>
    <m/>
    <m/>
    <m/>
    <m/>
    <m/>
    <m/>
    <m/>
    <m/>
    <m/>
    <m/>
    <m/>
    <m/>
    <m/>
    <m/>
    <m/>
    <m/>
    <m/>
    <m/>
    <m/>
    <x v="0"/>
    <x v="0"/>
    <m/>
    <m/>
    <m/>
    <m/>
    <m/>
    <m/>
    <m/>
    <m/>
    <m/>
    <m/>
    <m/>
    <m/>
    <m/>
    <m/>
    <m/>
    <m/>
    <m/>
    <m/>
    <m/>
    <m/>
    <m/>
    <m/>
    <m/>
    <m/>
    <m/>
    <m/>
    <s v="no test"/>
    <s v="no test"/>
    <s v="No Test"/>
    <n v="0"/>
    <n v="0"/>
    <n v="0"/>
    <n v="0"/>
    <n v="0"/>
    <n v="0"/>
    <n v="0"/>
    <n v="0"/>
    <n v="0"/>
    <n v="0"/>
    <n v="0"/>
    <n v="0"/>
    <n v="0"/>
    <n v="0"/>
    <n v="0"/>
    <n v="1"/>
    <n v="410"/>
    <n v="1"/>
    <n v="1"/>
    <n v="0"/>
    <n v="0"/>
    <n v="0"/>
    <n v="0"/>
    <n v="0"/>
    <n v="0"/>
    <n v="0"/>
    <n v="21"/>
    <n v="21"/>
    <n v="1"/>
    <n v="0"/>
    <n v="0"/>
    <n v="0"/>
    <n v="0"/>
    <n v="0"/>
    <n v="0"/>
    <n v="0"/>
    <n v="1"/>
    <n v="0"/>
    <n v="0"/>
    <n v="0"/>
    <n v="0"/>
    <n v="0"/>
    <n v="0"/>
    <n v="0"/>
    <s v="No"/>
    <s v=""/>
    <n v="0"/>
    <n v="0"/>
    <n v="0"/>
    <s v="uncovered"/>
    <x v="0"/>
    <x v="0"/>
    <x v="1"/>
    <n v="25.305008999999998"/>
    <n v="97.430321000000006"/>
    <s v="MMR001CMP248"/>
    <x v="1"/>
    <s v="cccm_2019OCT"/>
  </r>
  <r>
    <x v="2"/>
    <x v="5"/>
    <x v="5"/>
    <s v="DFID"/>
    <x v="0"/>
    <x v="2"/>
    <x v="1"/>
    <x v="160"/>
    <n v="92"/>
    <n v="448"/>
    <d v="2018-08-01T00:00:00"/>
    <d v="2020-07-31T00:00:00"/>
    <m/>
    <n v="1"/>
    <m/>
    <m/>
    <s v="Yes"/>
    <n v="4"/>
    <n v="4"/>
    <n v="2"/>
    <m/>
    <m/>
    <n v="1"/>
    <m/>
    <m/>
    <m/>
    <n v="0"/>
    <m/>
    <m/>
    <n v="0"/>
    <n v="0"/>
    <n v="0"/>
    <n v="0"/>
    <n v="2"/>
    <m/>
    <m/>
    <m/>
    <m/>
    <n v="0"/>
    <n v="0"/>
    <m/>
    <n v="20"/>
    <n v="20"/>
    <s v="Unicef &amp; World vision"/>
    <m/>
    <m/>
    <m/>
    <m/>
    <n v="0"/>
    <x v="1"/>
    <x v="1"/>
    <n v="2"/>
    <n v="2"/>
    <n v="0"/>
    <m/>
    <m/>
    <m/>
    <n v="8"/>
    <m/>
    <n v="0"/>
    <n v="4"/>
    <m/>
    <n v="0"/>
    <n v="0"/>
    <m/>
    <m/>
    <s v="No"/>
    <m/>
    <m/>
    <m/>
    <m/>
    <m/>
    <m/>
    <m/>
    <m/>
    <m/>
    <m/>
    <s v="no test"/>
    <s v="no test"/>
    <s v="No Test"/>
    <n v="2"/>
    <n v="1"/>
    <n v="0"/>
    <n v="0"/>
    <n v="0"/>
    <n v="0"/>
    <n v="1"/>
    <n v="1"/>
    <n v="1"/>
    <n v="448"/>
    <n v="0"/>
    <n v="0"/>
    <n v="1"/>
    <n v="448"/>
    <n v="0.89600000000000002"/>
    <n v="0"/>
    <n v="0"/>
    <n v="0.10399999999999998"/>
    <n v="1"/>
    <n v="40"/>
    <n v="1"/>
    <n v="448"/>
    <n v="0"/>
    <n v="0"/>
    <n v="0"/>
    <n v="0"/>
    <n v="22"/>
    <n v="0"/>
    <n v="0"/>
    <n v="0"/>
    <n v="0"/>
    <n v="0"/>
    <n v="0"/>
    <n v="0"/>
    <n v="0"/>
    <n v="0"/>
    <n v="1"/>
    <n v="0"/>
    <n v="0"/>
    <n v="0"/>
    <n v="8"/>
    <n v="92"/>
    <n v="0"/>
    <n v="448"/>
    <s v="No"/>
    <s v=""/>
    <n v="0"/>
    <n v="0"/>
    <s v="Yes"/>
    <s v="Shalom"/>
    <x v="0"/>
    <x v="1"/>
    <x v="1"/>
    <n v="25.321710740740698"/>
    <n v="97.404195925926004"/>
    <s v="MMR001CMP028"/>
    <x v="0"/>
    <s v="cccm_2019OCT"/>
  </r>
  <r>
    <x v="2"/>
    <x v="0"/>
    <x v="0"/>
    <s v="MHF13490"/>
    <x v="0"/>
    <x v="2"/>
    <x v="1"/>
    <x v="3"/>
    <n v="140"/>
    <n v="875"/>
    <d v="2019-01-10T00:00:00"/>
    <s v="31-7-2020"/>
    <m/>
    <m/>
    <m/>
    <m/>
    <s v="Yes"/>
    <m/>
    <n v="3"/>
    <n v="0"/>
    <m/>
    <m/>
    <n v="0"/>
    <m/>
    <m/>
    <m/>
    <n v="1"/>
    <m/>
    <m/>
    <m/>
    <m/>
    <m/>
    <m/>
    <n v="0"/>
    <m/>
    <m/>
    <m/>
    <m/>
    <m/>
    <m/>
    <m/>
    <n v="50"/>
    <m/>
    <m/>
    <m/>
    <m/>
    <m/>
    <m/>
    <n v="50"/>
    <x v="1"/>
    <x v="1"/>
    <m/>
    <m/>
    <m/>
    <m/>
    <m/>
    <m/>
    <n v="50"/>
    <m/>
    <m/>
    <n v="4"/>
    <m/>
    <m/>
    <n v="3"/>
    <m/>
    <m/>
    <m/>
    <m/>
    <m/>
    <m/>
    <m/>
    <m/>
    <m/>
    <m/>
    <m/>
    <m/>
    <m/>
    <s v="no test"/>
    <s v="no test"/>
    <s v="No Test"/>
    <n v="0"/>
    <n v="0"/>
    <n v="1"/>
    <n v="0"/>
    <n v="0"/>
    <n v="0"/>
    <n v="7.6190476190476197E-2"/>
    <n v="7.6190476190476197E-2"/>
    <n v="7.6190476190476197E-2"/>
    <n v="66.666666666666671"/>
    <n v="0"/>
    <n v="0"/>
    <n v="7.6190476190476197E-2"/>
    <n v="66.666666666666671"/>
    <n v="0.13333333333333333"/>
    <n v="0.92380952380952386"/>
    <n v="808.33333333333337"/>
    <n v="1.8666666666666667"/>
    <n v="2"/>
    <n v="50"/>
    <n v="1"/>
    <n v="875"/>
    <n v="0"/>
    <n v="0"/>
    <n v="0"/>
    <n v="0"/>
    <n v="44"/>
    <n v="0"/>
    <n v="0"/>
    <n v="0"/>
    <n v="875"/>
    <n v="0"/>
    <n v="0"/>
    <n v="0"/>
    <n v="875"/>
    <n v="1"/>
    <n v="0"/>
    <n v="1"/>
    <n v="0"/>
    <n v="0"/>
    <n v="50"/>
    <n v="140"/>
    <n v="0"/>
    <n v="875"/>
    <s v="No"/>
    <s v=""/>
    <n v="0"/>
    <n v="0"/>
    <s v="Yes"/>
    <s v="KBC-MYT"/>
    <x v="0"/>
    <x v="1"/>
    <x v="0"/>
    <n v="25.200333000000001"/>
    <n v="97.807182999999995"/>
    <s v="MMR001CMP115"/>
    <x v="0"/>
    <s v="cccm_2019OCT"/>
  </r>
  <r>
    <x v="2"/>
    <x v="8"/>
    <x v="8"/>
    <s v="(PLAN(GFFO),MH), UNICEF"/>
    <x v="0"/>
    <x v="9"/>
    <x v="1"/>
    <x v="19"/>
    <n v="429"/>
    <n v="1900"/>
    <s v="(5/1/2019,10/1/2019,4/4/2019),1/1/2020"/>
    <s v="(30.Sep 2020/ 31.jul.2020/30.April 2020), 1-Dec-2020"/>
    <m/>
    <n v="18"/>
    <n v="37"/>
    <m/>
    <s v="Yes"/>
    <n v="14"/>
    <n v="42"/>
    <n v="0"/>
    <m/>
    <m/>
    <n v="4"/>
    <m/>
    <m/>
    <m/>
    <m/>
    <m/>
    <m/>
    <m/>
    <m/>
    <m/>
    <n v="5"/>
    <m/>
    <m/>
    <m/>
    <m/>
    <m/>
    <n v="8"/>
    <m/>
    <s v="Water safety plan need to install"/>
    <n v="110"/>
    <m/>
    <m/>
    <m/>
    <m/>
    <m/>
    <m/>
    <n v="110"/>
    <x v="1"/>
    <x v="1"/>
    <m/>
    <m/>
    <n v="4"/>
    <m/>
    <n v="76"/>
    <s v="Need waste truck and disludging truck"/>
    <n v="7"/>
    <m/>
    <m/>
    <n v="10"/>
    <m/>
    <m/>
    <n v="6"/>
    <m/>
    <m/>
    <m/>
    <m/>
    <m/>
    <s v="need more hygiene items especially MHM Kits"/>
    <m/>
    <m/>
    <m/>
    <m/>
    <m/>
    <m/>
    <m/>
    <s v="no test"/>
    <s v="no test"/>
    <s v="No Test"/>
    <n v="0"/>
    <n v="4"/>
    <n v="0"/>
    <n v="0"/>
    <n v="0"/>
    <n v="0"/>
    <n v="1"/>
    <n v="0.52631578947368418"/>
    <n v="1"/>
    <n v="1900"/>
    <n v="0"/>
    <n v="0"/>
    <n v="1"/>
    <n v="1900"/>
    <n v="3.8"/>
    <n v="0"/>
    <n v="0"/>
    <n v="0.20000000000000018"/>
    <n v="4"/>
    <n v="110"/>
    <n v="1"/>
    <n v="1900"/>
    <n v="0"/>
    <n v="0"/>
    <n v="0"/>
    <n v="0"/>
    <n v="95"/>
    <n v="0"/>
    <n v="0"/>
    <n v="0"/>
    <n v="1900"/>
    <n v="0"/>
    <n v="0"/>
    <n v="0"/>
    <n v="1900"/>
    <n v="1"/>
    <n v="0"/>
    <n v="1"/>
    <n v="0"/>
    <n v="0"/>
    <n v="7"/>
    <n v="140"/>
    <n v="0"/>
    <n v="700"/>
    <s v="No"/>
    <s v=""/>
    <n v="0"/>
    <n v="0"/>
    <s v="Yes"/>
    <s v="KBC-BMO"/>
    <x v="0"/>
    <x v="1"/>
    <x v="1"/>
    <n v="23.972453000000002"/>
    <n v="97.225881000000001"/>
    <s v="MMR001CMP218"/>
    <x v="0"/>
    <s v="cccm_2019OCT"/>
  </r>
  <r>
    <x v="2"/>
    <x v="0"/>
    <x v="0"/>
    <s v="PLAN(GFFO),MHF13490"/>
    <x v="0"/>
    <x v="0"/>
    <x v="1"/>
    <x v="12"/>
    <n v="99"/>
    <n v="547"/>
    <s v="5-1-2019,10-1-2019"/>
    <s v="9-30-2020,7-31-2020"/>
    <m/>
    <m/>
    <m/>
    <m/>
    <s v="Yes"/>
    <m/>
    <m/>
    <n v="0"/>
    <m/>
    <m/>
    <n v="3"/>
    <m/>
    <m/>
    <m/>
    <m/>
    <m/>
    <m/>
    <m/>
    <m/>
    <m/>
    <m/>
    <n v="2"/>
    <m/>
    <m/>
    <m/>
    <m/>
    <m/>
    <m/>
    <m/>
    <n v="8"/>
    <m/>
    <m/>
    <m/>
    <m/>
    <m/>
    <m/>
    <n v="8"/>
    <x v="1"/>
    <x v="2"/>
    <m/>
    <m/>
    <m/>
    <m/>
    <m/>
    <m/>
    <n v="5"/>
    <m/>
    <m/>
    <n v="2"/>
    <m/>
    <m/>
    <n v="1"/>
    <m/>
    <m/>
    <m/>
    <m/>
    <m/>
    <m/>
    <m/>
    <m/>
    <m/>
    <m/>
    <m/>
    <m/>
    <m/>
    <s v="no test"/>
    <s v="no test"/>
    <s v="No Test"/>
    <n v="0"/>
    <n v="3"/>
    <n v="0"/>
    <n v="0"/>
    <n v="0"/>
    <n v="0"/>
    <n v="1"/>
    <n v="1"/>
    <n v="1"/>
    <n v="547"/>
    <n v="0"/>
    <n v="0"/>
    <n v="1"/>
    <n v="547"/>
    <n v="1.0940000000000001"/>
    <n v="0"/>
    <n v="0"/>
    <n v="0"/>
    <n v="1"/>
    <n v="8"/>
    <n v="0.29250457038391225"/>
    <n v="160"/>
    <n v="0"/>
    <n v="0"/>
    <n v="0"/>
    <n v="0"/>
    <n v="27"/>
    <n v="19"/>
    <n v="0.7074954296160878"/>
    <n v="0"/>
    <n v="500"/>
    <n v="0"/>
    <n v="0"/>
    <n v="0"/>
    <n v="500"/>
    <n v="0.91407678244972579"/>
    <n v="8.5923217550274211E-2"/>
    <n v="0.91407678244972579"/>
    <n v="0"/>
    <n v="0"/>
    <n v="5"/>
    <n v="99"/>
    <n v="0"/>
    <n v="500"/>
    <s v="No"/>
    <s v=""/>
    <n v="0"/>
    <n v="0"/>
    <s v="Yes"/>
    <s v="KBC-MYT"/>
    <x v="0"/>
    <x v="1"/>
    <x v="1"/>
    <n v="25.362420757575801"/>
    <n v="97.409035000000003"/>
    <s v="MMR001CMP015"/>
    <x v="0"/>
    <s v="cccm_2019OCT"/>
  </r>
  <r>
    <x v="2"/>
    <x v="0"/>
    <x v="0"/>
    <s v="PLAN(GFFO),MHF13490"/>
    <x v="0"/>
    <x v="0"/>
    <x v="1"/>
    <x v="13"/>
    <n v="132"/>
    <n v="676"/>
    <s v="5-1-2019,10-1-2019"/>
    <s v="9-30-2020,7-31-2020"/>
    <m/>
    <m/>
    <m/>
    <m/>
    <s v="Yes"/>
    <m/>
    <n v="5"/>
    <n v="0"/>
    <m/>
    <m/>
    <n v="3"/>
    <m/>
    <m/>
    <m/>
    <m/>
    <m/>
    <m/>
    <m/>
    <m/>
    <m/>
    <m/>
    <n v="2"/>
    <m/>
    <m/>
    <m/>
    <m/>
    <m/>
    <m/>
    <m/>
    <n v="32"/>
    <m/>
    <m/>
    <m/>
    <m/>
    <m/>
    <m/>
    <n v="32"/>
    <x v="1"/>
    <x v="1"/>
    <m/>
    <m/>
    <m/>
    <m/>
    <m/>
    <m/>
    <n v="4"/>
    <m/>
    <m/>
    <n v="2"/>
    <m/>
    <m/>
    <n v="1"/>
    <m/>
    <m/>
    <m/>
    <m/>
    <m/>
    <m/>
    <m/>
    <m/>
    <m/>
    <m/>
    <m/>
    <m/>
    <m/>
    <s v="no test"/>
    <s v="no test"/>
    <s v="No Test"/>
    <n v="0"/>
    <n v="3"/>
    <n v="0"/>
    <n v="0"/>
    <n v="0"/>
    <n v="0"/>
    <n v="1"/>
    <n v="1"/>
    <n v="1"/>
    <n v="676"/>
    <n v="0"/>
    <n v="0"/>
    <n v="1"/>
    <n v="676"/>
    <n v="1.3520000000000001"/>
    <n v="0"/>
    <n v="0"/>
    <n v="0"/>
    <n v="1"/>
    <n v="32"/>
    <n v="0.94674556213017746"/>
    <n v="640"/>
    <n v="0"/>
    <n v="0"/>
    <n v="0"/>
    <n v="0"/>
    <n v="34"/>
    <n v="2"/>
    <n v="5.3254437869822535E-2"/>
    <n v="0"/>
    <n v="500"/>
    <n v="0"/>
    <n v="0"/>
    <n v="0"/>
    <n v="500"/>
    <n v="0.73964497041420119"/>
    <n v="0.26035502958579881"/>
    <n v="0.73964497041420119"/>
    <n v="0"/>
    <n v="0"/>
    <n v="4"/>
    <n v="80"/>
    <n v="0"/>
    <n v="400"/>
    <s v="No"/>
    <s v=""/>
    <n v="0"/>
    <n v="0"/>
    <s v="Yes"/>
    <s v="KBC-MYT"/>
    <x v="0"/>
    <x v="1"/>
    <x v="1"/>
    <n v="25.3510167948718"/>
    <n v="97.403402307692303"/>
    <s v="MMR001CMP014"/>
    <x v="0"/>
    <s v="cccm_2019OCT"/>
  </r>
  <r>
    <x v="2"/>
    <x v="9"/>
    <x v="9"/>
    <s v="(WHH-AA, USAID, MHF, HOPE),UNICEF"/>
    <x v="0"/>
    <x v="10"/>
    <x v="1"/>
    <x v="84"/>
    <n v="141"/>
    <n v="800"/>
    <s v="(1-10-2018, 30-9-2019,1-6-2020), 4-1-2019"/>
    <s v="(9-30-2020, 8-31-2020, 11-30-2020), 4-30-2020"/>
    <m/>
    <m/>
    <n v="4"/>
    <m/>
    <s v="Yes"/>
    <n v="2"/>
    <n v="2"/>
    <n v="1"/>
    <m/>
    <m/>
    <m/>
    <n v="1"/>
    <m/>
    <m/>
    <m/>
    <m/>
    <m/>
    <m/>
    <m/>
    <m/>
    <m/>
    <m/>
    <m/>
    <m/>
    <m/>
    <m/>
    <m/>
    <m/>
    <s v="Water safety plan need to install"/>
    <n v="21"/>
    <m/>
    <m/>
    <m/>
    <m/>
    <m/>
    <m/>
    <m/>
    <x v="1"/>
    <x v="1"/>
    <m/>
    <m/>
    <n v="5"/>
    <m/>
    <m/>
    <m/>
    <n v="12"/>
    <m/>
    <m/>
    <n v="5"/>
    <m/>
    <m/>
    <n v="6"/>
    <n v="141"/>
    <m/>
    <s v="No"/>
    <m/>
    <m/>
    <s v="Hygiene refill item distribution couldn't be done by voucher system because of the Covid-19 prevention situations"/>
    <m/>
    <m/>
    <m/>
    <m/>
    <m/>
    <m/>
    <m/>
    <s v="no test"/>
    <s v="no test"/>
    <s v="No Test"/>
    <n v="1"/>
    <n v="1"/>
    <n v="0"/>
    <n v="0"/>
    <n v="0"/>
    <n v="0"/>
    <n v="1"/>
    <n v="0.625"/>
    <n v="1"/>
    <n v="800"/>
    <n v="0"/>
    <n v="0"/>
    <n v="1"/>
    <n v="800"/>
    <n v="1.6"/>
    <n v="0"/>
    <n v="0"/>
    <n v="0.39999999999999991"/>
    <n v="2"/>
    <n v="21"/>
    <n v="0.52500000000000002"/>
    <n v="420"/>
    <n v="0"/>
    <n v="0"/>
    <n v="0"/>
    <n v="0"/>
    <n v="40"/>
    <n v="19"/>
    <n v="0.47499999999999998"/>
    <n v="0"/>
    <n v="800"/>
    <n v="800"/>
    <n v="0"/>
    <n v="800"/>
    <n v="800"/>
    <n v="1"/>
    <n v="0"/>
    <n v="1"/>
    <n v="1"/>
    <n v="0"/>
    <n v="12"/>
    <n v="141"/>
    <n v="0"/>
    <n v="800"/>
    <s v="No"/>
    <s v=""/>
    <n v="0"/>
    <n v="0"/>
    <s v="Yes"/>
    <s v="Shalom"/>
    <x v="0"/>
    <x v="1"/>
    <x v="1"/>
    <n v="24.2631743589744"/>
    <n v="97.240183461538507"/>
    <s v="MMR001CMP049"/>
    <x v="0"/>
    <s v="cccm_2019OCT"/>
  </r>
  <r>
    <x v="2"/>
    <x v="0"/>
    <x v="0"/>
    <s v="PLAN(GFFO),MHF13490"/>
    <x v="0"/>
    <x v="6"/>
    <x v="0"/>
    <x v="23"/>
    <n v="6"/>
    <n v="36"/>
    <s v="5-1-2019,10-1-2019"/>
    <s v="9-30-2020,7-31-2020"/>
    <m/>
    <m/>
    <m/>
    <m/>
    <s v="Yes"/>
    <m/>
    <n v="1"/>
    <n v="0"/>
    <m/>
    <m/>
    <n v="1"/>
    <m/>
    <m/>
    <m/>
    <m/>
    <m/>
    <m/>
    <m/>
    <m/>
    <m/>
    <m/>
    <n v="3"/>
    <m/>
    <m/>
    <m/>
    <m/>
    <m/>
    <m/>
    <m/>
    <n v="2"/>
    <m/>
    <m/>
    <m/>
    <m/>
    <m/>
    <m/>
    <n v="2"/>
    <x v="1"/>
    <x v="1"/>
    <m/>
    <m/>
    <m/>
    <m/>
    <m/>
    <m/>
    <n v="1"/>
    <m/>
    <m/>
    <n v="0"/>
    <m/>
    <m/>
    <n v="1"/>
    <m/>
    <m/>
    <m/>
    <m/>
    <m/>
    <m/>
    <m/>
    <m/>
    <m/>
    <m/>
    <m/>
    <m/>
    <m/>
    <s v="no test"/>
    <s v="no test"/>
    <s v="No Test"/>
    <n v="0"/>
    <n v="1"/>
    <n v="0"/>
    <n v="0"/>
    <n v="0"/>
    <n v="0"/>
    <n v="1"/>
    <n v="1"/>
    <n v="1"/>
    <n v="36"/>
    <n v="0"/>
    <n v="0"/>
    <n v="1"/>
    <n v="36"/>
    <n v="7.1999999999999995E-2"/>
    <n v="0"/>
    <n v="0"/>
    <n v="0.92800000000000005"/>
    <n v="1"/>
    <n v="2"/>
    <n v="1"/>
    <n v="36"/>
    <n v="0"/>
    <n v="0"/>
    <n v="0"/>
    <n v="0"/>
    <n v="2"/>
    <n v="0"/>
    <n v="0"/>
    <n v="0"/>
    <n v="36"/>
    <n v="0"/>
    <n v="0"/>
    <n v="0"/>
    <n v="36"/>
    <n v="1"/>
    <n v="0"/>
    <n v="1"/>
    <n v="0"/>
    <n v="0"/>
    <n v="1"/>
    <n v="6"/>
    <n v="0"/>
    <n v="36"/>
    <s v="No"/>
    <s v=""/>
    <n v="0"/>
    <n v="0"/>
    <n v="0"/>
    <n v="0"/>
    <x v="0"/>
    <x v="0"/>
    <x v="1"/>
    <n v="0"/>
    <n v="0"/>
    <n v="0"/>
    <x v="0"/>
    <n v="0"/>
  </r>
  <r>
    <x v="2"/>
    <x v="0"/>
    <x v="0"/>
    <s v="PLAN(GFFO),MHF13490"/>
    <x v="0"/>
    <x v="6"/>
    <x v="1"/>
    <x v="24"/>
    <n v="105"/>
    <n v="474"/>
    <s v="5-1-2019,10-1-2019"/>
    <s v="9-30-2020,7-31-2020"/>
    <m/>
    <m/>
    <m/>
    <m/>
    <s v="Yes"/>
    <m/>
    <n v="2"/>
    <n v="1"/>
    <m/>
    <m/>
    <m/>
    <m/>
    <m/>
    <m/>
    <m/>
    <m/>
    <m/>
    <m/>
    <m/>
    <m/>
    <m/>
    <n v="2"/>
    <m/>
    <m/>
    <m/>
    <m/>
    <m/>
    <m/>
    <m/>
    <n v="13"/>
    <m/>
    <m/>
    <m/>
    <m/>
    <m/>
    <m/>
    <n v="12"/>
    <x v="1"/>
    <x v="1"/>
    <m/>
    <m/>
    <m/>
    <m/>
    <m/>
    <m/>
    <n v="3"/>
    <m/>
    <m/>
    <n v="3"/>
    <m/>
    <m/>
    <n v="2"/>
    <m/>
    <m/>
    <m/>
    <m/>
    <m/>
    <m/>
    <m/>
    <m/>
    <m/>
    <m/>
    <m/>
    <m/>
    <m/>
    <s v="no test"/>
    <s v="no test"/>
    <s v="No Test"/>
    <n v="1"/>
    <n v="0"/>
    <n v="0"/>
    <n v="0"/>
    <n v="0"/>
    <n v="0"/>
    <n v="0.84388185654008441"/>
    <n v="0.52742616033755274"/>
    <n v="0.84388185654008441"/>
    <n v="400"/>
    <n v="0"/>
    <n v="0"/>
    <n v="0.84388185654008441"/>
    <n v="400"/>
    <n v="0.8"/>
    <n v="0.15611814345991559"/>
    <n v="73.999999999999986"/>
    <n v="0.19999999999999996"/>
    <n v="1"/>
    <n v="13"/>
    <n v="0.54852320675105481"/>
    <n v="260"/>
    <n v="0"/>
    <n v="0"/>
    <n v="0"/>
    <n v="0"/>
    <n v="24"/>
    <n v="11"/>
    <n v="0.45147679324894519"/>
    <n v="0"/>
    <n v="474"/>
    <n v="0"/>
    <n v="0"/>
    <n v="0"/>
    <n v="474"/>
    <n v="1"/>
    <n v="0"/>
    <n v="1"/>
    <n v="0"/>
    <n v="0"/>
    <n v="3"/>
    <n v="60"/>
    <n v="0"/>
    <n v="300"/>
    <s v="No"/>
    <s v=""/>
    <n v="0"/>
    <n v="0"/>
    <n v="0"/>
    <s v="KBC-MYT"/>
    <x v="0"/>
    <x v="1"/>
    <x v="1"/>
    <n v="25.379014999999999"/>
    <n v="97.104997409999996"/>
    <s v="MMR001CMP261"/>
    <x v="0"/>
    <s v="cccm_2019OCT"/>
  </r>
  <r>
    <x v="2"/>
    <x v="0"/>
    <x v="0"/>
    <s v="PLAN(GFFO),MHF13490"/>
    <x v="0"/>
    <x v="6"/>
    <x v="1"/>
    <x v="25"/>
    <n v="10"/>
    <n v="41"/>
    <s v="5-1-2019,10-1-2019"/>
    <s v="9-30-2020,7-31-2020"/>
    <m/>
    <m/>
    <m/>
    <m/>
    <s v="Yes"/>
    <m/>
    <n v="5"/>
    <n v="1"/>
    <m/>
    <m/>
    <m/>
    <m/>
    <m/>
    <m/>
    <m/>
    <m/>
    <m/>
    <m/>
    <m/>
    <m/>
    <m/>
    <n v="3"/>
    <m/>
    <m/>
    <m/>
    <m/>
    <m/>
    <m/>
    <m/>
    <n v="3"/>
    <m/>
    <m/>
    <m/>
    <m/>
    <m/>
    <m/>
    <n v="3"/>
    <x v="1"/>
    <x v="1"/>
    <m/>
    <m/>
    <m/>
    <m/>
    <m/>
    <m/>
    <n v="2"/>
    <m/>
    <m/>
    <n v="2"/>
    <m/>
    <m/>
    <n v="1"/>
    <m/>
    <m/>
    <m/>
    <m/>
    <m/>
    <m/>
    <m/>
    <m/>
    <m/>
    <m/>
    <m/>
    <m/>
    <m/>
    <s v="no test"/>
    <s v="no test"/>
    <s v="No Test"/>
    <n v="1"/>
    <n v="0"/>
    <n v="0"/>
    <n v="0"/>
    <n v="0"/>
    <n v="0"/>
    <n v="1"/>
    <n v="1"/>
    <n v="1"/>
    <n v="41"/>
    <n v="0"/>
    <n v="0"/>
    <n v="1"/>
    <n v="41"/>
    <n v="8.2000000000000003E-2"/>
    <n v="0"/>
    <n v="0"/>
    <n v="0.91800000000000004"/>
    <n v="1"/>
    <n v="3"/>
    <n v="1"/>
    <n v="41"/>
    <n v="0"/>
    <n v="0"/>
    <n v="0"/>
    <n v="0"/>
    <n v="2"/>
    <n v="0"/>
    <n v="0"/>
    <n v="0"/>
    <n v="41"/>
    <n v="0"/>
    <n v="0"/>
    <n v="0"/>
    <n v="41"/>
    <n v="1"/>
    <n v="0"/>
    <n v="1"/>
    <n v="0"/>
    <n v="0"/>
    <n v="2"/>
    <n v="10"/>
    <n v="0"/>
    <n v="41"/>
    <s v="No"/>
    <s v=""/>
    <n v="0"/>
    <n v="0"/>
    <s v="Yes"/>
    <s v="KBC-MYT"/>
    <x v="0"/>
    <x v="1"/>
    <x v="1"/>
    <n v="25.30442"/>
    <n v="96.948740000000001"/>
    <s v="MMR001CMP079"/>
    <x v="0"/>
    <s v="cccm_2019OCT"/>
  </r>
  <r>
    <x v="2"/>
    <x v="0"/>
    <x v="0"/>
    <s v="PLAN(GFFO),MHF13490"/>
    <x v="0"/>
    <x v="5"/>
    <x v="1"/>
    <x v="26"/>
    <n v="22"/>
    <n v="113"/>
    <s v="5-1-2019,10-1-2019"/>
    <s v="9-30-2020,7-31-2020"/>
    <m/>
    <m/>
    <m/>
    <m/>
    <s v="Yes"/>
    <m/>
    <n v="1"/>
    <n v="0"/>
    <m/>
    <m/>
    <n v="3"/>
    <m/>
    <m/>
    <m/>
    <m/>
    <m/>
    <m/>
    <m/>
    <m/>
    <m/>
    <m/>
    <n v="0"/>
    <m/>
    <m/>
    <m/>
    <m/>
    <m/>
    <m/>
    <m/>
    <n v="5"/>
    <m/>
    <m/>
    <m/>
    <m/>
    <m/>
    <m/>
    <m/>
    <x v="1"/>
    <x v="2"/>
    <m/>
    <m/>
    <m/>
    <m/>
    <m/>
    <m/>
    <n v="2"/>
    <m/>
    <m/>
    <n v="2"/>
    <m/>
    <m/>
    <n v="1"/>
    <m/>
    <m/>
    <m/>
    <m/>
    <m/>
    <m/>
    <m/>
    <m/>
    <m/>
    <m/>
    <m/>
    <m/>
    <m/>
    <s v="no test"/>
    <s v="no test"/>
    <s v="No Test"/>
    <n v="0"/>
    <n v="3"/>
    <n v="0"/>
    <n v="0"/>
    <n v="0"/>
    <n v="0"/>
    <n v="1"/>
    <n v="1"/>
    <n v="1"/>
    <n v="113"/>
    <n v="0"/>
    <n v="0"/>
    <n v="1"/>
    <n v="113"/>
    <n v="0.22600000000000001"/>
    <n v="0"/>
    <n v="0"/>
    <n v="0.77400000000000002"/>
    <n v="1"/>
    <n v="5"/>
    <n v="0.88495575221238942"/>
    <n v="100"/>
    <n v="0"/>
    <n v="0"/>
    <n v="0"/>
    <n v="0"/>
    <n v="6"/>
    <n v="1"/>
    <n v="0.11504424778761058"/>
    <n v="0"/>
    <n v="113"/>
    <n v="0"/>
    <n v="0"/>
    <n v="0"/>
    <n v="113"/>
    <n v="1"/>
    <n v="0"/>
    <n v="1"/>
    <n v="0"/>
    <n v="0"/>
    <n v="2"/>
    <n v="22"/>
    <n v="0"/>
    <n v="113"/>
    <s v="No"/>
    <s v=""/>
    <n v="0"/>
    <n v="0"/>
    <s v="Yes"/>
    <s v="KBC-MYT"/>
    <x v="0"/>
    <x v="1"/>
    <x v="1"/>
    <n v="24.998349999999999"/>
    <n v="96.364949999999993"/>
    <s v="MMR001CMP152"/>
    <x v="0"/>
    <s v="cccm_2019OCT"/>
  </r>
  <r>
    <x v="2"/>
    <x v="0"/>
    <x v="0"/>
    <s v="MHF13490"/>
    <x v="0"/>
    <x v="11"/>
    <x v="1"/>
    <x v="27"/>
    <n v="127"/>
    <n v="547"/>
    <d v="2019-01-10T00:00:00"/>
    <s v="31-7-2020"/>
    <m/>
    <m/>
    <m/>
    <m/>
    <s v="Yes"/>
    <m/>
    <m/>
    <n v="0"/>
    <m/>
    <m/>
    <n v="0"/>
    <m/>
    <m/>
    <m/>
    <n v="1"/>
    <m/>
    <m/>
    <m/>
    <m/>
    <m/>
    <m/>
    <n v="0"/>
    <m/>
    <m/>
    <m/>
    <m/>
    <m/>
    <m/>
    <m/>
    <n v="90"/>
    <m/>
    <m/>
    <m/>
    <m/>
    <m/>
    <m/>
    <n v="90"/>
    <x v="1"/>
    <x v="1"/>
    <m/>
    <m/>
    <m/>
    <m/>
    <m/>
    <m/>
    <n v="90"/>
    <m/>
    <m/>
    <n v="0"/>
    <m/>
    <m/>
    <n v="2"/>
    <m/>
    <m/>
    <m/>
    <m/>
    <m/>
    <m/>
    <m/>
    <m/>
    <m/>
    <m/>
    <m/>
    <m/>
    <m/>
    <s v="no test"/>
    <s v="no test"/>
    <s v="No Test"/>
    <n v="0"/>
    <n v="0"/>
    <n v="1"/>
    <n v="0"/>
    <n v="0"/>
    <n v="0"/>
    <n v="0.12187690432663011"/>
    <n v="0.12187690432663011"/>
    <n v="0.12187690432663011"/>
    <n v="66.666666666666671"/>
    <n v="0"/>
    <n v="0"/>
    <n v="0.12187690432663011"/>
    <n v="66.666666666666671"/>
    <n v="0.13333333333333333"/>
    <n v="0.87812309567336988"/>
    <n v="480.33333333333331"/>
    <n v="0.8666666666666667"/>
    <n v="1"/>
    <n v="90"/>
    <n v="1"/>
    <n v="547"/>
    <n v="0"/>
    <n v="0"/>
    <n v="0"/>
    <n v="0"/>
    <n v="27"/>
    <n v="0"/>
    <n v="0"/>
    <n v="0"/>
    <n v="547"/>
    <n v="0"/>
    <n v="0"/>
    <n v="0"/>
    <n v="547"/>
    <n v="1"/>
    <n v="0"/>
    <n v="1"/>
    <n v="0"/>
    <n v="0"/>
    <n v="90"/>
    <n v="127"/>
    <n v="0"/>
    <n v="547"/>
    <s v="No"/>
    <s v=""/>
    <n v="0"/>
    <n v="0"/>
    <s v="Yes"/>
    <s v="KBC-MYT"/>
    <x v="0"/>
    <x v="1"/>
    <x v="0"/>
    <n v="26.569633"/>
    <n v="97.745480999999998"/>
    <s v="MMR001CMP238"/>
    <x v="0"/>
    <s v="cccm_2019OCT"/>
  </r>
  <r>
    <x v="2"/>
    <x v="0"/>
    <x v="0"/>
    <s v="PLAN(GFFO),MHF13490"/>
    <x v="0"/>
    <x v="0"/>
    <x v="1"/>
    <x v="20"/>
    <n v="61"/>
    <n v="290"/>
    <s v="5-1-2019,10-1-2019"/>
    <s v="9-30-2020,7-31-2020"/>
    <m/>
    <m/>
    <m/>
    <m/>
    <s v="Yes"/>
    <m/>
    <n v="4"/>
    <n v="1"/>
    <m/>
    <m/>
    <n v="1"/>
    <m/>
    <m/>
    <m/>
    <m/>
    <m/>
    <m/>
    <m/>
    <m/>
    <m/>
    <m/>
    <n v="2"/>
    <m/>
    <m/>
    <m/>
    <m/>
    <m/>
    <m/>
    <m/>
    <n v="7"/>
    <m/>
    <m/>
    <m/>
    <m/>
    <m/>
    <m/>
    <n v="7"/>
    <x v="1"/>
    <x v="2"/>
    <m/>
    <m/>
    <m/>
    <m/>
    <m/>
    <m/>
    <n v="3"/>
    <m/>
    <m/>
    <n v="3"/>
    <m/>
    <m/>
    <n v="1"/>
    <m/>
    <m/>
    <m/>
    <m/>
    <m/>
    <m/>
    <m/>
    <m/>
    <m/>
    <m/>
    <m/>
    <m/>
    <m/>
    <s v="no test"/>
    <s v="no test"/>
    <s v="No Test"/>
    <n v="1"/>
    <n v="1"/>
    <n v="0"/>
    <n v="0"/>
    <n v="0"/>
    <n v="0"/>
    <n v="1"/>
    <n v="1"/>
    <n v="1"/>
    <n v="290"/>
    <n v="0"/>
    <n v="0"/>
    <n v="1"/>
    <n v="290"/>
    <n v="0.57999999999999996"/>
    <n v="0"/>
    <n v="0"/>
    <n v="0.42000000000000004"/>
    <n v="1"/>
    <n v="7"/>
    <n v="0.48275862068965519"/>
    <n v="140"/>
    <n v="0"/>
    <n v="0"/>
    <n v="0"/>
    <n v="0"/>
    <n v="15"/>
    <n v="8"/>
    <n v="0.51724137931034475"/>
    <n v="0"/>
    <n v="290"/>
    <n v="0"/>
    <n v="0"/>
    <n v="0"/>
    <n v="290"/>
    <n v="1"/>
    <n v="0"/>
    <n v="1"/>
    <n v="0"/>
    <n v="0"/>
    <n v="3"/>
    <n v="60"/>
    <n v="0"/>
    <n v="290"/>
    <s v="No"/>
    <s v=""/>
    <n v="0"/>
    <n v="0"/>
    <s v="Yes"/>
    <s v="KBC-MYT"/>
    <x v="0"/>
    <x v="1"/>
    <x v="1"/>
    <n v="25.360463124999999"/>
    <n v="97.4113064583333"/>
    <s v="MMR001CMP016"/>
    <x v="0"/>
    <s v="cccm_2019OCT"/>
  </r>
  <r>
    <x v="2"/>
    <x v="2"/>
    <x v="2"/>
    <s v="WHH-AA, USAID"/>
    <x v="0"/>
    <x v="2"/>
    <x v="1"/>
    <x v="77"/>
    <n v="144"/>
    <n v="680"/>
    <s v="10-1-2018, 9-30-2019"/>
    <s v="9-30-2020, 8-31-2020"/>
    <m/>
    <m/>
    <m/>
    <m/>
    <m/>
    <m/>
    <m/>
    <m/>
    <m/>
    <m/>
    <m/>
    <m/>
    <m/>
    <m/>
    <n v="2"/>
    <m/>
    <m/>
    <m/>
    <m/>
    <n v="48240"/>
    <m/>
    <m/>
    <m/>
    <m/>
    <m/>
    <m/>
    <m/>
    <n v="2"/>
    <m/>
    <n v="89"/>
    <m/>
    <m/>
    <m/>
    <m/>
    <m/>
    <m/>
    <m/>
    <x v="1"/>
    <x v="1"/>
    <m/>
    <m/>
    <m/>
    <m/>
    <m/>
    <m/>
    <n v="4"/>
    <m/>
    <m/>
    <n v="5"/>
    <m/>
    <m/>
    <m/>
    <n v="144"/>
    <m/>
    <m/>
    <m/>
    <m/>
    <s v="Hygiene refill item distribution couldn't be done by voucher system because of the Covid-19 prevention situations"/>
    <m/>
    <m/>
    <m/>
    <m/>
    <m/>
    <m/>
    <m/>
    <s v="no test"/>
    <s v="no test"/>
    <s v="No Test"/>
    <n v="0"/>
    <n v="0"/>
    <n v="2"/>
    <n v="0"/>
    <n v="35.733333333333334"/>
    <n v="1000"/>
    <n v="0.24862745098039216"/>
    <n v="0.24862745098039216"/>
    <n v="0.24862745098039216"/>
    <n v="169.06666666666666"/>
    <n v="0"/>
    <n v="0"/>
    <n v="0.24862745098039216"/>
    <n v="169.06666666666666"/>
    <n v="0.33813333333333334"/>
    <n v="0.75137254901960782"/>
    <n v="510.93333333333334"/>
    <n v="0.6618666666666666"/>
    <n v="1"/>
    <n v="89"/>
    <n v="1"/>
    <n v="680"/>
    <n v="0"/>
    <n v="0"/>
    <n v="0"/>
    <n v="0"/>
    <n v="34"/>
    <n v="0"/>
    <n v="0"/>
    <n v="0"/>
    <n v="0"/>
    <n v="680"/>
    <n v="0"/>
    <n v="680"/>
    <n v="680"/>
    <n v="1"/>
    <n v="0"/>
    <n v="0"/>
    <n v="1"/>
    <n v="0"/>
    <n v="4"/>
    <n v="80"/>
    <n v="0"/>
    <n v="400"/>
    <s v="No"/>
    <s v=""/>
    <n v="0"/>
    <n v="1000"/>
    <n v="0"/>
    <s v="uncovered"/>
    <x v="0"/>
    <x v="3"/>
    <x v="0"/>
    <n v="24.752471"/>
    <n v="97.541793999999996"/>
    <s v="MMR001CMP208"/>
    <x v="0"/>
    <s v="cccm_2019OCT"/>
  </r>
  <r>
    <x v="2"/>
    <x v="0"/>
    <x v="0"/>
    <s v="UNICEF"/>
    <x v="0"/>
    <x v="1"/>
    <x v="1"/>
    <x v="30"/>
    <n v="386"/>
    <n v="1397"/>
    <d v="2019-04-01T00:00:00"/>
    <d v="2020-04-30T00:00:00"/>
    <m/>
    <m/>
    <n v="74"/>
    <m/>
    <m/>
    <n v="19"/>
    <n v="55"/>
    <n v="13"/>
    <m/>
    <m/>
    <n v="1"/>
    <m/>
    <m/>
    <m/>
    <m/>
    <m/>
    <m/>
    <m/>
    <m/>
    <m/>
    <n v="7"/>
    <m/>
    <m/>
    <m/>
    <m/>
    <m/>
    <m/>
    <m/>
    <s v="Water safety plan need to install"/>
    <n v="5"/>
    <m/>
    <m/>
    <m/>
    <m/>
    <m/>
    <m/>
    <m/>
    <x v="1"/>
    <x v="3"/>
    <m/>
    <m/>
    <n v="50"/>
    <m/>
    <m/>
    <m/>
    <m/>
    <m/>
    <m/>
    <m/>
    <m/>
    <m/>
    <m/>
    <m/>
    <m/>
    <s v="No"/>
    <m/>
    <m/>
    <s v="need more hygiene items especially MHM Kits"/>
    <m/>
    <m/>
    <m/>
    <m/>
    <m/>
    <m/>
    <m/>
    <s v="no test"/>
    <s v="no test"/>
    <s v="No Test"/>
    <n v="13"/>
    <n v="1"/>
    <n v="0"/>
    <n v="0"/>
    <n v="0"/>
    <n v="0"/>
    <n v="1"/>
    <n v="1"/>
    <n v="1"/>
    <n v="1397"/>
    <n v="0"/>
    <n v="0"/>
    <n v="1"/>
    <n v="1397"/>
    <n v="2.794"/>
    <n v="0"/>
    <n v="0"/>
    <n v="0.20599999999999996"/>
    <n v="3"/>
    <n v="5"/>
    <n v="7.158196134574088E-2"/>
    <n v="100"/>
    <n v="0"/>
    <n v="0"/>
    <n v="0"/>
    <n v="0"/>
    <n v="70"/>
    <n v="65"/>
    <n v="0.92841803865425909"/>
    <n v="0"/>
    <n v="0"/>
    <n v="0"/>
    <n v="0"/>
    <n v="0"/>
    <n v="0"/>
    <n v="0"/>
    <n v="1"/>
    <n v="0"/>
    <n v="0"/>
    <n v="0"/>
    <n v="0"/>
    <n v="0"/>
    <n v="0"/>
    <n v="0"/>
    <s v="No"/>
    <s v=""/>
    <n v="0"/>
    <n v="0"/>
    <n v="0"/>
    <s v="uncovered"/>
    <x v="0"/>
    <x v="0"/>
    <x v="0"/>
    <n v="0"/>
    <n v="0"/>
    <s v="MMR001CMP273"/>
    <x v="0"/>
    <s v="cccm_2019OCT"/>
  </r>
  <r>
    <x v="2"/>
    <x v="0"/>
    <x v="0"/>
    <s v="PLAN(GFFO),MHF13490"/>
    <x v="0"/>
    <x v="2"/>
    <x v="1"/>
    <x v="16"/>
    <n v="28"/>
    <n v="159"/>
    <s v="5-1-2019,10-1-2019"/>
    <s v="9-30-2020,7-31-2020"/>
    <m/>
    <m/>
    <m/>
    <m/>
    <s v="Yes"/>
    <m/>
    <n v="1"/>
    <n v="2"/>
    <m/>
    <m/>
    <n v="1"/>
    <m/>
    <m/>
    <m/>
    <n v="0"/>
    <m/>
    <m/>
    <m/>
    <m/>
    <m/>
    <m/>
    <n v="3"/>
    <m/>
    <m/>
    <m/>
    <m/>
    <m/>
    <m/>
    <m/>
    <n v="6"/>
    <m/>
    <m/>
    <m/>
    <m/>
    <m/>
    <m/>
    <n v="6"/>
    <x v="1"/>
    <x v="1"/>
    <m/>
    <m/>
    <m/>
    <m/>
    <m/>
    <m/>
    <n v="2"/>
    <m/>
    <m/>
    <n v="3"/>
    <m/>
    <m/>
    <n v="1"/>
    <m/>
    <m/>
    <m/>
    <m/>
    <m/>
    <m/>
    <m/>
    <m/>
    <m/>
    <m/>
    <m/>
    <m/>
    <m/>
    <s v="no test"/>
    <s v="no test"/>
    <s v="No Test"/>
    <n v="2"/>
    <n v="1"/>
    <n v="0"/>
    <n v="0"/>
    <n v="0"/>
    <n v="0"/>
    <n v="1"/>
    <n v="1"/>
    <n v="1"/>
    <n v="159"/>
    <n v="0"/>
    <n v="0"/>
    <n v="1"/>
    <n v="159"/>
    <n v="0.318"/>
    <n v="0"/>
    <n v="0"/>
    <n v="0.68199999999999994"/>
    <n v="1"/>
    <n v="6"/>
    <n v="0.75471698113207553"/>
    <n v="120"/>
    <n v="0"/>
    <n v="0"/>
    <n v="0"/>
    <n v="0"/>
    <n v="8"/>
    <n v="2"/>
    <n v="0.24528301886792447"/>
    <n v="0"/>
    <n v="159"/>
    <n v="0"/>
    <n v="0"/>
    <n v="0"/>
    <n v="159"/>
    <n v="1"/>
    <n v="0"/>
    <n v="1"/>
    <n v="0"/>
    <n v="0"/>
    <n v="2"/>
    <n v="28"/>
    <n v="0"/>
    <n v="159"/>
    <s v="No"/>
    <s v=""/>
    <n v="0"/>
    <n v="0"/>
    <s v="Yes"/>
    <s v="KBC-MYT"/>
    <x v="0"/>
    <x v="1"/>
    <x v="1"/>
    <n v="25.356632000000001"/>
    <n v="97.451965000000001"/>
    <s v="MMR001CMP027"/>
    <x v="0"/>
    <s v="cccm_2019OCT"/>
  </r>
  <r>
    <x v="2"/>
    <x v="0"/>
    <x v="0"/>
    <s v="MHF13490"/>
    <x v="0"/>
    <x v="11"/>
    <x v="1"/>
    <x v="32"/>
    <n v="63"/>
    <n v="325"/>
    <d v="2019-01-10T00:00:00"/>
    <s v="31-7-2020"/>
    <m/>
    <m/>
    <m/>
    <m/>
    <s v="Yes"/>
    <m/>
    <m/>
    <n v="0"/>
    <m/>
    <m/>
    <n v="0"/>
    <m/>
    <m/>
    <m/>
    <n v="1"/>
    <m/>
    <m/>
    <m/>
    <m/>
    <m/>
    <m/>
    <n v="0"/>
    <m/>
    <m/>
    <m/>
    <m/>
    <m/>
    <m/>
    <m/>
    <n v="65"/>
    <m/>
    <m/>
    <m/>
    <m/>
    <m/>
    <m/>
    <n v="65"/>
    <x v="1"/>
    <x v="1"/>
    <m/>
    <m/>
    <m/>
    <m/>
    <m/>
    <m/>
    <n v="65"/>
    <m/>
    <m/>
    <n v="0"/>
    <m/>
    <m/>
    <n v="2"/>
    <m/>
    <m/>
    <m/>
    <m/>
    <m/>
    <m/>
    <m/>
    <m/>
    <m/>
    <m/>
    <m/>
    <m/>
    <m/>
    <s v="no test"/>
    <s v="no test"/>
    <s v="No Test"/>
    <n v="0"/>
    <n v="0"/>
    <n v="1"/>
    <n v="0"/>
    <n v="0"/>
    <n v="0"/>
    <n v="0.20512820512820515"/>
    <n v="0.20512820512820515"/>
    <n v="0.20512820512820515"/>
    <n v="66.666666666666671"/>
    <n v="0"/>
    <n v="0"/>
    <n v="0.20512820512820515"/>
    <n v="66.666666666666671"/>
    <n v="0.13333333333333333"/>
    <n v="0.79487179487179482"/>
    <n v="258.33333333333331"/>
    <n v="0.8666666666666667"/>
    <n v="1"/>
    <n v="65"/>
    <n v="1"/>
    <n v="325"/>
    <n v="0"/>
    <n v="0"/>
    <n v="0"/>
    <n v="0"/>
    <n v="16"/>
    <n v="0"/>
    <n v="0"/>
    <n v="0"/>
    <n v="325"/>
    <n v="0"/>
    <n v="0"/>
    <n v="0"/>
    <n v="325"/>
    <n v="1"/>
    <n v="0"/>
    <n v="1"/>
    <n v="0"/>
    <n v="0"/>
    <n v="65"/>
    <n v="63"/>
    <n v="0"/>
    <n v="325"/>
    <s v="No"/>
    <s v=""/>
    <n v="0"/>
    <n v="0"/>
    <s v="Yes"/>
    <s v="KBC-MYT"/>
    <x v="0"/>
    <x v="1"/>
    <x v="0"/>
    <n v="26.548506"/>
    <n v="97.75609"/>
    <s v="MMR001CMP239"/>
    <x v="0"/>
    <s v="cccm_2019OCT"/>
  </r>
  <r>
    <x v="2"/>
    <x v="0"/>
    <x v="0"/>
    <s v="PLAN(GFFO),MHF13490"/>
    <x v="0"/>
    <x v="6"/>
    <x v="1"/>
    <x v="33"/>
    <n v="28"/>
    <n v="136"/>
    <s v="5-1-2019,10-1-2019"/>
    <s v="9-30-2020,7-31-2020"/>
    <m/>
    <m/>
    <m/>
    <m/>
    <s v="Yes"/>
    <m/>
    <n v="4"/>
    <n v="1"/>
    <m/>
    <m/>
    <n v="1"/>
    <m/>
    <m/>
    <m/>
    <m/>
    <m/>
    <m/>
    <m/>
    <m/>
    <m/>
    <m/>
    <n v="3"/>
    <m/>
    <m/>
    <m/>
    <m/>
    <m/>
    <m/>
    <m/>
    <n v="12"/>
    <m/>
    <m/>
    <m/>
    <m/>
    <m/>
    <m/>
    <n v="12"/>
    <x v="1"/>
    <x v="2"/>
    <m/>
    <m/>
    <m/>
    <m/>
    <m/>
    <m/>
    <n v="6"/>
    <m/>
    <m/>
    <n v="2"/>
    <m/>
    <m/>
    <n v="1"/>
    <m/>
    <m/>
    <m/>
    <m/>
    <m/>
    <m/>
    <m/>
    <m/>
    <m/>
    <m/>
    <m/>
    <m/>
    <m/>
    <s v="no test"/>
    <s v="no test"/>
    <s v="No Test"/>
    <n v="1"/>
    <n v="1"/>
    <n v="0"/>
    <n v="0"/>
    <n v="0"/>
    <n v="0"/>
    <n v="1"/>
    <n v="1"/>
    <n v="1"/>
    <n v="136"/>
    <n v="0"/>
    <n v="0"/>
    <n v="1"/>
    <n v="136"/>
    <n v="0.27200000000000002"/>
    <n v="0"/>
    <n v="0"/>
    <n v="0.72799999999999998"/>
    <n v="1"/>
    <n v="12"/>
    <n v="1"/>
    <n v="136"/>
    <n v="0"/>
    <n v="0"/>
    <n v="0"/>
    <n v="0"/>
    <n v="7"/>
    <n v="0"/>
    <n v="0"/>
    <n v="0"/>
    <n v="136"/>
    <n v="0"/>
    <n v="0"/>
    <n v="0"/>
    <n v="136"/>
    <n v="1"/>
    <n v="0"/>
    <n v="1"/>
    <n v="0"/>
    <n v="0"/>
    <n v="6"/>
    <n v="28"/>
    <n v="0"/>
    <n v="136"/>
    <s v="No"/>
    <s v=""/>
    <n v="0"/>
    <n v="0"/>
    <s v="Yes"/>
    <s v="KBC-MYT"/>
    <x v="0"/>
    <x v="1"/>
    <x v="1"/>
    <n v="25.225000000000001"/>
    <n v="96.793999999999997"/>
    <s v="MMR001CMP236"/>
    <x v="0"/>
    <s v="cccm_2019OCT"/>
  </r>
  <r>
    <x v="2"/>
    <x v="4"/>
    <x v="4"/>
    <m/>
    <x v="0"/>
    <x v="2"/>
    <x v="1"/>
    <x v="137"/>
    <n v="407"/>
    <n v="1801"/>
    <m/>
    <m/>
    <m/>
    <m/>
    <m/>
    <m/>
    <s v="Yes"/>
    <m/>
    <n v="5"/>
    <m/>
    <m/>
    <m/>
    <m/>
    <m/>
    <m/>
    <m/>
    <n v="6"/>
    <m/>
    <m/>
    <m/>
    <m/>
    <m/>
    <m/>
    <m/>
    <m/>
    <m/>
    <m/>
    <m/>
    <m/>
    <m/>
    <m/>
    <n v="407"/>
    <m/>
    <m/>
    <m/>
    <m/>
    <m/>
    <m/>
    <m/>
    <x v="1"/>
    <x v="1"/>
    <n v="3"/>
    <m/>
    <m/>
    <m/>
    <m/>
    <m/>
    <n v="400"/>
    <m/>
    <m/>
    <m/>
    <m/>
    <m/>
    <m/>
    <m/>
    <m/>
    <m/>
    <m/>
    <m/>
    <m/>
    <m/>
    <m/>
    <m/>
    <m/>
    <m/>
    <m/>
    <m/>
    <s v="no test"/>
    <s v="no test"/>
    <s v="No Test"/>
    <n v="0"/>
    <n v="0"/>
    <n v="6"/>
    <n v="0"/>
    <n v="0"/>
    <n v="0"/>
    <n v="0.2220988339811216"/>
    <n v="0.2220988339811216"/>
    <n v="0.2220988339811216"/>
    <n v="400"/>
    <n v="0"/>
    <n v="0"/>
    <n v="0.2220988339811216"/>
    <n v="400"/>
    <n v="0.8"/>
    <n v="0.77790116601887838"/>
    <n v="1401"/>
    <n v="3.2"/>
    <n v="4"/>
    <n v="407"/>
    <n v="1"/>
    <n v="1801"/>
    <n v="0"/>
    <n v="0"/>
    <n v="0"/>
    <n v="0"/>
    <n v="300"/>
    <n v="0"/>
    <n v="0"/>
    <n v="0"/>
    <n v="0"/>
    <n v="0"/>
    <n v="0"/>
    <n v="0"/>
    <n v="0"/>
    <n v="0"/>
    <n v="1"/>
    <n v="0"/>
    <n v="0"/>
    <n v="0"/>
    <n v="400"/>
    <n v="407"/>
    <n v="0"/>
    <n v="1801"/>
    <s v="No"/>
    <s v=""/>
    <n v="0"/>
    <n v="0"/>
    <s v="Yes"/>
    <s v="KMSS-MYT"/>
    <x v="1"/>
    <x v="1"/>
    <x v="0"/>
    <n v="24.980250000000002"/>
    <n v="97.715230000000005"/>
    <s v="MMR001CMP119"/>
    <x v="1"/>
    <s v="cccm_2019OCT"/>
  </r>
  <r>
    <x v="2"/>
    <x v="5"/>
    <x v="5"/>
    <s v="DFID"/>
    <x v="0"/>
    <x v="3"/>
    <x v="1"/>
    <x v="154"/>
    <n v="70"/>
    <n v="371"/>
    <d v="2018-08-01T00:00:00"/>
    <d v="2020-07-31T00:00:00"/>
    <m/>
    <n v="1"/>
    <m/>
    <m/>
    <s v="Yes"/>
    <n v="10"/>
    <n v="3"/>
    <n v="1"/>
    <m/>
    <m/>
    <n v="0"/>
    <n v="0"/>
    <m/>
    <m/>
    <n v="0"/>
    <m/>
    <m/>
    <n v="0"/>
    <n v="0"/>
    <n v="0"/>
    <n v="0"/>
    <n v="1"/>
    <m/>
    <m/>
    <m/>
    <m/>
    <n v="0"/>
    <n v="0"/>
    <m/>
    <n v="19"/>
    <n v="7"/>
    <s v="Chruch"/>
    <m/>
    <m/>
    <m/>
    <m/>
    <n v="0"/>
    <x v="1"/>
    <x v="1"/>
    <n v="0"/>
    <n v="0"/>
    <n v="0"/>
    <m/>
    <m/>
    <m/>
    <n v="2"/>
    <m/>
    <n v="0"/>
    <n v="4"/>
    <m/>
    <n v="8"/>
    <n v="5"/>
    <m/>
    <m/>
    <m/>
    <m/>
    <m/>
    <m/>
    <m/>
    <m/>
    <m/>
    <m/>
    <m/>
    <m/>
    <m/>
    <s v="no test"/>
    <s v="no test"/>
    <s v="No Test"/>
    <n v="1"/>
    <n v="0"/>
    <n v="0"/>
    <n v="0"/>
    <n v="0"/>
    <n v="0"/>
    <n v="1"/>
    <n v="0.67385444743935308"/>
    <n v="1"/>
    <n v="371"/>
    <n v="0"/>
    <n v="0"/>
    <n v="1"/>
    <n v="371"/>
    <n v="0.74199999999999999"/>
    <n v="0"/>
    <n v="0"/>
    <n v="0.25800000000000001"/>
    <n v="1"/>
    <n v="26"/>
    <n v="1"/>
    <n v="371"/>
    <n v="0"/>
    <n v="0"/>
    <n v="0"/>
    <n v="0"/>
    <n v="19"/>
    <n v="0"/>
    <n v="0"/>
    <n v="0"/>
    <n v="371"/>
    <n v="0"/>
    <n v="0"/>
    <n v="0"/>
    <n v="371"/>
    <n v="1"/>
    <n v="0"/>
    <n v="1"/>
    <n v="0"/>
    <n v="0"/>
    <n v="2"/>
    <n v="40"/>
    <n v="0"/>
    <n v="200"/>
    <s v="No"/>
    <s v=""/>
    <n v="0"/>
    <n v="0"/>
    <s v="Yes"/>
    <s v="Shalom"/>
    <x v="0"/>
    <x v="1"/>
    <x v="1"/>
    <n v="25.635300000000001"/>
    <n v="96.345569999999995"/>
    <s v="MMR001CMP176"/>
    <x v="0"/>
    <s v="cccm_2019OCT"/>
  </r>
  <r>
    <x v="2"/>
    <x v="5"/>
    <x v="5"/>
    <s v="DFID"/>
    <x v="0"/>
    <x v="3"/>
    <x v="1"/>
    <x v="155"/>
    <n v="13"/>
    <n v="83"/>
    <d v="2018-08-01T00:00:00"/>
    <d v="2020-07-31T00:00:00"/>
    <m/>
    <n v="1"/>
    <m/>
    <m/>
    <s v="Yes"/>
    <n v="0"/>
    <n v="1"/>
    <n v="1"/>
    <m/>
    <m/>
    <n v="0"/>
    <n v="0"/>
    <m/>
    <m/>
    <n v="0"/>
    <m/>
    <m/>
    <n v="0"/>
    <n v="0"/>
    <n v="0"/>
    <n v="0"/>
    <n v="0"/>
    <m/>
    <m/>
    <m/>
    <m/>
    <n v="0"/>
    <n v="0"/>
    <m/>
    <n v="5"/>
    <n v="1"/>
    <s v="Shalom"/>
    <m/>
    <m/>
    <m/>
    <m/>
    <n v="0"/>
    <x v="1"/>
    <x v="4"/>
    <n v="0"/>
    <n v="0"/>
    <n v="0"/>
    <m/>
    <m/>
    <m/>
    <n v="3"/>
    <m/>
    <n v="0"/>
    <n v="2"/>
    <m/>
    <n v="1"/>
    <n v="2"/>
    <m/>
    <m/>
    <m/>
    <m/>
    <m/>
    <m/>
    <m/>
    <m/>
    <m/>
    <m/>
    <m/>
    <m/>
    <m/>
    <s v="no test"/>
    <s v="no test"/>
    <s v="No Test"/>
    <n v="1"/>
    <n v="0"/>
    <n v="0"/>
    <n v="0"/>
    <n v="0"/>
    <n v="0"/>
    <n v="1"/>
    <n v="1"/>
    <n v="1"/>
    <n v="83"/>
    <n v="0"/>
    <n v="0"/>
    <n v="1"/>
    <n v="83"/>
    <n v="0.16600000000000001"/>
    <n v="0"/>
    <n v="0"/>
    <n v="0.83399999999999996"/>
    <n v="1"/>
    <n v="6"/>
    <n v="1"/>
    <n v="83"/>
    <n v="0"/>
    <n v="0"/>
    <n v="0"/>
    <n v="0"/>
    <n v="4"/>
    <n v="0"/>
    <n v="0"/>
    <n v="0"/>
    <n v="83"/>
    <n v="0"/>
    <n v="0"/>
    <n v="0"/>
    <n v="83"/>
    <n v="1"/>
    <n v="0"/>
    <n v="1"/>
    <n v="0"/>
    <n v="0"/>
    <n v="3"/>
    <n v="13"/>
    <n v="0"/>
    <n v="83"/>
    <s v="No"/>
    <s v=""/>
    <n v="0"/>
    <n v="0"/>
    <s v="Yes"/>
    <s v="Shalom"/>
    <x v="0"/>
    <x v="1"/>
    <x v="1"/>
    <n v="25.616509000000001"/>
    <n v="96.317350000000005"/>
    <s v="MMR001CMP190"/>
    <x v="0"/>
    <s v="cccm_2019OCT"/>
  </r>
  <r>
    <x v="2"/>
    <x v="0"/>
    <x v="0"/>
    <s v="PLAN(GFFO),MHF13490"/>
    <x v="0"/>
    <x v="0"/>
    <x v="1"/>
    <x v="21"/>
    <n v="101"/>
    <n v="547"/>
    <s v="5-1-2019,10-1-2019"/>
    <s v="9-30-2020,7-31-2020"/>
    <m/>
    <m/>
    <m/>
    <m/>
    <s v="Yes"/>
    <m/>
    <n v="5"/>
    <n v="0"/>
    <m/>
    <m/>
    <n v="2"/>
    <m/>
    <m/>
    <m/>
    <m/>
    <m/>
    <m/>
    <m/>
    <m/>
    <m/>
    <m/>
    <n v="3"/>
    <m/>
    <m/>
    <m/>
    <m/>
    <m/>
    <m/>
    <m/>
    <n v="34"/>
    <m/>
    <m/>
    <m/>
    <m/>
    <m/>
    <m/>
    <n v="34"/>
    <x v="1"/>
    <x v="2"/>
    <m/>
    <m/>
    <m/>
    <m/>
    <m/>
    <m/>
    <n v="2"/>
    <m/>
    <m/>
    <n v="2"/>
    <m/>
    <m/>
    <n v="2"/>
    <m/>
    <m/>
    <m/>
    <m/>
    <m/>
    <m/>
    <m/>
    <m/>
    <m/>
    <m/>
    <m/>
    <m/>
    <m/>
    <s v="no test"/>
    <s v="no test"/>
    <s v="No Test"/>
    <n v="0"/>
    <n v="2"/>
    <n v="0"/>
    <n v="0"/>
    <n v="0"/>
    <n v="0"/>
    <n v="1"/>
    <n v="0.91407678244972579"/>
    <n v="1"/>
    <n v="547"/>
    <n v="0"/>
    <n v="0"/>
    <n v="1"/>
    <n v="547"/>
    <n v="1.0940000000000001"/>
    <n v="0"/>
    <n v="0"/>
    <n v="0"/>
    <n v="1"/>
    <n v="34"/>
    <n v="1"/>
    <n v="547"/>
    <n v="0"/>
    <n v="0"/>
    <n v="0"/>
    <n v="0"/>
    <n v="27"/>
    <n v="0"/>
    <n v="0"/>
    <n v="0"/>
    <n v="547"/>
    <n v="0"/>
    <n v="0"/>
    <n v="0"/>
    <n v="547"/>
    <n v="1"/>
    <n v="0"/>
    <n v="1"/>
    <n v="0"/>
    <n v="0"/>
    <n v="2"/>
    <n v="40"/>
    <n v="0"/>
    <n v="200"/>
    <s v="No"/>
    <s v=""/>
    <n v="0"/>
    <n v="0"/>
    <s v="Yes"/>
    <s v="KBC-MYT"/>
    <x v="0"/>
    <x v="1"/>
    <x v="1"/>
    <n v="25.428910999999999"/>
    <n v="97.418694000000002"/>
    <s v="MMR001CMP008"/>
    <x v="0"/>
    <s v="cccm_2019OCT"/>
  </r>
  <r>
    <x v="2"/>
    <x v="5"/>
    <x v="5"/>
    <s v="DFID"/>
    <x v="0"/>
    <x v="2"/>
    <x v="1"/>
    <x v="167"/>
    <n v="347"/>
    <n v="2065"/>
    <d v="2018-08-01T00:00:00"/>
    <d v="2020-07-31T00:00:00"/>
    <m/>
    <n v="1"/>
    <m/>
    <m/>
    <s v="Yes"/>
    <n v="1"/>
    <n v="3"/>
    <n v="4"/>
    <m/>
    <m/>
    <n v="3"/>
    <n v="3"/>
    <m/>
    <m/>
    <n v="0"/>
    <m/>
    <m/>
    <n v="0"/>
    <n v="0"/>
    <n v="0"/>
    <n v="0"/>
    <n v="0"/>
    <m/>
    <m/>
    <m/>
    <m/>
    <n v="0"/>
    <n v="0"/>
    <m/>
    <n v="30"/>
    <m/>
    <m/>
    <m/>
    <m/>
    <m/>
    <m/>
    <n v="0"/>
    <x v="1"/>
    <x v="1"/>
    <n v="0"/>
    <n v="0"/>
    <n v="0"/>
    <m/>
    <m/>
    <m/>
    <n v="20"/>
    <m/>
    <n v="0"/>
    <n v="7"/>
    <m/>
    <n v="0"/>
    <n v="0"/>
    <m/>
    <m/>
    <s v="No"/>
    <m/>
    <m/>
    <m/>
    <m/>
    <m/>
    <m/>
    <m/>
    <m/>
    <m/>
    <m/>
    <s v="no test"/>
    <s v="no test"/>
    <s v="No Test"/>
    <n v="4"/>
    <n v="6"/>
    <n v="0"/>
    <n v="0"/>
    <n v="0"/>
    <n v="0"/>
    <n v="1"/>
    <n v="1"/>
    <n v="1"/>
    <n v="2065"/>
    <n v="0"/>
    <n v="0"/>
    <n v="1"/>
    <n v="2065"/>
    <n v="4.13"/>
    <n v="0"/>
    <n v="0"/>
    <n v="0"/>
    <n v="4"/>
    <n v="30"/>
    <n v="0.29055690072639223"/>
    <n v="600"/>
    <n v="0"/>
    <n v="0"/>
    <n v="0"/>
    <n v="0"/>
    <n v="103"/>
    <n v="73"/>
    <n v="0.70944309927360782"/>
    <n v="0"/>
    <n v="0"/>
    <n v="0"/>
    <n v="0"/>
    <n v="0"/>
    <n v="0"/>
    <n v="0"/>
    <n v="1"/>
    <n v="0"/>
    <n v="0"/>
    <n v="0"/>
    <n v="20"/>
    <n v="347"/>
    <n v="0"/>
    <n v="2000"/>
    <s v="No"/>
    <s v=""/>
    <n v="0"/>
    <n v="0"/>
    <s v="Yes"/>
    <s v="Shalom"/>
    <x v="0"/>
    <x v="1"/>
    <x v="1"/>
    <n v="25.424529444444399"/>
    <n v="97.433419259259296"/>
    <s v="MMR001CMP031"/>
    <x v="0"/>
    <s v="cccm_2019OCT"/>
  </r>
  <r>
    <x v="2"/>
    <x v="5"/>
    <x v="5"/>
    <s v="DFID"/>
    <x v="0"/>
    <x v="0"/>
    <x v="1"/>
    <x v="168"/>
    <n v="22"/>
    <n v="92"/>
    <d v="2018-08-01T00:00:00"/>
    <d v="2020-12-31T00:00:00"/>
    <m/>
    <n v="1"/>
    <m/>
    <m/>
    <s v="Yes"/>
    <n v="3"/>
    <n v="7"/>
    <n v="1"/>
    <m/>
    <m/>
    <n v="1"/>
    <n v="1"/>
    <m/>
    <m/>
    <m/>
    <m/>
    <m/>
    <m/>
    <m/>
    <m/>
    <m/>
    <m/>
    <m/>
    <m/>
    <m/>
    <m/>
    <m/>
    <m/>
    <m/>
    <n v="5"/>
    <m/>
    <m/>
    <m/>
    <m/>
    <n v="2"/>
    <m/>
    <m/>
    <x v="1"/>
    <x v="2"/>
    <m/>
    <m/>
    <m/>
    <m/>
    <m/>
    <m/>
    <n v="4"/>
    <m/>
    <n v="0"/>
    <n v="2"/>
    <m/>
    <n v="0"/>
    <n v="0"/>
    <m/>
    <m/>
    <m/>
    <m/>
    <m/>
    <m/>
    <m/>
    <m/>
    <m/>
    <m/>
    <m/>
    <m/>
    <m/>
    <s v="no test"/>
    <s v="no test"/>
    <s v="No Test"/>
    <n v="1"/>
    <n v="2"/>
    <n v="0"/>
    <n v="0"/>
    <n v="0"/>
    <n v="0"/>
    <n v="1"/>
    <n v="1"/>
    <n v="1"/>
    <n v="92"/>
    <n v="0"/>
    <n v="0"/>
    <n v="1"/>
    <n v="92"/>
    <n v="0.184"/>
    <n v="0"/>
    <n v="0"/>
    <n v="0.81600000000000006"/>
    <n v="1"/>
    <n v="5"/>
    <n v="1"/>
    <n v="92"/>
    <n v="40"/>
    <n v="0"/>
    <n v="0"/>
    <n v="0"/>
    <n v="5"/>
    <n v="0"/>
    <n v="0"/>
    <n v="0"/>
    <n v="0"/>
    <n v="0"/>
    <n v="0"/>
    <n v="0"/>
    <n v="0"/>
    <n v="0"/>
    <n v="1"/>
    <n v="0"/>
    <n v="0"/>
    <n v="0"/>
    <n v="4"/>
    <n v="22"/>
    <n v="0"/>
    <n v="92"/>
    <s v="No"/>
    <s v=""/>
    <n v="0"/>
    <n v="0"/>
    <s v="Yes"/>
    <s v="Shalom"/>
    <x v="0"/>
    <x v="1"/>
    <x v="1"/>
    <n v="25.374343974359"/>
    <n v="97.2843958974359"/>
    <s v="MMR001CMP020"/>
    <x v="0"/>
    <s v="cccm_2019OCT"/>
  </r>
  <r>
    <x v="2"/>
    <x v="0"/>
    <x v="0"/>
    <m/>
    <x v="0"/>
    <x v="1"/>
    <x v="0"/>
    <x v="40"/>
    <n v="63"/>
    <n v="270"/>
    <m/>
    <m/>
    <m/>
    <m/>
    <m/>
    <m/>
    <m/>
    <m/>
    <n v="5"/>
    <m/>
    <m/>
    <m/>
    <m/>
    <m/>
    <m/>
    <m/>
    <m/>
    <m/>
    <m/>
    <m/>
    <m/>
    <m/>
    <m/>
    <m/>
    <m/>
    <m/>
    <m/>
    <m/>
    <m/>
    <m/>
    <m/>
    <m/>
    <m/>
    <m/>
    <m/>
    <m/>
    <m/>
    <m/>
    <m/>
    <x v="3"/>
    <x v="3"/>
    <m/>
    <m/>
    <m/>
    <m/>
    <m/>
    <m/>
    <m/>
    <m/>
    <m/>
    <m/>
    <m/>
    <m/>
    <m/>
    <m/>
    <m/>
    <m/>
    <m/>
    <m/>
    <m/>
    <m/>
    <m/>
    <m/>
    <m/>
    <m/>
    <m/>
    <m/>
    <s v="no test"/>
    <s v="no test"/>
    <s v="No Test"/>
    <n v="0"/>
    <n v="0"/>
    <n v="0"/>
    <n v="0"/>
    <n v="0"/>
    <n v="0"/>
    <n v="0"/>
    <n v="0"/>
    <n v="0"/>
    <n v="0"/>
    <n v="0"/>
    <n v="0"/>
    <n v="0"/>
    <n v="0"/>
    <n v="0"/>
    <n v="1"/>
    <n v="270"/>
    <n v="1"/>
    <n v="1"/>
    <n v="0"/>
    <n v="0"/>
    <n v="0"/>
    <n v="0"/>
    <n v="0"/>
    <n v="0"/>
    <n v="0"/>
    <n v="14"/>
    <n v="14"/>
    <n v="1"/>
    <n v="0"/>
    <n v="0"/>
    <n v="0"/>
    <n v="0"/>
    <n v="0"/>
    <n v="0"/>
    <n v="0"/>
    <n v="1"/>
    <n v="0"/>
    <n v="0"/>
    <n v="0"/>
    <n v="0"/>
    <n v="0"/>
    <n v="0"/>
    <n v="0"/>
    <s v="No"/>
    <s v=""/>
    <n v="0"/>
    <n v="0"/>
    <n v="0"/>
    <n v="0"/>
    <x v="0"/>
    <x v="0"/>
    <x v="0"/>
    <n v="0"/>
    <n v="0"/>
    <n v="0"/>
    <x v="0"/>
    <n v="0"/>
  </r>
  <r>
    <x v="2"/>
    <x v="5"/>
    <x v="5"/>
    <s v="DFID"/>
    <x v="0"/>
    <x v="0"/>
    <x v="1"/>
    <x v="169"/>
    <n v="21"/>
    <n v="123"/>
    <d v="2018-08-01T00:00:00"/>
    <d v="2020-12-31T00:00:00"/>
    <m/>
    <n v="1"/>
    <m/>
    <m/>
    <s v="Yes"/>
    <n v="1"/>
    <n v="4"/>
    <n v="0"/>
    <m/>
    <m/>
    <n v="1"/>
    <m/>
    <m/>
    <m/>
    <m/>
    <m/>
    <m/>
    <m/>
    <m/>
    <m/>
    <n v="1"/>
    <n v="1"/>
    <m/>
    <m/>
    <m/>
    <m/>
    <m/>
    <m/>
    <m/>
    <n v="6"/>
    <n v="5"/>
    <s v="Chruch"/>
    <m/>
    <m/>
    <m/>
    <m/>
    <m/>
    <x v="1"/>
    <x v="2"/>
    <m/>
    <m/>
    <m/>
    <m/>
    <m/>
    <m/>
    <n v="1"/>
    <m/>
    <n v="0"/>
    <n v="2"/>
    <m/>
    <n v="1"/>
    <n v="0"/>
    <m/>
    <m/>
    <m/>
    <m/>
    <m/>
    <m/>
    <m/>
    <m/>
    <m/>
    <m/>
    <m/>
    <m/>
    <m/>
    <s v="no test"/>
    <s v="no test"/>
    <s v="No Test"/>
    <n v="0"/>
    <n v="1"/>
    <n v="0"/>
    <n v="0"/>
    <n v="0"/>
    <n v="0"/>
    <n v="1"/>
    <n v="1"/>
    <n v="1"/>
    <n v="123"/>
    <n v="0"/>
    <n v="0"/>
    <n v="1"/>
    <n v="123"/>
    <n v="0.246"/>
    <n v="0"/>
    <n v="0"/>
    <n v="0.754"/>
    <n v="1"/>
    <n v="11"/>
    <n v="1"/>
    <n v="123"/>
    <n v="0"/>
    <n v="0"/>
    <n v="0"/>
    <n v="0"/>
    <n v="6"/>
    <n v="0"/>
    <n v="0"/>
    <n v="0"/>
    <n v="123"/>
    <n v="0"/>
    <n v="0"/>
    <n v="0"/>
    <n v="123"/>
    <n v="1"/>
    <n v="0"/>
    <n v="1"/>
    <n v="0"/>
    <n v="0"/>
    <n v="1"/>
    <n v="20"/>
    <n v="0"/>
    <n v="100"/>
    <s v="No"/>
    <s v=""/>
    <n v="0"/>
    <n v="0"/>
    <s v="Yes"/>
    <s v="Shalom"/>
    <x v="0"/>
    <x v="1"/>
    <x v="1"/>
    <n v="25.371049444444399"/>
    <n v="97.290952037037002"/>
    <s v="MMR001CMP021"/>
    <x v="0"/>
    <s v="cccm_2019OCT"/>
  </r>
  <r>
    <x v="2"/>
    <x v="1"/>
    <x v="1"/>
    <s v="HARP/UNICEF"/>
    <x v="0"/>
    <x v="0"/>
    <x v="1"/>
    <x v="60"/>
    <n v="63"/>
    <n v="309"/>
    <s v="3-1-2019, 12-11-2019"/>
    <s v="12-31-2020, 12-10-2020"/>
    <m/>
    <m/>
    <m/>
    <m/>
    <s v="Yes"/>
    <m/>
    <m/>
    <m/>
    <m/>
    <m/>
    <n v="4"/>
    <m/>
    <m/>
    <m/>
    <m/>
    <m/>
    <m/>
    <m/>
    <m/>
    <m/>
    <m/>
    <m/>
    <m/>
    <m/>
    <m/>
    <m/>
    <m/>
    <m/>
    <m/>
    <n v="20"/>
    <m/>
    <m/>
    <m/>
    <m/>
    <m/>
    <m/>
    <m/>
    <x v="1"/>
    <x v="1"/>
    <n v="1"/>
    <m/>
    <m/>
    <m/>
    <m/>
    <m/>
    <m/>
    <m/>
    <m/>
    <n v="2"/>
    <m/>
    <n v="1"/>
    <n v="1"/>
    <m/>
    <m/>
    <s v="Yes"/>
    <m/>
    <m/>
    <m/>
    <m/>
    <m/>
    <m/>
    <m/>
    <m/>
    <m/>
    <m/>
    <s v="no test"/>
    <s v="no test"/>
    <s v="No Test"/>
    <n v="0"/>
    <n v="4"/>
    <n v="0"/>
    <n v="0"/>
    <n v="0"/>
    <n v="0"/>
    <n v="1"/>
    <n v="1"/>
    <n v="1"/>
    <n v="309"/>
    <n v="0"/>
    <n v="0"/>
    <n v="1"/>
    <n v="309"/>
    <n v="0.61799999999999999"/>
    <n v="0"/>
    <n v="0"/>
    <n v="0.38200000000000001"/>
    <n v="1"/>
    <n v="20"/>
    <n v="1"/>
    <n v="309"/>
    <n v="0"/>
    <n v="0"/>
    <n v="0"/>
    <n v="0"/>
    <n v="15"/>
    <n v="0"/>
    <n v="0"/>
    <n v="0"/>
    <n v="309"/>
    <n v="0"/>
    <n v="0"/>
    <n v="0"/>
    <n v="309"/>
    <n v="1"/>
    <n v="0"/>
    <n v="1"/>
    <n v="0"/>
    <n v="0"/>
    <n v="0"/>
    <n v="0"/>
    <n v="0"/>
    <n v="0"/>
    <s v="No"/>
    <s v=""/>
    <n v="0"/>
    <n v="0"/>
    <s v="Yes"/>
    <s v="KMSS-MYT"/>
    <x v="0"/>
    <x v="1"/>
    <x v="1"/>
    <n v="25.410569299999999"/>
    <n v="97.359320179999997"/>
    <s v="MMR001CMP024"/>
    <x v="0"/>
    <s v="cccm_2019OCT"/>
  </r>
  <r>
    <x v="2"/>
    <x v="0"/>
    <x v="0"/>
    <s v="PLAN(GFFO),MHF13490"/>
    <x v="0"/>
    <x v="0"/>
    <x v="1"/>
    <x v="28"/>
    <n v="67"/>
    <n v="281"/>
    <s v="5-1-2019,10-1-2019"/>
    <s v="9-30-2020,7-31-2020"/>
    <m/>
    <m/>
    <m/>
    <m/>
    <s v="Yes"/>
    <m/>
    <n v="4"/>
    <n v="1"/>
    <m/>
    <m/>
    <n v="2"/>
    <m/>
    <m/>
    <m/>
    <m/>
    <m/>
    <m/>
    <m/>
    <m/>
    <m/>
    <m/>
    <n v="3"/>
    <m/>
    <m/>
    <m/>
    <m/>
    <m/>
    <m/>
    <m/>
    <n v="15"/>
    <m/>
    <m/>
    <m/>
    <m/>
    <m/>
    <m/>
    <n v="15"/>
    <x v="1"/>
    <x v="1"/>
    <m/>
    <m/>
    <m/>
    <m/>
    <m/>
    <m/>
    <n v="6"/>
    <m/>
    <m/>
    <n v="2"/>
    <m/>
    <m/>
    <n v="1"/>
    <m/>
    <m/>
    <m/>
    <m/>
    <m/>
    <m/>
    <m/>
    <m/>
    <m/>
    <m/>
    <m/>
    <m/>
    <m/>
    <s v="no test"/>
    <s v="no test"/>
    <s v="No Test"/>
    <n v="1"/>
    <n v="2"/>
    <n v="0"/>
    <n v="0"/>
    <n v="0"/>
    <n v="0"/>
    <n v="1"/>
    <n v="1"/>
    <n v="1"/>
    <n v="281"/>
    <n v="0"/>
    <n v="0"/>
    <n v="1"/>
    <n v="281"/>
    <n v="0.56200000000000006"/>
    <n v="0"/>
    <n v="0"/>
    <n v="0.43799999999999994"/>
    <n v="1"/>
    <n v="15"/>
    <n v="1"/>
    <n v="281"/>
    <n v="0"/>
    <n v="0"/>
    <n v="0"/>
    <n v="0"/>
    <n v="14"/>
    <n v="0"/>
    <n v="0"/>
    <n v="0"/>
    <n v="281"/>
    <n v="0"/>
    <n v="0"/>
    <n v="0"/>
    <n v="281"/>
    <n v="1"/>
    <n v="0"/>
    <n v="1"/>
    <n v="0"/>
    <n v="0"/>
    <n v="6"/>
    <n v="67"/>
    <n v="0"/>
    <n v="281"/>
    <s v="No"/>
    <s v=""/>
    <n v="0"/>
    <n v="0"/>
    <s v="Yes"/>
    <s v="KBC-MYT"/>
    <x v="0"/>
    <x v="1"/>
    <x v="1"/>
    <n v="25.422194000000001"/>
    <n v="97.394547000000003"/>
    <s v="MMR001CMP002"/>
    <x v="0"/>
    <s v="cccm_2019OCT"/>
  </r>
  <r>
    <x v="2"/>
    <x v="1"/>
    <x v="1"/>
    <s v="HARP/UNICEF"/>
    <x v="0"/>
    <x v="0"/>
    <x v="1"/>
    <x v="62"/>
    <n v="147"/>
    <n v="882"/>
    <s v="3-1-2019, 12-11-2019"/>
    <s v="12-31-2020, 12-10-2020"/>
    <m/>
    <n v="2"/>
    <m/>
    <m/>
    <s v="Yes"/>
    <n v="3"/>
    <n v="4"/>
    <n v="5"/>
    <n v="1"/>
    <m/>
    <n v="2"/>
    <m/>
    <m/>
    <m/>
    <n v="5"/>
    <m/>
    <n v="1"/>
    <m/>
    <m/>
    <m/>
    <m/>
    <m/>
    <n v="4"/>
    <n v="2"/>
    <n v="4"/>
    <n v="1"/>
    <m/>
    <m/>
    <m/>
    <n v="74"/>
    <m/>
    <m/>
    <m/>
    <n v="3"/>
    <n v="18"/>
    <m/>
    <n v="8"/>
    <x v="1"/>
    <x v="1"/>
    <n v="1"/>
    <m/>
    <m/>
    <m/>
    <m/>
    <m/>
    <m/>
    <n v="3"/>
    <m/>
    <n v="13"/>
    <n v="2"/>
    <m/>
    <n v="4"/>
    <m/>
    <m/>
    <s v="Yes"/>
    <n v="3"/>
    <m/>
    <m/>
    <n v="0.3"/>
    <n v="0.4"/>
    <m/>
    <n v="0.1"/>
    <m/>
    <m/>
    <m/>
    <n v="0.5"/>
    <n v="0.25"/>
    <s v="Tested"/>
    <n v="4"/>
    <n v="2"/>
    <n v="5"/>
    <n v="0"/>
    <n v="0"/>
    <n v="0"/>
    <n v="1"/>
    <n v="1"/>
    <n v="1"/>
    <n v="882"/>
    <n v="0"/>
    <n v="0"/>
    <n v="1"/>
    <n v="882"/>
    <n v="1.764"/>
    <n v="0"/>
    <n v="0"/>
    <n v="0.23599999999999999"/>
    <n v="2"/>
    <n v="74"/>
    <n v="1"/>
    <n v="882"/>
    <n v="360"/>
    <n v="0"/>
    <n v="0"/>
    <n v="0"/>
    <n v="44"/>
    <n v="0"/>
    <n v="0"/>
    <n v="0"/>
    <n v="882"/>
    <n v="0"/>
    <n v="0"/>
    <n v="0"/>
    <n v="882"/>
    <n v="1"/>
    <n v="0"/>
    <n v="1"/>
    <n v="0"/>
    <n v="0"/>
    <n v="-3"/>
    <n v="-60"/>
    <n v="0"/>
    <n v="-300"/>
    <s v="No"/>
    <s v=""/>
    <n v="0"/>
    <n v="0"/>
    <s v="Yes"/>
    <s v="KMSS-MYT"/>
    <x v="0"/>
    <x v="1"/>
    <x v="1"/>
    <n v="25.493819999999999"/>
    <n v="97.4345"/>
    <s v="MMR001CMP162"/>
    <x v="0"/>
    <s v="cccm_2019OCT"/>
  </r>
  <r>
    <x v="2"/>
    <x v="1"/>
    <x v="1"/>
    <s v="HARP/UNICEF"/>
    <x v="0"/>
    <x v="0"/>
    <x v="1"/>
    <x v="63"/>
    <n v="255"/>
    <n v="1374"/>
    <s v="3-1-2019, 12-11-2019"/>
    <s v="12-31-2020, 12-10-2020"/>
    <m/>
    <m/>
    <m/>
    <m/>
    <s v="Yes"/>
    <n v="3"/>
    <n v="4"/>
    <n v="2"/>
    <m/>
    <n v="1"/>
    <m/>
    <m/>
    <m/>
    <m/>
    <n v="2"/>
    <m/>
    <m/>
    <m/>
    <m/>
    <m/>
    <m/>
    <m/>
    <n v="4"/>
    <m/>
    <n v="4"/>
    <n v="2"/>
    <m/>
    <m/>
    <m/>
    <n v="62"/>
    <m/>
    <m/>
    <m/>
    <m/>
    <m/>
    <m/>
    <m/>
    <x v="1"/>
    <x v="1"/>
    <n v="1"/>
    <m/>
    <n v="62"/>
    <m/>
    <m/>
    <m/>
    <m/>
    <m/>
    <n v="7"/>
    <n v="7"/>
    <m/>
    <m/>
    <m/>
    <m/>
    <m/>
    <m/>
    <n v="6"/>
    <m/>
    <m/>
    <n v="0.35"/>
    <n v="0.3"/>
    <m/>
    <n v="0.15"/>
    <m/>
    <m/>
    <m/>
    <n v="0"/>
    <n v="0.5"/>
    <s v="Tested"/>
    <n v="2"/>
    <n v="0"/>
    <n v="2"/>
    <n v="0"/>
    <n v="0"/>
    <n v="0"/>
    <n v="0.67928190198932559"/>
    <n v="0.46094129063561379"/>
    <n v="0.67928190198932559"/>
    <n v="933.33333333333337"/>
    <n v="0"/>
    <n v="0"/>
    <n v="0.67928190198932559"/>
    <n v="933.33333333333337"/>
    <n v="1.8666666666666667"/>
    <n v="0.32071809801067441"/>
    <n v="440.66666666666663"/>
    <n v="1.1333333333333333"/>
    <n v="3"/>
    <n v="62"/>
    <n v="0.91703056768558955"/>
    <n v="1260"/>
    <n v="0"/>
    <n v="0"/>
    <n v="0"/>
    <n v="0"/>
    <n v="69"/>
    <n v="7"/>
    <n v="8.2969432314410452E-2"/>
    <n v="0"/>
    <n v="0"/>
    <n v="0"/>
    <n v="0"/>
    <n v="0"/>
    <n v="0"/>
    <n v="0"/>
    <n v="1"/>
    <n v="0"/>
    <n v="0"/>
    <n v="0"/>
    <n v="0"/>
    <n v="0"/>
    <n v="0"/>
    <n v="0"/>
    <s v="No"/>
    <s v=""/>
    <n v="0"/>
    <n v="0"/>
    <s v="Yes"/>
    <s v="KMSS-MYT"/>
    <x v="0"/>
    <x v="1"/>
    <x v="1"/>
    <n v="25.493819999999999"/>
    <n v="97.4345"/>
    <s v="MMR001CMP271"/>
    <x v="0"/>
    <s v="cccm_2019OCT"/>
  </r>
  <r>
    <x v="2"/>
    <x v="1"/>
    <x v="1"/>
    <s v="HARP,UNICEF"/>
    <x v="0"/>
    <x v="2"/>
    <x v="1"/>
    <x v="57"/>
    <n v="283"/>
    <n v="1481"/>
    <s v="3-1-2019, 12-11-2019"/>
    <s v="12-31-2020, 12-10-2020"/>
    <m/>
    <m/>
    <m/>
    <m/>
    <s v="Yes"/>
    <m/>
    <m/>
    <n v="10"/>
    <m/>
    <m/>
    <m/>
    <m/>
    <m/>
    <m/>
    <m/>
    <m/>
    <m/>
    <m/>
    <m/>
    <m/>
    <m/>
    <m/>
    <m/>
    <n v="2"/>
    <n v="1"/>
    <m/>
    <n v="2"/>
    <m/>
    <m/>
    <n v="97"/>
    <m/>
    <m/>
    <m/>
    <m/>
    <m/>
    <m/>
    <m/>
    <x v="1"/>
    <x v="1"/>
    <n v="4"/>
    <m/>
    <m/>
    <m/>
    <m/>
    <m/>
    <m/>
    <m/>
    <m/>
    <n v="6"/>
    <m/>
    <m/>
    <n v="4"/>
    <m/>
    <m/>
    <s v="No"/>
    <m/>
    <m/>
    <m/>
    <m/>
    <m/>
    <m/>
    <m/>
    <m/>
    <m/>
    <m/>
    <s v="no test"/>
    <n v="0"/>
    <s v="Tested"/>
    <n v="10"/>
    <n v="0"/>
    <n v="0"/>
    <n v="0"/>
    <n v="0"/>
    <n v="0"/>
    <n v="1"/>
    <n v="1"/>
    <n v="1"/>
    <n v="1481"/>
    <n v="0"/>
    <n v="0"/>
    <n v="1"/>
    <n v="1481"/>
    <n v="2.9620000000000002"/>
    <n v="0"/>
    <n v="0"/>
    <n v="3.7999999999999812E-2"/>
    <n v="3"/>
    <n v="97"/>
    <n v="1"/>
    <n v="1481"/>
    <n v="0"/>
    <n v="0"/>
    <n v="0"/>
    <n v="0"/>
    <n v="74"/>
    <n v="0"/>
    <n v="0"/>
    <n v="0"/>
    <n v="1481"/>
    <n v="0"/>
    <n v="0"/>
    <n v="0"/>
    <n v="1481"/>
    <n v="1"/>
    <n v="0"/>
    <n v="1"/>
    <n v="0"/>
    <n v="0"/>
    <n v="0"/>
    <n v="0"/>
    <n v="0"/>
    <n v="0"/>
    <s v="No"/>
    <s v=""/>
    <n v="0"/>
    <n v="0"/>
    <s v="Yes"/>
    <s v="KMSS-MYT"/>
    <x v="0"/>
    <x v="1"/>
    <x v="1"/>
    <n v="25.415667500000001"/>
    <n v="97.437782499999997"/>
    <s v="MMR001CMP029"/>
    <x v="0"/>
    <s v="cccm_2019OCT"/>
  </r>
  <r>
    <x v="2"/>
    <x v="0"/>
    <x v="0"/>
    <m/>
    <x v="0"/>
    <x v="1"/>
    <x v="0"/>
    <x v="47"/>
    <n v="78"/>
    <n v="324"/>
    <m/>
    <m/>
    <m/>
    <m/>
    <m/>
    <m/>
    <m/>
    <m/>
    <m/>
    <m/>
    <m/>
    <m/>
    <m/>
    <m/>
    <m/>
    <m/>
    <m/>
    <m/>
    <m/>
    <m/>
    <m/>
    <m/>
    <m/>
    <n v="0"/>
    <m/>
    <m/>
    <m/>
    <m/>
    <m/>
    <m/>
    <m/>
    <m/>
    <m/>
    <m/>
    <m/>
    <m/>
    <m/>
    <m/>
    <m/>
    <x v="1"/>
    <x v="3"/>
    <m/>
    <m/>
    <m/>
    <m/>
    <m/>
    <m/>
    <m/>
    <m/>
    <m/>
    <n v="0"/>
    <m/>
    <m/>
    <m/>
    <m/>
    <m/>
    <m/>
    <m/>
    <m/>
    <m/>
    <m/>
    <m/>
    <m/>
    <m/>
    <m/>
    <m/>
    <m/>
    <s v="no test"/>
    <s v="no test"/>
    <s v="No Test"/>
    <n v="0"/>
    <n v="0"/>
    <n v="0"/>
    <n v="0"/>
    <n v="0"/>
    <n v="0"/>
    <n v="0"/>
    <n v="0"/>
    <n v="0"/>
    <n v="0"/>
    <n v="0"/>
    <n v="0"/>
    <n v="0"/>
    <n v="0"/>
    <n v="0"/>
    <n v="1"/>
    <n v="324"/>
    <n v="1"/>
    <n v="1"/>
    <n v="0"/>
    <n v="0"/>
    <n v="0"/>
    <n v="0"/>
    <n v="0"/>
    <n v="0"/>
    <n v="0"/>
    <n v="16"/>
    <n v="16"/>
    <n v="1"/>
    <n v="0"/>
    <n v="0"/>
    <n v="0"/>
    <n v="0"/>
    <n v="0"/>
    <n v="0"/>
    <n v="0"/>
    <n v="1"/>
    <n v="0"/>
    <n v="0"/>
    <n v="0"/>
    <n v="0"/>
    <n v="0"/>
    <n v="0"/>
    <n v="0"/>
    <s v="No"/>
    <s v=""/>
    <n v="0"/>
    <n v="0"/>
    <n v="0"/>
    <n v="0"/>
    <x v="0"/>
    <x v="0"/>
    <x v="0"/>
    <n v="0"/>
    <n v="0"/>
    <n v="0"/>
    <x v="0"/>
    <n v="0"/>
  </r>
  <r>
    <x v="2"/>
    <x v="0"/>
    <x v="0"/>
    <s v="PLAN(GFFO),MHF13490"/>
    <x v="0"/>
    <x v="2"/>
    <x v="1"/>
    <x v="17"/>
    <n v="494"/>
    <n v="2500"/>
    <s v="5-1-2019,10-1-2019"/>
    <s v="9-30-2020,7-31-2020"/>
    <m/>
    <m/>
    <m/>
    <m/>
    <s v="Yes"/>
    <m/>
    <m/>
    <n v="9"/>
    <m/>
    <m/>
    <n v="2"/>
    <m/>
    <m/>
    <m/>
    <m/>
    <m/>
    <m/>
    <n v="9000"/>
    <m/>
    <m/>
    <m/>
    <n v="9"/>
    <m/>
    <m/>
    <m/>
    <m/>
    <m/>
    <m/>
    <m/>
    <n v="130"/>
    <m/>
    <m/>
    <m/>
    <m/>
    <m/>
    <m/>
    <n v="130"/>
    <x v="1"/>
    <x v="1"/>
    <m/>
    <m/>
    <m/>
    <m/>
    <m/>
    <m/>
    <n v="2"/>
    <m/>
    <m/>
    <n v="6"/>
    <m/>
    <m/>
    <n v="5"/>
    <m/>
    <m/>
    <m/>
    <m/>
    <m/>
    <m/>
    <m/>
    <m/>
    <m/>
    <m/>
    <m/>
    <m/>
    <m/>
    <s v="no test"/>
    <s v="no test"/>
    <s v="No Test"/>
    <n v="9"/>
    <n v="2"/>
    <n v="0"/>
    <n v="6.666666666666667"/>
    <n v="0"/>
    <n v="0"/>
    <n v="1"/>
    <n v="1"/>
    <n v="1"/>
    <n v="2500"/>
    <n v="0"/>
    <n v="0"/>
    <n v="1"/>
    <n v="2500"/>
    <n v="5"/>
    <n v="0"/>
    <n v="0"/>
    <n v="0"/>
    <n v="5"/>
    <n v="130"/>
    <n v="1"/>
    <n v="2500"/>
    <n v="0"/>
    <n v="0"/>
    <n v="0"/>
    <n v="0"/>
    <n v="125"/>
    <n v="0"/>
    <n v="0"/>
    <n v="0"/>
    <n v="2500"/>
    <n v="0"/>
    <n v="0"/>
    <n v="0"/>
    <n v="2500"/>
    <n v="1"/>
    <n v="0"/>
    <n v="1"/>
    <n v="0"/>
    <n v="0"/>
    <n v="2"/>
    <n v="40"/>
    <n v="0"/>
    <n v="200"/>
    <s v="No"/>
    <s v=""/>
    <n v="0"/>
    <n v="0"/>
    <s v="Yes"/>
    <s v="KBC-MYT"/>
    <x v="0"/>
    <x v="1"/>
    <x v="1"/>
    <n v="25.4118005797101"/>
    <n v="97.434855869565197"/>
    <s v="MMR001CMP040"/>
    <x v="0"/>
    <s v="cccm_2019OCT"/>
  </r>
  <r>
    <x v="2"/>
    <x v="1"/>
    <x v="1"/>
    <s v="HARP,UNICEF"/>
    <x v="0"/>
    <x v="7"/>
    <x v="1"/>
    <x v="49"/>
    <n v="101"/>
    <n v="458"/>
    <s v="3-1-2019, 12-11-2019"/>
    <s v="12-31-2020, 12-10-2020"/>
    <m/>
    <n v="2"/>
    <m/>
    <m/>
    <s v="Yes"/>
    <m/>
    <m/>
    <m/>
    <m/>
    <m/>
    <m/>
    <m/>
    <m/>
    <m/>
    <n v="1"/>
    <m/>
    <m/>
    <m/>
    <m/>
    <m/>
    <m/>
    <m/>
    <m/>
    <m/>
    <m/>
    <m/>
    <n v="3"/>
    <m/>
    <m/>
    <n v="86"/>
    <m/>
    <m/>
    <m/>
    <m/>
    <m/>
    <m/>
    <m/>
    <x v="1"/>
    <x v="1"/>
    <n v="1"/>
    <m/>
    <m/>
    <m/>
    <m/>
    <m/>
    <m/>
    <m/>
    <m/>
    <n v="3"/>
    <m/>
    <m/>
    <n v="2"/>
    <m/>
    <m/>
    <s v="No"/>
    <m/>
    <n v="0.75"/>
    <m/>
    <m/>
    <m/>
    <m/>
    <m/>
    <m/>
    <m/>
    <m/>
    <s v="no test"/>
    <s v="no test"/>
    <s v="No Test"/>
    <n v="0"/>
    <n v="0"/>
    <n v="1"/>
    <n v="0"/>
    <n v="0"/>
    <n v="0"/>
    <n v="0.14556040756914121"/>
    <n v="0.14556040756914121"/>
    <n v="0.14556040756914121"/>
    <n v="66.666666666666671"/>
    <n v="0"/>
    <n v="0"/>
    <n v="0.14556040756914121"/>
    <n v="66.666666666666671"/>
    <n v="0.13333333333333333"/>
    <n v="0.85443959243085876"/>
    <n v="391.33333333333331"/>
    <n v="0.8666666666666667"/>
    <n v="1"/>
    <n v="86"/>
    <n v="1"/>
    <n v="458"/>
    <n v="0"/>
    <n v="0"/>
    <n v="0"/>
    <n v="0"/>
    <n v="23"/>
    <n v="0"/>
    <n v="0"/>
    <n v="0"/>
    <n v="458"/>
    <n v="0"/>
    <n v="0"/>
    <n v="0"/>
    <n v="458"/>
    <n v="1"/>
    <n v="0"/>
    <n v="1"/>
    <n v="0"/>
    <n v="0"/>
    <n v="0"/>
    <n v="0"/>
    <n v="0"/>
    <n v="0"/>
    <s v="No"/>
    <s v=""/>
    <n v="0"/>
    <n v="0"/>
    <s v="Yes"/>
    <s v="KMSS-MYT"/>
    <x v="0"/>
    <x v="1"/>
    <x v="0"/>
    <n v="24.461033"/>
    <n v="97.537099999999995"/>
    <s v="MMR001CMP123"/>
    <x v="0"/>
    <s v="cccm_2019OCT"/>
  </r>
  <r>
    <x v="2"/>
    <x v="1"/>
    <x v="1"/>
    <s v="UNICEF"/>
    <x v="0"/>
    <x v="0"/>
    <x v="0"/>
    <x v="200"/>
    <n v="26"/>
    <n v="130"/>
    <d v="2019-12-11T00:00:00"/>
    <d v="2020-12-10T00:00:00"/>
    <m/>
    <n v="1"/>
    <m/>
    <m/>
    <s v="Yes"/>
    <n v="2"/>
    <n v="1"/>
    <m/>
    <m/>
    <m/>
    <n v="2"/>
    <m/>
    <m/>
    <n v="1"/>
    <m/>
    <m/>
    <m/>
    <m/>
    <m/>
    <m/>
    <m/>
    <m/>
    <m/>
    <m/>
    <m/>
    <m/>
    <m/>
    <m/>
    <m/>
    <n v="4"/>
    <m/>
    <m/>
    <m/>
    <m/>
    <m/>
    <m/>
    <m/>
    <x v="1"/>
    <x v="4"/>
    <m/>
    <m/>
    <m/>
    <m/>
    <m/>
    <m/>
    <m/>
    <m/>
    <m/>
    <m/>
    <m/>
    <m/>
    <m/>
    <n v="6"/>
    <m/>
    <s v="No"/>
    <m/>
    <m/>
    <m/>
    <n v="0.3"/>
    <n v="0.3"/>
    <n v="10"/>
    <n v="0.05"/>
    <m/>
    <m/>
    <m/>
    <s v="no test"/>
    <s v="no test"/>
    <s v="No Test"/>
    <n v="0"/>
    <n v="2"/>
    <n v="0"/>
    <n v="0"/>
    <n v="0"/>
    <n v="0"/>
    <n v="1"/>
    <n v="1"/>
    <n v="1"/>
    <n v="130"/>
    <n v="0"/>
    <n v="0"/>
    <n v="1"/>
    <n v="130"/>
    <n v="0.26"/>
    <n v="0"/>
    <n v="0"/>
    <n v="0.74"/>
    <n v="1"/>
    <n v="4"/>
    <n v="0.61538461538461542"/>
    <n v="80"/>
    <n v="0"/>
    <n v="0"/>
    <n v="0"/>
    <n v="0"/>
    <n v="7"/>
    <n v="3"/>
    <n v="0.38461538461538458"/>
    <n v="0"/>
    <n v="0"/>
    <n v="30"/>
    <n v="0"/>
    <n v="30"/>
    <n v="30"/>
    <n v="0.23076923076923078"/>
    <n v="0.76923076923076916"/>
    <n v="0"/>
    <n v="0.92307692307692313"/>
    <n v="0"/>
    <n v="0"/>
    <n v="0"/>
    <n v="0"/>
    <n v="0"/>
    <s v="No"/>
    <n v="7.6923076923076927E-2"/>
    <n v="0"/>
    <n v="0"/>
    <n v="0"/>
    <n v="0"/>
    <x v="0"/>
    <x v="1"/>
    <x v="1"/>
    <n v="0"/>
    <n v="0"/>
    <n v="0"/>
    <x v="0"/>
    <n v="0"/>
  </r>
  <r>
    <x v="2"/>
    <x v="4"/>
    <x v="4"/>
    <m/>
    <x v="0"/>
    <x v="0"/>
    <x v="1"/>
    <x v="146"/>
    <n v="30"/>
    <n v="159"/>
    <m/>
    <m/>
    <m/>
    <m/>
    <m/>
    <m/>
    <m/>
    <m/>
    <n v="4"/>
    <m/>
    <m/>
    <m/>
    <m/>
    <m/>
    <m/>
    <m/>
    <m/>
    <m/>
    <m/>
    <m/>
    <m/>
    <m/>
    <m/>
    <m/>
    <m/>
    <m/>
    <m/>
    <m/>
    <m/>
    <m/>
    <m/>
    <m/>
    <m/>
    <m/>
    <m/>
    <m/>
    <m/>
    <m/>
    <m/>
    <x v="0"/>
    <x v="0"/>
    <m/>
    <m/>
    <m/>
    <m/>
    <m/>
    <m/>
    <m/>
    <m/>
    <m/>
    <m/>
    <m/>
    <m/>
    <m/>
    <m/>
    <m/>
    <m/>
    <m/>
    <m/>
    <m/>
    <m/>
    <m/>
    <m/>
    <m/>
    <m/>
    <m/>
    <m/>
    <s v="no test"/>
    <s v="no test"/>
    <s v="No Test"/>
    <n v="0"/>
    <n v="0"/>
    <n v="0"/>
    <n v="0"/>
    <n v="0"/>
    <n v="0"/>
    <n v="0"/>
    <n v="0"/>
    <n v="0"/>
    <n v="0"/>
    <n v="0"/>
    <n v="0"/>
    <n v="0"/>
    <n v="0"/>
    <n v="0"/>
    <n v="1"/>
    <n v="159"/>
    <n v="1"/>
    <n v="1"/>
    <n v="0"/>
    <n v="0"/>
    <n v="0"/>
    <n v="0"/>
    <n v="0"/>
    <n v="0"/>
    <n v="0"/>
    <n v="8"/>
    <n v="8"/>
    <n v="1"/>
    <n v="0"/>
    <n v="0"/>
    <n v="0"/>
    <n v="0"/>
    <n v="0"/>
    <n v="0"/>
    <n v="0"/>
    <n v="1"/>
    <n v="0"/>
    <n v="0"/>
    <n v="0"/>
    <n v="0"/>
    <n v="0"/>
    <n v="0"/>
    <n v="0"/>
    <s v="No"/>
    <s v=""/>
    <n v="0"/>
    <n v="0"/>
    <n v="0"/>
    <s v="uncovered"/>
    <x v="0"/>
    <x v="0"/>
    <x v="1"/>
    <n v="25.387892000000001"/>
    <n v="97.325181999999998"/>
    <s v="MMR001CMP276"/>
    <x v="1"/>
    <s v="cccm_2019OCT"/>
  </r>
  <r>
    <x v="2"/>
    <x v="9"/>
    <x v="9"/>
    <s v="(WHH-AA, USAID, MHF, HOPE),UNICEF"/>
    <x v="0"/>
    <x v="7"/>
    <x v="0"/>
    <x v="69"/>
    <n v="126"/>
    <n v="571"/>
    <s v="(10-1-2018, 9-30-2019, 6-1-2020), 4-1-2019 "/>
    <s v="(9-30-2020, 8-31-2020, 11-30-2020), 4-30-2020"/>
    <m/>
    <m/>
    <n v="4"/>
    <m/>
    <s v="Yes"/>
    <n v="2"/>
    <n v="3"/>
    <n v="1"/>
    <m/>
    <m/>
    <n v="1"/>
    <n v="1"/>
    <m/>
    <m/>
    <m/>
    <m/>
    <m/>
    <m/>
    <m/>
    <m/>
    <m/>
    <m/>
    <m/>
    <m/>
    <m/>
    <m/>
    <n v="2"/>
    <m/>
    <s v="Water safety plan need to install"/>
    <n v="28"/>
    <m/>
    <m/>
    <m/>
    <m/>
    <m/>
    <m/>
    <m/>
    <x v="1"/>
    <x v="1"/>
    <m/>
    <m/>
    <n v="3"/>
    <m/>
    <m/>
    <m/>
    <n v="12"/>
    <m/>
    <m/>
    <n v="3"/>
    <m/>
    <m/>
    <n v="4"/>
    <n v="126"/>
    <m/>
    <s v="No"/>
    <m/>
    <m/>
    <s v="Hygiene refill item distribution couldn't be done by voucher system because of the Covid-19 prevention situations"/>
    <m/>
    <m/>
    <m/>
    <m/>
    <m/>
    <m/>
    <m/>
    <s v="no test"/>
    <s v="no test"/>
    <s v="No Test"/>
    <n v="1"/>
    <n v="2"/>
    <n v="0"/>
    <n v="0"/>
    <n v="0"/>
    <n v="0"/>
    <n v="1"/>
    <n v="1"/>
    <n v="1"/>
    <n v="571"/>
    <n v="0"/>
    <n v="0"/>
    <n v="1"/>
    <n v="571"/>
    <n v="1.1419999999999999"/>
    <n v="0"/>
    <n v="0"/>
    <n v="0"/>
    <n v="1"/>
    <n v="28"/>
    <n v="0.98073555166374782"/>
    <n v="560"/>
    <n v="0"/>
    <n v="0"/>
    <n v="0"/>
    <n v="0"/>
    <n v="29"/>
    <n v="1"/>
    <n v="1.9264448336252182E-2"/>
    <n v="0"/>
    <n v="571"/>
    <n v="571"/>
    <n v="0"/>
    <n v="571"/>
    <n v="571"/>
    <n v="1"/>
    <n v="0"/>
    <n v="1"/>
    <n v="1"/>
    <n v="0"/>
    <n v="12"/>
    <n v="126"/>
    <n v="0"/>
    <n v="571"/>
    <s v="No"/>
    <s v=""/>
    <n v="0"/>
    <n v="0"/>
    <n v="0"/>
    <n v="0"/>
    <x v="0"/>
    <x v="1"/>
    <x v="1"/>
    <n v="0"/>
    <n v="0"/>
    <n v="0"/>
    <x v="0"/>
    <n v="0"/>
  </r>
  <r>
    <x v="2"/>
    <x v="0"/>
    <x v="0"/>
    <s v="PLAN(GFFO),MHF13490"/>
    <x v="0"/>
    <x v="0"/>
    <x v="1"/>
    <x v="37"/>
    <n v="107"/>
    <n v="534"/>
    <s v="5-1-2019,10-1-2019"/>
    <s v="9-30-2020,7-31-2020"/>
    <m/>
    <m/>
    <m/>
    <m/>
    <s v="Yes"/>
    <m/>
    <n v="4"/>
    <n v="1"/>
    <m/>
    <m/>
    <n v="1"/>
    <m/>
    <m/>
    <m/>
    <m/>
    <m/>
    <m/>
    <m/>
    <m/>
    <m/>
    <m/>
    <n v="2"/>
    <m/>
    <m/>
    <m/>
    <m/>
    <m/>
    <m/>
    <m/>
    <n v="13"/>
    <m/>
    <m/>
    <m/>
    <m/>
    <m/>
    <m/>
    <n v="13"/>
    <x v="1"/>
    <x v="1"/>
    <m/>
    <m/>
    <m/>
    <m/>
    <m/>
    <m/>
    <n v="4"/>
    <m/>
    <m/>
    <n v="2"/>
    <m/>
    <m/>
    <n v="2"/>
    <m/>
    <m/>
    <m/>
    <m/>
    <m/>
    <m/>
    <m/>
    <m/>
    <m/>
    <m/>
    <m/>
    <m/>
    <m/>
    <s v="no test"/>
    <s v="no test"/>
    <s v="No Test"/>
    <n v="1"/>
    <n v="1"/>
    <n v="0"/>
    <n v="0"/>
    <n v="0"/>
    <n v="0"/>
    <n v="1"/>
    <n v="0.93632958801498123"/>
    <n v="1"/>
    <n v="534"/>
    <n v="0"/>
    <n v="0"/>
    <n v="1"/>
    <n v="534"/>
    <n v="1.0680000000000001"/>
    <n v="0"/>
    <n v="0"/>
    <n v="0"/>
    <n v="1"/>
    <n v="13"/>
    <n v="0.48689138576779029"/>
    <n v="260"/>
    <n v="0"/>
    <n v="0"/>
    <n v="0"/>
    <n v="0"/>
    <n v="27"/>
    <n v="14"/>
    <n v="0.51310861423220966"/>
    <n v="0"/>
    <n v="534"/>
    <n v="0"/>
    <n v="0"/>
    <n v="0"/>
    <n v="534"/>
    <n v="1"/>
    <n v="0"/>
    <n v="1"/>
    <n v="0"/>
    <n v="0"/>
    <n v="4"/>
    <n v="80"/>
    <n v="0"/>
    <n v="400"/>
    <s v="No"/>
    <s v=""/>
    <n v="0"/>
    <n v="0"/>
    <s v="Yes"/>
    <s v="KBC-MYT"/>
    <x v="0"/>
    <x v="1"/>
    <x v="1"/>
    <n v="25.412313000000001"/>
    <n v="97.399628000000007"/>
    <s v="MMR001CMP006"/>
    <x v="0"/>
    <s v="cccm_2019OCT"/>
  </r>
  <r>
    <x v="2"/>
    <x v="5"/>
    <x v="5"/>
    <s v="DFID"/>
    <x v="0"/>
    <x v="3"/>
    <x v="1"/>
    <x v="156"/>
    <n v="36"/>
    <n v="228"/>
    <d v="2018-08-01T00:00:00"/>
    <d v="2020-12-31T00:00:00"/>
    <m/>
    <n v="1"/>
    <m/>
    <m/>
    <s v="Yes"/>
    <n v="2"/>
    <n v="2"/>
    <n v="2"/>
    <m/>
    <m/>
    <n v="0"/>
    <n v="0"/>
    <m/>
    <m/>
    <n v="0"/>
    <m/>
    <m/>
    <n v="0"/>
    <n v="0"/>
    <n v="0"/>
    <n v="0"/>
    <n v="1"/>
    <m/>
    <m/>
    <m/>
    <m/>
    <n v="0"/>
    <n v="0"/>
    <m/>
    <n v="10"/>
    <n v="0"/>
    <s v="Shalom"/>
    <m/>
    <m/>
    <m/>
    <m/>
    <n v="0"/>
    <x v="1"/>
    <x v="1"/>
    <n v="0"/>
    <n v="0"/>
    <n v="0"/>
    <m/>
    <m/>
    <m/>
    <n v="0"/>
    <m/>
    <n v="0"/>
    <n v="3"/>
    <m/>
    <n v="2"/>
    <n v="2"/>
    <m/>
    <m/>
    <m/>
    <m/>
    <m/>
    <m/>
    <m/>
    <m/>
    <m/>
    <m/>
    <m/>
    <m/>
    <m/>
    <s v="no test"/>
    <s v="no test"/>
    <s v="No Test"/>
    <n v="2"/>
    <n v="0"/>
    <n v="0"/>
    <n v="0"/>
    <n v="0"/>
    <n v="0"/>
    <n v="1"/>
    <n v="1"/>
    <n v="1"/>
    <n v="228"/>
    <n v="0"/>
    <n v="0"/>
    <n v="1"/>
    <n v="228"/>
    <n v="0.45600000000000002"/>
    <n v="0"/>
    <n v="0"/>
    <n v="0.54400000000000004"/>
    <n v="1"/>
    <n v="10"/>
    <n v="0.8771929824561403"/>
    <n v="200"/>
    <n v="0"/>
    <n v="0"/>
    <n v="0"/>
    <n v="0"/>
    <n v="11"/>
    <n v="1"/>
    <n v="0.1228070175438597"/>
    <n v="0"/>
    <n v="228"/>
    <n v="0"/>
    <n v="0"/>
    <n v="0"/>
    <n v="228"/>
    <n v="1"/>
    <n v="0"/>
    <n v="1"/>
    <n v="0"/>
    <n v="0"/>
    <n v="0"/>
    <n v="0"/>
    <n v="0"/>
    <n v="0"/>
    <s v="No"/>
    <s v=""/>
    <n v="0"/>
    <n v="0"/>
    <s v="Yes"/>
    <s v="KBC-MYT"/>
    <x v="0"/>
    <x v="1"/>
    <x v="1"/>
    <n v="25.647649999999999"/>
    <n v="96.346469999999997"/>
    <s v="MMR001CMP169"/>
    <x v="0"/>
    <s v="cccm_2019OCT"/>
  </r>
  <r>
    <x v="2"/>
    <x v="1"/>
    <x v="1"/>
    <s v="HARP/UNICEF"/>
    <x v="0"/>
    <x v="7"/>
    <x v="1"/>
    <x v="51"/>
    <n v="1490"/>
    <n v="8486"/>
    <s v="3-1-2019, 12-11-2019"/>
    <s v="12-31-2020, 12-10-2020"/>
    <m/>
    <m/>
    <m/>
    <m/>
    <s v="Yes"/>
    <m/>
    <m/>
    <n v="1"/>
    <m/>
    <m/>
    <m/>
    <m/>
    <m/>
    <m/>
    <m/>
    <m/>
    <m/>
    <m/>
    <m/>
    <m/>
    <m/>
    <m/>
    <m/>
    <m/>
    <m/>
    <m/>
    <n v="3"/>
    <m/>
    <m/>
    <n v="26"/>
    <m/>
    <m/>
    <m/>
    <m/>
    <m/>
    <m/>
    <m/>
    <x v="1"/>
    <x v="1"/>
    <n v="6"/>
    <m/>
    <m/>
    <m/>
    <m/>
    <m/>
    <n v="4"/>
    <m/>
    <m/>
    <n v="3"/>
    <m/>
    <m/>
    <n v="9"/>
    <m/>
    <m/>
    <s v="No"/>
    <m/>
    <n v="0.75"/>
    <m/>
    <m/>
    <m/>
    <m/>
    <m/>
    <m/>
    <m/>
    <m/>
    <s v="no test"/>
    <s v="no test"/>
    <s v="No Test"/>
    <n v="1"/>
    <n v="0"/>
    <n v="0"/>
    <n v="0"/>
    <n v="0"/>
    <n v="0"/>
    <n v="4.7136460051850106E-2"/>
    <n v="2.9460287532406315E-2"/>
    <n v="4.7136460051850106E-2"/>
    <n v="400"/>
    <n v="0"/>
    <n v="0"/>
    <n v="4.7136460051850106E-2"/>
    <n v="400"/>
    <n v="0.8"/>
    <n v="0.95286353994814987"/>
    <n v="8086"/>
    <n v="16.2"/>
    <n v="17"/>
    <n v="26"/>
    <n v="7.5418336082960169E-2"/>
    <n v="640"/>
    <n v="0"/>
    <n v="0"/>
    <n v="0"/>
    <n v="0"/>
    <n v="424"/>
    <n v="398"/>
    <n v="0.92458166391703989"/>
    <n v="0"/>
    <n v="4500"/>
    <n v="0"/>
    <n v="0"/>
    <n v="0"/>
    <n v="4500"/>
    <n v="0.53028517558331367"/>
    <n v="0.46971482441668633"/>
    <n v="0.53028517558331367"/>
    <n v="0"/>
    <n v="0"/>
    <n v="4"/>
    <n v="80"/>
    <n v="0"/>
    <n v="400"/>
    <s v="No"/>
    <s v=""/>
    <n v="0"/>
    <n v="0"/>
    <s v="Yes"/>
    <s v="KMSS-MYT"/>
    <x v="0"/>
    <x v="1"/>
    <x v="0"/>
    <n v="24.688338999999999"/>
    <n v="97.568331999999998"/>
    <s v="MMR001CMP121"/>
    <x v="0"/>
    <s v="cccm_2019OCT"/>
  </r>
  <r>
    <x v="2"/>
    <x v="5"/>
    <x v="5"/>
    <s v="DFID"/>
    <x v="0"/>
    <x v="3"/>
    <x v="1"/>
    <x v="157"/>
    <n v="6"/>
    <n v="31"/>
    <d v="2018-08-01T00:00:00"/>
    <d v="2020-12-31T00:00:00"/>
    <m/>
    <n v="1"/>
    <m/>
    <m/>
    <s v="Yes"/>
    <n v="1"/>
    <n v="2"/>
    <n v="0"/>
    <m/>
    <m/>
    <n v="0"/>
    <n v="0"/>
    <m/>
    <m/>
    <n v="0"/>
    <m/>
    <m/>
    <n v="0"/>
    <n v="0"/>
    <n v="0"/>
    <n v="0"/>
    <n v="0"/>
    <m/>
    <m/>
    <m/>
    <m/>
    <n v="0"/>
    <n v="0"/>
    <m/>
    <n v="2"/>
    <n v="0"/>
    <s v="Shalom"/>
    <m/>
    <m/>
    <m/>
    <m/>
    <n v="0"/>
    <x v="1"/>
    <x v="4"/>
    <n v="0"/>
    <n v="0"/>
    <n v="0"/>
    <m/>
    <m/>
    <m/>
    <n v="0"/>
    <m/>
    <n v="0"/>
    <n v="1"/>
    <m/>
    <n v="1"/>
    <n v="2"/>
    <m/>
    <m/>
    <m/>
    <m/>
    <m/>
    <m/>
    <m/>
    <m/>
    <m/>
    <m/>
    <m/>
    <m/>
    <m/>
    <s v="no test"/>
    <s v="no test"/>
    <s v="No Test"/>
    <n v="0"/>
    <n v="0"/>
    <n v="0"/>
    <n v="0"/>
    <n v="0"/>
    <n v="0"/>
    <n v="0"/>
    <n v="0"/>
    <n v="0"/>
    <n v="0"/>
    <n v="0"/>
    <n v="0"/>
    <n v="0"/>
    <n v="0"/>
    <n v="0"/>
    <n v="1"/>
    <n v="31"/>
    <n v="1"/>
    <n v="1"/>
    <n v="2"/>
    <n v="1"/>
    <n v="31"/>
    <n v="0"/>
    <n v="0"/>
    <n v="0"/>
    <n v="0"/>
    <n v="2"/>
    <n v="0"/>
    <n v="0"/>
    <n v="0"/>
    <n v="31"/>
    <n v="0"/>
    <n v="0"/>
    <n v="0"/>
    <n v="31"/>
    <n v="1"/>
    <n v="0"/>
    <n v="1"/>
    <n v="0"/>
    <n v="0"/>
    <n v="0"/>
    <n v="0"/>
    <n v="0"/>
    <n v="0"/>
    <s v="No"/>
    <s v=""/>
    <n v="0"/>
    <n v="0"/>
    <s v="Yes"/>
    <s v="Shalom"/>
    <x v="0"/>
    <x v="0"/>
    <x v="1"/>
    <n v="25.582065"/>
    <n v="96.283377000000002"/>
    <s v="MMR001CMP109"/>
    <x v="0"/>
    <s v="cccm_2019OCT"/>
  </r>
  <r>
    <x v="2"/>
    <x v="5"/>
    <x v="5"/>
    <s v="DFID"/>
    <x v="0"/>
    <x v="3"/>
    <x v="1"/>
    <x v="159"/>
    <n v="70"/>
    <n v="377"/>
    <d v="2018-08-01T00:00:00"/>
    <d v="2020-12-31T00:00:00"/>
    <m/>
    <n v="1"/>
    <m/>
    <m/>
    <s v="Yes"/>
    <n v="4"/>
    <n v="4"/>
    <n v="0"/>
    <m/>
    <m/>
    <n v="0"/>
    <n v="0"/>
    <m/>
    <m/>
    <n v="0"/>
    <m/>
    <m/>
    <n v="0"/>
    <n v="0"/>
    <n v="0"/>
    <n v="0"/>
    <n v="0"/>
    <m/>
    <m/>
    <m/>
    <m/>
    <n v="0"/>
    <n v="0"/>
    <m/>
    <n v="22"/>
    <n v="0"/>
    <s v="Shalom"/>
    <m/>
    <m/>
    <m/>
    <m/>
    <n v="0"/>
    <x v="1"/>
    <x v="1"/>
    <n v="0"/>
    <n v="1"/>
    <n v="0"/>
    <m/>
    <m/>
    <m/>
    <n v="8"/>
    <m/>
    <n v="0"/>
    <n v="3"/>
    <m/>
    <n v="2"/>
    <n v="3"/>
    <m/>
    <m/>
    <m/>
    <m/>
    <m/>
    <m/>
    <m/>
    <m/>
    <m/>
    <m/>
    <m/>
    <m/>
    <m/>
    <s v="no test"/>
    <s v="no test"/>
    <s v="No Test"/>
    <n v="0"/>
    <n v="0"/>
    <n v="0"/>
    <n v="0"/>
    <n v="0"/>
    <n v="0"/>
    <n v="0"/>
    <n v="0"/>
    <n v="0"/>
    <n v="0"/>
    <n v="0"/>
    <n v="0"/>
    <n v="0"/>
    <n v="0"/>
    <n v="0"/>
    <n v="1"/>
    <n v="377"/>
    <n v="1"/>
    <n v="1"/>
    <n v="22"/>
    <n v="1"/>
    <n v="377"/>
    <n v="0"/>
    <n v="0"/>
    <n v="0"/>
    <n v="0"/>
    <n v="19"/>
    <n v="0"/>
    <n v="0"/>
    <n v="0"/>
    <n v="377"/>
    <n v="0"/>
    <n v="0"/>
    <n v="0"/>
    <n v="377"/>
    <n v="1"/>
    <n v="0"/>
    <n v="1"/>
    <n v="0"/>
    <n v="0"/>
    <n v="8"/>
    <n v="70"/>
    <n v="0"/>
    <n v="377"/>
    <s v="No"/>
    <s v=""/>
    <n v="0"/>
    <n v="0"/>
    <s v="Yes"/>
    <s v="Shalom"/>
    <x v="0"/>
    <x v="1"/>
    <x v="1"/>
    <n v="25.637309999999999"/>
    <n v="96.35257"/>
    <s v="MMR001CMP174"/>
    <x v="0"/>
    <s v="cccm_2019OCT"/>
  </r>
  <r>
    <x v="2"/>
    <x v="0"/>
    <x v="0"/>
    <s v="PLAN(GFFO),MHF13490"/>
    <x v="0"/>
    <x v="2"/>
    <x v="1"/>
    <x v="18"/>
    <n v="43"/>
    <n v="191"/>
    <s v="5-1-2019,10-1-2019"/>
    <s v="9-30-2020,7-31-2020"/>
    <m/>
    <m/>
    <m/>
    <m/>
    <s v="Yes"/>
    <m/>
    <n v="4"/>
    <n v="1"/>
    <m/>
    <m/>
    <n v="0"/>
    <m/>
    <m/>
    <m/>
    <m/>
    <m/>
    <m/>
    <m/>
    <m/>
    <m/>
    <m/>
    <n v="2"/>
    <m/>
    <m/>
    <m/>
    <m/>
    <m/>
    <m/>
    <m/>
    <n v="10"/>
    <m/>
    <m/>
    <m/>
    <m/>
    <m/>
    <m/>
    <n v="10"/>
    <x v="1"/>
    <x v="1"/>
    <m/>
    <m/>
    <m/>
    <m/>
    <m/>
    <m/>
    <n v="2"/>
    <m/>
    <m/>
    <n v="2"/>
    <m/>
    <m/>
    <n v="1"/>
    <m/>
    <m/>
    <m/>
    <m/>
    <m/>
    <m/>
    <m/>
    <m/>
    <m/>
    <m/>
    <m/>
    <m/>
    <m/>
    <s v="no test"/>
    <s v="no test"/>
    <s v="No Test"/>
    <n v="1"/>
    <n v="0"/>
    <n v="0"/>
    <n v="0"/>
    <n v="0"/>
    <n v="0"/>
    <n v="1"/>
    <n v="1"/>
    <n v="1"/>
    <n v="191"/>
    <n v="0"/>
    <n v="0"/>
    <n v="1"/>
    <n v="191"/>
    <n v="0.38200000000000001"/>
    <n v="0"/>
    <n v="0"/>
    <n v="0.61799999999999999"/>
    <n v="1"/>
    <n v="10"/>
    <n v="1"/>
    <n v="191"/>
    <n v="0"/>
    <n v="0"/>
    <n v="0"/>
    <n v="0"/>
    <n v="10"/>
    <n v="0"/>
    <n v="0"/>
    <n v="0"/>
    <n v="191"/>
    <n v="0"/>
    <n v="0"/>
    <n v="0"/>
    <n v="191"/>
    <n v="1"/>
    <n v="0"/>
    <n v="1"/>
    <n v="0"/>
    <n v="0"/>
    <n v="2"/>
    <n v="40"/>
    <n v="0"/>
    <n v="191"/>
    <s v="No"/>
    <s v=""/>
    <n v="0"/>
    <n v="0"/>
    <s v="Yes"/>
    <s v="KBC-MYT"/>
    <x v="0"/>
    <x v="1"/>
    <x v="1"/>
    <n v="25.409612685185198"/>
    <n v="97.426536944444507"/>
    <s v="MMR001CMP039"/>
    <x v="0"/>
    <s v="cccm_2019OCT"/>
  </r>
  <r>
    <x v="2"/>
    <x v="1"/>
    <x v="1"/>
    <s v="HARP"/>
    <x v="0"/>
    <x v="9"/>
    <x v="1"/>
    <x v="58"/>
    <n v="154"/>
    <n v="694"/>
    <d v="2019-03-01T00:00:00"/>
    <d v="2020-12-31T00:00:00"/>
    <m/>
    <m/>
    <m/>
    <m/>
    <s v="Yes"/>
    <m/>
    <n v="4"/>
    <n v="1"/>
    <m/>
    <m/>
    <n v="3"/>
    <n v="2"/>
    <m/>
    <m/>
    <m/>
    <m/>
    <m/>
    <m/>
    <m/>
    <m/>
    <m/>
    <m/>
    <m/>
    <m/>
    <m/>
    <m/>
    <m/>
    <m/>
    <m/>
    <n v="61"/>
    <m/>
    <m/>
    <m/>
    <m/>
    <m/>
    <m/>
    <m/>
    <x v="1"/>
    <x v="1"/>
    <m/>
    <m/>
    <m/>
    <m/>
    <m/>
    <m/>
    <n v="10"/>
    <m/>
    <m/>
    <n v="7"/>
    <m/>
    <m/>
    <n v="2"/>
    <m/>
    <m/>
    <m/>
    <m/>
    <m/>
    <m/>
    <m/>
    <m/>
    <m/>
    <m/>
    <m/>
    <m/>
    <m/>
    <s v="no test"/>
    <s v="no test"/>
    <s v="No Test"/>
    <n v="1"/>
    <n v="5"/>
    <n v="0"/>
    <n v="0"/>
    <n v="0"/>
    <n v="0"/>
    <n v="1"/>
    <n v="1"/>
    <n v="1"/>
    <n v="694"/>
    <n v="0"/>
    <n v="0"/>
    <n v="1"/>
    <n v="694"/>
    <n v="1.3879999999999999"/>
    <n v="0"/>
    <n v="0"/>
    <n v="0"/>
    <n v="1"/>
    <n v="61"/>
    <n v="1"/>
    <n v="694"/>
    <n v="0"/>
    <n v="0"/>
    <n v="0"/>
    <n v="0"/>
    <n v="35"/>
    <n v="0"/>
    <n v="0"/>
    <n v="0"/>
    <n v="694"/>
    <n v="0"/>
    <n v="0"/>
    <n v="0"/>
    <n v="694"/>
    <n v="1"/>
    <n v="0"/>
    <n v="1"/>
    <n v="0"/>
    <n v="0"/>
    <n v="10"/>
    <n v="154"/>
    <n v="0"/>
    <n v="694"/>
    <s v="No"/>
    <s v=""/>
    <n v="0"/>
    <n v="0"/>
    <s v="Yes"/>
    <s v="KMSS-BMO"/>
    <x v="0"/>
    <x v="1"/>
    <x v="1"/>
    <n v="23.976571"/>
    <n v="97.227057000000002"/>
    <s v="MMR001CMP223"/>
    <x v="0"/>
    <s v="cccm_2019OCT"/>
  </r>
  <r>
    <x v="2"/>
    <x v="1"/>
    <x v="1"/>
    <s v="UNICEF"/>
    <x v="0"/>
    <x v="6"/>
    <x v="1"/>
    <x v="54"/>
    <n v="79"/>
    <n v="396"/>
    <d v="2019-12-11T00:00:00"/>
    <d v="2020-12-10T00:00:00"/>
    <m/>
    <m/>
    <m/>
    <m/>
    <s v="Yes"/>
    <n v="2"/>
    <n v="1"/>
    <n v="2"/>
    <m/>
    <m/>
    <m/>
    <m/>
    <m/>
    <m/>
    <n v="2"/>
    <m/>
    <m/>
    <m/>
    <m/>
    <m/>
    <m/>
    <m/>
    <n v="1"/>
    <n v="1"/>
    <m/>
    <m/>
    <m/>
    <m/>
    <s v="Water points are facing contamination of flood water due to heavy rain"/>
    <n v="16"/>
    <m/>
    <m/>
    <m/>
    <n v="6"/>
    <m/>
    <m/>
    <m/>
    <x v="1"/>
    <x v="2"/>
    <m/>
    <m/>
    <n v="16"/>
    <m/>
    <m/>
    <m/>
    <m/>
    <m/>
    <n v="2"/>
    <n v="2"/>
    <m/>
    <m/>
    <n v="1"/>
    <n v="6"/>
    <m/>
    <m/>
    <m/>
    <m/>
    <m/>
    <n v="0.4"/>
    <n v="0.3"/>
    <m/>
    <n v="0.1"/>
    <m/>
    <m/>
    <m/>
    <n v="1"/>
    <s v="no test"/>
    <s v="Tested"/>
    <n v="2"/>
    <n v="0"/>
    <n v="2"/>
    <n v="0"/>
    <n v="0"/>
    <n v="0"/>
    <n v="1"/>
    <n v="1"/>
    <n v="1"/>
    <n v="396"/>
    <n v="0"/>
    <n v="0"/>
    <n v="1"/>
    <n v="396"/>
    <n v="0.79200000000000004"/>
    <n v="0"/>
    <n v="0"/>
    <n v="0.20799999999999996"/>
    <n v="1"/>
    <n v="16"/>
    <n v="0.80808080808080807"/>
    <n v="320"/>
    <n v="0"/>
    <n v="0"/>
    <n v="0"/>
    <n v="0"/>
    <n v="20"/>
    <n v="4"/>
    <n v="0.19191919191919193"/>
    <n v="0"/>
    <n v="396"/>
    <n v="30"/>
    <n v="0"/>
    <n v="30"/>
    <n v="396"/>
    <n v="1"/>
    <n v="0"/>
    <n v="1"/>
    <n v="0.30379746835443039"/>
    <n v="0"/>
    <n v="0"/>
    <n v="0"/>
    <n v="0"/>
    <n v="0"/>
    <s v="No"/>
    <s v=""/>
    <n v="0"/>
    <n v="0"/>
    <n v="0"/>
    <s v="KMSS-MYT"/>
    <x v="0"/>
    <x v="1"/>
    <x v="1"/>
    <n v="25.383465999999999"/>
    <n v="97.013800000000003"/>
    <s v="MMR001CMP260"/>
    <x v="0"/>
    <s v="cccm_2019OCT"/>
  </r>
  <r>
    <x v="2"/>
    <x v="5"/>
    <x v="5"/>
    <s v="DFID"/>
    <x v="0"/>
    <x v="0"/>
    <x v="1"/>
    <x v="175"/>
    <n v="24"/>
    <n v="111"/>
    <d v="2018-08-01T00:00:00"/>
    <d v="2020-12-31T00:00:00"/>
    <m/>
    <n v="1"/>
    <m/>
    <m/>
    <s v="Yes"/>
    <n v="1"/>
    <n v="3"/>
    <n v="1"/>
    <m/>
    <m/>
    <n v="0"/>
    <n v="1"/>
    <m/>
    <m/>
    <m/>
    <m/>
    <m/>
    <m/>
    <m/>
    <m/>
    <m/>
    <m/>
    <m/>
    <m/>
    <m/>
    <m/>
    <m/>
    <m/>
    <m/>
    <n v="6"/>
    <n v="5"/>
    <s v="Chruch"/>
    <m/>
    <m/>
    <n v="4"/>
    <m/>
    <m/>
    <x v="1"/>
    <x v="2"/>
    <m/>
    <m/>
    <m/>
    <m/>
    <m/>
    <m/>
    <n v="4"/>
    <m/>
    <n v="0"/>
    <n v="2"/>
    <m/>
    <n v="0"/>
    <n v="0"/>
    <m/>
    <m/>
    <m/>
    <m/>
    <m/>
    <m/>
    <m/>
    <m/>
    <m/>
    <m/>
    <m/>
    <m/>
    <m/>
    <s v="no test"/>
    <s v="no test"/>
    <s v="No Test"/>
    <n v="1"/>
    <n v="1"/>
    <n v="0"/>
    <n v="0"/>
    <n v="0"/>
    <n v="0"/>
    <n v="1"/>
    <n v="1"/>
    <n v="1"/>
    <n v="111"/>
    <n v="0"/>
    <n v="0"/>
    <n v="1"/>
    <n v="111"/>
    <n v="0.222"/>
    <n v="0"/>
    <n v="0"/>
    <n v="0.77800000000000002"/>
    <n v="1"/>
    <n v="11"/>
    <n v="1"/>
    <n v="111"/>
    <n v="80"/>
    <n v="0"/>
    <n v="0"/>
    <n v="0"/>
    <n v="6"/>
    <n v="0"/>
    <n v="0"/>
    <n v="0"/>
    <n v="0"/>
    <n v="0"/>
    <n v="0"/>
    <n v="0"/>
    <n v="0"/>
    <n v="0"/>
    <n v="1"/>
    <n v="0"/>
    <n v="0"/>
    <n v="0"/>
    <n v="4"/>
    <n v="24"/>
    <n v="0"/>
    <n v="111"/>
    <s v="No"/>
    <s v=""/>
    <n v="0"/>
    <n v="0"/>
    <s v="Yes"/>
    <s v="Shalom"/>
    <x v="0"/>
    <x v="1"/>
    <x v="1"/>
    <n v="25.423817"/>
    <n v="97.418004999999994"/>
    <s v="MMR001CMP007"/>
    <x v="0"/>
    <s v="cccm_2019OCT"/>
  </r>
  <r>
    <x v="2"/>
    <x v="0"/>
    <x v="0"/>
    <s v="PLAN(GFFO),MHF13490"/>
    <x v="0"/>
    <x v="3"/>
    <x v="1"/>
    <x v="4"/>
    <n v="31"/>
    <n v="132"/>
    <s v="5-1-2019,10-1-2019"/>
    <s v="9-30-2020,7-31-2020"/>
    <m/>
    <m/>
    <m/>
    <m/>
    <s v="Yes"/>
    <m/>
    <n v="1"/>
    <n v="0"/>
    <m/>
    <m/>
    <n v="1"/>
    <m/>
    <m/>
    <m/>
    <m/>
    <m/>
    <m/>
    <m/>
    <m/>
    <m/>
    <m/>
    <n v="0"/>
    <m/>
    <m/>
    <m/>
    <m/>
    <m/>
    <m/>
    <m/>
    <n v="9"/>
    <m/>
    <m/>
    <m/>
    <m/>
    <m/>
    <m/>
    <n v="4"/>
    <x v="1"/>
    <x v="1"/>
    <m/>
    <m/>
    <m/>
    <m/>
    <m/>
    <m/>
    <n v="1"/>
    <m/>
    <m/>
    <n v="2"/>
    <m/>
    <m/>
    <n v="1"/>
    <m/>
    <m/>
    <m/>
    <m/>
    <m/>
    <m/>
    <m/>
    <m/>
    <m/>
    <m/>
    <m/>
    <m/>
    <m/>
    <s v="no test"/>
    <s v="no test"/>
    <s v="No Test"/>
    <n v="0"/>
    <n v="1"/>
    <n v="0"/>
    <n v="0"/>
    <n v="0"/>
    <n v="0"/>
    <n v="1"/>
    <n v="1"/>
    <n v="1"/>
    <n v="132"/>
    <n v="0"/>
    <n v="0"/>
    <n v="1"/>
    <n v="132"/>
    <n v="0.26400000000000001"/>
    <n v="0"/>
    <n v="0"/>
    <n v="0.73599999999999999"/>
    <n v="1"/>
    <n v="9"/>
    <n v="1"/>
    <n v="132"/>
    <n v="0"/>
    <n v="0"/>
    <n v="0"/>
    <n v="0"/>
    <n v="7"/>
    <n v="0"/>
    <n v="0"/>
    <n v="0"/>
    <n v="132"/>
    <n v="0"/>
    <n v="0"/>
    <n v="0"/>
    <n v="132"/>
    <n v="1"/>
    <n v="0"/>
    <n v="1"/>
    <n v="0"/>
    <n v="0"/>
    <n v="1"/>
    <n v="20"/>
    <n v="0"/>
    <n v="100"/>
    <s v="No"/>
    <s v=""/>
    <n v="0"/>
    <n v="0"/>
    <s v="Yes"/>
    <s v="KBC-MYT"/>
    <x v="0"/>
    <x v="1"/>
    <x v="1"/>
    <n v="25.51352"/>
    <n v="96.705960000000005"/>
    <s v="MMR001CMP148"/>
    <x v="0"/>
    <s v="cccm_2019OCT"/>
  </r>
  <r>
    <x v="2"/>
    <x v="0"/>
    <x v="0"/>
    <s v="PLAN(GFFO),MHF13490"/>
    <x v="0"/>
    <x v="0"/>
    <x v="1"/>
    <x v="39"/>
    <n v="93"/>
    <n v="499"/>
    <s v="5-1-2019,10-1-2019"/>
    <s v="9-30-2020,7-31-2020"/>
    <m/>
    <m/>
    <m/>
    <m/>
    <s v="Yes"/>
    <m/>
    <n v="5"/>
    <n v="2"/>
    <m/>
    <m/>
    <n v="2"/>
    <m/>
    <m/>
    <m/>
    <m/>
    <m/>
    <m/>
    <m/>
    <m/>
    <m/>
    <m/>
    <n v="2"/>
    <m/>
    <m/>
    <m/>
    <m/>
    <m/>
    <m/>
    <m/>
    <n v="17"/>
    <m/>
    <m/>
    <m/>
    <m/>
    <m/>
    <m/>
    <n v="17"/>
    <x v="1"/>
    <x v="1"/>
    <m/>
    <m/>
    <m/>
    <m/>
    <m/>
    <m/>
    <n v="4"/>
    <m/>
    <m/>
    <n v="2"/>
    <m/>
    <m/>
    <n v="2"/>
    <m/>
    <m/>
    <m/>
    <m/>
    <m/>
    <m/>
    <m/>
    <m/>
    <m/>
    <m/>
    <m/>
    <m/>
    <m/>
    <s v="no test"/>
    <s v="no test"/>
    <s v="No Test"/>
    <n v="2"/>
    <n v="2"/>
    <n v="0"/>
    <n v="0"/>
    <n v="0"/>
    <n v="0"/>
    <n v="1"/>
    <n v="1"/>
    <n v="1"/>
    <n v="499"/>
    <n v="0"/>
    <n v="0"/>
    <n v="1"/>
    <n v="499"/>
    <n v="0.998"/>
    <n v="0"/>
    <n v="0"/>
    <n v="2.0000000000000018E-3"/>
    <n v="1"/>
    <n v="17"/>
    <n v="0.68136272545090182"/>
    <n v="340"/>
    <n v="0"/>
    <n v="0"/>
    <n v="0"/>
    <n v="0"/>
    <n v="25"/>
    <n v="8"/>
    <n v="0.31863727454909818"/>
    <n v="0"/>
    <n v="499"/>
    <n v="0"/>
    <n v="0"/>
    <n v="0"/>
    <n v="499"/>
    <n v="1"/>
    <n v="0"/>
    <n v="1"/>
    <n v="0"/>
    <n v="0"/>
    <n v="4"/>
    <n v="80"/>
    <n v="0"/>
    <n v="400"/>
    <s v="No"/>
    <s v=""/>
    <n v="0"/>
    <n v="0"/>
    <s v="Yes"/>
    <s v="KBC-MYT"/>
    <x v="0"/>
    <x v="1"/>
    <x v="1"/>
    <n v="25.440928"/>
    <n v="97.419403000000003"/>
    <s v="MMR001CMP009"/>
    <x v="0"/>
    <s v="cccm_2019OCT"/>
  </r>
  <r>
    <x v="2"/>
    <x v="0"/>
    <x v="0"/>
    <s v="PLAN(GFFO),MHF13490"/>
    <x v="0"/>
    <x v="0"/>
    <x v="1"/>
    <x v="41"/>
    <n v="69"/>
    <n v="351"/>
    <s v="5-1-2019,10-1-2019"/>
    <s v="9-30-2020,7-31-2020"/>
    <m/>
    <m/>
    <m/>
    <m/>
    <s v="Yes"/>
    <m/>
    <n v="4"/>
    <n v="0"/>
    <m/>
    <m/>
    <n v="2"/>
    <m/>
    <m/>
    <m/>
    <m/>
    <m/>
    <m/>
    <m/>
    <m/>
    <m/>
    <m/>
    <n v="2"/>
    <m/>
    <m/>
    <m/>
    <m/>
    <m/>
    <m/>
    <m/>
    <n v="11"/>
    <m/>
    <m/>
    <m/>
    <m/>
    <m/>
    <m/>
    <n v="11"/>
    <x v="1"/>
    <x v="1"/>
    <m/>
    <m/>
    <m/>
    <m/>
    <m/>
    <m/>
    <n v="2"/>
    <m/>
    <m/>
    <n v="2"/>
    <m/>
    <m/>
    <n v="1"/>
    <m/>
    <m/>
    <m/>
    <m/>
    <m/>
    <m/>
    <m/>
    <m/>
    <m/>
    <m/>
    <m/>
    <m/>
    <m/>
    <s v="no test"/>
    <s v="no test"/>
    <s v="No Test"/>
    <n v="0"/>
    <n v="2"/>
    <n v="0"/>
    <n v="0"/>
    <n v="0"/>
    <n v="0"/>
    <n v="1"/>
    <n v="1"/>
    <n v="1"/>
    <n v="351"/>
    <n v="0"/>
    <n v="0"/>
    <n v="1"/>
    <n v="351"/>
    <n v="0.70199999999999996"/>
    <n v="0"/>
    <n v="0"/>
    <n v="0.29800000000000004"/>
    <n v="1"/>
    <n v="11"/>
    <n v="0.62678062678062674"/>
    <n v="220"/>
    <n v="0"/>
    <n v="0"/>
    <n v="0"/>
    <n v="0"/>
    <n v="18"/>
    <n v="7"/>
    <n v="0.37321937321937326"/>
    <n v="0"/>
    <n v="351"/>
    <n v="0"/>
    <n v="0"/>
    <n v="0"/>
    <n v="351"/>
    <n v="1"/>
    <n v="0"/>
    <n v="1"/>
    <n v="0"/>
    <n v="0"/>
    <n v="2"/>
    <n v="40"/>
    <n v="0"/>
    <n v="200"/>
    <s v="No"/>
    <s v=""/>
    <n v="0"/>
    <n v="0"/>
    <s v="Yes"/>
    <s v="KBC-MYT"/>
    <x v="0"/>
    <x v="1"/>
    <x v="1"/>
    <n v="25.415482000000001"/>
    <n v="97.386718999999999"/>
    <s v="MMR001CMP001"/>
    <x v="0"/>
    <s v="cccm_2019OCT"/>
  </r>
  <r>
    <x v="2"/>
    <x v="1"/>
    <x v="1"/>
    <s v="UNICEF"/>
    <x v="0"/>
    <x v="3"/>
    <x v="1"/>
    <x v="53"/>
    <n v="16"/>
    <n v="63"/>
    <d v="2019-12-11T00:00:00"/>
    <d v="2020-12-10T00:00:00"/>
    <m/>
    <n v="2"/>
    <m/>
    <m/>
    <s v="Yes"/>
    <n v="2"/>
    <n v="2"/>
    <n v="4"/>
    <m/>
    <m/>
    <n v="1"/>
    <m/>
    <m/>
    <n v="1"/>
    <n v="1"/>
    <m/>
    <m/>
    <m/>
    <m/>
    <m/>
    <m/>
    <n v="1"/>
    <m/>
    <m/>
    <m/>
    <m/>
    <n v="2"/>
    <n v="1"/>
    <m/>
    <n v="4"/>
    <m/>
    <m/>
    <m/>
    <n v="1"/>
    <m/>
    <m/>
    <m/>
    <x v="1"/>
    <x v="4"/>
    <n v="2"/>
    <m/>
    <n v="4"/>
    <m/>
    <m/>
    <m/>
    <n v="2"/>
    <m/>
    <m/>
    <n v="2"/>
    <m/>
    <m/>
    <n v="1"/>
    <m/>
    <m/>
    <m/>
    <m/>
    <m/>
    <m/>
    <n v="0.3"/>
    <n v="0.3"/>
    <n v="30"/>
    <n v="0.1"/>
    <m/>
    <m/>
    <m/>
    <s v="no test"/>
    <s v="no test"/>
    <s v="No Test"/>
    <n v="4"/>
    <n v="1"/>
    <n v="1"/>
    <n v="0"/>
    <n v="0"/>
    <n v="500"/>
    <n v="1"/>
    <n v="1"/>
    <n v="1"/>
    <n v="63"/>
    <n v="0"/>
    <n v="0"/>
    <n v="1"/>
    <n v="63"/>
    <n v="0.126"/>
    <n v="0"/>
    <n v="0"/>
    <n v="0.874"/>
    <n v="1"/>
    <n v="4"/>
    <n v="1"/>
    <n v="63"/>
    <n v="0"/>
    <n v="0"/>
    <n v="0"/>
    <n v="0"/>
    <n v="3"/>
    <n v="0"/>
    <n v="0"/>
    <n v="0"/>
    <n v="63"/>
    <n v="0"/>
    <n v="0"/>
    <n v="0"/>
    <n v="63"/>
    <n v="1"/>
    <n v="0"/>
    <n v="1"/>
    <n v="0"/>
    <n v="0"/>
    <n v="2"/>
    <n v="16"/>
    <n v="0"/>
    <n v="63"/>
    <s v="No"/>
    <n v="0.47619047619047616"/>
    <n v="0"/>
    <n v="500"/>
    <n v="0"/>
    <s v="KMSS-MYT"/>
    <x v="0"/>
    <x v="1"/>
    <x v="1"/>
    <n v="0"/>
    <n v="0"/>
    <s v="MMR001CMP270"/>
    <x v="0"/>
    <s v="cccm_2019OCT"/>
  </r>
  <r>
    <x v="2"/>
    <x v="5"/>
    <x v="5"/>
    <s v="DFID"/>
    <x v="0"/>
    <x v="2"/>
    <x v="1"/>
    <x v="171"/>
    <n v="19"/>
    <n v="82"/>
    <d v="2018-08-01T00:00:00"/>
    <d v="2020-12-31T00:00:00"/>
    <m/>
    <n v="1"/>
    <m/>
    <m/>
    <s v="Yes"/>
    <n v="0"/>
    <n v="4"/>
    <n v="1"/>
    <m/>
    <m/>
    <n v="1"/>
    <n v="0"/>
    <m/>
    <m/>
    <n v="0"/>
    <m/>
    <m/>
    <n v="0"/>
    <n v="0"/>
    <n v="0"/>
    <n v="0"/>
    <n v="0"/>
    <m/>
    <m/>
    <m/>
    <m/>
    <n v="0"/>
    <m/>
    <m/>
    <n v="6"/>
    <n v="0"/>
    <m/>
    <m/>
    <m/>
    <m/>
    <m/>
    <n v="0"/>
    <x v="1"/>
    <x v="1"/>
    <n v="0"/>
    <n v="0"/>
    <n v="0"/>
    <m/>
    <m/>
    <m/>
    <n v="4"/>
    <m/>
    <n v="0"/>
    <n v="2"/>
    <m/>
    <n v="0"/>
    <n v="0"/>
    <m/>
    <m/>
    <s v="No"/>
    <m/>
    <m/>
    <m/>
    <m/>
    <m/>
    <m/>
    <m/>
    <m/>
    <m/>
    <m/>
    <s v="no test"/>
    <s v="no test"/>
    <s v="No Test"/>
    <n v="1"/>
    <n v="1"/>
    <n v="0"/>
    <n v="0"/>
    <n v="0"/>
    <n v="0"/>
    <n v="1"/>
    <n v="1"/>
    <n v="1"/>
    <n v="82"/>
    <n v="0"/>
    <n v="0"/>
    <n v="1"/>
    <n v="82"/>
    <n v="0.16400000000000001"/>
    <n v="0"/>
    <n v="0"/>
    <n v="0.83599999999999997"/>
    <n v="1"/>
    <n v="6"/>
    <n v="1"/>
    <n v="82"/>
    <n v="0"/>
    <n v="0"/>
    <n v="0"/>
    <n v="0"/>
    <n v="4"/>
    <n v="0"/>
    <n v="0"/>
    <n v="0"/>
    <n v="0"/>
    <n v="0"/>
    <n v="0"/>
    <n v="0"/>
    <n v="0"/>
    <n v="0"/>
    <n v="1"/>
    <n v="0"/>
    <n v="0"/>
    <n v="0"/>
    <n v="4"/>
    <n v="19"/>
    <n v="0"/>
    <n v="82"/>
    <s v="No"/>
    <s v=""/>
    <n v="0"/>
    <n v="0"/>
    <s v="Yes"/>
    <s v="Shalom"/>
    <x v="0"/>
    <x v="1"/>
    <x v="1"/>
    <n v="25.351965"/>
    <n v="97.345039"/>
    <s v="MMR001CMP033"/>
    <x v="0"/>
    <s v="cccm_2019OCT"/>
  </r>
  <r>
    <x v="2"/>
    <x v="1"/>
    <x v="1"/>
    <s v="UNICEF"/>
    <x v="0"/>
    <x v="3"/>
    <x v="1"/>
    <x v="55"/>
    <n v="47"/>
    <n v="218"/>
    <d v="2019-12-11T00:00:00"/>
    <d v="2020-12-10T00:00:00"/>
    <m/>
    <m/>
    <m/>
    <m/>
    <s v="Yes"/>
    <n v="1"/>
    <n v="2"/>
    <n v="1"/>
    <m/>
    <m/>
    <m/>
    <n v="1"/>
    <m/>
    <m/>
    <n v="1"/>
    <m/>
    <m/>
    <m/>
    <m/>
    <m/>
    <m/>
    <m/>
    <m/>
    <m/>
    <m/>
    <m/>
    <n v="2"/>
    <m/>
    <m/>
    <n v="8"/>
    <n v="4"/>
    <m/>
    <m/>
    <n v="6"/>
    <m/>
    <m/>
    <m/>
    <x v="1"/>
    <x v="4"/>
    <n v="2"/>
    <m/>
    <n v="8"/>
    <m/>
    <m/>
    <m/>
    <n v="2"/>
    <m/>
    <n v="2"/>
    <n v="2"/>
    <m/>
    <m/>
    <n v="1"/>
    <n v="6"/>
    <m/>
    <m/>
    <m/>
    <m/>
    <m/>
    <n v="0.4"/>
    <n v="0.3"/>
    <m/>
    <n v="0.1"/>
    <m/>
    <m/>
    <n v="2"/>
    <s v="no test"/>
    <s v="no test"/>
    <s v="No Test"/>
    <n v="1"/>
    <n v="1"/>
    <n v="1"/>
    <n v="0"/>
    <n v="0"/>
    <n v="0"/>
    <n v="1"/>
    <n v="1"/>
    <n v="1"/>
    <n v="218"/>
    <n v="0"/>
    <n v="0"/>
    <n v="1"/>
    <n v="218"/>
    <n v="0.436"/>
    <n v="0"/>
    <n v="0"/>
    <n v="0.56400000000000006"/>
    <n v="1"/>
    <n v="12"/>
    <n v="1"/>
    <n v="218"/>
    <n v="0"/>
    <n v="0"/>
    <n v="0"/>
    <n v="0"/>
    <n v="11"/>
    <n v="0"/>
    <n v="0"/>
    <n v="0"/>
    <n v="218"/>
    <n v="30"/>
    <n v="0"/>
    <n v="30"/>
    <n v="218"/>
    <n v="1"/>
    <n v="0"/>
    <n v="1"/>
    <n v="0.51063829787234039"/>
    <n v="0"/>
    <n v="2"/>
    <n v="40"/>
    <n v="0"/>
    <n v="200"/>
    <s v="No"/>
    <s v=""/>
    <n v="2"/>
    <n v="0"/>
    <n v="0"/>
    <s v="KMSS-MYT"/>
    <x v="0"/>
    <x v="1"/>
    <x v="1"/>
    <n v="0"/>
    <n v="0"/>
    <s v="MMR001CMP268"/>
    <x v="0"/>
    <s v="cccm_2019OCT"/>
  </r>
  <r>
    <x v="2"/>
    <x v="1"/>
    <x v="1"/>
    <s v="UNICEF"/>
    <x v="0"/>
    <x v="6"/>
    <x v="1"/>
    <x v="59"/>
    <n v="45"/>
    <n v="235"/>
    <d v="2019-12-11T00:00:00"/>
    <d v="2020-12-10T00:00:00"/>
    <m/>
    <n v="1"/>
    <m/>
    <m/>
    <s v="Yes"/>
    <m/>
    <n v="1"/>
    <n v="1"/>
    <m/>
    <m/>
    <m/>
    <n v="2"/>
    <m/>
    <m/>
    <n v="1"/>
    <m/>
    <m/>
    <m/>
    <m/>
    <m/>
    <m/>
    <m/>
    <n v="1"/>
    <n v="1"/>
    <m/>
    <m/>
    <m/>
    <m/>
    <s v="Water points are facing contamination of flood water due to heavy rain"/>
    <n v="16"/>
    <m/>
    <m/>
    <m/>
    <n v="6"/>
    <m/>
    <m/>
    <m/>
    <x v="1"/>
    <x v="4"/>
    <n v="1"/>
    <m/>
    <m/>
    <m/>
    <m/>
    <m/>
    <n v="4"/>
    <n v="1"/>
    <n v="2"/>
    <n v="2"/>
    <m/>
    <n v="1"/>
    <m/>
    <n v="6"/>
    <m/>
    <s v="Yes"/>
    <m/>
    <m/>
    <m/>
    <n v="0.3"/>
    <n v="0.45"/>
    <m/>
    <n v="0.1"/>
    <n v="6"/>
    <n v="6"/>
    <n v="2"/>
    <n v="1"/>
    <s v="no test"/>
    <s v="Tested"/>
    <n v="1"/>
    <n v="2"/>
    <n v="1"/>
    <n v="0"/>
    <n v="0"/>
    <n v="0"/>
    <n v="1"/>
    <n v="1"/>
    <n v="1"/>
    <n v="235"/>
    <n v="0"/>
    <n v="0"/>
    <n v="1"/>
    <n v="235"/>
    <n v="0.47"/>
    <n v="0"/>
    <n v="0"/>
    <n v="0.53"/>
    <n v="1"/>
    <n v="16"/>
    <n v="1"/>
    <n v="235"/>
    <n v="0"/>
    <n v="0"/>
    <n v="0"/>
    <n v="0"/>
    <n v="12"/>
    <n v="0"/>
    <n v="0"/>
    <n v="0"/>
    <n v="235"/>
    <n v="30"/>
    <n v="0"/>
    <n v="30"/>
    <n v="235"/>
    <n v="1"/>
    <n v="0"/>
    <n v="1"/>
    <n v="0.53333333333333333"/>
    <n v="0"/>
    <n v="3"/>
    <n v="45"/>
    <n v="0"/>
    <n v="235"/>
    <s v="No"/>
    <s v=""/>
    <n v="14"/>
    <n v="0"/>
    <n v="0"/>
    <s v="KMSS-MYT"/>
    <x v="0"/>
    <x v="1"/>
    <x v="1"/>
    <n v="25.370330525559201"/>
    <n v="97.010629910000006"/>
    <s v="MMR001CMP259"/>
    <x v="0"/>
    <s v="cccm_2019OCT"/>
  </r>
  <r>
    <x v="2"/>
    <x v="1"/>
    <x v="1"/>
    <s v="HARP,UNICEF"/>
    <x v="0"/>
    <x v="5"/>
    <x v="1"/>
    <x v="68"/>
    <n v="11"/>
    <n v="52"/>
    <s v="3-1-2019, 12-11-2019"/>
    <s v="12-31-2020, 12-10-2020"/>
    <m/>
    <m/>
    <m/>
    <m/>
    <s v="Yes"/>
    <m/>
    <m/>
    <n v="1"/>
    <m/>
    <m/>
    <m/>
    <m/>
    <m/>
    <m/>
    <m/>
    <m/>
    <m/>
    <m/>
    <m/>
    <m/>
    <m/>
    <m/>
    <m/>
    <m/>
    <m/>
    <m/>
    <m/>
    <m/>
    <m/>
    <n v="7"/>
    <m/>
    <m/>
    <m/>
    <m/>
    <m/>
    <m/>
    <m/>
    <x v="1"/>
    <x v="1"/>
    <n v="1"/>
    <m/>
    <m/>
    <m/>
    <m/>
    <m/>
    <m/>
    <m/>
    <m/>
    <n v="2"/>
    <m/>
    <m/>
    <n v="1"/>
    <m/>
    <m/>
    <m/>
    <m/>
    <m/>
    <m/>
    <m/>
    <m/>
    <m/>
    <m/>
    <m/>
    <m/>
    <m/>
    <s v="no test"/>
    <s v="no test"/>
    <s v="No Test"/>
    <n v="1"/>
    <n v="0"/>
    <n v="0"/>
    <n v="0"/>
    <n v="0"/>
    <n v="0"/>
    <n v="1"/>
    <n v="1"/>
    <n v="1"/>
    <n v="52"/>
    <n v="0"/>
    <n v="0"/>
    <n v="1"/>
    <n v="52"/>
    <n v="0.104"/>
    <n v="0"/>
    <n v="0"/>
    <n v="0.89600000000000002"/>
    <n v="1"/>
    <n v="7"/>
    <n v="1"/>
    <n v="52"/>
    <n v="0"/>
    <n v="0"/>
    <n v="0"/>
    <n v="0"/>
    <n v="3"/>
    <n v="0"/>
    <n v="0"/>
    <n v="0"/>
    <n v="52"/>
    <n v="0"/>
    <n v="0"/>
    <n v="0"/>
    <n v="52"/>
    <n v="1"/>
    <n v="0"/>
    <n v="1"/>
    <n v="0"/>
    <n v="0"/>
    <n v="0"/>
    <n v="0"/>
    <n v="0"/>
    <n v="0"/>
    <s v="No"/>
    <s v=""/>
    <n v="0"/>
    <n v="0"/>
    <s v="Yes"/>
    <s v="KMSS-MYT"/>
    <x v="0"/>
    <x v="1"/>
    <x v="1"/>
    <n v="24.764800000000001"/>
    <n v="96.367059999999995"/>
    <s v="MMR001CMP080"/>
    <x v="0"/>
    <s v="cccm_2019OCT"/>
  </r>
  <r>
    <x v="2"/>
    <x v="2"/>
    <x v="2"/>
    <s v="WHH-AA, USAID, MHF, HOPE"/>
    <x v="0"/>
    <x v="10"/>
    <x v="1"/>
    <x v="70"/>
    <n v="11"/>
    <n v="55"/>
    <s v="10-1-2018, 9-30-2019, 6-1-2020"/>
    <s v="9-30-2020, 8-31-2020, 11-30-2020"/>
    <m/>
    <m/>
    <m/>
    <m/>
    <s v="No"/>
    <m/>
    <n v="1"/>
    <m/>
    <m/>
    <m/>
    <m/>
    <n v="1"/>
    <m/>
    <m/>
    <m/>
    <m/>
    <m/>
    <m/>
    <m/>
    <m/>
    <m/>
    <m/>
    <m/>
    <m/>
    <m/>
    <m/>
    <m/>
    <m/>
    <m/>
    <n v="2"/>
    <m/>
    <m/>
    <m/>
    <m/>
    <m/>
    <m/>
    <m/>
    <x v="1"/>
    <x v="3"/>
    <m/>
    <m/>
    <m/>
    <m/>
    <m/>
    <m/>
    <n v="1"/>
    <m/>
    <m/>
    <n v="1"/>
    <m/>
    <m/>
    <n v="1"/>
    <n v="11"/>
    <m/>
    <m/>
    <m/>
    <m/>
    <s v="Hygiene refill item distribution couldn't be done by voucher system because of the Covid-19 prevention situations"/>
    <m/>
    <m/>
    <m/>
    <m/>
    <m/>
    <m/>
    <m/>
    <s v="no test"/>
    <s v="no test"/>
    <s v="No Test"/>
    <n v="0"/>
    <n v="1"/>
    <n v="0"/>
    <n v="0"/>
    <n v="0"/>
    <n v="0"/>
    <n v="1"/>
    <n v="1"/>
    <n v="1"/>
    <n v="55"/>
    <n v="0"/>
    <n v="0"/>
    <n v="1"/>
    <n v="55"/>
    <n v="0.11"/>
    <n v="0"/>
    <n v="0"/>
    <n v="0.89"/>
    <n v="1"/>
    <n v="2"/>
    <n v="0.72727272727272729"/>
    <n v="40"/>
    <n v="0"/>
    <n v="0"/>
    <n v="0"/>
    <n v="0"/>
    <n v="3"/>
    <n v="1"/>
    <n v="0.27272727272727271"/>
    <n v="0"/>
    <n v="55"/>
    <n v="55"/>
    <n v="0"/>
    <n v="55"/>
    <n v="55"/>
    <n v="1"/>
    <n v="0"/>
    <n v="1"/>
    <n v="1"/>
    <n v="0"/>
    <n v="1"/>
    <n v="11"/>
    <n v="0"/>
    <n v="55"/>
    <s v="No"/>
    <s v=""/>
    <n v="0"/>
    <n v="0"/>
    <s v="Yes"/>
    <s v="KBC-BMO"/>
    <x v="0"/>
    <x v="1"/>
    <x v="1"/>
    <n v="24.260466999999998"/>
    <n v="97.252650000000003"/>
    <s v="MMR001CMP194"/>
    <x v="0"/>
    <s v="cccm_2019OCT"/>
  </r>
  <r>
    <x v="2"/>
    <x v="2"/>
    <x v="2"/>
    <s v="UNICEF, MHF"/>
    <x v="1"/>
    <x v="12"/>
    <x v="0"/>
    <x v="71"/>
    <n v="23"/>
    <n v="95"/>
    <s v="2-01-2019, 2-1-2020"/>
    <s v="4-30-2021, 1-31-2021"/>
    <m/>
    <m/>
    <m/>
    <m/>
    <s v="Yes"/>
    <n v="5"/>
    <n v="1"/>
    <n v="1"/>
    <m/>
    <m/>
    <m/>
    <m/>
    <m/>
    <m/>
    <m/>
    <m/>
    <m/>
    <m/>
    <m/>
    <m/>
    <m/>
    <m/>
    <m/>
    <m/>
    <m/>
    <m/>
    <m/>
    <m/>
    <m/>
    <n v="23"/>
    <m/>
    <m/>
    <m/>
    <m/>
    <m/>
    <m/>
    <m/>
    <x v="3"/>
    <x v="3"/>
    <m/>
    <m/>
    <m/>
    <m/>
    <m/>
    <m/>
    <m/>
    <m/>
    <m/>
    <m/>
    <m/>
    <m/>
    <m/>
    <n v="23"/>
    <m/>
    <m/>
    <m/>
    <m/>
    <m/>
    <m/>
    <m/>
    <m/>
    <m/>
    <m/>
    <m/>
    <m/>
    <s v="no test"/>
    <s v="no test"/>
    <s v="No Test"/>
    <n v="1"/>
    <n v="0"/>
    <n v="0"/>
    <n v="0"/>
    <n v="0"/>
    <n v="0"/>
    <n v="1"/>
    <n v="1"/>
    <n v="1"/>
    <n v="95"/>
    <n v="0"/>
    <n v="0"/>
    <n v="1"/>
    <n v="95"/>
    <n v="0.19"/>
    <n v="0"/>
    <n v="0"/>
    <n v="0.81"/>
    <n v="1"/>
    <n v="23"/>
    <n v="1"/>
    <n v="95"/>
    <n v="0"/>
    <n v="0"/>
    <n v="0"/>
    <n v="0"/>
    <n v="5"/>
    <n v="0"/>
    <n v="0"/>
    <n v="0"/>
    <n v="0"/>
    <n v="95"/>
    <n v="0"/>
    <n v="95"/>
    <n v="95"/>
    <n v="1"/>
    <n v="0"/>
    <n v="0"/>
    <n v="1"/>
    <n v="0"/>
    <n v="0"/>
    <n v="0"/>
    <n v="0"/>
    <n v="0"/>
    <s v="No"/>
    <s v=""/>
    <n v="0"/>
    <n v="0"/>
    <n v="0"/>
    <n v="0"/>
    <x v="0"/>
    <x v="0"/>
    <x v="1"/>
    <n v="0"/>
    <n v="0"/>
    <n v="0"/>
    <x v="0"/>
    <n v="0"/>
  </r>
  <r>
    <x v="2"/>
    <x v="2"/>
    <x v="2"/>
    <s v="UNICEF, MHF"/>
    <x v="1"/>
    <x v="13"/>
    <x v="1"/>
    <x v="72"/>
    <n v="71"/>
    <n v="496"/>
    <s v="2-01-2019, 01-1-2020"/>
    <s v="4-30-2021, 01-31-2021"/>
    <m/>
    <n v="1"/>
    <m/>
    <m/>
    <s v="Yes"/>
    <n v="5"/>
    <n v="1"/>
    <m/>
    <m/>
    <m/>
    <m/>
    <m/>
    <m/>
    <m/>
    <m/>
    <m/>
    <m/>
    <m/>
    <m/>
    <m/>
    <m/>
    <m/>
    <m/>
    <m/>
    <m/>
    <m/>
    <m/>
    <m/>
    <m/>
    <n v="40"/>
    <m/>
    <m/>
    <m/>
    <m/>
    <m/>
    <m/>
    <m/>
    <x v="3"/>
    <x v="3"/>
    <m/>
    <m/>
    <m/>
    <m/>
    <m/>
    <m/>
    <m/>
    <m/>
    <m/>
    <m/>
    <m/>
    <m/>
    <n v="1"/>
    <n v="71"/>
    <m/>
    <s v="No"/>
    <m/>
    <m/>
    <m/>
    <m/>
    <m/>
    <m/>
    <m/>
    <m/>
    <m/>
    <m/>
    <s v="no test"/>
    <s v="no test"/>
    <s v="No Test"/>
    <n v="0"/>
    <n v="0"/>
    <n v="0"/>
    <n v="0"/>
    <n v="0"/>
    <n v="0"/>
    <n v="0"/>
    <n v="0"/>
    <n v="0"/>
    <n v="0"/>
    <n v="0"/>
    <n v="0"/>
    <n v="0"/>
    <n v="0"/>
    <n v="0"/>
    <n v="1"/>
    <n v="496"/>
    <n v="1"/>
    <n v="1"/>
    <n v="40"/>
    <n v="1"/>
    <n v="496"/>
    <n v="0"/>
    <n v="0"/>
    <n v="0"/>
    <n v="0"/>
    <n v="25"/>
    <n v="0"/>
    <n v="0"/>
    <n v="0"/>
    <n v="496"/>
    <n v="496"/>
    <n v="0"/>
    <n v="496"/>
    <n v="496"/>
    <n v="1"/>
    <n v="0"/>
    <n v="1"/>
    <n v="1"/>
    <n v="0"/>
    <n v="0"/>
    <n v="0"/>
    <n v="0"/>
    <n v="0"/>
    <s v="No"/>
    <s v=""/>
    <n v="0"/>
    <n v="0"/>
    <n v="0"/>
    <s v="uncovered"/>
    <x v="0"/>
    <x v="0"/>
    <x v="1"/>
    <n v="0"/>
    <n v="0"/>
    <s v="MMR015CMP212"/>
    <x v="0"/>
    <s v="cccm_2019OCT"/>
  </r>
  <r>
    <x v="2"/>
    <x v="2"/>
    <x v="2"/>
    <s v="UNICEF, MHF"/>
    <x v="1"/>
    <x v="14"/>
    <x v="1"/>
    <x v="73"/>
    <n v="136"/>
    <n v="553"/>
    <s v="2-01-2019, 2-1-2020"/>
    <s v="4-30-2021, 1-31-2021"/>
    <m/>
    <m/>
    <m/>
    <m/>
    <m/>
    <n v="5"/>
    <n v="1"/>
    <n v="0"/>
    <m/>
    <m/>
    <n v="0"/>
    <n v="0"/>
    <m/>
    <m/>
    <m/>
    <m/>
    <m/>
    <n v="0"/>
    <m/>
    <n v="0"/>
    <m/>
    <n v="1"/>
    <m/>
    <m/>
    <m/>
    <m/>
    <m/>
    <m/>
    <m/>
    <n v="40"/>
    <n v="0"/>
    <m/>
    <m/>
    <m/>
    <m/>
    <m/>
    <m/>
    <x v="2"/>
    <x v="2"/>
    <n v="0"/>
    <n v="0"/>
    <m/>
    <m/>
    <m/>
    <m/>
    <n v="2"/>
    <m/>
    <n v="0"/>
    <n v="6"/>
    <m/>
    <n v="0"/>
    <n v="2"/>
    <n v="136"/>
    <m/>
    <m/>
    <m/>
    <m/>
    <m/>
    <m/>
    <m/>
    <m/>
    <m/>
    <m/>
    <m/>
    <m/>
    <s v="no test"/>
    <s v="no test"/>
    <s v="No Test"/>
    <n v="0"/>
    <n v="0"/>
    <n v="0"/>
    <n v="0"/>
    <n v="0"/>
    <n v="0"/>
    <n v="0"/>
    <n v="0"/>
    <n v="0"/>
    <n v="0"/>
    <n v="0"/>
    <n v="0"/>
    <n v="0"/>
    <n v="0"/>
    <n v="0"/>
    <n v="1"/>
    <n v="553"/>
    <n v="1"/>
    <n v="1"/>
    <n v="40"/>
    <n v="1"/>
    <n v="553"/>
    <n v="0"/>
    <n v="0"/>
    <n v="0"/>
    <n v="0"/>
    <n v="28"/>
    <n v="0"/>
    <n v="0"/>
    <n v="0"/>
    <n v="553"/>
    <n v="553"/>
    <n v="0"/>
    <n v="553"/>
    <n v="553"/>
    <n v="1"/>
    <n v="0"/>
    <n v="1"/>
    <n v="1"/>
    <n v="0"/>
    <n v="2"/>
    <n v="40"/>
    <n v="0"/>
    <n v="200"/>
    <s v="No"/>
    <s v=""/>
    <n v="0"/>
    <n v="0"/>
    <s v="Yes"/>
    <s v="KBC-NSS"/>
    <x v="0"/>
    <x v="1"/>
    <x v="1"/>
    <n v="24.08738"/>
    <n v="98.115809999999996"/>
    <s v="MMR015CMP247"/>
    <x v="0"/>
    <s v="cccm_2019OCT"/>
  </r>
  <r>
    <x v="2"/>
    <x v="2"/>
    <x v="2"/>
    <s v="WHH-AA, USAID, HOPE"/>
    <x v="0"/>
    <x v="7"/>
    <x v="1"/>
    <x v="74"/>
    <n v="714"/>
    <n v="3659"/>
    <s v="10-1-2018, 9-30-2019"/>
    <s v="9-30-2020, 8-31-2020"/>
    <m/>
    <n v="0"/>
    <n v="0"/>
    <m/>
    <s v="Yes"/>
    <n v="7"/>
    <n v="3"/>
    <n v="3"/>
    <m/>
    <m/>
    <m/>
    <m/>
    <m/>
    <m/>
    <n v="3"/>
    <m/>
    <m/>
    <m/>
    <m/>
    <n v="293760"/>
    <m/>
    <m/>
    <m/>
    <m/>
    <m/>
    <m/>
    <n v="3"/>
    <n v="3"/>
    <m/>
    <n v="306"/>
    <m/>
    <m/>
    <m/>
    <m/>
    <m/>
    <m/>
    <m/>
    <x v="1"/>
    <x v="1"/>
    <n v="13"/>
    <m/>
    <n v="46"/>
    <m/>
    <m/>
    <m/>
    <n v="77"/>
    <m/>
    <m/>
    <n v="22"/>
    <m/>
    <m/>
    <n v="3"/>
    <n v="714"/>
    <m/>
    <s v="No"/>
    <m/>
    <m/>
    <s v="Hygiene refill item distribution couldn't be done by voucher system because of the Covid-19 prevention situations"/>
    <m/>
    <m/>
    <m/>
    <m/>
    <m/>
    <m/>
    <m/>
    <s v="no test"/>
    <s v="no test"/>
    <s v="No Test"/>
    <n v="3"/>
    <n v="0"/>
    <n v="3"/>
    <n v="0"/>
    <n v="217.6"/>
    <n v="1500"/>
    <n v="0.44208800218638972"/>
    <n v="0.31910358021317298"/>
    <n v="0.44208800218638972"/>
    <n v="1617.6"/>
    <n v="0"/>
    <n v="0"/>
    <n v="0.44208800218638972"/>
    <n v="1617.6"/>
    <n v="3.2351999999999999"/>
    <n v="0.55791199781361023"/>
    <n v="2041.3999999999999"/>
    <n v="3.7648000000000001"/>
    <n v="7"/>
    <n v="306"/>
    <n v="1"/>
    <n v="3659"/>
    <n v="0"/>
    <n v="0"/>
    <n v="0"/>
    <n v="0"/>
    <n v="183"/>
    <n v="0"/>
    <n v="0"/>
    <n v="0"/>
    <n v="1500"/>
    <n v="3659"/>
    <n v="0"/>
    <n v="3659"/>
    <n v="3659"/>
    <n v="1"/>
    <n v="0"/>
    <n v="0.40994807324405574"/>
    <n v="1"/>
    <n v="0"/>
    <n v="77"/>
    <n v="714"/>
    <n v="0"/>
    <n v="3659"/>
    <s v="No"/>
    <s v=""/>
    <n v="0"/>
    <n v="1500"/>
    <s v="Yes"/>
    <s v="KMSS-MYT"/>
    <x v="0"/>
    <x v="1"/>
    <x v="0"/>
    <n v="24.661905999999998"/>
    <n v="97.573126000000002"/>
    <s v="MMR001CMP122"/>
    <x v="0"/>
    <s v="cccm_2019OCT"/>
  </r>
  <r>
    <x v="2"/>
    <x v="2"/>
    <x v="2"/>
    <s v="WHH-AA, USAID, MHF, HOPE"/>
    <x v="0"/>
    <x v="10"/>
    <x v="1"/>
    <x v="75"/>
    <n v="37"/>
    <n v="291"/>
    <s v="10-1-2018, 9-30-2019, 6-1-2020"/>
    <s v="9-30-2020, 8-31-2020, 11-30-2020"/>
    <m/>
    <m/>
    <m/>
    <m/>
    <s v="Yes"/>
    <n v="1"/>
    <n v="2"/>
    <n v="1"/>
    <m/>
    <m/>
    <m/>
    <n v="2"/>
    <m/>
    <m/>
    <m/>
    <m/>
    <m/>
    <m/>
    <m/>
    <m/>
    <m/>
    <m/>
    <m/>
    <m/>
    <m/>
    <m/>
    <m/>
    <m/>
    <m/>
    <n v="7"/>
    <m/>
    <m/>
    <m/>
    <m/>
    <m/>
    <m/>
    <m/>
    <x v="1"/>
    <x v="1"/>
    <m/>
    <m/>
    <m/>
    <m/>
    <m/>
    <m/>
    <n v="4"/>
    <m/>
    <m/>
    <n v="2"/>
    <m/>
    <m/>
    <n v="1"/>
    <n v="37"/>
    <m/>
    <m/>
    <m/>
    <m/>
    <s v="Hygiene refill item distribution couldn't be done by voucher system because of the Covid-19 prevention situations"/>
    <m/>
    <m/>
    <m/>
    <m/>
    <m/>
    <m/>
    <m/>
    <s v="no test"/>
    <s v="no test"/>
    <s v="No Test"/>
    <n v="1"/>
    <n v="2"/>
    <n v="0"/>
    <n v="0"/>
    <n v="0"/>
    <n v="0"/>
    <n v="1"/>
    <n v="1"/>
    <n v="1"/>
    <n v="291"/>
    <n v="0"/>
    <n v="0"/>
    <n v="1"/>
    <n v="291"/>
    <n v="0.58199999999999996"/>
    <n v="0"/>
    <n v="0"/>
    <n v="0.41800000000000004"/>
    <n v="1"/>
    <n v="7"/>
    <n v="0.48109965635738833"/>
    <n v="140"/>
    <n v="0"/>
    <n v="0"/>
    <n v="0"/>
    <n v="0"/>
    <n v="15"/>
    <n v="8"/>
    <n v="0.51890034364261162"/>
    <n v="0"/>
    <n v="291"/>
    <n v="291"/>
    <n v="0"/>
    <n v="291"/>
    <n v="291"/>
    <n v="1"/>
    <n v="0"/>
    <n v="1"/>
    <n v="1"/>
    <n v="0"/>
    <n v="4"/>
    <n v="37"/>
    <n v="0"/>
    <n v="291"/>
    <s v="No"/>
    <s v=""/>
    <n v="0"/>
    <n v="0"/>
    <s v="Yes"/>
    <s v="KBC-BMO"/>
    <x v="0"/>
    <x v="1"/>
    <x v="1"/>
    <n v="24.24766"/>
    <n v="97.236919999999998"/>
    <s v="MMR001CMP052"/>
    <x v="0"/>
    <s v="cccm_2019OCT"/>
  </r>
  <r>
    <x v="2"/>
    <x v="2"/>
    <x v="2"/>
    <s v="UNICEF, MHF, WHH(AA)"/>
    <x v="1"/>
    <x v="13"/>
    <x v="1"/>
    <x v="76"/>
    <n v="32"/>
    <n v="154"/>
    <s v="2-01-2019, 01-1-2020"/>
    <s v="4-30-2021, 01-31-2021"/>
    <m/>
    <n v="1"/>
    <m/>
    <m/>
    <s v="Yes"/>
    <n v="4"/>
    <n v="5"/>
    <n v="0"/>
    <m/>
    <m/>
    <n v="0"/>
    <n v="0"/>
    <m/>
    <m/>
    <n v="1"/>
    <n v="1"/>
    <m/>
    <n v="0"/>
    <m/>
    <n v="0"/>
    <n v="3"/>
    <m/>
    <m/>
    <m/>
    <m/>
    <m/>
    <m/>
    <m/>
    <m/>
    <n v="30"/>
    <n v="0"/>
    <m/>
    <m/>
    <m/>
    <m/>
    <m/>
    <m/>
    <x v="1"/>
    <x v="1"/>
    <n v="0"/>
    <n v="0"/>
    <m/>
    <m/>
    <m/>
    <m/>
    <n v="0"/>
    <m/>
    <n v="0"/>
    <n v="1"/>
    <m/>
    <n v="0"/>
    <n v="1"/>
    <n v="32"/>
    <m/>
    <m/>
    <m/>
    <m/>
    <m/>
    <m/>
    <m/>
    <m/>
    <m/>
    <m/>
    <m/>
    <m/>
    <s v="no test"/>
    <s v="no test"/>
    <s v="No Test"/>
    <n v="0"/>
    <n v="0"/>
    <n v="0"/>
    <n v="0"/>
    <n v="0"/>
    <n v="0"/>
    <n v="0"/>
    <n v="0"/>
    <n v="0"/>
    <n v="0"/>
    <n v="0"/>
    <n v="0"/>
    <n v="0"/>
    <n v="0"/>
    <n v="0"/>
    <n v="1"/>
    <n v="154"/>
    <n v="1"/>
    <n v="1"/>
    <n v="30"/>
    <n v="1"/>
    <n v="154"/>
    <n v="0"/>
    <n v="0"/>
    <n v="0"/>
    <n v="0"/>
    <n v="8"/>
    <n v="0"/>
    <n v="0"/>
    <n v="0"/>
    <n v="154"/>
    <n v="154"/>
    <n v="0"/>
    <n v="154"/>
    <n v="154"/>
    <n v="1"/>
    <n v="0"/>
    <n v="1"/>
    <n v="1"/>
    <n v="0"/>
    <n v="0"/>
    <n v="0"/>
    <n v="0"/>
    <n v="0"/>
    <s v="No"/>
    <s v=""/>
    <n v="0"/>
    <n v="0"/>
    <s v="Yes"/>
    <s v="KMSS-LSO"/>
    <x v="0"/>
    <x v="1"/>
    <x v="1"/>
    <n v="0"/>
    <n v="0"/>
    <s v="MMR015CMP250"/>
    <x v="0"/>
    <s v="cccm_2019OCT"/>
  </r>
  <r>
    <x v="2"/>
    <x v="0"/>
    <x v="0"/>
    <s v="MHF13490"/>
    <x v="0"/>
    <x v="2"/>
    <x v="1"/>
    <x v="29"/>
    <n v="178"/>
    <n v="846"/>
    <d v="2019-01-10T00:00:00"/>
    <s v="31-7-2020"/>
    <m/>
    <m/>
    <m/>
    <m/>
    <s v="Yes"/>
    <m/>
    <n v="4"/>
    <n v="0"/>
    <m/>
    <m/>
    <n v="0"/>
    <m/>
    <m/>
    <m/>
    <n v="3"/>
    <m/>
    <m/>
    <m/>
    <m/>
    <m/>
    <m/>
    <n v="0"/>
    <m/>
    <m/>
    <m/>
    <m/>
    <m/>
    <m/>
    <m/>
    <n v="150"/>
    <m/>
    <m/>
    <m/>
    <m/>
    <m/>
    <m/>
    <n v="150"/>
    <x v="1"/>
    <x v="1"/>
    <m/>
    <m/>
    <m/>
    <m/>
    <m/>
    <m/>
    <n v="150"/>
    <m/>
    <m/>
    <n v="4"/>
    <m/>
    <m/>
    <n v="3"/>
    <m/>
    <m/>
    <m/>
    <m/>
    <m/>
    <m/>
    <m/>
    <m/>
    <m/>
    <m/>
    <m/>
    <m/>
    <m/>
    <s v="no test"/>
    <s v="no test"/>
    <s v="No Test"/>
    <n v="0"/>
    <n v="0"/>
    <n v="3"/>
    <n v="0"/>
    <n v="0"/>
    <n v="0"/>
    <n v="0.2364066193853428"/>
    <n v="0.2364066193853428"/>
    <n v="0.2364066193853428"/>
    <n v="200"/>
    <n v="0"/>
    <n v="0"/>
    <n v="0.2364066193853428"/>
    <n v="200"/>
    <n v="0.4"/>
    <n v="0.7635933806146572"/>
    <n v="646"/>
    <n v="1.6"/>
    <n v="2"/>
    <n v="150"/>
    <n v="0.88652482269503541"/>
    <n v="750"/>
    <n v="0"/>
    <n v="0"/>
    <n v="0"/>
    <n v="0"/>
    <n v="141"/>
    <n v="0"/>
    <n v="0.11347517730496459"/>
    <n v="0"/>
    <n v="846"/>
    <n v="0"/>
    <n v="0"/>
    <n v="0"/>
    <n v="846"/>
    <n v="1"/>
    <n v="0"/>
    <n v="1"/>
    <n v="0"/>
    <n v="0"/>
    <n v="150"/>
    <n v="178"/>
    <n v="0"/>
    <n v="846"/>
    <s v="No"/>
    <s v=""/>
    <n v="0"/>
    <n v="0"/>
    <s v="Yes"/>
    <s v="KBC-MYT"/>
    <x v="1"/>
    <x v="1"/>
    <x v="0"/>
    <n v="24.831944"/>
    <n v="97.751389000000003"/>
    <s v="MMR001CMP120"/>
    <x v="0"/>
    <s v="cccm_2019OCT"/>
  </r>
  <r>
    <x v="2"/>
    <x v="2"/>
    <x v="2"/>
    <s v="WHH-AA, USAID, MHF, HOPE"/>
    <x v="0"/>
    <x v="7"/>
    <x v="0"/>
    <x v="78"/>
    <n v="17"/>
    <n v="106"/>
    <s v="10-1-2018, 9-30-2019, 6-1-2020"/>
    <s v="9-30-2020, 8-31-2020, 11-30-2020"/>
    <m/>
    <m/>
    <m/>
    <m/>
    <s v="No"/>
    <m/>
    <m/>
    <n v="1"/>
    <m/>
    <m/>
    <m/>
    <m/>
    <m/>
    <m/>
    <m/>
    <m/>
    <m/>
    <m/>
    <m/>
    <m/>
    <m/>
    <m/>
    <m/>
    <m/>
    <m/>
    <m/>
    <m/>
    <m/>
    <m/>
    <n v="4"/>
    <m/>
    <m/>
    <m/>
    <m/>
    <m/>
    <m/>
    <m/>
    <x v="1"/>
    <x v="1"/>
    <m/>
    <m/>
    <m/>
    <m/>
    <m/>
    <m/>
    <n v="3"/>
    <m/>
    <m/>
    <n v="2"/>
    <m/>
    <m/>
    <n v="1"/>
    <n v="17"/>
    <m/>
    <m/>
    <m/>
    <m/>
    <s v="Hygiene refill item distribution couldn't be done by voucher system because of the Covid-19 prevention situations"/>
    <m/>
    <m/>
    <m/>
    <m/>
    <m/>
    <m/>
    <m/>
    <s v="no test"/>
    <s v="no test"/>
    <s v="No Test"/>
    <n v="1"/>
    <n v="0"/>
    <n v="0"/>
    <n v="0"/>
    <n v="0"/>
    <n v="0"/>
    <n v="1"/>
    <n v="1"/>
    <n v="1"/>
    <n v="106"/>
    <n v="0"/>
    <n v="0"/>
    <n v="1"/>
    <n v="106"/>
    <n v="0.21199999999999999"/>
    <n v="0"/>
    <n v="0"/>
    <n v="0.78800000000000003"/>
    <n v="1"/>
    <n v="4"/>
    <n v="0.75471698113207553"/>
    <n v="80"/>
    <n v="0"/>
    <n v="0"/>
    <n v="0"/>
    <n v="0"/>
    <n v="5"/>
    <n v="1"/>
    <n v="0.24528301886792447"/>
    <n v="0"/>
    <n v="106"/>
    <n v="106"/>
    <n v="0"/>
    <n v="106"/>
    <n v="106"/>
    <n v="1"/>
    <n v="0"/>
    <n v="1"/>
    <n v="1"/>
    <n v="0"/>
    <n v="3"/>
    <n v="17"/>
    <n v="0"/>
    <n v="106"/>
    <s v="No"/>
    <s v=""/>
    <n v="0"/>
    <n v="0"/>
    <n v="0"/>
    <n v="0"/>
    <x v="0"/>
    <x v="1"/>
    <x v="1"/>
    <n v="0"/>
    <n v="0"/>
    <n v="0"/>
    <x v="0"/>
    <n v="0"/>
  </r>
  <r>
    <x v="2"/>
    <x v="2"/>
    <x v="2"/>
    <s v="WHH-AA, USAID, MHF, HOPE"/>
    <x v="0"/>
    <x v="7"/>
    <x v="0"/>
    <x v="79"/>
    <n v="19"/>
    <n v="94"/>
    <s v="10-1-2018, 9-30-2019, 6-1-2020"/>
    <s v="9-30-2020, 8-31-2020, 11-30-2020"/>
    <m/>
    <m/>
    <m/>
    <m/>
    <s v="No"/>
    <m/>
    <m/>
    <m/>
    <m/>
    <m/>
    <m/>
    <n v="1"/>
    <m/>
    <m/>
    <m/>
    <m/>
    <m/>
    <m/>
    <m/>
    <m/>
    <m/>
    <m/>
    <m/>
    <m/>
    <m/>
    <m/>
    <m/>
    <m/>
    <m/>
    <n v="5"/>
    <m/>
    <m/>
    <m/>
    <m/>
    <m/>
    <m/>
    <m/>
    <x v="1"/>
    <x v="1"/>
    <m/>
    <m/>
    <m/>
    <m/>
    <m/>
    <m/>
    <n v="2"/>
    <m/>
    <m/>
    <n v="1"/>
    <m/>
    <m/>
    <n v="1"/>
    <n v="19"/>
    <m/>
    <m/>
    <m/>
    <m/>
    <s v="Hygiene refill item distribution couldn't be done by voucher system because of the Covid-19 prevention situations"/>
    <m/>
    <m/>
    <m/>
    <m/>
    <m/>
    <m/>
    <m/>
    <s v="no test"/>
    <s v="no test"/>
    <s v="No Test"/>
    <n v="0"/>
    <n v="1"/>
    <n v="0"/>
    <n v="0"/>
    <n v="0"/>
    <n v="0"/>
    <n v="1"/>
    <n v="1"/>
    <n v="1"/>
    <n v="94"/>
    <n v="0"/>
    <n v="0"/>
    <n v="1"/>
    <n v="94"/>
    <n v="0.188"/>
    <n v="0"/>
    <n v="0"/>
    <n v="0.81200000000000006"/>
    <n v="1"/>
    <n v="5"/>
    <n v="1"/>
    <n v="94"/>
    <n v="0"/>
    <n v="0"/>
    <n v="0"/>
    <n v="0"/>
    <n v="5"/>
    <n v="0"/>
    <n v="0"/>
    <n v="0"/>
    <n v="94"/>
    <n v="94"/>
    <n v="0"/>
    <n v="94"/>
    <n v="94"/>
    <n v="1"/>
    <n v="0"/>
    <n v="1"/>
    <n v="1"/>
    <n v="0"/>
    <n v="2"/>
    <n v="19"/>
    <n v="0"/>
    <n v="94"/>
    <s v="No"/>
    <s v=""/>
    <n v="0"/>
    <n v="0"/>
    <n v="0"/>
    <n v="0"/>
    <x v="0"/>
    <x v="1"/>
    <x v="1"/>
    <n v="0"/>
    <n v="0"/>
    <n v="0"/>
    <x v="0"/>
    <n v="0"/>
  </r>
  <r>
    <x v="2"/>
    <x v="2"/>
    <x v="2"/>
    <s v="UNICEF, MHF, WHH(AA)"/>
    <x v="1"/>
    <x v="13"/>
    <x v="1"/>
    <x v="80"/>
    <n v="52"/>
    <n v="259"/>
    <s v="2-01-2019, 01-1-2020"/>
    <s v="4-30-2021, 01-31-2021"/>
    <m/>
    <n v="1"/>
    <m/>
    <m/>
    <s v="Yes"/>
    <n v="3"/>
    <n v="3"/>
    <n v="1"/>
    <m/>
    <m/>
    <n v="1"/>
    <n v="2"/>
    <m/>
    <m/>
    <m/>
    <m/>
    <m/>
    <m/>
    <m/>
    <m/>
    <n v="3"/>
    <m/>
    <m/>
    <m/>
    <m/>
    <m/>
    <m/>
    <m/>
    <m/>
    <n v="12"/>
    <m/>
    <m/>
    <m/>
    <m/>
    <m/>
    <m/>
    <m/>
    <x v="1"/>
    <x v="4"/>
    <m/>
    <m/>
    <n v="1"/>
    <m/>
    <m/>
    <m/>
    <n v="7"/>
    <m/>
    <m/>
    <n v="1"/>
    <m/>
    <m/>
    <n v="1"/>
    <n v="52"/>
    <m/>
    <m/>
    <m/>
    <m/>
    <m/>
    <m/>
    <m/>
    <m/>
    <m/>
    <m/>
    <m/>
    <m/>
    <s v="no test"/>
    <s v="no test"/>
    <s v="No Test"/>
    <n v="1"/>
    <n v="3"/>
    <n v="0"/>
    <n v="0"/>
    <n v="0"/>
    <n v="0"/>
    <n v="1"/>
    <n v="1"/>
    <n v="1"/>
    <n v="259"/>
    <n v="0"/>
    <n v="0"/>
    <n v="1"/>
    <n v="259"/>
    <n v="0.51800000000000002"/>
    <n v="0"/>
    <n v="0"/>
    <n v="0.48199999999999998"/>
    <n v="1"/>
    <n v="12"/>
    <n v="0.92664092664092668"/>
    <n v="240"/>
    <n v="0"/>
    <n v="0"/>
    <n v="0"/>
    <n v="0"/>
    <n v="13"/>
    <n v="1"/>
    <n v="7.3359073359073323E-2"/>
    <n v="0"/>
    <n v="259"/>
    <n v="259"/>
    <n v="0"/>
    <n v="259"/>
    <n v="259"/>
    <n v="1"/>
    <n v="0"/>
    <n v="1"/>
    <n v="1"/>
    <n v="0"/>
    <n v="7"/>
    <n v="52"/>
    <n v="0"/>
    <n v="259"/>
    <s v="No"/>
    <s v=""/>
    <n v="0"/>
    <n v="0"/>
    <s v="Yes"/>
    <s v="KBC-NSS"/>
    <x v="0"/>
    <x v="1"/>
    <x v="1"/>
    <n v="23.450914000000001"/>
    <n v="97.926813999999993"/>
    <s v="MMR015CMP016"/>
    <x v="0"/>
    <s v="cccm_2019OCT"/>
  </r>
  <r>
    <x v="2"/>
    <x v="2"/>
    <x v="2"/>
    <s v="UNICEF, MHF, WHH(AA)"/>
    <x v="1"/>
    <x v="13"/>
    <x v="1"/>
    <x v="81"/>
    <n v="35"/>
    <n v="156"/>
    <s v="2-01-2019, 01-1-2020"/>
    <s v="4-30-2021, 01-31-2021"/>
    <m/>
    <m/>
    <m/>
    <m/>
    <m/>
    <n v="4"/>
    <n v="5"/>
    <n v="1"/>
    <m/>
    <m/>
    <n v="1"/>
    <m/>
    <m/>
    <m/>
    <m/>
    <m/>
    <m/>
    <m/>
    <m/>
    <m/>
    <m/>
    <m/>
    <m/>
    <m/>
    <m/>
    <m/>
    <m/>
    <m/>
    <m/>
    <n v="9"/>
    <m/>
    <m/>
    <m/>
    <m/>
    <m/>
    <m/>
    <m/>
    <x v="1"/>
    <x v="1"/>
    <m/>
    <m/>
    <m/>
    <m/>
    <m/>
    <m/>
    <n v="4"/>
    <m/>
    <m/>
    <n v="2"/>
    <m/>
    <m/>
    <n v="1"/>
    <n v="35"/>
    <m/>
    <s v="No"/>
    <m/>
    <m/>
    <m/>
    <m/>
    <m/>
    <m/>
    <m/>
    <m/>
    <m/>
    <m/>
    <s v="no test"/>
    <s v="no test"/>
    <s v="No Test"/>
    <n v="1"/>
    <n v="1"/>
    <n v="0"/>
    <n v="0"/>
    <n v="0"/>
    <n v="0"/>
    <n v="1"/>
    <n v="1"/>
    <n v="1"/>
    <n v="156"/>
    <n v="0"/>
    <n v="0"/>
    <n v="1"/>
    <n v="156"/>
    <n v="0.312"/>
    <n v="0"/>
    <n v="0"/>
    <n v="0.68799999999999994"/>
    <n v="1"/>
    <n v="9"/>
    <n v="1"/>
    <n v="156"/>
    <n v="0"/>
    <n v="0"/>
    <n v="0"/>
    <n v="0"/>
    <n v="8"/>
    <n v="0"/>
    <n v="0"/>
    <n v="0"/>
    <n v="156"/>
    <n v="156"/>
    <n v="0"/>
    <n v="156"/>
    <n v="156"/>
    <n v="1"/>
    <n v="0"/>
    <n v="1"/>
    <n v="1"/>
    <n v="0"/>
    <n v="4"/>
    <n v="35"/>
    <n v="0"/>
    <n v="156"/>
    <s v="No"/>
    <s v=""/>
    <n v="0"/>
    <n v="0"/>
    <s v="Yes"/>
    <s v="KBC-NSS"/>
    <x v="0"/>
    <x v="1"/>
    <x v="1"/>
    <n v="23.460349999999998"/>
    <n v="97.947360000000003"/>
    <s v="MMR015CMP245"/>
    <x v="0"/>
    <s v="cccm_2019OCT"/>
  </r>
  <r>
    <x v="2"/>
    <x v="2"/>
    <x v="2"/>
    <s v="UNICEF, MHF, WHH(AA)"/>
    <x v="1"/>
    <x v="13"/>
    <x v="1"/>
    <x v="82"/>
    <n v="30"/>
    <n v="138"/>
    <s v="2-01-2019, 01-1-2020"/>
    <s v="4-30-2021, 01-31-2021"/>
    <m/>
    <m/>
    <m/>
    <m/>
    <m/>
    <n v="3"/>
    <n v="2"/>
    <m/>
    <m/>
    <m/>
    <m/>
    <m/>
    <m/>
    <m/>
    <m/>
    <m/>
    <m/>
    <m/>
    <m/>
    <m/>
    <n v="3"/>
    <m/>
    <m/>
    <m/>
    <m/>
    <m/>
    <m/>
    <m/>
    <s v="Although Kutkai downtown (RC) church camp and Zup Aung camp differ namely, on the ground situation, they are in same compound and they use the same water source."/>
    <n v="27"/>
    <m/>
    <m/>
    <m/>
    <m/>
    <m/>
    <m/>
    <n v="2"/>
    <x v="1"/>
    <x v="4"/>
    <m/>
    <m/>
    <m/>
    <m/>
    <m/>
    <m/>
    <n v="4"/>
    <m/>
    <m/>
    <n v="2"/>
    <m/>
    <m/>
    <n v="1"/>
    <n v="30"/>
    <m/>
    <m/>
    <m/>
    <m/>
    <m/>
    <m/>
    <m/>
    <m/>
    <m/>
    <m/>
    <m/>
    <m/>
    <s v="no test"/>
    <s v="no test"/>
    <s v="No Test"/>
    <n v="0"/>
    <n v="0"/>
    <n v="0"/>
    <n v="0"/>
    <n v="0"/>
    <n v="0"/>
    <n v="0"/>
    <n v="0"/>
    <n v="0"/>
    <n v="0"/>
    <n v="0"/>
    <n v="0"/>
    <n v="0"/>
    <n v="0"/>
    <n v="0"/>
    <n v="1"/>
    <n v="138"/>
    <n v="1"/>
    <n v="1"/>
    <n v="27"/>
    <n v="1"/>
    <n v="138"/>
    <n v="0"/>
    <n v="0"/>
    <n v="0"/>
    <n v="0"/>
    <n v="7"/>
    <n v="0"/>
    <n v="0"/>
    <n v="0"/>
    <n v="138"/>
    <n v="138"/>
    <n v="0"/>
    <n v="138"/>
    <n v="138"/>
    <n v="1"/>
    <n v="0"/>
    <n v="1"/>
    <n v="1"/>
    <n v="0"/>
    <n v="4"/>
    <n v="30"/>
    <n v="0"/>
    <n v="138"/>
    <s v="No"/>
    <s v=""/>
    <n v="0"/>
    <n v="0"/>
    <s v="Yes"/>
    <s v="KMSS-LSO"/>
    <x v="0"/>
    <x v="1"/>
    <x v="1"/>
    <n v="23.460349999999998"/>
    <n v="97.947360000000003"/>
    <s v="MMR015CMP017"/>
    <x v="0"/>
    <s v="cccm_2019OCT"/>
  </r>
  <r>
    <x v="2"/>
    <x v="2"/>
    <x v="2"/>
    <s v="UNICEF, MHF"/>
    <x v="1"/>
    <x v="15"/>
    <x v="1"/>
    <x v="83"/>
    <n v="60"/>
    <n v="249"/>
    <s v="2-01-2019, 2-1-2020"/>
    <s v="4-30-2021, 1-31-2021"/>
    <m/>
    <m/>
    <n v="1"/>
    <m/>
    <s v="Yes"/>
    <n v="4"/>
    <n v="3"/>
    <n v="1"/>
    <m/>
    <m/>
    <n v="1"/>
    <n v="1"/>
    <m/>
    <m/>
    <m/>
    <m/>
    <m/>
    <m/>
    <m/>
    <m/>
    <n v="3"/>
    <m/>
    <m/>
    <m/>
    <m/>
    <m/>
    <n v="2"/>
    <m/>
    <m/>
    <n v="16"/>
    <m/>
    <m/>
    <m/>
    <m/>
    <m/>
    <m/>
    <m/>
    <x v="1"/>
    <x v="1"/>
    <m/>
    <m/>
    <m/>
    <m/>
    <m/>
    <m/>
    <n v="11"/>
    <m/>
    <m/>
    <n v="2"/>
    <m/>
    <m/>
    <n v="1"/>
    <n v="38"/>
    <m/>
    <m/>
    <m/>
    <m/>
    <m/>
    <m/>
    <m/>
    <m/>
    <m/>
    <m/>
    <m/>
    <m/>
    <s v="no test"/>
    <s v="no test"/>
    <s v="No Test"/>
    <n v="1"/>
    <n v="2"/>
    <n v="0"/>
    <n v="0"/>
    <n v="0"/>
    <n v="0"/>
    <n v="1"/>
    <n v="1"/>
    <n v="1"/>
    <n v="249"/>
    <n v="0"/>
    <n v="0"/>
    <n v="1"/>
    <n v="249"/>
    <n v="0.498"/>
    <n v="0"/>
    <n v="0"/>
    <n v="0.502"/>
    <n v="1"/>
    <n v="16"/>
    <n v="1"/>
    <n v="249"/>
    <n v="0"/>
    <n v="0"/>
    <n v="0"/>
    <n v="0"/>
    <n v="12"/>
    <n v="0"/>
    <n v="0"/>
    <n v="0"/>
    <n v="249"/>
    <n v="190"/>
    <n v="0"/>
    <n v="190"/>
    <n v="249"/>
    <n v="1"/>
    <n v="0"/>
    <n v="1"/>
    <n v="1"/>
    <n v="0"/>
    <n v="11"/>
    <n v="60"/>
    <n v="0"/>
    <n v="249"/>
    <s v="No"/>
    <s v=""/>
    <n v="0"/>
    <n v="0"/>
    <s v="Yes"/>
    <s v="KMSS-LSO"/>
    <x v="0"/>
    <x v="1"/>
    <x v="1"/>
    <n v="23.099304"/>
    <n v="97.400671000000003"/>
    <s v="MMR015CMP248"/>
    <x v="0"/>
    <e v="#N/A"/>
  </r>
  <r>
    <x v="2"/>
    <x v="0"/>
    <x v="0"/>
    <s v="PLAN(GFFO),MHF13490"/>
    <x v="0"/>
    <x v="10"/>
    <x v="0"/>
    <x v="22"/>
    <n v="42"/>
    <n v="197"/>
    <s v="5-1-2019,10-1-2019"/>
    <s v="9-30-2020,7-31-2020"/>
    <m/>
    <n v="4"/>
    <m/>
    <m/>
    <s v="Yes"/>
    <n v="2"/>
    <n v="2"/>
    <m/>
    <m/>
    <m/>
    <n v="2"/>
    <m/>
    <m/>
    <m/>
    <m/>
    <m/>
    <m/>
    <m/>
    <m/>
    <m/>
    <m/>
    <n v="2"/>
    <m/>
    <m/>
    <m/>
    <m/>
    <n v="1"/>
    <m/>
    <s v="Water safety plan need to install"/>
    <n v="7"/>
    <m/>
    <m/>
    <m/>
    <m/>
    <m/>
    <m/>
    <n v="6"/>
    <x v="1"/>
    <x v="1"/>
    <m/>
    <m/>
    <m/>
    <m/>
    <n v="4"/>
    <s v="Need waste truck and disludging truck"/>
    <n v="3"/>
    <m/>
    <m/>
    <n v="2"/>
    <m/>
    <m/>
    <n v="2"/>
    <m/>
    <m/>
    <s v="No"/>
    <m/>
    <m/>
    <s v="need more hygiene items especially MHM Kits"/>
    <m/>
    <m/>
    <m/>
    <m/>
    <m/>
    <m/>
    <m/>
    <s v="no test"/>
    <s v="no test"/>
    <s v="No Test"/>
    <n v="0"/>
    <n v="2"/>
    <n v="0"/>
    <n v="0"/>
    <n v="0"/>
    <n v="0"/>
    <n v="1"/>
    <n v="1"/>
    <n v="1"/>
    <n v="197"/>
    <n v="0"/>
    <n v="0"/>
    <n v="1"/>
    <n v="197"/>
    <n v="0.39400000000000002"/>
    <n v="0"/>
    <n v="0"/>
    <n v="0.60599999999999998"/>
    <n v="1"/>
    <n v="7"/>
    <n v="0.73096446700507611"/>
    <n v="144"/>
    <n v="0"/>
    <n v="0"/>
    <n v="0"/>
    <n v="0"/>
    <n v="10"/>
    <n v="3"/>
    <n v="0.26903553299492389"/>
    <n v="0"/>
    <n v="197"/>
    <n v="0"/>
    <n v="0"/>
    <n v="0"/>
    <n v="197"/>
    <n v="1"/>
    <n v="0"/>
    <n v="1"/>
    <n v="0"/>
    <n v="0"/>
    <n v="3"/>
    <n v="42"/>
    <n v="0"/>
    <n v="197"/>
    <s v="No"/>
    <s v=""/>
    <n v="0"/>
    <n v="0"/>
    <n v="0"/>
    <n v="0"/>
    <x v="0"/>
    <x v="0"/>
    <x v="1"/>
    <n v="0"/>
    <n v="0"/>
    <n v="0"/>
    <x v="0"/>
    <n v="0"/>
  </r>
  <r>
    <x v="2"/>
    <x v="2"/>
    <x v="2"/>
    <s v="UNICEF, MHF"/>
    <x v="1"/>
    <x v="15"/>
    <x v="1"/>
    <x v="85"/>
    <n v="30"/>
    <n v="146"/>
    <s v="2-01-2019, 2-1-2020"/>
    <s v="4-30-2021, 1-31-2021"/>
    <m/>
    <m/>
    <n v="1"/>
    <m/>
    <s v="Yes"/>
    <n v="3"/>
    <n v="3"/>
    <m/>
    <m/>
    <m/>
    <n v="2"/>
    <n v="1"/>
    <m/>
    <m/>
    <m/>
    <m/>
    <m/>
    <m/>
    <m/>
    <m/>
    <n v="3"/>
    <m/>
    <m/>
    <m/>
    <m/>
    <m/>
    <m/>
    <m/>
    <m/>
    <n v="10"/>
    <n v="2"/>
    <m/>
    <m/>
    <m/>
    <m/>
    <m/>
    <n v="2"/>
    <x v="1"/>
    <x v="1"/>
    <m/>
    <m/>
    <m/>
    <m/>
    <m/>
    <m/>
    <n v="11"/>
    <m/>
    <m/>
    <n v="3"/>
    <m/>
    <m/>
    <n v="1"/>
    <n v="28"/>
    <m/>
    <m/>
    <m/>
    <m/>
    <m/>
    <m/>
    <m/>
    <m/>
    <m/>
    <m/>
    <m/>
    <m/>
    <s v="no test"/>
    <s v="no test"/>
    <s v="No Test"/>
    <n v="0"/>
    <n v="3"/>
    <n v="0"/>
    <n v="0"/>
    <n v="0"/>
    <n v="0"/>
    <n v="1"/>
    <n v="1"/>
    <n v="1"/>
    <n v="146"/>
    <n v="0"/>
    <n v="0"/>
    <n v="1"/>
    <n v="146"/>
    <n v="0.29199999999999998"/>
    <n v="0"/>
    <n v="0"/>
    <n v="0.70799999999999996"/>
    <n v="1"/>
    <n v="12"/>
    <n v="1"/>
    <n v="146"/>
    <n v="0"/>
    <n v="0"/>
    <n v="0"/>
    <n v="0"/>
    <n v="7"/>
    <n v="0"/>
    <n v="0"/>
    <n v="0"/>
    <n v="146"/>
    <n v="140"/>
    <n v="0"/>
    <n v="140"/>
    <n v="146"/>
    <n v="1"/>
    <n v="0"/>
    <n v="1"/>
    <n v="1"/>
    <n v="0"/>
    <n v="11"/>
    <n v="30"/>
    <n v="0"/>
    <n v="146"/>
    <s v="No"/>
    <s v=""/>
    <n v="0"/>
    <n v="0"/>
    <s v="Yes"/>
    <s v="KMSS-LSO"/>
    <x v="0"/>
    <x v="1"/>
    <x v="1"/>
    <n v="0"/>
    <n v="0"/>
    <s v="MMR015CMP232"/>
    <x v="0"/>
    <e v="#N/A"/>
  </r>
  <r>
    <x v="2"/>
    <x v="2"/>
    <x v="2"/>
    <s v="UNICEF, MHF, WHH(AA)"/>
    <x v="1"/>
    <x v="13"/>
    <x v="1"/>
    <x v="86"/>
    <n v="69"/>
    <n v="721"/>
    <s v="2-01-2019, 01-1-2020"/>
    <s v="4-30-2021, 01-31-2021"/>
    <m/>
    <m/>
    <m/>
    <m/>
    <m/>
    <n v="6"/>
    <n v="3"/>
    <m/>
    <m/>
    <m/>
    <m/>
    <m/>
    <m/>
    <m/>
    <n v="1"/>
    <n v="1"/>
    <m/>
    <m/>
    <m/>
    <m/>
    <n v="3"/>
    <m/>
    <m/>
    <m/>
    <m/>
    <m/>
    <n v="1"/>
    <n v="2"/>
    <m/>
    <n v="85"/>
    <m/>
    <m/>
    <m/>
    <m/>
    <m/>
    <m/>
    <n v="5"/>
    <x v="1"/>
    <x v="2"/>
    <m/>
    <m/>
    <m/>
    <m/>
    <m/>
    <m/>
    <n v="2"/>
    <m/>
    <m/>
    <n v="1"/>
    <m/>
    <n v="1"/>
    <m/>
    <n v="69"/>
    <m/>
    <m/>
    <m/>
    <m/>
    <m/>
    <m/>
    <m/>
    <m/>
    <m/>
    <m/>
    <m/>
    <m/>
    <s v="no test"/>
    <s v="no test"/>
    <s v="No Test"/>
    <n v="0"/>
    <n v="0"/>
    <n v="0"/>
    <n v="0"/>
    <n v="0"/>
    <n v="1000"/>
    <n v="0"/>
    <n v="0"/>
    <n v="0"/>
    <n v="0"/>
    <n v="0"/>
    <n v="0"/>
    <n v="0"/>
    <n v="0"/>
    <n v="0"/>
    <n v="1"/>
    <n v="721"/>
    <n v="1"/>
    <n v="1"/>
    <n v="85"/>
    <n v="1"/>
    <n v="721"/>
    <n v="0"/>
    <n v="0"/>
    <n v="0"/>
    <n v="0"/>
    <n v="36"/>
    <n v="0"/>
    <n v="0"/>
    <n v="0"/>
    <n v="500"/>
    <n v="721"/>
    <n v="0"/>
    <n v="721"/>
    <n v="721"/>
    <n v="1"/>
    <n v="0"/>
    <n v="0.69348127600554788"/>
    <n v="1"/>
    <n v="0"/>
    <n v="2"/>
    <n v="40"/>
    <n v="0"/>
    <n v="200"/>
    <s v="No"/>
    <s v=""/>
    <n v="0"/>
    <n v="1000"/>
    <s v="Yes"/>
    <s v="KMSS-LSO"/>
    <x v="0"/>
    <x v="1"/>
    <x v="1"/>
    <n v="23.591999999999999"/>
    <n v="97.796999999999997"/>
    <s v="MMR015CMP220"/>
    <x v="0"/>
    <s v="cccm_2019OCT"/>
  </r>
  <r>
    <x v="2"/>
    <x v="2"/>
    <x v="2"/>
    <s v="WHH-AA, USAID, MHF, HOPE"/>
    <x v="0"/>
    <x v="7"/>
    <x v="1"/>
    <x v="87"/>
    <n v="127"/>
    <n v="741"/>
    <s v="10-1-2018, 9-30-2019, 6-1-2020"/>
    <s v="9-30-2020, 8-31-2020, 11-30-2020"/>
    <m/>
    <m/>
    <m/>
    <m/>
    <s v="No"/>
    <m/>
    <m/>
    <m/>
    <m/>
    <m/>
    <n v="2"/>
    <n v="1"/>
    <m/>
    <m/>
    <m/>
    <m/>
    <m/>
    <m/>
    <m/>
    <m/>
    <m/>
    <m/>
    <m/>
    <m/>
    <m/>
    <m/>
    <m/>
    <m/>
    <m/>
    <n v="40"/>
    <m/>
    <m/>
    <m/>
    <m/>
    <m/>
    <m/>
    <m/>
    <x v="1"/>
    <x v="1"/>
    <m/>
    <m/>
    <m/>
    <m/>
    <m/>
    <m/>
    <n v="17"/>
    <m/>
    <m/>
    <n v="5"/>
    <m/>
    <m/>
    <n v="1"/>
    <n v="127"/>
    <m/>
    <m/>
    <m/>
    <m/>
    <s v="Hygiene refill item distribution couldn't be done by voucher system because of the Covid-19 prevention situations"/>
    <m/>
    <m/>
    <m/>
    <m/>
    <m/>
    <m/>
    <m/>
    <s v="no test"/>
    <s v="no test"/>
    <s v="No Test"/>
    <n v="0"/>
    <n v="3"/>
    <n v="0"/>
    <n v="0"/>
    <n v="0"/>
    <n v="0"/>
    <n v="1"/>
    <n v="1"/>
    <n v="1"/>
    <n v="741"/>
    <n v="0"/>
    <n v="0"/>
    <n v="1"/>
    <n v="741"/>
    <n v="1.482"/>
    <n v="0"/>
    <n v="0"/>
    <n v="0"/>
    <n v="1"/>
    <n v="40"/>
    <n v="1"/>
    <n v="741"/>
    <n v="0"/>
    <n v="0"/>
    <n v="0"/>
    <n v="0"/>
    <n v="37"/>
    <n v="0"/>
    <n v="0"/>
    <n v="0"/>
    <n v="500"/>
    <n v="741"/>
    <n v="0"/>
    <n v="741"/>
    <n v="741"/>
    <n v="1"/>
    <n v="0"/>
    <n v="0.67476383265856954"/>
    <n v="1"/>
    <n v="0"/>
    <n v="17"/>
    <n v="127"/>
    <n v="0"/>
    <n v="741"/>
    <s v="No"/>
    <s v=""/>
    <n v="0"/>
    <n v="0"/>
    <s v="Yes"/>
    <s v="KMSS-BMO"/>
    <x v="0"/>
    <x v="1"/>
    <x v="1"/>
    <n v="24.245100000000001"/>
    <n v="97.325019999999995"/>
    <s v="MMR001CMP062"/>
    <x v="0"/>
    <s v="cccm_2019OCT"/>
  </r>
  <r>
    <x v="2"/>
    <x v="2"/>
    <x v="2"/>
    <s v="UNICEF, MHF, WHH(AA)"/>
    <x v="1"/>
    <x v="13"/>
    <x v="1"/>
    <x v="88"/>
    <n v="24"/>
    <n v="85"/>
    <s v="2-01-2019, 01-1-2020"/>
    <s v="4-30-2021, 01-31-2021"/>
    <m/>
    <m/>
    <m/>
    <m/>
    <m/>
    <m/>
    <m/>
    <m/>
    <m/>
    <m/>
    <m/>
    <n v="1"/>
    <m/>
    <m/>
    <m/>
    <m/>
    <m/>
    <m/>
    <m/>
    <m/>
    <m/>
    <m/>
    <m/>
    <m/>
    <m/>
    <m/>
    <m/>
    <m/>
    <m/>
    <n v="4"/>
    <m/>
    <m/>
    <m/>
    <m/>
    <m/>
    <m/>
    <m/>
    <x v="3"/>
    <x v="3"/>
    <m/>
    <m/>
    <m/>
    <m/>
    <m/>
    <m/>
    <m/>
    <m/>
    <m/>
    <m/>
    <m/>
    <m/>
    <m/>
    <n v="2"/>
    <m/>
    <s v="No"/>
    <m/>
    <m/>
    <m/>
    <m/>
    <m/>
    <m/>
    <m/>
    <m/>
    <m/>
    <m/>
    <s v="no test"/>
    <s v="no test"/>
    <s v="No Test"/>
    <n v="0"/>
    <n v="1"/>
    <n v="0"/>
    <n v="0"/>
    <n v="0"/>
    <n v="0"/>
    <n v="1"/>
    <n v="1"/>
    <n v="1"/>
    <n v="85"/>
    <n v="0"/>
    <n v="0"/>
    <n v="1"/>
    <n v="85"/>
    <n v="0.17"/>
    <n v="0"/>
    <n v="0"/>
    <n v="0.83"/>
    <n v="1"/>
    <n v="4"/>
    <n v="0.94117647058823528"/>
    <n v="80"/>
    <n v="0"/>
    <n v="0"/>
    <n v="0"/>
    <n v="0"/>
    <n v="4"/>
    <n v="0"/>
    <n v="5.8823529411764719E-2"/>
    <n v="0"/>
    <n v="0"/>
    <n v="10"/>
    <n v="0"/>
    <n v="10"/>
    <n v="10"/>
    <n v="0.11764705882352941"/>
    <n v="0.88235294117647056"/>
    <n v="0"/>
    <n v="0.33333333333333331"/>
    <n v="0"/>
    <n v="0"/>
    <n v="0"/>
    <n v="0"/>
    <n v="0"/>
    <s v="No"/>
    <s v=""/>
    <n v="0"/>
    <n v="0"/>
    <n v="0"/>
    <s v="uncovered"/>
    <x v="0"/>
    <x v="0"/>
    <x v="1"/>
    <n v="0"/>
    <n v="0"/>
    <s v="MMR015CMP246"/>
    <x v="0"/>
    <s v="cccm_2019OCT"/>
  </r>
  <r>
    <x v="2"/>
    <x v="2"/>
    <x v="2"/>
    <s v="UNICEF, MHF, WHH(AA)"/>
    <x v="0"/>
    <x v="9"/>
    <x v="1"/>
    <x v="89"/>
    <n v="98"/>
    <n v="529"/>
    <s v="2-01-2019, 10-30-Oct-2019"/>
    <s v="4-30-2021, 9-30-2020"/>
    <m/>
    <n v="1"/>
    <m/>
    <m/>
    <s v="Yes"/>
    <m/>
    <m/>
    <m/>
    <m/>
    <m/>
    <m/>
    <m/>
    <m/>
    <m/>
    <m/>
    <m/>
    <m/>
    <m/>
    <m/>
    <m/>
    <m/>
    <m/>
    <m/>
    <m/>
    <m/>
    <m/>
    <m/>
    <m/>
    <m/>
    <n v="8"/>
    <m/>
    <m/>
    <m/>
    <m/>
    <m/>
    <m/>
    <m/>
    <x v="3"/>
    <x v="3"/>
    <m/>
    <m/>
    <m/>
    <m/>
    <m/>
    <m/>
    <m/>
    <m/>
    <m/>
    <m/>
    <m/>
    <m/>
    <n v="1"/>
    <m/>
    <m/>
    <m/>
    <m/>
    <m/>
    <m/>
    <m/>
    <m/>
    <m/>
    <m/>
    <m/>
    <m/>
    <m/>
    <s v="no test"/>
    <s v="no test"/>
    <s v="No Test"/>
    <n v="0"/>
    <n v="0"/>
    <n v="0"/>
    <n v="0"/>
    <n v="0"/>
    <n v="0"/>
    <n v="0"/>
    <n v="0"/>
    <n v="0"/>
    <n v="0"/>
    <n v="0"/>
    <n v="0"/>
    <n v="0"/>
    <n v="0"/>
    <n v="0"/>
    <n v="1"/>
    <n v="529"/>
    <n v="1"/>
    <n v="1"/>
    <n v="8"/>
    <n v="0.30245746691871456"/>
    <n v="160"/>
    <n v="0"/>
    <n v="0"/>
    <n v="0"/>
    <n v="0"/>
    <n v="26"/>
    <n v="18"/>
    <n v="0.69754253308128544"/>
    <n v="0"/>
    <n v="500"/>
    <n v="0"/>
    <n v="0"/>
    <n v="0"/>
    <n v="500"/>
    <n v="0.94517958412098302"/>
    <n v="5.4820415879016982E-2"/>
    <n v="0.94517958412098302"/>
    <n v="0"/>
    <n v="0"/>
    <n v="0"/>
    <n v="0"/>
    <n v="0"/>
    <n v="0"/>
    <s v="No"/>
    <s v=""/>
    <n v="0"/>
    <n v="0"/>
    <s v="Yes"/>
    <s v="KBC-NSS"/>
    <x v="0"/>
    <x v="1"/>
    <x v="1"/>
    <n v="23.83013"/>
    <n v="97.589979999999997"/>
    <s v="MMR001CMP133"/>
    <x v="0"/>
    <s v="cccm_2019OCT"/>
  </r>
  <r>
    <x v="2"/>
    <x v="2"/>
    <x v="2"/>
    <s v="UNICEF, MHF, WHH(AA)"/>
    <x v="0"/>
    <x v="9"/>
    <x v="1"/>
    <x v="90"/>
    <n v="120"/>
    <n v="535"/>
    <s v="2-01-2019, 10-30-Oct-2019"/>
    <s v="4-30-2021, 9-30-2020"/>
    <m/>
    <m/>
    <m/>
    <m/>
    <m/>
    <m/>
    <m/>
    <m/>
    <m/>
    <m/>
    <m/>
    <m/>
    <m/>
    <m/>
    <m/>
    <m/>
    <m/>
    <m/>
    <m/>
    <m/>
    <m/>
    <m/>
    <m/>
    <m/>
    <m/>
    <m/>
    <m/>
    <m/>
    <m/>
    <n v="12"/>
    <m/>
    <m/>
    <m/>
    <m/>
    <m/>
    <m/>
    <m/>
    <x v="3"/>
    <x v="3"/>
    <m/>
    <m/>
    <m/>
    <m/>
    <m/>
    <m/>
    <m/>
    <m/>
    <m/>
    <m/>
    <m/>
    <m/>
    <m/>
    <m/>
    <m/>
    <m/>
    <m/>
    <m/>
    <m/>
    <m/>
    <m/>
    <m/>
    <m/>
    <m/>
    <m/>
    <m/>
    <s v="no test"/>
    <s v="no test"/>
    <s v="No Test"/>
    <n v="0"/>
    <n v="0"/>
    <n v="0"/>
    <n v="0"/>
    <n v="0"/>
    <n v="0"/>
    <n v="0"/>
    <n v="0"/>
    <n v="0"/>
    <n v="0"/>
    <n v="0"/>
    <n v="0"/>
    <n v="0"/>
    <n v="0"/>
    <n v="0"/>
    <n v="1"/>
    <n v="535"/>
    <n v="1"/>
    <n v="1"/>
    <n v="12"/>
    <n v="0.44859813084112149"/>
    <n v="240"/>
    <n v="0"/>
    <n v="0"/>
    <n v="0"/>
    <n v="0"/>
    <n v="27"/>
    <n v="15"/>
    <n v="0.55140186915887845"/>
    <n v="0"/>
    <n v="0"/>
    <n v="0"/>
    <n v="0"/>
    <n v="0"/>
    <n v="0"/>
    <n v="0"/>
    <n v="1"/>
    <n v="0"/>
    <n v="0"/>
    <n v="0"/>
    <n v="0"/>
    <n v="0"/>
    <n v="0"/>
    <n v="0"/>
    <s v="No"/>
    <s v=""/>
    <n v="0"/>
    <n v="0"/>
    <s v="Yes"/>
    <s v="KBC-NSS"/>
    <x v="0"/>
    <x v="1"/>
    <x v="1"/>
    <n v="23.829599000000002"/>
    <n v="97.590767"/>
    <s v="MMR001CMP230"/>
    <x v="0"/>
    <s v="cccm_2019OCT"/>
  </r>
  <r>
    <x v="2"/>
    <x v="2"/>
    <x v="2"/>
    <s v="UNICEF, MHF, WHH(AA)"/>
    <x v="0"/>
    <x v="9"/>
    <x v="1"/>
    <x v="91"/>
    <n v="471"/>
    <n v="2306"/>
    <s v="2-01-2019, 10-30-Oct-2019"/>
    <s v="4-30-2021, 9-30-2020"/>
    <m/>
    <m/>
    <m/>
    <m/>
    <m/>
    <m/>
    <m/>
    <m/>
    <m/>
    <m/>
    <m/>
    <m/>
    <m/>
    <m/>
    <m/>
    <m/>
    <m/>
    <m/>
    <m/>
    <m/>
    <m/>
    <m/>
    <m/>
    <m/>
    <m/>
    <m/>
    <m/>
    <m/>
    <m/>
    <m/>
    <m/>
    <m/>
    <m/>
    <m/>
    <m/>
    <m/>
    <m/>
    <x v="3"/>
    <x v="3"/>
    <m/>
    <m/>
    <m/>
    <m/>
    <m/>
    <m/>
    <m/>
    <m/>
    <m/>
    <m/>
    <m/>
    <m/>
    <n v="1"/>
    <m/>
    <m/>
    <m/>
    <m/>
    <m/>
    <m/>
    <m/>
    <m/>
    <m/>
    <m/>
    <m/>
    <m/>
    <m/>
    <s v="no test"/>
    <s v="no test"/>
    <s v="No Test"/>
    <n v="0"/>
    <n v="0"/>
    <n v="0"/>
    <n v="0"/>
    <n v="0"/>
    <n v="0"/>
    <n v="0"/>
    <n v="0"/>
    <n v="0"/>
    <n v="0"/>
    <n v="0"/>
    <n v="0"/>
    <n v="0"/>
    <n v="0"/>
    <n v="0"/>
    <n v="1"/>
    <n v="2306"/>
    <n v="5"/>
    <n v="5"/>
    <n v="0"/>
    <n v="0"/>
    <n v="0"/>
    <n v="0"/>
    <n v="0"/>
    <n v="0"/>
    <n v="0"/>
    <n v="115"/>
    <n v="115"/>
    <n v="1"/>
    <n v="0"/>
    <n v="500"/>
    <n v="0"/>
    <n v="0"/>
    <n v="0"/>
    <n v="500"/>
    <n v="0.2168256721595837"/>
    <n v="0.7831743278404163"/>
    <n v="0.2168256721595837"/>
    <n v="0"/>
    <n v="0"/>
    <n v="0"/>
    <n v="0"/>
    <n v="0"/>
    <n v="0"/>
    <s v="No"/>
    <s v=""/>
    <n v="0"/>
    <n v="0"/>
    <s v="Yes"/>
    <s v="KMSS-BMO"/>
    <x v="0"/>
    <x v="1"/>
    <x v="1"/>
    <n v="23.835319999999999"/>
    <n v="97.578490000000002"/>
    <s v="MMR001CMP132"/>
    <x v="0"/>
    <s v="cccm_2019OCT"/>
  </r>
  <r>
    <x v="2"/>
    <x v="2"/>
    <x v="2"/>
    <s v="UNICEF, MHF, WHH(AA)"/>
    <x v="0"/>
    <x v="9"/>
    <x v="1"/>
    <x v="92"/>
    <n v="144"/>
    <n v="631"/>
    <s v="2-01-2019, 10-30-Oct-2019"/>
    <s v="4-30-2021, 9-30-2020"/>
    <m/>
    <m/>
    <m/>
    <m/>
    <m/>
    <m/>
    <m/>
    <m/>
    <m/>
    <m/>
    <m/>
    <m/>
    <m/>
    <m/>
    <m/>
    <m/>
    <m/>
    <m/>
    <m/>
    <m/>
    <m/>
    <m/>
    <m/>
    <m/>
    <m/>
    <m/>
    <m/>
    <m/>
    <m/>
    <m/>
    <m/>
    <m/>
    <m/>
    <m/>
    <m/>
    <m/>
    <m/>
    <x v="3"/>
    <x v="3"/>
    <m/>
    <m/>
    <m/>
    <m/>
    <m/>
    <m/>
    <m/>
    <m/>
    <m/>
    <m/>
    <m/>
    <m/>
    <m/>
    <m/>
    <m/>
    <m/>
    <m/>
    <m/>
    <m/>
    <m/>
    <m/>
    <m/>
    <m/>
    <m/>
    <m/>
    <m/>
    <s v="no test"/>
    <s v="no test"/>
    <s v="No Test"/>
    <n v="0"/>
    <n v="0"/>
    <n v="0"/>
    <n v="0"/>
    <n v="0"/>
    <n v="0"/>
    <n v="0"/>
    <n v="0"/>
    <n v="0"/>
    <n v="0"/>
    <n v="0"/>
    <n v="0"/>
    <n v="0"/>
    <n v="0"/>
    <n v="0"/>
    <n v="1"/>
    <n v="631"/>
    <n v="1"/>
    <n v="1"/>
    <n v="0"/>
    <n v="0"/>
    <n v="0"/>
    <n v="0"/>
    <n v="0"/>
    <n v="0"/>
    <n v="0"/>
    <n v="32"/>
    <n v="32"/>
    <n v="1"/>
    <n v="0"/>
    <n v="0"/>
    <n v="0"/>
    <n v="0"/>
    <n v="0"/>
    <n v="0"/>
    <n v="0"/>
    <n v="1"/>
    <n v="0"/>
    <n v="0"/>
    <n v="0"/>
    <n v="0"/>
    <n v="0"/>
    <n v="0"/>
    <n v="0"/>
    <s v="No"/>
    <s v=""/>
    <n v="0"/>
    <n v="0"/>
    <s v="Yes"/>
    <s v="KMSS-BMO"/>
    <x v="0"/>
    <x v="1"/>
    <x v="1"/>
    <n v="23.833477999999999"/>
    <n v="97.578367"/>
    <s v="MMR001CMP228"/>
    <x v="0"/>
    <s v="cccm_2019OCT"/>
  </r>
  <r>
    <x v="2"/>
    <x v="2"/>
    <x v="2"/>
    <s v="UNICEF, WHH(AA)"/>
    <x v="0"/>
    <x v="9"/>
    <x v="1"/>
    <x v="93"/>
    <n v="204"/>
    <n v="1105"/>
    <s v="2-1-2019, 10-1-18"/>
    <s v="4-30-2020, 9-30-2020"/>
    <m/>
    <m/>
    <m/>
    <m/>
    <m/>
    <m/>
    <m/>
    <m/>
    <m/>
    <m/>
    <m/>
    <m/>
    <m/>
    <m/>
    <m/>
    <m/>
    <m/>
    <m/>
    <m/>
    <m/>
    <m/>
    <m/>
    <m/>
    <m/>
    <m/>
    <m/>
    <m/>
    <m/>
    <m/>
    <m/>
    <m/>
    <m/>
    <m/>
    <m/>
    <m/>
    <m/>
    <m/>
    <x v="3"/>
    <x v="3"/>
    <m/>
    <m/>
    <m/>
    <m/>
    <m/>
    <m/>
    <m/>
    <m/>
    <m/>
    <m/>
    <m/>
    <m/>
    <m/>
    <m/>
    <m/>
    <m/>
    <m/>
    <m/>
    <m/>
    <m/>
    <m/>
    <m/>
    <m/>
    <m/>
    <m/>
    <m/>
    <s v="no test"/>
    <s v="no test"/>
    <s v="No Test"/>
    <n v="0"/>
    <n v="0"/>
    <n v="0"/>
    <n v="0"/>
    <n v="0"/>
    <n v="0"/>
    <n v="0"/>
    <n v="0"/>
    <n v="0"/>
    <n v="0"/>
    <n v="0"/>
    <n v="0"/>
    <n v="0"/>
    <n v="0"/>
    <n v="0"/>
    <n v="1"/>
    <n v="1105"/>
    <n v="2"/>
    <n v="2"/>
    <n v="0"/>
    <n v="0"/>
    <n v="0"/>
    <n v="0"/>
    <n v="0"/>
    <n v="0"/>
    <n v="0"/>
    <n v="55"/>
    <n v="55"/>
    <n v="1"/>
    <n v="0"/>
    <n v="0"/>
    <n v="0"/>
    <n v="0"/>
    <n v="0"/>
    <n v="0"/>
    <n v="0"/>
    <n v="1"/>
    <n v="0"/>
    <n v="0"/>
    <n v="0"/>
    <n v="0"/>
    <n v="0"/>
    <n v="0"/>
    <n v="0"/>
    <s v="No"/>
    <s v=""/>
    <n v="0"/>
    <n v="0"/>
    <n v="0"/>
    <s v="uncovered"/>
    <x v="0"/>
    <x v="4"/>
    <x v="1"/>
    <n v="23.827870999999998"/>
    <n v="97.588291999999996"/>
    <s v="MMR001CMP134"/>
    <x v="0"/>
    <s v="cccm_2019OCT"/>
  </r>
  <r>
    <x v="2"/>
    <x v="2"/>
    <x v="2"/>
    <s v="UNICEF, MHF"/>
    <x v="1"/>
    <x v="16"/>
    <x v="1"/>
    <x v="95"/>
    <n v="28"/>
    <n v="148"/>
    <s v="2-01-2019, 2-1-2020"/>
    <s v="4-30-2021, 1-31-2021"/>
    <m/>
    <m/>
    <n v="1"/>
    <m/>
    <s v="Yes"/>
    <m/>
    <m/>
    <m/>
    <m/>
    <m/>
    <n v="1"/>
    <n v="1"/>
    <m/>
    <m/>
    <n v="1"/>
    <m/>
    <m/>
    <m/>
    <m/>
    <m/>
    <m/>
    <m/>
    <m/>
    <m/>
    <m/>
    <m/>
    <m/>
    <m/>
    <m/>
    <n v="18"/>
    <m/>
    <m/>
    <m/>
    <m/>
    <m/>
    <m/>
    <m/>
    <x v="1"/>
    <x v="1"/>
    <m/>
    <m/>
    <m/>
    <m/>
    <m/>
    <m/>
    <m/>
    <m/>
    <m/>
    <n v="5"/>
    <m/>
    <m/>
    <n v="1"/>
    <n v="29"/>
    <m/>
    <s v="No"/>
    <m/>
    <m/>
    <m/>
    <m/>
    <m/>
    <m/>
    <m/>
    <m/>
    <m/>
    <m/>
    <s v="no test"/>
    <s v="no test"/>
    <s v="No Test"/>
    <n v="0"/>
    <n v="2"/>
    <n v="1"/>
    <n v="0"/>
    <n v="0"/>
    <n v="0"/>
    <n v="1"/>
    <n v="1"/>
    <n v="1"/>
    <n v="148"/>
    <n v="0"/>
    <n v="0"/>
    <n v="1"/>
    <n v="148"/>
    <n v="0.29599999999999999"/>
    <n v="0"/>
    <n v="0"/>
    <n v="0.70399999999999996"/>
    <n v="1"/>
    <n v="18"/>
    <n v="1"/>
    <n v="148"/>
    <n v="0"/>
    <n v="0"/>
    <n v="0"/>
    <n v="0"/>
    <n v="7"/>
    <n v="0"/>
    <n v="0"/>
    <n v="0"/>
    <n v="148"/>
    <n v="145"/>
    <n v="0"/>
    <n v="145"/>
    <n v="148"/>
    <n v="1"/>
    <n v="0"/>
    <n v="1"/>
    <n v="1"/>
    <n v="0"/>
    <n v="0"/>
    <n v="0"/>
    <n v="0"/>
    <n v="0"/>
    <s v="No"/>
    <s v=""/>
    <n v="0"/>
    <n v="0"/>
    <s v="Yes"/>
    <s v="KBC-NSS"/>
    <x v="0"/>
    <x v="1"/>
    <x v="1"/>
    <n v="23.250678000000001"/>
    <n v="97.124403000000001"/>
    <s v="MMR015CMP009"/>
    <x v="0"/>
    <s v="cccm_2019OCT"/>
  </r>
  <r>
    <x v="2"/>
    <x v="9"/>
    <x v="9"/>
    <s v="(WHH-AA , USAID, MHF, HOPE), UNICEF"/>
    <x v="0"/>
    <x v="9"/>
    <x v="1"/>
    <x v="96"/>
    <n v="172"/>
    <n v="789"/>
    <s v="10-1-2018, 9-30-2019, 6-1-2020"/>
    <s v="9-30-2020, 8-31-2020, 11-30-2020"/>
    <m/>
    <m/>
    <n v="7"/>
    <m/>
    <s v="Yes"/>
    <m/>
    <n v="7"/>
    <n v="2"/>
    <m/>
    <m/>
    <n v="2"/>
    <n v="3"/>
    <m/>
    <m/>
    <m/>
    <m/>
    <m/>
    <m/>
    <m/>
    <m/>
    <m/>
    <m/>
    <m/>
    <m/>
    <m/>
    <m/>
    <n v="1"/>
    <m/>
    <s v="Water safety plan need to install"/>
    <n v="40"/>
    <m/>
    <m/>
    <m/>
    <m/>
    <m/>
    <m/>
    <m/>
    <x v="1"/>
    <x v="1"/>
    <m/>
    <n v="1"/>
    <n v="3"/>
    <m/>
    <m/>
    <m/>
    <n v="22"/>
    <m/>
    <m/>
    <n v="7"/>
    <m/>
    <m/>
    <n v="3"/>
    <n v="172"/>
    <m/>
    <m/>
    <m/>
    <m/>
    <s v="Hygiene refill item distribution couldn't be done by voucher system because of the Covid-19 prevention situations"/>
    <m/>
    <m/>
    <m/>
    <m/>
    <m/>
    <m/>
    <m/>
    <s v="no test"/>
    <s v="no test"/>
    <s v="No Test"/>
    <n v="2"/>
    <n v="5"/>
    <n v="0"/>
    <n v="0"/>
    <n v="0"/>
    <n v="0"/>
    <n v="1"/>
    <n v="1"/>
    <n v="1"/>
    <n v="789"/>
    <n v="0"/>
    <n v="0"/>
    <n v="1"/>
    <n v="789"/>
    <n v="1.5780000000000001"/>
    <n v="0"/>
    <n v="0"/>
    <n v="0.42199999999999993"/>
    <n v="2"/>
    <n v="40"/>
    <n v="1"/>
    <n v="789"/>
    <n v="0"/>
    <n v="0"/>
    <n v="0"/>
    <n v="0"/>
    <n v="39"/>
    <n v="0"/>
    <n v="0"/>
    <n v="0"/>
    <n v="789"/>
    <n v="789"/>
    <n v="0"/>
    <n v="789"/>
    <n v="789"/>
    <n v="1"/>
    <n v="0"/>
    <n v="1"/>
    <n v="1"/>
    <n v="0"/>
    <n v="22"/>
    <n v="172"/>
    <n v="0"/>
    <n v="789"/>
    <s v="No"/>
    <s v=""/>
    <n v="0"/>
    <n v="0"/>
    <s v="Yes"/>
    <s v="KBC-BMO"/>
    <x v="0"/>
    <x v="1"/>
    <x v="1"/>
    <n v="24.129059999999999"/>
    <n v="97.291820000000001"/>
    <s v="MMR001CMP066"/>
    <x v="0"/>
    <s v="cccm_2019OCT"/>
  </r>
  <r>
    <x v="2"/>
    <x v="2"/>
    <x v="2"/>
    <s v="UNICEF, MHF"/>
    <x v="1"/>
    <x v="17"/>
    <x v="0"/>
    <x v="97"/>
    <n v="11"/>
    <n v="53"/>
    <s v="2-01-2019, 2-01-2020"/>
    <s v="4-30-2021, 1-31-2021"/>
    <m/>
    <m/>
    <m/>
    <m/>
    <m/>
    <m/>
    <m/>
    <m/>
    <m/>
    <m/>
    <m/>
    <m/>
    <m/>
    <m/>
    <m/>
    <m/>
    <m/>
    <m/>
    <m/>
    <m/>
    <m/>
    <m/>
    <m/>
    <m/>
    <m/>
    <m/>
    <m/>
    <m/>
    <m/>
    <m/>
    <m/>
    <m/>
    <m/>
    <m/>
    <m/>
    <m/>
    <m/>
    <x v="3"/>
    <x v="3"/>
    <m/>
    <m/>
    <m/>
    <m/>
    <m/>
    <m/>
    <m/>
    <m/>
    <m/>
    <m/>
    <m/>
    <m/>
    <m/>
    <n v="11"/>
    <m/>
    <s v="No"/>
    <m/>
    <m/>
    <m/>
    <m/>
    <m/>
    <m/>
    <m/>
    <m/>
    <m/>
    <m/>
    <s v="no test"/>
    <s v="no test"/>
    <s v="No Test"/>
    <n v="0"/>
    <n v="0"/>
    <n v="0"/>
    <n v="0"/>
    <n v="0"/>
    <n v="0"/>
    <n v="0"/>
    <n v="0"/>
    <n v="0"/>
    <n v="0"/>
    <n v="0"/>
    <n v="0"/>
    <n v="0"/>
    <n v="0"/>
    <n v="0"/>
    <n v="1"/>
    <n v="53"/>
    <n v="1"/>
    <n v="1"/>
    <n v="0"/>
    <n v="0"/>
    <n v="0"/>
    <n v="0"/>
    <n v="0"/>
    <n v="0"/>
    <n v="0"/>
    <n v="3"/>
    <n v="3"/>
    <n v="1"/>
    <n v="0"/>
    <n v="0"/>
    <n v="53"/>
    <n v="0"/>
    <n v="53"/>
    <n v="53"/>
    <n v="1"/>
    <n v="0"/>
    <n v="0"/>
    <n v="1"/>
    <n v="0"/>
    <n v="0"/>
    <n v="0"/>
    <n v="0"/>
    <n v="0"/>
    <s v="No"/>
    <s v=""/>
    <n v="0"/>
    <n v="0"/>
    <n v="0"/>
    <n v="0"/>
    <x v="0"/>
    <x v="1"/>
    <x v="1"/>
    <n v="0"/>
    <n v="0"/>
    <n v="0"/>
    <x v="0"/>
    <e v="#N/A"/>
  </r>
  <r>
    <x v="2"/>
    <x v="2"/>
    <x v="2"/>
    <s v="UNICEF, MHF, WHH(AA)"/>
    <x v="1"/>
    <x v="13"/>
    <x v="1"/>
    <x v="98"/>
    <n v="145"/>
    <n v="305"/>
    <s v="2-01-2019, 01-1-2020"/>
    <s v="4-30-2021, 01-31-2021"/>
    <m/>
    <n v="1"/>
    <m/>
    <m/>
    <s v="Yes"/>
    <n v="4"/>
    <n v="5"/>
    <m/>
    <m/>
    <m/>
    <m/>
    <m/>
    <m/>
    <m/>
    <n v="1"/>
    <m/>
    <m/>
    <m/>
    <m/>
    <m/>
    <n v="3"/>
    <n v="1"/>
    <m/>
    <m/>
    <m/>
    <m/>
    <n v="3"/>
    <m/>
    <s v="Spring pipe line is usually maintained by camp because farmers along spring pipe line damaged it."/>
    <n v="71"/>
    <m/>
    <m/>
    <m/>
    <m/>
    <m/>
    <m/>
    <m/>
    <x v="2"/>
    <x v="2"/>
    <m/>
    <m/>
    <n v="4"/>
    <m/>
    <m/>
    <m/>
    <n v="5"/>
    <m/>
    <m/>
    <n v="3"/>
    <m/>
    <n v="1"/>
    <m/>
    <n v="145"/>
    <m/>
    <s v="Yes"/>
    <m/>
    <m/>
    <m/>
    <m/>
    <m/>
    <m/>
    <m/>
    <m/>
    <m/>
    <m/>
    <s v="no test"/>
    <s v="no test"/>
    <s v="No Test"/>
    <n v="0"/>
    <n v="0"/>
    <n v="1"/>
    <n v="0"/>
    <n v="0"/>
    <n v="0"/>
    <n v="0.21857923497267762"/>
    <n v="0.21857923497267762"/>
    <n v="0.21857923497267762"/>
    <n v="66.666666666666671"/>
    <n v="0"/>
    <n v="0"/>
    <n v="0.21857923497267762"/>
    <n v="66.666666666666671"/>
    <n v="0.13333333333333333"/>
    <n v="0.78142076502732238"/>
    <n v="238.33333333333331"/>
    <n v="0.8666666666666667"/>
    <n v="1"/>
    <n v="71"/>
    <n v="1"/>
    <n v="305"/>
    <n v="0"/>
    <n v="0"/>
    <n v="0"/>
    <n v="0"/>
    <n v="51"/>
    <n v="0"/>
    <n v="0"/>
    <n v="0"/>
    <n v="305"/>
    <n v="305"/>
    <n v="0"/>
    <n v="305"/>
    <n v="305"/>
    <n v="1"/>
    <n v="0"/>
    <n v="1"/>
    <n v="1"/>
    <n v="0"/>
    <n v="5"/>
    <n v="100"/>
    <n v="3"/>
    <n v="305"/>
    <s v="No"/>
    <s v=""/>
    <n v="0"/>
    <n v="0"/>
    <s v="Yes"/>
    <s v="KMSS-LSO"/>
    <x v="1"/>
    <x v="1"/>
    <x v="1"/>
    <n v="23.588920000000002"/>
    <n v="97.793019999999999"/>
    <s v="MMR015CMP018"/>
    <x v="0"/>
    <s v="cccm_2019OCT"/>
  </r>
  <r>
    <x v="2"/>
    <x v="11"/>
    <x v="11"/>
    <s v="(MHF, OFDA,ECHO),UNICEF"/>
    <x v="0"/>
    <x v="7"/>
    <x v="0"/>
    <x v="190"/>
    <n v="113"/>
    <n v="607"/>
    <s v="3/1/2020, 4-1-2019 "/>
    <s v="6/30/2021, 4-30-2020"/>
    <m/>
    <n v="0"/>
    <n v="2"/>
    <m/>
    <s v="Yes"/>
    <n v="6"/>
    <n v="10"/>
    <n v="1"/>
    <m/>
    <m/>
    <n v="1"/>
    <n v="0"/>
    <m/>
    <m/>
    <m/>
    <m/>
    <m/>
    <m/>
    <m/>
    <m/>
    <n v="2"/>
    <m/>
    <n v="1"/>
    <n v="1"/>
    <n v="12"/>
    <n v="9"/>
    <n v="12"/>
    <m/>
    <s v="Water safety plan need to install"/>
    <n v="28"/>
    <m/>
    <m/>
    <m/>
    <m/>
    <n v="15"/>
    <n v="50"/>
    <m/>
    <x v="1"/>
    <x v="1"/>
    <n v="0"/>
    <n v="0"/>
    <n v="2"/>
    <m/>
    <m/>
    <s v="Gaps in drainage/ Infrastructure rehabiliation "/>
    <n v="12"/>
    <m/>
    <m/>
    <n v="4"/>
    <m/>
    <n v="0"/>
    <n v="8"/>
    <m/>
    <m/>
    <s v="Yes"/>
    <m/>
    <m/>
    <s v="need more hygiene items especially MHM Kits"/>
    <m/>
    <m/>
    <m/>
    <m/>
    <m/>
    <m/>
    <m/>
    <n v="1"/>
    <n v="0.75"/>
    <s v="Tested"/>
    <n v="1"/>
    <n v="1"/>
    <n v="0"/>
    <n v="0"/>
    <n v="0"/>
    <n v="0"/>
    <n v="1"/>
    <n v="0.82372322899505768"/>
    <n v="1"/>
    <n v="607"/>
    <n v="0"/>
    <n v="0"/>
    <n v="1"/>
    <n v="607"/>
    <n v="1.214"/>
    <n v="0"/>
    <n v="0"/>
    <n v="0"/>
    <n v="1"/>
    <n v="28"/>
    <n v="0.92257001647446457"/>
    <n v="560"/>
    <n v="300"/>
    <n v="0"/>
    <n v="0"/>
    <n v="0"/>
    <n v="30"/>
    <n v="2"/>
    <n v="7.7429983525535429E-2"/>
    <n v="0"/>
    <n v="607"/>
    <n v="0"/>
    <n v="0"/>
    <n v="0"/>
    <n v="607"/>
    <n v="1"/>
    <n v="0"/>
    <n v="1"/>
    <n v="0"/>
    <n v="0"/>
    <n v="12"/>
    <n v="113"/>
    <n v="12"/>
    <n v="607"/>
    <s v="No"/>
    <s v=""/>
    <n v="0"/>
    <n v="0"/>
    <n v="0"/>
    <n v="0"/>
    <x v="0"/>
    <x v="1"/>
    <x v="1"/>
    <n v="0"/>
    <n v="0"/>
    <n v="0"/>
    <x v="0"/>
    <n v="0"/>
  </r>
  <r>
    <x v="2"/>
    <x v="2"/>
    <x v="2"/>
    <s v="UNICEF, MHF"/>
    <x v="1"/>
    <x v="18"/>
    <x v="1"/>
    <x v="100"/>
    <n v="62"/>
    <n v="328"/>
    <s v="2-01-2019, 2-01-2020"/>
    <s v="4-30-2021, 1-31-2021"/>
    <m/>
    <m/>
    <m/>
    <m/>
    <m/>
    <n v="4"/>
    <n v="5"/>
    <n v="0"/>
    <m/>
    <m/>
    <m/>
    <n v="0"/>
    <m/>
    <m/>
    <m/>
    <m/>
    <m/>
    <n v="0"/>
    <m/>
    <n v="0"/>
    <m/>
    <m/>
    <m/>
    <m/>
    <m/>
    <m/>
    <m/>
    <m/>
    <m/>
    <n v="10"/>
    <n v="0"/>
    <m/>
    <m/>
    <m/>
    <m/>
    <m/>
    <m/>
    <x v="1"/>
    <x v="1"/>
    <n v="0"/>
    <n v="0"/>
    <m/>
    <m/>
    <m/>
    <m/>
    <n v="2"/>
    <m/>
    <n v="0"/>
    <n v="2"/>
    <m/>
    <n v="0"/>
    <n v="1"/>
    <m/>
    <m/>
    <s v="No"/>
    <m/>
    <m/>
    <m/>
    <m/>
    <m/>
    <m/>
    <m/>
    <m/>
    <m/>
    <m/>
    <s v="no test"/>
    <s v="no test"/>
    <s v="No Test"/>
    <n v="0"/>
    <n v="0"/>
    <n v="0"/>
    <n v="0"/>
    <n v="0"/>
    <n v="0"/>
    <n v="0"/>
    <n v="0"/>
    <n v="0"/>
    <n v="0"/>
    <n v="0"/>
    <n v="0"/>
    <n v="0"/>
    <n v="0"/>
    <n v="0"/>
    <n v="1"/>
    <n v="328"/>
    <n v="1"/>
    <n v="1"/>
    <n v="10"/>
    <n v="0.6097560975609756"/>
    <n v="200"/>
    <n v="0"/>
    <n v="0"/>
    <n v="0"/>
    <n v="0"/>
    <n v="16"/>
    <n v="6"/>
    <n v="0.3902439024390244"/>
    <n v="0"/>
    <n v="328"/>
    <n v="0"/>
    <n v="0"/>
    <n v="0"/>
    <n v="328"/>
    <n v="1"/>
    <n v="0"/>
    <n v="1"/>
    <n v="0"/>
    <n v="0"/>
    <n v="2"/>
    <n v="40"/>
    <n v="0"/>
    <n v="200"/>
    <s v="No"/>
    <s v=""/>
    <n v="0"/>
    <n v="0"/>
    <n v="0"/>
    <s v="uncovered"/>
    <x v="0"/>
    <x v="0"/>
    <x v="1"/>
    <n v="23.611999999999998"/>
    <n v="97.506"/>
    <s v="MMR015CMP224"/>
    <x v="0"/>
    <s v="cccm_2019OCT"/>
  </r>
  <r>
    <x v="2"/>
    <x v="2"/>
    <x v="2"/>
    <s v="UNICEF, MHF, WHH(AA)"/>
    <x v="1"/>
    <x v="13"/>
    <x v="1"/>
    <x v="101"/>
    <n v="34"/>
    <n v="180"/>
    <s v="2-01-2019, 01-1-2020"/>
    <s v="4-30-2021, 01-31-2021"/>
    <m/>
    <m/>
    <m/>
    <m/>
    <m/>
    <n v="5"/>
    <n v="4"/>
    <n v="0"/>
    <m/>
    <m/>
    <n v="0"/>
    <n v="0"/>
    <m/>
    <m/>
    <m/>
    <m/>
    <m/>
    <n v="0"/>
    <m/>
    <n v="0"/>
    <m/>
    <m/>
    <m/>
    <m/>
    <m/>
    <m/>
    <m/>
    <m/>
    <m/>
    <n v="34"/>
    <n v="0"/>
    <m/>
    <m/>
    <m/>
    <m/>
    <m/>
    <m/>
    <x v="1"/>
    <x v="1"/>
    <n v="0"/>
    <n v="0"/>
    <n v="2"/>
    <m/>
    <m/>
    <m/>
    <n v="2"/>
    <m/>
    <n v="0"/>
    <n v="2"/>
    <m/>
    <n v="0"/>
    <n v="1"/>
    <n v="34"/>
    <m/>
    <s v="No"/>
    <m/>
    <m/>
    <m/>
    <m/>
    <m/>
    <m/>
    <m/>
    <m/>
    <m/>
    <m/>
    <s v="no test"/>
    <s v="no test"/>
    <s v="No Test"/>
    <n v="0"/>
    <n v="0"/>
    <n v="0"/>
    <n v="0"/>
    <n v="0"/>
    <n v="0"/>
    <n v="0"/>
    <n v="0"/>
    <n v="0"/>
    <n v="0"/>
    <n v="0"/>
    <n v="0"/>
    <n v="0"/>
    <n v="0"/>
    <n v="0"/>
    <n v="1"/>
    <n v="180"/>
    <n v="1"/>
    <n v="1"/>
    <n v="34"/>
    <n v="1"/>
    <n v="180"/>
    <n v="0"/>
    <n v="0"/>
    <n v="0"/>
    <n v="0"/>
    <n v="9"/>
    <n v="0"/>
    <n v="0"/>
    <n v="0"/>
    <n v="180"/>
    <n v="180"/>
    <n v="0"/>
    <n v="180"/>
    <n v="180"/>
    <n v="1"/>
    <n v="0"/>
    <n v="1"/>
    <n v="1"/>
    <n v="0"/>
    <n v="2"/>
    <n v="34"/>
    <n v="0"/>
    <n v="180"/>
    <s v="No"/>
    <s v=""/>
    <n v="0"/>
    <n v="0"/>
    <n v="0"/>
    <s v="uncovered"/>
    <x v="0"/>
    <x v="0"/>
    <x v="1"/>
    <n v="23.850999999999999"/>
    <n v="98.337999999999994"/>
    <s v="MMR015CMP227"/>
    <x v="0"/>
    <s v="cccm_2019OCT"/>
  </r>
  <r>
    <x v="2"/>
    <x v="2"/>
    <x v="2"/>
    <s v="UNICEF, MHF, WHH(AA)"/>
    <x v="1"/>
    <x v="13"/>
    <x v="1"/>
    <x v="102"/>
    <n v="44"/>
    <n v="264"/>
    <s v="2-01-2019, 01-1-2020"/>
    <s v="4-30-2021, 01-31-2021"/>
    <m/>
    <n v="1"/>
    <m/>
    <m/>
    <s v="Yes"/>
    <m/>
    <m/>
    <m/>
    <m/>
    <m/>
    <m/>
    <m/>
    <m/>
    <m/>
    <m/>
    <m/>
    <m/>
    <m/>
    <m/>
    <m/>
    <m/>
    <m/>
    <m/>
    <m/>
    <m/>
    <m/>
    <m/>
    <m/>
    <m/>
    <n v="6"/>
    <m/>
    <m/>
    <m/>
    <m/>
    <m/>
    <m/>
    <m/>
    <x v="1"/>
    <x v="4"/>
    <m/>
    <m/>
    <m/>
    <m/>
    <m/>
    <m/>
    <m/>
    <m/>
    <m/>
    <m/>
    <m/>
    <m/>
    <m/>
    <n v="44"/>
    <m/>
    <s v="No"/>
    <m/>
    <m/>
    <m/>
    <m/>
    <m/>
    <m/>
    <m/>
    <m/>
    <m/>
    <m/>
    <s v="no test"/>
    <s v="no test"/>
    <s v="No Test"/>
    <n v="0"/>
    <n v="0"/>
    <n v="0"/>
    <n v="0"/>
    <n v="0"/>
    <n v="0"/>
    <n v="0"/>
    <n v="0"/>
    <n v="0"/>
    <n v="0"/>
    <n v="0"/>
    <n v="0"/>
    <n v="0"/>
    <n v="0"/>
    <n v="0"/>
    <n v="1"/>
    <n v="264"/>
    <n v="1"/>
    <n v="1"/>
    <n v="6"/>
    <n v="0.11363636363636363"/>
    <n v="30"/>
    <n v="0"/>
    <n v="0"/>
    <n v="0"/>
    <n v="0"/>
    <n v="44"/>
    <n v="38"/>
    <n v="0.88636363636363635"/>
    <n v="0"/>
    <n v="0"/>
    <n v="264"/>
    <n v="0"/>
    <n v="264"/>
    <n v="264"/>
    <n v="1"/>
    <n v="0"/>
    <n v="0"/>
    <n v="1"/>
    <n v="0"/>
    <n v="0"/>
    <n v="0"/>
    <n v="0"/>
    <n v="0"/>
    <s v="No"/>
    <s v=""/>
    <n v="0"/>
    <n v="0"/>
    <s v="Yes"/>
    <s v="KBC-NSS"/>
    <x v="1"/>
    <x v="1"/>
    <x v="1"/>
    <n v="23.400155999999999"/>
    <n v="98.220614999999995"/>
    <s v="MMR015CMP006"/>
    <x v="0"/>
    <s v="cccm_2019OCT"/>
  </r>
  <r>
    <x v="2"/>
    <x v="2"/>
    <x v="2"/>
    <s v="UNICEF, MHF, WHH(AA)"/>
    <x v="1"/>
    <x v="13"/>
    <x v="1"/>
    <x v="103"/>
    <n v="22"/>
    <n v="111"/>
    <s v="2-01-2019, 01-1-2020"/>
    <s v="4-30-2021, 01-31-2021"/>
    <m/>
    <m/>
    <m/>
    <m/>
    <m/>
    <m/>
    <m/>
    <n v="0"/>
    <m/>
    <m/>
    <n v="0"/>
    <m/>
    <m/>
    <m/>
    <m/>
    <m/>
    <m/>
    <m/>
    <n v="1"/>
    <m/>
    <m/>
    <m/>
    <m/>
    <m/>
    <m/>
    <m/>
    <m/>
    <m/>
    <m/>
    <n v="11"/>
    <m/>
    <m/>
    <m/>
    <m/>
    <m/>
    <m/>
    <m/>
    <x v="1"/>
    <x v="1"/>
    <m/>
    <m/>
    <n v="0"/>
    <m/>
    <m/>
    <m/>
    <m/>
    <m/>
    <n v="0"/>
    <n v="2"/>
    <m/>
    <m/>
    <n v="0"/>
    <n v="22"/>
    <m/>
    <s v="No"/>
    <m/>
    <m/>
    <m/>
    <m/>
    <m/>
    <m/>
    <m/>
    <m/>
    <m/>
    <m/>
    <s v="no test"/>
    <s v="no test"/>
    <s v="No Test"/>
    <n v="0"/>
    <n v="0"/>
    <n v="0"/>
    <n v="0"/>
    <n v="0"/>
    <n v="0"/>
    <n v="0"/>
    <n v="0"/>
    <n v="0"/>
    <n v="0"/>
    <n v="1"/>
    <n v="111"/>
    <n v="1"/>
    <n v="111"/>
    <n v="0.222"/>
    <n v="0"/>
    <n v="0"/>
    <n v="0.77800000000000002"/>
    <n v="1"/>
    <n v="11"/>
    <n v="1"/>
    <n v="111"/>
    <n v="0"/>
    <n v="0"/>
    <n v="0"/>
    <n v="0"/>
    <n v="6"/>
    <n v="0"/>
    <n v="0"/>
    <n v="0"/>
    <n v="0"/>
    <n v="111"/>
    <n v="0"/>
    <n v="111"/>
    <n v="111"/>
    <n v="1"/>
    <n v="0"/>
    <n v="0"/>
    <n v="1"/>
    <n v="0"/>
    <n v="0"/>
    <n v="0"/>
    <n v="0"/>
    <n v="0"/>
    <s v="No"/>
    <s v=""/>
    <n v="0"/>
    <n v="0"/>
    <s v="Yes"/>
    <s v="KMSS-LSO"/>
    <x v="0"/>
    <x v="1"/>
    <x v="1"/>
    <n v="23.463000000000001"/>
    <n v="98.248999999999995"/>
    <s v="MMR015CMP217"/>
    <x v="0"/>
    <s v="cccm_2019OCT"/>
  </r>
  <r>
    <x v="2"/>
    <x v="2"/>
    <x v="2"/>
    <s v="UNICEF, MHF"/>
    <x v="1"/>
    <x v="14"/>
    <x v="1"/>
    <x v="104"/>
    <n v="24"/>
    <n v="114"/>
    <s v="2-01-2019, 2-1-2020"/>
    <s v="4-30-2021, 1-31-2021"/>
    <m/>
    <m/>
    <m/>
    <m/>
    <m/>
    <m/>
    <m/>
    <n v="1"/>
    <m/>
    <m/>
    <n v="1"/>
    <m/>
    <m/>
    <m/>
    <m/>
    <m/>
    <m/>
    <m/>
    <m/>
    <m/>
    <m/>
    <m/>
    <m/>
    <m/>
    <m/>
    <m/>
    <m/>
    <m/>
    <m/>
    <n v="8"/>
    <m/>
    <m/>
    <m/>
    <m/>
    <m/>
    <m/>
    <m/>
    <x v="1"/>
    <x v="2"/>
    <m/>
    <m/>
    <n v="1"/>
    <m/>
    <m/>
    <m/>
    <m/>
    <m/>
    <n v="1"/>
    <n v="2"/>
    <m/>
    <m/>
    <n v="2"/>
    <n v="24"/>
    <m/>
    <m/>
    <m/>
    <m/>
    <m/>
    <m/>
    <m/>
    <m/>
    <m/>
    <m/>
    <m/>
    <m/>
    <s v="no test"/>
    <s v="no test"/>
    <s v="No Test"/>
    <n v="1"/>
    <n v="1"/>
    <n v="0"/>
    <n v="0"/>
    <n v="0"/>
    <n v="0"/>
    <n v="1"/>
    <n v="1"/>
    <n v="1"/>
    <n v="114"/>
    <n v="0"/>
    <n v="0"/>
    <n v="1"/>
    <n v="114"/>
    <n v="0.22800000000000001"/>
    <n v="0"/>
    <n v="0"/>
    <n v="0.77200000000000002"/>
    <n v="1"/>
    <n v="8"/>
    <n v="1"/>
    <n v="114"/>
    <n v="0"/>
    <n v="0"/>
    <n v="0"/>
    <n v="0"/>
    <n v="6"/>
    <n v="0"/>
    <n v="0"/>
    <n v="0"/>
    <n v="114"/>
    <n v="114"/>
    <n v="0"/>
    <n v="114"/>
    <n v="114"/>
    <n v="1"/>
    <n v="0"/>
    <n v="1"/>
    <n v="1"/>
    <n v="0"/>
    <n v="0"/>
    <n v="0"/>
    <n v="0"/>
    <n v="0"/>
    <s v="No"/>
    <s v=""/>
    <n v="0"/>
    <n v="0"/>
    <s v="Yes"/>
    <s v="KMSS-LSO"/>
    <x v="0"/>
    <x v="1"/>
    <x v="1"/>
    <n v="24.006789000000001"/>
    <n v="97.911647000000002"/>
    <s v="MMR015CMP216"/>
    <x v="0"/>
    <s v="cccm_2019OCT"/>
  </r>
  <r>
    <x v="2"/>
    <x v="2"/>
    <x v="2"/>
    <s v="WHH-AA, USAID, MHF, HOPE"/>
    <x v="0"/>
    <x v="10"/>
    <x v="1"/>
    <x v="105"/>
    <n v="10"/>
    <n v="45"/>
    <s v="10-1-2018, 9-30-2019, 6-1-2020"/>
    <s v="9-30-2020, 8-31-2020, 11-30-2020"/>
    <m/>
    <m/>
    <m/>
    <m/>
    <s v="No"/>
    <m/>
    <m/>
    <m/>
    <m/>
    <m/>
    <n v="1"/>
    <n v="1"/>
    <m/>
    <m/>
    <m/>
    <m/>
    <m/>
    <m/>
    <m/>
    <m/>
    <m/>
    <m/>
    <m/>
    <m/>
    <m/>
    <m/>
    <m/>
    <m/>
    <m/>
    <n v="4"/>
    <m/>
    <m/>
    <m/>
    <m/>
    <m/>
    <m/>
    <m/>
    <x v="1"/>
    <x v="1"/>
    <m/>
    <m/>
    <m/>
    <m/>
    <m/>
    <m/>
    <n v="2"/>
    <m/>
    <m/>
    <n v="2"/>
    <m/>
    <m/>
    <n v="1"/>
    <n v="10"/>
    <m/>
    <m/>
    <m/>
    <m/>
    <s v="Hygiene refill item distribution couldn't be done by voucher system because of the Covid-19 prevention situations"/>
    <m/>
    <m/>
    <m/>
    <m/>
    <m/>
    <m/>
    <m/>
    <s v="no test"/>
    <s v="no test"/>
    <s v="No Test"/>
    <n v="0"/>
    <n v="2"/>
    <n v="0"/>
    <n v="0"/>
    <n v="0"/>
    <n v="0"/>
    <n v="1"/>
    <n v="1"/>
    <n v="1"/>
    <n v="45"/>
    <n v="0"/>
    <n v="0"/>
    <n v="1"/>
    <n v="45"/>
    <n v="0.09"/>
    <n v="0"/>
    <n v="0"/>
    <n v="0.91"/>
    <n v="1"/>
    <n v="4"/>
    <n v="1"/>
    <n v="45"/>
    <n v="0"/>
    <n v="0"/>
    <n v="0"/>
    <n v="0"/>
    <n v="2"/>
    <n v="0"/>
    <n v="0"/>
    <n v="0"/>
    <n v="45"/>
    <n v="45"/>
    <n v="0"/>
    <n v="45"/>
    <n v="45"/>
    <n v="1"/>
    <n v="0"/>
    <n v="1"/>
    <n v="1"/>
    <n v="0"/>
    <n v="2"/>
    <n v="10"/>
    <n v="0"/>
    <n v="45"/>
    <s v="No"/>
    <s v=""/>
    <n v="0"/>
    <n v="0"/>
    <s v="Yes"/>
    <s v="Shalom"/>
    <x v="0"/>
    <x v="1"/>
    <x v="1"/>
    <n v="24.253067000000001"/>
    <n v="97.234200000000001"/>
    <s v="MMR001CMP051"/>
    <x v="0"/>
    <s v="cccm_2019OCT"/>
  </r>
  <r>
    <x v="2"/>
    <x v="2"/>
    <x v="2"/>
    <s v="UNICEF, MHF"/>
    <x v="1"/>
    <x v="18"/>
    <x v="1"/>
    <x v="106"/>
    <n v="68"/>
    <n v="350"/>
    <s v="2-01-2019, 2-01-2020"/>
    <s v="4-30-2021, 1-31-2021"/>
    <m/>
    <n v="1"/>
    <n v="1"/>
    <m/>
    <s v="Yes"/>
    <m/>
    <m/>
    <m/>
    <m/>
    <m/>
    <m/>
    <n v="1"/>
    <m/>
    <m/>
    <m/>
    <m/>
    <m/>
    <m/>
    <m/>
    <m/>
    <m/>
    <m/>
    <m/>
    <m/>
    <m/>
    <m/>
    <m/>
    <m/>
    <m/>
    <n v="10"/>
    <m/>
    <m/>
    <m/>
    <m/>
    <m/>
    <m/>
    <m/>
    <x v="3"/>
    <x v="3"/>
    <m/>
    <m/>
    <m/>
    <m/>
    <m/>
    <m/>
    <m/>
    <m/>
    <m/>
    <m/>
    <m/>
    <m/>
    <m/>
    <m/>
    <m/>
    <s v="No"/>
    <m/>
    <m/>
    <m/>
    <m/>
    <m/>
    <m/>
    <m/>
    <m/>
    <m/>
    <m/>
    <s v="no test"/>
    <s v="no test"/>
    <s v="No Test"/>
    <n v="0"/>
    <n v="1"/>
    <n v="0"/>
    <n v="0"/>
    <n v="0"/>
    <n v="0"/>
    <n v="1"/>
    <n v="0.7142857142857143"/>
    <n v="1"/>
    <n v="350"/>
    <n v="0"/>
    <n v="0"/>
    <n v="1"/>
    <n v="350"/>
    <n v="0.7"/>
    <n v="0"/>
    <n v="0"/>
    <n v="0.30000000000000004"/>
    <n v="1"/>
    <n v="10"/>
    <n v="0.5714285714285714"/>
    <n v="200"/>
    <n v="0"/>
    <n v="0"/>
    <n v="0"/>
    <n v="0"/>
    <n v="18"/>
    <n v="8"/>
    <n v="0.4285714285714286"/>
    <n v="0"/>
    <n v="0"/>
    <n v="0"/>
    <n v="0"/>
    <n v="0"/>
    <n v="0"/>
    <n v="0"/>
    <n v="1"/>
    <n v="0"/>
    <n v="0"/>
    <n v="0"/>
    <n v="0"/>
    <n v="0"/>
    <n v="0"/>
    <n v="0"/>
    <s v="No"/>
    <s v=""/>
    <n v="0"/>
    <n v="0"/>
    <s v="Yes"/>
    <s v="KBC-NSS"/>
    <x v="0"/>
    <x v="1"/>
    <x v="1"/>
    <n v="23.828520000000001"/>
    <n v="97.669557999999995"/>
    <s v="MMR015CMP001"/>
    <x v="0"/>
    <s v="cccm_2019OCT"/>
  </r>
  <r>
    <x v="2"/>
    <x v="2"/>
    <x v="2"/>
    <s v="UNICEF, MHF"/>
    <x v="1"/>
    <x v="18"/>
    <x v="1"/>
    <x v="107"/>
    <n v="37"/>
    <n v="176"/>
    <s v="2-01-2019, 2-01-2020"/>
    <s v="4-30-2021, 1-31-2021"/>
    <m/>
    <m/>
    <n v="1"/>
    <m/>
    <m/>
    <m/>
    <m/>
    <m/>
    <m/>
    <m/>
    <m/>
    <n v="1"/>
    <m/>
    <m/>
    <m/>
    <m/>
    <m/>
    <m/>
    <m/>
    <m/>
    <m/>
    <m/>
    <m/>
    <m/>
    <m/>
    <m/>
    <m/>
    <m/>
    <m/>
    <m/>
    <m/>
    <m/>
    <m/>
    <m/>
    <m/>
    <m/>
    <m/>
    <x v="3"/>
    <x v="3"/>
    <m/>
    <m/>
    <m/>
    <m/>
    <m/>
    <m/>
    <m/>
    <m/>
    <m/>
    <m/>
    <m/>
    <m/>
    <n v="1"/>
    <m/>
    <m/>
    <s v="No"/>
    <m/>
    <m/>
    <m/>
    <m/>
    <m/>
    <m/>
    <m/>
    <m/>
    <m/>
    <m/>
    <s v="no test"/>
    <s v="no test"/>
    <s v="No Test"/>
    <n v="0"/>
    <n v="1"/>
    <n v="0"/>
    <n v="0"/>
    <n v="0"/>
    <n v="0"/>
    <n v="1"/>
    <n v="1"/>
    <n v="1"/>
    <n v="176"/>
    <n v="0"/>
    <n v="0"/>
    <n v="1"/>
    <n v="176"/>
    <n v="0.35199999999999998"/>
    <n v="0"/>
    <n v="0"/>
    <n v="0.64800000000000002"/>
    <n v="1"/>
    <n v="0"/>
    <n v="0"/>
    <n v="0"/>
    <n v="0"/>
    <n v="0"/>
    <n v="0"/>
    <n v="0"/>
    <n v="9"/>
    <n v="9"/>
    <n v="1"/>
    <n v="0"/>
    <n v="176"/>
    <n v="0"/>
    <n v="0"/>
    <n v="0"/>
    <n v="176"/>
    <n v="1"/>
    <n v="0"/>
    <n v="1"/>
    <n v="0"/>
    <n v="0"/>
    <n v="0"/>
    <n v="0"/>
    <n v="0"/>
    <n v="0"/>
    <s v="No"/>
    <s v=""/>
    <n v="0"/>
    <n v="0"/>
    <s v="Yes"/>
    <s v="KBC-NSS"/>
    <x v="0"/>
    <x v="1"/>
    <x v="1"/>
    <n v="23.841646999999998"/>
    <n v="97.700940000000003"/>
    <s v="MMR015CMP214"/>
    <x v="0"/>
    <e v="#N/A"/>
  </r>
  <r>
    <x v="2"/>
    <x v="2"/>
    <x v="2"/>
    <s v="UNICEF, MHF, WHH(AA)"/>
    <x v="1"/>
    <x v="13"/>
    <x v="1"/>
    <x v="108"/>
    <n v="56"/>
    <n v="263"/>
    <s v="2-01-2019, 01-1-2020"/>
    <s v="4-30-2021, 01-31-2021"/>
    <m/>
    <n v="1"/>
    <m/>
    <m/>
    <s v="Yes"/>
    <n v="5"/>
    <n v="4"/>
    <m/>
    <m/>
    <m/>
    <m/>
    <m/>
    <m/>
    <m/>
    <n v="1"/>
    <m/>
    <m/>
    <m/>
    <m/>
    <m/>
    <n v="1"/>
    <n v="1"/>
    <m/>
    <m/>
    <m/>
    <m/>
    <m/>
    <m/>
    <m/>
    <n v="18"/>
    <m/>
    <m/>
    <m/>
    <m/>
    <m/>
    <m/>
    <m/>
    <x v="1"/>
    <x v="1"/>
    <m/>
    <m/>
    <m/>
    <m/>
    <m/>
    <m/>
    <n v="6"/>
    <m/>
    <m/>
    <n v="1"/>
    <m/>
    <m/>
    <n v="2"/>
    <n v="56"/>
    <m/>
    <m/>
    <m/>
    <m/>
    <m/>
    <m/>
    <m/>
    <m/>
    <m/>
    <m/>
    <m/>
    <m/>
    <s v="no test"/>
    <s v="no test"/>
    <s v="No Test"/>
    <n v="0"/>
    <n v="0"/>
    <n v="1"/>
    <n v="0"/>
    <n v="0"/>
    <n v="0"/>
    <n v="0.25348542458808621"/>
    <n v="0.25348542458808621"/>
    <n v="0.25348542458808621"/>
    <n v="66.666666666666671"/>
    <n v="0"/>
    <n v="0"/>
    <n v="0.25348542458808621"/>
    <n v="66.666666666666671"/>
    <n v="0.13333333333333333"/>
    <n v="0.74651457541191379"/>
    <n v="196.33333333333331"/>
    <n v="0.8666666666666667"/>
    <n v="1"/>
    <n v="18"/>
    <n v="1"/>
    <n v="263"/>
    <n v="0"/>
    <n v="0"/>
    <n v="0"/>
    <n v="0"/>
    <n v="13"/>
    <n v="0"/>
    <n v="0"/>
    <n v="0"/>
    <n v="263"/>
    <n v="263"/>
    <n v="0"/>
    <n v="263"/>
    <n v="263"/>
    <n v="1"/>
    <n v="0"/>
    <n v="1"/>
    <n v="1"/>
    <n v="0"/>
    <n v="6"/>
    <n v="56"/>
    <n v="0"/>
    <n v="263"/>
    <s v="No"/>
    <s v=""/>
    <n v="0"/>
    <n v="0"/>
    <s v="Yes"/>
    <s v="KBC-NSS"/>
    <x v="0"/>
    <x v="1"/>
    <x v="1"/>
    <n v="23.694130000000001"/>
    <n v="97.818979999999996"/>
    <s v="MMR015CMP007"/>
    <x v="0"/>
    <s v="cccm_2019OCT"/>
  </r>
  <r>
    <x v="2"/>
    <x v="2"/>
    <x v="2"/>
    <s v="UNICEF, MHF, WHH(AA)"/>
    <x v="1"/>
    <x v="13"/>
    <x v="1"/>
    <x v="109"/>
    <n v="34"/>
    <n v="114"/>
    <s v="2-01-2019, 01-1-2020"/>
    <s v="4-30-2021, 01-31-2021"/>
    <m/>
    <n v="1"/>
    <m/>
    <m/>
    <s v="Yes"/>
    <n v="5"/>
    <n v="4"/>
    <m/>
    <m/>
    <m/>
    <n v="2"/>
    <m/>
    <m/>
    <m/>
    <m/>
    <m/>
    <m/>
    <m/>
    <m/>
    <m/>
    <n v="1"/>
    <n v="1"/>
    <m/>
    <m/>
    <m/>
    <m/>
    <m/>
    <m/>
    <m/>
    <n v="8"/>
    <m/>
    <m/>
    <m/>
    <m/>
    <m/>
    <m/>
    <m/>
    <x v="1"/>
    <x v="4"/>
    <m/>
    <m/>
    <m/>
    <m/>
    <m/>
    <m/>
    <n v="4"/>
    <m/>
    <m/>
    <n v="1"/>
    <m/>
    <m/>
    <n v="2"/>
    <n v="34"/>
    <m/>
    <m/>
    <m/>
    <m/>
    <m/>
    <m/>
    <m/>
    <m/>
    <m/>
    <m/>
    <m/>
    <m/>
    <s v="no test"/>
    <s v="no test"/>
    <s v="No Test"/>
    <n v="0"/>
    <n v="2"/>
    <n v="0"/>
    <n v="0"/>
    <n v="0"/>
    <n v="0"/>
    <n v="1"/>
    <n v="1"/>
    <n v="1"/>
    <n v="114"/>
    <n v="0"/>
    <n v="0"/>
    <n v="1"/>
    <n v="114"/>
    <n v="0.22800000000000001"/>
    <n v="0"/>
    <n v="0"/>
    <n v="0.77200000000000002"/>
    <n v="1"/>
    <n v="8"/>
    <n v="1"/>
    <n v="114"/>
    <n v="0"/>
    <n v="0"/>
    <n v="0"/>
    <n v="0"/>
    <n v="6"/>
    <n v="0"/>
    <n v="0"/>
    <n v="0"/>
    <n v="114"/>
    <n v="114"/>
    <n v="0"/>
    <n v="114"/>
    <n v="114"/>
    <n v="1"/>
    <n v="0"/>
    <n v="1"/>
    <n v="1"/>
    <n v="0"/>
    <n v="4"/>
    <n v="34"/>
    <n v="0"/>
    <n v="114"/>
    <s v="No"/>
    <s v=""/>
    <n v="0"/>
    <n v="0"/>
    <s v="Yes"/>
    <s v="KMSS-LSO"/>
    <x v="0"/>
    <x v="1"/>
    <x v="1"/>
    <n v="23.682887999999998"/>
    <n v="97.810101000000003"/>
    <s v="MMR015CMP225"/>
    <x v="0"/>
    <s v="cccm_2019OCT"/>
  </r>
  <r>
    <x v="2"/>
    <x v="2"/>
    <x v="2"/>
    <s v="UNICEF, MHF"/>
    <x v="1"/>
    <x v="19"/>
    <x v="1"/>
    <x v="110"/>
    <n v="34"/>
    <n v="182"/>
    <s v="2-01-2019, 1-02-2020"/>
    <s v="4-30-2021, 01-31-2021"/>
    <m/>
    <m/>
    <n v="1"/>
    <m/>
    <s v="Yes"/>
    <m/>
    <n v="5"/>
    <n v="4"/>
    <m/>
    <m/>
    <n v="1"/>
    <m/>
    <m/>
    <m/>
    <m/>
    <m/>
    <m/>
    <m/>
    <m/>
    <m/>
    <m/>
    <m/>
    <m/>
    <m/>
    <m/>
    <m/>
    <m/>
    <m/>
    <m/>
    <n v="10"/>
    <n v="10"/>
    <m/>
    <m/>
    <m/>
    <m/>
    <m/>
    <m/>
    <x v="1"/>
    <x v="1"/>
    <m/>
    <m/>
    <m/>
    <m/>
    <m/>
    <s v="+4 Latrine Constructed"/>
    <m/>
    <m/>
    <m/>
    <n v="2"/>
    <m/>
    <m/>
    <n v="1"/>
    <n v="34"/>
    <m/>
    <s v="No"/>
    <m/>
    <m/>
    <m/>
    <m/>
    <m/>
    <m/>
    <m/>
    <m/>
    <m/>
    <m/>
    <s v="no test"/>
    <s v="no test"/>
    <s v="No Test"/>
    <n v="4"/>
    <n v="1"/>
    <n v="0"/>
    <n v="0"/>
    <n v="0"/>
    <n v="0"/>
    <n v="1"/>
    <n v="1"/>
    <n v="1"/>
    <n v="182"/>
    <n v="0"/>
    <n v="0"/>
    <n v="1"/>
    <n v="182"/>
    <n v="0.36399999999999999"/>
    <n v="0"/>
    <n v="0"/>
    <n v="0.63600000000000001"/>
    <n v="1"/>
    <n v="20"/>
    <n v="1"/>
    <n v="182"/>
    <n v="0"/>
    <n v="0"/>
    <n v="0"/>
    <n v="0"/>
    <n v="9"/>
    <n v="0"/>
    <n v="0"/>
    <n v="0"/>
    <n v="182"/>
    <n v="182"/>
    <n v="0"/>
    <n v="182"/>
    <n v="182"/>
    <n v="1"/>
    <n v="0"/>
    <n v="1"/>
    <n v="1"/>
    <n v="0"/>
    <n v="0"/>
    <n v="0"/>
    <n v="0"/>
    <n v="0"/>
    <s v="No"/>
    <s v=""/>
    <n v="0"/>
    <n v="0"/>
    <s v="Yes"/>
    <s v="KBC-NSS"/>
    <x v="0"/>
    <x v="1"/>
    <x v="1"/>
    <n v="23.354268999999999"/>
    <n v="98.218626999999998"/>
    <s v="MMR015CMP218"/>
    <x v="0"/>
    <s v="cccm_2019OCT"/>
  </r>
  <r>
    <x v="2"/>
    <x v="2"/>
    <x v="2"/>
    <s v="UNICEF, MHF"/>
    <x v="1"/>
    <x v="15"/>
    <x v="1"/>
    <x v="111"/>
    <n v="38"/>
    <n v="161"/>
    <s v="2-01-2019, 2-1-2020"/>
    <s v="4-30-2021, 1-31-2021"/>
    <m/>
    <m/>
    <n v="1"/>
    <m/>
    <s v="Yes"/>
    <n v="3"/>
    <n v="3"/>
    <m/>
    <m/>
    <m/>
    <m/>
    <m/>
    <m/>
    <m/>
    <n v="1"/>
    <m/>
    <m/>
    <m/>
    <m/>
    <m/>
    <n v="3"/>
    <m/>
    <m/>
    <m/>
    <m/>
    <m/>
    <m/>
    <m/>
    <m/>
    <n v="8"/>
    <m/>
    <m/>
    <m/>
    <m/>
    <m/>
    <m/>
    <m/>
    <x v="1"/>
    <x v="1"/>
    <m/>
    <m/>
    <m/>
    <m/>
    <m/>
    <m/>
    <n v="5"/>
    <m/>
    <m/>
    <n v="2"/>
    <m/>
    <m/>
    <n v="1"/>
    <n v="38"/>
    <m/>
    <m/>
    <m/>
    <m/>
    <m/>
    <m/>
    <m/>
    <m/>
    <m/>
    <m/>
    <m/>
    <m/>
    <s v="no test"/>
    <s v="no test"/>
    <s v="No Test"/>
    <n v="0"/>
    <n v="0"/>
    <n v="1"/>
    <n v="0"/>
    <n v="0"/>
    <n v="0"/>
    <n v="0.41407867494824019"/>
    <n v="0.41407867494824019"/>
    <n v="0.41407867494824019"/>
    <n v="66.666666666666671"/>
    <n v="0"/>
    <n v="0"/>
    <n v="0.41407867494824019"/>
    <n v="66.666666666666671"/>
    <n v="0.13333333333333333"/>
    <n v="0.58592132505175987"/>
    <n v="94.333333333333343"/>
    <n v="0.8666666666666667"/>
    <n v="1"/>
    <n v="8"/>
    <n v="0.99378881987577639"/>
    <n v="160"/>
    <n v="0"/>
    <n v="0"/>
    <n v="0"/>
    <n v="0"/>
    <n v="8"/>
    <n v="0"/>
    <n v="6.2111801242236142E-3"/>
    <n v="0"/>
    <n v="161"/>
    <n v="161"/>
    <n v="0"/>
    <n v="161"/>
    <n v="161"/>
    <n v="1"/>
    <n v="0"/>
    <n v="1"/>
    <n v="1"/>
    <n v="0"/>
    <n v="5"/>
    <n v="38"/>
    <n v="0"/>
    <n v="161"/>
    <s v="No"/>
    <s v=""/>
    <n v="0"/>
    <n v="0"/>
    <s v="Yes"/>
    <s v="KBC-NSS"/>
    <x v="0"/>
    <x v="1"/>
    <x v="1"/>
    <n v="23.094290000000001"/>
    <n v="97.404089999999997"/>
    <s v="MMR015CMP014"/>
    <x v="0"/>
    <e v="#N/A"/>
  </r>
  <r>
    <x v="2"/>
    <x v="2"/>
    <x v="2"/>
    <s v="UNICEF, MHF"/>
    <x v="1"/>
    <x v="18"/>
    <x v="1"/>
    <x v="112"/>
    <n v="111"/>
    <n v="568"/>
    <s v="2-01-2019, 2-01-2020"/>
    <s v="4-30-2021, 1-31-2021"/>
    <m/>
    <m/>
    <n v="1"/>
    <m/>
    <m/>
    <m/>
    <m/>
    <m/>
    <m/>
    <m/>
    <m/>
    <m/>
    <m/>
    <m/>
    <m/>
    <m/>
    <m/>
    <m/>
    <m/>
    <m/>
    <m/>
    <m/>
    <m/>
    <m/>
    <m/>
    <m/>
    <m/>
    <m/>
    <m/>
    <m/>
    <n v="16"/>
    <m/>
    <m/>
    <m/>
    <m/>
    <m/>
    <m/>
    <x v="3"/>
    <x v="3"/>
    <m/>
    <m/>
    <m/>
    <m/>
    <m/>
    <m/>
    <m/>
    <m/>
    <m/>
    <m/>
    <m/>
    <m/>
    <m/>
    <m/>
    <m/>
    <s v="No"/>
    <m/>
    <m/>
    <m/>
    <m/>
    <m/>
    <m/>
    <m/>
    <m/>
    <m/>
    <m/>
    <s v="no test"/>
    <s v="no test"/>
    <s v="No Test"/>
    <n v="0"/>
    <n v="0"/>
    <n v="0"/>
    <n v="0"/>
    <n v="0"/>
    <n v="0"/>
    <n v="0"/>
    <n v="0"/>
    <n v="0"/>
    <n v="0"/>
    <n v="0"/>
    <n v="0"/>
    <n v="0"/>
    <n v="0"/>
    <n v="0"/>
    <n v="1"/>
    <n v="568"/>
    <n v="1"/>
    <n v="1"/>
    <n v="16"/>
    <n v="0.56338028169014087"/>
    <n v="320"/>
    <n v="0"/>
    <n v="0"/>
    <n v="0"/>
    <n v="0"/>
    <n v="28"/>
    <n v="12"/>
    <n v="0.43661971830985913"/>
    <n v="0"/>
    <n v="0"/>
    <n v="0"/>
    <n v="0"/>
    <n v="0"/>
    <n v="0"/>
    <n v="0"/>
    <n v="1"/>
    <n v="0"/>
    <n v="0"/>
    <n v="0"/>
    <n v="0"/>
    <n v="0"/>
    <n v="0"/>
    <n v="0"/>
    <s v="No"/>
    <s v=""/>
    <n v="0"/>
    <n v="0"/>
    <s v="Yes"/>
    <s v="KBC-NSS"/>
    <x v="0"/>
    <x v="1"/>
    <x v="1"/>
    <n v="23.838190000000001"/>
    <n v="97.709879999999998"/>
    <s v="MMR015CMP215"/>
    <x v="0"/>
    <e v="#N/A"/>
  </r>
  <r>
    <x v="2"/>
    <x v="2"/>
    <x v="2"/>
    <s v="UNICEF, MHF, WHH(AA)"/>
    <x v="1"/>
    <x v="13"/>
    <x v="1"/>
    <x v="114"/>
    <n v="103"/>
    <n v="632"/>
    <s v="2-01-2019, 01-1-2020"/>
    <s v="4-30-2021, 01-31-2021"/>
    <m/>
    <n v="1"/>
    <m/>
    <m/>
    <s v="Yes"/>
    <n v="4"/>
    <n v="5"/>
    <m/>
    <m/>
    <m/>
    <m/>
    <m/>
    <m/>
    <m/>
    <m/>
    <m/>
    <m/>
    <m/>
    <m/>
    <m/>
    <m/>
    <m/>
    <m/>
    <m/>
    <m/>
    <m/>
    <n v="1"/>
    <m/>
    <m/>
    <n v="105"/>
    <m/>
    <m/>
    <m/>
    <m/>
    <m/>
    <m/>
    <m/>
    <x v="1"/>
    <x v="1"/>
    <m/>
    <m/>
    <m/>
    <m/>
    <m/>
    <m/>
    <n v="2"/>
    <m/>
    <m/>
    <m/>
    <m/>
    <m/>
    <n v="1"/>
    <n v="103"/>
    <m/>
    <s v="No"/>
    <m/>
    <m/>
    <m/>
    <m/>
    <m/>
    <m/>
    <m/>
    <m/>
    <m/>
    <m/>
    <s v="no test"/>
    <s v="no test"/>
    <s v="No Test"/>
    <n v="0"/>
    <n v="0"/>
    <n v="0"/>
    <n v="0"/>
    <n v="0"/>
    <n v="0"/>
    <n v="0"/>
    <n v="0"/>
    <n v="0"/>
    <n v="0"/>
    <n v="0"/>
    <n v="0"/>
    <n v="0"/>
    <n v="0"/>
    <n v="0"/>
    <n v="1"/>
    <n v="632"/>
    <n v="1"/>
    <n v="1"/>
    <n v="105"/>
    <n v="0.83069620253164556"/>
    <n v="525"/>
    <n v="0"/>
    <n v="0"/>
    <n v="0"/>
    <n v="0"/>
    <n v="105"/>
    <n v="0"/>
    <n v="0.16930379746835444"/>
    <n v="0"/>
    <n v="500"/>
    <n v="632"/>
    <n v="0"/>
    <n v="632"/>
    <n v="632"/>
    <n v="1"/>
    <n v="0"/>
    <n v="0.79113924050632911"/>
    <n v="1"/>
    <n v="0"/>
    <n v="2"/>
    <n v="40"/>
    <n v="0"/>
    <n v="200"/>
    <s v="No"/>
    <s v=""/>
    <n v="0"/>
    <n v="0"/>
    <s v="Yes"/>
    <s v="KMSS-LSO"/>
    <x v="1"/>
    <x v="1"/>
    <x v="1"/>
    <n v="23.447111"/>
    <n v="97.868876999999998"/>
    <s v="MMR015CMP219"/>
    <x v="0"/>
    <s v="cccm_2019OCT"/>
  </r>
  <r>
    <x v="2"/>
    <x v="2"/>
    <x v="2"/>
    <s v="UNICEF, MHF, WHH(AA)"/>
    <x v="1"/>
    <x v="13"/>
    <x v="1"/>
    <x v="115"/>
    <n v="33"/>
    <n v="196"/>
    <s v="2-01-2019, 01-1-2020"/>
    <s v="4-30-2021, 01-31-2021"/>
    <m/>
    <m/>
    <m/>
    <m/>
    <m/>
    <n v="5"/>
    <n v="4"/>
    <m/>
    <m/>
    <m/>
    <m/>
    <m/>
    <m/>
    <m/>
    <n v="1"/>
    <m/>
    <m/>
    <m/>
    <m/>
    <m/>
    <n v="3"/>
    <n v="1"/>
    <m/>
    <m/>
    <m/>
    <m/>
    <n v="2"/>
    <n v="1"/>
    <m/>
    <n v="37"/>
    <m/>
    <m/>
    <m/>
    <m/>
    <m/>
    <m/>
    <n v="3"/>
    <x v="2"/>
    <x v="2"/>
    <m/>
    <m/>
    <n v="2"/>
    <m/>
    <m/>
    <m/>
    <n v="7"/>
    <m/>
    <m/>
    <m/>
    <m/>
    <m/>
    <n v="1"/>
    <n v="33"/>
    <m/>
    <m/>
    <m/>
    <m/>
    <m/>
    <m/>
    <m/>
    <m/>
    <m/>
    <m/>
    <m/>
    <m/>
    <s v="no test"/>
    <s v="no test"/>
    <s v="No Test"/>
    <n v="0"/>
    <n v="0"/>
    <n v="1"/>
    <n v="0"/>
    <n v="0"/>
    <n v="500"/>
    <n v="0.34013605442176875"/>
    <n v="0.34013605442176875"/>
    <n v="0.34013605442176875"/>
    <n v="66.666666666666671"/>
    <n v="0"/>
    <n v="0"/>
    <n v="0.34013605442176875"/>
    <n v="66.666666666666671"/>
    <n v="0.13333333333333333"/>
    <n v="0.65986394557823125"/>
    <n v="129.33333333333331"/>
    <n v="0.8666666666666667"/>
    <n v="1"/>
    <n v="37"/>
    <n v="1"/>
    <n v="196"/>
    <n v="0"/>
    <n v="0"/>
    <n v="0"/>
    <n v="0"/>
    <n v="10"/>
    <n v="0"/>
    <n v="0"/>
    <n v="0"/>
    <n v="196"/>
    <n v="196"/>
    <n v="0"/>
    <n v="196"/>
    <n v="196"/>
    <n v="1"/>
    <n v="0"/>
    <n v="1"/>
    <n v="1"/>
    <n v="0"/>
    <n v="7"/>
    <n v="33"/>
    <n v="0"/>
    <n v="196"/>
    <s v="No"/>
    <s v=""/>
    <n v="0"/>
    <n v="500"/>
    <s v="Yes"/>
    <s v="KMSS-LSO"/>
    <x v="0"/>
    <x v="1"/>
    <x v="1"/>
    <n v="0"/>
    <n v="0"/>
    <s v="MMR015CMP249"/>
    <x v="0"/>
    <s v="cccm_2019OCT"/>
  </r>
  <r>
    <x v="2"/>
    <x v="2"/>
    <x v="2"/>
    <s v="UNICEF, MHF"/>
    <x v="1"/>
    <x v="15"/>
    <x v="1"/>
    <x v="116"/>
    <n v="6"/>
    <n v="27"/>
    <s v="2-01-2019, 2-1-2020"/>
    <s v="4-30-2021, 1-31-2021"/>
    <m/>
    <m/>
    <m/>
    <m/>
    <m/>
    <m/>
    <m/>
    <m/>
    <m/>
    <m/>
    <n v="1"/>
    <m/>
    <m/>
    <m/>
    <m/>
    <m/>
    <m/>
    <m/>
    <m/>
    <m/>
    <m/>
    <m/>
    <m/>
    <m/>
    <m/>
    <m/>
    <m/>
    <m/>
    <m/>
    <n v="6"/>
    <m/>
    <m/>
    <m/>
    <m/>
    <m/>
    <m/>
    <m/>
    <x v="2"/>
    <x v="2"/>
    <m/>
    <m/>
    <m/>
    <m/>
    <m/>
    <m/>
    <m/>
    <m/>
    <m/>
    <m/>
    <m/>
    <m/>
    <m/>
    <n v="6"/>
    <m/>
    <s v="No"/>
    <m/>
    <m/>
    <m/>
    <m/>
    <m/>
    <m/>
    <m/>
    <m/>
    <m/>
    <m/>
    <s v="no test"/>
    <s v="no test"/>
    <s v="No Test"/>
    <n v="0"/>
    <n v="1"/>
    <n v="0"/>
    <n v="0"/>
    <n v="0"/>
    <n v="0"/>
    <n v="1"/>
    <n v="1"/>
    <n v="1"/>
    <n v="27"/>
    <n v="0"/>
    <n v="0"/>
    <n v="1"/>
    <n v="27"/>
    <n v="5.3999999999999999E-2"/>
    <n v="0"/>
    <n v="0"/>
    <n v="0.94599999999999995"/>
    <n v="1"/>
    <n v="6"/>
    <n v="1"/>
    <n v="27"/>
    <n v="0"/>
    <n v="0"/>
    <n v="0"/>
    <n v="0"/>
    <n v="1"/>
    <n v="0"/>
    <n v="0"/>
    <n v="0"/>
    <n v="0"/>
    <n v="27"/>
    <n v="0"/>
    <n v="27"/>
    <n v="27"/>
    <n v="1"/>
    <n v="0"/>
    <n v="0"/>
    <n v="1"/>
    <n v="0"/>
    <n v="0"/>
    <n v="0"/>
    <n v="0"/>
    <n v="0"/>
    <s v="No"/>
    <s v=""/>
    <n v="0"/>
    <n v="0"/>
    <n v="0"/>
    <s v="uncovered"/>
    <x v="0"/>
    <x v="0"/>
    <x v="1"/>
    <n v="22.765999999999998"/>
    <n v="97.358999999999995"/>
    <s v="MMR015CMP221"/>
    <x v="0"/>
    <e v="#N/A"/>
  </r>
  <r>
    <x v="2"/>
    <x v="9"/>
    <x v="9"/>
    <s v="(WHH-AA, USAID, MHF),UNICEF"/>
    <x v="0"/>
    <x v="1"/>
    <x v="1"/>
    <x v="117"/>
    <n v="51"/>
    <n v="298"/>
    <s v="(10-1-2018, 9-30-2019, 6-1-2020), 4-1-2019 "/>
    <s v="(9-30-2020, 8-31-2020, 11-30-2020), 4-30-2020"/>
    <m/>
    <m/>
    <n v="7"/>
    <m/>
    <s v="Yes"/>
    <n v="2"/>
    <n v="4"/>
    <m/>
    <m/>
    <m/>
    <m/>
    <n v="2"/>
    <m/>
    <m/>
    <m/>
    <m/>
    <m/>
    <m/>
    <m/>
    <m/>
    <m/>
    <m/>
    <m/>
    <m/>
    <m/>
    <m/>
    <n v="5"/>
    <m/>
    <s v="Water safety plan need to install"/>
    <n v="13"/>
    <m/>
    <m/>
    <m/>
    <m/>
    <m/>
    <m/>
    <m/>
    <x v="1"/>
    <x v="1"/>
    <m/>
    <m/>
    <n v="4"/>
    <m/>
    <m/>
    <m/>
    <n v="6"/>
    <m/>
    <m/>
    <n v="4"/>
    <m/>
    <m/>
    <n v="1"/>
    <n v="51"/>
    <m/>
    <s v="No"/>
    <m/>
    <m/>
    <s v="Hygiene refill item distribution couldn't be done by voucher system because of the Covid-19 prevention situations"/>
    <m/>
    <m/>
    <m/>
    <m/>
    <m/>
    <m/>
    <m/>
    <s v="no test"/>
    <s v="no test"/>
    <s v="No Test"/>
    <n v="0"/>
    <n v="2"/>
    <n v="0"/>
    <n v="0"/>
    <n v="0"/>
    <n v="0"/>
    <n v="1"/>
    <n v="1"/>
    <n v="1"/>
    <n v="298"/>
    <n v="0"/>
    <n v="0"/>
    <n v="1"/>
    <n v="298"/>
    <n v="0.59599999999999997"/>
    <n v="0"/>
    <n v="0"/>
    <n v="0.40400000000000003"/>
    <n v="1"/>
    <n v="13"/>
    <n v="0.87248322147651003"/>
    <n v="260"/>
    <n v="0"/>
    <n v="0"/>
    <n v="0"/>
    <n v="0"/>
    <n v="15"/>
    <n v="2"/>
    <n v="0.12751677852348997"/>
    <n v="0"/>
    <n v="298"/>
    <n v="298"/>
    <n v="0"/>
    <n v="298"/>
    <n v="298"/>
    <n v="1"/>
    <n v="0"/>
    <n v="1"/>
    <n v="1"/>
    <n v="0"/>
    <n v="6"/>
    <n v="51"/>
    <n v="0"/>
    <n v="298"/>
    <s v="No"/>
    <s v=""/>
    <n v="0"/>
    <n v="0"/>
    <s v="Yes"/>
    <s v="KBC-BMO"/>
    <x v="0"/>
    <x v="1"/>
    <x v="1"/>
    <n v="24.200361000000001"/>
    <n v="96.807353000000006"/>
    <s v="MMR001CMP067"/>
    <x v="0"/>
    <s v="cccm_2019OCT"/>
  </r>
  <r>
    <x v="2"/>
    <x v="2"/>
    <x v="2"/>
    <s v="WHH-AA, USAID, MHF"/>
    <x v="0"/>
    <x v="1"/>
    <x v="1"/>
    <x v="118"/>
    <n v="38"/>
    <n v="189"/>
    <s v="10-1-2018, 9-30-2019, 6-1-2020"/>
    <s v="9-30-2020, 8-31-2020, 11-30-2020"/>
    <m/>
    <m/>
    <m/>
    <m/>
    <s v="Yes"/>
    <n v="1"/>
    <n v="1"/>
    <m/>
    <m/>
    <m/>
    <m/>
    <n v="1"/>
    <m/>
    <m/>
    <m/>
    <m/>
    <m/>
    <m/>
    <m/>
    <m/>
    <m/>
    <m/>
    <m/>
    <m/>
    <m/>
    <m/>
    <m/>
    <m/>
    <m/>
    <n v="9"/>
    <m/>
    <m/>
    <m/>
    <m/>
    <m/>
    <m/>
    <m/>
    <x v="1"/>
    <x v="1"/>
    <m/>
    <m/>
    <m/>
    <m/>
    <m/>
    <m/>
    <n v="4"/>
    <m/>
    <m/>
    <n v="2"/>
    <m/>
    <m/>
    <n v="1"/>
    <n v="38"/>
    <m/>
    <m/>
    <m/>
    <m/>
    <s v="Hygiene refill item distribution couldn't be done by voucher system because of the Covid-19 prevention situations"/>
    <m/>
    <m/>
    <m/>
    <m/>
    <m/>
    <m/>
    <m/>
    <s v="no test"/>
    <s v="no test"/>
    <s v="No Test"/>
    <n v="0"/>
    <n v="1"/>
    <n v="0"/>
    <n v="0"/>
    <n v="0"/>
    <n v="0"/>
    <n v="1"/>
    <n v="1"/>
    <n v="1"/>
    <n v="189"/>
    <n v="0"/>
    <n v="0"/>
    <n v="1"/>
    <n v="189"/>
    <n v="0.378"/>
    <n v="0"/>
    <n v="0"/>
    <n v="0.622"/>
    <n v="1"/>
    <n v="9"/>
    <n v="0.95238095238095233"/>
    <n v="180"/>
    <n v="0"/>
    <n v="0"/>
    <n v="0"/>
    <n v="0"/>
    <n v="9"/>
    <n v="0"/>
    <n v="4.7619047619047672E-2"/>
    <n v="0"/>
    <n v="189"/>
    <n v="189"/>
    <n v="0"/>
    <n v="189"/>
    <n v="189"/>
    <n v="1"/>
    <n v="0"/>
    <n v="1"/>
    <n v="1"/>
    <n v="0"/>
    <n v="4"/>
    <n v="38"/>
    <n v="0"/>
    <n v="189"/>
    <s v="No"/>
    <s v=""/>
    <n v="0"/>
    <n v="0"/>
    <s v="Yes"/>
    <s v="KMSS-BMO"/>
    <x v="0"/>
    <x v="1"/>
    <x v="1"/>
    <n v="24.200367"/>
    <n v="96.807353000000006"/>
    <s v="MMR001CMP068"/>
    <x v="0"/>
    <s v="cccm_2019OCT"/>
  </r>
  <r>
    <x v="2"/>
    <x v="2"/>
    <x v="2"/>
    <s v="UNICEF, MHF"/>
    <x v="1"/>
    <x v="19"/>
    <x v="1"/>
    <x v="119"/>
    <n v="38"/>
    <n v="183"/>
    <s v="2-01-2019, 1-02-2020"/>
    <s v="4-30-2021, 01-31-2021"/>
    <m/>
    <m/>
    <m/>
    <m/>
    <m/>
    <n v="4"/>
    <n v="4"/>
    <n v="1"/>
    <m/>
    <m/>
    <n v="1"/>
    <m/>
    <m/>
    <m/>
    <n v="1"/>
    <m/>
    <m/>
    <m/>
    <m/>
    <m/>
    <n v="1"/>
    <n v="1"/>
    <m/>
    <m/>
    <m/>
    <m/>
    <n v="1"/>
    <m/>
    <m/>
    <n v="38"/>
    <n v="9"/>
    <m/>
    <m/>
    <m/>
    <m/>
    <m/>
    <m/>
    <x v="2"/>
    <x v="4"/>
    <m/>
    <m/>
    <m/>
    <m/>
    <m/>
    <m/>
    <m/>
    <m/>
    <m/>
    <m/>
    <m/>
    <m/>
    <n v="1"/>
    <n v="38"/>
    <m/>
    <m/>
    <m/>
    <m/>
    <m/>
    <m/>
    <m/>
    <m/>
    <m/>
    <m/>
    <m/>
    <m/>
    <s v="no test"/>
    <s v="no test"/>
    <s v="No Test"/>
    <n v="1"/>
    <n v="1"/>
    <n v="1"/>
    <n v="0"/>
    <n v="0"/>
    <n v="0"/>
    <n v="1"/>
    <n v="1"/>
    <n v="1"/>
    <n v="183"/>
    <n v="0"/>
    <n v="0"/>
    <n v="1"/>
    <n v="183"/>
    <n v="0.36599999999999999"/>
    <n v="0"/>
    <n v="0"/>
    <n v="0.63400000000000001"/>
    <n v="1"/>
    <n v="47"/>
    <n v="1"/>
    <n v="183"/>
    <n v="0"/>
    <n v="0"/>
    <n v="0"/>
    <n v="0"/>
    <n v="9"/>
    <n v="0"/>
    <n v="0"/>
    <n v="0"/>
    <n v="183"/>
    <n v="183"/>
    <n v="0"/>
    <n v="183"/>
    <n v="183"/>
    <n v="1"/>
    <n v="0"/>
    <n v="1"/>
    <n v="1"/>
    <n v="0"/>
    <n v="0"/>
    <n v="0"/>
    <n v="0"/>
    <n v="0"/>
    <s v="No"/>
    <s v=""/>
    <n v="0"/>
    <n v="0"/>
    <n v="0"/>
    <n v="0"/>
    <x v="0"/>
    <x v="5"/>
    <x v="1"/>
    <n v="23.353999999999999"/>
    <n v="98.221000000000004"/>
    <s v="MMR015CMP226"/>
    <x v="0"/>
    <s v="closed_cccm2018Mar"/>
  </r>
  <r>
    <x v="2"/>
    <x v="1"/>
    <x v="1"/>
    <s v="HARP,UNICEF"/>
    <x v="0"/>
    <x v="2"/>
    <x v="1"/>
    <x v="65"/>
    <n v="100"/>
    <n v="612"/>
    <s v="3-1-2019, 12-11-2019"/>
    <s v="12-31-2020, 12-10-2020"/>
    <m/>
    <m/>
    <m/>
    <m/>
    <s v="Yes"/>
    <m/>
    <m/>
    <n v="2"/>
    <m/>
    <m/>
    <m/>
    <m/>
    <m/>
    <m/>
    <n v="1"/>
    <m/>
    <m/>
    <m/>
    <m/>
    <m/>
    <m/>
    <m/>
    <m/>
    <m/>
    <m/>
    <m/>
    <n v="4"/>
    <m/>
    <m/>
    <n v="98"/>
    <m/>
    <m/>
    <m/>
    <m/>
    <m/>
    <m/>
    <m/>
    <x v="1"/>
    <x v="1"/>
    <n v="3"/>
    <m/>
    <m/>
    <m/>
    <m/>
    <m/>
    <m/>
    <m/>
    <m/>
    <n v="4"/>
    <m/>
    <n v="1"/>
    <n v="1"/>
    <m/>
    <m/>
    <s v="No"/>
    <m/>
    <n v="0.6"/>
    <m/>
    <m/>
    <m/>
    <m/>
    <m/>
    <m/>
    <m/>
    <m/>
    <s v="no test"/>
    <s v="no test"/>
    <s v="No Test"/>
    <n v="2"/>
    <n v="0"/>
    <n v="1"/>
    <n v="0"/>
    <n v="0"/>
    <n v="0"/>
    <n v="1"/>
    <n v="0.92592592592592582"/>
    <n v="1"/>
    <n v="612"/>
    <n v="0"/>
    <n v="0"/>
    <n v="1"/>
    <n v="612"/>
    <n v="1.224"/>
    <n v="0"/>
    <n v="0"/>
    <n v="0"/>
    <n v="1"/>
    <n v="98"/>
    <n v="1"/>
    <n v="612"/>
    <n v="0"/>
    <n v="0"/>
    <n v="0"/>
    <n v="0"/>
    <n v="31"/>
    <n v="0"/>
    <n v="0"/>
    <n v="0"/>
    <n v="612"/>
    <n v="0"/>
    <n v="0"/>
    <n v="0"/>
    <n v="612"/>
    <n v="1"/>
    <n v="0"/>
    <n v="1"/>
    <n v="0"/>
    <n v="0"/>
    <n v="0"/>
    <n v="0"/>
    <n v="0"/>
    <n v="0"/>
    <s v="No"/>
    <s v=""/>
    <n v="0"/>
    <n v="0"/>
    <s v="Yes"/>
    <s v="KMSS-MYT"/>
    <x v="0"/>
    <x v="1"/>
    <x v="0"/>
    <n v="25.265277999999999"/>
    <n v="97.990555999999998"/>
    <s v="MMR001CMP160"/>
    <x v="0"/>
    <s v="cccm_2019OCT"/>
  </r>
  <r>
    <x v="2"/>
    <x v="5"/>
    <x v="5"/>
    <s v="DFID"/>
    <x v="0"/>
    <x v="2"/>
    <x v="1"/>
    <x v="172"/>
    <n v="115"/>
    <n v="493"/>
    <d v="2018-08-01T00:00:00"/>
    <d v="2020-12-31T00:00:00"/>
    <m/>
    <n v="1"/>
    <m/>
    <m/>
    <s v="Yes"/>
    <n v="3"/>
    <n v="4"/>
    <n v="1"/>
    <m/>
    <m/>
    <n v="2"/>
    <n v="3"/>
    <m/>
    <m/>
    <n v="0"/>
    <m/>
    <m/>
    <n v="0"/>
    <n v="0"/>
    <n v="0"/>
    <n v="0"/>
    <n v="0"/>
    <m/>
    <m/>
    <m/>
    <m/>
    <n v="0"/>
    <n v="0"/>
    <m/>
    <n v="30"/>
    <n v="10"/>
    <s v="ICRC &amp; DVB"/>
    <m/>
    <m/>
    <m/>
    <m/>
    <n v="0"/>
    <x v="1"/>
    <x v="1"/>
    <n v="0"/>
    <n v="0"/>
    <n v="0"/>
    <m/>
    <m/>
    <m/>
    <n v="8"/>
    <m/>
    <n v="0"/>
    <n v="5"/>
    <m/>
    <n v="0"/>
    <n v="0"/>
    <m/>
    <m/>
    <s v="Yes"/>
    <m/>
    <m/>
    <m/>
    <m/>
    <m/>
    <m/>
    <m/>
    <m/>
    <m/>
    <m/>
    <s v="no test"/>
    <s v="no test"/>
    <s v="No Test"/>
    <n v="1"/>
    <n v="5"/>
    <n v="0"/>
    <n v="0"/>
    <n v="0"/>
    <n v="0"/>
    <n v="1"/>
    <n v="1"/>
    <n v="1"/>
    <n v="493"/>
    <n v="0"/>
    <n v="0"/>
    <n v="1"/>
    <n v="493"/>
    <n v="0.98599999999999999"/>
    <n v="0"/>
    <n v="0"/>
    <n v="1.4000000000000012E-2"/>
    <n v="1"/>
    <n v="40"/>
    <n v="1"/>
    <n v="493"/>
    <n v="0"/>
    <n v="0"/>
    <n v="0"/>
    <n v="0"/>
    <n v="25"/>
    <n v="0"/>
    <n v="0"/>
    <n v="0"/>
    <n v="0"/>
    <n v="0"/>
    <n v="0"/>
    <n v="0"/>
    <n v="0"/>
    <n v="0"/>
    <n v="1"/>
    <n v="0"/>
    <n v="0"/>
    <n v="0"/>
    <n v="8"/>
    <n v="115"/>
    <n v="0"/>
    <n v="493"/>
    <s v="No"/>
    <s v=""/>
    <n v="0"/>
    <n v="0"/>
    <s v="Yes"/>
    <s v="Shalom"/>
    <x v="0"/>
    <x v="1"/>
    <x v="1"/>
    <n v="25.3540362037037"/>
    <n v="97.441166388888902"/>
    <s v="MMR001CMP032"/>
    <x v="0"/>
    <s v="cccm_2019OCT"/>
  </r>
  <r>
    <x v="2"/>
    <x v="0"/>
    <x v="0"/>
    <s v="PLAN(GFFO),MHF13490"/>
    <x v="0"/>
    <x v="2"/>
    <x v="1"/>
    <x v="31"/>
    <n v="60"/>
    <n v="307"/>
    <s v="5-1-2019,10-1-2019"/>
    <s v="9-30-2020,7-31-2020"/>
    <m/>
    <m/>
    <m/>
    <m/>
    <s v="Yes"/>
    <m/>
    <n v="3"/>
    <n v="2"/>
    <m/>
    <m/>
    <n v="0"/>
    <m/>
    <m/>
    <m/>
    <m/>
    <m/>
    <m/>
    <m/>
    <m/>
    <m/>
    <m/>
    <n v="1"/>
    <m/>
    <m/>
    <m/>
    <m/>
    <m/>
    <m/>
    <m/>
    <n v="14"/>
    <m/>
    <m/>
    <m/>
    <m/>
    <m/>
    <m/>
    <n v="10"/>
    <x v="1"/>
    <x v="1"/>
    <m/>
    <m/>
    <m/>
    <m/>
    <m/>
    <m/>
    <n v="4"/>
    <m/>
    <m/>
    <n v="2"/>
    <m/>
    <m/>
    <n v="1"/>
    <m/>
    <m/>
    <m/>
    <m/>
    <m/>
    <m/>
    <m/>
    <m/>
    <m/>
    <m/>
    <m/>
    <m/>
    <m/>
    <s v="no test"/>
    <s v="no test"/>
    <s v="No Test"/>
    <n v="2"/>
    <n v="0"/>
    <n v="0"/>
    <n v="0"/>
    <n v="0"/>
    <n v="0"/>
    <n v="1"/>
    <n v="1"/>
    <n v="1"/>
    <n v="307"/>
    <n v="0"/>
    <n v="0"/>
    <n v="1"/>
    <n v="307"/>
    <n v="0.61399999999999999"/>
    <n v="0"/>
    <n v="0"/>
    <n v="0.38600000000000001"/>
    <n v="1"/>
    <n v="14"/>
    <n v="0.91205211726384361"/>
    <n v="280"/>
    <n v="0"/>
    <n v="0"/>
    <n v="0"/>
    <n v="0"/>
    <n v="15"/>
    <n v="1"/>
    <n v="8.7947882736156391E-2"/>
    <n v="0"/>
    <n v="307"/>
    <n v="0"/>
    <n v="0"/>
    <n v="0"/>
    <n v="307"/>
    <n v="1"/>
    <n v="0"/>
    <n v="1"/>
    <n v="0"/>
    <n v="0"/>
    <n v="4"/>
    <n v="60"/>
    <n v="0"/>
    <n v="307"/>
    <s v="No"/>
    <s v=""/>
    <n v="0"/>
    <n v="0"/>
    <s v="Yes"/>
    <s v="KBC-MYT"/>
    <x v="0"/>
    <x v="1"/>
    <x v="1"/>
    <n v="25.351724999999998"/>
    <n v="97.438432380952406"/>
    <s v="MMR001CMP025"/>
    <x v="0"/>
    <s v="cccm_2019OCT"/>
  </r>
  <r>
    <x v="2"/>
    <x v="2"/>
    <x v="2"/>
    <s v="UNICEF, MHF, WHH(AA)"/>
    <x v="1"/>
    <x v="13"/>
    <x v="1"/>
    <x v="124"/>
    <n v="205"/>
    <n v="1077"/>
    <s v="2-01-2019, 01-1-2020"/>
    <s v="4-30-2021, 01-31-2021"/>
    <m/>
    <n v="2"/>
    <m/>
    <m/>
    <s v="Yes"/>
    <n v="5"/>
    <n v="4"/>
    <n v="2"/>
    <m/>
    <m/>
    <n v="1"/>
    <m/>
    <m/>
    <m/>
    <m/>
    <m/>
    <m/>
    <m/>
    <m/>
    <m/>
    <n v="3"/>
    <n v="1"/>
    <m/>
    <m/>
    <m/>
    <m/>
    <m/>
    <n v="2"/>
    <m/>
    <n v="200"/>
    <n v="5"/>
    <m/>
    <m/>
    <n v="37"/>
    <m/>
    <m/>
    <n v="18"/>
    <x v="2"/>
    <x v="4"/>
    <m/>
    <m/>
    <n v="2"/>
    <m/>
    <m/>
    <m/>
    <n v="2"/>
    <m/>
    <m/>
    <n v="5"/>
    <m/>
    <m/>
    <n v="1"/>
    <n v="205"/>
    <m/>
    <m/>
    <m/>
    <m/>
    <m/>
    <m/>
    <m/>
    <m/>
    <m/>
    <m/>
    <m/>
    <m/>
    <s v="no test"/>
    <s v="no test"/>
    <s v="No Test"/>
    <n v="2"/>
    <n v="1"/>
    <n v="0"/>
    <n v="0"/>
    <n v="0"/>
    <n v="1000"/>
    <n v="1"/>
    <n v="0.69637883008356549"/>
    <n v="1"/>
    <n v="1077"/>
    <n v="0"/>
    <n v="0"/>
    <n v="1"/>
    <n v="1077"/>
    <n v="2.1539999999999999"/>
    <n v="0"/>
    <n v="0"/>
    <n v="0"/>
    <n v="2"/>
    <n v="205"/>
    <n v="0.95171773444753949"/>
    <n v="1025"/>
    <n v="0"/>
    <n v="0"/>
    <n v="0"/>
    <n v="0"/>
    <n v="180"/>
    <n v="0"/>
    <n v="4.8282265552460513E-2"/>
    <n v="0"/>
    <n v="500"/>
    <n v="1077"/>
    <n v="0"/>
    <n v="1077"/>
    <n v="1077"/>
    <n v="1"/>
    <n v="0"/>
    <n v="0.46425255338904364"/>
    <n v="1"/>
    <n v="0"/>
    <n v="2"/>
    <n v="40"/>
    <n v="0"/>
    <n v="200"/>
    <s v="No"/>
    <s v=""/>
    <n v="0"/>
    <n v="1000"/>
    <s v="Yes"/>
    <s v="KBC-NSS"/>
    <x v="1"/>
    <x v="1"/>
    <x v="1"/>
    <n v="23.38503"/>
    <n v="97.837040000000002"/>
    <s v="MMR015CMP020"/>
    <x v="0"/>
    <s v="cccm_2019OCT"/>
  </r>
  <r>
    <x v="2"/>
    <x v="3"/>
    <x v="3"/>
    <s v="(UNICEF, MHF),HARP"/>
    <x v="1"/>
    <x v="16"/>
    <x v="1"/>
    <x v="125"/>
    <n v="30"/>
    <n v="156"/>
    <s v="2-01-2019, 2-1-2020"/>
    <s v="4-30-2021, 1-31-2021"/>
    <m/>
    <n v="2"/>
    <m/>
    <m/>
    <s v="Yes"/>
    <n v="2"/>
    <n v="8"/>
    <n v="1"/>
    <m/>
    <m/>
    <n v="2"/>
    <m/>
    <m/>
    <m/>
    <m/>
    <m/>
    <m/>
    <m/>
    <n v="2"/>
    <m/>
    <n v="1"/>
    <n v="1"/>
    <m/>
    <m/>
    <m/>
    <m/>
    <n v="4"/>
    <m/>
    <m/>
    <n v="8"/>
    <m/>
    <m/>
    <m/>
    <m/>
    <m/>
    <m/>
    <n v="8"/>
    <x v="1"/>
    <x v="1"/>
    <m/>
    <m/>
    <n v="0"/>
    <m/>
    <m/>
    <m/>
    <n v="4"/>
    <m/>
    <n v="0"/>
    <n v="2"/>
    <m/>
    <m/>
    <n v="2"/>
    <n v="29"/>
    <m/>
    <s v="Yes"/>
    <m/>
    <m/>
    <m/>
    <m/>
    <m/>
    <m/>
    <m/>
    <m/>
    <m/>
    <m/>
    <s v="no test"/>
    <s v="no test"/>
    <s v="No Test"/>
    <n v="1"/>
    <n v="2"/>
    <n v="0"/>
    <n v="0"/>
    <n v="0"/>
    <n v="0"/>
    <n v="1"/>
    <n v="1"/>
    <n v="1"/>
    <n v="156"/>
    <n v="1"/>
    <n v="156"/>
    <n v="1"/>
    <n v="156"/>
    <n v="0.312"/>
    <n v="0"/>
    <n v="0"/>
    <n v="0.68799999999999994"/>
    <n v="1"/>
    <n v="8"/>
    <n v="1"/>
    <n v="156"/>
    <n v="0"/>
    <n v="0"/>
    <n v="0"/>
    <n v="0"/>
    <n v="8"/>
    <n v="0"/>
    <n v="0"/>
    <n v="0"/>
    <n v="156"/>
    <n v="145"/>
    <n v="0"/>
    <n v="145"/>
    <n v="156"/>
    <n v="1"/>
    <n v="0"/>
    <n v="1"/>
    <n v="1"/>
    <n v="0"/>
    <n v="4"/>
    <n v="30"/>
    <n v="4"/>
    <n v="156"/>
    <s v="No"/>
    <s v=""/>
    <n v="0"/>
    <n v="0"/>
    <s v="Yes"/>
    <s v="KMSS-LSO"/>
    <x v="0"/>
    <x v="1"/>
    <x v="1"/>
    <n v="23.24661"/>
    <n v="97.116680000000002"/>
    <s v="MMR015CMP209"/>
    <x v="0"/>
    <s v="cccm_2019OCT"/>
  </r>
  <r>
    <x v="2"/>
    <x v="3"/>
    <x v="3"/>
    <s v="(UNICEF, MHF),HARP"/>
    <x v="1"/>
    <x v="18"/>
    <x v="1"/>
    <x v="126"/>
    <n v="85"/>
    <n v="401"/>
    <s v="2-01-2019, 2-01-2020"/>
    <s v="4-30-2021, 1-31-2021"/>
    <m/>
    <n v="2"/>
    <m/>
    <m/>
    <s v="Yes"/>
    <n v="7"/>
    <n v="9"/>
    <n v="0"/>
    <m/>
    <m/>
    <n v="1"/>
    <m/>
    <m/>
    <m/>
    <m/>
    <m/>
    <m/>
    <m/>
    <m/>
    <m/>
    <n v="1"/>
    <n v="2"/>
    <m/>
    <m/>
    <m/>
    <m/>
    <n v="8"/>
    <m/>
    <m/>
    <n v="14"/>
    <n v="6"/>
    <m/>
    <m/>
    <m/>
    <m/>
    <m/>
    <n v="14"/>
    <x v="1"/>
    <x v="1"/>
    <m/>
    <m/>
    <m/>
    <m/>
    <m/>
    <m/>
    <n v="8"/>
    <m/>
    <n v="0"/>
    <n v="2"/>
    <m/>
    <n v="1"/>
    <n v="1"/>
    <m/>
    <m/>
    <s v="Yes"/>
    <m/>
    <m/>
    <m/>
    <m/>
    <m/>
    <m/>
    <m/>
    <m/>
    <m/>
    <m/>
    <s v="no test"/>
    <s v="no test"/>
    <s v="No Test"/>
    <n v="0"/>
    <n v="1"/>
    <n v="0"/>
    <n v="0"/>
    <n v="0"/>
    <n v="0"/>
    <n v="1"/>
    <n v="0.62344139650872821"/>
    <n v="1"/>
    <n v="401"/>
    <n v="0"/>
    <n v="0"/>
    <n v="1"/>
    <n v="401"/>
    <n v="0.80200000000000005"/>
    <n v="0"/>
    <n v="0"/>
    <n v="0.19799999999999995"/>
    <n v="1"/>
    <n v="20"/>
    <n v="0.99750623441396513"/>
    <n v="400"/>
    <n v="0"/>
    <n v="0"/>
    <n v="0"/>
    <n v="0"/>
    <n v="20"/>
    <n v="0"/>
    <n v="2.4937655860348684E-3"/>
    <n v="0"/>
    <n v="401"/>
    <n v="0"/>
    <n v="0"/>
    <n v="0"/>
    <n v="401"/>
    <n v="1"/>
    <n v="0"/>
    <n v="1"/>
    <n v="0"/>
    <n v="0"/>
    <n v="8"/>
    <n v="85"/>
    <n v="8"/>
    <n v="401"/>
    <s v="No"/>
    <s v=""/>
    <n v="0"/>
    <n v="0"/>
    <s v="Yes"/>
    <s v="KBC-NSS"/>
    <x v="0"/>
    <x v="1"/>
    <x v="1"/>
    <n v="23.821380000000001"/>
    <n v="97.681970000000007"/>
    <s v="MMR015CMP004"/>
    <x v="0"/>
    <s v="cccm_2019OCT"/>
  </r>
  <r>
    <x v="2"/>
    <x v="3"/>
    <x v="3"/>
    <s v="(UNICEF, MHF),HARP"/>
    <x v="1"/>
    <x v="18"/>
    <x v="1"/>
    <x v="127"/>
    <n v="43"/>
    <n v="212"/>
    <s v="2-01-2019, 2-01-2020"/>
    <s v="4-30-2021, 1-31-2021"/>
    <m/>
    <n v="2"/>
    <m/>
    <m/>
    <s v="Yes"/>
    <n v="3"/>
    <n v="9"/>
    <n v="1"/>
    <m/>
    <m/>
    <n v="2"/>
    <m/>
    <m/>
    <m/>
    <m/>
    <m/>
    <m/>
    <m/>
    <n v="1"/>
    <m/>
    <n v="1"/>
    <n v="2"/>
    <m/>
    <m/>
    <m/>
    <m/>
    <n v="3"/>
    <m/>
    <m/>
    <n v="14"/>
    <m/>
    <m/>
    <m/>
    <m/>
    <m/>
    <m/>
    <n v="14"/>
    <x v="1"/>
    <x v="1"/>
    <m/>
    <m/>
    <m/>
    <m/>
    <m/>
    <m/>
    <n v="3"/>
    <m/>
    <n v="0"/>
    <n v="2"/>
    <m/>
    <n v="1"/>
    <n v="1"/>
    <m/>
    <m/>
    <s v="Yes"/>
    <m/>
    <m/>
    <m/>
    <m/>
    <m/>
    <m/>
    <m/>
    <m/>
    <m/>
    <m/>
    <s v="no test"/>
    <s v="no test"/>
    <s v="No Test"/>
    <n v="1"/>
    <n v="2"/>
    <n v="0"/>
    <n v="0"/>
    <n v="0"/>
    <n v="0"/>
    <n v="1"/>
    <n v="1"/>
    <n v="1"/>
    <n v="212"/>
    <n v="1"/>
    <n v="212"/>
    <n v="1"/>
    <n v="212"/>
    <n v="0.42399999999999999"/>
    <n v="0"/>
    <n v="0"/>
    <n v="0.57600000000000007"/>
    <n v="1"/>
    <n v="14"/>
    <n v="1"/>
    <n v="212"/>
    <n v="0"/>
    <n v="0"/>
    <n v="0"/>
    <n v="0"/>
    <n v="11"/>
    <n v="0"/>
    <n v="0"/>
    <n v="0"/>
    <n v="212"/>
    <n v="0"/>
    <n v="0"/>
    <n v="0"/>
    <n v="212"/>
    <n v="1"/>
    <n v="0"/>
    <n v="1"/>
    <n v="0"/>
    <n v="0"/>
    <n v="3"/>
    <n v="43"/>
    <n v="3"/>
    <n v="212"/>
    <s v="No"/>
    <s v=""/>
    <n v="0"/>
    <n v="0"/>
    <s v="Yes"/>
    <s v="KMSS-LSO"/>
    <x v="0"/>
    <x v="1"/>
    <x v="1"/>
    <n v="23.828150000000001"/>
    <n v="97.670360000000002"/>
    <s v="MMR015CMP003"/>
    <x v="0"/>
    <e v="#N/A"/>
  </r>
  <r>
    <x v="2"/>
    <x v="4"/>
    <x v="4"/>
    <m/>
    <x v="0"/>
    <x v="10"/>
    <x v="1"/>
    <x v="128"/>
    <n v="190"/>
    <n v="928"/>
    <m/>
    <m/>
    <m/>
    <m/>
    <m/>
    <m/>
    <m/>
    <m/>
    <n v="4"/>
    <m/>
    <m/>
    <m/>
    <m/>
    <m/>
    <m/>
    <m/>
    <m/>
    <m/>
    <m/>
    <m/>
    <m/>
    <m/>
    <m/>
    <m/>
    <m/>
    <m/>
    <m/>
    <m/>
    <m/>
    <m/>
    <m/>
    <m/>
    <m/>
    <m/>
    <m/>
    <m/>
    <m/>
    <m/>
    <m/>
    <x v="0"/>
    <x v="0"/>
    <m/>
    <m/>
    <m/>
    <m/>
    <m/>
    <m/>
    <m/>
    <m/>
    <m/>
    <m/>
    <m/>
    <m/>
    <m/>
    <m/>
    <m/>
    <m/>
    <m/>
    <m/>
    <m/>
    <m/>
    <m/>
    <m/>
    <m/>
    <m/>
    <m/>
    <m/>
    <s v="no test"/>
    <s v="no test"/>
    <s v="No Test"/>
    <n v="0"/>
    <n v="0"/>
    <n v="0"/>
    <n v="0"/>
    <n v="0"/>
    <n v="0"/>
    <n v="0"/>
    <n v="0"/>
    <n v="0"/>
    <n v="0"/>
    <n v="0"/>
    <n v="0"/>
    <n v="0"/>
    <n v="0"/>
    <n v="0"/>
    <n v="1"/>
    <n v="928"/>
    <n v="2"/>
    <n v="2"/>
    <n v="0"/>
    <n v="0"/>
    <n v="0"/>
    <n v="0"/>
    <n v="0"/>
    <n v="0"/>
    <n v="0"/>
    <n v="46"/>
    <n v="46"/>
    <n v="1"/>
    <n v="0"/>
    <n v="0"/>
    <n v="0"/>
    <n v="0"/>
    <n v="0"/>
    <n v="0"/>
    <n v="0"/>
    <n v="1"/>
    <n v="0"/>
    <n v="0"/>
    <n v="0"/>
    <n v="0"/>
    <n v="0"/>
    <n v="0"/>
    <n v="0"/>
    <s v="No"/>
    <s v=""/>
    <n v="0"/>
    <n v="0"/>
    <n v="0"/>
    <s v="uncovered"/>
    <x v="0"/>
    <x v="4"/>
    <x v="1"/>
    <n v="24.263786"/>
    <n v="97.228835000000004"/>
    <s v="MMR001CMP163"/>
    <x v="1"/>
    <s v="cccm_2019OCT"/>
  </r>
  <r>
    <x v="2"/>
    <x v="4"/>
    <x v="4"/>
    <m/>
    <x v="0"/>
    <x v="6"/>
    <x v="1"/>
    <x v="129"/>
    <n v="6"/>
    <n v="32"/>
    <m/>
    <m/>
    <m/>
    <m/>
    <m/>
    <m/>
    <m/>
    <m/>
    <m/>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No"/>
    <s v=""/>
    <n v="0"/>
    <n v="0"/>
    <n v="0"/>
    <s v="uncovered"/>
    <x v="0"/>
    <x v="0"/>
    <x v="1"/>
    <n v="0"/>
    <n v="0"/>
    <s v="MMR001CMP262"/>
    <x v="1"/>
    <s v="cccm_2019OCT"/>
  </r>
  <r>
    <x v="2"/>
    <x v="4"/>
    <x v="4"/>
    <m/>
    <x v="0"/>
    <x v="11"/>
    <x v="1"/>
    <x v="130"/>
    <n v="29"/>
    <n v="140"/>
    <m/>
    <m/>
    <m/>
    <m/>
    <m/>
    <m/>
    <m/>
    <m/>
    <n v="4"/>
    <m/>
    <m/>
    <m/>
    <m/>
    <m/>
    <m/>
    <m/>
    <m/>
    <m/>
    <m/>
    <m/>
    <m/>
    <m/>
    <m/>
    <m/>
    <m/>
    <m/>
    <m/>
    <m/>
    <m/>
    <m/>
    <m/>
    <m/>
    <m/>
    <m/>
    <m/>
    <m/>
    <m/>
    <m/>
    <m/>
    <x v="0"/>
    <x v="0"/>
    <m/>
    <m/>
    <m/>
    <m/>
    <m/>
    <m/>
    <m/>
    <m/>
    <m/>
    <m/>
    <m/>
    <m/>
    <m/>
    <m/>
    <m/>
    <m/>
    <m/>
    <m/>
    <m/>
    <m/>
    <m/>
    <m/>
    <m/>
    <m/>
    <m/>
    <m/>
    <s v="no test"/>
    <s v="no test"/>
    <s v="No Test"/>
    <n v="0"/>
    <n v="0"/>
    <n v="0"/>
    <n v="0"/>
    <n v="0"/>
    <n v="0"/>
    <n v="0"/>
    <n v="0"/>
    <n v="0"/>
    <n v="0"/>
    <n v="0"/>
    <n v="0"/>
    <n v="0"/>
    <n v="0"/>
    <n v="0"/>
    <n v="1"/>
    <n v="140"/>
    <n v="1"/>
    <n v="1"/>
    <n v="0"/>
    <n v="0"/>
    <n v="0"/>
    <n v="0"/>
    <n v="0"/>
    <n v="0"/>
    <n v="0"/>
    <n v="7"/>
    <n v="7"/>
    <n v="1"/>
    <n v="0"/>
    <n v="0"/>
    <n v="0"/>
    <n v="0"/>
    <n v="0"/>
    <n v="0"/>
    <n v="0"/>
    <n v="1"/>
    <n v="0"/>
    <n v="0"/>
    <n v="0"/>
    <n v="0"/>
    <n v="0"/>
    <n v="0"/>
    <n v="0"/>
    <s v="No"/>
    <s v=""/>
    <n v="0"/>
    <n v="0"/>
    <n v="0"/>
    <s v="uncovered"/>
    <x v="0"/>
    <x v="0"/>
    <x v="1"/>
    <n v="26.299828999999999"/>
    <n v="97.487258999999995"/>
    <s v="MMR001CMP272"/>
    <x v="1"/>
    <s v="cccm_2019OCT"/>
  </r>
  <r>
    <x v="2"/>
    <x v="5"/>
    <x v="5"/>
    <s v="DFID"/>
    <x v="0"/>
    <x v="2"/>
    <x v="1"/>
    <x v="173"/>
    <n v="36"/>
    <n v="189"/>
    <d v="2018-08-01T00:00:00"/>
    <d v="2020-12-31T00:00:00"/>
    <m/>
    <n v="1"/>
    <m/>
    <m/>
    <s v="Yes"/>
    <n v="2"/>
    <n v="2"/>
    <n v="2"/>
    <m/>
    <m/>
    <n v="1"/>
    <n v="1"/>
    <m/>
    <m/>
    <n v="0"/>
    <m/>
    <m/>
    <n v="0"/>
    <n v="0"/>
    <n v="0"/>
    <n v="0"/>
    <n v="0"/>
    <m/>
    <m/>
    <m/>
    <m/>
    <n v="0"/>
    <n v="0"/>
    <m/>
    <n v="9"/>
    <n v="1"/>
    <m/>
    <m/>
    <m/>
    <m/>
    <m/>
    <n v="0"/>
    <x v="1"/>
    <x v="1"/>
    <n v="0"/>
    <n v="0"/>
    <n v="0"/>
    <m/>
    <m/>
    <m/>
    <n v="6"/>
    <m/>
    <n v="4"/>
    <n v="2"/>
    <m/>
    <n v="0"/>
    <n v="0"/>
    <m/>
    <m/>
    <s v="No"/>
    <m/>
    <m/>
    <m/>
    <m/>
    <m/>
    <m/>
    <m/>
    <m/>
    <m/>
    <m/>
    <s v="no test"/>
    <s v="no test"/>
    <s v="No Test"/>
    <n v="2"/>
    <n v="2"/>
    <n v="0"/>
    <n v="0"/>
    <n v="0"/>
    <n v="0"/>
    <n v="1"/>
    <n v="1"/>
    <n v="1"/>
    <n v="189"/>
    <n v="0"/>
    <n v="0"/>
    <n v="1"/>
    <n v="189"/>
    <n v="0.378"/>
    <n v="0"/>
    <n v="0"/>
    <n v="0.622"/>
    <n v="1"/>
    <n v="10"/>
    <n v="1"/>
    <n v="189"/>
    <n v="0"/>
    <n v="0"/>
    <n v="0"/>
    <n v="0"/>
    <n v="9"/>
    <n v="0"/>
    <n v="0"/>
    <n v="0"/>
    <n v="0"/>
    <n v="0"/>
    <n v="0"/>
    <n v="0"/>
    <n v="0"/>
    <n v="0"/>
    <n v="1"/>
    <n v="0"/>
    <n v="0"/>
    <n v="0"/>
    <n v="6"/>
    <n v="36"/>
    <n v="0"/>
    <n v="189"/>
    <s v="No"/>
    <s v=""/>
    <n v="0"/>
    <n v="0"/>
    <s v="Yes"/>
    <s v="Shalom"/>
    <x v="0"/>
    <x v="1"/>
    <x v="1"/>
    <n v="25.345918166666699"/>
    <n v="97.437472666666693"/>
    <s v="MMR001CMP030"/>
    <x v="0"/>
    <s v="cccm_2019OCT"/>
  </r>
  <r>
    <x v="2"/>
    <x v="4"/>
    <x v="4"/>
    <m/>
    <x v="0"/>
    <x v="5"/>
    <x v="1"/>
    <x v="132"/>
    <n v="27"/>
    <n v="121"/>
    <m/>
    <m/>
    <m/>
    <m/>
    <m/>
    <m/>
    <m/>
    <m/>
    <m/>
    <m/>
    <m/>
    <m/>
    <m/>
    <m/>
    <m/>
    <m/>
    <m/>
    <m/>
    <m/>
    <m/>
    <m/>
    <m/>
    <m/>
    <m/>
    <m/>
    <m/>
    <m/>
    <m/>
    <m/>
    <m/>
    <m/>
    <m/>
    <m/>
    <m/>
    <m/>
    <m/>
    <m/>
    <m/>
    <m/>
    <x v="0"/>
    <x v="0"/>
    <m/>
    <m/>
    <m/>
    <m/>
    <m/>
    <m/>
    <m/>
    <m/>
    <m/>
    <m/>
    <m/>
    <m/>
    <m/>
    <m/>
    <m/>
    <m/>
    <m/>
    <m/>
    <m/>
    <m/>
    <m/>
    <m/>
    <m/>
    <m/>
    <m/>
    <m/>
    <s v="no test"/>
    <s v="no test"/>
    <s v="No Test"/>
    <n v="0"/>
    <n v="0"/>
    <n v="0"/>
    <n v="0"/>
    <n v="0"/>
    <n v="0"/>
    <n v="0"/>
    <n v="0"/>
    <n v="0"/>
    <n v="0"/>
    <n v="0"/>
    <n v="0"/>
    <n v="0"/>
    <n v="0"/>
    <n v="0"/>
    <n v="1"/>
    <n v="121"/>
    <n v="1"/>
    <n v="1"/>
    <n v="0"/>
    <n v="0"/>
    <n v="0"/>
    <n v="0"/>
    <n v="0"/>
    <n v="0"/>
    <n v="0"/>
    <n v="6"/>
    <n v="6"/>
    <n v="1"/>
    <n v="0"/>
    <n v="0"/>
    <n v="0"/>
    <n v="0"/>
    <n v="0"/>
    <n v="0"/>
    <n v="0"/>
    <n v="1"/>
    <n v="0"/>
    <n v="0"/>
    <n v="0"/>
    <n v="0"/>
    <n v="0"/>
    <n v="0"/>
    <n v="0"/>
    <s v="No"/>
    <s v=""/>
    <n v="0"/>
    <n v="0"/>
    <n v="0"/>
    <s v="uncovered"/>
    <x v="0"/>
    <x v="4"/>
    <x v="1"/>
    <n v="24.996279999999999"/>
    <n v="96.52534"/>
    <s v="MMR001CMP232"/>
    <x v="1"/>
    <s v="cccm_2019OCT"/>
  </r>
  <r>
    <x v="2"/>
    <x v="4"/>
    <x v="4"/>
    <m/>
    <x v="0"/>
    <x v="7"/>
    <x v="1"/>
    <x v="133"/>
    <m/>
    <n v="26"/>
    <m/>
    <m/>
    <m/>
    <m/>
    <m/>
    <m/>
    <m/>
    <m/>
    <n v="4"/>
    <m/>
    <m/>
    <m/>
    <m/>
    <m/>
    <m/>
    <m/>
    <m/>
    <m/>
    <m/>
    <m/>
    <m/>
    <m/>
    <m/>
    <m/>
    <m/>
    <m/>
    <m/>
    <m/>
    <m/>
    <m/>
    <m/>
    <m/>
    <m/>
    <m/>
    <m/>
    <m/>
    <m/>
    <m/>
    <m/>
    <x v="0"/>
    <x v="0"/>
    <m/>
    <m/>
    <m/>
    <m/>
    <m/>
    <m/>
    <m/>
    <m/>
    <m/>
    <m/>
    <m/>
    <m/>
    <m/>
    <m/>
    <m/>
    <m/>
    <m/>
    <m/>
    <m/>
    <m/>
    <m/>
    <m/>
    <m/>
    <m/>
    <m/>
    <m/>
    <s v="no test"/>
    <s v="no test"/>
    <s v="No Test"/>
    <n v="0"/>
    <n v="0"/>
    <n v="0"/>
    <n v="0"/>
    <n v="0"/>
    <n v="0"/>
    <n v="0"/>
    <n v="0"/>
    <n v="0"/>
    <n v="0"/>
    <n v="0"/>
    <n v="0"/>
    <n v="0"/>
    <n v="0"/>
    <n v="0"/>
    <n v="1"/>
    <n v="26"/>
    <n v="1"/>
    <n v="1"/>
    <n v="0"/>
    <n v="0"/>
    <n v="0"/>
    <n v="0"/>
    <n v="0"/>
    <n v="0"/>
    <n v="0"/>
    <n v="1"/>
    <n v="1"/>
    <n v="1"/>
    <n v="0"/>
    <n v="0"/>
    <n v="0"/>
    <n v="0"/>
    <n v="0"/>
    <n v="0"/>
    <n v="0"/>
    <n v="1"/>
    <n v="0"/>
    <e v="#DIV/0!"/>
    <e v="#DIV/0!"/>
    <n v="0"/>
    <n v="0"/>
    <n v="0"/>
    <n v="0"/>
    <s v="No"/>
    <s v=""/>
    <n v="0"/>
    <n v="0"/>
    <n v="0"/>
    <s v="uncovered"/>
    <x v="0"/>
    <x v="3"/>
    <x v="1"/>
    <n v="24.613662999999999"/>
    <n v="97.461727999999994"/>
    <s v="MMR001CMP274"/>
    <x v="1"/>
    <s v="cccm_2019OCT"/>
  </r>
  <r>
    <x v="2"/>
    <x v="4"/>
    <x v="4"/>
    <m/>
    <x v="0"/>
    <x v="8"/>
    <x v="1"/>
    <x v="134"/>
    <n v="10"/>
    <n v="56"/>
    <m/>
    <m/>
    <m/>
    <m/>
    <m/>
    <m/>
    <m/>
    <m/>
    <n v="3"/>
    <m/>
    <m/>
    <m/>
    <m/>
    <m/>
    <m/>
    <m/>
    <m/>
    <m/>
    <m/>
    <m/>
    <m/>
    <m/>
    <m/>
    <m/>
    <m/>
    <m/>
    <m/>
    <m/>
    <m/>
    <m/>
    <m/>
    <m/>
    <m/>
    <m/>
    <m/>
    <m/>
    <m/>
    <m/>
    <m/>
    <x v="0"/>
    <x v="0"/>
    <m/>
    <m/>
    <m/>
    <m/>
    <m/>
    <m/>
    <m/>
    <m/>
    <m/>
    <m/>
    <m/>
    <m/>
    <m/>
    <m/>
    <m/>
    <m/>
    <m/>
    <m/>
    <m/>
    <m/>
    <m/>
    <m/>
    <m/>
    <m/>
    <m/>
    <m/>
    <s v="no test"/>
    <s v="no test"/>
    <s v="No Test"/>
    <n v="0"/>
    <n v="0"/>
    <n v="0"/>
    <n v="0"/>
    <n v="0"/>
    <n v="0"/>
    <n v="0"/>
    <n v="0"/>
    <n v="0"/>
    <n v="0"/>
    <n v="0"/>
    <n v="0"/>
    <n v="0"/>
    <n v="0"/>
    <n v="0"/>
    <n v="1"/>
    <n v="56"/>
    <n v="1"/>
    <n v="1"/>
    <n v="0"/>
    <n v="0"/>
    <n v="0"/>
    <n v="0"/>
    <n v="0"/>
    <n v="0"/>
    <n v="0"/>
    <n v="3"/>
    <n v="3"/>
    <n v="1"/>
    <n v="0"/>
    <n v="0"/>
    <n v="0"/>
    <n v="0"/>
    <n v="0"/>
    <n v="0"/>
    <n v="0"/>
    <n v="1"/>
    <n v="0"/>
    <n v="0"/>
    <n v="0"/>
    <n v="0"/>
    <n v="0"/>
    <n v="0"/>
    <n v="0"/>
    <s v="No"/>
    <s v=""/>
    <n v="0"/>
    <n v="0"/>
    <n v="0"/>
    <s v="uncovered"/>
    <x v="0"/>
    <x v="4"/>
    <x v="1"/>
    <n v="27.248964999999998"/>
    <n v="97.561105999999995"/>
    <s v="MMR001CMP227"/>
    <x v="1"/>
    <s v="cccm_2019OCT"/>
  </r>
  <r>
    <x v="2"/>
    <x v="4"/>
    <x v="4"/>
    <m/>
    <x v="0"/>
    <x v="7"/>
    <x v="1"/>
    <x v="135"/>
    <n v="3"/>
    <n v="18"/>
    <m/>
    <m/>
    <m/>
    <m/>
    <m/>
    <m/>
    <m/>
    <m/>
    <n v="3"/>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n v="0"/>
    <s v="uncovered"/>
    <x v="0"/>
    <x v="4"/>
    <x v="1"/>
    <n v="24.377054000000001"/>
    <n v="97.343406999999999"/>
    <s v="MMR001CMP200"/>
    <x v="1"/>
    <s v="cccm_2019OCT"/>
  </r>
  <r>
    <x v="2"/>
    <x v="4"/>
    <x v="4"/>
    <m/>
    <x v="0"/>
    <x v="7"/>
    <x v="1"/>
    <x v="136"/>
    <m/>
    <n v="31"/>
    <m/>
    <m/>
    <m/>
    <m/>
    <m/>
    <m/>
    <m/>
    <m/>
    <m/>
    <m/>
    <m/>
    <m/>
    <m/>
    <m/>
    <m/>
    <m/>
    <m/>
    <m/>
    <m/>
    <m/>
    <m/>
    <m/>
    <m/>
    <m/>
    <m/>
    <m/>
    <m/>
    <m/>
    <m/>
    <m/>
    <m/>
    <m/>
    <m/>
    <m/>
    <m/>
    <m/>
    <m/>
    <m/>
    <m/>
    <x v="0"/>
    <x v="0"/>
    <m/>
    <m/>
    <m/>
    <m/>
    <m/>
    <m/>
    <m/>
    <m/>
    <m/>
    <m/>
    <m/>
    <m/>
    <m/>
    <m/>
    <m/>
    <m/>
    <m/>
    <m/>
    <m/>
    <m/>
    <m/>
    <m/>
    <m/>
    <m/>
    <m/>
    <m/>
    <s v="no test"/>
    <s v="no test"/>
    <s v="No Test"/>
    <n v="0"/>
    <n v="0"/>
    <n v="0"/>
    <n v="0"/>
    <n v="0"/>
    <n v="0"/>
    <n v="0"/>
    <n v="0"/>
    <n v="0"/>
    <n v="0"/>
    <n v="0"/>
    <n v="0"/>
    <n v="0"/>
    <n v="0"/>
    <n v="0"/>
    <n v="1"/>
    <n v="31"/>
    <n v="1"/>
    <n v="1"/>
    <n v="0"/>
    <n v="0"/>
    <n v="0"/>
    <n v="0"/>
    <n v="0"/>
    <n v="0"/>
    <n v="0"/>
    <n v="2"/>
    <n v="2"/>
    <n v="1"/>
    <n v="0"/>
    <n v="0"/>
    <n v="0"/>
    <n v="0"/>
    <n v="0"/>
    <n v="0"/>
    <n v="0"/>
    <n v="1"/>
    <n v="0"/>
    <e v="#DIV/0!"/>
    <e v="#DIV/0!"/>
    <n v="0"/>
    <n v="0"/>
    <n v="0"/>
    <n v="0"/>
    <s v="No"/>
    <s v=""/>
    <n v="0"/>
    <n v="0"/>
    <n v="0"/>
    <s v="uncovered"/>
    <x v="0"/>
    <x v="3"/>
    <x v="1"/>
    <n v="24.721878"/>
    <n v="97.721878000000004"/>
    <s v="MMR001CMP275"/>
    <x v="1"/>
    <s v="cccm_2019OCT"/>
  </r>
  <r>
    <x v="2"/>
    <x v="4"/>
    <x v="4"/>
    <m/>
    <x v="0"/>
    <x v="2"/>
    <x v="1"/>
    <x v="145"/>
    <n v="80"/>
    <n v="449"/>
    <m/>
    <m/>
    <m/>
    <m/>
    <m/>
    <m/>
    <m/>
    <m/>
    <n v="2"/>
    <m/>
    <m/>
    <m/>
    <m/>
    <m/>
    <m/>
    <m/>
    <m/>
    <m/>
    <m/>
    <m/>
    <m/>
    <m/>
    <m/>
    <m/>
    <m/>
    <m/>
    <m/>
    <m/>
    <m/>
    <m/>
    <m/>
    <m/>
    <m/>
    <m/>
    <m/>
    <m/>
    <m/>
    <m/>
    <m/>
    <x v="0"/>
    <x v="0"/>
    <m/>
    <m/>
    <m/>
    <m/>
    <m/>
    <m/>
    <m/>
    <m/>
    <m/>
    <m/>
    <m/>
    <m/>
    <m/>
    <m/>
    <m/>
    <m/>
    <m/>
    <m/>
    <m/>
    <m/>
    <m/>
    <m/>
    <m/>
    <m/>
    <m/>
    <m/>
    <s v="no test"/>
    <s v="no test"/>
    <s v="No Test"/>
    <n v="0"/>
    <n v="0"/>
    <n v="0"/>
    <n v="0"/>
    <n v="0"/>
    <n v="0"/>
    <n v="0"/>
    <n v="0"/>
    <n v="0"/>
    <n v="0"/>
    <n v="0"/>
    <n v="0"/>
    <n v="0"/>
    <n v="0"/>
    <n v="0"/>
    <n v="1"/>
    <n v="449"/>
    <n v="1"/>
    <n v="1"/>
    <n v="0"/>
    <n v="0"/>
    <n v="0"/>
    <n v="0"/>
    <n v="0"/>
    <n v="0"/>
    <n v="0"/>
    <n v="22"/>
    <n v="22"/>
    <n v="1"/>
    <n v="0"/>
    <n v="0"/>
    <n v="0"/>
    <n v="0"/>
    <n v="0"/>
    <n v="0"/>
    <n v="0"/>
    <n v="1"/>
    <n v="0"/>
    <n v="0"/>
    <n v="0"/>
    <n v="0"/>
    <n v="0"/>
    <n v="0"/>
    <n v="0"/>
    <s v="No"/>
    <s v=""/>
    <n v="0"/>
    <n v="0"/>
    <n v="0"/>
    <s v="uncovered"/>
    <x v="0"/>
    <x v="0"/>
    <x v="1"/>
    <n v="25.391428000000001"/>
    <n v="97.898184999999998"/>
    <s v="MMR001CMP258"/>
    <x v="1"/>
    <s v="cccm_2019OCT"/>
  </r>
  <r>
    <x v="2"/>
    <x v="4"/>
    <x v="4"/>
    <m/>
    <x v="1"/>
    <x v="20"/>
    <x v="1"/>
    <x v="138"/>
    <n v="37"/>
    <n v="120"/>
    <m/>
    <m/>
    <m/>
    <m/>
    <m/>
    <m/>
    <m/>
    <m/>
    <n v="4"/>
    <m/>
    <m/>
    <m/>
    <m/>
    <m/>
    <m/>
    <m/>
    <m/>
    <m/>
    <m/>
    <m/>
    <m/>
    <m/>
    <m/>
    <m/>
    <m/>
    <m/>
    <m/>
    <m/>
    <m/>
    <m/>
    <m/>
    <m/>
    <m/>
    <m/>
    <m/>
    <m/>
    <m/>
    <m/>
    <m/>
    <x v="0"/>
    <x v="0"/>
    <m/>
    <m/>
    <m/>
    <m/>
    <m/>
    <m/>
    <m/>
    <m/>
    <m/>
    <m/>
    <m/>
    <m/>
    <m/>
    <m/>
    <m/>
    <m/>
    <m/>
    <m/>
    <m/>
    <m/>
    <m/>
    <m/>
    <m/>
    <m/>
    <m/>
    <m/>
    <s v="no test"/>
    <s v="no test"/>
    <s v="No Test"/>
    <n v="0"/>
    <n v="0"/>
    <n v="0"/>
    <n v="0"/>
    <n v="0"/>
    <n v="0"/>
    <n v="0"/>
    <n v="0"/>
    <n v="0"/>
    <n v="0"/>
    <n v="0"/>
    <n v="0"/>
    <n v="0"/>
    <n v="0"/>
    <n v="0"/>
    <n v="1"/>
    <n v="120"/>
    <n v="1"/>
    <n v="1"/>
    <n v="0"/>
    <n v="0"/>
    <n v="0"/>
    <n v="0"/>
    <n v="0"/>
    <n v="0"/>
    <n v="0"/>
    <n v="6"/>
    <n v="6"/>
    <n v="1"/>
    <n v="0"/>
    <n v="0"/>
    <n v="0"/>
    <n v="0"/>
    <n v="0"/>
    <n v="0"/>
    <n v="0"/>
    <n v="1"/>
    <n v="0"/>
    <n v="0"/>
    <n v="0"/>
    <n v="0"/>
    <n v="0"/>
    <n v="0"/>
    <n v="0"/>
    <s v="No"/>
    <s v=""/>
    <n v="0"/>
    <n v="0"/>
    <n v="0"/>
    <s v="uncovered"/>
    <x v="0"/>
    <x v="0"/>
    <x v="1"/>
    <n v="22.677008000000001"/>
    <n v="97.314762999999999"/>
    <s v="MMR015CMP244"/>
    <x v="1"/>
    <s v="cccm_2019OCT"/>
  </r>
  <r>
    <x v="2"/>
    <x v="4"/>
    <x v="4"/>
    <m/>
    <x v="0"/>
    <x v="9"/>
    <x v="1"/>
    <x v="139"/>
    <n v="80"/>
    <n v="290"/>
    <m/>
    <m/>
    <m/>
    <m/>
    <m/>
    <m/>
    <m/>
    <m/>
    <n v="4"/>
    <m/>
    <m/>
    <m/>
    <m/>
    <m/>
    <m/>
    <m/>
    <m/>
    <m/>
    <m/>
    <m/>
    <m/>
    <m/>
    <m/>
    <m/>
    <m/>
    <m/>
    <m/>
    <m/>
    <m/>
    <m/>
    <m/>
    <m/>
    <m/>
    <m/>
    <m/>
    <m/>
    <m/>
    <m/>
    <m/>
    <x v="0"/>
    <x v="0"/>
    <m/>
    <m/>
    <m/>
    <m/>
    <m/>
    <m/>
    <m/>
    <m/>
    <m/>
    <m/>
    <m/>
    <m/>
    <m/>
    <m/>
    <m/>
    <m/>
    <m/>
    <m/>
    <m/>
    <m/>
    <m/>
    <m/>
    <m/>
    <m/>
    <m/>
    <m/>
    <s v="no test"/>
    <s v="no test"/>
    <s v="No Test"/>
    <n v="0"/>
    <n v="0"/>
    <n v="0"/>
    <n v="0"/>
    <n v="0"/>
    <n v="0"/>
    <n v="0"/>
    <n v="0"/>
    <n v="0"/>
    <n v="0"/>
    <n v="0"/>
    <n v="0"/>
    <n v="0"/>
    <n v="0"/>
    <n v="0"/>
    <n v="1"/>
    <n v="290"/>
    <n v="1"/>
    <n v="1"/>
    <n v="0"/>
    <n v="0"/>
    <n v="0"/>
    <n v="0"/>
    <n v="0"/>
    <n v="0"/>
    <n v="0"/>
    <n v="15"/>
    <n v="15"/>
    <n v="1"/>
    <n v="0"/>
    <n v="0"/>
    <n v="0"/>
    <n v="0"/>
    <n v="0"/>
    <n v="0"/>
    <n v="0"/>
    <n v="1"/>
    <n v="0"/>
    <n v="0"/>
    <n v="0"/>
    <n v="0"/>
    <n v="0"/>
    <n v="0"/>
    <n v="0"/>
    <s v="No"/>
    <s v=""/>
    <n v="0"/>
    <n v="0"/>
    <n v="0"/>
    <s v="uncovered"/>
    <x v="0"/>
    <x v="4"/>
    <x v="1"/>
    <n v="24.118618999999999"/>
    <n v="97.298055000000005"/>
    <s v="MMR001CMP196"/>
    <x v="1"/>
    <s v="cccm_2019OCT"/>
  </r>
  <r>
    <x v="2"/>
    <x v="5"/>
    <x v="5"/>
    <s v="DFID"/>
    <x v="0"/>
    <x v="3"/>
    <x v="1"/>
    <x v="161"/>
    <n v="2"/>
    <n v="14"/>
    <d v="2018-08-01T00:00:00"/>
    <d v="2020-12-31T00:00:00"/>
    <m/>
    <n v="0"/>
    <m/>
    <m/>
    <m/>
    <m/>
    <m/>
    <m/>
    <m/>
    <m/>
    <n v="0"/>
    <m/>
    <m/>
    <m/>
    <m/>
    <m/>
    <m/>
    <m/>
    <m/>
    <m/>
    <m/>
    <m/>
    <m/>
    <m/>
    <m/>
    <m/>
    <m/>
    <m/>
    <m/>
    <n v="0"/>
    <m/>
    <m/>
    <m/>
    <m/>
    <m/>
    <m/>
    <n v="0"/>
    <x v="3"/>
    <x v="3"/>
    <m/>
    <m/>
    <m/>
    <m/>
    <m/>
    <m/>
    <m/>
    <m/>
    <n v="0"/>
    <m/>
    <m/>
    <m/>
    <m/>
    <m/>
    <m/>
    <m/>
    <m/>
    <m/>
    <m/>
    <m/>
    <m/>
    <m/>
    <m/>
    <m/>
    <m/>
    <m/>
    <s v="no test"/>
    <s v="no test"/>
    <s v="No Test"/>
    <n v="0"/>
    <n v="0"/>
    <n v="0"/>
    <n v="0"/>
    <n v="0"/>
    <n v="0"/>
    <n v="0"/>
    <n v="0"/>
    <n v="0"/>
    <n v="0"/>
    <n v="0"/>
    <n v="0"/>
    <n v="0"/>
    <n v="0"/>
    <n v="0"/>
    <n v="1"/>
    <n v="14"/>
    <n v="1"/>
    <n v="1"/>
    <n v="0"/>
    <n v="0"/>
    <n v="0"/>
    <n v="0"/>
    <n v="0"/>
    <n v="0"/>
    <n v="0"/>
    <n v="1"/>
    <n v="1"/>
    <n v="1"/>
    <n v="0"/>
    <n v="0"/>
    <n v="0"/>
    <n v="0"/>
    <n v="0"/>
    <n v="0"/>
    <n v="0"/>
    <n v="1"/>
    <n v="0"/>
    <n v="0"/>
    <n v="0"/>
    <n v="0"/>
    <n v="0"/>
    <n v="0"/>
    <n v="0"/>
    <s v="No"/>
    <s v=""/>
    <n v="0"/>
    <n v="0"/>
    <s v="Yes"/>
    <s v="Shalom"/>
    <x v="0"/>
    <x v="0"/>
    <x v="1"/>
    <n v="25.615960999999999"/>
    <n v="96.316564"/>
    <s v="MMR001CMP191"/>
    <x v="0"/>
    <s v="cccm_2019OCT"/>
  </r>
  <r>
    <x v="2"/>
    <x v="4"/>
    <x v="4"/>
    <m/>
    <x v="0"/>
    <x v="5"/>
    <x v="1"/>
    <x v="141"/>
    <n v="14"/>
    <n v="63"/>
    <m/>
    <m/>
    <m/>
    <m/>
    <m/>
    <m/>
    <m/>
    <m/>
    <n v="4"/>
    <m/>
    <m/>
    <m/>
    <m/>
    <m/>
    <m/>
    <m/>
    <m/>
    <m/>
    <m/>
    <m/>
    <m/>
    <m/>
    <m/>
    <m/>
    <m/>
    <m/>
    <m/>
    <m/>
    <m/>
    <m/>
    <m/>
    <m/>
    <m/>
    <m/>
    <m/>
    <m/>
    <m/>
    <m/>
    <m/>
    <x v="0"/>
    <x v="0"/>
    <m/>
    <m/>
    <m/>
    <m/>
    <m/>
    <m/>
    <m/>
    <m/>
    <m/>
    <m/>
    <m/>
    <m/>
    <m/>
    <m/>
    <m/>
    <m/>
    <m/>
    <m/>
    <m/>
    <m/>
    <m/>
    <m/>
    <m/>
    <m/>
    <m/>
    <m/>
    <s v="no test"/>
    <s v="no test"/>
    <s v="No Test"/>
    <n v="0"/>
    <n v="0"/>
    <n v="0"/>
    <n v="0"/>
    <n v="0"/>
    <n v="0"/>
    <n v="0"/>
    <n v="0"/>
    <n v="0"/>
    <n v="0"/>
    <n v="0"/>
    <n v="0"/>
    <n v="0"/>
    <n v="0"/>
    <n v="0"/>
    <n v="1"/>
    <n v="63"/>
    <n v="1"/>
    <n v="1"/>
    <n v="0"/>
    <n v="0"/>
    <n v="0"/>
    <n v="0"/>
    <n v="0"/>
    <n v="0"/>
    <n v="0"/>
    <n v="3"/>
    <n v="3"/>
    <n v="1"/>
    <n v="0"/>
    <n v="0"/>
    <n v="0"/>
    <n v="0"/>
    <n v="0"/>
    <n v="0"/>
    <n v="0"/>
    <n v="1"/>
    <n v="0"/>
    <n v="0"/>
    <n v="0"/>
    <n v="0"/>
    <n v="0"/>
    <n v="0"/>
    <n v="0"/>
    <s v="No"/>
    <s v=""/>
    <n v="0"/>
    <n v="0"/>
    <n v="0"/>
    <s v="uncovered"/>
    <x v="0"/>
    <x v="4"/>
    <x v="1"/>
    <n v="24.764959999999999"/>
    <n v="96.366919999999993"/>
    <s v="MMR001CMP233"/>
    <x v="1"/>
    <s v="cccm_2019OCT"/>
  </r>
  <r>
    <x v="2"/>
    <x v="4"/>
    <x v="4"/>
    <m/>
    <x v="0"/>
    <x v="7"/>
    <x v="1"/>
    <x v="142"/>
    <n v="223"/>
    <n v="1067"/>
    <m/>
    <m/>
    <m/>
    <m/>
    <m/>
    <m/>
    <m/>
    <m/>
    <n v="4"/>
    <m/>
    <m/>
    <m/>
    <m/>
    <m/>
    <m/>
    <m/>
    <m/>
    <m/>
    <m/>
    <m/>
    <m/>
    <m/>
    <m/>
    <m/>
    <m/>
    <m/>
    <m/>
    <m/>
    <m/>
    <m/>
    <m/>
    <m/>
    <m/>
    <m/>
    <m/>
    <m/>
    <m/>
    <m/>
    <m/>
    <x v="0"/>
    <x v="0"/>
    <m/>
    <m/>
    <m/>
    <m/>
    <m/>
    <m/>
    <m/>
    <m/>
    <m/>
    <m/>
    <m/>
    <m/>
    <m/>
    <m/>
    <m/>
    <m/>
    <m/>
    <m/>
    <m/>
    <m/>
    <m/>
    <m/>
    <m/>
    <m/>
    <m/>
    <m/>
    <s v="no test"/>
    <s v="no test"/>
    <s v="No Test"/>
    <n v="0"/>
    <n v="0"/>
    <n v="0"/>
    <n v="0"/>
    <n v="0"/>
    <n v="0"/>
    <n v="0"/>
    <n v="0"/>
    <n v="0"/>
    <n v="0"/>
    <n v="0"/>
    <n v="0"/>
    <n v="0"/>
    <n v="0"/>
    <n v="0"/>
    <n v="1"/>
    <n v="1067"/>
    <n v="2"/>
    <n v="2"/>
    <n v="0"/>
    <n v="0"/>
    <n v="0"/>
    <n v="0"/>
    <n v="0"/>
    <n v="0"/>
    <n v="0"/>
    <n v="53"/>
    <n v="53"/>
    <n v="1"/>
    <n v="0"/>
    <n v="0"/>
    <n v="0"/>
    <n v="0"/>
    <n v="0"/>
    <n v="0"/>
    <n v="0"/>
    <n v="1"/>
    <n v="0"/>
    <n v="0"/>
    <n v="0"/>
    <n v="0"/>
    <n v="0"/>
    <n v="0"/>
    <n v="0"/>
    <s v="No"/>
    <s v=""/>
    <n v="0"/>
    <n v="0"/>
    <n v="0"/>
    <s v="uncovered"/>
    <x v="0"/>
    <x v="4"/>
    <x v="1"/>
    <n v="24.251232000000002"/>
    <n v="97.348405"/>
    <s v="MMR001CMP197"/>
    <x v="1"/>
    <s v="cccm_2019OCT"/>
  </r>
  <r>
    <x v="2"/>
    <x v="5"/>
    <x v="5"/>
    <s v="DFID"/>
    <x v="0"/>
    <x v="3"/>
    <x v="1"/>
    <x v="162"/>
    <n v="107"/>
    <n v="519"/>
    <d v="2018-08-01T00:00:00"/>
    <d v="2020-12-31T00:00:00"/>
    <m/>
    <n v="1"/>
    <m/>
    <m/>
    <s v="Yes"/>
    <n v="4"/>
    <n v="1"/>
    <n v="0"/>
    <m/>
    <m/>
    <n v="0"/>
    <n v="0"/>
    <m/>
    <m/>
    <n v="1"/>
    <m/>
    <m/>
    <n v="0"/>
    <n v="4"/>
    <m/>
    <n v="0"/>
    <n v="1"/>
    <m/>
    <m/>
    <m/>
    <m/>
    <n v="0"/>
    <n v="0"/>
    <m/>
    <n v="32"/>
    <n v="0"/>
    <s v="Shalom"/>
    <m/>
    <m/>
    <m/>
    <m/>
    <n v="0"/>
    <x v="1"/>
    <x v="1"/>
    <n v="2"/>
    <n v="0"/>
    <n v="2"/>
    <m/>
    <m/>
    <m/>
    <n v="5"/>
    <m/>
    <n v="0"/>
    <n v="5"/>
    <m/>
    <n v="4"/>
    <n v="4"/>
    <m/>
    <m/>
    <m/>
    <m/>
    <m/>
    <m/>
    <m/>
    <m/>
    <m/>
    <m/>
    <m/>
    <m/>
    <m/>
    <s v="no test"/>
    <s v="no test"/>
    <s v="No Test"/>
    <n v="0"/>
    <n v="0"/>
    <n v="1"/>
    <n v="0"/>
    <n v="0"/>
    <n v="0"/>
    <n v="0.12845215157353887"/>
    <n v="0.12845215157353887"/>
    <n v="0.12845215157353887"/>
    <n v="66.666666666666671"/>
    <n v="1"/>
    <n v="519"/>
    <n v="1"/>
    <n v="519"/>
    <n v="1.038"/>
    <n v="0"/>
    <n v="0"/>
    <n v="0"/>
    <n v="1"/>
    <n v="32"/>
    <n v="1"/>
    <n v="519"/>
    <n v="0"/>
    <n v="0"/>
    <n v="0"/>
    <n v="0"/>
    <n v="26"/>
    <n v="0"/>
    <n v="0"/>
    <n v="0"/>
    <n v="519"/>
    <n v="0"/>
    <n v="0"/>
    <n v="0"/>
    <n v="519"/>
    <n v="1"/>
    <n v="0"/>
    <n v="1"/>
    <n v="0"/>
    <n v="0"/>
    <n v="5"/>
    <n v="100"/>
    <n v="0"/>
    <n v="500"/>
    <s v="No"/>
    <s v=""/>
    <n v="0"/>
    <n v="0"/>
    <s v="Yes"/>
    <s v="KBC-MYT"/>
    <x v="0"/>
    <x v="1"/>
    <x v="1"/>
    <n v="25.611160000000002"/>
    <n v="96.312790000000007"/>
    <s v="MMR001CMP229"/>
    <x v="0"/>
    <s v="cccm_2019OCT"/>
  </r>
  <r>
    <x v="2"/>
    <x v="4"/>
    <x v="4"/>
    <m/>
    <x v="0"/>
    <x v="7"/>
    <x v="1"/>
    <x v="144"/>
    <n v="47"/>
    <n v="153"/>
    <m/>
    <m/>
    <m/>
    <m/>
    <m/>
    <m/>
    <m/>
    <m/>
    <n v="1"/>
    <m/>
    <m/>
    <m/>
    <m/>
    <m/>
    <m/>
    <m/>
    <m/>
    <m/>
    <m/>
    <m/>
    <m/>
    <m/>
    <m/>
    <m/>
    <m/>
    <m/>
    <m/>
    <m/>
    <m/>
    <m/>
    <m/>
    <m/>
    <m/>
    <m/>
    <m/>
    <m/>
    <m/>
    <m/>
    <m/>
    <x v="0"/>
    <x v="0"/>
    <m/>
    <m/>
    <m/>
    <m/>
    <m/>
    <m/>
    <m/>
    <m/>
    <m/>
    <m/>
    <m/>
    <m/>
    <m/>
    <m/>
    <m/>
    <m/>
    <m/>
    <m/>
    <m/>
    <m/>
    <m/>
    <m/>
    <m/>
    <m/>
    <m/>
    <m/>
    <s v="no test"/>
    <s v="no test"/>
    <s v="No Test"/>
    <n v="0"/>
    <n v="0"/>
    <n v="0"/>
    <n v="0"/>
    <n v="0"/>
    <n v="0"/>
    <n v="0"/>
    <n v="0"/>
    <n v="0"/>
    <n v="0"/>
    <n v="0"/>
    <n v="0"/>
    <n v="0"/>
    <n v="0"/>
    <n v="0"/>
    <n v="1"/>
    <n v="153"/>
    <n v="1"/>
    <n v="1"/>
    <n v="0"/>
    <n v="0"/>
    <n v="0"/>
    <n v="0"/>
    <n v="0"/>
    <n v="0"/>
    <n v="0"/>
    <n v="8"/>
    <n v="8"/>
    <n v="1"/>
    <n v="0"/>
    <n v="0"/>
    <n v="0"/>
    <n v="0"/>
    <n v="0"/>
    <n v="0"/>
    <n v="0"/>
    <n v="1"/>
    <n v="0"/>
    <n v="0"/>
    <n v="0"/>
    <n v="0"/>
    <n v="0"/>
    <n v="0"/>
    <n v="0"/>
    <s v="No"/>
    <s v=""/>
    <n v="0"/>
    <n v="0"/>
    <n v="0"/>
    <s v="uncovered"/>
    <x v="0"/>
    <x v="4"/>
    <x v="1"/>
    <n v="24.404876999999999"/>
    <n v="97.407787999999996"/>
    <s v="MMR001CMP061"/>
    <x v="1"/>
    <s v="cccm_2019OCT"/>
  </r>
  <r>
    <x v="2"/>
    <x v="0"/>
    <x v="0"/>
    <s v="MHF13490"/>
    <x v="0"/>
    <x v="2"/>
    <x v="1"/>
    <x v="34"/>
    <n v="391"/>
    <n v="1775"/>
    <d v="2019-01-10T00:00:00"/>
    <s v="31-7-2020"/>
    <m/>
    <m/>
    <m/>
    <m/>
    <s v="Yes"/>
    <m/>
    <n v="2"/>
    <n v="0"/>
    <m/>
    <m/>
    <n v="0"/>
    <m/>
    <m/>
    <m/>
    <n v="4"/>
    <m/>
    <m/>
    <m/>
    <m/>
    <m/>
    <m/>
    <n v="0"/>
    <m/>
    <m/>
    <m/>
    <m/>
    <m/>
    <m/>
    <m/>
    <n v="391"/>
    <m/>
    <m/>
    <m/>
    <m/>
    <m/>
    <m/>
    <n v="413"/>
    <x v="1"/>
    <x v="1"/>
    <m/>
    <m/>
    <m/>
    <m/>
    <m/>
    <m/>
    <n v="413"/>
    <m/>
    <m/>
    <n v="9"/>
    <m/>
    <m/>
    <n v="5"/>
    <m/>
    <m/>
    <m/>
    <m/>
    <m/>
    <m/>
    <m/>
    <m/>
    <m/>
    <m/>
    <m/>
    <m/>
    <m/>
    <s v="no test"/>
    <s v="no test"/>
    <s v="No Test"/>
    <n v="0"/>
    <n v="0"/>
    <n v="4"/>
    <n v="0"/>
    <n v="0"/>
    <n v="0"/>
    <n v="0.15023474178403756"/>
    <n v="0.15023474178403756"/>
    <n v="0.15023474178403756"/>
    <n v="266.66666666666669"/>
    <n v="0"/>
    <n v="0"/>
    <n v="0.15023474178403756"/>
    <n v="266.66666666666669"/>
    <n v="0.53333333333333333"/>
    <n v="0.84976525821596249"/>
    <n v="1508.3333333333335"/>
    <n v="3.4666666666666668"/>
    <n v="4"/>
    <n v="391"/>
    <n v="1"/>
    <n v="1775"/>
    <n v="0"/>
    <n v="0"/>
    <n v="0"/>
    <n v="0"/>
    <n v="89"/>
    <n v="0"/>
    <n v="0"/>
    <n v="0"/>
    <n v="1775"/>
    <n v="0"/>
    <n v="0"/>
    <n v="0"/>
    <n v="1775"/>
    <n v="1"/>
    <n v="0"/>
    <n v="1"/>
    <n v="0"/>
    <n v="0"/>
    <n v="413"/>
    <n v="391"/>
    <n v="0"/>
    <n v="1775"/>
    <s v="No"/>
    <s v=""/>
    <n v="0"/>
    <n v="0"/>
    <s v="Yes"/>
    <s v="KBC-MYT"/>
    <x v="0"/>
    <x v="1"/>
    <x v="0"/>
    <n v="0"/>
    <n v="0"/>
    <s v="MMR001CMP249"/>
    <x v="0"/>
    <s v="cccm_2019OCT"/>
  </r>
  <r>
    <x v="2"/>
    <x v="5"/>
    <x v="5"/>
    <s v="DFID"/>
    <x v="0"/>
    <x v="0"/>
    <x v="1"/>
    <x v="176"/>
    <n v="54"/>
    <n v="253"/>
    <d v="2018-08-01T00:00:00"/>
    <d v="2020-12-31T00:00:00"/>
    <m/>
    <n v="1"/>
    <m/>
    <m/>
    <s v="Yes"/>
    <n v="2"/>
    <n v="3"/>
    <n v="1"/>
    <m/>
    <m/>
    <n v="4"/>
    <n v="0"/>
    <m/>
    <m/>
    <m/>
    <m/>
    <m/>
    <m/>
    <m/>
    <m/>
    <m/>
    <m/>
    <m/>
    <m/>
    <m/>
    <m/>
    <m/>
    <m/>
    <m/>
    <n v="19"/>
    <n v="0"/>
    <m/>
    <m/>
    <m/>
    <n v="6"/>
    <m/>
    <m/>
    <x v="1"/>
    <x v="1"/>
    <m/>
    <n v="1"/>
    <m/>
    <m/>
    <m/>
    <m/>
    <n v="7"/>
    <m/>
    <m/>
    <n v="4"/>
    <m/>
    <n v="2"/>
    <n v="3"/>
    <m/>
    <m/>
    <m/>
    <m/>
    <m/>
    <m/>
    <m/>
    <m/>
    <m/>
    <m/>
    <m/>
    <m/>
    <m/>
    <s v="no test"/>
    <s v="no test"/>
    <s v="No Test"/>
    <n v="1"/>
    <n v="4"/>
    <n v="0"/>
    <n v="0"/>
    <n v="0"/>
    <n v="0"/>
    <n v="1"/>
    <n v="1"/>
    <n v="1"/>
    <n v="253"/>
    <n v="0"/>
    <n v="0"/>
    <n v="1"/>
    <n v="253"/>
    <n v="0.50600000000000001"/>
    <n v="0"/>
    <n v="0"/>
    <n v="0.49399999999999999"/>
    <n v="1"/>
    <n v="19"/>
    <n v="1"/>
    <n v="253"/>
    <n v="120"/>
    <n v="0"/>
    <n v="0"/>
    <n v="0"/>
    <n v="13"/>
    <n v="0"/>
    <n v="0"/>
    <n v="0"/>
    <n v="253"/>
    <n v="0"/>
    <n v="0"/>
    <n v="0"/>
    <n v="253"/>
    <n v="1"/>
    <n v="0"/>
    <n v="1"/>
    <n v="0"/>
    <n v="0"/>
    <n v="7"/>
    <n v="54"/>
    <n v="0"/>
    <n v="253"/>
    <s v="No"/>
    <s v=""/>
    <n v="0"/>
    <n v="0"/>
    <s v="Yes"/>
    <s v="Shalom"/>
    <x v="0"/>
    <x v="1"/>
    <x v="1"/>
    <n v="25.423209"/>
    <n v="97.379987"/>
    <s v="MMR001CMP023"/>
    <x v="0"/>
    <s v="cccm_2019OCT"/>
  </r>
  <r>
    <x v="2"/>
    <x v="1"/>
    <x v="1"/>
    <s v="HARP/UNICEF"/>
    <x v="0"/>
    <x v="3"/>
    <x v="0"/>
    <x v="56"/>
    <n v="72"/>
    <n v="329"/>
    <s v="3-1-2019, 12-11-2019"/>
    <s v="12-31-2020, 12-10-2020"/>
    <m/>
    <m/>
    <m/>
    <m/>
    <s v="Yes"/>
    <m/>
    <m/>
    <n v="2"/>
    <m/>
    <m/>
    <m/>
    <m/>
    <m/>
    <m/>
    <n v="1"/>
    <m/>
    <m/>
    <m/>
    <m/>
    <m/>
    <m/>
    <m/>
    <m/>
    <m/>
    <m/>
    <m/>
    <m/>
    <m/>
    <m/>
    <n v="12"/>
    <m/>
    <m/>
    <m/>
    <m/>
    <m/>
    <m/>
    <m/>
    <x v="1"/>
    <x v="1"/>
    <n v="3"/>
    <m/>
    <m/>
    <m/>
    <m/>
    <m/>
    <m/>
    <m/>
    <m/>
    <n v="2"/>
    <m/>
    <n v="1"/>
    <m/>
    <m/>
    <m/>
    <m/>
    <m/>
    <m/>
    <m/>
    <m/>
    <m/>
    <m/>
    <m/>
    <m/>
    <m/>
    <m/>
    <s v="no test"/>
    <s v="no test"/>
    <s v="No Test"/>
    <n v="2"/>
    <n v="0"/>
    <n v="1"/>
    <n v="0"/>
    <n v="0"/>
    <n v="0"/>
    <n v="1"/>
    <n v="1"/>
    <n v="1"/>
    <n v="329"/>
    <n v="0"/>
    <n v="0"/>
    <n v="1"/>
    <n v="329"/>
    <n v="0.65800000000000003"/>
    <n v="0"/>
    <n v="0"/>
    <n v="0.34199999999999997"/>
    <n v="1"/>
    <n v="12"/>
    <n v="0.91185410334346506"/>
    <n v="300"/>
    <n v="0"/>
    <n v="0"/>
    <n v="0"/>
    <n v="0"/>
    <n v="16"/>
    <n v="4"/>
    <n v="8.8145896656534939E-2"/>
    <n v="0"/>
    <n v="329"/>
    <n v="0"/>
    <n v="0"/>
    <n v="0"/>
    <n v="329"/>
    <n v="1"/>
    <n v="0"/>
    <n v="1"/>
    <n v="0"/>
    <n v="0"/>
    <n v="0"/>
    <n v="0"/>
    <n v="0"/>
    <n v="0"/>
    <s v="No"/>
    <s v=""/>
    <n v="0"/>
    <n v="0"/>
    <n v="0"/>
    <n v="0"/>
    <x v="0"/>
    <x v="0"/>
    <x v="1"/>
    <n v="0"/>
    <n v="0"/>
    <n v="0"/>
    <x v="0"/>
    <n v="0"/>
  </r>
  <r>
    <x v="2"/>
    <x v="1"/>
    <x v="1"/>
    <s v="UNICEF"/>
    <x v="0"/>
    <x v="21"/>
    <x v="1"/>
    <x v="148"/>
    <n v="155"/>
    <n v="775"/>
    <d v="2019-12-11T00:00:00"/>
    <d v="2020-12-10T00:00:00"/>
    <m/>
    <n v="1"/>
    <m/>
    <m/>
    <s v="Yes"/>
    <n v="1"/>
    <n v="3"/>
    <m/>
    <m/>
    <m/>
    <n v="1"/>
    <m/>
    <m/>
    <n v="1"/>
    <n v="1"/>
    <m/>
    <m/>
    <m/>
    <m/>
    <m/>
    <m/>
    <m/>
    <n v="8"/>
    <n v="3"/>
    <n v="5"/>
    <n v="2"/>
    <m/>
    <m/>
    <m/>
    <n v="16"/>
    <m/>
    <m/>
    <m/>
    <m/>
    <m/>
    <m/>
    <m/>
    <x v="1"/>
    <x v="1"/>
    <n v="2"/>
    <m/>
    <m/>
    <m/>
    <m/>
    <m/>
    <m/>
    <m/>
    <m/>
    <n v="7"/>
    <m/>
    <m/>
    <m/>
    <n v="6"/>
    <m/>
    <s v="No"/>
    <m/>
    <m/>
    <m/>
    <n v="0.4"/>
    <n v="0.4"/>
    <n v="15"/>
    <n v="0.15"/>
    <m/>
    <m/>
    <m/>
    <n v="0.375"/>
    <n v="0.4"/>
    <s v="Tested"/>
    <n v="0"/>
    <n v="1"/>
    <n v="1"/>
    <n v="0"/>
    <n v="0"/>
    <n v="0"/>
    <n v="0.73118279569892464"/>
    <n v="0.40860215053763443"/>
    <n v="0.73118279569892464"/>
    <n v="566.66666666666663"/>
    <n v="0"/>
    <n v="0"/>
    <n v="0.73118279569892464"/>
    <n v="566.66666666666663"/>
    <n v="1.1333333333333333"/>
    <n v="0.26881720430107536"/>
    <n v="208.3333333333334"/>
    <n v="0.8666666666666667"/>
    <n v="2"/>
    <n v="16"/>
    <n v="0.46451612903225808"/>
    <n v="360"/>
    <n v="0"/>
    <n v="0"/>
    <n v="0"/>
    <n v="0"/>
    <n v="39"/>
    <n v="23"/>
    <n v="0.53548387096774186"/>
    <n v="0"/>
    <n v="0"/>
    <n v="30"/>
    <n v="0"/>
    <n v="30"/>
    <n v="30"/>
    <n v="3.870967741935484E-2"/>
    <n v="0.96129032258064517"/>
    <n v="0"/>
    <n v="0.15483870967741936"/>
    <n v="0"/>
    <n v="0"/>
    <n v="0"/>
    <n v="0"/>
    <n v="0"/>
    <s v="No"/>
    <n v="1.935483870967742E-2"/>
    <n v="0"/>
    <n v="0"/>
    <s v="Yes"/>
    <s v="KMSS-MYT"/>
    <x v="0"/>
    <x v="1"/>
    <x v="1"/>
    <n v="26.350176000000001"/>
    <n v="96.711387999999999"/>
    <s v="MMR001CMP251"/>
    <x v="0"/>
    <s v="cccm_2019OCT"/>
  </r>
  <r>
    <x v="2"/>
    <x v="4"/>
    <x v="4"/>
    <m/>
    <x v="0"/>
    <x v="11"/>
    <x v="1"/>
    <x v="149"/>
    <n v="5"/>
    <n v="32"/>
    <m/>
    <m/>
    <m/>
    <n v="1"/>
    <m/>
    <m/>
    <s v="Yes"/>
    <n v="1"/>
    <n v="3"/>
    <m/>
    <m/>
    <m/>
    <m/>
    <m/>
    <m/>
    <m/>
    <m/>
    <m/>
    <m/>
    <m/>
    <m/>
    <m/>
    <m/>
    <m/>
    <m/>
    <m/>
    <m/>
    <m/>
    <m/>
    <m/>
    <m/>
    <m/>
    <m/>
    <m/>
    <m/>
    <m/>
    <m/>
    <m/>
    <m/>
    <x v="0"/>
    <x v="0"/>
    <m/>
    <m/>
    <m/>
    <m/>
    <m/>
    <m/>
    <m/>
    <m/>
    <m/>
    <m/>
    <m/>
    <m/>
    <m/>
    <m/>
    <m/>
    <m/>
    <m/>
    <m/>
    <m/>
    <m/>
    <m/>
    <m/>
    <m/>
    <m/>
    <m/>
    <m/>
    <s v="no test"/>
    <s v="no test"/>
    <s v="No Test"/>
    <n v="0"/>
    <n v="0"/>
    <n v="0"/>
    <n v="0"/>
    <n v="0"/>
    <n v="0"/>
    <n v="0"/>
    <n v="0"/>
    <n v="0"/>
    <n v="0"/>
    <n v="0"/>
    <n v="0"/>
    <n v="0"/>
    <n v="0"/>
    <n v="0"/>
    <n v="1"/>
    <n v="32"/>
    <n v="1"/>
    <n v="1"/>
    <n v="0"/>
    <n v="0"/>
    <n v="0"/>
    <n v="0"/>
    <n v="0"/>
    <n v="0"/>
    <n v="0"/>
    <n v="2"/>
    <n v="2"/>
    <n v="1"/>
    <n v="0"/>
    <n v="0"/>
    <n v="0"/>
    <n v="0"/>
    <n v="0"/>
    <n v="0"/>
    <n v="0"/>
    <n v="1"/>
    <n v="0"/>
    <n v="0"/>
    <n v="0"/>
    <n v="0"/>
    <n v="0"/>
    <n v="0"/>
    <n v="0"/>
    <s v="No"/>
    <s v=""/>
    <n v="0"/>
    <n v="0"/>
    <n v="0"/>
    <s v="uncovered"/>
    <x v="0"/>
    <x v="0"/>
    <x v="1"/>
    <n v="26.541930000000001"/>
    <n v="97.568836000000005"/>
    <s v="MMR001CMP206"/>
    <x v="1"/>
    <s v="cccm_2019OCT"/>
  </r>
  <r>
    <x v="2"/>
    <x v="1"/>
    <x v="1"/>
    <s v="UNICEF"/>
    <x v="0"/>
    <x v="21"/>
    <x v="1"/>
    <x v="150"/>
    <n v="35"/>
    <n v="175"/>
    <d v="2019-12-11T00:00:00"/>
    <d v="2020-12-10T00:00:00"/>
    <m/>
    <n v="1"/>
    <m/>
    <m/>
    <s v="Yes"/>
    <n v="2"/>
    <n v="1"/>
    <m/>
    <m/>
    <m/>
    <n v="1"/>
    <m/>
    <m/>
    <m/>
    <n v="1"/>
    <m/>
    <m/>
    <m/>
    <m/>
    <m/>
    <m/>
    <m/>
    <n v="1"/>
    <m/>
    <n v="2"/>
    <n v="1"/>
    <m/>
    <m/>
    <m/>
    <n v="4"/>
    <m/>
    <m/>
    <m/>
    <m/>
    <m/>
    <m/>
    <m/>
    <x v="1"/>
    <x v="4"/>
    <m/>
    <m/>
    <m/>
    <m/>
    <m/>
    <m/>
    <m/>
    <m/>
    <n v="2"/>
    <n v="2"/>
    <m/>
    <m/>
    <m/>
    <n v="6"/>
    <m/>
    <s v="No"/>
    <m/>
    <m/>
    <m/>
    <n v="0.4"/>
    <n v="0.3"/>
    <n v="30"/>
    <n v="0.1"/>
    <m/>
    <m/>
    <m/>
    <n v="0"/>
    <n v="0.5"/>
    <s v="Tested"/>
    <n v="0"/>
    <n v="1"/>
    <n v="1"/>
    <n v="0"/>
    <n v="0"/>
    <n v="0"/>
    <n v="1"/>
    <n v="1"/>
    <n v="1"/>
    <n v="175"/>
    <n v="0"/>
    <n v="0"/>
    <n v="1"/>
    <n v="175"/>
    <n v="0.35"/>
    <n v="0"/>
    <n v="0"/>
    <n v="0.65"/>
    <n v="1"/>
    <n v="4"/>
    <n v="0.45714285714285713"/>
    <n v="80"/>
    <n v="0"/>
    <n v="0"/>
    <n v="0"/>
    <n v="0"/>
    <n v="9"/>
    <n v="5"/>
    <n v="0.54285714285714293"/>
    <n v="0"/>
    <n v="0"/>
    <n v="30"/>
    <n v="0"/>
    <n v="30"/>
    <n v="30"/>
    <n v="0.17142857142857143"/>
    <n v="0.82857142857142851"/>
    <n v="0"/>
    <n v="0.68571428571428572"/>
    <n v="0"/>
    <n v="0"/>
    <n v="0"/>
    <n v="0"/>
    <n v="0"/>
    <s v="No"/>
    <n v="0.17142857142857143"/>
    <n v="0"/>
    <n v="0"/>
    <s v="Yes"/>
    <s v="KMSS-MYT"/>
    <x v="0"/>
    <x v="1"/>
    <x v="1"/>
    <n v="26.351690999999999"/>
    <n v="96.690871999999999"/>
    <s v="MMR001CMP254"/>
    <x v="0"/>
    <s v="cccm_2019OCT"/>
  </r>
  <r>
    <x v="2"/>
    <x v="4"/>
    <x v="4"/>
    <m/>
    <x v="0"/>
    <x v="21"/>
    <x v="1"/>
    <x v="151"/>
    <n v="127"/>
    <n v="450"/>
    <m/>
    <m/>
    <m/>
    <m/>
    <m/>
    <m/>
    <m/>
    <m/>
    <m/>
    <m/>
    <m/>
    <m/>
    <m/>
    <m/>
    <m/>
    <m/>
    <m/>
    <m/>
    <m/>
    <m/>
    <m/>
    <m/>
    <m/>
    <m/>
    <m/>
    <m/>
    <m/>
    <m/>
    <m/>
    <m/>
    <m/>
    <m/>
    <m/>
    <m/>
    <m/>
    <m/>
    <m/>
    <m/>
    <m/>
    <x v="0"/>
    <x v="0"/>
    <m/>
    <m/>
    <m/>
    <m/>
    <m/>
    <m/>
    <m/>
    <m/>
    <m/>
    <m/>
    <m/>
    <m/>
    <m/>
    <m/>
    <m/>
    <m/>
    <m/>
    <m/>
    <m/>
    <m/>
    <m/>
    <m/>
    <m/>
    <m/>
    <m/>
    <m/>
    <s v="no test"/>
    <s v="no test"/>
    <s v="No Test"/>
    <n v="0"/>
    <n v="0"/>
    <n v="0"/>
    <n v="0"/>
    <n v="0"/>
    <n v="0"/>
    <n v="0"/>
    <n v="0"/>
    <n v="0"/>
    <n v="0"/>
    <n v="0"/>
    <n v="0"/>
    <n v="0"/>
    <n v="0"/>
    <n v="0"/>
    <n v="1"/>
    <n v="450"/>
    <n v="1"/>
    <n v="1"/>
    <n v="0"/>
    <n v="0"/>
    <n v="0"/>
    <n v="0"/>
    <n v="0"/>
    <n v="0"/>
    <n v="0"/>
    <n v="23"/>
    <n v="23"/>
    <n v="1"/>
    <n v="0"/>
    <n v="0"/>
    <n v="0"/>
    <n v="0"/>
    <n v="0"/>
    <n v="0"/>
    <n v="0"/>
    <n v="1"/>
    <n v="0"/>
    <n v="0"/>
    <n v="0"/>
    <n v="0"/>
    <n v="0"/>
    <n v="0"/>
    <n v="0"/>
    <s v="No"/>
    <s v=""/>
    <n v="0"/>
    <n v="0"/>
    <s v="Yes"/>
    <s v="KBC-MYT"/>
    <x v="0"/>
    <x v="1"/>
    <x v="1"/>
    <n v="0"/>
    <n v="0"/>
    <s v="MMR001CMP253"/>
    <x v="1"/>
    <s v="cccm_2019OCT"/>
  </r>
  <r>
    <x v="2"/>
    <x v="4"/>
    <x v="4"/>
    <m/>
    <x v="0"/>
    <x v="8"/>
    <x v="1"/>
    <x v="152"/>
    <n v="14"/>
    <n v="75"/>
    <m/>
    <m/>
    <m/>
    <m/>
    <m/>
    <m/>
    <m/>
    <m/>
    <n v="5"/>
    <m/>
    <m/>
    <m/>
    <m/>
    <m/>
    <m/>
    <m/>
    <m/>
    <m/>
    <m/>
    <m/>
    <m/>
    <m/>
    <m/>
    <m/>
    <m/>
    <m/>
    <m/>
    <m/>
    <m/>
    <m/>
    <m/>
    <m/>
    <m/>
    <m/>
    <m/>
    <m/>
    <m/>
    <m/>
    <m/>
    <x v="0"/>
    <x v="0"/>
    <m/>
    <m/>
    <m/>
    <m/>
    <m/>
    <m/>
    <m/>
    <m/>
    <m/>
    <m/>
    <m/>
    <m/>
    <m/>
    <m/>
    <m/>
    <m/>
    <m/>
    <m/>
    <m/>
    <m/>
    <m/>
    <m/>
    <m/>
    <m/>
    <m/>
    <m/>
    <s v="no test"/>
    <s v="no test"/>
    <s v="No Test"/>
    <n v="0"/>
    <n v="0"/>
    <n v="0"/>
    <n v="0"/>
    <n v="0"/>
    <n v="0"/>
    <n v="0"/>
    <n v="0"/>
    <n v="0"/>
    <n v="0"/>
    <n v="0"/>
    <n v="0"/>
    <n v="0"/>
    <n v="0"/>
    <n v="0"/>
    <n v="1"/>
    <n v="75"/>
    <n v="1"/>
    <n v="1"/>
    <n v="0"/>
    <n v="0"/>
    <n v="0"/>
    <n v="0"/>
    <n v="0"/>
    <n v="0"/>
    <n v="0"/>
    <n v="4"/>
    <n v="4"/>
    <n v="1"/>
    <n v="0"/>
    <n v="0"/>
    <n v="0"/>
    <n v="0"/>
    <n v="0"/>
    <n v="0"/>
    <n v="0"/>
    <n v="1"/>
    <n v="0"/>
    <n v="0"/>
    <n v="0"/>
    <n v="0"/>
    <n v="0"/>
    <n v="0"/>
    <n v="0"/>
    <s v="No"/>
    <s v=""/>
    <n v="0"/>
    <n v="0"/>
    <n v="0"/>
    <s v="uncovered"/>
    <x v="0"/>
    <x v="4"/>
    <x v="1"/>
    <n v="27.311699999999998"/>
    <n v="97.415289999999999"/>
    <s v="MMR001CMP075"/>
    <x v="1"/>
    <s v="cccm_2019OCT"/>
  </r>
  <r>
    <x v="2"/>
    <x v="1"/>
    <x v="1"/>
    <s v="HARP/UNICEF"/>
    <x v="0"/>
    <x v="3"/>
    <x v="1"/>
    <x v="61"/>
    <n v="50"/>
    <n v="218"/>
    <s v="3-1-2019, 12-11-2019"/>
    <s v="12-31-2020, 12-10-2020"/>
    <m/>
    <m/>
    <m/>
    <m/>
    <s v="Yes"/>
    <m/>
    <m/>
    <n v="1"/>
    <m/>
    <m/>
    <m/>
    <m/>
    <m/>
    <m/>
    <m/>
    <m/>
    <m/>
    <m/>
    <m/>
    <m/>
    <m/>
    <m/>
    <m/>
    <m/>
    <m/>
    <m/>
    <m/>
    <m/>
    <m/>
    <n v="16"/>
    <m/>
    <m/>
    <m/>
    <m/>
    <m/>
    <m/>
    <m/>
    <x v="1"/>
    <x v="1"/>
    <n v="1"/>
    <m/>
    <m/>
    <m/>
    <m/>
    <m/>
    <m/>
    <m/>
    <m/>
    <n v="2"/>
    <m/>
    <n v="2"/>
    <m/>
    <m/>
    <m/>
    <m/>
    <m/>
    <m/>
    <m/>
    <m/>
    <m/>
    <m/>
    <m/>
    <m/>
    <m/>
    <m/>
    <s v="no test"/>
    <s v="no test"/>
    <s v="No Test"/>
    <n v="1"/>
    <n v="0"/>
    <n v="0"/>
    <n v="0"/>
    <n v="0"/>
    <n v="0"/>
    <n v="1"/>
    <n v="1"/>
    <n v="1"/>
    <n v="218"/>
    <n v="0"/>
    <n v="0"/>
    <n v="1"/>
    <n v="218"/>
    <n v="0.436"/>
    <n v="0"/>
    <n v="0"/>
    <n v="0.56400000000000006"/>
    <n v="1"/>
    <n v="16"/>
    <n v="1"/>
    <n v="218"/>
    <n v="0"/>
    <n v="0"/>
    <n v="0"/>
    <n v="0"/>
    <n v="11"/>
    <n v="0"/>
    <n v="0"/>
    <n v="0"/>
    <n v="218"/>
    <n v="0"/>
    <n v="0"/>
    <n v="0"/>
    <n v="218"/>
    <n v="1"/>
    <n v="0"/>
    <n v="1"/>
    <n v="0"/>
    <n v="0"/>
    <n v="0"/>
    <n v="0"/>
    <n v="0"/>
    <n v="0"/>
    <s v="No"/>
    <s v=""/>
    <n v="0"/>
    <n v="0"/>
    <s v="Yes"/>
    <s v="KMSS-MYT"/>
    <x v="0"/>
    <x v="1"/>
    <x v="1"/>
    <n v="25.613894999999999"/>
    <n v="96.341352999999998"/>
    <s v="MMR001CMP103"/>
    <x v="0"/>
    <s v="cccm_2019OCT"/>
  </r>
  <r>
    <x v="2"/>
    <x v="5"/>
    <x v="5"/>
    <s v="DFID"/>
    <x v="0"/>
    <x v="3"/>
    <x v="1"/>
    <x v="163"/>
    <n v="123"/>
    <n v="672"/>
    <d v="2018-08-01T00:00:00"/>
    <d v="2020-12-31T00:00:00"/>
    <m/>
    <n v="2"/>
    <m/>
    <m/>
    <s v="Yes"/>
    <n v="1"/>
    <n v="2"/>
    <n v="0"/>
    <m/>
    <m/>
    <n v="0"/>
    <n v="0"/>
    <m/>
    <m/>
    <n v="1"/>
    <m/>
    <m/>
    <n v="0"/>
    <n v="1"/>
    <m/>
    <n v="0"/>
    <n v="0"/>
    <m/>
    <m/>
    <m/>
    <m/>
    <n v="0"/>
    <n v="0"/>
    <m/>
    <n v="23"/>
    <n v="13"/>
    <s v="ICRC"/>
    <m/>
    <m/>
    <m/>
    <m/>
    <n v="0"/>
    <x v="1"/>
    <x v="1"/>
    <n v="0"/>
    <n v="0"/>
    <n v="0"/>
    <m/>
    <m/>
    <m/>
    <n v="4"/>
    <m/>
    <n v="0"/>
    <n v="4"/>
    <m/>
    <n v="1"/>
    <n v="2"/>
    <m/>
    <m/>
    <m/>
    <m/>
    <m/>
    <m/>
    <m/>
    <m/>
    <m/>
    <m/>
    <m/>
    <m/>
    <m/>
    <s v="no test"/>
    <s v="no test"/>
    <s v="No Test"/>
    <n v="0"/>
    <n v="0"/>
    <n v="1"/>
    <n v="0"/>
    <n v="0"/>
    <n v="0"/>
    <n v="9.9206349206349215E-2"/>
    <n v="9.9206349206349215E-2"/>
    <n v="9.9206349206349215E-2"/>
    <n v="66.666666666666671"/>
    <n v="0.37202380952380953"/>
    <n v="250"/>
    <n v="0.47123015873015872"/>
    <n v="316.66666666666669"/>
    <n v="0.63333333333333341"/>
    <n v="0.52876984126984128"/>
    <n v="355.33333333333331"/>
    <n v="0.36666666666666659"/>
    <n v="1"/>
    <n v="36"/>
    <n v="1"/>
    <n v="672"/>
    <n v="0"/>
    <n v="0"/>
    <n v="0"/>
    <n v="0"/>
    <n v="34"/>
    <n v="0"/>
    <n v="0"/>
    <n v="0"/>
    <n v="672"/>
    <n v="0"/>
    <n v="0"/>
    <n v="0"/>
    <n v="672"/>
    <n v="1"/>
    <n v="0"/>
    <n v="1"/>
    <n v="0"/>
    <n v="0"/>
    <n v="4"/>
    <n v="80"/>
    <n v="0"/>
    <n v="400"/>
    <s v="No"/>
    <s v=""/>
    <n v="0"/>
    <n v="0"/>
    <s v="Yes"/>
    <s v="KBC-MYT"/>
    <x v="0"/>
    <x v="1"/>
    <x v="1"/>
    <n v="0"/>
    <n v="0"/>
    <s v="MMR001CMP250"/>
    <x v="0"/>
    <s v="cccm_2019OCT"/>
  </r>
  <r>
    <x v="2"/>
    <x v="5"/>
    <x v="5"/>
    <s v="DFID"/>
    <x v="0"/>
    <x v="3"/>
    <x v="1"/>
    <x v="165"/>
    <n v="18"/>
    <n v="103"/>
    <d v="2018-08-01T00:00:00"/>
    <d v="2020-12-31T00:00:00"/>
    <m/>
    <n v="1"/>
    <m/>
    <m/>
    <s v="Yes"/>
    <n v="1"/>
    <n v="2"/>
    <n v="0"/>
    <m/>
    <m/>
    <n v="0"/>
    <n v="0"/>
    <m/>
    <m/>
    <n v="2"/>
    <m/>
    <m/>
    <n v="0"/>
    <n v="2"/>
    <m/>
    <n v="1"/>
    <n v="0"/>
    <m/>
    <m/>
    <m/>
    <m/>
    <n v="0"/>
    <n v="0"/>
    <m/>
    <n v="4"/>
    <n v="0"/>
    <s v="Shalom"/>
    <m/>
    <m/>
    <m/>
    <m/>
    <n v="0"/>
    <x v="1"/>
    <x v="1"/>
    <n v="0"/>
    <n v="0"/>
    <n v="0"/>
    <m/>
    <m/>
    <m/>
    <n v="2"/>
    <m/>
    <n v="0"/>
    <n v="2"/>
    <m/>
    <n v="1"/>
    <n v="2"/>
    <m/>
    <m/>
    <m/>
    <m/>
    <m/>
    <m/>
    <m/>
    <m/>
    <m/>
    <m/>
    <m/>
    <m/>
    <m/>
    <s v="no test"/>
    <s v="no test"/>
    <s v="No Test"/>
    <n v="0"/>
    <n v="0"/>
    <n v="2"/>
    <n v="0"/>
    <n v="0"/>
    <n v="0"/>
    <n v="1"/>
    <n v="1"/>
    <n v="1"/>
    <n v="103"/>
    <n v="1"/>
    <n v="103"/>
    <n v="1"/>
    <n v="103"/>
    <n v="0.20599999999999999"/>
    <n v="0"/>
    <n v="0"/>
    <n v="0.79400000000000004"/>
    <n v="1"/>
    <n v="4"/>
    <n v="0.77669902912621358"/>
    <n v="80"/>
    <n v="0"/>
    <n v="0"/>
    <n v="0"/>
    <n v="0"/>
    <n v="5"/>
    <n v="1"/>
    <n v="0.22330097087378642"/>
    <n v="0"/>
    <n v="103"/>
    <n v="0"/>
    <n v="0"/>
    <n v="0"/>
    <n v="103"/>
    <n v="1"/>
    <n v="0"/>
    <n v="1"/>
    <n v="0"/>
    <n v="0"/>
    <n v="2"/>
    <n v="18"/>
    <n v="0"/>
    <n v="103"/>
    <s v="No"/>
    <s v=""/>
    <n v="0"/>
    <n v="0"/>
    <s v="Yes"/>
    <s v="Shalom"/>
    <x v="0"/>
    <x v="1"/>
    <x v="1"/>
    <n v="25.566510000000001"/>
    <n v="96.269199999999998"/>
    <s v="MMR001CMP181"/>
    <x v="0"/>
    <s v="cccm_2019OCT"/>
  </r>
  <r>
    <x v="2"/>
    <x v="5"/>
    <x v="5"/>
    <s v="DFID"/>
    <x v="0"/>
    <x v="3"/>
    <x v="1"/>
    <x v="166"/>
    <n v="12"/>
    <n v="60"/>
    <d v="2018-08-01T00:00:00"/>
    <d v="2020-12-31T00:00:00"/>
    <m/>
    <n v="1"/>
    <m/>
    <m/>
    <s v="Yes"/>
    <n v="3"/>
    <n v="4"/>
    <n v="0"/>
    <m/>
    <m/>
    <n v="0"/>
    <n v="0"/>
    <m/>
    <m/>
    <n v="0"/>
    <m/>
    <m/>
    <n v="0"/>
    <n v="0"/>
    <m/>
    <n v="0"/>
    <n v="1"/>
    <m/>
    <m/>
    <m/>
    <m/>
    <n v="0"/>
    <n v="0"/>
    <m/>
    <n v="2"/>
    <n v="0"/>
    <s v="Shalom"/>
    <m/>
    <m/>
    <m/>
    <m/>
    <n v="0"/>
    <x v="1"/>
    <x v="4"/>
    <n v="0"/>
    <n v="0"/>
    <n v="0"/>
    <m/>
    <m/>
    <m/>
    <n v="1"/>
    <m/>
    <n v="0"/>
    <n v="2"/>
    <m/>
    <n v="3"/>
    <n v="4"/>
    <m/>
    <m/>
    <m/>
    <m/>
    <m/>
    <m/>
    <m/>
    <m/>
    <m/>
    <m/>
    <m/>
    <m/>
    <m/>
    <s v="no test"/>
    <s v="no test"/>
    <s v="No Test"/>
    <n v="0"/>
    <n v="0"/>
    <n v="0"/>
    <n v="0"/>
    <n v="0"/>
    <n v="0"/>
    <n v="0"/>
    <n v="0"/>
    <n v="0"/>
    <n v="0"/>
    <n v="0"/>
    <n v="0"/>
    <n v="0"/>
    <n v="0"/>
    <n v="0"/>
    <n v="1"/>
    <n v="60"/>
    <n v="1"/>
    <n v="1"/>
    <n v="2"/>
    <n v="0.66666666666666663"/>
    <n v="40"/>
    <n v="0"/>
    <n v="0"/>
    <n v="0"/>
    <n v="0"/>
    <n v="3"/>
    <n v="1"/>
    <n v="0.33333333333333337"/>
    <n v="0"/>
    <n v="60"/>
    <n v="0"/>
    <n v="0"/>
    <n v="0"/>
    <n v="60"/>
    <n v="1"/>
    <n v="0"/>
    <n v="1"/>
    <n v="0"/>
    <n v="0"/>
    <n v="1"/>
    <n v="12"/>
    <n v="0"/>
    <n v="60"/>
    <s v="No"/>
    <s v=""/>
    <n v="0"/>
    <n v="0"/>
    <s v="Yes"/>
    <s v="Shalom"/>
    <x v="0"/>
    <x v="1"/>
    <x v="1"/>
    <n v="25.61842"/>
    <n v="96.316400000000002"/>
    <s v="MMR001CMP167"/>
    <x v="0"/>
    <s v="cccm_2019OCT"/>
  </r>
  <r>
    <x v="2"/>
    <x v="1"/>
    <x v="1"/>
    <s v="HARP/UNICEF"/>
    <x v="0"/>
    <x v="4"/>
    <x v="1"/>
    <x v="64"/>
    <n v="57"/>
    <n v="264"/>
    <s v="3-1-2019, 12-11-2019"/>
    <s v="12-31-2020, 12-10-2020"/>
    <m/>
    <m/>
    <m/>
    <m/>
    <s v="Yes"/>
    <m/>
    <m/>
    <m/>
    <m/>
    <m/>
    <m/>
    <m/>
    <m/>
    <m/>
    <n v="1"/>
    <m/>
    <m/>
    <m/>
    <m/>
    <m/>
    <m/>
    <m/>
    <m/>
    <m/>
    <m/>
    <m/>
    <m/>
    <m/>
    <m/>
    <n v="28"/>
    <m/>
    <m/>
    <m/>
    <m/>
    <m/>
    <m/>
    <m/>
    <x v="1"/>
    <x v="1"/>
    <n v="2"/>
    <m/>
    <m/>
    <m/>
    <m/>
    <m/>
    <m/>
    <m/>
    <m/>
    <n v="2"/>
    <m/>
    <m/>
    <m/>
    <m/>
    <m/>
    <m/>
    <m/>
    <m/>
    <m/>
    <m/>
    <m/>
    <m/>
    <m/>
    <m/>
    <m/>
    <m/>
    <s v="no test"/>
    <s v="no test"/>
    <s v="No Test"/>
    <n v="0"/>
    <n v="0"/>
    <n v="1"/>
    <n v="0"/>
    <n v="0"/>
    <n v="0"/>
    <n v="0.25252525252525254"/>
    <n v="0.25252525252525254"/>
    <n v="0.25252525252525254"/>
    <n v="66.666666666666671"/>
    <n v="0"/>
    <n v="0"/>
    <n v="0.25252525252525254"/>
    <n v="66.666666666666671"/>
    <n v="0.13333333333333333"/>
    <n v="0.7474747474747474"/>
    <n v="197.33333333333331"/>
    <n v="0.8666666666666667"/>
    <n v="1"/>
    <n v="28"/>
    <n v="1"/>
    <n v="264"/>
    <n v="0"/>
    <n v="0"/>
    <n v="0"/>
    <n v="0"/>
    <n v="13"/>
    <n v="0"/>
    <n v="0"/>
    <n v="0"/>
    <n v="0"/>
    <n v="0"/>
    <n v="0"/>
    <n v="0"/>
    <n v="0"/>
    <n v="0"/>
    <n v="1"/>
    <n v="0"/>
    <n v="0"/>
    <n v="0"/>
    <n v="0"/>
    <n v="0"/>
    <n v="0"/>
    <n v="0"/>
    <s v="No"/>
    <s v=""/>
    <n v="0"/>
    <n v="0"/>
    <s v="Yes"/>
    <s v="KMSS-MYT"/>
    <x v="0"/>
    <x v="1"/>
    <x v="1"/>
    <n v="25.60867"/>
    <n v="98.377780000000001"/>
    <s v="MMR001CMP210"/>
    <x v="0"/>
    <s v="cccm_2019OCT"/>
  </r>
  <r>
    <x v="2"/>
    <x v="5"/>
    <x v="5"/>
    <s v="DFID"/>
    <x v="0"/>
    <x v="4"/>
    <x v="1"/>
    <x v="158"/>
    <n v="162"/>
    <n v="830"/>
    <d v="2018-08-01T00:00:00"/>
    <d v="2020-12-31T00:00:00"/>
    <m/>
    <n v="1"/>
    <m/>
    <m/>
    <s v="Yes"/>
    <n v="2"/>
    <n v="3"/>
    <n v="0"/>
    <m/>
    <m/>
    <n v="0"/>
    <m/>
    <m/>
    <m/>
    <n v="1"/>
    <m/>
    <m/>
    <m/>
    <m/>
    <m/>
    <m/>
    <n v="1"/>
    <m/>
    <m/>
    <m/>
    <m/>
    <m/>
    <m/>
    <m/>
    <n v="38"/>
    <n v="12"/>
    <s v="ICRC"/>
    <m/>
    <m/>
    <m/>
    <m/>
    <n v="0"/>
    <x v="2"/>
    <x v="2"/>
    <n v="0"/>
    <n v="0"/>
    <n v="0"/>
    <m/>
    <m/>
    <m/>
    <n v="14"/>
    <m/>
    <n v="0"/>
    <n v="9"/>
    <m/>
    <n v="2"/>
    <n v="3"/>
    <m/>
    <m/>
    <s v="No"/>
    <m/>
    <m/>
    <m/>
    <m/>
    <m/>
    <m/>
    <m/>
    <m/>
    <m/>
    <m/>
    <s v="no test"/>
    <s v="no test"/>
    <s v="No Test"/>
    <n v="0"/>
    <n v="0"/>
    <n v="1"/>
    <n v="0"/>
    <n v="0"/>
    <n v="0"/>
    <n v="8.0321285140562249E-2"/>
    <n v="8.0321285140562249E-2"/>
    <n v="8.0321285140562249E-2"/>
    <n v="66.666666666666671"/>
    <n v="0"/>
    <n v="0"/>
    <n v="8.0321285140562249E-2"/>
    <n v="66.666666666666671"/>
    <n v="0.13333333333333333"/>
    <n v="0.91967871485943775"/>
    <n v="763.33333333333337"/>
    <n v="1.8666666666666667"/>
    <n v="2"/>
    <n v="50"/>
    <n v="1"/>
    <n v="830"/>
    <n v="0"/>
    <n v="0"/>
    <n v="0"/>
    <n v="0"/>
    <n v="42"/>
    <n v="0"/>
    <n v="0"/>
    <n v="0"/>
    <n v="830"/>
    <n v="0"/>
    <n v="0"/>
    <n v="0"/>
    <n v="830"/>
    <n v="1"/>
    <n v="0"/>
    <n v="1"/>
    <n v="0"/>
    <n v="0"/>
    <n v="14"/>
    <n v="162"/>
    <n v="0"/>
    <n v="830"/>
    <s v="No"/>
    <s v=""/>
    <n v="0"/>
    <n v="0"/>
    <s v="Yes"/>
    <s v="Shalom"/>
    <x v="0"/>
    <x v="1"/>
    <x v="1"/>
    <n v="25.889410000000002"/>
    <n v="98.131550000000004"/>
    <s v="MMR001CMP042"/>
    <x v="0"/>
    <s v="cccm_2019OCT"/>
  </r>
  <r>
    <x v="2"/>
    <x v="4"/>
    <x v="4"/>
    <m/>
    <x v="0"/>
    <x v="3"/>
    <x v="1"/>
    <x v="140"/>
    <n v="3"/>
    <n v="15"/>
    <m/>
    <m/>
    <m/>
    <n v="0"/>
    <m/>
    <m/>
    <s v="Yes"/>
    <m/>
    <n v="5"/>
    <n v="1"/>
    <m/>
    <m/>
    <n v="1"/>
    <m/>
    <m/>
    <m/>
    <n v="0"/>
    <m/>
    <m/>
    <m/>
    <m/>
    <m/>
    <m/>
    <n v="1"/>
    <m/>
    <m/>
    <m/>
    <m/>
    <m/>
    <m/>
    <m/>
    <n v="0"/>
    <m/>
    <m/>
    <m/>
    <m/>
    <m/>
    <m/>
    <n v="0"/>
    <x v="1"/>
    <x v="2"/>
    <m/>
    <m/>
    <m/>
    <m/>
    <m/>
    <m/>
    <m/>
    <m/>
    <n v="0"/>
    <m/>
    <m/>
    <m/>
    <m/>
    <m/>
    <m/>
    <m/>
    <m/>
    <m/>
    <m/>
    <m/>
    <m/>
    <m/>
    <m/>
    <m/>
    <m/>
    <m/>
    <s v="no test"/>
    <s v="no test"/>
    <s v="No Test"/>
    <n v="1"/>
    <n v="1"/>
    <n v="0"/>
    <n v="0"/>
    <n v="0"/>
    <n v="0"/>
    <n v="1"/>
    <n v="1"/>
    <n v="1"/>
    <n v="15"/>
    <n v="0"/>
    <n v="0"/>
    <n v="1"/>
    <n v="15"/>
    <n v="0.03"/>
    <n v="0"/>
    <n v="0"/>
    <n v="0.97"/>
    <n v="1"/>
    <n v="0"/>
    <n v="0"/>
    <n v="0"/>
    <n v="0"/>
    <n v="0"/>
    <n v="0"/>
    <n v="0"/>
    <n v="1"/>
    <n v="1"/>
    <n v="1"/>
    <n v="0"/>
    <n v="0"/>
    <n v="0"/>
    <n v="0"/>
    <n v="0"/>
    <n v="0"/>
    <n v="0"/>
    <n v="1"/>
    <n v="0"/>
    <n v="0"/>
    <n v="0"/>
    <n v="0"/>
    <n v="0"/>
    <n v="0"/>
    <n v="0"/>
    <s v="No"/>
    <s v=""/>
    <n v="0"/>
    <n v="0"/>
    <s v="Yes"/>
    <s v="Shalom"/>
    <x v="0"/>
    <x v="0"/>
    <x v="1"/>
    <n v="25.6145"/>
    <n v="96.319829999999996"/>
    <s v="MMR001CMP091"/>
    <x v="1"/>
    <s v="cccm_2019OCT"/>
  </r>
  <r>
    <x v="2"/>
    <x v="0"/>
    <x v="0"/>
    <m/>
    <x v="0"/>
    <x v="2"/>
    <x v="1"/>
    <x v="38"/>
    <n v="179"/>
    <n v="958"/>
    <m/>
    <m/>
    <m/>
    <m/>
    <m/>
    <m/>
    <s v="Yes"/>
    <m/>
    <m/>
    <n v="0"/>
    <m/>
    <m/>
    <n v="0"/>
    <m/>
    <m/>
    <m/>
    <n v="1"/>
    <m/>
    <m/>
    <m/>
    <m/>
    <m/>
    <m/>
    <n v="0"/>
    <m/>
    <m/>
    <m/>
    <m/>
    <m/>
    <m/>
    <m/>
    <n v="158"/>
    <m/>
    <m/>
    <m/>
    <m/>
    <m/>
    <m/>
    <n v="158"/>
    <x v="1"/>
    <x v="1"/>
    <m/>
    <m/>
    <m/>
    <m/>
    <m/>
    <m/>
    <n v="158"/>
    <m/>
    <m/>
    <n v="4"/>
    <m/>
    <m/>
    <m/>
    <m/>
    <m/>
    <m/>
    <m/>
    <m/>
    <m/>
    <m/>
    <m/>
    <m/>
    <m/>
    <m/>
    <m/>
    <m/>
    <s v="no test"/>
    <s v="no test"/>
    <s v="No Test"/>
    <n v="0"/>
    <n v="0"/>
    <n v="1"/>
    <n v="0"/>
    <n v="0"/>
    <n v="0"/>
    <n v="6.9589422407794019E-2"/>
    <n v="6.9589422407794019E-2"/>
    <n v="6.9589422407794019E-2"/>
    <n v="66.666666666666671"/>
    <n v="0"/>
    <n v="0"/>
    <n v="6.9589422407794019E-2"/>
    <n v="66.666666666666671"/>
    <n v="0.13333333333333333"/>
    <n v="0.93041057759220602"/>
    <n v="891.33333333333337"/>
    <n v="1.8666666666666667"/>
    <n v="2"/>
    <n v="158"/>
    <n v="1"/>
    <n v="958"/>
    <n v="0"/>
    <n v="0"/>
    <n v="0"/>
    <n v="0"/>
    <n v="48"/>
    <n v="0"/>
    <n v="0"/>
    <n v="0"/>
    <n v="0"/>
    <n v="0"/>
    <n v="0"/>
    <n v="0"/>
    <n v="0"/>
    <n v="0"/>
    <n v="1"/>
    <n v="0"/>
    <n v="0"/>
    <n v="0"/>
    <n v="158"/>
    <n v="179"/>
    <n v="0"/>
    <n v="958"/>
    <s v="No"/>
    <s v=""/>
    <n v="0"/>
    <n v="0"/>
    <s v="Yes"/>
    <s v="KBC-MYT"/>
    <x v="0"/>
    <x v="1"/>
    <x v="1"/>
    <n v="25.418084"/>
    <n v="98.025662999999994"/>
    <s v="MMR001CMP041"/>
    <x v="0"/>
    <s v="cccm_2019OCT"/>
  </r>
  <r>
    <x v="2"/>
    <x v="4"/>
    <x v="4"/>
    <m/>
    <x v="0"/>
    <x v="3"/>
    <x v="1"/>
    <x v="143"/>
    <n v="10"/>
    <n v="18"/>
    <m/>
    <m/>
    <m/>
    <m/>
    <m/>
    <m/>
    <m/>
    <m/>
    <n v="4"/>
    <m/>
    <m/>
    <m/>
    <m/>
    <m/>
    <m/>
    <m/>
    <m/>
    <m/>
    <m/>
    <m/>
    <m/>
    <m/>
    <m/>
    <m/>
    <m/>
    <m/>
    <m/>
    <m/>
    <m/>
    <m/>
    <m/>
    <m/>
    <m/>
    <m/>
    <m/>
    <m/>
    <m/>
    <m/>
    <m/>
    <x v="0"/>
    <x v="0"/>
    <m/>
    <m/>
    <m/>
    <m/>
    <m/>
    <m/>
    <m/>
    <m/>
    <m/>
    <m/>
    <m/>
    <m/>
    <m/>
    <m/>
    <m/>
    <m/>
    <m/>
    <m/>
    <m/>
    <m/>
    <m/>
    <m/>
    <m/>
    <m/>
    <m/>
    <m/>
    <s v="no test"/>
    <s v="no test"/>
    <s v="No Test"/>
    <n v="0"/>
    <n v="0"/>
    <n v="0"/>
    <n v="0"/>
    <n v="0"/>
    <n v="0"/>
    <n v="0"/>
    <n v="0"/>
    <n v="0"/>
    <n v="0"/>
    <n v="0"/>
    <n v="0"/>
    <n v="0"/>
    <n v="0"/>
    <n v="0"/>
    <n v="1"/>
    <n v="18"/>
    <n v="1"/>
    <n v="1"/>
    <n v="0"/>
    <n v="0"/>
    <n v="0"/>
    <n v="0"/>
    <n v="0"/>
    <n v="0"/>
    <n v="0"/>
    <n v="1"/>
    <n v="1"/>
    <n v="1"/>
    <n v="0"/>
    <n v="0"/>
    <n v="0"/>
    <n v="0"/>
    <n v="0"/>
    <n v="0"/>
    <n v="0"/>
    <n v="1"/>
    <n v="0"/>
    <n v="0"/>
    <n v="0"/>
    <n v="0"/>
    <n v="0"/>
    <n v="0"/>
    <n v="0"/>
    <s v="No"/>
    <s v=""/>
    <n v="0"/>
    <n v="0"/>
    <s v="Yes"/>
    <s v="KMSS-MYT"/>
    <x v="0"/>
    <x v="1"/>
    <x v="1"/>
    <n v="25.920006000000001"/>
    <n v="96.662092000000001"/>
    <s v="MMR001CMP247"/>
    <x v="1"/>
    <s v="cccm_2019OCT"/>
  </r>
  <r>
    <x v="2"/>
    <x v="5"/>
    <x v="5"/>
    <s v="DFID"/>
    <x v="0"/>
    <x v="3"/>
    <x v="1"/>
    <x v="170"/>
    <n v="11"/>
    <n v="42"/>
    <d v="2018-08-01T00:00:00"/>
    <d v="2020-12-31T00:00:00"/>
    <m/>
    <n v="1"/>
    <m/>
    <m/>
    <s v="Yes"/>
    <n v="4"/>
    <n v="2"/>
    <n v="1"/>
    <m/>
    <m/>
    <n v="0"/>
    <n v="0"/>
    <m/>
    <m/>
    <n v="2"/>
    <m/>
    <m/>
    <n v="0"/>
    <n v="0"/>
    <m/>
    <n v="0"/>
    <n v="1"/>
    <m/>
    <m/>
    <m/>
    <m/>
    <n v="0"/>
    <n v="0"/>
    <m/>
    <n v="3"/>
    <n v="0"/>
    <s v="Shalom"/>
    <m/>
    <m/>
    <m/>
    <m/>
    <n v="0"/>
    <x v="1"/>
    <x v="4"/>
    <n v="0"/>
    <n v="0"/>
    <n v="0"/>
    <m/>
    <m/>
    <m/>
    <n v="0"/>
    <m/>
    <n v="0"/>
    <n v="2"/>
    <m/>
    <n v="4"/>
    <n v="2"/>
    <m/>
    <m/>
    <m/>
    <m/>
    <m/>
    <m/>
    <m/>
    <m/>
    <m/>
    <m/>
    <m/>
    <m/>
    <m/>
    <s v="no test"/>
    <s v="no test"/>
    <s v="No Test"/>
    <n v="1"/>
    <n v="0"/>
    <n v="2"/>
    <n v="0"/>
    <n v="0"/>
    <n v="0"/>
    <n v="1"/>
    <n v="1"/>
    <n v="1"/>
    <n v="42"/>
    <n v="0"/>
    <n v="0"/>
    <n v="1"/>
    <n v="42"/>
    <n v="8.4000000000000005E-2"/>
    <n v="0"/>
    <n v="0"/>
    <n v="0.91600000000000004"/>
    <n v="1"/>
    <n v="3"/>
    <n v="1"/>
    <n v="42"/>
    <n v="0"/>
    <n v="0"/>
    <n v="0"/>
    <n v="0"/>
    <n v="2"/>
    <n v="0"/>
    <n v="0"/>
    <n v="0"/>
    <n v="42"/>
    <n v="0"/>
    <n v="0"/>
    <n v="0"/>
    <n v="42"/>
    <n v="1"/>
    <n v="0"/>
    <n v="1"/>
    <n v="0"/>
    <n v="0"/>
    <n v="0"/>
    <n v="0"/>
    <n v="0"/>
    <n v="0"/>
    <s v="No"/>
    <s v=""/>
    <n v="0"/>
    <n v="0"/>
    <s v="Yes"/>
    <s v="Shalom"/>
    <x v="0"/>
    <x v="0"/>
    <x v="1"/>
    <n v="25.617998"/>
    <n v="96.339590000000001"/>
    <s v="MMR001CMP192"/>
    <x v="0"/>
    <s v="cccm_2019OCT"/>
  </r>
  <r>
    <x v="2"/>
    <x v="1"/>
    <x v="1"/>
    <s v="HARP/UNICEF"/>
    <x v="0"/>
    <x v="4"/>
    <x v="1"/>
    <x v="66"/>
    <n v="31"/>
    <n v="173"/>
    <s v="3-1-2019, 12-11-2019"/>
    <s v="12-31-2020, 12-10-2020"/>
    <m/>
    <m/>
    <m/>
    <m/>
    <s v="Yes"/>
    <m/>
    <m/>
    <m/>
    <m/>
    <m/>
    <m/>
    <m/>
    <m/>
    <m/>
    <m/>
    <m/>
    <m/>
    <m/>
    <m/>
    <m/>
    <m/>
    <m/>
    <m/>
    <m/>
    <m/>
    <m/>
    <m/>
    <m/>
    <m/>
    <n v="10"/>
    <m/>
    <m/>
    <m/>
    <m/>
    <m/>
    <m/>
    <m/>
    <x v="1"/>
    <x v="1"/>
    <n v="2"/>
    <m/>
    <m/>
    <m/>
    <m/>
    <m/>
    <m/>
    <m/>
    <m/>
    <m/>
    <m/>
    <n v="1"/>
    <m/>
    <m/>
    <m/>
    <m/>
    <m/>
    <m/>
    <m/>
    <m/>
    <m/>
    <m/>
    <m/>
    <m/>
    <m/>
    <m/>
    <s v="no test"/>
    <s v="no test"/>
    <s v="No Test"/>
    <n v="0"/>
    <n v="0"/>
    <n v="0"/>
    <n v="0"/>
    <n v="0"/>
    <n v="0"/>
    <n v="0"/>
    <n v="0"/>
    <n v="0"/>
    <n v="0"/>
    <n v="0"/>
    <n v="0"/>
    <n v="0"/>
    <n v="0"/>
    <n v="0"/>
    <n v="1"/>
    <n v="173"/>
    <n v="1"/>
    <n v="1"/>
    <n v="10"/>
    <n v="1"/>
    <n v="173"/>
    <n v="0"/>
    <n v="0"/>
    <n v="0"/>
    <n v="0"/>
    <n v="9"/>
    <n v="0"/>
    <n v="0"/>
    <n v="0"/>
    <n v="173"/>
    <n v="0"/>
    <n v="0"/>
    <n v="0"/>
    <n v="173"/>
    <n v="1"/>
    <n v="0"/>
    <n v="1"/>
    <n v="0"/>
    <n v="0"/>
    <n v="0"/>
    <n v="0"/>
    <n v="0"/>
    <n v="0"/>
    <s v="No"/>
    <s v=""/>
    <n v="0"/>
    <n v="0"/>
    <s v="Yes"/>
    <s v="KMSS-MYT"/>
    <x v="0"/>
    <x v="1"/>
    <x v="1"/>
    <n v="25.645959999999999"/>
    <n v="98.356260000000006"/>
    <s v="MMR001CMP225"/>
    <x v="0"/>
    <s v="cccm_2019OCT"/>
  </r>
  <r>
    <x v="2"/>
    <x v="5"/>
    <x v="5"/>
    <s v="DFID"/>
    <x v="0"/>
    <x v="4"/>
    <x v="1"/>
    <x v="164"/>
    <n v="202"/>
    <n v="895"/>
    <d v="2018-08-01T00:00:00"/>
    <d v="2020-12-31T00:00:00"/>
    <m/>
    <n v="1"/>
    <m/>
    <m/>
    <s v="Yes"/>
    <n v="4"/>
    <n v="2"/>
    <n v="0"/>
    <m/>
    <m/>
    <n v="0"/>
    <m/>
    <m/>
    <m/>
    <n v="1"/>
    <m/>
    <m/>
    <m/>
    <m/>
    <m/>
    <m/>
    <n v="1"/>
    <m/>
    <m/>
    <m/>
    <m/>
    <m/>
    <m/>
    <m/>
    <n v="56"/>
    <n v="14"/>
    <s v="Oxfam/ ICRC"/>
    <m/>
    <m/>
    <m/>
    <m/>
    <n v="0"/>
    <x v="2"/>
    <x v="2"/>
    <n v="0"/>
    <n v="0"/>
    <n v="0"/>
    <m/>
    <m/>
    <m/>
    <n v="14"/>
    <m/>
    <n v="0"/>
    <n v="17"/>
    <m/>
    <n v="4"/>
    <n v="2"/>
    <m/>
    <m/>
    <s v="No"/>
    <m/>
    <m/>
    <m/>
    <m/>
    <m/>
    <m/>
    <m/>
    <m/>
    <m/>
    <m/>
    <s v="no test"/>
    <s v="no test"/>
    <s v="No Test"/>
    <n v="0"/>
    <n v="0"/>
    <n v="1"/>
    <n v="0"/>
    <n v="0"/>
    <n v="0"/>
    <n v="7.4487895716946001E-2"/>
    <n v="7.4487895716946001E-2"/>
    <n v="7.4487895716946001E-2"/>
    <n v="66.666666666666671"/>
    <n v="0"/>
    <n v="0"/>
    <n v="7.4487895716946001E-2"/>
    <n v="66.666666666666671"/>
    <n v="0.13333333333333333"/>
    <n v="0.92551210428305397"/>
    <n v="828.33333333333326"/>
    <n v="1.8666666666666667"/>
    <n v="2"/>
    <n v="70"/>
    <n v="1"/>
    <n v="895"/>
    <n v="0"/>
    <n v="0"/>
    <n v="0"/>
    <n v="0"/>
    <n v="45"/>
    <n v="0"/>
    <n v="0"/>
    <n v="0"/>
    <n v="895"/>
    <n v="0"/>
    <n v="0"/>
    <n v="0"/>
    <n v="895"/>
    <n v="1"/>
    <n v="0"/>
    <n v="1"/>
    <n v="0"/>
    <n v="0"/>
    <n v="14"/>
    <n v="202"/>
    <n v="0"/>
    <n v="895"/>
    <s v="No"/>
    <s v=""/>
    <n v="0"/>
    <n v="0"/>
    <s v="Yes"/>
    <s v="Shalom"/>
    <x v="0"/>
    <x v="1"/>
    <x v="1"/>
    <n v="25.887339999999998"/>
    <n v="98.129990000000006"/>
    <s v="MMR001CMP195"/>
    <x v="0"/>
    <s v="cccm_2019OCT"/>
  </r>
  <r>
    <x v="2"/>
    <x v="5"/>
    <x v="5"/>
    <s v="DFID"/>
    <x v="0"/>
    <x v="3"/>
    <x v="1"/>
    <x v="174"/>
    <n v="10"/>
    <n v="38"/>
    <d v="2018-08-01T00:00:00"/>
    <d v="2020-12-31T00:00:00"/>
    <m/>
    <n v="1"/>
    <m/>
    <m/>
    <s v="Yes"/>
    <n v="2"/>
    <n v="2"/>
    <n v="1"/>
    <m/>
    <m/>
    <n v="0"/>
    <n v="0"/>
    <m/>
    <m/>
    <n v="2"/>
    <m/>
    <m/>
    <n v="0"/>
    <n v="1"/>
    <m/>
    <n v="0"/>
    <n v="1"/>
    <m/>
    <m/>
    <m/>
    <m/>
    <n v="0"/>
    <n v="0"/>
    <m/>
    <n v="4"/>
    <n v="0"/>
    <s v="Shalom"/>
    <m/>
    <m/>
    <m/>
    <m/>
    <n v="0"/>
    <x v="1"/>
    <x v="1"/>
    <n v="0"/>
    <n v="0"/>
    <n v="0"/>
    <m/>
    <m/>
    <m/>
    <n v="1"/>
    <m/>
    <n v="0"/>
    <n v="2"/>
    <m/>
    <n v="2"/>
    <n v="2"/>
    <m/>
    <m/>
    <m/>
    <m/>
    <m/>
    <m/>
    <m/>
    <m/>
    <m/>
    <m/>
    <m/>
    <m/>
    <m/>
    <s v="no test"/>
    <s v="no test"/>
    <s v="No Test"/>
    <n v="1"/>
    <n v="0"/>
    <n v="2"/>
    <n v="0"/>
    <n v="0"/>
    <n v="0"/>
    <n v="1"/>
    <n v="1"/>
    <n v="1"/>
    <n v="38"/>
    <n v="1"/>
    <n v="38"/>
    <n v="1"/>
    <n v="38"/>
    <n v="7.5999999999999998E-2"/>
    <n v="0"/>
    <n v="0"/>
    <n v="0.92400000000000004"/>
    <n v="1"/>
    <n v="4"/>
    <n v="1"/>
    <n v="38"/>
    <n v="0"/>
    <n v="0"/>
    <n v="0"/>
    <n v="0"/>
    <n v="2"/>
    <n v="0"/>
    <n v="0"/>
    <n v="0"/>
    <n v="38"/>
    <n v="0"/>
    <n v="0"/>
    <n v="0"/>
    <n v="38"/>
    <n v="1"/>
    <n v="0"/>
    <n v="1"/>
    <n v="0"/>
    <n v="0"/>
    <n v="1"/>
    <n v="10"/>
    <n v="0"/>
    <n v="38"/>
    <s v="No"/>
    <s v=""/>
    <n v="0"/>
    <n v="0"/>
    <s v="Yes"/>
    <s v="Shalom"/>
    <x v="0"/>
    <x v="0"/>
    <x v="1"/>
    <n v="25.56551"/>
    <n v="96.279200000000003"/>
    <s v="MMR001CMP182"/>
    <x v="0"/>
    <s v="cccm_2019OCT"/>
  </r>
  <r>
    <x v="2"/>
    <x v="0"/>
    <x v="0"/>
    <s v="PLAN(GFFO),MHF13490"/>
    <x v="0"/>
    <x v="3"/>
    <x v="1"/>
    <x v="35"/>
    <n v="28"/>
    <n v="103"/>
    <s v="5-1-2019,10-1-2019"/>
    <s v="9-30-2020,7-31-2020"/>
    <m/>
    <m/>
    <m/>
    <m/>
    <s v="Yes"/>
    <m/>
    <n v="4"/>
    <n v="1"/>
    <m/>
    <m/>
    <n v="1"/>
    <m/>
    <m/>
    <m/>
    <m/>
    <m/>
    <m/>
    <m/>
    <m/>
    <m/>
    <m/>
    <n v="0"/>
    <m/>
    <m/>
    <m/>
    <m/>
    <m/>
    <m/>
    <m/>
    <n v="8"/>
    <m/>
    <m/>
    <m/>
    <m/>
    <m/>
    <m/>
    <n v="8"/>
    <x v="1"/>
    <x v="2"/>
    <m/>
    <m/>
    <m/>
    <m/>
    <m/>
    <m/>
    <n v="2"/>
    <m/>
    <m/>
    <n v="2"/>
    <m/>
    <m/>
    <n v="1"/>
    <m/>
    <m/>
    <m/>
    <m/>
    <m/>
    <m/>
    <m/>
    <m/>
    <m/>
    <m/>
    <m/>
    <m/>
    <m/>
    <s v="no test"/>
    <s v="no test"/>
    <s v="No Test"/>
    <n v="1"/>
    <n v="1"/>
    <n v="0"/>
    <n v="0"/>
    <n v="0"/>
    <n v="0"/>
    <n v="1"/>
    <n v="1"/>
    <n v="1"/>
    <n v="103"/>
    <n v="0"/>
    <n v="0"/>
    <n v="1"/>
    <n v="103"/>
    <n v="0.20599999999999999"/>
    <n v="0"/>
    <n v="0"/>
    <n v="0.79400000000000004"/>
    <n v="1"/>
    <n v="8"/>
    <n v="1"/>
    <n v="103"/>
    <n v="0"/>
    <n v="0"/>
    <n v="0"/>
    <n v="0"/>
    <n v="5"/>
    <n v="0"/>
    <n v="0"/>
    <n v="0"/>
    <n v="103"/>
    <n v="0"/>
    <n v="0"/>
    <n v="0"/>
    <n v="103"/>
    <n v="1"/>
    <n v="0"/>
    <n v="1"/>
    <n v="0"/>
    <n v="0"/>
    <n v="2"/>
    <n v="28"/>
    <n v="0"/>
    <n v="103"/>
    <s v="No"/>
    <s v=""/>
    <n v="0"/>
    <n v="0"/>
    <s v="Yes"/>
    <s v="KBC-MYT"/>
    <x v="0"/>
    <x v="1"/>
    <x v="1"/>
    <n v="25.920006000000001"/>
    <n v="96.662092000000001"/>
    <s v="MMR001CMP244"/>
    <x v="0"/>
    <s v="cccm_2019OCT"/>
  </r>
  <r>
    <x v="2"/>
    <x v="5"/>
    <x v="5"/>
    <s v="DFID"/>
    <x v="0"/>
    <x v="2"/>
    <x v="1"/>
    <x v="178"/>
    <n v="45"/>
    <n v="186"/>
    <d v="2018-08-01T00:00:00"/>
    <d v="2020-12-31T00:00:00"/>
    <m/>
    <n v="1"/>
    <m/>
    <m/>
    <s v="Yes"/>
    <n v="0"/>
    <n v="5"/>
    <n v="1"/>
    <m/>
    <m/>
    <n v="0"/>
    <m/>
    <m/>
    <m/>
    <n v="0"/>
    <m/>
    <m/>
    <n v="0"/>
    <n v="0"/>
    <n v="0"/>
    <n v="0"/>
    <n v="0"/>
    <m/>
    <m/>
    <m/>
    <m/>
    <n v="0"/>
    <n v="0"/>
    <m/>
    <n v="7"/>
    <m/>
    <m/>
    <m/>
    <m/>
    <m/>
    <m/>
    <n v="0"/>
    <x v="1"/>
    <x v="1"/>
    <n v="0"/>
    <n v="0"/>
    <n v="0"/>
    <m/>
    <m/>
    <m/>
    <n v="4"/>
    <m/>
    <n v="0"/>
    <n v="2"/>
    <m/>
    <n v="0"/>
    <n v="0"/>
    <m/>
    <m/>
    <s v="No"/>
    <m/>
    <m/>
    <m/>
    <m/>
    <m/>
    <m/>
    <m/>
    <m/>
    <m/>
    <m/>
    <s v="no test"/>
    <s v="no test"/>
    <s v="No Test"/>
    <n v="1"/>
    <n v="0"/>
    <n v="0"/>
    <n v="0"/>
    <n v="0"/>
    <n v="0"/>
    <n v="1"/>
    <n v="1"/>
    <n v="1"/>
    <n v="186"/>
    <n v="0"/>
    <n v="0"/>
    <n v="1"/>
    <n v="186"/>
    <n v="0.372"/>
    <n v="0"/>
    <n v="0"/>
    <n v="0.628"/>
    <n v="1"/>
    <n v="7"/>
    <n v="0.75268817204301075"/>
    <n v="140"/>
    <n v="0"/>
    <n v="0"/>
    <n v="0"/>
    <n v="0"/>
    <n v="9"/>
    <n v="2"/>
    <n v="0.24731182795698925"/>
    <n v="0"/>
    <n v="0"/>
    <n v="0"/>
    <n v="0"/>
    <n v="0"/>
    <n v="0"/>
    <n v="0"/>
    <n v="1"/>
    <n v="0"/>
    <n v="0"/>
    <n v="0"/>
    <n v="4"/>
    <n v="45"/>
    <n v="0"/>
    <n v="186"/>
    <s v="No"/>
    <s v=""/>
    <n v="0"/>
    <n v="0"/>
    <s v="Yes"/>
    <s v="Shalom"/>
    <x v="0"/>
    <x v="1"/>
    <x v="1"/>
    <n v="25.333683333333301"/>
    <n v="97.428251153846105"/>
    <s v="MMR001CMP037"/>
    <x v="0"/>
    <s v="cccm_2019OCT"/>
  </r>
  <r>
    <x v="2"/>
    <x v="5"/>
    <x v="5"/>
    <s v="DFID"/>
    <x v="0"/>
    <x v="0"/>
    <x v="1"/>
    <x v="177"/>
    <n v="16"/>
    <n v="77"/>
    <d v="2018-08-01T00:00:00"/>
    <d v="2020-12-31T00:00:00"/>
    <m/>
    <n v="1"/>
    <m/>
    <m/>
    <s v="Yes"/>
    <n v="0"/>
    <n v="3"/>
    <n v="1"/>
    <m/>
    <m/>
    <n v="2"/>
    <n v="1"/>
    <m/>
    <m/>
    <m/>
    <m/>
    <m/>
    <m/>
    <m/>
    <m/>
    <m/>
    <n v="0"/>
    <m/>
    <m/>
    <m/>
    <m/>
    <m/>
    <m/>
    <m/>
    <n v="7"/>
    <n v="4"/>
    <s v="Chruch"/>
    <m/>
    <m/>
    <m/>
    <m/>
    <m/>
    <x v="1"/>
    <x v="2"/>
    <m/>
    <m/>
    <m/>
    <m/>
    <m/>
    <m/>
    <n v="4"/>
    <m/>
    <n v="0"/>
    <n v="2"/>
    <m/>
    <n v="0"/>
    <n v="0"/>
    <m/>
    <m/>
    <m/>
    <m/>
    <m/>
    <m/>
    <m/>
    <m/>
    <m/>
    <m/>
    <m/>
    <m/>
    <m/>
    <s v="no test"/>
    <s v="no test"/>
    <s v="No Test"/>
    <n v="1"/>
    <n v="3"/>
    <n v="0"/>
    <n v="0"/>
    <n v="0"/>
    <n v="0"/>
    <n v="1"/>
    <n v="1"/>
    <n v="1"/>
    <n v="77"/>
    <n v="0"/>
    <n v="0"/>
    <n v="1"/>
    <n v="77"/>
    <n v="0.154"/>
    <n v="0"/>
    <n v="0"/>
    <n v="0.84599999999999997"/>
    <n v="1"/>
    <n v="11"/>
    <n v="1"/>
    <n v="77"/>
    <n v="0"/>
    <n v="0"/>
    <n v="0"/>
    <n v="0"/>
    <n v="4"/>
    <n v="0"/>
    <n v="0"/>
    <n v="0"/>
    <n v="0"/>
    <n v="0"/>
    <n v="0"/>
    <n v="0"/>
    <n v="0"/>
    <n v="0"/>
    <n v="1"/>
    <n v="0"/>
    <n v="0"/>
    <n v="0"/>
    <n v="4"/>
    <n v="16"/>
    <n v="0"/>
    <n v="77"/>
    <s v="No"/>
    <s v=""/>
    <n v="0"/>
    <n v="0"/>
    <s v="Yes"/>
    <s v="Shalom"/>
    <x v="0"/>
    <x v="1"/>
    <x v="1"/>
    <n v="25.417733999999999"/>
    <n v="97.389778000000007"/>
    <s v="MMR001CMP004"/>
    <x v="0"/>
    <s v="cccm_2019OCT"/>
  </r>
  <r>
    <x v="2"/>
    <x v="0"/>
    <x v="0"/>
    <s v="PLAN(GFFO),MHF13490"/>
    <x v="0"/>
    <x v="0"/>
    <x v="1"/>
    <x v="42"/>
    <n v="30"/>
    <n v="165"/>
    <s v="5-1-2019,10-1-2019"/>
    <s v="9-30-2020,7-31-2020"/>
    <m/>
    <m/>
    <m/>
    <m/>
    <s v="Yes"/>
    <m/>
    <n v="5"/>
    <n v="0"/>
    <m/>
    <m/>
    <n v="2"/>
    <m/>
    <m/>
    <m/>
    <m/>
    <m/>
    <m/>
    <m/>
    <m/>
    <m/>
    <m/>
    <n v="3"/>
    <m/>
    <m/>
    <m/>
    <m/>
    <m/>
    <m/>
    <m/>
    <n v="5"/>
    <m/>
    <m/>
    <m/>
    <m/>
    <m/>
    <m/>
    <n v="5"/>
    <x v="1"/>
    <x v="1"/>
    <m/>
    <m/>
    <m/>
    <m/>
    <m/>
    <m/>
    <n v="2"/>
    <m/>
    <m/>
    <n v="2"/>
    <m/>
    <m/>
    <n v="1"/>
    <m/>
    <m/>
    <m/>
    <m/>
    <m/>
    <m/>
    <m/>
    <m/>
    <m/>
    <m/>
    <m/>
    <m/>
    <m/>
    <s v="no test"/>
    <s v="no test"/>
    <s v="No Test"/>
    <n v="0"/>
    <n v="2"/>
    <n v="0"/>
    <n v="0"/>
    <n v="0"/>
    <n v="0"/>
    <n v="1"/>
    <n v="1"/>
    <n v="1"/>
    <n v="165"/>
    <n v="0"/>
    <n v="0"/>
    <n v="1"/>
    <n v="165"/>
    <n v="0.33"/>
    <n v="0"/>
    <n v="0"/>
    <n v="0.66999999999999993"/>
    <n v="1"/>
    <n v="5"/>
    <n v="0.60606060606060608"/>
    <n v="100"/>
    <n v="0"/>
    <n v="0"/>
    <n v="0"/>
    <n v="0"/>
    <n v="8"/>
    <n v="3"/>
    <n v="0.39393939393939392"/>
    <n v="0"/>
    <n v="165"/>
    <n v="0"/>
    <n v="0"/>
    <n v="0"/>
    <n v="165"/>
    <n v="1"/>
    <n v="0"/>
    <n v="1"/>
    <n v="0"/>
    <n v="0"/>
    <n v="2"/>
    <n v="30"/>
    <n v="0"/>
    <n v="165"/>
    <s v="No"/>
    <s v=""/>
    <n v="0"/>
    <n v="0"/>
    <s v="Yes"/>
    <s v="KBC-MYT"/>
    <x v="0"/>
    <x v="1"/>
    <x v="1"/>
    <n v="25.404752999999999"/>
    <n v="97.377662999999998"/>
    <s v="MMR001CMP003"/>
    <x v="0"/>
    <s v="cccm_2019OCT"/>
  </r>
  <r>
    <x v="2"/>
    <x v="4"/>
    <x v="4"/>
    <m/>
    <x v="0"/>
    <x v="3"/>
    <x v="1"/>
    <x v="147"/>
    <n v="4"/>
    <n v="11"/>
    <m/>
    <m/>
    <m/>
    <m/>
    <m/>
    <m/>
    <m/>
    <m/>
    <m/>
    <m/>
    <m/>
    <m/>
    <m/>
    <m/>
    <m/>
    <m/>
    <m/>
    <m/>
    <m/>
    <m/>
    <m/>
    <m/>
    <m/>
    <m/>
    <m/>
    <m/>
    <m/>
    <m/>
    <m/>
    <m/>
    <m/>
    <m/>
    <m/>
    <m/>
    <m/>
    <m/>
    <m/>
    <m/>
    <m/>
    <x v="0"/>
    <x v="0"/>
    <m/>
    <m/>
    <m/>
    <m/>
    <m/>
    <m/>
    <m/>
    <m/>
    <m/>
    <m/>
    <m/>
    <m/>
    <m/>
    <m/>
    <m/>
    <m/>
    <m/>
    <m/>
    <m/>
    <m/>
    <m/>
    <m/>
    <m/>
    <m/>
    <m/>
    <m/>
    <s v="no test"/>
    <s v="no test"/>
    <s v="No Test"/>
    <n v="0"/>
    <n v="0"/>
    <n v="0"/>
    <n v="0"/>
    <n v="0"/>
    <n v="0"/>
    <n v="0"/>
    <n v="0"/>
    <n v="0"/>
    <n v="0"/>
    <n v="0"/>
    <n v="0"/>
    <n v="0"/>
    <n v="0"/>
    <n v="0"/>
    <n v="1"/>
    <n v="11"/>
    <n v="1"/>
    <n v="1"/>
    <n v="0"/>
    <n v="0"/>
    <n v="0"/>
    <n v="0"/>
    <n v="0"/>
    <n v="0"/>
    <n v="0"/>
    <n v="1"/>
    <n v="1"/>
    <n v="1"/>
    <n v="0"/>
    <n v="0"/>
    <n v="0"/>
    <n v="0"/>
    <n v="0"/>
    <n v="0"/>
    <n v="0"/>
    <n v="1"/>
    <n v="0"/>
    <n v="0"/>
    <n v="0"/>
    <n v="0"/>
    <n v="0"/>
    <n v="0"/>
    <n v="0"/>
    <s v="No"/>
    <s v=""/>
    <n v="0"/>
    <n v="0"/>
    <s v="Yes"/>
    <s v="uncovered"/>
    <x v="0"/>
    <x v="0"/>
    <x v="1"/>
    <n v="25.920006000000001"/>
    <n v="96.662092000000001"/>
    <s v="MMR001CMP246"/>
    <x v="1"/>
    <s v="cccm_2019OCT"/>
  </r>
  <r>
    <x v="2"/>
    <x v="0"/>
    <x v="0"/>
    <s v="PLAN(GFFO),MHF13490"/>
    <x v="0"/>
    <x v="2"/>
    <x v="1"/>
    <x v="46"/>
    <n v="79"/>
    <n v="356"/>
    <s v="5-1-2019,10-1-2019"/>
    <s v="9-30-2020,7-31-2020"/>
    <m/>
    <m/>
    <m/>
    <m/>
    <s v="Yes"/>
    <m/>
    <n v="5"/>
    <n v="0"/>
    <m/>
    <m/>
    <n v="1"/>
    <m/>
    <m/>
    <m/>
    <m/>
    <m/>
    <m/>
    <m/>
    <m/>
    <m/>
    <m/>
    <n v="3"/>
    <m/>
    <m/>
    <m/>
    <m/>
    <m/>
    <m/>
    <m/>
    <n v="8"/>
    <m/>
    <m/>
    <m/>
    <m/>
    <m/>
    <m/>
    <n v="6"/>
    <x v="1"/>
    <x v="1"/>
    <m/>
    <m/>
    <m/>
    <m/>
    <m/>
    <m/>
    <n v="4"/>
    <m/>
    <m/>
    <n v="0"/>
    <m/>
    <m/>
    <n v="1"/>
    <m/>
    <m/>
    <m/>
    <m/>
    <m/>
    <m/>
    <m/>
    <m/>
    <m/>
    <m/>
    <m/>
    <m/>
    <m/>
    <s v="no test"/>
    <s v="no test"/>
    <s v="No Test"/>
    <n v="0"/>
    <n v="1"/>
    <n v="0"/>
    <n v="0"/>
    <n v="0"/>
    <n v="0"/>
    <n v="1"/>
    <n v="0.702247191011236"/>
    <n v="1"/>
    <n v="356"/>
    <n v="0"/>
    <n v="0"/>
    <n v="1"/>
    <n v="356"/>
    <n v="0.71199999999999997"/>
    <n v="0"/>
    <n v="0"/>
    <n v="0.28800000000000003"/>
    <n v="1"/>
    <n v="8"/>
    <n v="0.449438202247191"/>
    <n v="160"/>
    <n v="0"/>
    <n v="0"/>
    <n v="0"/>
    <n v="0"/>
    <n v="18"/>
    <n v="10"/>
    <n v="0.550561797752809"/>
    <n v="0"/>
    <n v="356"/>
    <n v="0"/>
    <n v="0"/>
    <n v="0"/>
    <n v="356"/>
    <n v="1"/>
    <n v="0"/>
    <n v="1"/>
    <n v="0"/>
    <n v="0"/>
    <n v="4"/>
    <n v="79"/>
    <n v="0"/>
    <n v="356"/>
    <s v="No"/>
    <s v=""/>
    <n v="0"/>
    <n v="0"/>
    <s v="Yes"/>
    <s v="KBC-MYT"/>
    <x v="0"/>
    <x v="1"/>
    <x v="1"/>
    <n v="0"/>
    <n v="0"/>
    <s v="MMR001CMP269"/>
    <x v="0"/>
    <s v="cccm_2019OCT"/>
  </r>
  <r>
    <x v="2"/>
    <x v="5"/>
    <x v="5"/>
    <s v="DFID"/>
    <x v="0"/>
    <x v="2"/>
    <x v="1"/>
    <x v="179"/>
    <n v="66"/>
    <n v="263"/>
    <d v="2018-08-01T00:00:00"/>
    <d v="2020-12-31T00:00:00"/>
    <m/>
    <n v="1"/>
    <m/>
    <m/>
    <s v="Yes"/>
    <n v="3"/>
    <n v="2"/>
    <n v="3"/>
    <m/>
    <m/>
    <n v="1"/>
    <m/>
    <m/>
    <m/>
    <n v="0"/>
    <m/>
    <m/>
    <n v="0"/>
    <n v="0"/>
    <n v="0"/>
    <n v="0"/>
    <n v="0"/>
    <m/>
    <m/>
    <m/>
    <m/>
    <n v="0"/>
    <n v="0"/>
    <m/>
    <n v="10"/>
    <m/>
    <m/>
    <m/>
    <m/>
    <m/>
    <m/>
    <n v="0"/>
    <x v="1"/>
    <x v="1"/>
    <n v="0"/>
    <n v="0"/>
    <n v="0"/>
    <m/>
    <m/>
    <m/>
    <n v="6"/>
    <m/>
    <n v="0"/>
    <n v="4"/>
    <m/>
    <n v="0"/>
    <n v="0"/>
    <m/>
    <m/>
    <s v="No"/>
    <m/>
    <m/>
    <m/>
    <m/>
    <m/>
    <m/>
    <m/>
    <m/>
    <m/>
    <m/>
    <s v="no test"/>
    <s v="no test"/>
    <s v="No Test"/>
    <n v="3"/>
    <n v="1"/>
    <n v="0"/>
    <n v="0"/>
    <n v="0"/>
    <n v="0"/>
    <n v="1"/>
    <n v="1"/>
    <n v="1"/>
    <n v="263"/>
    <n v="0"/>
    <n v="0"/>
    <n v="1"/>
    <n v="263"/>
    <n v="0.52600000000000002"/>
    <n v="0"/>
    <n v="0"/>
    <n v="0.47399999999999998"/>
    <n v="1"/>
    <n v="10"/>
    <n v="0.76045627376425851"/>
    <n v="200"/>
    <n v="0"/>
    <n v="0"/>
    <n v="0"/>
    <n v="0"/>
    <n v="13"/>
    <n v="3"/>
    <n v="0.23954372623574149"/>
    <n v="0"/>
    <n v="0"/>
    <n v="0"/>
    <n v="0"/>
    <n v="0"/>
    <n v="0"/>
    <n v="0"/>
    <n v="1"/>
    <n v="0"/>
    <n v="0"/>
    <n v="0"/>
    <n v="6"/>
    <n v="66"/>
    <n v="0"/>
    <n v="263"/>
    <s v="No"/>
    <s v=""/>
    <n v="0"/>
    <n v="0"/>
    <s v="Yes"/>
    <s v="Shalom"/>
    <x v="0"/>
    <x v="1"/>
    <x v="1"/>
    <n v="25.351250396825399"/>
    <n v="97.444283730158702"/>
    <s v="MMR001CMP038"/>
    <x v="0"/>
    <s v="cccm_2019OCT"/>
  </r>
  <r>
    <x v="2"/>
    <x v="2"/>
    <x v="2"/>
    <s v="WHH-AA, USAID"/>
    <x v="0"/>
    <x v="2"/>
    <x v="1"/>
    <x v="120"/>
    <n v="1230"/>
    <n v="6501"/>
    <s v="10-1-2018, 9-30-2019"/>
    <s v="9-30-2020, 8-31-2020"/>
    <m/>
    <m/>
    <m/>
    <m/>
    <s v="Yes"/>
    <n v="3"/>
    <n v="2"/>
    <m/>
    <m/>
    <m/>
    <m/>
    <m/>
    <m/>
    <m/>
    <n v="3"/>
    <m/>
    <m/>
    <m/>
    <m/>
    <n v="533440"/>
    <m/>
    <m/>
    <m/>
    <m/>
    <m/>
    <m/>
    <m/>
    <n v="3"/>
    <m/>
    <n v="231"/>
    <m/>
    <m/>
    <m/>
    <m/>
    <m/>
    <m/>
    <m/>
    <x v="1"/>
    <x v="1"/>
    <n v="4"/>
    <n v="2"/>
    <n v="8"/>
    <m/>
    <m/>
    <m/>
    <n v="50"/>
    <m/>
    <m/>
    <n v="22"/>
    <m/>
    <m/>
    <n v="6"/>
    <n v="1230"/>
    <m/>
    <s v="No"/>
    <m/>
    <m/>
    <s v="Hygiene refill item distribution couldn't be done by voucher system because of the Covid-19 prevention situations"/>
    <m/>
    <m/>
    <m/>
    <m/>
    <m/>
    <m/>
    <m/>
    <s v="no test"/>
    <s v="no test"/>
    <s v="No Test"/>
    <n v="0"/>
    <n v="0"/>
    <n v="3"/>
    <n v="0"/>
    <n v="395.14074074074074"/>
    <n v="1500"/>
    <n v="9.1546029955505426E-2"/>
    <n v="9.1546029955505426E-2"/>
    <n v="9.1546029955505426E-2"/>
    <n v="595.14074074074074"/>
    <n v="0"/>
    <n v="0"/>
    <n v="9.1546029955505426E-2"/>
    <n v="595.14074074074074"/>
    <n v="1.1902814814814815"/>
    <n v="0.90845397004449457"/>
    <n v="5905.8592592592595"/>
    <n v="11.809718518518519"/>
    <n v="13"/>
    <n v="231"/>
    <n v="0.72296569758498697"/>
    <n v="4700"/>
    <n v="0"/>
    <n v="0"/>
    <n v="0"/>
    <n v="0"/>
    <n v="325"/>
    <n v="94"/>
    <n v="0.27703430241501303"/>
    <n v="0"/>
    <n v="3000"/>
    <n v="6501"/>
    <n v="0"/>
    <n v="6501"/>
    <n v="6501"/>
    <n v="1"/>
    <n v="0"/>
    <n v="0.46146746654360865"/>
    <n v="1"/>
    <n v="0"/>
    <n v="50"/>
    <n v="1000"/>
    <n v="0"/>
    <n v="5000"/>
    <s v="No"/>
    <s v=""/>
    <n v="0"/>
    <n v="1500"/>
    <s v="Yes"/>
    <s v="KMSS-MYT"/>
    <x v="0"/>
    <x v="1"/>
    <x v="0"/>
    <n v="24.755253"/>
    <n v="97.546893999999995"/>
    <s v="MMR001CMP116"/>
    <x v="0"/>
    <s v="cccm_2019OCT"/>
  </r>
  <r>
    <x v="2"/>
    <x v="0"/>
    <x v="0"/>
    <s v="PLAN(GFFO),MHF13490"/>
    <x v="0"/>
    <x v="3"/>
    <x v="0"/>
    <x v="36"/>
    <n v="18"/>
    <n v="80"/>
    <s v="5-1-2019,10-1-2019"/>
    <s v="9-30-2020,7-31-2020"/>
    <m/>
    <m/>
    <m/>
    <m/>
    <s v="Yes"/>
    <m/>
    <n v="4"/>
    <n v="2"/>
    <m/>
    <m/>
    <m/>
    <m/>
    <m/>
    <m/>
    <m/>
    <m/>
    <m/>
    <m/>
    <m/>
    <m/>
    <m/>
    <n v="0"/>
    <m/>
    <m/>
    <m/>
    <m/>
    <m/>
    <m/>
    <m/>
    <n v="4"/>
    <m/>
    <m/>
    <m/>
    <m/>
    <m/>
    <m/>
    <n v="4"/>
    <x v="1"/>
    <x v="1"/>
    <m/>
    <m/>
    <m/>
    <m/>
    <m/>
    <m/>
    <n v="2"/>
    <m/>
    <m/>
    <n v="1"/>
    <m/>
    <m/>
    <n v="1"/>
    <m/>
    <m/>
    <m/>
    <m/>
    <m/>
    <m/>
    <m/>
    <m/>
    <m/>
    <m/>
    <m/>
    <m/>
    <m/>
    <s v="no test"/>
    <s v="no test"/>
    <s v="No Test"/>
    <n v="2"/>
    <n v="0"/>
    <n v="0"/>
    <n v="0"/>
    <n v="0"/>
    <n v="0"/>
    <n v="1"/>
    <n v="1"/>
    <n v="1"/>
    <n v="80"/>
    <n v="0"/>
    <n v="0"/>
    <n v="1"/>
    <n v="80"/>
    <n v="0.16"/>
    <n v="0"/>
    <n v="0"/>
    <n v="0.84"/>
    <n v="1"/>
    <n v="4"/>
    <n v="1"/>
    <n v="80"/>
    <n v="0"/>
    <n v="0"/>
    <n v="0"/>
    <n v="0"/>
    <n v="4"/>
    <n v="0"/>
    <n v="0"/>
    <n v="0"/>
    <n v="80"/>
    <n v="0"/>
    <n v="0"/>
    <n v="0"/>
    <n v="80"/>
    <n v="1"/>
    <n v="0"/>
    <n v="1"/>
    <n v="0"/>
    <n v="0"/>
    <n v="2"/>
    <n v="18"/>
    <n v="0"/>
    <n v="80"/>
    <s v="No"/>
    <s v=""/>
    <n v="0"/>
    <n v="0"/>
    <n v="0"/>
    <n v="0"/>
    <x v="0"/>
    <x v="1"/>
    <x v="1"/>
    <n v="0"/>
    <n v="0"/>
    <n v="0"/>
    <x v="0"/>
    <n v="0"/>
  </r>
  <r>
    <x v="2"/>
    <x v="0"/>
    <x v="0"/>
    <s v="PLAN(GFFO),MHF13490"/>
    <x v="0"/>
    <x v="0"/>
    <x v="1"/>
    <x v="43"/>
    <n v="43"/>
    <n v="219"/>
    <s v="5-1-2019,10-1-2019"/>
    <s v="9-30-2020,7-31-2020"/>
    <m/>
    <m/>
    <m/>
    <m/>
    <s v="Yes"/>
    <m/>
    <n v="4"/>
    <n v="0"/>
    <m/>
    <m/>
    <n v="2"/>
    <m/>
    <m/>
    <m/>
    <m/>
    <m/>
    <m/>
    <m/>
    <m/>
    <m/>
    <m/>
    <n v="3"/>
    <m/>
    <m/>
    <m/>
    <m/>
    <m/>
    <m/>
    <m/>
    <n v="13"/>
    <m/>
    <m/>
    <m/>
    <m/>
    <m/>
    <m/>
    <n v="13"/>
    <x v="1"/>
    <x v="1"/>
    <m/>
    <m/>
    <m/>
    <m/>
    <m/>
    <m/>
    <n v="2"/>
    <m/>
    <m/>
    <n v="3"/>
    <m/>
    <m/>
    <n v="1"/>
    <m/>
    <m/>
    <m/>
    <m/>
    <m/>
    <m/>
    <m/>
    <m/>
    <m/>
    <m/>
    <m/>
    <m/>
    <m/>
    <s v="no test"/>
    <s v="no test"/>
    <s v="No Test"/>
    <n v="0"/>
    <n v="2"/>
    <n v="0"/>
    <n v="0"/>
    <n v="0"/>
    <n v="0"/>
    <n v="1"/>
    <n v="1"/>
    <n v="1"/>
    <n v="219"/>
    <n v="0"/>
    <n v="0"/>
    <n v="1"/>
    <n v="219"/>
    <n v="0.438"/>
    <n v="0"/>
    <n v="0"/>
    <n v="0.56200000000000006"/>
    <n v="1"/>
    <n v="13"/>
    <n v="1"/>
    <n v="219"/>
    <n v="0"/>
    <n v="0"/>
    <n v="0"/>
    <n v="0"/>
    <n v="11"/>
    <n v="0"/>
    <n v="0"/>
    <n v="0"/>
    <n v="219"/>
    <n v="0"/>
    <n v="0"/>
    <n v="0"/>
    <n v="219"/>
    <n v="1"/>
    <n v="0"/>
    <n v="1"/>
    <n v="0"/>
    <n v="0"/>
    <n v="2"/>
    <n v="40"/>
    <n v="0"/>
    <n v="200"/>
    <s v="No"/>
    <s v=""/>
    <n v="0"/>
    <n v="0"/>
    <s v="Yes"/>
    <s v="KBC-MYT"/>
    <x v="0"/>
    <x v="1"/>
    <x v="1"/>
    <n v="25.437125999999999"/>
    <n v="97.387276"/>
    <s v="MMR001CMP005"/>
    <x v="0"/>
    <s v="cccm_2019OCT"/>
  </r>
  <r>
    <x v="2"/>
    <x v="0"/>
    <x v="0"/>
    <m/>
    <x v="0"/>
    <x v="0"/>
    <x v="1"/>
    <x v="44"/>
    <n v="18"/>
    <n v="87"/>
    <m/>
    <m/>
    <m/>
    <m/>
    <m/>
    <m/>
    <s v="Yes"/>
    <m/>
    <n v="3"/>
    <n v="0"/>
    <m/>
    <m/>
    <n v="0"/>
    <m/>
    <m/>
    <m/>
    <n v="1"/>
    <m/>
    <m/>
    <m/>
    <m/>
    <m/>
    <m/>
    <n v="0"/>
    <m/>
    <m/>
    <m/>
    <m/>
    <m/>
    <m/>
    <m/>
    <n v="10"/>
    <m/>
    <m/>
    <m/>
    <m/>
    <m/>
    <m/>
    <n v="10"/>
    <x v="1"/>
    <x v="1"/>
    <m/>
    <m/>
    <m/>
    <m/>
    <m/>
    <m/>
    <n v="2"/>
    <m/>
    <m/>
    <n v="0"/>
    <m/>
    <m/>
    <m/>
    <m/>
    <m/>
    <m/>
    <m/>
    <m/>
    <m/>
    <m/>
    <m/>
    <m/>
    <m/>
    <m/>
    <m/>
    <m/>
    <s v="no test"/>
    <s v="no test"/>
    <s v="No Test"/>
    <n v="0"/>
    <n v="0"/>
    <n v="1"/>
    <n v="0"/>
    <n v="0"/>
    <n v="0"/>
    <n v="0.76628352490421459"/>
    <n v="0.76628352490421459"/>
    <n v="0.76628352490421459"/>
    <n v="66.666666666666671"/>
    <n v="0"/>
    <n v="0"/>
    <n v="0.76628352490421459"/>
    <n v="66.666666666666671"/>
    <n v="0.13333333333333333"/>
    <n v="0.23371647509578541"/>
    <n v="20.333333333333332"/>
    <n v="0.8666666666666667"/>
    <n v="1"/>
    <n v="10"/>
    <n v="1"/>
    <n v="87"/>
    <n v="0"/>
    <n v="0"/>
    <n v="0"/>
    <n v="0"/>
    <n v="4"/>
    <n v="0"/>
    <n v="0"/>
    <n v="0"/>
    <n v="0"/>
    <n v="0"/>
    <n v="0"/>
    <n v="0"/>
    <n v="0"/>
    <n v="0"/>
    <n v="1"/>
    <n v="0"/>
    <n v="0"/>
    <n v="0"/>
    <n v="2"/>
    <n v="18"/>
    <n v="0"/>
    <n v="87"/>
    <s v="No"/>
    <s v=""/>
    <n v="0"/>
    <n v="0"/>
    <n v="0"/>
    <s v="uncovered"/>
    <x v="0"/>
    <x v="0"/>
    <x v="1"/>
    <n v="0"/>
    <n v="0"/>
    <s v="MMR001CMP267"/>
    <x v="0"/>
    <s v="cccm_2019OCT"/>
  </r>
  <r>
    <x v="2"/>
    <x v="0"/>
    <x v="0"/>
    <s v="PLAN(GFFO),MHF13490"/>
    <x v="0"/>
    <x v="0"/>
    <x v="1"/>
    <x v="45"/>
    <n v="169"/>
    <n v="724"/>
    <s v="5-1-2019,10-1-2019"/>
    <s v="9-30-2020,7-31-2020"/>
    <m/>
    <m/>
    <m/>
    <m/>
    <s v="Yes"/>
    <m/>
    <n v="3"/>
    <n v="1"/>
    <m/>
    <m/>
    <n v="1"/>
    <m/>
    <m/>
    <m/>
    <m/>
    <m/>
    <m/>
    <n v="10200"/>
    <m/>
    <m/>
    <m/>
    <n v="4"/>
    <m/>
    <m/>
    <m/>
    <m/>
    <m/>
    <m/>
    <m/>
    <n v="28"/>
    <m/>
    <m/>
    <m/>
    <m/>
    <m/>
    <m/>
    <n v="10"/>
    <x v="1"/>
    <x v="1"/>
    <m/>
    <m/>
    <m/>
    <m/>
    <m/>
    <m/>
    <n v="2"/>
    <m/>
    <m/>
    <n v="0"/>
    <m/>
    <m/>
    <n v="2"/>
    <m/>
    <m/>
    <m/>
    <m/>
    <m/>
    <m/>
    <m/>
    <m/>
    <m/>
    <m/>
    <m/>
    <m/>
    <m/>
    <s v="no test"/>
    <s v="no test"/>
    <s v="No Test"/>
    <n v="1"/>
    <n v="1"/>
    <n v="0"/>
    <n v="7.5555555555555554"/>
    <n v="0"/>
    <n v="0"/>
    <n v="1"/>
    <n v="0.70104358502148556"/>
    <n v="1"/>
    <n v="724"/>
    <n v="0"/>
    <n v="0"/>
    <n v="1"/>
    <n v="724"/>
    <n v="1.448"/>
    <n v="0"/>
    <n v="0"/>
    <n v="0"/>
    <n v="1"/>
    <n v="28"/>
    <n v="0.77348066298342544"/>
    <n v="560"/>
    <n v="0"/>
    <n v="0"/>
    <n v="0"/>
    <n v="0"/>
    <n v="36"/>
    <n v="8"/>
    <n v="0.22651933701657456"/>
    <n v="0"/>
    <n v="724"/>
    <n v="0"/>
    <n v="0"/>
    <n v="0"/>
    <n v="724"/>
    <n v="1"/>
    <n v="0"/>
    <n v="1"/>
    <n v="0"/>
    <n v="0"/>
    <n v="2"/>
    <n v="40"/>
    <n v="0"/>
    <n v="200"/>
    <s v="No"/>
    <s v=""/>
    <n v="0"/>
    <n v="0"/>
    <s v="Yes"/>
    <s v="KBC-MYT"/>
    <x v="0"/>
    <x v="1"/>
    <x v="1"/>
    <n v="25.480989999999998"/>
    <n v="97.431079999999994"/>
    <s v="MMR001CMP263"/>
    <x v="0"/>
    <s v="cccm_2019OCT"/>
  </r>
  <r>
    <x v="2"/>
    <x v="2"/>
    <x v="2"/>
    <s v="WHH-AA, USAID"/>
    <x v="0"/>
    <x v="2"/>
    <x v="0"/>
    <x v="121"/>
    <n v="134"/>
    <n v="709"/>
    <s v="10-1-2018, 9-30-2019"/>
    <s v="9-30-2020, 8-31-2020"/>
    <m/>
    <m/>
    <m/>
    <m/>
    <m/>
    <m/>
    <m/>
    <m/>
    <m/>
    <m/>
    <m/>
    <m/>
    <m/>
    <m/>
    <m/>
    <m/>
    <m/>
    <m/>
    <m/>
    <m/>
    <m/>
    <m/>
    <m/>
    <m/>
    <m/>
    <m/>
    <m/>
    <m/>
    <m/>
    <m/>
    <m/>
    <m/>
    <m/>
    <m/>
    <m/>
    <m/>
    <m/>
    <x v="1"/>
    <x v="2"/>
    <m/>
    <m/>
    <m/>
    <m/>
    <m/>
    <m/>
    <m/>
    <m/>
    <m/>
    <m/>
    <m/>
    <m/>
    <m/>
    <n v="134"/>
    <m/>
    <m/>
    <m/>
    <m/>
    <s v="Hygiene refill item distribution couldn't be done by voucher system because of the Covid-19 prevention situations"/>
    <m/>
    <m/>
    <m/>
    <m/>
    <m/>
    <m/>
    <m/>
    <s v="no test"/>
    <s v="no test"/>
    <s v="No Test"/>
    <n v="0"/>
    <n v="0"/>
    <n v="0"/>
    <n v="0"/>
    <n v="0"/>
    <n v="0"/>
    <n v="0"/>
    <n v="0"/>
    <n v="0"/>
    <n v="0"/>
    <n v="0"/>
    <n v="0"/>
    <n v="0"/>
    <n v="0"/>
    <n v="0"/>
    <n v="1"/>
    <n v="709"/>
    <n v="1"/>
    <n v="1"/>
    <n v="0"/>
    <n v="0"/>
    <n v="0"/>
    <n v="0"/>
    <n v="0"/>
    <n v="0"/>
    <n v="0"/>
    <n v="35"/>
    <n v="35"/>
    <n v="1"/>
    <n v="0"/>
    <n v="0"/>
    <n v="709"/>
    <n v="0"/>
    <n v="709"/>
    <n v="709"/>
    <n v="1"/>
    <n v="0"/>
    <n v="0"/>
    <n v="1"/>
    <n v="0"/>
    <n v="0"/>
    <n v="0"/>
    <n v="0"/>
    <n v="0"/>
    <s v="No"/>
    <s v=""/>
    <n v="0"/>
    <n v="0"/>
    <n v="0"/>
    <n v="0"/>
    <x v="0"/>
    <x v="1"/>
    <x v="0"/>
    <n v="0"/>
    <n v="0"/>
    <n v="0"/>
    <x v="0"/>
    <n v="0"/>
  </r>
  <r>
    <x v="2"/>
    <x v="2"/>
    <x v="2"/>
    <s v="WHH-AA, USAID"/>
    <x v="0"/>
    <x v="2"/>
    <x v="0"/>
    <x v="122"/>
    <n v="546"/>
    <n v="2550"/>
    <s v="10-1-2018, 9-30-2019"/>
    <s v="9-30-2020, 8-31-2020"/>
    <m/>
    <m/>
    <m/>
    <m/>
    <m/>
    <m/>
    <m/>
    <m/>
    <m/>
    <m/>
    <m/>
    <m/>
    <m/>
    <m/>
    <m/>
    <m/>
    <m/>
    <m/>
    <m/>
    <m/>
    <m/>
    <m/>
    <m/>
    <m/>
    <m/>
    <m/>
    <m/>
    <m/>
    <m/>
    <m/>
    <m/>
    <m/>
    <m/>
    <m/>
    <m/>
    <m/>
    <m/>
    <x v="2"/>
    <x v="4"/>
    <m/>
    <m/>
    <m/>
    <m/>
    <m/>
    <m/>
    <m/>
    <m/>
    <m/>
    <m/>
    <m/>
    <m/>
    <m/>
    <n v="546"/>
    <m/>
    <m/>
    <m/>
    <m/>
    <s v="Hygiene refill item distribution couldn't be done by voucher system because of the Covid-19 prevention situations"/>
    <m/>
    <m/>
    <m/>
    <m/>
    <m/>
    <m/>
    <m/>
    <s v="no test"/>
    <s v="no test"/>
    <s v="No Test"/>
    <n v="0"/>
    <n v="0"/>
    <n v="0"/>
    <n v="0"/>
    <n v="0"/>
    <n v="0"/>
    <n v="0"/>
    <n v="0"/>
    <n v="0"/>
    <n v="0"/>
    <n v="0"/>
    <n v="0"/>
    <n v="0"/>
    <n v="0"/>
    <n v="0"/>
    <n v="1"/>
    <n v="2550"/>
    <n v="5"/>
    <n v="5"/>
    <n v="0"/>
    <n v="0"/>
    <n v="0"/>
    <n v="0"/>
    <n v="0"/>
    <n v="0"/>
    <n v="0"/>
    <n v="128"/>
    <n v="128"/>
    <n v="1"/>
    <n v="0"/>
    <n v="0"/>
    <n v="2550"/>
    <n v="0"/>
    <n v="2550"/>
    <n v="2550"/>
    <n v="1"/>
    <n v="0"/>
    <n v="0"/>
    <n v="1"/>
    <n v="0"/>
    <n v="0"/>
    <n v="0"/>
    <n v="0"/>
    <n v="0"/>
    <s v="No"/>
    <s v=""/>
    <n v="0"/>
    <n v="0"/>
    <n v="0"/>
    <n v="0"/>
    <x v="0"/>
    <x v="4"/>
    <x v="0"/>
    <n v="0"/>
    <n v="0"/>
    <n v="0"/>
    <x v="0"/>
    <n v="0"/>
  </r>
  <r>
    <x v="2"/>
    <x v="5"/>
    <x v="5"/>
    <s v="DFID"/>
    <x v="0"/>
    <x v="3"/>
    <x v="1"/>
    <x v="180"/>
    <n v="32"/>
    <n v="172"/>
    <d v="2018-08-01T00:00:00"/>
    <d v="2020-12-31T00:00:00"/>
    <m/>
    <n v="1"/>
    <m/>
    <m/>
    <s v="Yes"/>
    <n v="4"/>
    <n v="1"/>
    <n v="0"/>
    <m/>
    <m/>
    <n v="0"/>
    <n v="0"/>
    <m/>
    <m/>
    <n v="1"/>
    <m/>
    <m/>
    <n v="0"/>
    <n v="1"/>
    <m/>
    <n v="0"/>
    <n v="1"/>
    <m/>
    <m/>
    <m/>
    <m/>
    <n v="0"/>
    <n v="0"/>
    <m/>
    <n v="11"/>
    <n v="1"/>
    <s v="Shalom"/>
    <m/>
    <m/>
    <m/>
    <m/>
    <n v="0"/>
    <x v="1"/>
    <x v="4"/>
    <n v="0"/>
    <n v="0"/>
    <n v="0"/>
    <m/>
    <m/>
    <m/>
    <n v="2"/>
    <m/>
    <m/>
    <n v="3"/>
    <m/>
    <n v="1"/>
    <n v="0"/>
    <m/>
    <m/>
    <m/>
    <m/>
    <m/>
    <m/>
    <m/>
    <m/>
    <m/>
    <m/>
    <m/>
    <m/>
    <m/>
    <s v="no test"/>
    <s v="no test"/>
    <s v="No Test"/>
    <n v="0"/>
    <n v="0"/>
    <n v="1"/>
    <n v="0"/>
    <n v="0"/>
    <n v="0"/>
    <n v="0.38759689922480622"/>
    <n v="0.38759689922480622"/>
    <n v="0.38759689922480622"/>
    <n v="66.666666666666671"/>
    <n v="1"/>
    <n v="172"/>
    <n v="1"/>
    <n v="172"/>
    <n v="0.34399999999999997"/>
    <n v="0"/>
    <n v="0"/>
    <n v="0.65600000000000003"/>
    <n v="1"/>
    <n v="12"/>
    <n v="1"/>
    <n v="172"/>
    <n v="0"/>
    <n v="0"/>
    <n v="0"/>
    <n v="0"/>
    <n v="9"/>
    <n v="0"/>
    <n v="0"/>
    <n v="0"/>
    <n v="172"/>
    <n v="0"/>
    <n v="0"/>
    <n v="0"/>
    <n v="172"/>
    <n v="1"/>
    <n v="0"/>
    <n v="1"/>
    <n v="0"/>
    <n v="0"/>
    <n v="2"/>
    <n v="32"/>
    <n v="0"/>
    <n v="172"/>
    <s v="No"/>
    <s v=""/>
    <n v="0"/>
    <n v="0"/>
    <s v="Yes"/>
    <s v="KBC-MYT"/>
    <x v="0"/>
    <x v="1"/>
    <x v="1"/>
    <n v="25.577559999999998"/>
    <n v="96.286680000000004"/>
    <s v="MMR001CMP184"/>
    <x v="0"/>
    <s v="cccm_2019OCT"/>
  </r>
  <r>
    <x v="2"/>
    <x v="5"/>
    <x v="5"/>
    <s v="DFID"/>
    <x v="0"/>
    <x v="3"/>
    <x v="1"/>
    <x v="181"/>
    <n v="15"/>
    <n v="67"/>
    <d v="2018-08-01T00:00:00"/>
    <d v="2020-12-31T00:00:00"/>
    <m/>
    <n v="1"/>
    <m/>
    <m/>
    <s v="Yes"/>
    <n v="2"/>
    <n v="2"/>
    <n v="0"/>
    <m/>
    <m/>
    <n v="0"/>
    <n v="0"/>
    <m/>
    <m/>
    <n v="0"/>
    <m/>
    <m/>
    <n v="0"/>
    <n v="0"/>
    <n v="0"/>
    <n v="0"/>
    <n v="0"/>
    <m/>
    <m/>
    <m/>
    <m/>
    <n v="0"/>
    <n v="0"/>
    <m/>
    <n v="4"/>
    <n v="1"/>
    <s v="Shalom &amp; Chruch"/>
    <m/>
    <m/>
    <m/>
    <m/>
    <n v="0"/>
    <x v="1"/>
    <x v="4"/>
    <n v="0"/>
    <n v="0"/>
    <n v="0"/>
    <m/>
    <m/>
    <m/>
    <n v="0"/>
    <m/>
    <n v="0"/>
    <n v="2"/>
    <m/>
    <n v="2"/>
    <n v="0"/>
    <m/>
    <m/>
    <m/>
    <m/>
    <m/>
    <m/>
    <m/>
    <m/>
    <m/>
    <m/>
    <m/>
    <m/>
    <m/>
    <s v="no test"/>
    <s v="no test"/>
    <s v="No Test"/>
    <n v="0"/>
    <n v="0"/>
    <n v="0"/>
    <n v="0"/>
    <n v="0"/>
    <n v="0"/>
    <n v="0"/>
    <n v="0"/>
    <n v="0"/>
    <n v="0"/>
    <n v="0"/>
    <n v="0"/>
    <n v="0"/>
    <n v="0"/>
    <n v="0"/>
    <n v="1"/>
    <n v="67"/>
    <n v="1"/>
    <n v="1"/>
    <n v="5"/>
    <n v="1"/>
    <n v="67"/>
    <n v="0"/>
    <n v="0"/>
    <n v="0"/>
    <n v="0"/>
    <n v="3"/>
    <n v="0"/>
    <n v="0"/>
    <n v="0"/>
    <n v="67"/>
    <n v="0"/>
    <n v="0"/>
    <n v="0"/>
    <n v="67"/>
    <n v="1"/>
    <n v="0"/>
    <n v="1"/>
    <n v="0"/>
    <n v="0"/>
    <n v="0"/>
    <n v="0"/>
    <n v="0"/>
    <n v="0"/>
    <s v="No"/>
    <s v=""/>
    <n v="0"/>
    <n v="0"/>
    <s v="Yes"/>
    <s v="KBC-MYT"/>
    <x v="0"/>
    <x v="1"/>
    <x v="1"/>
    <n v="25.599250000000001"/>
    <n v="96.306910999999999"/>
    <s v="MMR001CMP105"/>
    <x v="0"/>
    <s v="cccm_2019OCT"/>
  </r>
  <r>
    <x v="2"/>
    <x v="6"/>
    <x v="6"/>
    <s v="MHF, OFDA,ECHO"/>
    <x v="0"/>
    <x v="10"/>
    <x v="0"/>
    <x v="182"/>
    <n v="26.2"/>
    <n v="131"/>
    <d v="2020-01-03T00:00:00"/>
    <d v="2021-06-30T00:00:00"/>
    <m/>
    <m/>
    <m/>
    <m/>
    <s v="Yes"/>
    <n v="0"/>
    <n v="0"/>
    <n v="0"/>
    <m/>
    <m/>
    <n v="0"/>
    <n v="0"/>
    <m/>
    <m/>
    <m/>
    <m/>
    <m/>
    <n v="0"/>
    <n v="0"/>
    <n v="0"/>
    <m/>
    <n v="0"/>
    <m/>
    <m/>
    <m/>
    <m/>
    <n v="0"/>
    <n v="0"/>
    <m/>
    <n v="0"/>
    <n v="0"/>
    <m/>
    <m/>
    <m/>
    <m/>
    <m/>
    <n v="0"/>
    <x v="1"/>
    <x v="1"/>
    <n v="0"/>
    <n v="0"/>
    <m/>
    <m/>
    <n v="0"/>
    <s v="Gaps in drainage/ Infrastructure rehabiliation "/>
    <n v="2"/>
    <m/>
    <n v="0"/>
    <m/>
    <m/>
    <n v="0"/>
    <m/>
    <m/>
    <m/>
    <m/>
    <m/>
    <m/>
    <m/>
    <m/>
    <m/>
    <m/>
    <m/>
    <m/>
    <m/>
    <m/>
    <s v="no test"/>
    <s v="no test"/>
    <s v="No Test"/>
    <n v="0"/>
    <n v="0"/>
    <n v="0"/>
    <n v="0"/>
    <n v="0"/>
    <n v="0"/>
    <n v="0"/>
    <n v="0"/>
    <n v="0"/>
    <n v="0"/>
    <n v="0"/>
    <n v="0"/>
    <n v="0"/>
    <n v="0"/>
    <n v="0"/>
    <n v="1"/>
    <n v="131"/>
    <n v="1"/>
    <n v="1"/>
    <n v="0"/>
    <n v="0"/>
    <n v="0"/>
    <n v="0"/>
    <n v="0"/>
    <n v="0"/>
    <n v="0"/>
    <n v="7"/>
    <n v="7"/>
    <n v="1"/>
    <n v="0"/>
    <n v="0"/>
    <n v="0"/>
    <n v="0"/>
    <n v="0"/>
    <n v="0"/>
    <n v="0"/>
    <n v="1"/>
    <n v="0"/>
    <n v="0"/>
    <n v="0"/>
    <n v="2"/>
    <n v="26.2"/>
    <n v="0"/>
    <n v="131"/>
    <s v="No"/>
    <s v=""/>
    <n v="0"/>
    <n v="0"/>
    <n v="0"/>
    <n v="0"/>
    <x v="0"/>
    <x v="2"/>
    <x v="1"/>
    <n v="0"/>
    <n v="0"/>
    <n v="0"/>
    <x v="0"/>
    <e v="#N/A"/>
  </r>
  <r>
    <x v="2"/>
    <x v="6"/>
    <x v="6"/>
    <s v="MHF, OFDA,ECHO"/>
    <x v="0"/>
    <x v="10"/>
    <x v="0"/>
    <x v="183"/>
    <n v="28"/>
    <n v="167"/>
    <d v="2020-01-03T00:00:00"/>
    <d v="2021-06-30T00:00:00"/>
    <m/>
    <n v="0"/>
    <n v="1"/>
    <m/>
    <s v="Yes"/>
    <n v="2"/>
    <n v="2"/>
    <n v="0"/>
    <m/>
    <m/>
    <n v="1"/>
    <n v="0"/>
    <m/>
    <m/>
    <m/>
    <m/>
    <m/>
    <m/>
    <m/>
    <m/>
    <n v="1"/>
    <m/>
    <n v="1"/>
    <n v="1"/>
    <n v="9"/>
    <n v="2"/>
    <n v="5"/>
    <m/>
    <m/>
    <n v="13"/>
    <m/>
    <m/>
    <m/>
    <m/>
    <m/>
    <m/>
    <m/>
    <x v="1"/>
    <x v="1"/>
    <n v="0"/>
    <n v="0"/>
    <m/>
    <m/>
    <n v="1"/>
    <s v=" Infrastructure rehabiliation "/>
    <n v="5"/>
    <m/>
    <m/>
    <n v="2"/>
    <m/>
    <n v="0"/>
    <n v="3"/>
    <m/>
    <m/>
    <m/>
    <m/>
    <m/>
    <m/>
    <m/>
    <m/>
    <m/>
    <m/>
    <m/>
    <m/>
    <m/>
    <n v="1"/>
    <n v="0.22222222222222221"/>
    <s v="Tested"/>
    <n v="0"/>
    <n v="1"/>
    <n v="0"/>
    <n v="0"/>
    <n v="0"/>
    <n v="0"/>
    <n v="1"/>
    <n v="1"/>
    <n v="1"/>
    <n v="167"/>
    <n v="0"/>
    <n v="0"/>
    <n v="1"/>
    <n v="167"/>
    <n v="0.33400000000000002"/>
    <n v="0"/>
    <n v="0"/>
    <n v="0.66599999999999993"/>
    <n v="1"/>
    <n v="13"/>
    <n v="1"/>
    <n v="167"/>
    <n v="0"/>
    <n v="0"/>
    <n v="0"/>
    <n v="0"/>
    <n v="8"/>
    <n v="0"/>
    <n v="0"/>
    <n v="0"/>
    <n v="167"/>
    <n v="0"/>
    <n v="0"/>
    <n v="0"/>
    <n v="167"/>
    <n v="1"/>
    <n v="0"/>
    <n v="1"/>
    <n v="0"/>
    <n v="0"/>
    <n v="5"/>
    <n v="28"/>
    <n v="0"/>
    <n v="167"/>
    <s v="No"/>
    <s v=""/>
    <n v="0"/>
    <n v="0"/>
    <n v="0"/>
    <n v="0"/>
    <x v="0"/>
    <x v="1"/>
    <x v="1"/>
    <n v="0"/>
    <n v="0"/>
    <n v="0"/>
    <x v="0"/>
    <n v="0"/>
  </r>
  <r>
    <x v="2"/>
    <x v="6"/>
    <x v="6"/>
    <s v="MHF, OFDA,ECHO"/>
    <x v="0"/>
    <x v="10"/>
    <x v="1"/>
    <x v="184"/>
    <n v="171"/>
    <n v="723"/>
    <d v="2020-01-03T00:00:00"/>
    <d v="2021-06-30T00:00:00"/>
    <m/>
    <m/>
    <n v="2"/>
    <m/>
    <s v="Yes"/>
    <n v="7"/>
    <n v="5"/>
    <n v="2"/>
    <m/>
    <m/>
    <n v="8"/>
    <n v="0"/>
    <m/>
    <m/>
    <m/>
    <m/>
    <m/>
    <n v="0"/>
    <m/>
    <m/>
    <n v="2"/>
    <m/>
    <n v="3"/>
    <n v="3"/>
    <n v="12"/>
    <n v="9"/>
    <n v="9"/>
    <m/>
    <m/>
    <n v="38"/>
    <m/>
    <m/>
    <m/>
    <m/>
    <n v="75"/>
    <n v="81"/>
    <m/>
    <x v="1"/>
    <x v="1"/>
    <n v="0"/>
    <n v="0"/>
    <m/>
    <m/>
    <m/>
    <s v="Gaps in drainage/ Infrastructure rehabiliation "/>
    <n v="9"/>
    <m/>
    <m/>
    <n v="3"/>
    <m/>
    <n v="0"/>
    <n v="6"/>
    <m/>
    <m/>
    <s v="Yes"/>
    <m/>
    <m/>
    <m/>
    <m/>
    <m/>
    <m/>
    <m/>
    <m/>
    <m/>
    <m/>
    <n v="1"/>
    <n v="0.75"/>
    <s v="Tested"/>
    <n v="2"/>
    <n v="8"/>
    <n v="0"/>
    <n v="0"/>
    <n v="0"/>
    <n v="0"/>
    <n v="1"/>
    <n v="1"/>
    <n v="1"/>
    <n v="723"/>
    <n v="0"/>
    <n v="0"/>
    <n v="1"/>
    <n v="723"/>
    <n v="1.446"/>
    <n v="0"/>
    <n v="0"/>
    <n v="0"/>
    <n v="1"/>
    <n v="38"/>
    <n v="1"/>
    <n v="723"/>
    <n v="723"/>
    <n v="0"/>
    <n v="0"/>
    <n v="0"/>
    <n v="36"/>
    <n v="0"/>
    <n v="0"/>
    <n v="0"/>
    <n v="723"/>
    <n v="0"/>
    <n v="0"/>
    <n v="0"/>
    <n v="723"/>
    <n v="1"/>
    <n v="0"/>
    <n v="1"/>
    <n v="0"/>
    <n v="0"/>
    <n v="9"/>
    <n v="171"/>
    <n v="9"/>
    <n v="723"/>
    <s v="No"/>
    <s v=""/>
    <n v="0"/>
    <n v="0"/>
    <s v="Yes"/>
    <s v="KMSS-BMO"/>
    <x v="0"/>
    <x v="1"/>
    <x v="1"/>
    <n v="24.260719999999999"/>
    <n v="97.238829999999993"/>
    <s v="MMR001CMP050"/>
    <x v="0"/>
    <s v="cccm_2019OCT"/>
  </r>
  <r>
    <x v="2"/>
    <x v="6"/>
    <x v="6"/>
    <s v="MHF, OFDA,ECHO"/>
    <x v="0"/>
    <x v="7"/>
    <x v="0"/>
    <x v="185"/>
    <n v="24"/>
    <n v="120"/>
    <d v="2020-01-03T00:00:00"/>
    <d v="2021-06-30T00:00:00"/>
    <m/>
    <m/>
    <n v="1"/>
    <m/>
    <s v="Yes"/>
    <n v="3"/>
    <n v="8"/>
    <m/>
    <m/>
    <m/>
    <n v="1"/>
    <m/>
    <m/>
    <m/>
    <m/>
    <m/>
    <m/>
    <m/>
    <m/>
    <m/>
    <n v="1"/>
    <m/>
    <n v="1"/>
    <n v="1"/>
    <n v="6"/>
    <n v="6"/>
    <n v="5"/>
    <m/>
    <m/>
    <n v="12"/>
    <m/>
    <m/>
    <m/>
    <m/>
    <n v="3"/>
    <n v="6"/>
    <m/>
    <x v="1"/>
    <x v="1"/>
    <m/>
    <m/>
    <m/>
    <m/>
    <m/>
    <s v="Gaps in drainage/ Infrastructure rehabiliation "/>
    <n v="5"/>
    <m/>
    <m/>
    <n v="2"/>
    <m/>
    <m/>
    <n v="1"/>
    <m/>
    <m/>
    <m/>
    <m/>
    <m/>
    <m/>
    <m/>
    <m/>
    <m/>
    <m/>
    <m/>
    <m/>
    <m/>
    <n v="1"/>
    <n v="1"/>
    <s v="Tested"/>
    <n v="0"/>
    <n v="1"/>
    <n v="0"/>
    <n v="0"/>
    <n v="0"/>
    <n v="0"/>
    <n v="1"/>
    <n v="1"/>
    <n v="1"/>
    <n v="120"/>
    <n v="0"/>
    <n v="0"/>
    <n v="1"/>
    <n v="120"/>
    <n v="0.24"/>
    <n v="0"/>
    <n v="0"/>
    <n v="0.76"/>
    <n v="1"/>
    <n v="12"/>
    <n v="1"/>
    <n v="120"/>
    <n v="60"/>
    <n v="0"/>
    <n v="0"/>
    <n v="0"/>
    <n v="6"/>
    <n v="0"/>
    <n v="0"/>
    <n v="0"/>
    <n v="120"/>
    <n v="0"/>
    <n v="0"/>
    <n v="0"/>
    <n v="120"/>
    <n v="1"/>
    <n v="0"/>
    <n v="1"/>
    <n v="0"/>
    <n v="0"/>
    <n v="5"/>
    <n v="24"/>
    <n v="0"/>
    <n v="120"/>
    <s v="No"/>
    <s v=""/>
    <n v="0"/>
    <n v="0"/>
    <n v="0"/>
    <n v="0"/>
    <x v="0"/>
    <x v="1"/>
    <x v="1"/>
    <n v="0"/>
    <n v="0"/>
    <n v="0"/>
    <x v="0"/>
    <n v="0"/>
  </r>
  <r>
    <x v="2"/>
    <x v="6"/>
    <x v="6"/>
    <s v="MHF, OFDA,ECHO"/>
    <x v="0"/>
    <x v="7"/>
    <x v="1"/>
    <x v="186"/>
    <n v="33"/>
    <n v="209"/>
    <d v="2020-01-03T00:00:00"/>
    <d v="2021-06-30T00:00:00"/>
    <m/>
    <n v="0"/>
    <n v="1"/>
    <m/>
    <s v="Yes"/>
    <n v="3"/>
    <n v="6"/>
    <n v="1"/>
    <m/>
    <m/>
    <n v="0"/>
    <n v="0"/>
    <m/>
    <m/>
    <m/>
    <m/>
    <m/>
    <m/>
    <m/>
    <m/>
    <n v="1"/>
    <m/>
    <n v="1"/>
    <n v="1"/>
    <n v="6"/>
    <n v="6"/>
    <n v="5"/>
    <m/>
    <m/>
    <n v="9"/>
    <m/>
    <m/>
    <m/>
    <m/>
    <n v="6"/>
    <n v="17"/>
    <m/>
    <x v="1"/>
    <x v="1"/>
    <n v="0"/>
    <n v="0"/>
    <m/>
    <m/>
    <m/>
    <s v="Gaps in drainage/ Infrastructure rehabiliation "/>
    <n v="5"/>
    <m/>
    <m/>
    <n v="1"/>
    <m/>
    <n v="0"/>
    <n v="1"/>
    <m/>
    <m/>
    <m/>
    <m/>
    <m/>
    <m/>
    <m/>
    <m/>
    <m/>
    <m/>
    <m/>
    <m/>
    <m/>
    <n v="1"/>
    <n v="1"/>
    <s v="Tested"/>
    <n v="1"/>
    <n v="0"/>
    <n v="0"/>
    <n v="0"/>
    <n v="0"/>
    <n v="0"/>
    <n v="1"/>
    <n v="1"/>
    <n v="1"/>
    <n v="209"/>
    <n v="0"/>
    <n v="0"/>
    <n v="1"/>
    <n v="209"/>
    <n v="0.41799999999999998"/>
    <n v="0"/>
    <n v="0"/>
    <n v="0.58200000000000007"/>
    <n v="1"/>
    <n v="9"/>
    <n v="0.86124401913875603"/>
    <n v="180"/>
    <n v="120"/>
    <n v="0"/>
    <n v="0"/>
    <n v="0"/>
    <n v="10"/>
    <n v="1"/>
    <n v="0.13875598086124397"/>
    <n v="0"/>
    <n v="209"/>
    <n v="0"/>
    <n v="0"/>
    <n v="0"/>
    <n v="209"/>
    <n v="1"/>
    <n v="0"/>
    <n v="1"/>
    <n v="0"/>
    <n v="0"/>
    <n v="5"/>
    <n v="33"/>
    <n v="0"/>
    <n v="209"/>
    <s v="No"/>
    <s v=""/>
    <n v="0"/>
    <n v="0"/>
    <s v="Yes"/>
    <s v="KBC-BMO"/>
    <x v="0"/>
    <x v="1"/>
    <x v="1"/>
    <n v="24.200972"/>
    <n v="97.718582999999995"/>
    <s v="MMR001CMP071"/>
    <x v="0"/>
    <s v="cccm_2019OCT"/>
  </r>
  <r>
    <x v="2"/>
    <x v="6"/>
    <x v="6"/>
    <s v="MHF, OFDA,ECHO"/>
    <x v="0"/>
    <x v="7"/>
    <x v="1"/>
    <x v="187"/>
    <n v="40"/>
    <n v="310"/>
    <d v="2020-01-03T00:00:00"/>
    <d v="2021-06-30T00:00:00"/>
    <m/>
    <m/>
    <n v="1"/>
    <m/>
    <s v="Yes"/>
    <n v="5"/>
    <n v="6"/>
    <n v="0"/>
    <m/>
    <m/>
    <n v="1"/>
    <n v="0"/>
    <m/>
    <m/>
    <m/>
    <m/>
    <m/>
    <m/>
    <n v="1"/>
    <m/>
    <n v="1"/>
    <m/>
    <n v="1"/>
    <n v="1"/>
    <n v="6"/>
    <n v="6"/>
    <m/>
    <m/>
    <m/>
    <n v="6"/>
    <m/>
    <m/>
    <m/>
    <m/>
    <n v="3"/>
    <n v="16"/>
    <m/>
    <x v="1"/>
    <x v="1"/>
    <n v="0"/>
    <n v="0"/>
    <m/>
    <m/>
    <m/>
    <s v="Gaps in drainage/ Infrastructure rehabiliation "/>
    <n v="5"/>
    <m/>
    <m/>
    <n v="1"/>
    <m/>
    <n v="0"/>
    <n v="1"/>
    <m/>
    <m/>
    <m/>
    <m/>
    <m/>
    <m/>
    <m/>
    <m/>
    <m/>
    <m/>
    <m/>
    <m/>
    <m/>
    <n v="1"/>
    <n v="1"/>
    <s v="Tested"/>
    <n v="0"/>
    <n v="1"/>
    <n v="0"/>
    <n v="0"/>
    <n v="0"/>
    <n v="0"/>
    <n v="1"/>
    <n v="0.80645161290322576"/>
    <n v="1"/>
    <n v="310"/>
    <n v="0.80645161290322576"/>
    <n v="249.99999999999997"/>
    <n v="1"/>
    <n v="310"/>
    <n v="0.62"/>
    <n v="0"/>
    <n v="0"/>
    <n v="0.38"/>
    <n v="1"/>
    <n v="6"/>
    <n v="0.38709677419354838"/>
    <n v="120"/>
    <n v="60"/>
    <n v="0"/>
    <n v="0"/>
    <n v="0"/>
    <n v="16"/>
    <n v="10"/>
    <n v="0.61290322580645162"/>
    <n v="0"/>
    <n v="310"/>
    <n v="0"/>
    <n v="0"/>
    <n v="0"/>
    <n v="310"/>
    <n v="1"/>
    <n v="0"/>
    <n v="1"/>
    <n v="0"/>
    <n v="0"/>
    <n v="5"/>
    <n v="40"/>
    <n v="0"/>
    <n v="310"/>
    <s v="No"/>
    <s v=""/>
    <n v="0"/>
    <n v="0"/>
    <s v="Yes"/>
    <s v="KMSS-BMO"/>
    <x v="0"/>
    <x v="1"/>
    <x v="1"/>
    <n v="24.205417000000001"/>
    <n v="97.724566999999993"/>
    <s v="MMR001CMP069"/>
    <x v="0"/>
    <s v="cccm_2019OCT"/>
  </r>
  <r>
    <x v="2"/>
    <x v="6"/>
    <x v="6"/>
    <s v="MHF, OFDA,ECHO"/>
    <x v="0"/>
    <x v="7"/>
    <x v="1"/>
    <x v="188"/>
    <n v="219"/>
    <n v="1267"/>
    <d v="2020-01-03T00:00:00"/>
    <d v="2021-06-30T00:00:00"/>
    <m/>
    <n v="0"/>
    <n v="4"/>
    <m/>
    <s v="Yes"/>
    <n v="11"/>
    <n v="13"/>
    <n v="5"/>
    <m/>
    <m/>
    <n v="3"/>
    <n v="0"/>
    <m/>
    <m/>
    <m/>
    <m/>
    <m/>
    <m/>
    <m/>
    <m/>
    <n v="4"/>
    <m/>
    <m/>
    <m/>
    <n v="24"/>
    <n v="24"/>
    <n v="15"/>
    <m/>
    <m/>
    <n v="38"/>
    <n v="0"/>
    <m/>
    <m/>
    <m/>
    <n v="10"/>
    <n v="68"/>
    <m/>
    <x v="1"/>
    <x v="1"/>
    <m/>
    <m/>
    <m/>
    <m/>
    <m/>
    <s v="Gaps in drainage/ Infrastructure rehabiliation "/>
    <n v="12"/>
    <m/>
    <m/>
    <n v="9"/>
    <m/>
    <m/>
    <n v="4"/>
    <m/>
    <m/>
    <m/>
    <m/>
    <m/>
    <m/>
    <m/>
    <m/>
    <m/>
    <m/>
    <n v="4"/>
    <m/>
    <m/>
    <s v="no test"/>
    <n v="1"/>
    <s v="Tested"/>
    <n v="5"/>
    <n v="3"/>
    <n v="0"/>
    <n v="0"/>
    <n v="0"/>
    <n v="0"/>
    <n v="1"/>
    <n v="1"/>
    <n v="1"/>
    <n v="1267"/>
    <n v="0"/>
    <n v="0"/>
    <n v="1"/>
    <n v="1267"/>
    <n v="2.5339999999999998"/>
    <n v="0"/>
    <n v="0"/>
    <n v="0.46600000000000019"/>
    <n v="3"/>
    <n v="38"/>
    <n v="0.59984214680347281"/>
    <n v="760"/>
    <n v="200"/>
    <n v="0"/>
    <n v="0"/>
    <n v="0"/>
    <n v="63"/>
    <n v="25"/>
    <n v="0.40015785319652719"/>
    <n v="0"/>
    <n v="1267"/>
    <n v="0"/>
    <n v="0"/>
    <n v="0"/>
    <n v="1267"/>
    <n v="1"/>
    <n v="0"/>
    <n v="1"/>
    <n v="0"/>
    <n v="0"/>
    <n v="12"/>
    <n v="219"/>
    <n v="0"/>
    <n v="1200"/>
    <s v="No"/>
    <s v=""/>
    <n v="4"/>
    <n v="0"/>
    <s v="Yes"/>
    <s v="KBC-BMO"/>
    <x v="0"/>
    <x v="1"/>
    <x v="1"/>
    <n v="24.200433"/>
    <n v="97.717133000000004"/>
    <s v="MMR001CMP070"/>
    <x v="0"/>
    <s v="cccm_2019OCT"/>
  </r>
  <r>
    <x v="2"/>
    <x v="6"/>
    <x v="6"/>
    <s v="MHF, OFDA,ECHO"/>
    <x v="0"/>
    <x v="7"/>
    <x v="0"/>
    <x v="189"/>
    <n v="483.8"/>
    <n v="2419"/>
    <d v="2020-01-03T00:00:00"/>
    <d v="2021-06-30T00:00:00"/>
    <m/>
    <n v="0"/>
    <n v="0"/>
    <m/>
    <s v="Yes"/>
    <n v="0"/>
    <n v="0"/>
    <n v="2"/>
    <m/>
    <m/>
    <n v="1"/>
    <n v="0"/>
    <m/>
    <m/>
    <m/>
    <m/>
    <m/>
    <m/>
    <m/>
    <m/>
    <m/>
    <m/>
    <m/>
    <m/>
    <m/>
    <m/>
    <m/>
    <n v="2"/>
    <m/>
    <n v="7"/>
    <m/>
    <m/>
    <m/>
    <m/>
    <m/>
    <m/>
    <m/>
    <x v="1"/>
    <x v="1"/>
    <n v="0"/>
    <n v="0"/>
    <m/>
    <m/>
    <m/>
    <s v="Gaps in drainage/ Infrastructure rehabiliation "/>
    <m/>
    <m/>
    <m/>
    <n v="0"/>
    <m/>
    <n v="0"/>
    <n v="0"/>
    <m/>
    <m/>
    <m/>
    <m/>
    <m/>
    <m/>
    <m/>
    <m/>
    <m/>
    <m/>
    <m/>
    <m/>
    <m/>
    <s v="no test"/>
    <s v="no test"/>
    <s v="No Test"/>
    <n v="2"/>
    <n v="1"/>
    <n v="0"/>
    <n v="0"/>
    <n v="0"/>
    <n v="1000"/>
    <n v="0.5374121537825548"/>
    <n v="0.31004547333608928"/>
    <n v="0.5374121537825548"/>
    <n v="1300"/>
    <n v="0"/>
    <n v="0"/>
    <n v="0.5374121537825548"/>
    <n v="1300"/>
    <n v="2.6"/>
    <n v="0.4625878462174452"/>
    <n v="1119"/>
    <n v="2.4"/>
    <n v="5"/>
    <n v="7"/>
    <n v="5.7875155022736671E-2"/>
    <n v="140"/>
    <n v="0"/>
    <n v="0"/>
    <n v="0"/>
    <n v="0"/>
    <n v="121"/>
    <n v="114"/>
    <n v="0.94212484497726334"/>
    <n v="0"/>
    <n v="0"/>
    <n v="0"/>
    <n v="0"/>
    <n v="0"/>
    <n v="0"/>
    <n v="0"/>
    <n v="1"/>
    <n v="0"/>
    <n v="0"/>
    <n v="0"/>
    <n v="0"/>
    <n v="0"/>
    <n v="0"/>
    <n v="0"/>
    <s v="No"/>
    <s v=""/>
    <n v="0"/>
    <n v="1000"/>
    <n v="0"/>
    <n v="0"/>
    <x v="0"/>
    <x v="2"/>
    <x v="1"/>
    <n v="0"/>
    <n v="0"/>
    <n v="0"/>
    <x v="0"/>
    <n v="0"/>
  </r>
  <r>
    <x v="2"/>
    <x v="9"/>
    <x v="9"/>
    <s v="(WHH-AA , USAID, MHF, HOPE),UNICEF"/>
    <x v="0"/>
    <x v="7"/>
    <x v="1"/>
    <x v="99"/>
    <n v="97"/>
    <n v="527"/>
    <s v="(10/1/2018, 9/30/2019,6/1/2020),4/1/2019 "/>
    <s v="(9/30/2020, 8/31/2020, 11/302020),4/30/2020"/>
    <m/>
    <m/>
    <n v="6"/>
    <m/>
    <s v="Yes"/>
    <n v="5"/>
    <n v="3"/>
    <n v="2"/>
    <m/>
    <m/>
    <m/>
    <m/>
    <m/>
    <m/>
    <m/>
    <m/>
    <m/>
    <m/>
    <m/>
    <m/>
    <m/>
    <m/>
    <m/>
    <m/>
    <m/>
    <m/>
    <n v="1"/>
    <m/>
    <s v="Water safety plan need to install"/>
    <n v="14"/>
    <m/>
    <m/>
    <m/>
    <m/>
    <m/>
    <m/>
    <m/>
    <x v="1"/>
    <x v="1"/>
    <m/>
    <m/>
    <n v="2"/>
    <m/>
    <m/>
    <m/>
    <n v="8"/>
    <m/>
    <m/>
    <n v="4"/>
    <m/>
    <m/>
    <n v="43"/>
    <n v="97"/>
    <m/>
    <s v="No"/>
    <m/>
    <m/>
    <s v="Hygiene refill item distribution couldn't be done by voucher system because of the Covid-19 prevention situations"/>
    <m/>
    <m/>
    <m/>
    <m/>
    <m/>
    <m/>
    <m/>
    <s v="no test"/>
    <s v="no test"/>
    <s v="No Test"/>
    <n v="2"/>
    <n v="0"/>
    <n v="0"/>
    <n v="0"/>
    <n v="0"/>
    <n v="0"/>
    <n v="1"/>
    <n v="0.94876660341555974"/>
    <n v="1"/>
    <n v="527"/>
    <n v="0"/>
    <n v="0"/>
    <n v="1"/>
    <n v="527"/>
    <n v="1.054"/>
    <n v="0"/>
    <n v="0"/>
    <n v="0"/>
    <n v="1"/>
    <n v="14"/>
    <n v="0.53130929791271342"/>
    <n v="280"/>
    <n v="0"/>
    <n v="0"/>
    <n v="0"/>
    <n v="0"/>
    <n v="26"/>
    <n v="12"/>
    <n v="0.46869070208728658"/>
    <n v="0"/>
    <n v="527"/>
    <n v="527"/>
    <n v="0"/>
    <n v="527"/>
    <n v="527"/>
    <n v="1"/>
    <n v="0"/>
    <n v="1"/>
    <n v="1"/>
    <n v="0"/>
    <n v="8"/>
    <n v="97"/>
    <n v="0"/>
    <n v="527"/>
    <s v="No"/>
    <s v=""/>
    <n v="0"/>
    <n v="0"/>
    <s v="Yes"/>
    <s v="KBC-BMO"/>
    <x v="0"/>
    <x v="1"/>
    <x v="1"/>
    <n v="24.250689999999999"/>
    <n v="97.344359999999995"/>
    <s v="MMR001CMP056"/>
    <x v="0"/>
    <s v="cccm_2019OCT"/>
  </r>
  <r>
    <x v="2"/>
    <x v="6"/>
    <x v="6"/>
    <s v="MHF, OFDA,ECHO"/>
    <x v="0"/>
    <x v="7"/>
    <x v="1"/>
    <x v="191"/>
    <n v="47"/>
    <n v="294"/>
    <d v="2020-01-03T00:00:00"/>
    <d v="2021-06-30T00:00:00"/>
    <m/>
    <n v="0"/>
    <n v="1"/>
    <m/>
    <s v="Yes"/>
    <n v="3"/>
    <n v="9"/>
    <n v="3"/>
    <m/>
    <m/>
    <n v="1"/>
    <n v="0"/>
    <m/>
    <m/>
    <m/>
    <m/>
    <m/>
    <m/>
    <m/>
    <m/>
    <n v="1"/>
    <m/>
    <n v="1"/>
    <n v="0"/>
    <n v="9"/>
    <n v="9"/>
    <n v="7"/>
    <m/>
    <m/>
    <n v="18"/>
    <m/>
    <m/>
    <m/>
    <m/>
    <n v="4"/>
    <n v="21"/>
    <m/>
    <x v="1"/>
    <x v="1"/>
    <n v="0"/>
    <n v="0"/>
    <m/>
    <m/>
    <m/>
    <s v="Gaps in drainage/ Infrastructure rehabiliation "/>
    <n v="7"/>
    <m/>
    <m/>
    <n v="2"/>
    <m/>
    <n v="0"/>
    <n v="1"/>
    <m/>
    <m/>
    <m/>
    <m/>
    <m/>
    <m/>
    <m/>
    <m/>
    <m/>
    <m/>
    <m/>
    <m/>
    <m/>
    <n v="0"/>
    <n v="1"/>
    <s v="Tested"/>
    <n v="3"/>
    <n v="1"/>
    <n v="0"/>
    <n v="0"/>
    <n v="0"/>
    <n v="0"/>
    <n v="1"/>
    <n v="1"/>
    <n v="1"/>
    <n v="294"/>
    <n v="0"/>
    <n v="0"/>
    <n v="1"/>
    <n v="294"/>
    <n v="0.58799999999999997"/>
    <n v="0"/>
    <n v="0"/>
    <n v="0.41200000000000003"/>
    <n v="1"/>
    <n v="18"/>
    <n v="1"/>
    <n v="294"/>
    <n v="80"/>
    <n v="0"/>
    <n v="0"/>
    <n v="0"/>
    <n v="15"/>
    <n v="0"/>
    <n v="0"/>
    <n v="0"/>
    <n v="294"/>
    <n v="0"/>
    <n v="0"/>
    <n v="0"/>
    <n v="294"/>
    <n v="1"/>
    <n v="0"/>
    <n v="1"/>
    <n v="0"/>
    <n v="0"/>
    <n v="7"/>
    <n v="47"/>
    <n v="0"/>
    <n v="294"/>
    <s v="No"/>
    <s v=""/>
    <n v="0"/>
    <n v="0"/>
    <s v="Yes"/>
    <s v="KBC-BMO"/>
    <x v="0"/>
    <x v="1"/>
    <x v="1"/>
    <n v="24.205417000000001"/>
    <n v="97.724483000000006"/>
    <s v="MMR001CMP072"/>
    <x v="0"/>
    <s v="cccm_2019OCT"/>
  </r>
  <r>
    <x v="2"/>
    <x v="0"/>
    <x v="0"/>
    <s v="MHF, OFDA,ECHO"/>
    <x v="0"/>
    <x v="10"/>
    <x v="1"/>
    <x v="192"/>
    <n v="100"/>
    <n v="514"/>
    <s v="1-3-2020, 4-1-2019"/>
    <s v="6-30-2021, 4-30-2020"/>
    <m/>
    <m/>
    <n v="7"/>
    <m/>
    <s v="Yes"/>
    <n v="8"/>
    <n v="15"/>
    <n v="1"/>
    <m/>
    <m/>
    <n v="3"/>
    <n v="0"/>
    <m/>
    <m/>
    <m/>
    <m/>
    <m/>
    <m/>
    <m/>
    <m/>
    <n v="3"/>
    <m/>
    <m/>
    <m/>
    <m/>
    <m/>
    <n v="14"/>
    <m/>
    <s v="Water safety plan need to install"/>
    <n v="48"/>
    <m/>
    <m/>
    <m/>
    <m/>
    <m/>
    <m/>
    <m/>
    <x v="1"/>
    <x v="1"/>
    <n v="0"/>
    <n v="0"/>
    <n v="2"/>
    <m/>
    <m/>
    <s v="Gaps in drainage/ Infrastructure rehabiliation "/>
    <n v="12"/>
    <m/>
    <m/>
    <n v="3"/>
    <m/>
    <n v="0"/>
    <n v="5"/>
    <m/>
    <m/>
    <s v="No"/>
    <m/>
    <m/>
    <s v="need more hygiene items especially MHM Kits"/>
    <m/>
    <m/>
    <m/>
    <m/>
    <m/>
    <m/>
    <m/>
    <s v="no test"/>
    <s v="no test"/>
    <s v="No Test"/>
    <n v="1"/>
    <n v="3"/>
    <n v="0"/>
    <n v="0"/>
    <n v="0"/>
    <n v="0"/>
    <n v="1"/>
    <n v="1"/>
    <n v="1"/>
    <n v="514"/>
    <n v="0"/>
    <n v="0"/>
    <n v="1"/>
    <n v="514"/>
    <n v="1.028"/>
    <n v="0"/>
    <n v="0"/>
    <n v="0"/>
    <n v="1"/>
    <n v="48"/>
    <n v="1"/>
    <n v="514"/>
    <n v="0"/>
    <n v="0"/>
    <n v="0"/>
    <n v="0"/>
    <n v="26"/>
    <n v="0"/>
    <n v="0"/>
    <n v="0"/>
    <n v="514"/>
    <n v="0"/>
    <n v="0"/>
    <n v="0"/>
    <n v="514"/>
    <n v="1"/>
    <n v="0"/>
    <n v="1"/>
    <n v="0"/>
    <n v="0"/>
    <n v="12"/>
    <n v="100"/>
    <n v="0"/>
    <n v="514"/>
    <s v="No"/>
    <s v=""/>
    <n v="0"/>
    <n v="0"/>
    <s v="Yes"/>
    <s v="KBC-BMO"/>
    <x v="0"/>
    <x v="1"/>
    <x v="1"/>
    <n v="24.222349999999999"/>
    <n v="97.252650000000003"/>
    <s v="MMR001CMP193"/>
    <x v="0"/>
    <s v="cccm_2019OCT"/>
  </r>
  <r>
    <x v="2"/>
    <x v="6"/>
    <x v="6"/>
    <s v="MHF, OFDA,ECHO"/>
    <x v="0"/>
    <x v="10"/>
    <x v="1"/>
    <x v="193"/>
    <n v="614"/>
    <n v="3859"/>
    <d v="2020-01-03T00:00:00"/>
    <d v="2021-06-30T00:00:00"/>
    <m/>
    <m/>
    <n v="6"/>
    <m/>
    <s v="Yes"/>
    <n v="20"/>
    <n v="14"/>
    <n v="1"/>
    <n v="1"/>
    <m/>
    <n v="22"/>
    <n v="0"/>
    <m/>
    <m/>
    <m/>
    <m/>
    <m/>
    <m/>
    <m/>
    <m/>
    <n v="6"/>
    <m/>
    <n v="14"/>
    <n v="10"/>
    <n v="21"/>
    <n v="14"/>
    <n v="19"/>
    <m/>
    <s v="Water safety plan need to install"/>
    <n v="146"/>
    <m/>
    <m/>
    <m/>
    <m/>
    <n v="58"/>
    <n v="182"/>
    <m/>
    <x v="1"/>
    <x v="1"/>
    <n v="0"/>
    <n v="0"/>
    <m/>
    <m/>
    <m/>
    <s v="Gaps in drainage/ Infrastructure rehabiliation "/>
    <n v="19"/>
    <m/>
    <m/>
    <n v="12"/>
    <m/>
    <n v="0"/>
    <n v="6"/>
    <m/>
    <m/>
    <m/>
    <m/>
    <m/>
    <m/>
    <m/>
    <m/>
    <m/>
    <m/>
    <m/>
    <m/>
    <m/>
    <n v="0.7142857142857143"/>
    <n v="0.66666666666666663"/>
    <s v="Tested"/>
    <n v="0"/>
    <n v="22"/>
    <n v="0"/>
    <n v="0"/>
    <n v="0"/>
    <n v="0"/>
    <n v="1"/>
    <n v="1"/>
    <n v="1"/>
    <n v="3859"/>
    <n v="0"/>
    <n v="0"/>
    <n v="1"/>
    <n v="3859"/>
    <n v="7.718"/>
    <n v="0"/>
    <n v="0"/>
    <n v="0.28200000000000003"/>
    <n v="8"/>
    <n v="146"/>
    <n v="0.75667271313811868"/>
    <n v="2920"/>
    <n v="1160"/>
    <n v="0"/>
    <n v="0"/>
    <n v="0"/>
    <n v="193"/>
    <n v="47"/>
    <n v="0.24332728686188132"/>
    <n v="0"/>
    <n v="3000"/>
    <n v="0"/>
    <n v="0"/>
    <n v="0"/>
    <n v="3000"/>
    <n v="0.77740347240217678"/>
    <n v="0.22259652759782322"/>
    <n v="0.77740347240217678"/>
    <n v="0"/>
    <n v="0"/>
    <n v="19"/>
    <n v="380"/>
    <n v="0"/>
    <n v="1900"/>
    <s v="No"/>
    <s v=""/>
    <n v="0"/>
    <n v="0"/>
    <s v="Yes"/>
    <s v="KBC-BMO"/>
    <x v="0"/>
    <x v="1"/>
    <x v="1"/>
    <n v="24.268292826086999"/>
    <n v="97.229116811594196"/>
    <s v="MMR001CMP047"/>
    <x v="0"/>
    <s v="cccm_2019OCT"/>
  </r>
  <r>
    <x v="2"/>
    <x v="6"/>
    <x v="6"/>
    <s v="MHF, OFDA,ECHO"/>
    <x v="0"/>
    <x v="10"/>
    <x v="0"/>
    <x v="194"/>
    <n v="243.8"/>
    <n v="1219"/>
    <d v="2020-01-03T00:00:00"/>
    <d v="2021-06-30T00:00:00"/>
    <m/>
    <m/>
    <n v="0"/>
    <m/>
    <s v="Yes"/>
    <m/>
    <n v="0"/>
    <n v="0"/>
    <m/>
    <m/>
    <n v="5"/>
    <n v="0"/>
    <m/>
    <m/>
    <m/>
    <m/>
    <m/>
    <m/>
    <m/>
    <m/>
    <m/>
    <m/>
    <n v="6"/>
    <n v="4"/>
    <m/>
    <m/>
    <m/>
    <n v="2"/>
    <m/>
    <m/>
    <m/>
    <m/>
    <m/>
    <m/>
    <m/>
    <m/>
    <m/>
    <x v="1"/>
    <x v="1"/>
    <n v="0"/>
    <n v="0"/>
    <m/>
    <m/>
    <m/>
    <s v="Gaps in drainage/ Infrastructure rehabiliation "/>
    <m/>
    <m/>
    <m/>
    <n v="0"/>
    <m/>
    <n v="0"/>
    <n v="0"/>
    <m/>
    <m/>
    <s v="Yes"/>
    <m/>
    <m/>
    <m/>
    <m/>
    <m/>
    <m/>
    <m/>
    <m/>
    <m/>
    <m/>
    <n v="0.66666666666666663"/>
    <s v="no test"/>
    <s v="Tested"/>
    <n v="0"/>
    <n v="5"/>
    <n v="0"/>
    <n v="0"/>
    <n v="0"/>
    <n v="1000"/>
    <n v="1"/>
    <n v="1"/>
    <n v="1"/>
    <n v="1219"/>
    <n v="0"/>
    <n v="0"/>
    <n v="1"/>
    <n v="1219"/>
    <n v="2.4380000000000002"/>
    <n v="0"/>
    <n v="0"/>
    <n v="0"/>
    <n v="2"/>
    <n v="0"/>
    <n v="0"/>
    <n v="0"/>
    <n v="0"/>
    <n v="0"/>
    <n v="0"/>
    <n v="0"/>
    <n v="61"/>
    <n v="61"/>
    <n v="1"/>
    <n v="0"/>
    <n v="0"/>
    <n v="0"/>
    <n v="0"/>
    <n v="0"/>
    <n v="0"/>
    <n v="0"/>
    <n v="1"/>
    <n v="0"/>
    <n v="0"/>
    <n v="0"/>
    <n v="0"/>
    <n v="0"/>
    <n v="0"/>
    <n v="0"/>
    <s v="No"/>
    <s v=""/>
    <n v="0"/>
    <n v="1000"/>
    <s v="No"/>
    <n v="0"/>
    <x v="0"/>
    <x v="1"/>
    <x v="1"/>
    <n v="0"/>
    <n v="0"/>
    <n v="0"/>
    <x v="0"/>
    <n v="0"/>
  </r>
  <r>
    <x v="2"/>
    <x v="6"/>
    <x v="6"/>
    <s v="MHF, OFDA,ECHO"/>
    <x v="0"/>
    <x v="7"/>
    <x v="1"/>
    <x v="195"/>
    <n v="40"/>
    <n v="255"/>
    <d v="2020-01-03T00:00:00"/>
    <d v="2021-06-30T00:00:00"/>
    <m/>
    <n v="0"/>
    <n v="2"/>
    <m/>
    <s v="Yes"/>
    <n v="3"/>
    <n v="10"/>
    <n v="2"/>
    <m/>
    <m/>
    <n v="1"/>
    <n v="0"/>
    <m/>
    <m/>
    <m/>
    <m/>
    <m/>
    <m/>
    <m/>
    <m/>
    <n v="2"/>
    <m/>
    <m/>
    <m/>
    <m/>
    <m/>
    <n v="10"/>
    <m/>
    <m/>
    <n v="16"/>
    <m/>
    <m/>
    <m/>
    <m/>
    <n v="4"/>
    <n v="18"/>
    <m/>
    <x v="1"/>
    <x v="1"/>
    <n v="0"/>
    <n v="0"/>
    <m/>
    <m/>
    <m/>
    <s v="Gaps in drainage/ Infrastructure rehabiliation "/>
    <n v="7"/>
    <m/>
    <m/>
    <n v="1"/>
    <m/>
    <n v="1"/>
    <n v="1"/>
    <m/>
    <m/>
    <m/>
    <m/>
    <m/>
    <m/>
    <m/>
    <m/>
    <m/>
    <m/>
    <n v="5"/>
    <m/>
    <m/>
    <s v="no test"/>
    <s v="no test"/>
    <s v="No Test"/>
    <n v="2"/>
    <n v="1"/>
    <n v="0"/>
    <n v="0"/>
    <n v="0"/>
    <n v="0"/>
    <n v="1"/>
    <n v="1"/>
    <n v="1"/>
    <n v="255"/>
    <n v="0"/>
    <n v="0"/>
    <n v="1"/>
    <n v="255"/>
    <n v="0.51"/>
    <n v="0"/>
    <n v="0"/>
    <n v="0.49"/>
    <n v="1"/>
    <n v="16"/>
    <n v="1"/>
    <n v="255"/>
    <n v="80"/>
    <n v="0"/>
    <n v="0"/>
    <n v="0"/>
    <n v="13"/>
    <n v="0"/>
    <n v="0"/>
    <n v="0"/>
    <n v="255"/>
    <n v="0"/>
    <n v="0"/>
    <n v="0"/>
    <n v="255"/>
    <n v="1"/>
    <n v="0"/>
    <n v="1"/>
    <n v="0"/>
    <n v="0"/>
    <n v="7"/>
    <n v="40"/>
    <n v="0"/>
    <n v="255"/>
    <s v="No"/>
    <s v=""/>
    <n v="5"/>
    <n v="0"/>
    <s v="Yes"/>
    <s v="KBC-BMO"/>
    <x v="0"/>
    <x v="1"/>
    <x v="1"/>
    <n v="24.207332999999998"/>
    <n v="97.710864000000001"/>
    <s v="MMR001CMP073"/>
    <x v="0"/>
    <s v="cccm_2019OCT"/>
  </r>
  <r>
    <x v="2"/>
    <x v="12"/>
    <x v="12"/>
    <s v="SI (ECHO), UNICEF"/>
    <x v="0"/>
    <x v="9"/>
    <x v="1"/>
    <x v="196"/>
    <n v="361"/>
    <n v="1887"/>
    <s v="5-1-2020, 1-1-2020"/>
    <s v="2-28-2020, 12-1-2020"/>
    <m/>
    <m/>
    <m/>
    <m/>
    <s v="Yes"/>
    <m/>
    <m/>
    <n v="4"/>
    <m/>
    <m/>
    <m/>
    <m/>
    <m/>
    <m/>
    <m/>
    <m/>
    <m/>
    <m/>
    <n v="5"/>
    <m/>
    <n v="2"/>
    <n v="5"/>
    <m/>
    <m/>
    <m/>
    <m/>
    <n v="0"/>
    <n v="5"/>
    <m/>
    <n v="185"/>
    <m/>
    <m/>
    <m/>
    <m/>
    <m/>
    <m/>
    <n v="73"/>
    <x v="2"/>
    <x v="1"/>
    <n v="4"/>
    <n v="60"/>
    <n v="15"/>
    <n v="2"/>
    <m/>
    <m/>
    <n v="53"/>
    <m/>
    <n v="60"/>
    <n v="12"/>
    <m/>
    <n v="2"/>
    <n v="6"/>
    <m/>
    <m/>
    <s v="Yes"/>
    <m/>
    <m/>
    <m/>
    <m/>
    <m/>
    <m/>
    <m/>
    <m/>
    <m/>
    <m/>
    <s v="no test"/>
    <s v="no test"/>
    <s v="No Test"/>
    <n v="4"/>
    <n v="0"/>
    <n v="0"/>
    <n v="0"/>
    <n v="0"/>
    <n v="2500"/>
    <n v="0.84790673025967145"/>
    <n v="0.52994170641229466"/>
    <n v="0.84790673025967145"/>
    <n v="1600"/>
    <n v="0.66242713301536826"/>
    <n v="1250"/>
    <n v="1"/>
    <n v="1887"/>
    <n v="3.774"/>
    <n v="0"/>
    <n v="0"/>
    <n v="0.22599999999999998"/>
    <n v="4"/>
    <n v="185"/>
    <n v="1"/>
    <n v="1887"/>
    <n v="0"/>
    <n v="0"/>
    <n v="100"/>
    <n v="100"/>
    <n v="94"/>
    <n v="0"/>
    <n v="0"/>
    <n v="0"/>
    <n v="1887"/>
    <n v="0"/>
    <n v="0"/>
    <n v="0"/>
    <n v="1887"/>
    <n v="1"/>
    <n v="0"/>
    <n v="1"/>
    <n v="0"/>
    <n v="0"/>
    <n v="53"/>
    <n v="361"/>
    <n v="0"/>
    <n v="1887"/>
    <s v="No"/>
    <s v=""/>
    <n v="0"/>
    <n v="2500"/>
    <s v="Yes"/>
    <s v="KMSS-BMO"/>
    <x v="0"/>
    <x v="1"/>
    <x v="0"/>
    <n v="24.002433"/>
    <n v="97.609832999999995"/>
    <s v="MMR001CMP129"/>
    <x v="0"/>
    <s v="cccm_2019OCT"/>
  </r>
  <r>
    <x v="2"/>
    <x v="12"/>
    <x v="12"/>
    <s v="(SI (ECHO), Harp - F),UNICEF"/>
    <x v="0"/>
    <x v="9"/>
    <x v="1"/>
    <x v="197"/>
    <n v="481"/>
    <n v="2691"/>
    <s v="5-1-2020, 1-1-2020"/>
    <s v="2-28-2020, 12-1-2020"/>
    <m/>
    <m/>
    <m/>
    <m/>
    <s v="Yes"/>
    <m/>
    <m/>
    <n v="4"/>
    <m/>
    <m/>
    <m/>
    <m/>
    <m/>
    <m/>
    <m/>
    <m/>
    <m/>
    <m/>
    <n v="1"/>
    <m/>
    <n v="2"/>
    <n v="1"/>
    <m/>
    <m/>
    <m/>
    <m/>
    <n v="5"/>
    <n v="2"/>
    <m/>
    <n v="438"/>
    <m/>
    <m/>
    <m/>
    <m/>
    <m/>
    <m/>
    <n v="266"/>
    <x v="2"/>
    <x v="1"/>
    <n v="6"/>
    <n v="274"/>
    <n v="62"/>
    <n v="2"/>
    <m/>
    <m/>
    <n v="59"/>
    <m/>
    <n v="266"/>
    <n v="3"/>
    <m/>
    <m/>
    <n v="7"/>
    <m/>
    <m/>
    <s v="Yes"/>
    <m/>
    <m/>
    <m/>
    <m/>
    <m/>
    <m/>
    <m/>
    <m/>
    <m/>
    <m/>
    <s v="no test"/>
    <s v="no test"/>
    <s v="No Test"/>
    <n v="4"/>
    <n v="0"/>
    <n v="0"/>
    <n v="0"/>
    <n v="0"/>
    <n v="1000"/>
    <n v="0.59457450761798591"/>
    <n v="0.37160906726124115"/>
    <n v="0.59457450761798591"/>
    <n v="1600"/>
    <n v="9.2902266815310289E-2"/>
    <n v="250"/>
    <n v="0.68747677443329624"/>
    <n v="1850"/>
    <n v="3.7"/>
    <n v="0.31252322556670376"/>
    <n v="840.99999999999977"/>
    <n v="1.2999999999999998"/>
    <n v="5"/>
    <n v="438"/>
    <n v="1"/>
    <n v="2691"/>
    <n v="0"/>
    <n v="0"/>
    <n v="100"/>
    <n v="100"/>
    <n v="135"/>
    <n v="0"/>
    <n v="0"/>
    <n v="0"/>
    <n v="2691"/>
    <n v="0"/>
    <n v="0"/>
    <n v="0"/>
    <n v="2691"/>
    <n v="1"/>
    <n v="0"/>
    <n v="1"/>
    <n v="0"/>
    <n v="0"/>
    <n v="59"/>
    <n v="481"/>
    <n v="5"/>
    <n v="2691"/>
    <s v="No"/>
    <s v=""/>
    <n v="0"/>
    <n v="1000"/>
    <s v="Yes"/>
    <s v="KMSS-BMO"/>
    <x v="0"/>
    <x v="1"/>
    <x v="0"/>
    <n v="24.056132999999999"/>
    <n v="97.625617000000005"/>
    <s v="MMR001CMP128"/>
    <x v="0"/>
    <s v="cccm_2019OCT"/>
  </r>
  <r>
    <x v="2"/>
    <x v="7"/>
    <x v="7"/>
    <s v="MHF-Metta"/>
    <x v="0"/>
    <x v="7"/>
    <x v="1"/>
    <x v="198"/>
    <n v="332"/>
    <n v="1675"/>
    <d v="2020-02-13T00:00:00"/>
    <d v="2021-02-12T00:00:00"/>
    <m/>
    <m/>
    <m/>
    <m/>
    <s v="Yes"/>
    <m/>
    <m/>
    <m/>
    <m/>
    <m/>
    <m/>
    <m/>
    <m/>
    <m/>
    <m/>
    <m/>
    <m/>
    <m/>
    <n v="6"/>
    <m/>
    <n v="2"/>
    <n v="6"/>
    <m/>
    <m/>
    <m/>
    <m/>
    <n v="4"/>
    <n v="2"/>
    <m/>
    <n v="181"/>
    <m/>
    <m/>
    <m/>
    <m/>
    <m/>
    <m/>
    <n v="71"/>
    <x v="2"/>
    <x v="1"/>
    <n v="2"/>
    <m/>
    <n v="16"/>
    <n v="2"/>
    <m/>
    <m/>
    <n v="52"/>
    <m/>
    <n v="30"/>
    <n v="22"/>
    <m/>
    <m/>
    <n v="6"/>
    <m/>
    <m/>
    <s v="Yes"/>
    <m/>
    <m/>
    <m/>
    <m/>
    <m/>
    <m/>
    <m/>
    <m/>
    <m/>
    <m/>
    <s v="no test"/>
    <s v="no test"/>
    <s v="No Test"/>
    <n v="0"/>
    <n v="0"/>
    <n v="0"/>
    <n v="0"/>
    <n v="0"/>
    <n v="1000"/>
    <n v="0"/>
    <n v="0"/>
    <n v="0"/>
    <n v="0"/>
    <n v="0.89552238805970152"/>
    <n v="1500"/>
    <n v="0.89552238805970152"/>
    <n v="1500"/>
    <n v="3"/>
    <n v="0.10447761194029848"/>
    <n v="174.99999999999994"/>
    <n v="0"/>
    <n v="3"/>
    <n v="181"/>
    <n v="1"/>
    <n v="1675"/>
    <n v="0"/>
    <n v="0"/>
    <n v="100"/>
    <n v="100"/>
    <n v="84"/>
    <n v="0"/>
    <n v="0"/>
    <n v="0"/>
    <n v="1675"/>
    <n v="0"/>
    <n v="0"/>
    <n v="0"/>
    <n v="1675"/>
    <n v="1"/>
    <n v="0"/>
    <n v="1"/>
    <n v="0"/>
    <n v="0"/>
    <n v="52"/>
    <n v="332"/>
    <n v="4"/>
    <n v="1675"/>
    <s v="No"/>
    <s v=""/>
    <n v="0"/>
    <n v="1000"/>
    <s v="Yes"/>
    <s v="KMSS-BMO"/>
    <x v="0"/>
    <x v="1"/>
    <x v="0"/>
    <n v="24.378167000000001"/>
    <n v="97.669366999999994"/>
    <s v="MMR001CMP131"/>
    <x v="0"/>
    <s v="cccm_2019OCT"/>
  </r>
  <r>
    <x v="2"/>
    <x v="7"/>
    <x v="7"/>
    <s v="MHF-Metta"/>
    <x v="0"/>
    <x v="7"/>
    <x v="1"/>
    <x v="199"/>
    <n v="593"/>
    <n v="2975"/>
    <d v="2020-02-13T00:00:00"/>
    <d v="2021-02-12T00:00:00"/>
    <m/>
    <m/>
    <m/>
    <m/>
    <s v="Yes"/>
    <m/>
    <m/>
    <m/>
    <m/>
    <m/>
    <m/>
    <m/>
    <m/>
    <m/>
    <n v="25"/>
    <m/>
    <m/>
    <m/>
    <n v="1"/>
    <m/>
    <n v="2"/>
    <n v="1"/>
    <m/>
    <m/>
    <m/>
    <m/>
    <n v="21"/>
    <n v="6"/>
    <m/>
    <n v="152"/>
    <m/>
    <m/>
    <m/>
    <m/>
    <m/>
    <m/>
    <m/>
    <x v="2"/>
    <x v="1"/>
    <n v="4"/>
    <m/>
    <n v="16"/>
    <n v="2"/>
    <m/>
    <m/>
    <n v="39"/>
    <m/>
    <m/>
    <n v="10"/>
    <m/>
    <m/>
    <n v="6"/>
    <m/>
    <m/>
    <s v="Yes"/>
    <m/>
    <m/>
    <m/>
    <m/>
    <m/>
    <m/>
    <m/>
    <m/>
    <m/>
    <m/>
    <s v="no test"/>
    <s v="no test"/>
    <s v="No Test"/>
    <n v="0"/>
    <n v="0"/>
    <n v="25"/>
    <n v="0"/>
    <n v="0"/>
    <n v="3000"/>
    <n v="0.56022408963585435"/>
    <n v="0.56022408963585435"/>
    <n v="0.56022408963585435"/>
    <n v="1666.6666666666667"/>
    <n v="8.4033613445378158E-2"/>
    <n v="250.00000000000003"/>
    <n v="0.64425770308123254"/>
    <n v="1916.6666666666667"/>
    <n v="3.8333333333333335"/>
    <n v="0.35574229691876746"/>
    <n v="1058.3333333333333"/>
    <n v="2.1666666666666665"/>
    <n v="6"/>
    <n v="152"/>
    <n v="1"/>
    <n v="2975"/>
    <n v="0"/>
    <n v="0"/>
    <n v="100"/>
    <n v="100"/>
    <n v="149"/>
    <n v="0"/>
    <n v="0"/>
    <n v="0"/>
    <n v="2975"/>
    <n v="0"/>
    <n v="0"/>
    <n v="0"/>
    <n v="2975"/>
    <n v="1"/>
    <n v="0"/>
    <n v="1"/>
    <n v="0"/>
    <n v="0"/>
    <n v="39"/>
    <n v="593"/>
    <n v="21"/>
    <n v="2975"/>
    <s v="No"/>
    <s v=""/>
    <n v="0"/>
    <n v="3000"/>
    <s v="Yes"/>
    <s v="KMSS-BMO"/>
    <x v="0"/>
    <x v="1"/>
    <x v="0"/>
    <n v="24.2744"/>
    <n v="97.752667000000002"/>
    <s v="MMR001CMP126"/>
    <x v="0"/>
    <s v="cccm_2019OCT"/>
  </r>
  <r>
    <x v="2"/>
    <x v="13"/>
    <x v="13"/>
    <s v="MHF"/>
    <x v="0"/>
    <x v="2"/>
    <x v="1"/>
    <x v="201"/>
    <n v="95"/>
    <n v="412"/>
    <d v="2020-01-23T00:00:00"/>
    <d v="2021-01-22T00:00:00"/>
    <n v="121"/>
    <m/>
    <m/>
    <m/>
    <m/>
    <m/>
    <m/>
    <n v="5"/>
    <m/>
    <m/>
    <m/>
    <m/>
    <m/>
    <m/>
    <m/>
    <m/>
    <m/>
    <m/>
    <m/>
    <m/>
    <m/>
    <m/>
    <m/>
    <m/>
    <m/>
    <m/>
    <m/>
    <n v="0"/>
    <s v="Need water tank for dry season"/>
    <n v="100"/>
    <m/>
    <m/>
    <n v="95"/>
    <m/>
    <m/>
    <m/>
    <m/>
    <x v="0"/>
    <x v="0"/>
    <m/>
    <m/>
    <n v="0"/>
    <m/>
    <m/>
    <m/>
    <n v="24"/>
    <n v="14"/>
    <m/>
    <m/>
    <m/>
    <m/>
    <m/>
    <m/>
    <m/>
    <m/>
    <m/>
    <m/>
    <m/>
    <m/>
    <m/>
    <m/>
    <m/>
    <m/>
    <m/>
    <m/>
    <s v="no test"/>
    <s v="no test"/>
    <s v="No Test"/>
    <n v="5"/>
    <n v="0"/>
    <n v="0"/>
    <n v="0"/>
    <n v="0"/>
    <n v="0"/>
    <n v="1"/>
    <n v="1"/>
    <n v="1"/>
    <n v="412"/>
    <n v="0"/>
    <n v="0"/>
    <n v="1"/>
    <n v="412"/>
    <n v="0.82399999999999995"/>
    <n v="0"/>
    <n v="0"/>
    <n v="0.17600000000000005"/>
    <n v="1"/>
    <n v="5"/>
    <n v="0.24271844660194175"/>
    <n v="100"/>
    <n v="0"/>
    <n v="0"/>
    <n v="0"/>
    <n v="0"/>
    <n v="21"/>
    <n v="0"/>
    <n v="0.75728155339805825"/>
    <n v="0.95"/>
    <n v="0"/>
    <n v="0"/>
    <n v="0"/>
    <n v="0"/>
    <n v="0"/>
    <n v="0"/>
    <n v="1"/>
    <n v="0"/>
    <n v="0"/>
    <n v="0"/>
    <n v="10"/>
    <n v="95"/>
    <n v="0"/>
    <n v="412"/>
    <s v="Yes"/>
    <s v=""/>
    <n v="0"/>
    <n v="0"/>
    <m/>
    <m/>
    <x v="0"/>
    <x v="1"/>
    <x v="1"/>
    <n v="0"/>
    <n v="0"/>
    <n v="0"/>
    <x v="0"/>
    <e v="#N/A"/>
  </r>
  <r>
    <x v="2"/>
    <x v="13"/>
    <x v="13"/>
    <s v="LIFT"/>
    <x v="0"/>
    <x v="2"/>
    <x v="1"/>
    <x v="202"/>
    <n v="139"/>
    <n v="685"/>
    <d v="2020-01-29T00:00:00"/>
    <d v="2022-12-31T00:00:00"/>
    <n v="166"/>
    <m/>
    <m/>
    <m/>
    <m/>
    <m/>
    <m/>
    <n v="3"/>
    <m/>
    <m/>
    <n v="45"/>
    <m/>
    <m/>
    <m/>
    <m/>
    <m/>
    <m/>
    <m/>
    <m/>
    <m/>
    <m/>
    <m/>
    <m/>
    <m/>
    <m/>
    <m/>
    <n v="2"/>
    <m/>
    <s v="not enough water"/>
    <n v="139"/>
    <m/>
    <m/>
    <n v="38"/>
    <m/>
    <m/>
    <m/>
    <m/>
    <x v="0"/>
    <x v="0"/>
    <m/>
    <m/>
    <n v="2"/>
    <m/>
    <m/>
    <m/>
    <n v="4"/>
    <n v="0"/>
    <m/>
    <m/>
    <m/>
    <m/>
    <m/>
    <m/>
    <m/>
    <m/>
    <m/>
    <m/>
    <m/>
    <m/>
    <m/>
    <m/>
    <m/>
    <m/>
    <m/>
    <m/>
    <s v="no test"/>
    <s v="no test"/>
    <s v="No Test"/>
    <n v="3"/>
    <n v="45"/>
    <n v="0"/>
    <n v="0"/>
    <n v="0"/>
    <n v="0"/>
    <n v="1"/>
    <n v="1"/>
    <n v="1"/>
    <n v="685"/>
    <n v="0"/>
    <n v="0"/>
    <n v="1"/>
    <n v="685"/>
    <n v="1.37"/>
    <n v="0"/>
    <n v="0"/>
    <n v="0"/>
    <n v="1"/>
    <n v="101"/>
    <n v="1"/>
    <n v="685"/>
    <n v="0"/>
    <n v="100"/>
    <n v="0"/>
    <n v="100"/>
    <n v="34"/>
    <n v="0"/>
    <n v="0"/>
    <n v="0.2733812949640288"/>
    <n v="0"/>
    <n v="0"/>
    <n v="0"/>
    <n v="0"/>
    <n v="0"/>
    <n v="0"/>
    <n v="1"/>
    <n v="0"/>
    <n v="0"/>
    <n v="0"/>
    <n v="4"/>
    <n v="80"/>
    <n v="0"/>
    <n v="400"/>
    <s v="Yes"/>
    <s v=""/>
    <n v="0"/>
    <n v="100"/>
    <m/>
    <m/>
    <x v="0"/>
    <x v="1"/>
    <x v="1"/>
    <n v="25.319629669189499"/>
    <n v="97.321372985839801"/>
    <n v="165777"/>
    <x v="0"/>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C46" firstHeaderRow="1" firstDataRow="1" firstDataCol="3" rowPageCount="3" colPageCount="1"/>
  <pivotFields count="147">
    <pivotField axis="axisPage" compact="0" outline="0" showAll="0" defaultSubtotal="0">
      <items count="17">
        <item m="1" x="14"/>
        <item m="1" x="15"/>
        <item m="1" x="5"/>
        <item m="1" x="16"/>
        <item m="1" x="8"/>
        <item m="1" x="10"/>
        <item m="1" x="12"/>
        <item m="1" x="13"/>
        <item m="1" x="4"/>
        <item m="1" x="6"/>
        <item m="1" x="7"/>
        <item m="1" x="9"/>
        <item m="1" x="3"/>
        <item m="1" x="11"/>
        <item x="0"/>
        <item x="1"/>
        <item x="2"/>
      </items>
    </pivotField>
    <pivotField compact="0" outline="0" showAll="0" defaultSubtotal="0"/>
    <pivotField axis="axisRow" compact="0" outline="0" multipleItemSelectionAllowed="1" showAll="0" defaultSubtotal="0">
      <items count="52">
        <item m="1" x="29"/>
        <item m="1" x="42"/>
        <item m="1" x="44"/>
        <item m="1" x="38"/>
        <item m="1" x="49"/>
        <item m="1" x="30"/>
        <item m="1" x="39"/>
        <item m="1" x="50"/>
        <item x="0"/>
        <item m="1" x="22"/>
        <item x="1"/>
        <item m="1" x="43"/>
        <item m="1" x="27"/>
        <item m="1" x="20"/>
        <item m="1" x="47"/>
        <item x="2"/>
        <item x="3"/>
        <item m="1" x="23"/>
        <item m="1" x="16"/>
        <item m="1" x="31"/>
        <item m="1" x="36"/>
        <item m="1" x="35"/>
        <item m="1" x="26"/>
        <item m="1" x="51"/>
        <item m="1" x="19"/>
        <item m="1" x="37"/>
        <item m="1" x="17"/>
        <item x="4"/>
        <item m="1" x="25"/>
        <item m="1" x="24"/>
        <item m="1" x="21"/>
        <item m="1" x="40"/>
        <item m="1" x="45"/>
        <item m="1" x="15"/>
        <item m="1" x="41"/>
        <item m="1" x="18"/>
        <item m="1" x="48"/>
        <item m="1" x="46"/>
        <item x="5"/>
        <item x="6"/>
        <item m="1" x="28"/>
        <item m="1" x="33"/>
        <item m="1" x="32"/>
        <item m="1" x="34"/>
        <item x="7"/>
        <item m="1" x="14"/>
        <item x="8"/>
        <item x="12"/>
        <item x="9"/>
        <item x="10"/>
        <item x="11"/>
        <item x="13"/>
      </items>
      <extLst>
        <ext xmlns:x14="http://schemas.microsoft.com/office/spreadsheetml/2009/9/main" uri="{2946ED86-A175-432a-8AC1-64E0C546D7DE}">
          <x14:pivotField fillDownLabels="1"/>
        </ext>
      </extLst>
    </pivotField>
    <pivotField compact="0" outline="0" showAll="0" defaultSubtotal="0"/>
    <pivotField axis="axisRow" compact="0" outline="0" multipleItemSelectionAllowed="1" showAll="0" defaultSubtotal="0">
      <items count="6">
        <item h="1" m="1" x="3"/>
        <item x="0"/>
        <item h="1" m="1" x="5"/>
        <item h="1" m="1" x="4"/>
        <item h="1" x="1"/>
        <item h="1" m="1" x="2"/>
      </items>
    </pivotField>
    <pivotField axis="axisRow" compact="0" outline="0" showAll="0" defaultSubtotal="0">
      <items count="45">
        <item m="1" x="30"/>
        <item x="10"/>
        <item m="1" x="43"/>
        <item m="1" x="35"/>
        <item x="4"/>
        <item x="3"/>
        <item x="19"/>
        <item x="20"/>
        <item x="13"/>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m="1" x="25"/>
        <item m="1" x="26"/>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x="1"/>
        <item x="0"/>
        <item m="1" x="7"/>
        <item m="1" x="5"/>
        <item m="1" x="3"/>
        <item m="1" x="2"/>
        <item h="1" m="1" x="9"/>
        <item m="1" x="6"/>
        <item h="1" m="1" x="10"/>
        <item m="1" x="4"/>
        <item h="1" m="1" x="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 outline="0" subtotalTop="0" showAll="0" defaultSubtotal="0"/>
    <pivotField compact="0" numFmtId="1"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numFmtId="9" outline="0" subtotalTop="0" showAll="0" defaultSubtotal="0"/>
    <pivotField compact="0" numFmtId="164"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5">
        <item m="1" x="3"/>
        <item x="0"/>
        <item x="1"/>
        <item m="1" x="4"/>
        <item m="1" x="2"/>
      </items>
    </pivotField>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3">
    <field x="4"/>
    <field x="5"/>
    <field x="2"/>
  </rowFields>
  <rowItems count="41">
    <i>
      <x v="1"/>
      <x v="1"/>
      <x v="8"/>
    </i>
    <i r="2">
      <x v="15"/>
    </i>
    <i r="2">
      <x v="39"/>
    </i>
    <i r="2">
      <x v="48"/>
    </i>
    <i r="2">
      <x v="50"/>
    </i>
    <i r="1">
      <x v="4"/>
      <x v="8"/>
    </i>
    <i r="2">
      <x v="10"/>
    </i>
    <i r="2">
      <x v="38"/>
    </i>
    <i r="1">
      <x v="5"/>
      <x v="8"/>
    </i>
    <i r="2">
      <x v="10"/>
    </i>
    <i r="2">
      <x v="38"/>
    </i>
    <i r="1">
      <x v="14"/>
      <x v="10"/>
    </i>
    <i r="2">
      <x v="15"/>
    </i>
    <i r="2">
      <x v="46"/>
    </i>
    <i r="2">
      <x v="47"/>
    </i>
    <i r="2">
      <x v="48"/>
    </i>
    <i r="1">
      <x v="18"/>
      <x v="8"/>
    </i>
    <i r="2">
      <x v="10"/>
    </i>
    <i r="1">
      <x v="19"/>
      <x v="8"/>
    </i>
    <i r="2">
      <x v="10"/>
    </i>
    <i r="1">
      <x v="21"/>
      <x v="8"/>
    </i>
    <i r="2">
      <x v="10"/>
    </i>
    <i r="2">
      <x v="15"/>
    </i>
    <i r="2">
      <x v="39"/>
    </i>
    <i r="2">
      <x v="44"/>
    </i>
    <i r="2">
      <x v="48"/>
    </i>
    <i r="2">
      <x v="49"/>
    </i>
    <i r="2">
      <x v="50"/>
    </i>
    <i r="1">
      <x v="25"/>
      <x v="8"/>
    </i>
    <i r="2">
      <x v="10"/>
    </i>
    <i r="2">
      <x v="38"/>
    </i>
    <i r="1">
      <x v="34"/>
      <x v="8"/>
    </i>
    <i r="1">
      <x v="37"/>
      <x v="8"/>
    </i>
    <i r="2">
      <x v="15"/>
    </i>
    <i r="2">
      <x v="48"/>
    </i>
    <i r="1">
      <x v="39"/>
      <x v="8"/>
    </i>
    <i r="1">
      <x v="40"/>
      <x v="10"/>
    </i>
    <i r="1">
      <x v="41"/>
      <x v="8"/>
    </i>
    <i r="2">
      <x v="10"/>
    </i>
    <i r="2">
      <x v="15"/>
    </i>
    <i r="2">
      <x v="38"/>
    </i>
  </rowItems>
  <colItems count="1">
    <i/>
  </colItems>
  <pageFields count="3">
    <pageField fld="0" item="15" hier="-1"/>
    <pageField fld="136" item="1" hier="-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412:F413" firstHeaderRow="0" firstDataRow="1" firstDataCol="0" rowPageCount="4"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7">
        <item x="0"/>
        <item m="1" x="4"/>
        <item h="1" x="1"/>
        <item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4">
    <pageField fld="0" item="16" hier="-1"/>
    <pageField fld="136" hier="-1"/>
    <pageField fld="6" hier="-1"/>
    <pageField fld="4"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4">
    <format dxfId="155">
      <pivotArea type="all" dataOnly="0" outline="0" fieldPosition="0"/>
    </format>
    <format dxfId="154">
      <pivotArea outline="0" collapsedLevelsAreSubtotals="1" fieldPosition="0"/>
    </format>
    <format dxfId="153">
      <pivotArea field="4" type="button" dataOnly="0" labelOnly="1" outline="0" axis="axisPage" fieldPosition="3"/>
    </format>
    <format dxfId="152">
      <pivotArea dataOnly="0" labelOnly="1" grandRow="1" outline="0" fieldPosition="0"/>
    </format>
    <format dxfId="151">
      <pivotArea type="all" dataOnly="0" outline="0" fieldPosition="0"/>
    </format>
    <format dxfId="150">
      <pivotArea outline="0" collapsedLevelsAreSubtotals="1" fieldPosition="0"/>
    </format>
    <format dxfId="149">
      <pivotArea type="origin" dataOnly="0" labelOnly="1" outline="0" fieldPosition="0"/>
    </format>
    <format dxfId="148">
      <pivotArea field="136" type="button" dataOnly="0" labelOnly="1" outline="0" axis="axisPage" fieldPosition="1"/>
    </format>
    <format dxfId="147">
      <pivotArea type="topRight" dataOnly="0" labelOnly="1" outline="0" fieldPosition="0"/>
    </format>
    <format dxfId="146">
      <pivotArea dataOnly="0" labelOnly="1" fieldPosition="0">
        <references count="1">
          <reference field="136" count="0"/>
        </references>
      </pivotArea>
    </format>
    <format dxfId="145">
      <pivotArea type="all" dataOnly="0" outline="0" fieldPosition="0"/>
    </format>
    <format dxfId="144">
      <pivotArea outline="0" collapsedLevelsAreSubtotals="1" fieldPosition="0"/>
    </format>
    <format dxfId="143">
      <pivotArea field="4" type="button" dataOnly="0" labelOnly="1" outline="0" axis="axisPage" fieldPosition="3"/>
    </format>
    <format dxfId="142">
      <pivotArea outline="0" collapsedLevelsAreSubtotals="1" fieldPosition="0"/>
    </format>
  </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4">
  <location ref="X128:Z129" firstHeaderRow="0" firstDataRow="1" firstDataCol="1" rowPageCount="4"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1">
        <item x="1"/>
        <item x="0"/>
        <item m="1" x="7"/>
        <item h="1" m="1" x="5"/>
        <item m="1" x="3"/>
        <item m="1" x="2"/>
        <item h="1" m="1" x="9"/>
        <item m="1" x="6"/>
        <item h="1" m="1" x="10"/>
        <item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1"/>
        <item n="# in NGCA (20:1)"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2"/>
  </rowFields>
  <rowItems count="1">
    <i>
      <x v="339"/>
    </i>
  </rowItems>
  <colFields count="1">
    <field x="-2"/>
  </colFields>
  <colItems count="2">
    <i>
      <x/>
    </i>
    <i i="1">
      <x v="1"/>
    </i>
  </colItems>
  <pageFields count="4">
    <pageField fld="0" item="15" hier="-1"/>
    <pageField fld="4" item="2" hier="-1"/>
    <pageField fld="136" item="0" hier="-1"/>
    <pageField fld="6" hier="-1"/>
  </pageFields>
  <dataFields count="2">
    <dataField name="Accessed" fld="101" baseField="0" baseItem="0"/>
    <dataField name="Not-accessed" fld="146" baseField="0" baseItem="0" numFmtId="1"/>
  </dataFields>
  <formats count="15">
    <format dxfId="170">
      <pivotArea field="4" type="button" dataOnly="0" labelOnly="1" outline="0" axis="axisPage" fieldPosition="1"/>
    </format>
    <format dxfId="169">
      <pivotArea type="all" dataOnly="0" outline="0" fieldPosition="0"/>
    </format>
    <format dxfId="168">
      <pivotArea type="origin" dataOnly="0" labelOnly="1" outline="0" fieldPosition="0"/>
    </format>
    <format dxfId="167">
      <pivotArea type="topRight" dataOnly="0" labelOnly="1" outline="0" fieldPosition="0"/>
    </format>
    <format dxfId="166">
      <pivotArea field="-2" type="button" dataOnly="0" labelOnly="1" outline="0" axis="axisCol" fieldPosition="0"/>
    </format>
    <format dxfId="165">
      <pivotArea type="all" dataOnly="0" outline="0" fieldPosition="0"/>
    </format>
    <format dxfId="164">
      <pivotArea outline="0" collapsedLevelsAreSubtotals="1" fieldPosition="0"/>
    </format>
    <format dxfId="163">
      <pivotArea type="origin" dataOnly="0" labelOnly="1" outline="0" fieldPosition="0"/>
    </format>
    <format dxfId="162">
      <pivotArea type="topRight" dataOnly="0" labelOnly="1" outline="0" fieldPosition="0"/>
    </format>
    <format dxfId="161">
      <pivotArea field="-2" type="button" dataOnly="0" labelOnly="1" outline="0" axis="axisCol" fieldPosition="0"/>
    </format>
    <format dxfId="160">
      <pivotArea dataOnly="0" labelOnly="1" outline="0" fieldPosition="0">
        <references count="3">
          <reference field="0" count="1" selected="0">
            <x v="7"/>
          </reference>
          <reference field="4" count="1">
            <x v="0"/>
          </reference>
          <reference field="136" count="1" selected="0">
            <x v="0"/>
          </reference>
        </references>
      </pivotArea>
    </format>
    <format dxfId="159">
      <pivotArea type="all" dataOnly="0" outline="0" fieldPosition="0"/>
    </format>
    <format dxfId="158">
      <pivotArea outline="0" collapsedLevelsAreSubtotals="1" fieldPosition="0"/>
    </format>
    <format dxfId="157">
      <pivotArea dataOnly="0" labelOnly="1" fieldPosition="0">
        <references count="1">
          <reference field="132" count="2">
            <x v="339"/>
            <x v="340"/>
          </reference>
        </references>
      </pivotArea>
    </format>
    <format dxfId="156">
      <pivotArea outline="0" collapsedLevelsAreSubtotals="1" fieldPosition="0"/>
    </format>
  </formats>
  <chartFormats count="10">
    <chartFormat chart="27" format="0" series="1">
      <pivotArea type="data" outline="0" fieldPosition="0">
        <references count="2">
          <reference field="4294967294" count="1" selected="0">
            <x v="0"/>
          </reference>
          <reference field="132" count="1" selected="0">
            <x v="339"/>
          </reference>
        </references>
      </pivotArea>
    </chartFormat>
    <chartFormat chart="27" format="1" series="1">
      <pivotArea type="data" outline="0" fieldPosition="0">
        <references count="2">
          <reference field="4294967294" count="1" selected="0">
            <x v="0"/>
          </reference>
          <reference field="132"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6">
  <location ref="I46:K47"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subtotalTop="0" showAll="0"/>
    <pivotField axis="axisPage" multipleItemSelectionAllowed="1" showAll="0" defaultSubtotal="0">
      <items count="11">
        <item x="1"/>
        <item x="0"/>
        <item m="1" x="7"/>
        <item m="1" x="3"/>
        <item h="1" m="1" x="2"/>
        <item h="1" m="1" x="9"/>
        <item h="1" m="1" x="6"/>
        <item h="1" m="1" x="10"/>
        <item h="1" m="1" x="4"/>
        <item h="1" m="1" x="5"/>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GCA (500:1)" x="1"/>
        <item n="NGCA (500:1)" x="0"/>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2"/>
  </rowFields>
  <rowItems count="1">
    <i>
      <x v="339"/>
    </i>
  </rowItems>
  <colFields count="1">
    <field x="-2"/>
  </colFields>
  <colItems count="2">
    <i>
      <x/>
    </i>
    <i i="1">
      <x v="1"/>
    </i>
  </colItems>
  <pageFields count="4">
    <pageField fld="0" hier="-1"/>
    <pageField fld="4" hier="-1"/>
    <pageField fld="136" hier="-1"/>
    <pageField fld="6" hier="-1"/>
  </pageFields>
  <dataFields count="2">
    <dataField name="Coverage" fld="94" baseField="80" baseItem="1" numFmtId="1"/>
    <dataField name="Gap" fld="97" baseField="80" baseItem="1" numFmtId="1"/>
  </dataFields>
  <formats count="16">
    <format dxfId="186">
      <pivotArea type="all" dataOnly="0" outline="0" fieldPosition="0"/>
    </format>
    <format dxfId="185">
      <pivotArea outline="0" collapsedLevelsAreSubtotals="1" fieldPosition="0"/>
    </format>
    <format dxfId="184">
      <pivotArea field="132" type="button" dataOnly="0" labelOnly="1" outline="0" axis="axisRow" fieldPosition="0"/>
    </format>
    <format dxfId="183">
      <pivotArea type="all" dataOnly="0" outline="0" fieldPosition="0"/>
    </format>
    <format dxfId="182">
      <pivotArea field="132" type="button" dataOnly="0" labelOnly="1" outline="0" axis="axisRow" fieldPosition="0"/>
    </format>
    <format dxfId="181">
      <pivotArea field="132" type="button" dataOnly="0" labelOnly="1" outline="0" axis="axisRow" fieldPosition="0"/>
    </format>
    <format dxfId="180">
      <pivotArea dataOnly="0" labelOnly="1" outline="0" fieldPosition="0">
        <references count="1">
          <reference field="4294967294" count="2">
            <x v="0"/>
            <x v="1"/>
          </reference>
        </references>
      </pivotArea>
    </format>
    <format dxfId="179">
      <pivotArea outline="0" fieldPosition="0">
        <references count="1">
          <reference field="4294967294" count="1">
            <x v="0"/>
          </reference>
        </references>
      </pivotArea>
    </format>
    <format dxfId="178">
      <pivotArea outline="0" fieldPosition="0">
        <references count="1">
          <reference field="4294967294" count="1">
            <x v="1"/>
          </reference>
        </references>
      </pivotArea>
    </format>
    <format dxfId="177">
      <pivotArea type="all" dataOnly="0" outline="0" fieldPosition="0"/>
    </format>
    <format dxfId="176">
      <pivotArea outline="0" collapsedLevelsAreSubtotals="1" fieldPosition="0"/>
    </format>
    <format dxfId="175">
      <pivotArea field="132" type="button" dataOnly="0" labelOnly="1" outline="0" axis="axisRow" fieldPosition="0"/>
    </format>
    <format dxfId="174">
      <pivotArea dataOnly="0" labelOnly="1" fieldPosition="0">
        <references count="1">
          <reference field="132" count="2">
            <x v="339"/>
            <x v="340"/>
          </reference>
        </references>
      </pivotArea>
    </format>
    <format dxfId="173">
      <pivotArea dataOnly="0" labelOnly="1" outline="0" fieldPosition="0">
        <references count="1">
          <reference field="4294967294" count="2">
            <x v="0"/>
            <x v="1"/>
          </reference>
        </references>
      </pivotArea>
    </format>
    <format dxfId="172">
      <pivotArea field="4" type="button" dataOnly="0" labelOnly="1" outline="0" axis="axisPage" fieldPosition="1"/>
    </format>
    <format dxfId="171">
      <pivotArea dataOnly="0" labelOnly="1" outline="0" fieldPosition="0">
        <references count="1">
          <reference field="4" count="1">
            <x v="2"/>
          </reference>
        </references>
      </pivotArea>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H303:J306" firstHeaderRow="1" firstDataRow="2" firstDataCol="1" rowPageCount="2" colPageCount="1"/>
  <pivotFields count="147">
    <pivotField axis="axisPage" subtotalTop="0" multipleItemSelectionAllowed="1" showAll="0">
      <items count="18">
        <item m="1" x="15"/>
        <item m="1" x="5"/>
        <item m="1" x="16"/>
        <item h="1" m="1" x="8"/>
        <item m="1" x="4"/>
        <item m="1" x="3"/>
        <item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h="1" m="1" x="4"/>
        <item x="1"/>
        <item m="1" x="2"/>
        <item h="1" m="1" x="3"/>
        <item h="1" m="1" x="5"/>
        <item t="default"/>
      </items>
    </pivotField>
    <pivotField subtotalTop="0" showAll="0"/>
    <pivotField axis="axisRow" showAll="0" defaultSubtotal="0">
      <items count="11">
        <item x="1"/>
        <item x="0"/>
        <item m="1" x="7"/>
        <item m="1" x="5"/>
        <item m="1" x="3"/>
        <item m="1" x="2"/>
        <item m="1" x="9"/>
        <item m="1" x="6"/>
        <item m="1" x="10"/>
        <item m="1" x="4"/>
        <item m="1" x="8"/>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
    </i>
  </rowItems>
  <colFields count="1">
    <field x="136"/>
  </colFields>
  <colItems count="2">
    <i>
      <x/>
    </i>
    <i>
      <x v="1"/>
    </i>
  </colItems>
  <pageFields count="2">
    <pageField fld="0" hier="-1"/>
    <pageField fld="4" hier="-1"/>
  </pageFields>
  <dataFields count="1">
    <dataField name="Count of Site Name" fld="7" subtotal="count" baseField="0" baseItem="0"/>
  </dataFields>
  <formats count="17">
    <format dxfId="203">
      <pivotArea type="all" dataOnly="0" outline="0" fieldPosition="0"/>
    </format>
    <format dxfId="202">
      <pivotArea outline="0" collapsedLevelsAreSubtotals="1" fieldPosition="0"/>
    </format>
    <format dxfId="201">
      <pivotArea field="4" type="button" dataOnly="0" labelOnly="1" outline="0" axis="axisPage" fieldPosition="1"/>
    </format>
    <format dxfId="200">
      <pivotArea dataOnly="0" labelOnly="1" fieldPosition="0">
        <references count="1">
          <reference field="4" count="0"/>
        </references>
      </pivotArea>
    </format>
    <format dxfId="199">
      <pivotArea dataOnly="0" labelOnly="1" grandRow="1" outline="0" fieldPosition="0"/>
    </format>
    <format dxfId="198">
      <pivotArea dataOnly="0" labelOnly="1" outline="0" fieldPosition="0">
        <references count="1">
          <reference field="4294967294" count="1">
            <x v="0"/>
          </reference>
        </references>
      </pivotArea>
    </format>
    <format dxfId="197">
      <pivotArea type="all" dataOnly="0" outline="0" fieldPosition="0"/>
    </format>
    <format dxfId="196">
      <pivotArea outline="0" collapsedLevelsAreSubtotals="1" fieldPosition="0"/>
    </format>
    <format dxfId="195">
      <pivotArea type="origin" dataOnly="0" labelOnly="1" outline="0" fieldPosition="0"/>
    </format>
    <format dxfId="194">
      <pivotArea field="136" type="button" dataOnly="0" labelOnly="1" outline="0" axis="axisCol" fieldPosition="0"/>
    </format>
    <format dxfId="193">
      <pivotArea type="topRight" dataOnly="0" labelOnly="1" outline="0" fieldPosition="0"/>
    </format>
    <format dxfId="192">
      <pivotArea dataOnly="0" labelOnly="1" fieldPosition="0">
        <references count="1">
          <reference field="136" count="0"/>
        </references>
      </pivotArea>
    </format>
    <format dxfId="191">
      <pivotArea type="all" dataOnly="0" outline="0" fieldPosition="0"/>
    </format>
    <format dxfId="190">
      <pivotArea outline="0" collapsedLevelsAreSubtotals="1" fieldPosition="0"/>
    </format>
    <format dxfId="189">
      <pivotArea dataOnly="0" labelOnly="1" fieldPosition="0">
        <references count="1">
          <reference field="136" count="0"/>
        </references>
      </pivotArea>
    </format>
    <format dxfId="188">
      <pivotArea field="4" type="button" dataOnly="0" labelOnly="1" outline="0" axis="axisPage" fieldPosition="1"/>
    </format>
    <format dxfId="187">
      <pivotArea dataOnly="0" labelOnly="1" outline="0" fieldPosition="0">
        <references count="1">
          <reference field="4" count="0"/>
        </references>
      </pivotArea>
    </format>
  </formats>
  <chartFormats count="10">
    <chartFormat chart="1" format="0" series="1">
      <pivotArea type="data" outline="0" fieldPosition="0">
        <references count="2">
          <reference field="4294967294" count="1" selected="0">
            <x v="0"/>
          </reference>
          <reference field="136" count="1" selected="0">
            <x v="0"/>
          </reference>
        </references>
      </pivotArea>
    </chartFormat>
    <chartFormat chart="1" format="1" series="1">
      <pivotArea type="data" outline="0" fieldPosition="0">
        <references count="2">
          <reference field="4294967294" count="1" selected="0">
            <x v="0"/>
          </reference>
          <reference field="136" count="1" selected="0">
            <x v="1"/>
          </reference>
        </references>
      </pivotArea>
    </chartFormat>
    <chartFormat chart="6" format="4" series="1">
      <pivotArea type="data" outline="0" fieldPosition="0">
        <references count="2">
          <reference field="4294967294" count="1" selected="0">
            <x v="0"/>
          </reference>
          <reference field="136" count="1" selected="0">
            <x v="0"/>
          </reference>
        </references>
      </pivotArea>
    </chartFormat>
    <chartFormat chart="6" format="5" series="1">
      <pivotArea type="data" outline="0" fieldPosition="0">
        <references count="2">
          <reference field="4294967294" count="1" selected="0">
            <x v="0"/>
          </reference>
          <reference field="136" count="1" selected="0">
            <x v="1"/>
          </reference>
        </references>
      </pivotArea>
    </chartFormat>
    <chartFormat chart="16" format="8" series="1">
      <pivotArea type="data" outline="0" fieldPosition="0">
        <references count="2">
          <reference field="4294967294" count="1" selected="0">
            <x v="0"/>
          </reference>
          <reference field="136" count="1" selected="0">
            <x v="0"/>
          </reference>
        </references>
      </pivotArea>
    </chartFormat>
    <chartFormat chart="16" format="9" series="1">
      <pivotArea type="data" outline="0" fieldPosition="0">
        <references count="2">
          <reference field="4294967294" count="1" selected="0">
            <x v="0"/>
          </reference>
          <reference field="136" count="1" selected="0">
            <x v="1"/>
          </reference>
        </references>
      </pivotArea>
    </chartFormat>
    <chartFormat chart="19" format="8" series="1">
      <pivotArea type="data" outline="0" fieldPosition="0">
        <references count="2">
          <reference field="4294967294" count="1" selected="0">
            <x v="0"/>
          </reference>
          <reference field="136" count="1" selected="0">
            <x v="0"/>
          </reference>
        </references>
      </pivotArea>
    </chartFormat>
    <chartFormat chart="19" format="9" series="1">
      <pivotArea type="data" outline="0" fieldPosition="0">
        <references count="2">
          <reference field="4294967294" count="1" selected="0">
            <x v="0"/>
          </reference>
          <reference field="136" count="1" selected="0">
            <x v="1"/>
          </reference>
        </references>
      </pivotArea>
    </chartFormat>
    <chartFormat chart="16" format="10" series="1">
      <pivotArea type="data" outline="0" fieldPosition="0">
        <references count="2">
          <reference field="4294967294" count="1" selected="0">
            <x v="0"/>
          </reference>
          <reference field="136" count="1" selected="0">
            <x v="3"/>
          </reference>
        </references>
      </pivotArea>
    </chartFormat>
    <chartFormat chart="19" format="10" series="1">
      <pivotArea type="data" outline="0" fieldPosition="0">
        <references count="2">
          <reference field="4294967294" count="1" selected="0">
            <x v="0"/>
          </reference>
          <reference field="136" count="1" selected="0">
            <x v="3"/>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69:W71" firstHeaderRow="1" firstDataRow="1" firstDataCol="1" rowPageCount="2"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2">
    <i>
      <x/>
    </i>
    <i t="grand">
      <x/>
    </i>
  </rowItems>
  <colItems count="1">
    <i/>
  </colItems>
  <pageFields count="2">
    <pageField fld="1" hier="136" name="[WWWW].[Covered].&amp;[Covered]" cap="Covered"/>
    <pageField fld="4" hier="36" name="[WWWW].[#_Household water sampl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4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15" level="1">
        <member name="[WWWW].[#_Household water samples tested for fecal coliform].&amp;[1]"/>
        <member name="[WWWW].[#_Household water samples tested for fecal coliform].&amp;[2]"/>
        <member name="[WWWW].[#_Household water samples tested for fecal coliform].&amp;[3]"/>
        <member name="[WWWW].[#_Household water samples tested for fecal coliform].&amp;[4]"/>
        <member name="[WWWW].[#_Household water samples tested for fecal coliform].&amp;[5]"/>
        <member name="[WWWW].[#_Household water samples tested for fecal coliform].&amp;[11]"/>
        <member name="[WWWW].[#_Household water samples tested for fecal coliform].&amp;[12]"/>
        <member name="[WWWW].[#_Household water samples tested for fecal coliform].&amp;[13]"/>
        <member name="[WWWW].[#_Household water samples tested for fecal coliform].&amp;[15]"/>
        <member name="[WWWW].[#_Household water samples tested for fecal coliform].&amp;[18]"/>
        <member name="[WWWW].[#_Household water samples tested for fecal coliform].&amp;[20]"/>
        <member name="[WWWW].[#_Household water samples tested for fecal coliform].&amp;[21]"/>
        <member name="[WWWW].[#_Household water samples tested for fecal coliform].&amp;[22]"/>
        <member name="[WWWW].[#_Household water samples tested for fecal coliform].&amp;[33]"/>
        <member name="[WWWW].[#_Household water samples tested for fecal coliform].&amp;[8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24" firstHeaderRow="0" firstDataRow="1" firstDataCol="1" rowPageCount="4" colPageCount="1"/>
  <pivotFields count="147">
    <pivotField axis="axisPage" subtotalTop="0" multipleItemSelectionAllowed="1" showAll="0">
      <items count="18">
        <item m="1" x="15"/>
        <item m="1" x="5"/>
        <item h="1" m="1" x="8"/>
        <item m="1" x="3"/>
        <item m="1" x="16"/>
        <item m="1" x="4"/>
        <item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axis="axisPage" multipleItemSelectionAllowed="1" showAll="0" defaultSubtotal="0">
      <items count="11">
        <item x="1"/>
        <item x="0"/>
        <item m="1" x="7"/>
        <item m="1" x="3"/>
        <item h="1" m="1" x="2"/>
        <item h="1" m="1" x="9"/>
        <item h="1" m="1" x="6"/>
        <item h="1" m="1" x="10"/>
        <item h="1" m="1" x="4"/>
        <item m="1" x="5"/>
        <item h="1" m="1" x="8"/>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16"/>
    </i>
    <i>
      <x v="20"/>
    </i>
    <i>
      <x v="21"/>
    </i>
    <i>
      <x v="23"/>
    </i>
    <i>
      <x v="27"/>
    </i>
    <i>
      <x v="36"/>
    </i>
    <i>
      <x v="39"/>
    </i>
    <i>
      <x v="41"/>
    </i>
    <i>
      <x v="42"/>
    </i>
    <i>
      <x v="43"/>
    </i>
    <i t="grand">
      <x/>
    </i>
  </rowItems>
  <colFields count="1">
    <field x="-2"/>
  </colFields>
  <colItems count="5">
    <i>
      <x/>
    </i>
    <i i="1">
      <x v="1"/>
    </i>
    <i i="2">
      <x v="2"/>
    </i>
    <i i="3">
      <x v="3"/>
    </i>
    <i i="4">
      <x v="4"/>
    </i>
  </colItems>
  <pageFields count="4">
    <pageField fld="0" hier="-1"/>
    <pageField fld="136" item="0" hier="-1"/>
    <pageField fld="4" item="0" hier="-1"/>
    <pageField fld="6" hier="-1"/>
  </pageFields>
  <dataFields count="5">
    <dataField name="# of sites" fld="7" subtotal="count" baseField="0" baseItem="0"/>
    <dataField name="PoP " fld="9" baseField="0" baseItem="0" numFmtId="164"/>
    <dataField name=" % Water GAP" fld="143" baseField="0" baseItem="0" numFmtId="9"/>
    <dataField name=" % Sanitation GAP" fld="145" baseField="0" baseItem="0" numFmtId="9"/>
    <dataField name=" % Hygiene Gap" fld="140" baseField="0" baseItem="0" numFmtId="9"/>
  </dataFields>
  <formats count="35">
    <format dxfId="238">
      <pivotArea type="all" dataOnly="0" outline="0" fieldPosition="0"/>
    </format>
    <format dxfId="237">
      <pivotArea outline="0" collapsedLevelsAreSubtotals="1" fieldPosition="0"/>
    </format>
    <format dxfId="236">
      <pivotArea field="5" type="button" dataOnly="0" labelOnly="1" outline="0" axis="axisRow" fieldPosition="0"/>
    </format>
    <format dxfId="235">
      <pivotArea dataOnly="0" labelOnly="1" outline="0" axis="axisValues" fieldPosition="0"/>
    </format>
    <format dxfId="234">
      <pivotArea dataOnly="0" labelOnly="1" fieldPosition="0">
        <references count="1">
          <reference field="5" count="0"/>
        </references>
      </pivotArea>
    </format>
    <format dxfId="233">
      <pivotArea dataOnly="0" labelOnly="1" grandRow="1" outline="0" fieldPosition="0"/>
    </format>
    <format dxfId="232">
      <pivotArea dataOnly="0" labelOnly="1" outline="0" axis="axisValues" fieldPosition="0"/>
    </format>
    <format dxfId="231">
      <pivotArea type="all" dataOnly="0" outline="0" fieldPosition="0"/>
    </format>
    <format dxfId="230">
      <pivotArea field="5" type="button" dataOnly="0" labelOnly="1" outline="0" axis="axisRow" fieldPosition="0"/>
    </format>
    <format dxfId="229">
      <pivotArea dataOnly="0" labelOnly="1" outline="0" axis="axisValues" fieldPosition="0"/>
    </format>
    <format dxfId="228">
      <pivotArea dataOnly="0" labelOnly="1" fieldPosition="0">
        <references count="1">
          <reference field="5" count="0"/>
        </references>
      </pivotArea>
    </format>
    <format dxfId="227">
      <pivotArea dataOnly="0" labelOnly="1" outline="0" axis="axisValues" fieldPosition="0"/>
    </format>
    <format dxfId="226">
      <pivotArea field="5" type="button" dataOnly="0" labelOnly="1" outline="0" axis="axisRow" fieldPosition="0"/>
    </format>
    <format dxfId="225">
      <pivotArea type="all" dataOnly="0" outline="0" fieldPosition="0"/>
    </format>
    <format dxfId="224">
      <pivotArea field="5" type="button" dataOnly="0" labelOnly="1" outline="0" axis="axisRow" fieldPosition="0"/>
    </format>
    <format dxfId="223">
      <pivotArea dataOnly="0" labelOnly="1" fieldPosition="0">
        <references count="1">
          <reference field="5" count="0"/>
        </references>
      </pivotArea>
    </format>
    <format dxfId="222">
      <pivotArea dataOnly="0" labelOnly="1" outline="0" fieldPosition="0">
        <references count="1">
          <reference field="4294967294" count="1">
            <x v="1"/>
          </reference>
        </references>
      </pivotArea>
    </format>
    <format dxfId="221">
      <pivotArea type="all" dataOnly="0" outline="0" fieldPosition="0"/>
    </format>
    <format dxfId="220">
      <pivotArea outline="0" collapsedLevelsAreSubtotals="1" fieldPosition="0"/>
    </format>
    <format dxfId="219">
      <pivotArea field="5" type="button" dataOnly="0" labelOnly="1" outline="0" axis="axisRow" fieldPosition="0"/>
    </format>
    <format dxfId="218">
      <pivotArea dataOnly="0" labelOnly="1" fieldPosition="0">
        <references count="1">
          <reference field="5" count="0"/>
        </references>
      </pivotArea>
    </format>
    <format dxfId="217">
      <pivotArea dataOnly="0" labelOnly="1" outline="0" fieldPosition="0">
        <references count="1">
          <reference field="4294967294" count="1">
            <x v="1"/>
          </reference>
        </references>
      </pivotArea>
    </format>
    <format dxfId="216">
      <pivotArea field="5" type="button" dataOnly="0" labelOnly="1" outline="0" axis="axisRow" fieldPosition="0"/>
    </format>
    <format dxfId="215">
      <pivotArea dataOnly="0" labelOnly="1" outline="0" fieldPosition="0">
        <references count="1">
          <reference field="4294967294" count="1">
            <x v="1"/>
          </reference>
        </references>
      </pivotArea>
    </format>
    <format dxfId="214">
      <pivotArea outline="0" collapsedLevelsAreSubtotals="1" fieldPosition="0">
        <references count="1">
          <reference field="4294967294" count="1" selected="0">
            <x v="1"/>
          </reference>
        </references>
      </pivotArea>
    </format>
    <format dxfId="213">
      <pivotArea type="all" dataOnly="0" outline="0" fieldPosition="0"/>
    </format>
    <format dxfId="212">
      <pivotArea outline="0" collapsedLevelsAreSubtotals="1" fieldPosition="0"/>
    </format>
    <format dxfId="211">
      <pivotArea field="5" type="button" dataOnly="0" labelOnly="1" outline="0" axis="axisRow" fieldPosition="0"/>
    </format>
    <format dxfId="210">
      <pivotArea dataOnly="0" labelOnly="1" fieldPosition="0">
        <references count="1">
          <reference field="5" count="13">
            <x v="1"/>
            <x v="4"/>
            <x v="5"/>
            <x v="16"/>
            <x v="20"/>
            <x v="21"/>
            <x v="23"/>
            <x v="27"/>
            <x v="36"/>
            <x v="39"/>
            <x v="41"/>
            <x v="42"/>
            <x v="43"/>
          </reference>
        </references>
      </pivotArea>
    </format>
    <format dxfId="209">
      <pivotArea dataOnly="0" labelOnly="1" grandRow="1" outline="0" fieldPosition="0"/>
    </format>
    <format dxfId="208">
      <pivotArea dataOnly="0" labelOnly="1" outline="0" fieldPosition="0">
        <references count="1">
          <reference field="4294967294" count="1">
            <x v="1"/>
          </reference>
        </references>
      </pivotArea>
    </format>
    <format dxfId="207">
      <pivotArea field="4" type="button" dataOnly="0" labelOnly="1" outline="0" axis="axisPage" fieldPosition="2"/>
    </format>
    <format dxfId="206">
      <pivotArea dataOnly="0" labelOnly="1" outline="0" fieldPosition="0">
        <references count="2">
          <reference field="4" count="1">
            <x v="0"/>
          </reference>
          <reference field="136" count="1" selected="0">
            <x v="0"/>
          </reference>
        </references>
      </pivotArea>
    </format>
    <format dxfId="205">
      <pivotArea outline="0" collapsedLevelsAreSubtotals="1" fieldPosition="0">
        <references count="1">
          <reference field="4294967294" count="1" selected="0">
            <x v="3"/>
          </reference>
        </references>
      </pivotArea>
    </format>
    <format dxfId="204">
      <pivotArea outline="0" collapsedLevelsAreSubtotals="1" fieldPosition="0">
        <references count="1">
          <reference field="4294967294" count="1" selected="0">
            <x v="4"/>
          </reference>
        </references>
      </pivotArea>
    </format>
  </formats>
  <conditionalFormats count="1">
    <conditionalFormat priority="17">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26:L350" firstHeaderRow="0" firstDataRow="1" firstDataCol="4" rowPageCount="2" colPageCount="1"/>
  <pivotFields count="147">
    <pivotField axis="axisPage" compact="0" outline="0" subtotalTop="0" showAll="0" defaultSubtotal="0">
      <items count="17">
        <item m="1" x="15"/>
        <item m="1" x="5"/>
        <item m="1" x="16"/>
        <item m="1" x="8"/>
        <item m="1" x="4"/>
        <item m="1" x="3"/>
        <item m="1" x="14"/>
        <item m="1" x="10"/>
        <item m="1" x="12"/>
        <item m="1" x="13"/>
        <item m="1" x="6"/>
        <item m="1" x="7"/>
        <item m="1" x="9"/>
        <item m="1" x="11"/>
        <item x="0"/>
        <item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h="1" m="1" x="4"/>
        <item h="1" x="1"/>
        <item h="1" m="1" x="2"/>
        <item h="1" m="1" x="3"/>
        <item h="1" m="1" x="5"/>
        <item t="default"/>
      </items>
    </pivotField>
    <pivotField axis="axisRow" compact="0" outline="0" subtotalTop="0" showAll="0" defaultSubtotal="0">
      <items count="45">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s>
    </pivotField>
    <pivotField compact="0" outline="0" showAll="0" defaultSubtotal="0"/>
    <pivotField axis="axisRow" dataField="1" compact="0" outline="0" subtotalTop="0" showAll="0" defaultSubtotal="0">
      <items count="1015">
        <item x="153"/>
        <item x="183"/>
        <item x="184"/>
        <item x="154"/>
        <item x="155"/>
        <item x="69"/>
        <item m="1" x="352"/>
        <item m="1" x="581"/>
        <item m="1" x="269"/>
        <item m="1" x="308"/>
        <item m="1" x="556"/>
        <item m="1" x="668"/>
        <item m="1" x="682"/>
        <item m="1" x="469"/>
        <item m="1" x="310"/>
        <item m="1" x="927"/>
        <item m="1" x="835"/>
        <item m="1" x="322"/>
        <item m="1" x="724"/>
        <item m="1" x="522"/>
        <item m="1" x="872"/>
        <item m="1" x="814"/>
        <item m="1" x="895"/>
        <item m="1" x="916"/>
        <item m="1" x="385"/>
        <item m="1" x="795"/>
        <item m="1" x="415"/>
        <item m="1" x="431"/>
        <item m="1" x="429"/>
        <item m="1" x="348"/>
        <item x="70"/>
        <item m="1" x="964"/>
        <item m="1" x="1001"/>
        <item m="1" x="734"/>
        <item m="1" x="481"/>
        <item m="1" x="373"/>
        <item x="156"/>
        <item m="1" x="416"/>
        <item m="1" x="870"/>
        <item m="1" x="824"/>
        <item m="1" x="887"/>
        <item m="1" x="259"/>
        <item m="1" x="362"/>
        <item m="1" x="569"/>
        <item m="1" x="789"/>
        <item m="1" x="790"/>
        <item m="1" x="565"/>
        <item x="128"/>
        <item m="1" x="411"/>
        <item x="48"/>
        <item m="1" x="995"/>
        <item m="1" x="954"/>
        <item m="1" x="732"/>
        <item x="196"/>
        <item m="1" x="922"/>
        <item m="1" x="722"/>
        <item m="1" x="751"/>
        <item m="1" x="235"/>
        <item m="1" x="255"/>
        <item x="157"/>
        <item m="1" x="897"/>
        <item m="1" x="450"/>
        <item m="1" x="372"/>
        <item m="1" x="446"/>
        <item x="158"/>
        <item m="1" x="630"/>
        <item m="1" x="779"/>
        <item m="1" x="217"/>
        <item m="1" x="728"/>
        <item m="1" x="957"/>
        <item m="1" x="651"/>
        <item m="1" x="260"/>
        <item m="1" x="388"/>
        <item m="1" x="890"/>
        <item x="159"/>
        <item m="1" x="823"/>
        <item m="1" x="571"/>
        <item m="1" x="470"/>
        <item m="1" x="925"/>
        <item m="1" x="626"/>
        <item m="1" x="402"/>
        <item x="2"/>
        <item m="1" x="797"/>
        <item x="49"/>
        <item m="1" x="941"/>
        <item m="1" x="350"/>
        <item m="1" x="962"/>
        <item m="1" x="695"/>
        <item m="1" x="578"/>
        <item m="1" x="607"/>
        <item m="1" x="850"/>
        <item m="1" x="262"/>
        <item m="1" x="755"/>
        <item m="1" x="689"/>
        <item m="1" x="939"/>
        <item m="1" x="884"/>
        <item m="1" x="748"/>
        <item m="1" x="611"/>
        <item m="1" x="644"/>
        <item m="1" x="233"/>
        <item x="131"/>
        <item x="160"/>
        <item x="3"/>
        <item m="1" x="318"/>
        <item m="1" x="223"/>
        <item m="1" x="602"/>
        <item x="4"/>
        <item m="1" x="511"/>
        <item x="161"/>
        <item m="1" x="471"/>
        <item x="132"/>
        <item x="73"/>
        <item m="1" x="717"/>
        <item x="162"/>
        <item m="1" x="472"/>
        <item m="1" x="720"/>
        <item x="5"/>
        <item m="1" x="244"/>
        <item x="74"/>
        <item x="75"/>
        <item x="77"/>
        <item m="1" x="730"/>
        <item m="1" x="439"/>
        <item m="1" x="282"/>
        <item m="1" x="702"/>
        <item x="134"/>
        <item x="7"/>
        <item x="50"/>
        <item x="51"/>
        <item m="1" x="663"/>
        <item m="1" x="970"/>
        <item m="1" x="1011"/>
        <item m="1" x="912"/>
        <item x="78"/>
        <item m="1" x="635"/>
        <item m="1" x="627"/>
        <item m="1" x="826"/>
        <item m="1" x="399"/>
        <item m="1" x="353"/>
        <item m="1" x="393"/>
        <item m="1" x="613"/>
        <item m="1" x="759"/>
        <item m="1" x="932"/>
        <item m="1" x="718"/>
        <item m="1" x="277"/>
        <item m="1" x="856"/>
        <item m="1" x="489"/>
        <item m="1" x="590"/>
        <item m="1" x="422"/>
        <item m="1" x="545"/>
        <item x="79"/>
        <item m="1" x="493"/>
        <item m="1" x="1003"/>
        <item m="1" x="719"/>
        <item x="135"/>
        <item m="1" x="456"/>
        <item m="1" x="725"/>
        <item m="1" x="496"/>
        <item m="1" x="295"/>
        <item m="1" x="374"/>
        <item m="1" x="307"/>
        <item m="1" x="731"/>
        <item m="1" x="959"/>
        <item x="80"/>
        <item x="81"/>
        <item x="82"/>
        <item m="1" x="585"/>
        <item m="1" x="300"/>
        <item m="1" x="744"/>
        <item m="1" x="336"/>
        <item m="1" x="794"/>
        <item m="1" x="334"/>
        <item m="1" x="380"/>
        <item m="1" x="619"/>
        <item m="1" x="989"/>
        <item m="1" x="1005"/>
        <item m="1" x="317"/>
        <item m="1" x="278"/>
        <item m="1" x="368"/>
        <item m="1" x="756"/>
        <item m="1" x="398"/>
        <item m="1" x="465"/>
        <item m="1" x="819"/>
        <item m="1" x="325"/>
        <item m="1" x="896"/>
        <item m="1" x="931"/>
        <item m="1" x="320"/>
        <item m="1" x="572"/>
        <item m="1" x="899"/>
        <item m="1" x="386"/>
        <item m="1" x="267"/>
        <item x="83"/>
        <item m="1" x="685"/>
        <item m="1" x="220"/>
        <item x="9"/>
        <item m="1" x="883"/>
        <item m="1" x="622"/>
        <item m="1" x="442"/>
        <item m="1" x="391"/>
        <item x="10"/>
        <item m="1" x="889"/>
        <item x="197"/>
        <item m="1" x="280"/>
        <item m="1" x="665"/>
        <item m="1" x="867"/>
        <item m="1" x="787"/>
        <item x="163"/>
        <item x="12"/>
        <item x="13"/>
        <item m="1" x="1012"/>
        <item m="1" x="261"/>
        <item m="1" x="209"/>
        <item m="1" x="841"/>
        <item m="1" x="513"/>
        <item m="1" x="256"/>
        <item m="1" x="704"/>
        <item m="1" x="476"/>
        <item x="164"/>
        <item m="1" x="502"/>
        <item m="1" x="608"/>
        <item x="165"/>
        <item x="166"/>
        <item x="84"/>
        <item x="85"/>
        <item x="186"/>
        <item x="187"/>
        <item x="188"/>
        <item m="1" x="328"/>
        <item m="1" x="271"/>
        <item m="1" x="314"/>
        <item x="14"/>
        <item x="189"/>
        <item m="1" x="851"/>
        <item m="1" x="845"/>
        <item x="16"/>
        <item x="137"/>
        <item m="1" x="405"/>
        <item x="167"/>
        <item x="57"/>
        <item x="17"/>
        <item x="18"/>
        <item x="19"/>
        <item x="58"/>
        <item m="1" x="873"/>
        <item x="20"/>
        <item x="87"/>
        <item x="190"/>
        <item x="21"/>
        <item x="138"/>
        <item x="88"/>
        <item m="1" x="541"/>
        <item x="89"/>
        <item x="90"/>
        <item x="91"/>
        <item x="92"/>
        <item m="1" x="679"/>
        <item x="93"/>
        <item x="94"/>
        <item x="95"/>
        <item x="125"/>
        <item m="1" x="219"/>
        <item x="96"/>
        <item x="139"/>
        <item m="1" x="268"/>
        <item m="1" x="898"/>
        <item m="1" x="319"/>
        <item x="168"/>
        <item x="169"/>
        <item m="1" x="247"/>
        <item m="1" x="304"/>
        <item m="1" x="869"/>
        <item x="140"/>
        <item m="1" x="408"/>
        <item m="1" x="492"/>
        <item m="1" x="316"/>
        <item m="1" x="326"/>
        <item m="1" x="463"/>
        <item m="1" x="335"/>
        <item m="1" x="977"/>
        <item m="1" x="965"/>
        <item m="1" x="721"/>
        <item m="1" x="264"/>
        <item x="141"/>
        <item x="99"/>
        <item x="142"/>
        <item x="100"/>
        <item x="101"/>
        <item x="102"/>
        <item x="103"/>
        <item m="1" x="567"/>
        <item x="104"/>
        <item m="1" x="276"/>
        <item m="1" x="822"/>
        <item x="105"/>
        <item x="143"/>
        <item m="1" x="462"/>
        <item m="1" x="641"/>
        <item m="1" x="945"/>
        <item m="1" x="482"/>
        <item x="144"/>
        <item m="1" x="488"/>
        <item x="126"/>
        <item x="106"/>
        <item x="107"/>
        <item x="127"/>
        <item m="1" x="660"/>
        <item x="108"/>
        <item m="1" x="389"/>
        <item x="170"/>
        <item x="110"/>
        <item x="111"/>
        <item x="112"/>
        <item m="1" x="817"/>
        <item x="60"/>
        <item m="1" x="780"/>
        <item x="113"/>
        <item x="61"/>
        <item m="1" x="286"/>
        <item m="1" x="521"/>
        <item m="1" x="829"/>
        <item x="25"/>
        <item m="1" x="382"/>
        <item m="1" x="905"/>
        <item m="1" x="296"/>
        <item x="171"/>
        <item x="26"/>
        <item m="1" x="211"/>
        <item x="27"/>
        <item x="114"/>
        <item m="1" x="549"/>
        <item m="1" x="807"/>
        <item m="1" x="655"/>
        <item m="1" x="343"/>
        <item m="1" x="588"/>
        <item m="1" x="894"/>
        <item m="1" x="370"/>
        <item m="1" x="485"/>
        <item m="1" x="364"/>
        <item m="1" x="480"/>
        <item m="1" x="351"/>
        <item m="1" x="403"/>
        <item m="1" x="919"/>
        <item x="198"/>
        <item m="1" x="344"/>
        <item m="1" x="294"/>
        <item x="28"/>
        <item m="1" x="360"/>
        <item m="1" x="576"/>
        <item m="1" x="558"/>
        <item m="1" x="833"/>
        <item x="191"/>
        <item m="1" x="519"/>
        <item m="1" x="283"/>
        <item m="1" x="423"/>
        <item m="1" x="603"/>
        <item m="1" x="495"/>
        <item m="1" x="279"/>
        <item m="1" x="837"/>
        <item m="1" x="520"/>
        <item m="1" x="710"/>
        <item m="1" x="376"/>
        <item m="1" x="451"/>
        <item m="1" x="864"/>
        <item m="1" x="926"/>
        <item m="1" x="375"/>
        <item x="62"/>
        <item x="199"/>
        <item m="1" x="782"/>
        <item x="29"/>
        <item m="1" x="745"/>
        <item m="1" x="383"/>
        <item m="1" x="553"/>
        <item x="115"/>
        <item x="116"/>
        <item x="64"/>
        <item m="1" x="973"/>
        <item m="1" x="775"/>
        <item m="1" x="846"/>
        <item m="1" x="483"/>
        <item m="1" x="993"/>
        <item x="192"/>
        <item m="1" x="508"/>
        <item m="1" x="653"/>
        <item m="1" x="561"/>
        <item m="1" x="537"/>
        <item m="1" x="390"/>
        <item m="1" x="424"/>
        <item m="1" x="676"/>
        <item x="65"/>
        <item m="1" x="249"/>
        <item m="1" x="460"/>
        <item m="1" x="801"/>
        <item m="1" x="575"/>
        <item m="1" x="949"/>
        <item m="1" x="580"/>
        <item m="1" x="478"/>
        <item m="1" x="612"/>
        <item m="1" x="958"/>
        <item m="1" x="228"/>
        <item x="172"/>
        <item x="31"/>
        <item x="173"/>
        <item m="1" x="289"/>
        <item m="1" x="681"/>
        <item m="1" x="948"/>
        <item m="1" x="346"/>
        <item m="1" x="432"/>
        <item m="1" x="205"/>
        <item m="1" x="331"/>
        <item x="174"/>
        <item m="1" x="757"/>
        <item x="193"/>
        <item m="1" x="514"/>
        <item m="1" x="568"/>
        <item m="1" x="213"/>
        <item m="1" x="562"/>
        <item x="32"/>
        <item m="1" x="599"/>
        <item m="1" x="950"/>
        <item m="1" x="942"/>
        <item m="1" x="455"/>
        <item x="33"/>
        <item m="1" x="758"/>
        <item m="1" x="799"/>
        <item m="1" x="652"/>
        <item x="66"/>
        <item m="1" x="820"/>
        <item m="1" x="525"/>
        <item m="1" x="849"/>
        <item m="1" x="672"/>
        <item m="1" x="832"/>
        <item m="1" x="836"/>
        <item x="195"/>
        <item m="1" x="206"/>
        <item m="1" x="288"/>
        <item m="1" x="523"/>
        <item x="34"/>
        <item m="1" x="1008"/>
        <item x="35"/>
        <item x="147"/>
        <item x="36"/>
        <item m="1" x="984"/>
        <item x="37"/>
        <item x="175"/>
        <item m="1" x="292"/>
        <item x="38"/>
        <item x="117"/>
        <item x="118"/>
        <item m="1" x="656"/>
        <item m="1" x="499"/>
        <item m="1" x="774"/>
        <item m="1" x="625"/>
        <item x="39"/>
        <item m="1" x="231"/>
        <item m="1" x="875"/>
        <item m="1" x="798"/>
        <item x="67"/>
        <item m="1" x="882"/>
        <item m="1" x="796"/>
        <item m="1" x="467"/>
        <item m="1" x="401"/>
        <item m="1" x="749"/>
        <item m="1" x="542"/>
        <item m="1" x="809"/>
        <item m="1" x="646"/>
        <item x="68"/>
        <item x="149"/>
        <item m="1" x="859"/>
        <item m="1" x="781"/>
        <item m="1" x="272"/>
        <item m="1" x="937"/>
        <item m="1" x="862"/>
        <item m="1" x="739"/>
        <item m="1" x="815"/>
        <item x="150"/>
        <item m="1" x="207"/>
        <item m="1" x="474"/>
        <item x="41"/>
        <item x="176"/>
        <item x="177"/>
        <item x="42"/>
        <item x="43"/>
        <item m="1" x="329"/>
        <item m="1" x="716"/>
        <item m="1" x="654"/>
        <item m="1" x="712"/>
        <item m="1" x="726"/>
        <item m="1" x="548"/>
        <item m="1" x="229"/>
        <item m="1" x="982"/>
        <item m="1" x="760"/>
        <item m="1" x="988"/>
        <item m="1" x="776"/>
        <item m="1" x="893"/>
        <item m="1" x="691"/>
        <item m="1" x="1006"/>
        <item m="1" x="968"/>
        <item m="1" x="683"/>
        <item m="1" x="464"/>
        <item m="1" x="381"/>
        <item m="1" x="241"/>
        <item m="1" x="947"/>
        <item m="1" x="528"/>
        <item m="1" x="544"/>
        <item m="1" x="737"/>
        <item m="1" x="1013"/>
        <item m="1" x="592"/>
        <item m="1" x="866"/>
        <item m="1" x="270"/>
        <item x="178"/>
        <item m="1" x="664"/>
        <item m="1" x="955"/>
        <item m="1" x="976"/>
        <item m="1" x="956"/>
        <item m="1" x="498"/>
        <item m="1" x="419"/>
        <item m="1" x="379"/>
        <item m="1" x="240"/>
        <item m="1" x="377"/>
        <item m="1" x="218"/>
        <item m="1" x="204"/>
        <item m="1" x="808"/>
        <item m="1" x="392"/>
        <item m="1" x="340"/>
        <item m="1" x="741"/>
        <item m="1" x="918"/>
        <item m="1" x="330"/>
        <item m="1" x="1002"/>
        <item m="1" x="500"/>
        <item x="152"/>
        <item x="119"/>
        <item m="1" x="298"/>
        <item m="1" x="802"/>
        <item m="1" x="333"/>
        <item m="1" x="793"/>
        <item m="1" x="589"/>
        <item m="1" x="812"/>
        <item m="1" x="425"/>
        <item x="179"/>
        <item m="1" x="765"/>
        <item x="180"/>
        <item m="1" x="969"/>
        <item m="1" x="909"/>
        <item m="1" x="847"/>
        <item x="120"/>
        <item x="121"/>
        <item x="122"/>
        <item m="1" x="746"/>
        <item m="1" x="475"/>
        <item m="1" x="559"/>
        <item m="1" x="852"/>
        <item m="1" x="688"/>
        <item m="1" x="555"/>
        <item x="123"/>
        <item m="1" x="997"/>
        <item x="181"/>
        <item m="1" x="598"/>
        <item m="1" x="243"/>
        <item m="1" x="821"/>
        <item m="1" x="838"/>
        <item m="1" x="839"/>
        <item m="1" x="911"/>
        <item m="1" x="306"/>
        <item m="1" x="586"/>
        <item m="1" x="406"/>
        <item m="1" x="407"/>
        <item m="1" x="975"/>
        <item m="1" x="923"/>
        <item m="1" x="907"/>
        <item m="1" x="582"/>
        <item m="1" x="963"/>
        <item m="1" x="515"/>
        <item m="1" x="696"/>
        <item m="1" x="857"/>
        <item m="1" x="248"/>
        <item m="1" x="447"/>
        <item m="1" x="266"/>
        <item m="1" x="692"/>
        <item m="1" x="639"/>
        <item m="1" x="666"/>
        <item x="124"/>
        <item m="1" x="723"/>
        <item x="59"/>
        <item x="54"/>
        <item m="1" x="563"/>
        <item x="129"/>
        <item m="1" x="297"/>
        <item m="1" x="986"/>
        <item m="1" x="631"/>
        <item x="44"/>
        <item m="1" x="709"/>
        <item x="145"/>
        <item x="55"/>
        <item x="53"/>
        <item x="52"/>
        <item m="1" x="623"/>
        <item m="1" x="466"/>
        <item m="1" x="250"/>
        <item m="1" x="991"/>
        <item m="1" x="767"/>
        <item m="1" x="363"/>
        <item m="1" x="678"/>
        <item m="1" x="587"/>
        <item m="1" x="1010"/>
        <item m="1" x="934"/>
        <item m="1" x="533"/>
        <item m="1" x="426"/>
        <item m="1" x="512"/>
        <item m="1" x="285"/>
        <item m="1" x="891"/>
        <item m="1" x="705"/>
        <item m="1" x="971"/>
        <item m="1" x="212"/>
        <item m="1" x="750"/>
        <item x="30"/>
        <item x="56"/>
        <item x="47"/>
        <item x="11"/>
        <item x="0"/>
        <item x="40"/>
        <item x="1"/>
        <item x="6"/>
        <item x="23"/>
        <item m="1" x="566"/>
        <item m="1" x="703"/>
        <item m="1" x="551"/>
        <item m="1" x="810"/>
        <item m="1" x="783"/>
        <item m="1" x="458"/>
        <item m="1" x="903"/>
        <item m="1" x="560"/>
        <item m="1" x="670"/>
        <item m="1" x="770"/>
        <item m="1" x="404"/>
        <item m="1" x="299"/>
        <item m="1" x="1009"/>
        <item m="1" x="275"/>
        <item m="1" x="777"/>
        <item m="1" x="1000"/>
        <item m="1" x="936"/>
        <item m="1" x="998"/>
        <item m="1" x="967"/>
        <item m="1" x="435"/>
        <item m="1" x="387"/>
        <item m="1" x="593"/>
        <item m="1" x="484"/>
        <item m="1" x="1004"/>
        <item m="1" x="803"/>
        <item m="1" x="930"/>
        <item m="1" x="254"/>
        <item m="1" x="504"/>
        <item m="1" x="428"/>
        <item m="1" x="263"/>
        <item m="1" x="690"/>
        <item m="1" x="624"/>
        <item m="1" x="885"/>
        <item m="1" x="396"/>
        <item m="1" x="486"/>
        <item m="1" x="657"/>
        <item m="1" x="583"/>
        <item m="1" x="902"/>
        <item m="1" x="610"/>
        <item m="1" x="444"/>
        <item m="1" x="981"/>
        <item m="1" x="818"/>
        <item m="1" x="980"/>
        <item m="1" x="979"/>
        <item m="1" x="315"/>
        <item m="1" x="662"/>
        <item m="1" x="357"/>
        <item m="1" x="830"/>
        <item m="1" x="910"/>
        <item m="1" x="487"/>
        <item m="1" x="290"/>
        <item m="1" x="208"/>
        <item m="1" x="412"/>
        <item m="1" x="943"/>
        <item m="1" x="394"/>
        <item m="1" x="510"/>
        <item m="1" x="966"/>
        <item m="1" x="669"/>
        <item m="1" x="754"/>
        <item m="1" x="440"/>
        <item m="1" x="706"/>
        <item m="1" x="281"/>
        <item m="1" x="601"/>
        <item m="1" x="457"/>
        <item m="1" x="743"/>
        <item m="1" x="497"/>
        <item m="1" x="540"/>
        <item m="1" x="427"/>
        <item m="1" x="371"/>
        <item m="1" x="738"/>
        <item m="1" x="871"/>
        <item x="15"/>
        <item x="151"/>
        <item x="109"/>
        <item x="86"/>
        <item x="98"/>
        <item x="24"/>
        <item x="45"/>
        <item x="8"/>
        <item x="46"/>
        <item x="63"/>
        <item m="1" x="636"/>
        <item m="1" x="323"/>
        <item m="1" x="888"/>
        <item m="1" x="828"/>
        <item m="1" x="355"/>
        <item m="1" x="477"/>
        <item m="1" x="252"/>
        <item m="1" x="584"/>
        <item x="97"/>
        <item x="148"/>
        <item m="1" x="245"/>
        <item m="1" x="946"/>
        <item m="1" x="430"/>
        <item m="1" x="650"/>
        <item m="1" x="658"/>
        <item m="1" x="253"/>
        <item m="1" x="800"/>
        <item x="72"/>
        <item x="76"/>
        <item m="1" x="595"/>
        <item m="1" x="547"/>
        <item m="1" x="354"/>
        <item m="1" x="338"/>
        <item m="1" x="861"/>
        <item m="1" x="420"/>
        <item m="1" x="410"/>
        <item m="1" x="855"/>
        <item m="1" x="400"/>
        <item m="1" x="863"/>
        <item m="1" x="437"/>
        <item m="1" x="210"/>
        <item m="1" x="933"/>
        <item m="1" x="629"/>
        <item m="1" x="791"/>
        <item m="1" x="675"/>
        <item m="1" x="574"/>
        <item m="1" x="438"/>
        <item m="1" x="557"/>
        <item m="1" x="633"/>
        <item m="1" x="516"/>
        <item m="1" x="369"/>
        <item m="1" x="974"/>
        <item m="1" x="349"/>
        <item m="1" x="443"/>
        <item m="1" x="929"/>
        <item m="1" x="531"/>
        <item m="1" x="503"/>
        <item m="1" x="844"/>
        <item m="1" x="604"/>
        <item m="1" x="361"/>
        <item m="1" x="771"/>
        <item m="1" x="536"/>
        <item m="1" x="552"/>
        <item m="1" x="546"/>
        <item m="1" x="221"/>
        <item m="1" x="596"/>
        <item m="1" x="409"/>
        <item m="1" x="309"/>
        <item m="1" x="999"/>
        <item m="1" x="591"/>
        <item m="1" x="312"/>
        <item m="1" x="865"/>
        <item m="1" x="550"/>
        <item m="1" x="577"/>
        <item m="1" x="238"/>
        <item m="1" x="337"/>
        <item m="1" x="813"/>
        <item m="1" x="524"/>
        <item m="1" x="632"/>
        <item m="1" x="246"/>
        <item m="1" x="618"/>
        <item m="1" x="736"/>
        <item m="1" x="339"/>
        <item m="1" x="434"/>
        <item m="1" x="356"/>
        <item m="1" x="453"/>
        <item m="1" x="441"/>
        <item m="1" x="291"/>
        <item m="1" x="920"/>
        <item m="1" x="792"/>
        <item m="1" x="600"/>
        <item m="1" x="227"/>
        <item m="1" x="693"/>
        <item m="1" x="886"/>
        <item m="1" x="773"/>
        <item m="1" x="538"/>
        <item m="1" x="570"/>
        <item m="1" x="708"/>
        <item m="1" x="366"/>
        <item m="1" x="825"/>
        <item m="1" x="638"/>
        <item m="1" x="554"/>
        <item m="1" x="772"/>
        <item m="1" x="742"/>
        <item m="1" x="715"/>
        <item m="1" x="686"/>
        <item m="1" x="901"/>
        <item m="1" x="698"/>
        <item m="1" x="234"/>
        <item m="1" x="222"/>
        <item m="1" x="359"/>
        <item m="1" x="711"/>
        <item m="1" x="395"/>
        <item m="1" x="697"/>
        <item m="1" x="881"/>
        <item m="1" x="413"/>
        <item m="1" x="367"/>
        <item m="1" x="699"/>
        <item m="1" x="674"/>
        <item m="1" x="452"/>
        <item m="1" x="448"/>
        <item m="1" x="880"/>
        <item m="1" x="479"/>
        <item m="1" x="761"/>
        <item m="1" x="694"/>
        <item m="1" x="908"/>
        <item m="1" x="938"/>
        <item m="1" x="273"/>
        <item m="1" x="985"/>
        <item m="1" x="649"/>
        <item m="1" x="494"/>
        <item m="1" x="848"/>
        <item m="1" x="284"/>
        <item m="1" x="913"/>
        <item m="1" x="768"/>
        <item m="1" x="491"/>
        <item m="1" x="468"/>
        <item m="1" x="449"/>
        <item m="1" x="507"/>
        <item m="1" x="827"/>
        <item m="1" x="445"/>
        <item m="1" x="216"/>
        <item m="1" x="915"/>
        <item m="1" x="842"/>
        <item m="1" x="616"/>
        <item m="1" x="532"/>
        <item m="1" x="876"/>
        <item m="1" x="594"/>
        <item m="1" x="564"/>
        <item m="1" x="293"/>
        <item m="1" x="517"/>
        <item m="1" x="637"/>
        <item m="1" x="609"/>
        <item m="1" x="615"/>
        <item m="1" x="226"/>
        <item m="1" x="303"/>
        <item m="1" x="433"/>
        <item m="1" x="365"/>
        <item m="1" x="840"/>
        <item m="1" x="843"/>
        <item m="1" x="784"/>
        <item m="1" x="804"/>
        <item m="1" x="421"/>
        <item m="1" x="996"/>
        <item m="1" x="543"/>
        <item m="1" x="274"/>
        <item m="1" x="831"/>
        <item m="1" x="529"/>
        <item m="1" x="454"/>
        <item m="1" x="384"/>
        <item m="1" x="224"/>
        <item m="1" x="203"/>
        <item x="130"/>
        <item m="1" x="418"/>
        <item m="1" x="733"/>
        <item m="1" x="239"/>
        <item m="1" x="778"/>
        <item m="1" x="753"/>
        <item m="1" x="242"/>
        <item m="1" x="597"/>
        <item m="1" x="860"/>
        <item m="1" x="573"/>
        <item m="1" x="951"/>
        <item m="1" x="805"/>
        <item m="1" x="900"/>
        <item m="1" x="617"/>
        <item m="1" x="251"/>
        <item m="1" x="877"/>
        <item m="1" x="764"/>
        <item m="1" x="788"/>
        <item m="1" x="397"/>
        <item m="1" x="535"/>
        <item m="1" x="816"/>
        <item m="1" x="509"/>
        <item m="1" x="858"/>
        <item m="1" x="347"/>
        <item m="1" x="667"/>
        <item m="1" x="436"/>
        <item m="1" x="287"/>
        <item m="1" x="729"/>
        <item m="1" x="747"/>
        <item m="1" x="579"/>
        <item m="1" x="647"/>
        <item m="1" x="648"/>
        <item m="1" x="643"/>
        <item m="1" x="906"/>
        <item m="1" x="358"/>
        <item m="1" x="917"/>
        <item m="1" x="972"/>
        <item m="1" x="324"/>
        <item m="1" x="257"/>
        <item m="1" x="321"/>
        <item m="1" x="714"/>
        <item m="1" x="687"/>
        <item m="1" x="378"/>
        <item m="1" x="921"/>
        <item m="1" x="766"/>
        <item m="1" x="215"/>
        <item m="1" x="313"/>
        <item m="1" x="879"/>
        <item m="1" x="539"/>
        <item m="1" x="769"/>
        <item m="1" x="752"/>
        <item m="1" x="735"/>
        <item m="1" x="628"/>
        <item m="1" x="526"/>
        <item m="1" x="501"/>
        <item m="1" x="237"/>
        <item m="1" x="341"/>
        <item m="1" x="892"/>
        <item m="1" x="952"/>
        <item m="1" x="671"/>
        <item m="1" x="992"/>
        <item m="1" x="265"/>
        <item m="1" x="707"/>
        <item m="1" x="762"/>
        <item m="1" x="944"/>
        <item m="1" x="834"/>
        <item m="1" x="785"/>
        <item m="1" x="961"/>
        <item m="1" x="740"/>
        <item m="1" x="645"/>
        <item m="1" x="327"/>
        <item m="1" x="677"/>
        <item m="1" x="854"/>
        <item m="1" x="1014"/>
        <item m="1" x="811"/>
        <item m="1" x="461"/>
        <item m="1" x="684"/>
        <item m="1" x="987"/>
        <item m="1" x="634"/>
        <item m="1" x="506"/>
        <item m="1" x="621"/>
        <item m="1" x="534"/>
        <item m="1" x="953"/>
        <item m="1" x="640"/>
        <item m="1" x="928"/>
        <item m="1" x="700"/>
        <item m="1" x="414"/>
        <item m="1" x="302"/>
        <item m="1" x="214"/>
        <item m="1" x="935"/>
        <item m="1" x="232"/>
        <item m="1" x="620"/>
        <item m="1" x="311"/>
        <item m="1" x="924"/>
        <item m="1" x="994"/>
        <item m="1" x="680"/>
        <item m="1" x="914"/>
        <item m="1" x="983"/>
        <item m="1" x="642"/>
        <item m="1" x="904"/>
        <item m="1" x="332"/>
        <item m="1" x="874"/>
        <item m="1" x="225"/>
        <item m="1" x="727"/>
        <item m="1" x="459"/>
        <item m="1" x="518"/>
        <item m="1" x="990"/>
        <item m="1" x="853"/>
        <item x="185"/>
        <item x="71"/>
        <item m="1" x="301"/>
        <item m="1" x="659"/>
        <item m="1" x="806"/>
        <item m="1" x="606"/>
        <item m="1" x="1007"/>
        <item x="133"/>
        <item x="136"/>
        <item x="182"/>
        <item x="194"/>
        <item x="200"/>
        <item m="1" x="960"/>
        <item m="1" x="305"/>
        <item m="1" x="868"/>
        <item m="1" x="701"/>
        <item m="1" x="342"/>
        <item m="1" x="940"/>
        <item m="1" x="490"/>
        <item m="1" x="763"/>
        <item m="1" x="236"/>
        <item m="1" x="417"/>
        <item m="1" x="473"/>
        <item m="1" x="661"/>
        <item m="1" x="878"/>
        <item m="1" x="505"/>
        <item m="1" x="527"/>
        <item x="22"/>
        <item x="146"/>
        <item m="1" x="673"/>
        <item m="1" x="614"/>
        <item m="1" x="258"/>
        <item m="1" x="605"/>
        <item m="1" x="345"/>
        <item m="1" x="713"/>
        <item m="1" x="230"/>
        <item m="1" x="978"/>
        <item m="1" x="786"/>
        <item m="1" x="530"/>
        <item x="201"/>
        <item x="202"/>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ubtotalTop="0" showAll="0" defaultSubtotal="0"/>
    <pivotField compact="0" outline="0" subtotalTop="0" showAll="0" defaultSubtotal="0"/>
    <pivotField compact="0" outline="0" subtotalTop="0" showAll="0" defaultSubtotal="0">
      <items count="8">
        <item x="0"/>
        <item m="1" x="4"/>
        <item m="1" x="3"/>
        <item m="1" x="5"/>
        <item m="1" x="7"/>
        <item x="1"/>
        <item m="1" x="6"/>
        <item m="1" x="2"/>
      </items>
    </pivotField>
    <pivotField axis="axisRow" compact="0" outline="0" subtotalTop="0" showAll="0" defaultSubtotal="0">
      <items count="7">
        <item m="1" x="6"/>
        <item x="1"/>
        <item x="3"/>
        <item x="0"/>
        <item x="4"/>
        <item x="5"/>
        <item x="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2"/>
        <item h="1" m="1" x="3"/>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31"/>
  </rowFields>
  <rowItems count="24">
    <i>
      <x/>
      <x v="1"/>
      <x v="47"/>
      <x v="4"/>
    </i>
    <i r="1">
      <x v="4"/>
      <x/>
      <x v="1"/>
    </i>
    <i r="2">
      <x v="271"/>
      <x v="3"/>
    </i>
    <i r="2">
      <x v="294"/>
      <x v="1"/>
    </i>
    <i r="2">
      <x v="439"/>
      <x v="3"/>
    </i>
    <i r="1">
      <x v="12"/>
      <x v="262"/>
      <x v="4"/>
    </i>
    <i r="1">
      <x v="16"/>
      <x v="585"/>
      <x v="3"/>
    </i>
    <i r="1">
      <x v="17"/>
      <x v="110"/>
      <x v="4"/>
    </i>
    <i r="2">
      <x v="282"/>
      <x v="4"/>
    </i>
    <i r="1">
      <x v="18"/>
      <x v="154"/>
      <x v="4"/>
    </i>
    <i r="2">
      <x v="284"/>
      <x v="4"/>
    </i>
    <i r="2">
      <x v="299"/>
      <x v="4"/>
    </i>
    <i r="2">
      <x v="981"/>
      <x v="2"/>
    </i>
    <i r="2">
      <x v="982"/>
      <x v="2"/>
    </i>
    <i r="1">
      <x v="22"/>
      <x v="1002"/>
      <x v="3"/>
    </i>
    <i r="1">
      <x v="28"/>
      <x v="125"/>
      <x v="4"/>
    </i>
    <i r="2">
      <x v="529"/>
      <x v="4"/>
    </i>
    <i r="1">
      <x v="33"/>
      <x v="466"/>
      <x v="3"/>
    </i>
    <i r="2">
      <x v="866"/>
      <x v="3"/>
    </i>
    <i r="1">
      <x v="34"/>
      <x v="695"/>
      <x v="1"/>
    </i>
    <i r="1">
      <x v="35"/>
      <x v="100"/>
      <x v="3"/>
    </i>
    <i r="2">
      <x v="235"/>
      <x v="1"/>
    </i>
    <i r="2">
      <x v="591"/>
      <x v="3"/>
    </i>
    <i t="default">
      <x/>
    </i>
  </rowItems>
  <colFields count="1">
    <field x="-2"/>
  </colFields>
  <colItems count="6">
    <i>
      <x/>
    </i>
    <i i="1">
      <x v="1"/>
    </i>
    <i i="2">
      <x v="2"/>
    </i>
    <i i="3">
      <x v="3"/>
    </i>
    <i i="4">
      <x v="4"/>
    </i>
    <i i="5">
      <x v="5"/>
    </i>
  </colItems>
  <pageFields count="2">
    <pageField fld="0" item="16" hier="-1"/>
    <pageField fld="136" item="1" hier="-1"/>
  </pageFields>
  <dataFields count="6">
    <dataField name="Count of Site Name" fld="7" subtotal="count" baseField="0" baseItem="0"/>
    <dataField name="HHs" fld="8" baseField="0" baseItem="0" numFmtId="164"/>
    <dataField name="Pops" fld="9" baseField="0" baseItem="0" numFmtId="164"/>
    <dataField name="% WATER GAP" fld="95" subtotal="average" baseField="85" baseItem="1" numFmtId="9"/>
    <dataField name="% LATRINE GAP" fld="108" subtotal="average" baseField="85" baseItem="1" numFmtId="9"/>
    <dataField name="% HYGIENE GAP" fld="116" subtotal="average" baseField="85" baseItem="1" numFmtId="9"/>
  </dataFields>
  <formats count="66">
    <format dxfId="304">
      <pivotArea type="all" dataOnly="0" outline="0" fieldPosition="0"/>
    </format>
    <format dxfId="303">
      <pivotArea outline="0" collapsedLevelsAreSubtotals="1" fieldPosition="0"/>
    </format>
    <format dxfId="302">
      <pivotArea field="4" type="button" dataOnly="0" labelOnly="1" outline="0" axis="axisRow" fieldPosition="0"/>
    </format>
    <format dxfId="301">
      <pivotArea dataOnly="0" labelOnly="1" grandRow="1" outline="0" fieldPosition="0"/>
    </format>
    <format dxfId="300">
      <pivotArea type="all" dataOnly="0" outline="0" fieldPosition="0"/>
    </format>
    <format dxfId="299">
      <pivotArea dataOnly="0" labelOnly="1" grandRow="1" outline="0" fieldPosition="0"/>
    </format>
    <format dxfId="298">
      <pivotArea type="all" dataOnly="0" outline="0" fieldPosition="0"/>
    </format>
    <format dxfId="297">
      <pivotArea type="origin" dataOnly="0" labelOnly="1" outline="0" fieldPosition="0"/>
    </format>
    <format dxfId="296">
      <pivotArea field="136" type="button" dataOnly="0" labelOnly="1" outline="0" axis="axisPage" fieldPosition="1"/>
    </format>
    <format dxfId="295">
      <pivotArea type="topRight" dataOnly="0" labelOnly="1" outline="0" fieldPosition="0"/>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136" type="button" dataOnly="0" labelOnly="1" outline="0" axis="axisPage" fieldPosition="1"/>
    </format>
    <format dxfId="290">
      <pivotArea type="topRight" dataOnly="0" labelOnly="1" outline="0" fieldPosition="0"/>
    </format>
    <format dxfId="289">
      <pivotArea outline="0" fieldPosition="0">
        <references count="1">
          <reference field="4294967294" count="3" selected="0">
            <x v="3"/>
            <x v="4"/>
            <x v="5"/>
          </reference>
        </references>
      </pivotArea>
    </format>
    <format dxfId="288">
      <pivotArea outline="0" fieldPosition="0">
        <references count="1">
          <reference field="4294967294" count="2" selected="0">
            <x v="1"/>
            <x v="2"/>
          </reference>
        </references>
      </pivotArea>
    </format>
    <format dxfId="287">
      <pivotArea type="all" dataOnly="0" outline="0" fieldPosition="0"/>
    </format>
    <format dxfId="286">
      <pivotArea outline="0" collapsedLevelsAreSubtotals="1" fieldPosition="0"/>
    </format>
    <format dxfId="285">
      <pivotArea field="4" type="button" dataOnly="0" labelOnly="1" outline="0" axis="axisRow" fieldPosition="0"/>
    </format>
    <format dxfId="284">
      <pivotArea field="5" type="button" dataOnly="0" labelOnly="1" outline="0" axis="axisRow" fieldPosition="1"/>
    </format>
    <format dxfId="283">
      <pivotArea field="7" type="button" dataOnly="0" labelOnly="1" outline="0" axis="axisRow" fieldPosition="2"/>
    </format>
    <format dxfId="282">
      <pivotArea field="131" type="button" dataOnly="0" labelOnly="1" outline="0" axis="axisRow" fieldPosition="3"/>
    </format>
    <format dxfId="281">
      <pivotArea dataOnly="0" labelOnly="1" outline="0" fieldPosition="0">
        <references count="1">
          <reference field="4" count="0"/>
        </references>
      </pivotArea>
    </format>
    <format dxfId="280">
      <pivotArea dataOnly="0" labelOnly="1" outline="0" fieldPosition="0">
        <references count="1">
          <reference field="4" count="0" defaultSubtotal="1"/>
        </references>
      </pivotArea>
    </format>
    <format dxfId="279">
      <pivotArea dataOnly="0" labelOnly="1" outline="0" fieldPosition="0">
        <references count="2">
          <reference field="4" count="1" selected="0">
            <x v="0"/>
          </reference>
          <reference field="5" count="8">
            <x v="1"/>
            <x v="12"/>
            <x v="17"/>
            <x v="18"/>
            <x v="28"/>
            <x v="31"/>
            <x v="33"/>
            <x v="35"/>
          </reference>
        </references>
      </pivotArea>
    </format>
    <format dxfId="278">
      <pivotArea dataOnly="0" labelOnly="1" outline="0" fieldPosition="0">
        <references count="2">
          <reference field="4" count="1" selected="0">
            <x v="1"/>
          </reference>
          <reference field="5" count="7">
            <x v="8"/>
            <x v="9"/>
            <x v="15"/>
            <x v="19"/>
            <x v="27"/>
            <x v="30"/>
            <x v="32"/>
          </reference>
        </references>
      </pivotArea>
    </format>
    <format dxfId="277">
      <pivotArea dataOnly="0" labelOnly="1" outline="0" fieldPosition="0">
        <references count="2">
          <reference field="4" count="1" selected="0">
            <x v="2"/>
          </reference>
          <reference field="5" count="4">
            <x v="6"/>
            <x v="7"/>
            <x v="13"/>
            <x v="20"/>
          </reference>
        </references>
      </pivotArea>
    </format>
    <format dxfId="276">
      <pivotArea dataOnly="0" labelOnly="1" outline="0" fieldPosition="0">
        <references count="3">
          <reference field="4" count="1" selected="0">
            <x v="0"/>
          </reference>
          <reference field="5" count="1" selected="0">
            <x v="1"/>
          </reference>
          <reference field="7" count="1">
            <x v="47"/>
          </reference>
        </references>
      </pivotArea>
    </format>
    <format dxfId="275">
      <pivotArea dataOnly="0" labelOnly="1" outline="0" fieldPosition="0">
        <references count="3">
          <reference field="4" count="1" selected="0">
            <x v="0"/>
          </reference>
          <reference field="5" count="1" selected="0">
            <x v="12"/>
          </reference>
          <reference field="7" count="2">
            <x v="256"/>
            <x v="262"/>
          </reference>
        </references>
      </pivotArea>
    </format>
    <format dxfId="274">
      <pivotArea dataOnly="0" labelOnly="1" outline="0" fieldPosition="0">
        <references count="3">
          <reference field="4" count="1" selected="0">
            <x v="0"/>
          </reference>
          <reference field="5" count="1" selected="0">
            <x v="17"/>
          </reference>
          <reference field="7" count="2">
            <x v="110"/>
            <x v="282"/>
          </reference>
        </references>
      </pivotArea>
    </format>
    <format dxfId="273">
      <pivotArea dataOnly="0" labelOnly="1" outline="0" fieldPosition="0">
        <references count="3">
          <reference field="4" count="1" selected="0">
            <x v="0"/>
          </reference>
          <reference field="5" count="1" selected="0">
            <x v="18"/>
          </reference>
          <reference field="7" count="3">
            <x v="154"/>
            <x v="284"/>
            <x v="299"/>
          </reference>
        </references>
      </pivotArea>
    </format>
    <format dxfId="272">
      <pivotArea dataOnly="0" labelOnly="1" outline="0" fieldPosition="0">
        <references count="3">
          <reference field="4" count="1" selected="0">
            <x v="0"/>
          </reference>
          <reference field="5" count="1" selected="0">
            <x v="28"/>
          </reference>
          <reference field="7" count="2">
            <x v="125"/>
            <x v="529"/>
          </reference>
        </references>
      </pivotArea>
    </format>
    <format dxfId="271">
      <pivotArea dataOnly="0" labelOnly="1" outline="0" fieldPosition="0">
        <references count="3">
          <reference field="4" count="1" selected="0">
            <x v="0"/>
          </reference>
          <reference field="5" count="1" selected="0">
            <x v="31"/>
          </reference>
          <reference field="7" count="1">
            <x v="205"/>
          </reference>
        </references>
      </pivotArea>
    </format>
    <format dxfId="270">
      <pivotArea dataOnly="0" labelOnly="1" outline="0" fieldPosition="0">
        <references count="3">
          <reference field="4" count="1" selected="0">
            <x v="0"/>
          </reference>
          <reference field="5" count="1" selected="0">
            <x v="33"/>
          </reference>
          <reference field="7" count="1">
            <x v="466"/>
          </reference>
        </references>
      </pivotArea>
    </format>
    <format dxfId="269">
      <pivotArea dataOnly="0" labelOnly="1" outline="0" fieldPosition="0">
        <references count="3">
          <reference field="4" count="1" selected="0">
            <x v="0"/>
          </reference>
          <reference field="5" count="1" selected="0">
            <x v="35"/>
          </reference>
          <reference field="7" count="1">
            <x v="100"/>
          </reference>
        </references>
      </pivotArea>
    </format>
    <format dxfId="268">
      <pivotArea dataOnly="0" labelOnly="1" outline="0" fieldPosition="0">
        <references count="3">
          <reference field="4" count="1" selected="0">
            <x v="1"/>
          </reference>
          <reference field="5" count="1" selected="0">
            <x v="8"/>
          </reference>
          <reference field="7" count="1">
            <x v="132"/>
          </reference>
        </references>
      </pivotArea>
    </format>
    <format dxfId="267">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266">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265">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264">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263">
      <pivotArea dataOnly="0" labelOnly="1" outline="0" fieldPosition="0">
        <references count="3">
          <reference field="4" count="1" selected="0">
            <x v="1"/>
          </reference>
          <reference field="5" count="1" selected="0">
            <x v="30"/>
          </reference>
          <reference field="7" count="3">
            <x v="19"/>
            <x v="351"/>
            <x v="352"/>
          </reference>
        </references>
      </pivotArea>
    </format>
    <format dxfId="262">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261">
      <pivotArea dataOnly="0" labelOnly="1" outline="0" fieldPosition="0">
        <references count="3">
          <reference field="4" count="1" selected="0">
            <x v="2"/>
          </reference>
          <reference field="5" count="1" selected="0">
            <x v="6"/>
          </reference>
          <reference field="7" count="1">
            <x v="248"/>
          </reference>
        </references>
      </pivotArea>
    </format>
    <format dxfId="260">
      <pivotArea dataOnly="0" labelOnly="1" outline="0" fieldPosition="0">
        <references count="3">
          <reference field="4" count="1" selected="0">
            <x v="2"/>
          </reference>
          <reference field="5" count="1" selected="0">
            <x v="7"/>
          </reference>
          <reference field="7" count="1">
            <x v="372"/>
          </reference>
        </references>
      </pivotArea>
    </format>
    <format dxfId="259">
      <pivotArea dataOnly="0" labelOnly="1" outline="0" fieldPosition="0">
        <references count="3">
          <reference field="4" count="1" selected="0">
            <x v="2"/>
          </reference>
          <reference field="5" count="1" selected="0">
            <x v="13"/>
          </reference>
          <reference field="7" count="1">
            <x v="250"/>
          </reference>
        </references>
      </pivotArea>
    </format>
    <format dxfId="258">
      <pivotArea dataOnly="0" labelOnly="1" outline="0" fieldPosition="0">
        <references count="3">
          <reference field="4" count="1" selected="0">
            <x v="2"/>
          </reference>
          <reference field="5" count="1" selected="0">
            <x v="20"/>
          </reference>
          <reference field="7" count="1">
            <x v="111"/>
          </reference>
        </references>
      </pivotArea>
    </format>
    <format dxfId="257">
      <pivotArea dataOnly="0" labelOnly="1" outline="0" fieldPosition="0">
        <references count="4">
          <reference field="4" count="1" selected="0">
            <x v="0"/>
          </reference>
          <reference field="5" count="1" selected="0">
            <x v="1"/>
          </reference>
          <reference field="7" count="1" selected="0">
            <x v="47"/>
          </reference>
          <reference field="131" count="1">
            <x v="4"/>
          </reference>
        </references>
      </pivotArea>
    </format>
    <format dxfId="256">
      <pivotArea dataOnly="0" labelOnly="1" outline="0" fieldPosition="0">
        <references count="4">
          <reference field="4" count="1" selected="0">
            <x v="0"/>
          </reference>
          <reference field="5" count="1" selected="0">
            <x v="12"/>
          </reference>
          <reference field="7" count="1" selected="0">
            <x v="256"/>
          </reference>
          <reference field="131" count="1">
            <x v="4"/>
          </reference>
        </references>
      </pivotArea>
    </format>
    <format dxfId="255">
      <pivotArea dataOnly="0" labelOnly="1" outline="0" fieldPosition="0">
        <references count="4">
          <reference field="4" count="1" selected="0">
            <x v="0"/>
          </reference>
          <reference field="5" count="1" selected="0">
            <x v="12"/>
          </reference>
          <reference field="7" count="1" selected="0">
            <x v="262"/>
          </reference>
          <reference field="131" count="1">
            <x v="4"/>
          </reference>
        </references>
      </pivotArea>
    </format>
    <format dxfId="254">
      <pivotArea dataOnly="0" labelOnly="1" outline="0" fieldPosition="0">
        <references count="4">
          <reference field="4" count="1" selected="0">
            <x v="0"/>
          </reference>
          <reference field="5" count="1" selected="0">
            <x v="17"/>
          </reference>
          <reference field="7" count="1" selected="0">
            <x v="110"/>
          </reference>
          <reference field="131" count="1">
            <x v="4"/>
          </reference>
        </references>
      </pivotArea>
    </format>
    <format dxfId="253">
      <pivotArea dataOnly="0" labelOnly="1" outline="0" fieldPosition="0">
        <references count="4">
          <reference field="4" count="1" selected="0">
            <x v="0"/>
          </reference>
          <reference field="5" count="1" selected="0">
            <x v="17"/>
          </reference>
          <reference field="7" count="1" selected="0">
            <x v="282"/>
          </reference>
          <reference field="131" count="1">
            <x v="4"/>
          </reference>
        </references>
      </pivotArea>
    </format>
    <format dxfId="252">
      <pivotArea dataOnly="0" labelOnly="1" outline="0" fieldPosition="0">
        <references count="4">
          <reference field="4" count="1" selected="0">
            <x v="0"/>
          </reference>
          <reference field="5" count="1" selected="0">
            <x v="18"/>
          </reference>
          <reference field="7" count="1" selected="0">
            <x v="154"/>
          </reference>
          <reference field="131" count="1">
            <x v="4"/>
          </reference>
        </references>
      </pivotArea>
    </format>
    <format dxfId="251">
      <pivotArea dataOnly="0" labelOnly="1" outline="0" fieldPosition="0">
        <references count="4">
          <reference field="4" count="1" selected="0">
            <x v="0"/>
          </reference>
          <reference field="5" count="1" selected="0">
            <x v="18"/>
          </reference>
          <reference field="7" count="1" selected="0">
            <x v="284"/>
          </reference>
          <reference field="131" count="1">
            <x v="4"/>
          </reference>
        </references>
      </pivotArea>
    </format>
    <format dxfId="250">
      <pivotArea dataOnly="0" labelOnly="1" outline="0" fieldPosition="0">
        <references count="4">
          <reference field="4" count="1" selected="0">
            <x v="0"/>
          </reference>
          <reference field="5" count="1" selected="0">
            <x v="18"/>
          </reference>
          <reference field="7" count="1" selected="0">
            <x v="299"/>
          </reference>
          <reference field="131" count="1">
            <x v="4"/>
          </reference>
        </references>
      </pivotArea>
    </format>
    <format dxfId="249">
      <pivotArea dataOnly="0" labelOnly="1" outline="0" fieldPosition="0">
        <references count="4">
          <reference field="4" count="1" selected="0">
            <x v="0"/>
          </reference>
          <reference field="5" count="1" selected="0">
            <x v="28"/>
          </reference>
          <reference field="7" count="1" selected="0">
            <x v="125"/>
          </reference>
          <reference field="131" count="1">
            <x v="4"/>
          </reference>
        </references>
      </pivotArea>
    </format>
    <format dxfId="248">
      <pivotArea dataOnly="0" labelOnly="1" outline="0" fieldPosition="0">
        <references count="4">
          <reference field="4" count="1" selected="0">
            <x v="0"/>
          </reference>
          <reference field="5" count="1" selected="0">
            <x v="28"/>
          </reference>
          <reference field="7" count="1" selected="0">
            <x v="529"/>
          </reference>
          <reference field="131" count="1">
            <x v="4"/>
          </reference>
        </references>
      </pivotArea>
    </format>
    <format dxfId="247">
      <pivotArea dataOnly="0" labelOnly="1" outline="0" fieldPosition="0">
        <references count="4">
          <reference field="4" count="1" selected="0">
            <x v="0"/>
          </reference>
          <reference field="5" count="1" selected="0">
            <x v="31"/>
          </reference>
          <reference field="7" count="1" selected="0">
            <x v="205"/>
          </reference>
          <reference field="131" count="1">
            <x v="4"/>
          </reference>
        </references>
      </pivotArea>
    </format>
    <format dxfId="246">
      <pivotArea dataOnly="0" labelOnly="1" outline="0" fieldPosition="0">
        <references count="4">
          <reference field="4" count="1" selected="0">
            <x v="0"/>
          </reference>
          <reference field="5" count="1" selected="0">
            <x v="33"/>
          </reference>
          <reference field="7" count="1" selected="0">
            <x v="466"/>
          </reference>
          <reference field="131" count="1">
            <x v="3"/>
          </reference>
        </references>
      </pivotArea>
    </format>
    <format dxfId="245">
      <pivotArea dataOnly="0" labelOnly="1" outline="0" fieldPosition="0">
        <references count="4">
          <reference field="4" count="1" selected="0">
            <x v="0"/>
          </reference>
          <reference field="5" count="1" selected="0">
            <x v="35"/>
          </reference>
          <reference field="7" count="1" selected="0">
            <x v="100"/>
          </reference>
          <reference field="131" count="1">
            <x v="3"/>
          </reference>
        </references>
      </pivotArea>
    </format>
    <format dxfId="244">
      <pivotArea dataOnly="0" labelOnly="1" outline="0" fieldPosition="0">
        <references count="4">
          <reference field="4" count="1" selected="0">
            <x v="1"/>
          </reference>
          <reference field="5" count="1" selected="0">
            <x v="32"/>
          </reference>
          <reference field="7" count="1" selected="0">
            <x v="40"/>
          </reference>
          <reference field="131" count="1">
            <x v="4"/>
          </reference>
        </references>
      </pivotArea>
    </format>
    <format dxfId="243">
      <pivotArea dataOnly="0" labelOnly="1" outline="0" fieldPosition="0">
        <references count="4">
          <reference field="4" count="1" selected="0">
            <x v="2"/>
          </reference>
          <reference field="5" count="1" selected="0">
            <x v="6"/>
          </reference>
          <reference field="7" count="1" selected="0">
            <x v="248"/>
          </reference>
          <reference field="131" count="1">
            <x v="3"/>
          </reference>
        </references>
      </pivotArea>
    </format>
    <format dxfId="242">
      <pivotArea dataOnly="0" labelOnly="1" outline="0" fieldPosition="0">
        <references count="4">
          <reference field="4" count="1" selected="0">
            <x v="2"/>
          </reference>
          <reference field="5" count="1" selected="0">
            <x v="7"/>
          </reference>
          <reference field="7" count="1" selected="0">
            <x v="372"/>
          </reference>
          <reference field="131" count="1">
            <x v="3"/>
          </reference>
        </references>
      </pivotArea>
    </format>
    <format dxfId="241">
      <pivotArea dataOnly="0" labelOnly="1" outline="0" fieldPosition="0">
        <references count="4">
          <reference field="4" count="1" selected="0">
            <x v="2"/>
          </reference>
          <reference field="5" count="1" selected="0">
            <x v="13"/>
          </reference>
          <reference field="7" count="1" selected="0">
            <x v="250"/>
          </reference>
          <reference field="131" count="1">
            <x v="3"/>
          </reference>
        </references>
      </pivotArea>
    </format>
    <format dxfId="240">
      <pivotArea dataOnly="0" labelOnly="1" outline="0" fieldPosition="0">
        <references count="4">
          <reference field="4" count="1" selected="0">
            <x v="2"/>
          </reference>
          <reference field="5" count="1" selected="0">
            <x v="20"/>
          </reference>
          <reference field="7" count="1" selected="0">
            <x v="111"/>
          </reference>
          <reference field="131" count="1">
            <x v="3"/>
          </reference>
        </references>
      </pivotArea>
    </format>
    <format dxfId="239">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7712599-F55B-45B3-8C35-02C86E560DC2}" name="PivotTable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427:F428" firstHeaderRow="0" firstDataRow="1" firstDataCol="0" rowPageCount="4"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4">
    <pageField fld="0" item="16" hier="-1"/>
    <pageField fld="136" hier="-1"/>
    <pageField fld="6" hier="-1"/>
    <pageField fld="4"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5">
    <format dxfId="319">
      <pivotArea type="all" dataOnly="0" outline="0" fieldPosition="0"/>
    </format>
    <format dxfId="318">
      <pivotArea outline="0" collapsedLevelsAreSubtotals="1" fieldPosition="0"/>
    </format>
    <format dxfId="317">
      <pivotArea field="4" type="button" dataOnly="0" labelOnly="1" outline="0" axis="axisPage" fieldPosition="3"/>
    </format>
    <format dxfId="316">
      <pivotArea dataOnly="0" labelOnly="1" grandRow="1" outline="0" fieldPosition="0"/>
    </format>
    <format dxfId="315">
      <pivotArea type="all" dataOnly="0" outline="0" fieldPosition="0"/>
    </format>
    <format dxfId="314">
      <pivotArea outline="0" collapsedLevelsAreSubtotals="1" fieldPosition="0"/>
    </format>
    <format dxfId="313">
      <pivotArea type="origin" dataOnly="0" labelOnly="1" outline="0" fieldPosition="0"/>
    </format>
    <format dxfId="312">
      <pivotArea field="136" type="button" dataOnly="0" labelOnly="1" outline="0" axis="axisPage" fieldPosition="1"/>
    </format>
    <format dxfId="311">
      <pivotArea type="topRight" dataOnly="0" labelOnly="1" outline="0" fieldPosition="0"/>
    </format>
    <format dxfId="310">
      <pivotArea dataOnly="0" labelOnly="1" fieldPosition="0">
        <references count="1">
          <reference field="136" count="0"/>
        </references>
      </pivotArea>
    </format>
    <format dxfId="309">
      <pivotArea type="all" dataOnly="0" outline="0" fieldPosition="0"/>
    </format>
    <format dxfId="308">
      <pivotArea outline="0" collapsedLevelsAreSubtotals="1" fieldPosition="0"/>
    </format>
    <format dxfId="307">
      <pivotArea field="4" type="button" dataOnly="0" labelOnly="1" outline="0" axis="axisPage" fieldPosition="3"/>
    </format>
    <format dxfId="306">
      <pivotArea outline="0" collapsedLevelsAreSubtotals="1" fieldPosition="0"/>
    </format>
    <format dxfId="305">
      <pivotArea dataOnly="0" labelOnly="1" outline="0" fieldPosition="0">
        <references count="2">
          <reference field="0" count="1" selected="0">
            <x v="16"/>
          </reference>
          <reference field="4" count="0"/>
        </references>
      </pivotArea>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I10:N19" firstHeaderRow="0" firstDataRow="1" firstDataCol="1" rowPageCount="4" colPageCount="1"/>
  <pivotFields count="147">
    <pivotField axis="axisPage" subtotalTop="0" showAll="0">
      <items count="18">
        <item m="1" x="15"/>
        <item m="1" x="5"/>
        <item m="1" x="8"/>
        <item m="1" x="3"/>
        <item m="1" x="16"/>
        <item m="1" x="4"/>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axis="axisPage" multipleItemSelectionAllowed="1" showAll="0" defaultSubtotal="0">
      <items count="11">
        <item x="1"/>
        <item x="0"/>
        <item m="1" x="7"/>
        <item m="1" x="3"/>
        <item h="1" m="1" x="2"/>
        <item h="1" m="1" x="9"/>
        <item h="1" m="1" x="6"/>
        <item h="1" m="1" x="10"/>
        <item h="1" m="1" x="4"/>
        <item m="1" x="5"/>
        <item h="1" m="1" x="8"/>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6"/>
    </i>
    <i>
      <x v="9"/>
    </i>
    <i>
      <x v="13"/>
    </i>
    <i>
      <x v="17"/>
    </i>
    <i>
      <x v="25"/>
    </i>
    <i>
      <x v="29"/>
    </i>
    <i>
      <x v="31"/>
    </i>
    <i>
      <x v="32"/>
    </i>
    <i t="grand">
      <x/>
    </i>
  </rowItems>
  <colFields count="1">
    <field x="-2"/>
  </colFields>
  <colItems count="5">
    <i>
      <x/>
    </i>
    <i i="1">
      <x v="1"/>
    </i>
    <i i="2">
      <x v="2"/>
    </i>
    <i i="3">
      <x v="3"/>
    </i>
    <i i="4">
      <x v="4"/>
    </i>
  </colItems>
  <pageFields count="4">
    <pageField fld="0" item="16" hier="-1"/>
    <pageField fld="136" item="0" hier="-1"/>
    <pageField fld="4" item="2" hier="-1"/>
    <pageField fld="6" hier="-1"/>
  </pageFields>
  <dataFields count="5">
    <dataField name="# of sites" fld="7" subtotal="count" baseField="0" baseItem="0"/>
    <dataField name="PoP " fld="9" baseField="0" baseItem="0" numFmtId="164"/>
    <dataField name=" % Water GAP" fld="143" baseField="0" baseItem="0" numFmtId="9"/>
    <dataField name=" % Sanitation GAP" fld="145" baseField="0" baseItem="0" numFmtId="9"/>
    <dataField name="  % Hygiene Gap" fld="140" baseField="0" baseItem="0" numFmtId="9"/>
  </dataFields>
  <formats count="38">
    <format dxfId="357">
      <pivotArea type="all" dataOnly="0" outline="0" fieldPosition="0"/>
    </format>
    <format dxfId="356">
      <pivotArea outline="0" collapsedLevelsAreSubtotals="1" fieldPosition="0"/>
    </format>
    <format dxfId="355">
      <pivotArea field="5" type="button" dataOnly="0" labelOnly="1" outline="0" axis="axisRow" fieldPosition="0"/>
    </format>
    <format dxfId="354">
      <pivotArea dataOnly="0" labelOnly="1" outline="0" axis="axisValues" fieldPosition="0"/>
    </format>
    <format dxfId="353">
      <pivotArea dataOnly="0" labelOnly="1" fieldPosition="0">
        <references count="1">
          <reference field="5" count="0"/>
        </references>
      </pivotArea>
    </format>
    <format dxfId="352">
      <pivotArea dataOnly="0" labelOnly="1" grandRow="1" outline="0" fieldPosition="0"/>
    </format>
    <format dxfId="351">
      <pivotArea dataOnly="0" labelOnly="1" outline="0" axis="axisValues" fieldPosition="0"/>
    </format>
    <format dxfId="350">
      <pivotArea type="all" dataOnly="0" outline="0" fieldPosition="0"/>
    </format>
    <format dxfId="349">
      <pivotArea field="5" type="button" dataOnly="0" labelOnly="1" outline="0" axis="axisRow" fieldPosition="0"/>
    </format>
    <format dxfId="348">
      <pivotArea dataOnly="0" labelOnly="1" outline="0" axis="axisValues" fieldPosition="0"/>
    </format>
    <format dxfId="347">
      <pivotArea dataOnly="0" labelOnly="1" fieldPosition="0">
        <references count="1">
          <reference field="5" count="0"/>
        </references>
      </pivotArea>
    </format>
    <format dxfId="346">
      <pivotArea dataOnly="0" labelOnly="1" outline="0" axis="axisValues" fieldPosition="0"/>
    </format>
    <format dxfId="345">
      <pivotArea field="5" type="button" dataOnly="0" labelOnly="1" outline="0" axis="axisRow" fieldPosition="0"/>
    </format>
    <format dxfId="344">
      <pivotArea type="all" dataOnly="0" outline="0" fieldPosition="0"/>
    </format>
    <format dxfId="343">
      <pivotArea field="5" type="button" dataOnly="0" labelOnly="1" outline="0" axis="axisRow" fieldPosition="0"/>
    </format>
    <format dxfId="342">
      <pivotArea dataOnly="0" labelOnly="1" fieldPosition="0">
        <references count="1">
          <reference field="5" count="7">
            <x v="6"/>
            <x v="9"/>
            <x v="13"/>
            <x v="17"/>
            <x v="25"/>
            <x v="29"/>
            <x v="31"/>
          </reference>
        </references>
      </pivotArea>
    </format>
    <format dxfId="341">
      <pivotArea dataOnly="0" labelOnly="1" outline="0" fieldPosition="0">
        <references count="1">
          <reference field="4294967294" count="1">
            <x v="1"/>
          </reference>
        </references>
      </pivotArea>
    </format>
    <format dxfId="340">
      <pivotArea type="all" dataOnly="0" outline="0" fieldPosition="0"/>
    </format>
    <format dxfId="339">
      <pivotArea outline="0" collapsedLevelsAreSubtotals="1" fieldPosition="0"/>
    </format>
    <format dxfId="338">
      <pivotArea field="5" type="button" dataOnly="0" labelOnly="1" outline="0" axis="axisRow" fieldPosition="0"/>
    </format>
    <format dxfId="337">
      <pivotArea dataOnly="0" labelOnly="1" fieldPosition="0">
        <references count="1">
          <reference field="5" count="7">
            <x v="6"/>
            <x v="9"/>
            <x v="13"/>
            <x v="17"/>
            <x v="25"/>
            <x v="29"/>
            <x v="31"/>
          </reference>
        </references>
      </pivotArea>
    </format>
    <format dxfId="336">
      <pivotArea dataOnly="0" labelOnly="1" outline="0" fieldPosition="0">
        <references count="1">
          <reference field="4294967294" count="1">
            <x v="1"/>
          </reference>
        </references>
      </pivotArea>
    </format>
    <format dxfId="335">
      <pivotArea field="5" type="button" dataOnly="0" labelOnly="1" outline="0" axis="axisRow" fieldPosition="0"/>
    </format>
    <format dxfId="334">
      <pivotArea dataOnly="0" labelOnly="1" outline="0" fieldPosition="0">
        <references count="1">
          <reference field="4294967294" count="1">
            <x v="1"/>
          </reference>
        </references>
      </pivotArea>
    </format>
    <format dxfId="333">
      <pivotArea type="all" dataOnly="0" outline="0" fieldPosition="0"/>
    </format>
    <format dxfId="332">
      <pivotArea outline="0" collapsedLevelsAreSubtotals="1" fieldPosition="0"/>
    </format>
    <format dxfId="331">
      <pivotArea field="5" type="button" dataOnly="0" labelOnly="1" outline="0" axis="axisRow" fieldPosition="0"/>
    </format>
    <format dxfId="330">
      <pivotArea dataOnly="0" labelOnly="1" fieldPosition="0">
        <references count="1">
          <reference field="5" count="6">
            <x v="6"/>
            <x v="9"/>
            <x v="17"/>
            <x v="25"/>
            <x v="29"/>
            <x v="31"/>
          </reference>
        </references>
      </pivotArea>
    </format>
    <format dxfId="329">
      <pivotArea dataOnly="0" labelOnly="1" grandRow="1" outline="0" fieldPosition="0"/>
    </format>
    <format dxfId="328">
      <pivotArea dataOnly="0" labelOnly="1" outline="0" fieldPosition="0">
        <references count="1">
          <reference field="4294967294" count="1">
            <x v="1"/>
          </reference>
        </references>
      </pivotArea>
    </format>
    <format dxfId="327">
      <pivotArea field="4" type="button" dataOnly="0" labelOnly="1" outline="0" axis="axisPage" fieldPosition="2"/>
    </format>
    <format dxfId="326">
      <pivotArea dataOnly="0" labelOnly="1" outline="0" fieldPosition="0">
        <references count="3">
          <reference field="0" count="1" selected="0">
            <x v="7"/>
          </reference>
          <reference field="4" count="1">
            <x v="2"/>
          </reference>
          <reference field="136" count="1" selected="0">
            <x v="0"/>
          </reference>
        </references>
      </pivotArea>
    </format>
    <format dxfId="325">
      <pivotArea dataOnly="0" labelOnly="1" outline="0" fieldPosition="0">
        <references count="3">
          <reference field="0" count="1" selected="0">
            <x v="8"/>
          </reference>
          <reference field="4" count="1">
            <x v="2"/>
          </reference>
          <reference field="136" count="1" selected="0">
            <x v="0"/>
          </reference>
        </references>
      </pivotArea>
    </format>
    <format dxfId="324">
      <pivotArea outline="0" collapsedLevelsAreSubtotals="1" fieldPosition="0">
        <references count="1">
          <reference field="4294967294" count="1" selected="0">
            <x v="1"/>
          </reference>
        </references>
      </pivotArea>
    </format>
    <format dxfId="323">
      <pivotArea dataOnly="0" labelOnly="1" outline="0" fieldPosition="0">
        <references count="3">
          <reference field="0" count="1" selected="0">
            <x v="10"/>
          </reference>
          <reference field="4" count="1">
            <x v="0"/>
          </reference>
          <reference field="136" count="1" selected="0">
            <x v="0"/>
          </reference>
        </references>
      </pivotArea>
    </format>
    <format dxfId="322">
      <pivotArea dataOnly="0" labelOnly="1" outline="0" fieldPosition="0">
        <references count="3">
          <reference field="0" count="1" selected="0">
            <x v="10"/>
          </reference>
          <reference field="4" count="1">
            <x v="2"/>
          </reference>
          <reference field="136" count="1" selected="0">
            <x v="0"/>
          </reference>
        </references>
      </pivotArea>
    </format>
    <format dxfId="321">
      <pivotArea outline="0" collapsedLevelsAreSubtotals="1" fieldPosition="0">
        <references count="1">
          <reference field="4294967294" count="3" selected="0">
            <x v="2"/>
            <x v="3"/>
            <x v="4"/>
          </reference>
        </references>
      </pivotArea>
    </format>
    <format dxfId="320">
      <pivotArea dataOnly="0" labelOnly="1" outline="0" fieldPosition="0">
        <references count="3">
          <reference field="0" count="1" selected="0">
            <x v="11"/>
          </reference>
          <reference field="4" count="1">
            <x v="2"/>
          </reference>
          <reference field="136" count="1" selected="0">
            <x v="0"/>
          </reference>
        </references>
      </pivotArea>
    </format>
  </formats>
  <conditionalFormats count="1">
    <conditionalFormat priority="13">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60:D63" firstHeaderRow="0" firstDataRow="1" firstDataCol="1" rowPageCount="3"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x="0"/>
        <item x="1"/>
        <item x="2"/>
        <item t="default"/>
      </items>
    </pivotField>
    <pivotField showAll="0" defaultSubtotal="0"/>
    <pivotField showAll="0" defaultSubtotal="0"/>
    <pivotField subtotalTop="0" showAll="0"/>
    <pivotField axis="axisRow" subtotalTop="0" showAll="0">
      <items count="7">
        <item x="0"/>
        <item m="1" x="4"/>
        <item x="1"/>
        <item m="1" x="2"/>
        <item m="1" x="3"/>
        <item m="1" x="5"/>
        <item t="default"/>
      </items>
    </pivotField>
    <pivotField subtotalTop="0" showAll="0"/>
    <pivotField axis="axisPage" multipleItemSelectionAllowed="1" showAll="0" defaultSubtotal="0">
      <items count="11">
        <item x="1"/>
        <item x="0"/>
        <item m="1" x="7"/>
        <item m="1" x="3"/>
        <item m="1" x="2"/>
        <item h="1" m="1" x="9"/>
        <item m="1" x="6"/>
        <item h="1" m="1" x="10"/>
        <item h="1" m="1" x="4"/>
        <item h="1" m="1" x="5"/>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36" hier="-1"/>
    <pageField fld="6" hier="-1"/>
  </pageFields>
  <dataFields count="2">
    <dataField name="Sum of #_Water sources tested for fecal coliform " fld="34" baseField="0" baseItem="0"/>
    <dataField name="Sum of #_Water sources passed" fld="35" baseField="0" baseItem="0"/>
  </dataFields>
  <formats count="10">
    <format dxfId="367">
      <pivotArea field="4" type="button" dataOnly="0" labelOnly="1" outline="0" axis="axisRow" fieldPosition="0"/>
    </format>
    <format dxfId="366">
      <pivotArea type="all" dataOnly="0" outline="0" fieldPosition="0"/>
    </format>
    <format dxfId="365">
      <pivotArea outline="0" collapsedLevelsAreSubtotals="1" fieldPosition="0"/>
    </format>
    <format dxfId="364">
      <pivotArea field="4" type="button" dataOnly="0" labelOnly="1" outline="0" axis="axisRow" fieldPosition="0"/>
    </format>
    <format dxfId="363">
      <pivotArea dataOnly="0" labelOnly="1" fieldPosition="0">
        <references count="1">
          <reference field="4" count="0"/>
        </references>
      </pivotArea>
    </format>
    <format dxfId="362">
      <pivotArea type="all" dataOnly="0" outline="0" fieldPosition="0"/>
    </format>
    <format dxfId="361">
      <pivotArea type="all" dataOnly="0" outline="0" fieldPosition="0"/>
    </format>
    <format dxfId="360">
      <pivotArea outline="0" collapsedLevelsAreSubtotals="1" fieldPosition="0"/>
    </format>
    <format dxfId="359">
      <pivotArea field="4" type="button" dataOnly="0" labelOnly="1" outline="0" axis="axisRow" fieldPosition="0"/>
    </format>
    <format dxfId="358">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5221FE9-63D9-49A9-9B9D-C55E2786115E}" name="PivotTable1"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5:C55" firstHeaderRow="1" firstDataRow="1" firstDataCol="3" rowPageCount="1" colPageCount="1"/>
  <pivotFields count="14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53">
        <item h="1" m="1" x="31"/>
        <item h="1" m="1" x="42"/>
        <item h="1" m="1" x="44"/>
        <item h="1" m="1" x="36"/>
        <item h="1" m="1" x="51"/>
        <item h="1" m="1" x="32"/>
        <item h="1" m="1" x="37"/>
        <item h="1" m="1" x="52"/>
        <item h="1" x="0"/>
        <item m="1" x="25"/>
        <item x="1"/>
        <item m="1" x="43"/>
        <item m="1" x="29"/>
        <item h="1" m="1" x="22"/>
        <item h="1" m="1" x="49"/>
        <item h="1" x="2"/>
        <item x="3"/>
        <item h="1" m="1" x="16"/>
        <item h="1" m="1" x="35"/>
        <item h="1" m="1" x="34"/>
        <item h="1" m="1" x="28"/>
        <item h="1" m="1" x="21"/>
        <item m="1" x="41"/>
        <item h="1" m="1" x="18"/>
        <item m="1" x="17"/>
        <item h="1" m="1" x="47"/>
        <item x="4"/>
        <item h="1" m="1" x="27"/>
        <item h="1" m="1" x="26"/>
        <item h="1" m="1" x="24"/>
        <item h="1" m="1" x="39"/>
        <item m="1" x="23"/>
        <item h="1" m="1" x="45"/>
        <item m="1" x="48"/>
        <item h="1" m="1" x="15"/>
        <item h="1" m="1" x="19"/>
        <item h="1" m="1" x="40"/>
        <item h="1" m="1" x="20"/>
        <item h="1" m="1" x="50"/>
        <item m="1" x="46"/>
        <item h="1" x="5"/>
        <item h="1" x="6"/>
        <item h="1" m="1" x="30"/>
        <item h="1" m="1" x="33"/>
        <item h="1" x="7"/>
        <item h="1" m="1" x="38"/>
        <item m="1" x="14"/>
        <item h="1" x="8"/>
        <item h="1" x="12"/>
        <item h="1" x="9"/>
        <item h="1" x="10"/>
        <item h="1" x="11"/>
        <item h="1"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6">
        <item m="1" x="3"/>
        <item x="0"/>
        <item m="1" x="5"/>
        <item m="1" x="4"/>
        <item x="1"/>
        <item m="1" x="2"/>
      </items>
      <extLst>
        <ext xmlns:x14="http://schemas.microsoft.com/office/spreadsheetml/2009/9/main" uri="{2946ED86-A175-432a-8AC1-64E0C546D7DE}">
          <x14:pivotField fillDownLabels="1"/>
        </ext>
      </extLst>
    </pivotField>
    <pivotField axis="axisRow" compact="0" outline="0" showAll="0" defaultSubtotal="0">
      <items count="45">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15">
        <item m="1" x="865"/>
        <item m="1" x="999"/>
        <item m="1" x="473"/>
        <item x="153"/>
        <item m="1" x="301"/>
        <item m="1" x="484"/>
        <item m="1" x="593"/>
        <item x="182"/>
        <item x="183"/>
        <item x="184"/>
        <item x="154"/>
        <item x="155"/>
        <item x="69"/>
        <item m="1" x="457"/>
        <item m="1" x="352"/>
        <item m="1" x="581"/>
        <item m="1" x="269"/>
        <item m="1" x="700"/>
        <item m="1" x="308"/>
        <item m="1" x="556"/>
        <item m="1" x="668"/>
        <item m="1" x="682"/>
        <item m="1" x="854"/>
        <item m="1" x="803"/>
        <item m="1" x="469"/>
        <item m="1" x="733"/>
        <item m="1" x="310"/>
        <item m="1" x="927"/>
        <item m="1" x="835"/>
        <item m="1" x="322"/>
        <item m="1" x="724"/>
        <item m="1" x="522"/>
        <item m="1" x="872"/>
        <item m="1" x="814"/>
        <item m="1" x="895"/>
        <item m="1" x="842"/>
        <item m="1" x="785"/>
        <item m="1" x="680"/>
        <item m="1" x="410"/>
        <item m="1" x="916"/>
        <item m="1" x="385"/>
        <item m="1" x="795"/>
        <item m="1" x="445"/>
        <item m="1" x="929"/>
        <item m="1" x="415"/>
        <item m="1" x="431"/>
        <item m="1" x="784"/>
        <item m="1" x="414"/>
        <item m="1" x="766"/>
        <item m="1" x="535"/>
        <item m="1" x="953"/>
        <item m="1" x="309"/>
        <item m="1" x="703"/>
        <item m="1" x="429"/>
        <item m="1" x="1000"/>
        <item m="1" x="348"/>
        <item m="1" x="834"/>
        <item m="1" x="998"/>
        <item m="1" x="226"/>
        <item m="1" x="747"/>
        <item m="1" x="579"/>
        <item m="1" x="647"/>
        <item m="1" x="648"/>
        <item m="1" x="643"/>
        <item m="1" x="242"/>
        <item x="70"/>
        <item m="1" x="964"/>
        <item m="1" x="1001"/>
        <item m="1" x="734"/>
        <item m="1" x="481"/>
        <item m="1" x="994"/>
        <item m="1" x="658"/>
        <item m="1" x="1009"/>
        <item m="1" x="501"/>
        <item m="1" x="974"/>
        <item m="1" x="373"/>
        <item m="1" x="245"/>
        <item m="1" x="237"/>
        <item m="1" x="677"/>
        <item m="1" x="921"/>
        <item x="0"/>
        <item x="156"/>
        <item m="1" x="332"/>
        <item m="1" x="416"/>
        <item m="1" x="870"/>
        <item m="1" x="824"/>
        <item m="1" x="674"/>
        <item m="1" x="887"/>
        <item m="1" x="259"/>
        <item m="1" x="362"/>
        <item m="1" x="569"/>
        <item m="1" x="224"/>
        <item m="1" x="789"/>
        <item m="1" x="629"/>
        <item m="1" x="933"/>
        <item m="1" x="790"/>
        <item m="1" x="879"/>
        <item m="1" x="565"/>
        <item m="1" x="609"/>
        <item m="1" x="709"/>
        <item x="128"/>
        <item m="1" x="526"/>
        <item m="1" x="454"/>
        <item m="1" x="411"/>
        <item x="48"/>
        <item m="1" x="995"/>
        <item m="1" x="954"/>
        <item m="1" x="732"/>
        <item m="1" x="494"/>
        <item m="1" x="786"/>
        <item x="196"/>
        <item m="1" x="620"/>
        <item m="1" x="922"/>
        <item m="1" x="440"/>
        <item m="1" x="359"/>
        <item m="1" x="722"/>
        <item m="1" x="698"/>
        <item m="1" x="751"/>
        <item m="1" x="235"/>
        <item m="1" x="255"/>
        <item x="157"/>
        <item m="1" x="897"/>
        <item m="1" x="450"/>
        <item m="1" x="372"/>
        <item m="1" x="446"/>
        <item x="158"/>
        <item m="1" x="630"/>
        <item m="1" x="606"/>
        <item x="1"/>
        <item m="1" x="230"/>
        <item m="1" x="743"/>
        <item m="1" x="779"/>
        <item m="1" x="217"/>
        <item m="1" x="728"/>
        <item m="1" x="957"/>
        <item m="1" x="651"/>
        <item m="1" x="260"/>
        <item m="1" x="848"/>
        <item m="1" x="284"/>
        <item m="1" x="388"/>
        <item m="1" x="254"/>
        <item m="1" x="890"/>
        <item x="159"/>
        <item m="1" x="823"/>
        <item m="1" x="571"/>
        <item m="1" x="470"/>
        <item m="1" x="752"/>
        <item m="1" x="448"/>
        <item m="1" x="880"/>
        <item m="1" x="925"/>
        <item m="1" x="840"/>
        <item m="1" x="626"/>
        <item m="1" x="402"/>
        <item x="2"/>
        <item m="1" x="797"/>
        <item x="49"/>
        <item m="1" x="632"/>
        <item x="129"/>
        <item x="71"/>
        <item m="1" x="941"/>
        <item m="1" x="350"/>
        <item x="72"/>
        <item m="1" x="962"/>
        <item m="1" x="327"/>
        <item m="1" x="695"/>
        <item m="1" x="578"/>
        <item m="1" x="903"/>
        <item m="1" x="607"/>
        <item m="1" x="850"/>
        <item m="1" x="262"/>
        <item m="1" x="755"/>
        <item m="1" x="689"/>
        <item m="1" x="939"/>
        <item m="1" x="884"/>
        <item m="1" x="791"/>
        <item m="1" x="675"/>
        <item m="1" x="543"/>
        <item m="1" x="748"/>
        <item m="1" x="611"/>
        <item m="1" x="764"/>
        <item m="1" x="844"/>
        <item m="1" x="208"/>
        <item m="1" x="293"/>
        <item m="1" x="644"/>
        <item m="1" x="233"/>
        <item x="130"/>
        <item x="131"/>
        <item x="160"/>
        <item x="3"/>
        <item m="1" x="318"/>
        <item m="1" x="223"/>
        <item m="1" x="602"/>
        <item x="4"/>
        <item m="1" x="227"/>
        <item m="1" x="511"/>
        <item x="161"/>
        <item m="1" x="769"/>
        <item m="1" x="471"/>
        <item x="132"/>
        <item x="133"/>
        <item m="1" x="904"/>
        <item x="73"/>
        <item m="1" x="717"/>
        <item x="162"/>
        <item m="1" x="321"/>
        <item m="1" x="472"/>
        <item m="1" x="720"/>
        <item m="1" x="936"/>
        <item x="5"/>
        <item m="1" x="244"/>
        <item m="1" x="924"/>
        <item m="1" x="778"/>
        <item x="74"/>
        <item m="1" x="347"/>
        <item x="6"/>
        <item m="1" x="640"/>
        <item m="1" x="420"/>
        <item x="185"/>
        <item x="75"/>
        <item x="76"/>
        <item x="77"/>
        <item m="1" x="730"/>
        <item m="1" x="767"/>
        <item m="1" x="439"/>
        <item m="1" x="282"/>
        <item m="1" x="371"/>
        <item m="1" x="738"/>
        <item m="1" x="702"/>
        <item x="134"/>
        <item x="7"/>
        <item x="50"/>
        <item x="8"/>
        <item x="51"/>
        <item m="1" x="663"/>
        <item x="52"/>
        <item m="1" x="970"/>
        <item m="1" x="1011"/>
        <item m="1" x="551"/>
        <item m="1" x="885"/>
        <item m="1" x="912"/>
        <item m="1" x="417"/>
        <item m="1" x="531"/>
        <item m="1" x="503"/>
        <item x="78"/>
        <item m="1" x="434"/>
        <item m="1" x="670"/>
        <item m="1" x="635"/>
        <item m="1" x="517"/>
        <item m="1" x="627"/>
        <item m="1" x="826"/>
        <item m="1" x="399"/>
        <item m="1" x="770"/>
        <item m="1" x="353"/>
        <item m="1" x="393"/>
        <item m="1" x="711"/>
        <item m="1" x="395"/>
        <item m="1" x="461"/>
        <item m="1" x="613"/>
        <item m="1" x="759"/>
        <item m="1" x="932"/>
        <item m="1" x="518"/>
        <item m="1" x="718"/>
        <item m="1" x="277"/>
        <item m="1" x="856"/>
        <item m="1" x="636"/>
        <item m="1" x="888"/>
        <item m="1" x="337"/>
        <item x="53"/>
        <item m="1" x="281"/>
        <item m="1" x="642"/>
        <item m="1" x="430"/>
        <item m="1" x="489"/>
        <item m="1" x="573"/>
        <item m="1" x="985"/>
        <item m="1" x="273"/>
        <item m="1" x="590"/>
        <item m="1" x="422"/>
        <item m="1" x="545"/>
        <item x="79"/>
        <item m="1" x="493"/>
        <item m="1" x="1003"/>
        <item m="1" x="354"/>
        <item m="1" x="547"/>
        <item m="1" x="719"/>
        <item m="1" x="661"/>
        <item x="135"/>
        <item m="1" x="456"/>
        <item m="1" x="753"/>
        <item m="1" x="725"/>
        <item m="1" x="496"/>
        <item m="1" x="768"/>
        <item m="1" x="491"/>
        <item m="1" x="295"/>
        <item m="1" x="374"/>
        <item m="1" x="307"/>
        <item m="1" x="731"/>
        <item m="1" x="959"/>
        <item m="1" x="409"/>
        <item m="1" x="546"/>
        <item m="1" x="714"/>
        <item m="1" x="315"/>
        <item x="80"/>
        <item x="81"/>
        <item x="82"/>
        <item m="1" x="585"/>
        <item m="1" x="300"/>
        <item m="1" x="507"/>
        <item m="1" x="971"/>
        <item m="1" x="367"/>
        <item m="1" x="341"/>
        <item m="1" x="744"/>
        <item m="1" x="805"/>
        <item m="1" x="336"/>
        <item m="1" x="794"/>
        <item m="1" x="263"/>
        <item m="1" x="334"/>
        <item m="1" x="871"/>
        <item m="1" x="380"/>
        <item m="1" x="619"/>
        <item m="1" x="917"/>
        <item m="1" x="989"/>
        <item m="1" x="1005"/>
        <item m="1" x="317"/>
        <item m="1" x="278"/>
        <item m="1" x="413"/>
        <item m="1" x="881"/>
        <item m="1" x="673"/>
        <item m="1" x="368"/>
        <item m="1" x="756"/>
        <item m="1" x="952"/>
        <item m="1" x="633"/>
        <item m="1" x="369"/>
        <item m="1" x="398"/>
        <item m="1" x="465"/>
        <item m="1" x="258"/>
        <item m="1" x="819"/>
        <item m="1" x="325"/>
        <item m="1" x="777"/>
        <item m="1" x="275"/>
        <item m="1" x="896"/>
        <item m="1" x="931"/>
        <item m="1" x="320"/>
        <item m="1" x="572"/>
        <item m="1" x="899"/>
        <item m="1" x="386"/>
        <item m="1" x="934"/>
        <item m="1" x="267"/>
        <item x="83"/>
        <item m="1" x="534"/>
        <item m="1" x="596"/>
        <item m="1" x="685"/>
        <item m="1" x="220"/>
        <item m="1" x="987"/>
        <item x="9"/>
        <item m="1" x="883"/>
        <item m="1" x="622"/>
        <item m="1" x="442"/>
        <item m="1" x="930"/>
        <item m="1" x="391"/>
        <item m="1" x="345"/>
        <item x="10"/>
        <item m="1" x="889"/>
        <item m="1" x="250"/>
        <item m="1" x="466"/>
        <item m="1" x="563"/>
        <item x="54"/>
        <item x="197"/>
        <item m="1" x="280"/>
        <item m="1" x="665"/>
        <item m="1" x="290"/>
        <item m="1" x="867"/>
        <item x="55"/>
        <item m="1" x="787"/>
        <item x="163"/>
        <item x="11"/>
        <item x="12"/>
        <item x="13"/>
        <item m="1" x="366"/>
        <item m="1" x="1012"/>
        <item m="1" x="564"/>
        <item m="1" x="261"/>
        <item m="1" x="209"/>
        <item m="1" x="841"/>
        <item m="1" x="513"/>
        <item m="1" x="256"/>
        <item m="1" x="704"/>
        <item m="1" x="476"/>
        <item m="1" x="313"/>
        <item x="164"/>
        <item m="1" x="659"/>
        <item m="1" x="806"/>
        <item m="1" x="502"/>
        <item m="1" x="608"/>
        <item x="165"/>
        <item x="166"/>
        <item x="84"/>
        <item x="85"/>
        <item x="186"/>
        <item x="187"/>
        <item x="188"/>
        <item x="56"/>
        <item m="1" x="328"/>
        <item m="1" x="271"/>
        <item m="1" x="314"/>
        <item x="14"/>
        <item x="136"/>
        <item x="189"/>
        <item m="1" x="851"/>
        <item x="15"/>
        <item m="1" x="845"/>
        <item m="1" x="363"/>
        <item m="1" x="524"/>
        <item x="16"/>
        <item x="137"/>
        <item x="86"/>
        <item m="1" x="405"/>
        <item x="167"/>
        <item x="57"/>
        <item x="17"/>
        <item x="18"/>
        <item x="19"/>
        <item x="58"/>
        <item m="1" x="873"/>
        <item x="20"/>
        <item x="87"/>
        <item x="190"/>
        <item x="21"/>
        <item x="138"/>
        <item m="1" x="384"/>
        <item x="88"/>
        <item m="1" x="541"/>
        <item x="89"/>
        <item x="90"/>
        <item x="91"/>
        <item x="92"/>
        <item m="1" x="679"/>
        <item x="93"/>
        <item x="94"/>
        <item x="95"/>
        <item x="125"/>
        <item m="1" x="219"/>
        <item m="1" x="305"/>
        <item x="96"/>
        <item x="139"/>
        <item m="1" x="268"/>
        <item m="1" x="940"/>
        <item m="1" x="898"/>
        <item m="1" x="396"/>
        <item m="1" x="479"/>
        <item m="1" x="319"/>
        <item x="168"/>
        <item x="169"/>
        <item m="1" x="247"/>
        <item m="1" x="304"/>
        <item m="1" x="869"/>
        <item x="140"/>
        <item m="1" x="408"/>
        <item m="1" x="492"/>
        <item x="97"/>
        <item m="1" x="444"/>
        <item m="1" x="316"/>
        <item m="1" x="326"/>
        <item m="1" x="463"/>
        <item m="1" x="335"/>
        <item m="1" x="339"/>
        <item m="1" x="497"/>
        <item m="1" x="977"/>
        <item m="1" x="387"/>
        <item m="1" x="671"/>
        <item m="1" x="910"/>
        <item m="1" x="965"/>
        <item m="1" x="342"/>
        <item m="1" x="721"/>
        <item x="98"/>
        <item m="1" x="830"/>
        <item m="1" x="264"/>
        <item m="1" x="693"/>
        <item x="141"/>
        <item x="99"/>
        <item x="22"/>
        <item m="1" x="566"/>
        <item x="142"/>
        <item x="100"/>
        <item m="1" x="928"/>
        <item x="101"/>
        <item x="102"/>
        <item x="103"/>
        <item m="1" x="567"/>
        <item x="104"/>
        <item m="1" x="276"/>
        <item m="1" x="822"/>
        <item x="105"/>
        <item x="143"/>
        <item m="1" x="708"/>
        <item m="1" x="324"/>
        <item m="1" x="901"/>
        <item m="1" x="462"/>
        <item m="1" x="1004"/>
        <item m="1" x="641"/>
        <item m="1" x="945"/>
        <item m="1" x="482"/>
        <item m="1" x="906"/>
        <item m="1" x="804"/>
        <item x="59"/>
        <item x="144"/>
        <item m="1" x="735"/>
        <item m="1" x="510"/>
        <item m="1" x="488"/>
        <item m="1" x="536"/>
        <item m="1" x="557"/>
        <item x="126"/>
        <item x="106"/>
        <item x="107"/>
        <item x="127"/>
        <item m="1" x="660"/>
        <item x="108"/>
        <item m="1" x="389"/>
        <item x="109"/>
        <item x="170"/>
        <item m="1" x="490"/>
        <item x="110"/>
        <item x="111"/>
        <item x="23"/>
        <item x="112"/>
        <item x="24"/>
        <item m="1" x="817"/>
        <item x="60"/>
        <item m="1" x="780"/>
        <item x="113"/>
        <item x="61"/>
        <item m="1" x="286"/>
        <item m="1" x="521"/>
        <item m="1" x="829"/>
        <item x="25"/>
        <item m="1" x="382"/>
        <item m="1" x="868"/>
        <item m="1" x="905"/>
        <item m="1" x="915"/>
        <item m="1" x="216"/>
        <item m="1" x="296"/>
        <item x="171"/>
        <item x="26"/>
        <item m="1" x="631"/>
        <item m="1" x="211"/>
        <item m="1" x="530"/>
        <item x="27"/>
        <item m="1" x="1007"/>
        <item x="114"/>
        <item m="1" x="441"/>
        <item m="1" x="669"/>
        <item m="1" x="549"/>
        <item m="1" x="754"/>
        <item m="1" x="807"/>
        <item m="1" x="655"/>
        <item m="1" x="577"/>
        <item m="1" x="512"/>
        <item m="1" x="343"/>
        <item m="1" x="539"/>
        <item m="1" x="588"/>
        <item m="1" x="894"/>
        <item m="1" x="370"/>
        <item m="1" x="623"/>
        <item m="1" x="215"/>
        <item m="1" x="485"/>
        <item m="1" x="943"/>
        <item m="1" x="364"/>
        <item m="1" x="412"/>
        <item m="1" x="828"/>
        <item m="1" x="480"/>
        <item m="1" x="600"/>
        <item m="1" x="351"/>
        <item m="1" x="403"/>
        <item m="1" x="713"/>
        <item m="1" x="919"/>
        <item m="1" x="792"/>
        <item x="198"/>
        <item m="1" x="344"/>
        <item m="1" x="294"/>
        <item x="28"/>
        <item m="1" x="360"/>
        <item m="1" x="576"/>
        <item m="1" x="972"/>
        <item m="1" x="558"/>
        <item m="1" x="833"/>
        <item x="191"/>
        <item m="1" x="519"/>
        <item m="1" x="283"/>
        <item m="1" x="423"/>
        <item m="1" x="992"/>
        <item m="1" x="603"/>
        <item m="1" x="495"/>
        <item m="1" x="279"/>
        <item m="1" x="837"/>
        <item m="1" x="520"/>
        <item m="1" x="710"/>
        <item m="1" x="376"/>
        <item m="1" x="451"/>
        <item m="1" x="938"/>
        <item m="1" x="618"/>
        <item m="1" x="864"/>
        <item m="1" x="926"/>
        <item m="1" x="375"/>
        <item m="1" x="742"/>
        <item m="1" x="435"/>
        <item m="1" x="991"/>
        <item x="62"/>
        <item x="63"/>
        <item x="199"/>
        <item m="1" x="782"/>
        <item m="1" x="506"/>
        <item m="1" x="628"/>
        <item x="29"/>
        <item m="1" x="745"/>
        <item m="1" x="383"/>
        <item m="1" x="553"/>
        <item x="200"/>
        <item x="115"/>
        <item m="1" x="877"/>
        <item x="116"/>
        <item m="1" x="486"/>
        <item x="64"/>
        <item x="30"/>
        <item m="1" x="614"/>
        <item m="1" x="973"/>
        <item m="1" x="775"/>
        <item m="1" x="846"/>
        <item m="1" x="686"/>
        <item m="1" x="483"/>
        <item m="1" x="993"/>
        <item x="192"/>
        <item m="1" x="508"/>
        <item m="1" x="944"/>
        <item m="1" x="825"/>
        <item m="1" x="653"/>
        <item m="1" x="561"/>
        <item m="1" x="537"/>
        <item m="1" x="338"/>
        <item m="1" x="390"/>
        <item m="1" x="678"/>
        <item m="1" x="729"/>
        <item m="1" x="424"/>
        <item m="1" x="676"/>
        <item m="1" x="584"/>
        <item m="1" x="650"/>
        <item x="65"/>
        <item m="1" x="249"/>
        <item m="1" x="460"/>
        <item m="1" x="801"/>
        <item m="1" x="323"/>
        <item m="1" x="761"/>
        <item m="1" x="855"/>
        <item m="1" x="575"/>
        <item m="1" x="949"/>
        <item m="1" x="580"/>
        <item m="1" x="886"/>
        <item m="1" x="253"/>
        <item m="1" x="478"/>
        <item m="1" x="612"/>
        <item m="1" x="958"/>
        <item m="1" x="504"/>
        <item m="1" x="800"/>
        <item m="1" x="705"/>
        <item m="1" x="649"/>
        <item m="1" x="228"/>
        <item m="1" x="356"/>
        <item x="172"/>
        <item x="31"/>
        <item x="173"/>
        <item m="1" x="289"/>
        <item m="1" x="505"/>
        <item m="1" x="527"/>
        <item m="1" x="701"/>
        <item m="1" x="681"/>
        <item m="1" x="948"/>
        <item m="1" x="346"/>
        <item m="1" x="432"/>
        <item m="1" x="205"/>
        <item m="1" x="331"/>
        <item m="1" x="311"/>
        <item x="174"/>
        <item m="1" x="740"/>
        <item m="1" x="757"/>
        <item x="193"/>
        <item x="194"/>
        <item m="1" x="514"/>
        <item m="1" x="706"/>
        <item m="1" x="568"/>
        <item m="1" x="913"/>
        <item m="1" x="615"/>
        <item m="1" x="213"/>
        <item m="1" x="355"/>
        <item x="145"/>
        <item m="1" x="562"/>
        <item x="32"/>
        <item m="1" x="599"/>
        <item m="1" x="950"/>
        <item m="1" x="942"/>
        <item m="1" x="477"/>
        <item m="1" x="455"/>
        <item x="33"/>
        <item m="1" x="966"/>
        <item m="1" x="453"/>
        <item m="1" x="529"/>
        <item m="1" x="594"/>
        <item m="1" x="758"/>
        <item m="1" x="799"/>
        <item m="1" x="827"/>
        <item m="1" x="652"/>
        <item x="66"/>
        <item m="1" x="900"/>
        <item m="1" x="820"/>
        <item m="1" x="525"/>
        <item m="1" x="699"/>
        <item m="1" x="849"/>
        <item m="1" x="672"/>
        <item m="1" x="832"/>
        <item m="1" x="772"/>
        <item x="146"/>
        <item m="1" x="996"/>
        <item m="1" x="836"/>
        <item x="195"/>
        <item m="1" x="206"/>
        <item m="1" x="288"/>
        <item m="1" x="523"/>
        <item m="1" x="763"/>
        <item m="1" x="863"/>
        <item x="34"/>
        <item m="1" x="1008"/>
        <item x="35"/>
        <item x="147"/>
        <item x="36"/>
        <item m="1" x="984"/>
        <item x="37"/>
        <item x="175"/>
        <item m="1" x="292"/>
        <item m="1" x="538"/>
        <item x="38"/>
        <item m="1" x="773"/>
        <item m="1" x="349"/>
        <item m="1" x="990"/>
        <item x="117"/>
        <item x="118"/>
        <item m="1" x="656"/>
        <item m="1" x="499"/>
        <item m="1" x="774"/>
        <item m="1" x="715"/>
        <item m="1" x="550"/>
        <item m="1" x="232"/>
        <item m="1" x="625"/>
        <item m="1" x="657"/>
        <item m="1" x="299"/>
        <item m="1" x="404"/>
        <item m="1" x="458"/>
        <item m="1" x="560"/>
        <item m="1" x="810"/>
        <item x="39"/>
        <item m="1" x="449"/>
        <item m="1" x="231"/>
        <item m="1" x="831"/>
        <item m="1" x="875"/>
        <item m="1" x="798"/>
        <item m="1" x="983"/>
        <item m="1" x="914"/>
        <item x="67"/>
        <item m="1" x="234"/>
        <item m="1" x="634"/>
        <item m="1" x="222"/>
        <item m="1" x="645"/>
        <item m="1" x="882"/>
        <item m="1" x="796"/>
        <item m="1" x="467"/>
        <item m="1" x="433"/>
        <item m="1" x="401"/>
        <item m="1" x="749"/>
        <item m="1" x="542"/>
        <item m="1" x="809"/>
        <item m="1" x="214"/>
        <item m="1" x="811"/>
        <item m="1" x="646"/>
        <item m="1" x="861"/>
        <item x="148"/>
        <item x="68"/>
        <item x="149"/>
        <item x="40"/>
        <item m="1" x="859"/>
        <item m="1" x="781"/>
        <item m="1" x="365"/>
        <item m="1" x="1010"/>
        <item m="1" x="357"/>
        <item m="1" x="272"/>
        <item m="1" x="937"/>
        <item m="1" x="862"/>
        <item m="1" x="876"/>
        <item m="1" x="739"/>
        <item m="1" x="723"/>
        <item m="1" x="815"/>
        <item x="150"/>
        <item x="151"/>
        <item m="1" x="207"/>
        <item m="1" x="474"/>
        <item m="1" x="986"/>
        <item m="1" x="878"/>
        <item x="41"/>
        <item x="176"/>
        <item x="177"/>
        <item x="42"/>
        <item x="43"/>
        <item m="1" x="329"/>
        <item m="1" x="853"/>
        <item m="1" x="716"/>
        <item m="1" x="654"/>
        <item m="1" x="712"/>
        <item m="1" x="726"/>
        <item m="1" x="548"/>
        <item m="1" x="229"/>
        <item m="1" x="587"/>
        <item m="1" x="982"/>
        <item m="1" x="684"/>
        <item m="1" x="287"/>
        <item m="1" x="760"/>
        <item m="1" x="988"/>
        <item m="1" x="274"/>
        <item m="1" x="979"/>
        <item m="1" x="980"/>
        <item m="1" x="818"/>
        <item m="1" x="981"/>
        <item m="1" x="378"/>
        <item m="1" x="687"/>
        <item m="1" x="776"/>
        <item m="1" x="893"/>
        <item m="1" x="212"/>
        <item m="1" x="303"/>
        <item m="1" x="459"/>
        <item m="1" x="358"/>
        <item m="1" x="210"/>
        <item m="1" x="691"/>
        <item m="1" x="591"/>
        <item m="1" x="961"/>
        <item m="1" x="1006"/>
        <item m="1" x="968"/>
        <item m="1" x="920"/>
        <item m="1" x="291"/>
        <item m="1" x="683"/>
        <item m="1" x="540"/>
        <item m="1" x="464"/>
        <item m="1" x="381"/>
        <item m="1" x="437"/>
        <item m="1" x="241"/>
        <item m="1" x="947"/>
        <item m="1" x="528"/>
        <item m="1" x="544"/>
        <item m="1" x="516"/>
        <item m="1" x="737"/>
        <item m="1" x="1013"/>
        <item m="1" x="946"/>
        <item m="1" x="532"/>
        <item m="1" x="421"/>
        <item m="1" x="592"/>
        <item m="1" x="866"/>
        <item m="1" x="270"/>
        <item m="1" x="951"/>
        <item m="1" x="428"/>
        <item x="178"/>
        <item m="1" x="664"/>
        <item m="1" x="955"/>
        <item m="1" x="574"/>
        <item m="1" x="438"/>
        <item m="1" x="617"/>
        <item m="1" x="976"/>
        <item m="1" x="956"/>
        <item m="1" x="690"/>
        <item m="1" x="624"/>
        <item m="1" x="498"/>
        <item m="1" x="418"/>
        <item m="1" x="419"/>
        <item m="1" x="379"/>
        <item m="1" x="240"/>
        <item m="1" x="377"/>
        <item m="1" x="218"/>
        <item m="1" x="204"/>
        <item m="1" x="808"/>
        <item m="1" x="468"/>
        <item m="1" x="392"/>
        <item m="1" x="595"/>
        <item m="1" x="394"/>
        <item m="1" x="533"/>
        <item m="1" x="252"/>
        <item m="1" x="616"/>
        <item m="1" x="637"/>
        <item m="1" x="667"/>
        <item m="1" x="694"/>
        <item m="1" x="860"/>
        <item m="1" x="340"/>
        <item m="1" x="621"/>
        <item m="1" x="771"/>
        <item m="1" x="741"/>
        <item m="1" x="918"/>
        <item m="1" x="330"/>
        <item m="1" x="487"/>
        <item m="1" x="1002"/>
        <item m="1" x="500"/>
        <item m="1" x="697"/>
        <item m="1" x="736"/>
        <item m="1" x="427"/>
        <item m="1" x="816"/>
        <item x="44"/>
        <item m="1" x="858"/>
        <item m="1" x="554"/>
        <item m="1" x="397"/>
        <item x="152"/>
        <item x="45"/>
        <item m="1" x="297"/>
        <item x="119"/>
        <item m="1" x="610"/>
        <item m="1" x="813"/>
        <item m="1" x="298"/>
        <item m="1" x="802"/>
        <item m="1" x="978"/>
        <item m="1" x="605"/>
        <item m="1" x="604"/>
        <item m="1" x="333"/>
        <item m="1" x="793"/>
        <item m="1" x="361"/>
        <item m="1" x="589"/>
        <item m="1" x="812"/>
        <item m="1" x="312"/>
        <item m="1" x="238"/>
        <item m="1" x="425"/>
        <item m="1" x="443"/>
        <item x="46"/>
        <item x="179"/>
        <item m="1" x="285"/>
        <item m="1" x="765"/>
        <item m="1" x="843"/>
        <item m="1" x="935"/>
        <item m="1" x="400"/>
        <item x="180"/>
        <item m="1" x="969"/>
        <item m="1" x="436"/>
        <item m="1" x="967"/>
        <item m="1" x="909"/>
        <item m="1" x="847"/>
        <item m="1" x="426"/>
        <item m="1" x="788"/>
        <item x="120"/>
        <item x="121"/>
        <item x="122"/>
        <item m="1" x="891"/>
        <item m="1" x="221"/>
        <item m="1" x="746"/>
        <item m="1" x="597"/>
        <item m="1" x="662"/>
        <item m="1" x="475"/>
        <item m="1" x="559"/>
        <item m="1" x="852"/>
        <item m="1" x="552"/>
        <item m="1" x="750"/>
        <item m="1" x="707"/>
        <item m="1" x="908"/>
        <item m="1" x="762"/>
        <item m="1" x="688"/>
        <item m="1" x="960"/>
        <item m="1" x="555"/>
        <item m="1" x="246"/>
        <item x="123"/>
        <item m="1" x="997"/>
        <item m="1" x="302"/>
        <item m="1" x="1014"/>
        <item x="181"/>
        <item m="1" x="598"/>
        <item m="1" x="243"/>
        <item m="1" x="225"/>
        <item m="1" x="821"/>
        <item m="1" x="838"/>
        <item m="1" x="839"/>
        <item m="1" x="911"/>
        <item m="1" x="874"/>
        <item m="1" x="306"/>
        <item m="1" x="586"/>
        <item m="1" x="406"/>
        <item m="1" x="407"/>
        <item m="1" x="975"/>
        <item m="1" x="923"/>
        <item m="1" x="509"/>
        <item m="1" x="257"/>
        <item m="1" x="601"/>
        <item m="1" x="907"/>
        <item m="1" x="236"/>
        <item m="1" x="582"/>
        <item m="1" x="963"/>
        <item m="1" x="583"/>
        <item m="1" x="902"/>
        <item m="1" x="515"/>
        <item m="1" x="452"/>
        <item m="1" x="783"/>
        <item m="1" x="239"/>
        <item m="1" x="251"/>
        <item m="1" x="727"/>
        <item m="1" x="696"/>
        <item m="1" x="265"/>
        <item m="1" x="857"/>
        <item m="1" x="248"/>
        <item m="1" x="447"/>
        <item m="1" x="638"/>
        <item m="1" x="570"/>
        <item m="1" x="266"/>
        <item m="1" x="892"/>
        <item m="1" x="692"/>
        <item m="1" x="639"/>
        <item m="1" x="666"/>
        <item x="124"/>
        <item x="47"/>
        <item m="1" x="203"/>
        <item x="201"/>
        <item x="2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5"/>
    <field x="7"/>
    <field x="1"/>
  </rowFields>
  <rowItems count="50">
    <i>
      <x v="1"/>
      <x v="100"/>
      <x v="26"/>
    </i>
    <i>
      <x v="4"/>
      <x v="620"/>
      <x v="10"/>
    </i>
    <i r="1">
      <x v="708"/>
      <x v="10"/>
    </i>
    <i>
      <x v="5"/>
      <x v="3"/>
      <x v="26"/>
    </i>
    <i r="1">
      <x v="267"/>
      <x v="10"/>
    </i>
    <i r="1">
      <x v="371"/>
      <x v="10"/>
    </i>
    <i r="1">
      <x v="400"/>
      <x v="10"/>
    </i>
    <i r="1">
      <x v="455"/>
      <x v="26"/>
    </i>
    <i r="1">
      <x v="492"/>
      <x v="26"/>
    </i>
    <i r="1">
      <x v="529"/>
      <x v="10"/>
    </i>
    <i r="1">
      <x v="729"/>
      <x v="26"/>
    </i>
    <i>
      <x v="16"/>
      <x v="421"/>
      <x v="10"/>
    </i>
    <i r="1">
      <x v="443"/>
      <x v="26"/>
    </i>
    <i r="1">
      <x v="763"/>
      <x v="10"/>
    </i>
    <i>
      <x v="20"/>
      <x v="157"/>
      <x v="26"/>
    </i>
    <i r="1">
      <x v="365"/>
      <x v="10"/>
    </i>
    <i r="1">
      <x v="503"/>
      <x v="10"/>
    </i>
    <i>
      <x v="21"/>
      <x v="198"/>
      <x v="26"/>
    </i>
    <i r="1">
      <x v="477"/>
      <x v="26"/>
    </i>
    <i r="1">
      <x v="781"/>
      <x v="10"/>
    </i>
    <i>
      <x v="23"/>
      <x v="155"/>
      <x v="10"/>
    </i>
    <i r="1">
      <x v="199"/>
      <x v="26"/>
    </i>
    <i r="1">
      <x v="232"/>
      <x v="10"/>
    </i>
    <i r="1">
      <x v="285"/>
      <x v="26"/>
    </i>
    <i r="1">
      <x v="405"/>
      <x v="26"/>
    </i>
    <i r="1">
      <x v="481"/>
      <x v="26"/>
    </i>
    <i r="1">
      <x v="504"/>
      <x v="26"/>
    </i>
    <i>
      <x v="27"/>
      <x v="230"/>
      <x v="10"/>
    </i>
    <i r="1">
      <x v="234"/>
      <x v="10"/>
    </i>
    <i r="1">
      <x v="526"/>
      <x v="10"/>
    </i>
    <i r="1">
      <x v="605"/>
      <x v="10"/>
    </i>
    <i r="1">
      <x v="606"/>
      <x v="10"/>
    </i>
    <i r="1">
      <x v="615"/>
      <x v="10"/>
    </i>
    <i r="1">
      <x v="717"/>
      <x v="26"/>
    </i>
    <i>
      <x v="36"/>
      <x v="228"/>
      <x v="26"/>
    </i>
    <i r="1">
      <x v="909"/>
      <x v="26"/>
    </i>
    <i>
      <x v="41"/>
      <x v="185"/>
      <x v="26"/>
    </i>
    <i r="1">
      <x v="782"/>
      <x v="26"/>
    </i>
    <i>
      <x v="42"/>
      <x v="780"/>
      <x v="10"/>
    </i>
    <i r="2">
      <x v="26"/>
    </i>
    <i r="1">
      <x v="796"/>
      <x v="10"/>
    </i>
    <i r="2">
      <x v="26"/>
    </i>
    <i r="1">
      <x v="797"/>
      <x v="26"/>
    </i>
    <i>
      <x v="43"/>
      <x v="104"/>
      <x v="10"/>
    </i>
    <i r="1">
      <x v="186"/>
      <x v="26"/>
    </i>
    <i r="1">
      <x v="413"/>
      <x v="26"/>
    </i>
    <i r="1">
      <x v="417"/>
      <x v="10"/>
    </i>
    <i r="1">
      <x v="644"/>
      <x v="10"/>
    </i>
    <i r="1">
      <x v="691"/>
      <x v="26"/>
    </i>
    <i t="grand">
      <x/>
    </i>
  </rowItems>
  <colItems count="1">
    <i/>
  </colItems>
  <pageFields count="1">
    <pageField fld="4" item="1" hier="-1"/>
  </pageFields>
  <formats count="7">
    <format dxfId="1011">
      <pivotArea dataOnly="0" labelOnly="1" fieldPosition="0">
        <references count="1">
          <reference field="5" count="1">
            <x v="4"/>
          </reference>
        </references>
      </pivotArea>
    </format>
    <format dxfId="1010">
      <pivotArea dataOnly="0" labelOnly="1" fieldPosition="0">
        <references count="1">
          <reference field="5" count="3">
            <x v="5"/>
            <x v="16"/>
            <x v="20"/>
          </reference>
        </references>
      </pivotArea>
    </format>
    <format dxfId="1009">
      <pivotArea dataOnly="0" labelOnly="1" fieldPosition="0">
        <references count="1">
          <reference field="5" count="2">
            <x v="21"/>
            <x v="23"/>
          </reference>
        </references>
      </pivotArea>
    </format>
    <format dxfId="1008">
      <pivotArea dataOnly="0" labelOnly="1" fieldPosition="0">
        <references count="1">
          <reference field="5" count="1">
            <x v="27"/>
          </reference>
        </references>
      </pivotArea>
    </format>
    <format dxfId="1007">
      <pivotArea dataOnly="0" labelOnly="1" fieldPosition="0">
        <references count="1">
          <reference field="5" count="1">
            <x v="43"/>
          </reference>
        </references>
      </pivotArea>
    </format>
    <format dxfId="1006">
      <pivotArea dataOnly="0" labelOnly="1" fieldPosition="0">
        <references count="1">
          <reference field="5" count="8">
            <x v="1"/>
            <x v="4"/>
            <x v="5"/>
            <x v="16"/>
            <x v="20"/>
            <x v="21"/>
            <x v="23"/>
            <x v="27"/>
          </reference>
        </references>
      </pivotArea>
    </format>
    <format dxfId="1005">
      <pivotArea dataOnly="0" labelOnly="1" fieldPosition="0">
        <references count="1">
          <reference field="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28:E136" firstHeaderRow="1" firstDataRow="2" firstDataCol="1" rowPageCount="4"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1">
        <item x="1"/>
        <item x="0"/>
        <item m="1" x="7"/>
        <item h="1" m="1" x="5"/>
        <item m="1" x="3"/>
        <item m="1" x="2"/>
        <item h="1" m="1" x="9"/>
        <item m="1" x="6"/>
        <item h="1" m="1" x="10"/>
        <item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Col"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1"/>
        <item n="# in NGCA (20:1)"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2"/>
  </colFields>
  <colItems count="2">
    <i>
      <x v="339"/>
    </i>
    <i>
      <x v="340"/>
    </i>
  </colItems>
  <pageFields count="4">
    <pageField fld="0" item="16" hier="-1"/>
    <pageField fld="4" item="0" hier="-1"/>
    <pageField fld="136" item="0" hier="-1"/>
    <pageField fld="6" hier="-1"/>
  </pageFields>
  <dataFields count="7">
    <dataField name="# latrines (target)" fld="106" baseField="0" baseItem="0"/>
    <dataField name="# Operation &amp; maintenance of latrines" fld="45" baseField="0" baseItem="0"/>
    <dataField name="# Latrines desludged" fld="46" baseField="0" baseItem="0"/>
    <dataField name="# handed over" fld="48" baseField="0" baseItem="0"/>
    <dataField name="Sum of # Existing functional latrines" fld="99" baseField="0" baseItem="0"/>
    <dataField name="  Total # of latrine" fld="138" baseField="0" baseItem="0"/>
    <dataField name="Sum of #_Non-functional latrines" fld="44" baseField="0" baseItem="0"/>
  </dataFields>
  <formats count="15">
    <format dxfId="382">
      <pivotArea field="4" type="button" dataOnly="0" labelOnly="1" outline="0" axis="axisPage" fieldPosition="1"/>
    </format>
    <format dxfId="381">
      <pivotArea type="all" dataOnly="0" outline="0" fieldPosition="0"/>
    </format>
    <format dxfId="380">
      <pivotArea type="origin" dataOnly="0" labelOnly="1" outline="0" fieldPosition="0"/>
    </format>
    <format dxfId="379">
      <pivotArea type="topRight" dataOnly="0" labelOnly="1" outline="0" fieldPosition="0"/>
    </format>
    <format dxfId="378">
      <pivotArea field="-2" type="button" dataOnly="0" labelOnly="1" outline="0" axis="axisRow" fieldPosition="0"/>
    </format>
    <format dxfId="377">
      <pivotArea type="all" dataOnly="0" outline="0" fieldPosition="0"/>
    </format>
    <format dxfId="376">
      <pivotArea outline="0" collapsedLevelsAreSubtotals="1" fieldPosition="0"/>
    </format>
    <format dxfId="375">
      <pivotArea type="origin" dataOnly="0" labelOnly="1" outline="0" fieldPosition="0"/>
    </format>
    <format dxfId="374">
      <pivotArea type="topRight" dataOnly="0" labelOnly="1" outline="0" fieldPosition="0"/>
    </format>
    <format dxfId="373">
      <pivotArea field="-2" type="button" dataOnly="0" labelOnly="1" outline="0" axis="axisRow" fieldPosition="0"/>
    </format>
    <format dxfId="372">
      <pivotArea dataOnly="0" labelOnly="1" outline="0" fieldPosition="0">
        <references count="3">
          <reference field="0" count="1" selected="0">
            <x v="7"/>
          </reference>
          <reference field="4" count="1">
            <x v="0"/>
          </reference>
          <reference field="136" count="1" selected="0">
            <x v="0"/>
          </reference>
        </references>
      </pivotArea>
    </format>
    <format dxfId="371">
      <pivotArea type="all" dataOnly="0" outline="0" fieldPosition="0"/>
    </format>
    <format dxfId="370">
      <pivotArea outline="0" collapsedLevelsAreSubtotals="1" fieldPosition="0"/>
    </format>
    <format dxfId="369">
      <pivotArea dataOnly="0" labelOnly="1" outline="0" fieldPosition="0">
        <references count="1">
          <reference field="4294967294" count="1">
            <x v="0"/>
          </reference>
        </references>
      </pivotArea>
    </format>
    <format dxfId="368">
      <pivotArea dataOnly="0" labelOnly="1" fieldPosition="0">
        <references count="1">
          <reference field="132"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95:D208"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Latrine Coverage" fld="144" baseField="0" baseItem="0" numFmtId="1"/>
    <dataField name="  % Latrine GAP" fld="145" baseField="0" baseItem="0" numFmtId="1"/>
  </dataFields>
  <formats count="11">
    <format dxfId="393">
      <pivotArea type="all" dataOnly="0" outline="0" fieldPosition="0"/>
    </format>
    <format dxfId="392">
      <pivotArea outline="0" collapsedLevelsAreSubtotals="1" fieldPosition="0"/>
    </format>
    <format dxfId="391">
      <pivotArea field="4" type="button" dataOnly="0" labelOnly="1" outline="0" axis="axisPage" fieldPosition="2"/>
    </format>
    <format dxfId="390">
      <pivotArea type="all" dataOnly="0" outline="0" fieldPosition="0"/>
    </format>
    <format dxfId="389">
      <pivotArea outline="0" collapsedLevelsAreSubtotals="1" fieldPosition="0"/>
    </format>
    <format dxfId="388">
      <pivotArea outline="0" collapsedLevelsAreSubtotals="1" fieldPosition="0"/>
    </format>
    <format dxfId="387">
      <pivotArea field="5" type="button" dataOnly="0" labelOnly="1" outline="0" axis="axisRow" fieldPosition="0"/>
    </format>
    <format dxfId="386">
      <pivotArea field="5" type="button" dataOnly="0" labelOnly="1" outline="0" axis="axisRow" fieldPosition="0"/>
    </format>
    <format dxfId="385">
      <pivotArea field="5" type="button" dataOnly="0" labelOnly="1" outline="0" axis="axisRow" fieldPosition="0"/>
    </format>
    <format dxfId="384">
      <pivotArea field="4" type="button" dataOnly="0" labelOnly="1" outline="0" axis="axisPage" fieldPosition="2"/>
    </format>
    <format dxfId="383">
      <pivotArea dataOnly="0" labelOnly="1" outline="0" fieldPosition="0">
        <references count="2">
          <reference field="4" count="1">
            <x v="0"/>
          </reference>
          <reference field="136"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75:D288"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Hygiene Coverage" fld="141" baseField="0" baseItem="0" numFmtId="1"/>
    <dataField name="  % Hygiene Gap" fld="140" baseField="0" baseItem="0" numFmtId="1"/>
  </dataFields>
  <formats count="11">
    <format dxfId="404">
      <pivotArea type="all" dataOnly="0" outline="0" fieldPosition="0"/>
    </format>
    <format dxfId="403">
      <pivotArea outline="0" collapsedLevelsAreSubtotals="1" fieldPosition="0"/>
    </format>
    <format dxfId="402">
      <pivotArea field="4" type="button" dataOnly="0" labelOnly="1" outline="0" axis="axisPage" fieldPosition="2"/>
    </format>
    <format dxfId="401">
      <pivotArea type="all" dataOnly="0" outline="0" fieldPosition="0"/>
    </format>
    <format dxfId="400">
      <pivotArea outline="0" collapsedLevelsAreSubtotals="1" fieldPosition="0"/>
    </format>
    <format dxfId="399">
      <pivotArea outline="0" collapsedLevelsAreSubtotals="1" fieldPosition="0"/>
    </format>
    <format dxfId="398">
      <pivotArea field="5" type="button" dataOnly="0" labelOnly="1" outline="0" axis="axisRow" fieldPosition="0"/>
    </format>
    <format dxfId="397">
      <pivotArea field="5" type="button" dataOnly="0" labelOnly="1" outline="0" axis="axisRow" fieldPosition="0"/>
    </format>
    <format dxfId="396">
      <pivotArea field="5" type="button" dataOnly="0" labelOnly="1" outline="0" axis="axisRow" fieldPosition="0"/>
    </format>
    <format dxfId="395">
      <pivotArea field="4" type="button" dataOnly="0" labelOnly="1" outline="0" axis="axisPage" fieldPosition="2"/>
    </format>
    <format dxfId="394">
      <pivotArea dataOnly="0" labelOnly="1" outline="0" fieldPosition="0">
        <references count="2">
          <reference field="4" count="1">
            <x v="0"/>
          </reference>
          <reference field="136"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20:E222" firstHeaderRow="0" firstDataRow="1" firstDataCol="1" rowPageCount="3" colPageCount="1"/>
  <pivotFields count="147">
    <pivotField axis="axisPage" subtotalTop="0" multipleItemSelectionAllowed="1" showAll="0">
      <items count="18">
        <item h="1"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3">
    <pageField fld="0" hier="-1"/>
    <pageField fld="136" item="0" hier="-1"/>
    <pageField fld="6" hier="-1"/>
  </pageFields>
  <dataFields count="3">
    <dataField name="Sum of Total HH" fld="8" baseField="2" baseItem="0" numFmtId="3"/>
    <dataField name="Sum of # people reached by regular dedicated hygiene promotion_5" fld="110" baseField="0" baseItem="0"/>
    <dataField name="Sum of #HH with access to Hand Washing Station" fld="121" baseField="2" baseItem="0" numFmtId="3"/>
  </dataFields>
  <formats count="15">
    <format dxfId="419">
      <pivotArea type="all" dataOnly="0" outline="0" fieldPosition="0"/>
    </format>
    <format dxfId="418">
      <pivotArea type="all" dataOnly="0" outline="0" fieldPosition="0"/>
    </format>
    <format dxfId="417">
      <pivotArea outline="0" collapsedLevelsAreSubtotals="1" fieldPosition="0"/>
    </format>
    <format dxfId="416">
      <pivotArea field="4" type="button" dataOnly="0" labelOnly="1" outline="0" axis="axisRow" fieldPosition="0"/>
    </format>
    <format dxfId="415">
      <pivotArea dataOnly="0" labelOnly="1" fieldPosition="0">
        <references count="1">
          <reference field="4" count="0"/>
        </references>
      </pivotArea>
    </format>
    <format dxfId="414">
      <pivotArea dataOnly="0" labelOnly="1" grandRow="1" outline="0" fieldPosition="0"/>
    </format>
    <format dxfId="413">
      <pivotArea dataOnly="0" labelOnly="1" outline="0" fieldPosition="0">
        <references count="1">
          <reference field="4294967294" count="2">
            <x v="0"/>
            <x v="2"/>
          </reference>
        </references>
      </pivotArea>
    </format>
    <format dxfId="412">
      <pivotArea outline="0" fieldPosition="0">
        <references count="1">
          <reference field="4294967294" count="1">
            <x v="0"/>
          </reference>
        </references>
      </pivotArea>
    </format>
    <format dxfId="411">
      <pivotArea outline="0" fieldPosition="0">
        <references count="1">
          <reference field="4294967294" count="1">
            <x v="2"/>
          </reference>
        </references>
      </pivotArea>
    </format>
    <format dxfId="410">
      <pivotArea type="all" dataOnly="0" outline="0" fieldPosition="0"/>
    </format>
    <format dxfId="409">
      <pivotArea outline="0" collapsedLevelsAreSubtotals="1" fieldPosition="0"/>
    </format>
    <format dxfId="408">
      <pivotArea field="4" type="button" dataOnly="0" labelOnly="1" outline="0" axis="axisRow" fieldPosition="0"/>
    </format>
    <format dxfId="407">
      <pivotArea dataOnly="0" labelOnly="1" fieldPosition="0">
        <references count="1">
          <reference field="4" count="0"/>
        </references>
      </pivotArea>
    </format>
    <format dxfId="406">
      <pivotArea dataOnly="0" labelOnly="1" grandRow="1" outline="0" fieldPosition="0"/>
    </format>
    <format dxfId="405">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G220:L222" firstHeaderRow="0" firstDataRow="1" firstDataCol="1" rowPageCount="3" colPageCount="1"/>
  <pivotFields count="147">
    <pivotField axis="axisPage" subtotalTop="0" multipleItemSelectionAllowed="1" showAll="0">
      <items count="18">
        <item h="1"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Row" subtotalTop="0" showAll="0">
      <items count="7">
        <item h="1" x="0"/>
        <item h="1" m="1" x="4"/>
        <item x="1"/>
        <item h="1"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5">
    <i>
      <x/>
    </i>
    <i i="1">
      <x v="1"/>
    </i>
    <i i="2">
      <x v="2"/>
    </i>
    <i i="3">
      <x v="3"/>
    </i>
    <i i="4">
      <x v="4"/>
    </i>
  </colItems>
  <pageFields count="3">
    <pageField fld="0" hier="-1"/>
    <pageField fld="136" item="0" hier="-1"/>
    <pageField fld="6" hier="-1"/>
  </pageFields>
  <dataFields count="5">
    <dataField name="Sum of Total HH" fld="8" baseField="2" baseItem="0" numFmtId="3"/>
    <dataField name="Sum of # people reached by regular dedicated hygiene promotion_5" fld="110" baseField="0" baseItem="0"/>
    <dataField name="Sum of #HH with access to Hand Washing Station" fld="121" baseField="2" baseItem="0" numFmtId="3"/>
    <dataField name="Sum of #_households that received standard amount of soap for this quarter" fld="64" baseField="0" baseItem="0"/>
    <dataField name="Sum of # of affected women and girls receiving a sufficient quantity of sanitary pads from direct distribution or from MHM room facilities" fld="65" baseField="0" baseItem="0"/>
  </dataFields>
  <formats count="15">
    <format dxfId="434">
      <pivotArea type="all" dataOnly="0" outline="0" fieldPosition="0"/>
    </format>
    <format dxfId="433">
      <pivotArea type="all" dataOnly="0" outline="0" fieldPosition="0"/>
    </format>
    <format dxfId="432">
      <pivotArea outline="0" collapsedLevelsAreSubtotals="1" fieldPosition="0"/>
    </format>
    <format dxfId="431">
      <pivotArea field="4" type="button" dataOnly="0" labelOnly="1" outline="0" axis="axisRow" fieldPosition="0"/>
    </format>
    <format dxfId="430">
      <pivotArea dataOnly="0" labelOnly="1" fieldPosition="0">
        <references count="1">
          <reference field="4" count="0"/>
        </references>
      </pivotArea>
    </format>
    <format dxfId="429">
      <pivotArea dataOnly="0" labelOnly="1" grandRow="1" outline="0" fieldPosition="0"/>
    </format>
    <format dxfId="428">
      <pivotArea dataOnly="0" labelOnly="1" outline="0" fieldPosition="0">
        <references count="1">
          <reference field="4294967294" count="2">
            <x v="0"/>
            <x v="2"/>
          </reference>
        </references>
      </pivotArea>
    </format>
    <format dxfId="427">
      <pivotArea outline="0" fieldPosition="0">
        <references count="1">
          <reference field="4294967294" count="1">
            <x v="0"/>
          </reference>
        </references>
      </pivotArea>
    </format>
    <format dxfId="426">
      <pivotArea outline="0" fieldPosition="0">
        <references count="1">
          <reference field="4294967294" count="1">
            <x v="2"/>
          </reference>
        </references>
      </pivotArea>
    </format>
    <format dxfId="425">
      <pivotArea type="all" dataOnly="0" outline="0" fieldPosition="0"/>
    </format>
    <format dxfId="424">
      <pivotArea outline="0" collapsedLevelsAreSubtotals="1" fieldPosition="0"/>
    </format>
    <format dxfId="423">
      <pivotArea field="4" type="button" dataOnly="0" labelOnly="1" outline="0" axis="axisRow" fieldPosition="0"/>
    </format>
    <format dxfId="422">
      <pivotArea dataOnly="0" labelOnly="1" fieldPosition="0">
        <references count="1">
          <reference field="4" count="0"/>
        </references>
      </pivotArea>
    </format>
    <format dxfId="421">
      <pivotArea dataOnly="0" labelOnly="1" grandRow="1" outline="0" fieldPosition="0"/>
    </format>
    <format dxfId="420">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L196:N204"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item="2" hier="-1"/>
    <pageField fld="6" hier="-1"/>
  </pageFields>
  <dataFields count="2">
    <dataField name="  % Latrine Coverage" fld="144" baseField="0" baseItem="0" numFmtId="1"/>
    <dataField name="  % Latrine GAP" fld="145" baseField="0" baseItem="0" numFmtId="1"/>
  </dataFields>
  <formats count="12">
    <format dxfId="446">
      <pivotArea type="all" dataOnly="0" outline="0" fieldPosition="0"/>
    </format>
    <format dxfId="445">
      <pivotArea outline="0" collapsedLevelsAreSubtotals="1" fieldPosition="0"/>
    </format>
    <format dxfId="444">
      <pivotArea field="4" type="button" dataOnly="0" labelOnly="1" outline="0" axis="axisPage" fieldPosition="2"/>
    </format>
    <format dxfId="443">
      <pivotArea type="all" dataOnly="0" outline="0" fieldPosition="0"/>
    </format>
    <format dxfId="442">
      <pivotArea outline="0" collapsedLevelsAreSubtotals="1" fieldPosition="0"/>
    </format>
    <format dxfId="441">
      <pivotArea outline="0" collapsedLevelsAreSubtotals="1" fieldPosition="0"/>
    </format>
    <format dxfId="440">
      <pivotArea field="5" type="button" dataOnly="0" labelOnly="1" outline="0" axis="axisRow" fieldPosition="0"/>
    </format>
    <format dxfId="439">
      <pivotArea field="5" type="button" dataOnly="0" labelOnly="1" outline="0" axis="axisRow" fieldPosition="0"/>
    </format>
    <format dxfId="438">
      <pivotArea field="5" type="button" dataOnly="0" labelOnly="1" outline="0" axis="axisRow" fieldPosition="0"/>
    </format>
    <format dxfId="437">
      <pivotArea field="4" type="button" dataOnly="0" labelOnly="1" outline="0" axis="axisPage" fieldPosition="2"/>
    </format>
    <format dxfId="436">
      <pivotArea dataOnly="0" labelOnly="1" outline="0" fieldPosition="0">
        <references count="2">
          <reference field="4" count="1">
            <x v="0"/>
          </reference>
          <reference field="136" count="1" selected="0">
            <x v="0"/>
          </reference>
        </references>
      </pivotArea>
    </format>
    <format dxfId="435">
      <pivotArea dataOnly="0" labelOnly="1" outline="0" fieldPosition="0">
        <references count="2">
          <reference field="4" count="1">
            <x v="2"/>
          </reference>
          <reference field="136"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67">
  <location ref="C302:E313" firstHeaderRow="1" firstDataRow="2" firstDataCol="1" rowPageCount="2"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multipleItemSelectionAllowed="1" showAll="0">
      <items count="7">
        <item x="0"/>
        <item h="1" m="1" x="4"/>
        <item h="1" x="1"/>
        <item m="1" x="2"/>
        <item h="1" m="1" x="3"/>
        <item h="1" m="1" x="5"/>
        <item t="default"/>
      </items>
    </pivotField>
    <pivotField subtotalTop="0" showAll="0"/>
    <pivotField axis="axisRow" showAll="0" defaultSubtotal="0">
      <items count="11">
        <item x="1"/>
        <item x="0"/>
        <item m="1" x="7"/>
        <item m="1" x="3"/>
        <item m="1" x="2"/>
        <item m="1" x="9"/>
        <item m="1" x="6"/>
        <item m="1" x="10"/>
        <item m="1" x="4"/>
        <item m="1" x="5"/>
        <item m="1" x="8"/>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axis="axisRow" subtotalTop="0" showAll="0">
      <items count="8">
        <item m="1" x="6"/>
        <item x="3"/>
        <item x="1"/>
        <item x="0"/>
        <item x="5"/>
        <item x="4"/>
        <item x="2"/>
        <item t="default"/>
      </items>
    </pivotField>
    <pivotField subtotalTop="0" showAll="0"/>
    <pivotField subtotalTop="0" showAll="0"/>
    <pivotField subtotalTop="0" showAll="0"/>
    <pivotField subtotalTop="0" showAll="0"/>
    <pivotField axis="axisCol" subtotalTop="0" showAll="0">
      <items count="6">
        <item x="0"/>
        <item n="Gap" x="1"/>
        <item h="1" m="1" x="4"/>
        <item h="1"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6"/>
    <field x="131"/>
  </rowFields>
  <rowItems count="10">
    <i>
      <x/>
    </i>
    <i r="1">
      <x v="1"/>
    </i>
    <i r="1">
      <x v="2"/>
    </i>
    <i r="1">
      <x v="3"/>
    </i>
    <i r="1">
      <x v="5"/>
    </i>
    <i>
      <x v="1"/>
    </i>
    <i r="1">
      <x v="2"/>
    </i>
    <i r="1">
      <x v="3"/>
    </i>
    <i r="1">
      <x v="5"/>
    </i>
    <i r="1">
      <x v="6"/>
    </i>
  </rowItems>
  <colFields count="1">
    <field x="136"/>
  </colFields>
  <colItems count="2">
    <i>
      <x/>
    </i>
    <i>
      <x v="1"/>
    </i>
  </colItems>
  <pageFields count="2">
    <pageField fld="0" item="16" hier="-1"/>
    <pageField fld="4" hier="-1"/>
  </pageFields>
  <dataFields count="1">
    <dataField name="Count of Site Name" fld="7" subtotal="count" baseField="0" baseItem="0"/>
  </dataFields>
  <formats count="19">
    <format dxfId="465">
      <pivotArea type="all" dataOnly="0" outline="0" fieldPosition="0"/>
    </format>
    <format dxfId="464">
      <pivotArea outline="0" collapsedLevelsAreSubtotals="1" fieldPosition="0"/>
    </format>
    <format dxfId="463">
      <pivotArea field="4" type="button" dataOnly="0" labelOnly="1" outline="0" axis="axisPage" fieldPosition="1"/>
    </format>
    <format dxfId="462">
      <pivotArea dataOnly="0" labelOnly="1" fieldPosition="0">
        <references count="1">
          <reference field="4" count="0"/>
        </references>
      </pivotArea>
    </format>
    <format dxfId="461">
      <pivotArea dataOnly="0" labelOnly="1" grandRow="1" outline="0" fieldPosition="0"/>
    </format>
    <format dxfId="460">
      <pivotArea dataOnly="0" labelOnly="1" outline="0" fieldPosition="0">
        <references count="1">
          <reference field="4294967294" count="1">
            <x v="0"/>
          </reference>
        </references>
      </pivotArea>
    </format>
    <format dxfId="459">
      <pivotArea type="all" dataOnly="0" outline="0" fieldPosition="0"/>
    </format>
    <format dxfId="458">
      <pivotArea outline="0" collapsedLevelsAreSubtotals="1" fieldPosition="0"/>
    </format>
    <format dxfId="457">
      <pivotArea type="origin" dataOnly="0" labelOnly="1" outline="0" fieldPosition="0"/>
    </format>
    <format dxfId="456">
      <pivotArea field="136" type="button" dataOnly="0" labelOnly="1" outline="0" axis="axisCol" fieldPosition="0"/>
    </format>
    <format dxfId="455">
      <pivotArea type="topRight" dataOnly="0" labelOnly="1" outline="0" fieldPosition="0"/>
    </format>
    <format dxfId="454">
      <pivotArea dataOnly="0" labelOnly="1" fieldPosition="0">
        <references count="1">
          <reference field="136" count="0"/>
        </references>
      </pivotArea>
    </format>
    <format dxfId="453">
      <pivotArea type="all" dataOnly="0" outline="0" fieldPosition="0"/>
    </format>
    <format dxfId="452">
      <pivotArea outline="0" collapsedLevelsAreSubtotals="1" fieldPosition="0"/>
    </format>
    <format dxfId="451">
      <pivotArea dataOnly="0" labelOnly="1" fieldPosition="0">
        <references count="1">
          <reference field="136" count="0"/>
        </references>
      </pivotArea>
    </format>
    <format dxfId="450">
      <pivotArea field="4" type="button" dataOnly="0" labelOnly="1" outline="0" axis="axisPage" fieldPosition="1"/>
    </format>
    <format dxfId="449">
      <pivotArea dataOnly="0" labelOnly="1" outline="0" fieldPosition="0">
        <references count="2">
          <reference field="0" count="1" selected="0">
            <x v="8"/>
          </reference>
          <reference field="4" count="0"/>
        </references>
      </pivotArea>
    </format>
    <format dxfId="448">
      <pivotArea dataOnly="0" labelOnly="1" outline="0" fieldPosition="0">
        <references count="2">
          <reference field="0" count="1" selected="0">
            <x v="9"/>
          </reference>
          <reference field="4" count="0"/>
        </references>
      </pivotArea>
    </format>
    <format dxfId="447">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36" count="1" selected="0">
            <x v="0"/>
          </reference>
        </references>
      </pivotArea>
    </chartFormat>
    <chartFormat chart="7" format="9" series="1">
      <pivotArea type="data" outline="0" fieldPosition="0">
        <references count="2">
          <reference field="4294967294" count="1" selected="0">
            <x v="0"/>
          </reference>
          <reference field="136" count="1" selected="0">
            <x v="1"/>
          </reference>
        </references>
      </pivotArea>
    </chartFormat>
    <chartFormat chart="10" format="8" series="1">
      <pivotArea type="data" outline="0" fieldPosition="0">
        <references count="2">
          <reference field="4294967294" count="1" selected="0">
            <x v="0"/>
          </reference>
          <reference field="136" count="1" selected="0">
            <x v="0"/>
          </reference>
        </references>
      </pivotArea>
    </chartFormat>
    <chartFormat chart="10" format="9" series="1">
      <pivotArea type="data" outline="0" fieldPosition="0">
        <references count="2">
          <reference field="4294967294" count="1" selected="0">
            <x v="0"/>
          </reference>
          <reference field="136" count="1" selected="0">
            <x v="1"/>
          </reference>
        </references>
      </pivotArea>
    </chartFormat>
    <chartFormat chart="40" format="8" series="1">
      <pivotArea type="data" outline="0" fieldPosition="0">
        <references count="2">
          <reference field="4294967294" count="1" selected="0">
            <x v="0"/>
          </reference>
          <reference field="136" count="1" selected="0">
            <x v="0"/>
          </reference>
        </references>
      </pivotArea>
    </chartFormat>
    <chartFormat chart="40" format="9" series="1">
      <pivotArea type="data" outline="0" fieldPosition="0">
        <references count="2">
          <reference field="4294967294" count="1" selected="0">
            <x v="0"/>
          </reference>
          <reference field="136" count="1" selected="0">
            <x v="1"/>
          </reference>
        </references>
      </pivotArea>
    </chartFormat>
    <chartFormat chart="42" format="12" series="1">
      <pivotArea type="data" outline="0" fieldPosition="0">
        <references count="2">
          <reference field="4294967294" count="1" selected="0">
            <x v="0"/>
          </reference>
          <reference field="136" count="1" selected="0">
            <x v="0"/>
          </reference>
        </references>
      </pivotArea>
    </chartFormat>
    <chartFormat chart="42" format="13" series="1">
      <pivotArea type="data" outline="0" fieldPosition="0">
        <references count="2">
          <reference field="4294967294" count="1" selected="0">
            <x v="0"/>
          </reference>
          <reference field="136" count="1" selected="0">
            <x v="1"/>
          </reference>
        </references>
      </pivotArea>
    </chartFormat>
    <chartFormat chart="60" format="12" series="1">
      <pivotArea type="data" outline="0" fieldPosition="0">
        <references count="2">
          <reference field="4294967294" count="1" selected="0">
            <x v="0"/>
          </reference>
          <reference field="136" count="1" selected="0">
            <x v="0"/>
          </reference>
        </references>
      </pivotArea>
    </chartFormat>
    <chartFormat chart="60" format="13" series="1">
      <pivotArea type="data" outline="0" fieldPosition="0">
        <references count="2">
          <reference field="4294967294" count="1" selected="0">
            <x v="0"/>
          </reference>
          <reference field="136"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B109:D117"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hier="-1"/>
    <pageField fld="6" hier="-1"/>
  </pageFields>
  <dataFields count="2">
    <dataField name=" % Water Coverage" fld="142" baseField="0" baseItem="0"/>
    <dataField name=" % Water GAP" fld="143" baseField="0" baseItem="0"/>
  </dataFields>
  <formats count="13">
    <format dxfId="478">
      <pivotArea field="4" type="button" dataOnly="0" labelOnly="1" outline="0" axis="axisPage" fieldPosition="2"/>
    </format>
    <format dxfId="477">
      <pivotArea type="all" dataOnly="0" outline="0" fieldPosition="0"/>
    </format>
    <format dxfId="476">
      <pivotArea outline="0" collapsedLevelsAreSubtotals="1" fieldPosition="0"/>
    </format>
    <format dxfId="475">
      <pivotArea field="4" type="button" dataOnly="0" labelOnly="1" outline="0" axis="axisPage" fieldPosition="2"/>
    </format>
    <format dxfId="474">
      <pivotArea type="all" dataOnly="0" outline="0" fieldPosition="0"/>
    </format>
    <format dxfId="473">
      <pivotArea outline="0" collapsedLevelsAreSubtotals="1" fieldPosition="0"/>
    </format>
    <format dxfId="472">
      <pivotArea outline="0" collapsedLevelsAreSubtotals="1" fieldPosition="0"/>
    </format>
    <format dxfId="471">
      <pivotArea field="5" type="button" dataOnly="0" labelOnly="1" outline="0" axis="axisRow" fieldPosition="0"/>
    </format>
    <format dxfId="470">
      <pivotArea field="5" type="button" dataOnly="0" labelOnly="1" outline="0" axis="axisRow" fieldPosition="0"/>
    </format>
    <format dxfId="469">
      <pivotArea field="5" type="button" dataOnly="0" labelOnly="1" outline="0" axis="axisRow" fieldPosition="0"/>
    </format>
    <format dxfId="468">
      <pivotArea field="4" type="button" dataOnly="0" labelOnly="1" outline="0" axis="axisPage" fieldPosition="2"/>
    </format>
    <format dxfId="467">
      <pivotArea dataOnly="0" labelOnly="1" outline="0" fieldPosition="0">
        <references count="2">
          <reference field="4" count="1">
            <x v="2"/>
          </reference>
          <reference field="136" count="1" selected="0">
            <x v="0"/>
          </reference>
        </references>
      </pivotArea>
    </format>
    <format dxfId="466">
      <pivotArea dataOnly="0" labelOnly="1" outline="0" fieldPosition="0">
        <references count="2">
          <reference field="4" count="0"/>
          <reference field="136"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60:R63" firstHeaderRow="0" firstDataRow="1" firstDataCol="1" rowPageCount="3"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x="0"/>
        <item x="1"/>
        <item x="2"/>
        <item t="default"/>
      </items>
    </pivotField>
    <pivotField showAll="0" defaultSubtotal="0"/>
    <pivotField showAll="0" defaultSubtotal="0"/>
    <pivotField subtotalTop="0" showAll="0"/>
    <pivotField axis="axisRow" subtotalTop="0" showAll="0">
      <items count="7">
        <item x="0"/>
        <item m="1" x="4"/>
        <item x="1"/>
        <item m="1" x="2"/>
        <item m="1" x="3"/>
        <item m="1" x="5"/>
        <item t="default"/>
      </items>
    </pivotField>
    <pivotField subtotalTop="0" showAll="0"/>
    <pivotField axis="axisPage" multipleItemSelectionAllowed="1" showAll="0" defaultSubtotal="0">
      <items count="11">
        <item x="1"/>
        <item x="0"/>
        <item m="1" x="7"/>
        <item m="1" x="3"/>
        <item m="1" x="2"/>
        <item h="1" m="1" x="9"/>
        <item m="1" x="6"/>
        <item h="1" m="1" x="10"/>
        <item m="1" x="4"/>
        <item h="1" m="1" x="5"/>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36" hier="-1"/>
    <pageField fld="6" hier="-1"/>
  </pageFields>
  <dataFields count="2">
    <dataField name="Sum of #_Household water samples tested for fecal coliform" fld="36" baseField="0" baseItem="0"/>
    <dataField name="Sum of #_Household passed" fld="37" baseField="0" baseItem="0"/>
  </dataFields>
  <formats count="10">
    <format dxfId="488">
      <pivotArea field="4" type="button" dataOnly="0" labelOnly="1" outline="0" axis="axisRow" fieldPosition="0"/>
    </format>
    <format dxfId="487">
      <pivotArea type="all" dataOnly="0" outline="0" fieldPosition="0"/>
    </format>
    <format dxfId="486">
      <pivotArea outline="0" collapsedLevelsAreSubtotals="1" fieldPosition="0"/>
    </format>
    <format dxfId="485">
      <pivotArea field="4" type="button" dataOnly="0" labelOnly="1" outline="0" axis="axisRow" fieldPosition="0"/>
    </format>
    <format dxfId="484">
      <pivotArea dataOnly="0" labelOnly="1" fieldPosition="0">
        <references count="1">
          <reference field="4" count="0"/>
        </references>
      </pivotArea>
    </format>
    <format dxfId="483">
      <pivotArea type="all" dataOnly="0" outline="0" fieldPosition="0"/>
    </format>
    <format dxfId="482">
      <pivotArea type="all" dataOnly="0" outline="0" fieldPosition="0"/>
    </format>
    <format dxfId="481">
      <pivotArea outline="0" collapsedLevelsAreSubtotals="1" fieldPosition="0"/>
    </format>
    <format dxfId="480">
      <pivotArea field="4" type="button" dataOnly="0" labelOnly="1" outline="0" axis="axisRow" fieldPosition="0"/>
    </format>
    <format dxfId="479">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2" dataOnRows="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16" rowHeaderCaption="State">
  <location ref="C441:F450" firstHeaderRow="1" firstDataRow="2" firstDataCol="2" rowPageCount="2" colPageCount="1"/>
  <pivotFields count="147">
    <pivotField axis="axisCol" compact="0" outline="0" subtotalTop="0" showAll="0">
      <items count="18">
        <item h="1" m="1" x="15"/>
        <item h="1" m="1" x="5"/>
        <item h="1" m="1" x="16"/>
        <item h="1" m="1" x="8"/>
        <item h="1" m="1" x="4"/>
        <item h="1" m="1" x="3"/>
        <item h="1" m="1" x="14"/>
        <item h="1" m="1" x="10"/>
        <item h="1" m="1" x="12"/>
        <item h="1" m="1" x="13"/>
        <item h="1" m="1" x="6"/>
        <item h="1" m="1" x="7"/>
        <item h="1" m="1" x="9"/>
        <item h="1" m="1" x="11"/>
        <item x="0"/>
        <item x="1"/>
        <item h="1" x="2"/>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0"/>
        <item m="1" x="4"/>
        <item x="1"/>
        <item m="1" x="2"/>
        <item h="1" m="1" x="3"/>
        <item h="1" m="1" x="5"/>
        <item t="default"/>
      </items>
    </pivotField>
    <pivotField compact="0" outline="0" subtotalTop="0" showAll="0"/>
    <pivotField axis="axisPage" compact="0" outline="0" multipleItemSelectionAllowed="1" showAll="0" defaultSubtotal="0">
      <items count="11">
        <item x="1"/>
        <item x="0"/>
        <item m="1" x="7"/>
        <item h="1" m="1" x="5"/>
        <item m="1" x="3"/>
        <item m="1" x="2"/>
        <item h="1" m="1" x="9"/>
        <item m="1" x="6"/>
        <item h="1" m="1" x="10"/>
        <item h="1" m="1" x="4"/>
        <item h="1" m="1" x="8"/>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2"/>
        <item h="1"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2">
    <i>
      <x v="14"/>
    </i>
    <i>
      <x v="15"/>
    </i>
  </colItems>
  <pageFields count="2">
    <pageField fld="136" hier="-1"/>
    <pageField fld="6" hier="-1"/>
  </pageFields>
  <dataFields count="4">
    <dataField name="Average of %_of_affected_people_surveyed_who_report_feeling_satistfied_with_the_latrine_design_and_sanitation_service" fld="70" subtotal="average" baseField="0" baseItem="1"/>
    <dataField name="Average of %_of_affected_people_surveyed_who_report_feeling_satistfied_with_the_water_point_design_and_water_service" fld="71" subtotal="average" baseField="0" baseItem="1"/>
    <dataField name="Average of %_of_complaints_received_that_result_in_timely_corrective_action_and_feedback_to_the_community" fld="73" subtotal="average" baseField="0" baseItem="1"/>
    <dataField name="Average of %_of_affected_people_surveyed_who_report_feeling_informed_about_the_different_WASH_services_available_to_them2" fld="125" subtotal="average" baseField="0" baseItem="3"/>
  </dataFields>
  <formats count="14">
    <format dxfId="502">
      <pivotArea type="all" dataOnly="0" outline="0" fieldPosition="0"/>
    </format>
    <format dxfId="501">
      <pivotArea outline="0" collapsedLevelsAreSubtotals="1" fieldPosition="0"/>
    </format>
    <format dxfId="500">
      <pivotArea field="4" type="button" dataOnly="0" labelOnly="1" outline="0" axis="axisRow" fieldPosition="0"/>
    </format>
    <format dxfId="499">
      <pivotArea dataOnly="0" labelOnly="1" grandRow="1" outline="0" fieldPosition="0"/>
    </format>
    <format dxfId="498">
      <pivotArea type="all" dataOnly="0" outline="0" fieldPosition="0"/>
    </format>
    <format dxfId="497">
      <pivotArea outline="0" collapsedLevelsAreSubtotals="1" fieldPosition="0"/>
    </format>
    <format dxfId="496">
      <pivotArea type="origin" dataOnly="0" labelOnly="1" outline="0" fieldPosition="0"/>
    </format>
    <format dxfId="495">
      <pivotArea field="136" type="button" dataOnly="0" labelOnly="1" outline="0" axis="axisPage" fieldPosition="0"/>
    </format>
    <format dxfId="494">
      <pivotArea type="topRight" dataOnly="0" labelOnly="1" outline="0" fieldPosition="0"/>
    </format>
    <format dxfId="493">
      <pivotArea dataOnly="0" labelOnly="1" fieldPosition="0">
        <references count="1">
          <reference field="136" count="0"/>
        </references>
      </pivotArea>
    </format>
    <format dxfId="492">
      <pivotArea type="all" dataOnly="0" outline="0" fieldPosition="0"/>
    </format>
    <format dxfId="491">
      <pivotArea outline="0" collapsedLevelsAreSubtotals="1" fieldPosition="0"/>
    </format>
    <format dxfId="490">
      <pivotArea field="4" type="button" dataOnly="0" labelOnly="1" outline="0" axis="axisRow" fieldPosition="0"/>
    </format>
    <format dxfId="489">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3B8C253-DD9E-4715-AF8D-25C7653FF355}" name="PivotTable1"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D172" firstHeaderRow="1" firstDataRow="2" firstDataCol="1" rowPageCount="1" colPageCount="1"/>
  <pivotFields count="147">
    <pivotField axis="axisCol" showAll="0">
      <items count="18">
        <item m="1" x="14"/>
        <item m="1" x="15"/>
        <item m="1" x="5"/>
        <item m="1" x="16"/>
        <item m="1" x="8"/>
        <item m="1" x="10"/>
        <item m="1" x="12"/>
        <item m="1" x="13"/>
        <item m="1" x="4"/>
        <item m="1" x="6"/>
        <item m="1" x="7"/>
        <item m="1" x="9"/>
        <item m="1" x="11"/>
        <item x="0"/>
        <item x="1"/>
        <item x="2"/>
        <item m="1" x="3"/>
        <item t="default"/>
      </items>
    </pivotField>
    <pivotField showAll="0"/>
    <pivotField showAll="0"/>
    <pivotField showAll="0"/>
    <pivotField axis="axisPage" multipleItemSelectionAllowed="1" showAll="0">
      <items count="7">
        <item m="1" x="3"/>
        <item x="0"/>
        <item m="1" x="5"/>
        <item m="1" x="4"/>
        <item h="1" x="1"/>
        <item m="1" x="2"/>
        <item t="default"/>
      </items>
    </pivotField>
    <pivotField showAll="0"/>
    <pivotField showAll="0"/>
    <pivotField axis="axisRow" showAll="0">
      <items count="1016">
        <item m="1" x="865"/>
        <item m="1" x="999"/>
        <item m="1" x="473"/>
        <item x="153"/>
        <item m="1" x="301"/>
        <item m="1" x="484"/>
        <item m="1" x="593"/>
        <item x="182"/>
        <item x="183"/>
        <item x="184"/>
        <item x="154"/>
        <item x="155"/>
        <item x="69"/>
        <item m="1" x="457"/>
        <item m="1" x="352"/>
        <item m="1" x="581"/>
        <item m="1" x="269"/>
        <item m="1" x="700"/>
        <item m="1" x="308"/>
        <item m="1" x="556"/>
        <item m="1" x="668"/>
        <item m="1" x="682"/>
        <item m="1" x="854"/>
        <item m="1" x="803"/>
        <item m="1" x="469"/>
        <item m="1" x="733"/>
        <item m="1" x="310"/>
        <item m="1" x="927"/>
        <item m="1" x="835"/>
        <item m="1" x="322"/>
        <item m="1" x="724"/>
        <item m="1" x="522"/>
        <item m="1" x="872"/>
        <item m="1" x="814"/>
        <item m="1" x="895"/>
        <item m="1" x="842"/>
        <item m="1" x="785"/>
        <item m="1" x="680"/>
        <item m="1" x="410"/>
        <item m="1" x="916"/>
        <item m="1" x="385"/>
        <item m="1" x="795"/>
        <item m="1" x="445"/>
        <item m="1" x="929"/>
        <item m="1" x="415"/>
        <item m="1" x="431"/>
        <item m="1" x="784"/>
        <item m="1" x="414"/>
        <item m="1" x="766"/>
        <item m="1" x="535"/>
        <item m="1" x="953"/>
        <item m="1" x="309"/>
        <item m="1" x="703"/>
        <item m="1" x="429"/>
        <item m="1" x="1000"/>
        <item m="1" x="348"/>
        <item m="1" x="834"/>
        <item m="1" x="998"/>
        <item m="1" x="226"/>
        <item m="1" x="747"/>
        <item m="1" x="579"/>
        <item m="1" x="647"/>
        <item m="1" x="648"/>
        <item m="1" x="643"/>
        <item m="1" x="242"/>
        <item x="70"/>
        <item m="1" x="964"/>
        <item m="1" x="1001"/>
        <item m="1" x="734"/>
        <item m="1" x="481"/>
        <item m="1" x="994"/>
        <item m="1" x="658"/>
        <item m="1" x="1009"/>
        <item m="1" x="501"/>
        <item m="1" x="974"/>
        <item m="1" x="373"/>
        <item m="1" x="245"/>
        <item m="1" x="237"/>
        <item m="1" x="677"/>
        <item m="1" x="921"/>
        <item x="0"/>
        <item x="156"/>
        <item m="1" x="332"/>
        <item m="1" x="416"/>
        <item m="1" x="870"/>
        <item m="1" x="824"/>
        <item m="1" x="674"/>
        <item m="1" x="887"/>
        <item m="1" x="259"/>
        <item m="1" x="362"/>
        <item m="1" x="569"/>
        <item m="1" x="224"/>
        <item m="1" x="789"/>
        <item m="1" x="629"/>
        <item m="1" x="933"/>
        <item m="1" x="790"/>
        <item m="1" x="879"/>
        <item m="1" x="565"/>
        <item m="1" x="609"/>
        <item m="1" x="709"/>
        <item x="128"/>
        <item m="1" x="526"/>
        <item m="1" x="454"/>
        <item m="1" x="411"/>
        <item x="48"/>
        <item m="1" x="995"/>
        <item m="1" x="954"/>
        <item m="1" x="732"/>
        <item m="1" x="494"/>
        <item m="1" x="786"/>
        <item x="196"/>
        <item m="1" x="620"/>
        <item m="1" x="922"/>
        <item m="1" x="440"/>
        <item m="1" x="359"/>
        <item m="1" x="722"/>
        <item m="1" x="698"/>
        <item m="1" x="751"/>
        <item m="1" x="235"/>
        <item m="1" x="255"/>
        <item x="157"/>
        <item m="1" x="897"/>
        <item m="1" x="450"/>
        <item m="1" x="372"/>
        <item m="1" x="446"/>
        <item x="158"/>
        <item m="1" x="630"/>
        <item m="1" x="606"/>
        <item x="1"/>
        <item m="1" x="230"/>
        <item m="1" x="743"/>
        <item m="1" x="779"/>
        <item m="1" x="217"/>
        <item m="1" x="728"/>
        <item m="1" x="957"/>
        <item m="1" x="651"/>
        <item m="1" x="260"/>
        <item m="1" x="848"/>
        <item m="1" x="284"/>
        <item m="1" x="388"/>
        <item m="1" x="254"/>
        <item m="1" x="890"/>
        <item x="159"/>
        <item m="1" x="823"/>
        <item m="1" x="571"/>
        <item m="1" x="470"/>
        <item m="1" x="752"/>
        <item m="1" x="448"/>
        <item m="1" x="880"/>
        <item m="1" x="925"/>
        <item m="1" x="840"/>
        <item m="1" x="626"/>
        <item m="1" x="402"/>
        <item x="2"/>
        <item m="1" x="797"/>
        <item x="49"/>
        <item m="1" x="632"/>
        <item x="129"/>
        <item x="71"/>
        <item m="1" x="941"/>
        <item m="1" x="350"/>
        <item x="72"/>
        <item m="1" x="962"/>
        <item m="1" x="327"/>
        <item m="1" x="695"/>
        <item m="1" x="578"/>
        <item m="1" x="903"/>
        <item m="1" x="607"/>
        <item m="1" x="850"/>
        <item m="1" x="262"/>
        <item m="1" x="755"/>
        <item m="1" x="689"/>
        <item m="1" x="939"/>
        <item m="1" x="884"/>
        <item m="1" x="791"/>
        <item m="1" x="675"/>
        <item m="1" x="543"/>
        <item m="1" x="748"/>
        <item m="1" x="611"/>
        <item m="1" x="764"/>
        <item m="1" x="844"/>
        <item m="1" x="208"/>
        <item m="1" x="293"/>
        <item m="1" x="644"/>
        <item m="1" x="233"/>
        <item x="130"/>
        <item x="131"/>
        <item x="160"/>
        <item x="3"/>
        <item m="1" x="318"/>
        <item m="1" x="223"/>
        <item m="1" x="602"/>
        <item x="4"/>
        <item m="1" x="227"/>
        <item m="1" x="511"/>
        <item x="161"/>
        <item m="1" x="769"/>
        <item m="1" x="471"/>
        <item x="132"/>
        <item x="133"/>
        <item m="1" x="904"/>
        <item x="73"/>
        <item m="1" x="717"/>
        <item x="162"/>
        <item m="1" x="321"/>
        <item m="1" x="472"/>
        <item m="1" x="720"/>
        <item m="1" x="936"/>
        <item x="5"/>
        <item m="1" x="244"/>
        <item m="1" x="924"/>
        <item m="1" x="778"/>
        <item x="74"/>
        <item m="1" x="347"/>
        <item x="6"/>
        <item m="1" x="640"/>
        <item m="1" x="420"/>
        <item x="185"/>
        <item x="75"/>
        <item x="76"/>
        <item x="77"/>
        <item m="1" x="730"/>
        <item m="1" x="767"/>
        <item m="1" x="439"/>
        <item m="1" x="282"/>
        <item m="1" x="371"/>
        <item m="1" x="738"/>
        <item m="1" x="702"/>
        <item x="134"/>
        <item x="7"/>
        <item x="50"/>
        <item x="8"/>
        <item x="51"/>
        <item m="1" x="663"/>
        <item x="52"/>
        <item m="1" x="970"/>
        <item m="1" x="1011"/>
        <item m="1" x="551"/>
        <item m="1" x="885"/>
        <item m="1" x="912"/>
        <item m="1" x="417"/>
        <item m="1" x="531"/>
        <item m="1" x="503"/>
        <item x="78"/>
        <item m="1" x="434"/>
        <item m="1" x="670"/>
        <item m="1" x="635"/>
        <item m="1" x="517"/>
        <item m="1" x="627"/>
        <item m="1" x="826"/>
        <item m="1" x="399"/>
        <item m="1" x="770"/>
        <item m="1" x="353"/>
        <item m="1" x="393"/>
        <item m="1" x="711"/>
        <item m="1" x="395"/>
        <item m="1" x="461"/>
        <item m="1" x="613"/>
        <item m="1" x="759"/>
        <item m="1" x="932"/>
        <item m="1" x="518"/>
        <item m="1" x="718"/>
        <item m="1" x="277"/>
        <item m="1" x="856"/>
        <item m="1" x="636"/>
        <item m="1" x="888"/>
        <item m="1" x="337"/>
        <item x="53"/>
        <item m="1" x="281"/>
        <item m="1" x="642"/>
        <item m="1" x="430"/>
        <item m="1" x="489"/>
        <item m="1" x="573"/>
        <item m="1" x="985"/>
        <item m="1" x="273"/>
        <item m="1" x="590"/>
        <item m="1" x="422"/>
        <item m="1" x="545"/>
        <item x="79"/>
        <item m="1" x="493"/>
        <item m="1" x="1003"/>
        <item m="1" x="354"/>
        <item m="1" x="547"/>
        <item m="1" x="719"/>
        <item m="1" x="661"/>
        <item x="135"/>
        <item m="1" x="456"/>
        <item m="1" x="753"/>
        <item m="1" x="725"/>
        <item m="1" x="496"/>
        <item m="1" x="768"/>
        <item m="1" x="491"/>
        <item m="1" x="295"/>
        <item m="1" x="374"/>
        <item m="1" x="307"/>
        <item m="1" x="731"/>
        <item m="1" x="959"/>
        <item m="1" x="409"/>
        <item m="1" x="546"/>
        <item m="1" x="714"/>
        <item m="1" x="315"/>
        <item x="80"/>
        <item x="81"/>
        <item x="82"/>
        <item m="1" x="585"/>
        <item m="1" x="300"/>
        <item m="1" x="507"/>
        <item m="1" x="971"/>
        <item m="1" x="367"/>
        <item m="1" x="341"/>
        <item m="1" x="744"/>
        <item m="1" x="805"/>
        <item m="1" x="336"/>
        <item m="1" x="794"/>
        <item m="1" x="263"/>
        <item m="1" x="334"/>
        <item m="1" x="871"/>
        <item m="1" x="380"/>
        <item m="1" x="619"/>
        <item m="1" x="917"/>
        <item m="1" x="989"/>
        <item m="1" x="1005"/>
        <item m="1" x="317"/>
        <item m="1" x="278"/>
        <item m="1" x="413"/>
        <item m="1" x="881"/>
        <item m="1" x="673"/>
        <item m="1" x="368"/>
        <item m="1" x="756"/>
        <item m="1" x="952"/>
        <item m="1" x="633"/>
        <item m="1" x="369"/>
        <item m="1" x="398"/>
        <item m="1" x="465"/>
        <item m="1" x="258"/>
        <item m="1" x="819"/>
        <item m="1" x="325"/>
        <item m="1" x="777"/>
        <item m="1" x="275"/>
        <item m="1" x="896"/>
        <item m="1" x="931"/>
        <item m="1" x="320"/>
        <item m="1" x="572"/>
        <item m="1" x="899"/>
        <item m="1" x="386"/>
        <item m="1" x="934"/>
        <item m="1" x="267"/>
        <item x="83"/>
        <item m="1" x="534"/>
        <item m="1" x="596"/>
        <item m="1" x="685"/>
        <item m="1" x="220"/>
        <item m="1" x="987"/>
        <item x="9"/>
        <item m="1" x="883"/>
        <item m="1" x="622"/>
        <item m="1" x="442"/>
        <item m="1" x="930"/>
        <item m="1" x="391"/>
        <item m="1" x="345"/>
        <item x="10"/>
        <item m="1" x="889"/>
        <item m="1" x="250"/>
        <item m="1" x="466"/>
        <item m="1" x="563"/>
        <item x="54"/>
        <item x="197"/>
        <item m="1" x="280"/>
        <item m="1" x="665"/>
        <item m="1" x="290"/>
        <item m="1" x="867"/>
        <item x="55"/>
        <item m="1" x="787"/>
        <item x="163"/>
        <item x="11"/>
        <item x="12"/>
        <item x="13"/>
        <item m="1" x="366"/>
        <item m="1" x="1012"/>
        <item m="1" x="564"/>
        <item m="1" x="261"/>
        <item m="1" x="209"/>
        <item m="1" x="841"/>
        <item m="1" x="513"/>
        <item m="1" x="256"/>
        <item m="1" x="704"/>
        <item m="1" x="476"/>
        <item m="1" x="313"/>
        <item x="164"/>
        <item m="1" x="659"/>
        <item m="1" x="806"/>
        <item m="1" x="502"/>
        <item m="1" x="608"/>
        <item x="165"/>
        <item x="166"/>
        <item x="84"/>
        <item x="85"/>
        <item x="186"/>
        <item x="187"/>
        <item x="188"/>
        <item x="56"/>
        <item m="1" x="328"/>
        <item m="1" x="271"/>
        <item m="1" x="314"/>
        <item x="14"/>
        <item x="136"/>
        <item x="189"/>
        <item m="1" x="851"/>
        <item x="15"/>
        <item m="1" x="845"/>
        <item m="1" x="363"/>
        <item m="1" x="524"/>
        <item x="16"/>
        <item x="137"/>
        <item x="86"/>
        <item m="1" x="405"/>
        <item x="167"/>
        <item x="57"/>
        <item x="17"/>
        <item x="18"/>
        <item x="19"/>
        <item x="58"/>
        <item m="1" x="873"/>
        <item x="20"/>
        <item x="87"/>
        <item x="190"/>
        <item x="21"/>
        <item x="138"/>
        <item m="1" x="384"/>
        <item x="88"/>
        <item x="201"/>
        <item m="1" x="541"/>
        <item x="89"/>
        <item x="90"/>
        <item x="91"/>
        <item x="92"/>
        <item m="1" x="679"/>
        <item x="93"/>
        <item x="94"/>
        <item x="95"/>
        <item x="125"/>
        <item m="1" x="219"/>
        <item m="1" x="305"/>
        <item x="96"/>
        <item x="139"/>
        <item m="1" x="268"/>
        <item m="1" x="940"/>
        <item m="1" x="898"/>
        <item m="1" x="396"/>
        <item m="1" x="479"/>
        <item m="1" x="319"/>
        <item x="168"/>
        <item x="169"/>
        <item m="1" x="247"/>
        <item m="1" x="304"/>
        <item m="1" x="869"/>
        <item x="140"/>
        <item m="1" x="408"/>
        <item m="1" x="492"/>
        <item x="97"/>
        <item m="1" x="444"/>
        <item m="1" x="316"/>
        <item m="1" x="326"/>
        <item m="1" x="463"/>
        <item m="1" x="335"/>
        <item m="1" x="339"/>
        <item m="1" x="497"/>
        <item m="1" x="977"/>
        <item m="1" x="387"/>
        <item m="1" x="671"/>
        <item m="1" x="910"/>
        <item m="1" x="965"/>
        <item m="1" x="342"/>
        <item m="1" x="721"/>
        <item x="98"/>
        <item m="1" x="830"/>
        <item m="1" x="264"/>
        <item m="1" x="693"/>
        <item x="141"/>
        <item x="99"/>
        <item x="22"/>
        <item m="1" x="566"/>
        <item x="142"/>
        <item x="100"/>
        <item m="1" x="928"/>
        <item x="101"/>
        <item x="102"/>
        <item x="103"/>
        <item m="1" x="567"/>
        <item x="104"/>
        <item m="1" x="276"/>
        <item m="1" x="822"/>
        <item x="105"/>
        <item x="143"/>
        <item m="1" x="708"/>
        <item m="1" x="324"/>
        <item m="1" x="901"/>
        <item m="1" x="462"/>
        <item m="1" x="1004"/>
        <item m="1" x="641"/>
        <item m="1" x="945"/>
        <item m="1" x="482"/>
        <item m="1" x="906"/>
        <item m="1" x="804"/>
        <item x="59"/>
        <item x="144"/>
        <item m="1" x="735"/>
        <item m="1" x="510"/>
        <item m="1" x="488"/>
        <item m="1" x="536"/>
        <item m="1" x="557"/>
        <item x="126"/>
        <item x="106"/>
        <item x="107"/>
        <item x="127"/>
        <item m="1" x="660"/>
        <item x="108"/>
        <item m="1" x="389"/>
        <item x="109"/>
        <item x="170"/>
        <item m="1" x="490"/>
        <item x="110"/>
        <item x="111"/>
        <item x="23"/>
        <item x="112"/>
        <item x="24"/>
        <item m="1" x="817"/>
        <item x="60"/>
        <item m="1" x="780"/>
        <item x="113"/>
        <item x="61"/>
        <item m="1" x="286"/>
        <item m="1" x="521"/>
        <item m="1" x="829"/>
        <item x="25"/>
        <item m="1" x="382"/>
        <item m="1" x="868"/>
        <item m="1" x="905"/>
        <item m="1" x="915"/>
        <item m="1" x="216"/>
        <item m="1" x="296"/>
        <item x="171"/>
        <item x="26"/>
        <item m="1" x="631"/>
        <item m="1" x="211"/>
        <item m="1" x="530"/>
        <item x="27"/>
        <item m="1" x="1007"/>
        <item x="114"/>
        <item m="1" x="441"/>
        <item m="1" x="669"/>
        <item m="1" x="549"/>
        <item m="1" x="754"/>
        <item m="1" x="807"/>
        <item m="1" x="655"/>
        <item m="1" x="577"/>
        <item m="1" x="512"/>
        <item m="1" x="343"/>
        <item m="1" x="539"/>
        <item m="1" x="588"/>
        <item m="1" x="894"/>
        <item m="1" x="370"/>
        <item m="1" x="623"/>
        <item m="1" x="215"/>
        <item m="1" x="485"/>
        <item m="1" x="943"/>
        <item m="1" x="364"/>
        <item m="1" x="412"/>
        <item m="1" x="828"/>
        <item m="1" x="480"/>
        <item m="1" x="600"/>
        <item m="1" x="351"/>
        <item m="1" x="403"/>
        <item m="1" x="713"/>
        <item m="1" x="919"/>
        <item m="1" x="792"/>
        <item x="198"/>
        <item m="1" x="344"/>
        <item m="1" x="294"/>
        <item x="28"/>
        <item m="1" x="360"/>
        <item m="1" x="576"/>
        <item m="1" x="972"/>
        <item m="1" x="558"/>
        <item m="1" x="833"/>
        <item x="191"/>
        <item m="1" x="519"/>
        <item m="1" x="283"/>
        <item m="1" x="423"/>
        <item m="1" x="992"/>
        <item m="1" x="603"/>
        <item m="1" x="495"/>
        <item m="1" x="279"/>
        <item m="1" x="837"/>
        <item m="1" x="520"/>
        <item m="1" x="710"/>
        <item m="1" x="376"/>
        <item m="1" x="451"/>
        <item m="1" x="938"/>
        <item m="1" x="618"/>
        <item m="1" x="864"/>
        <item m="1" x="926"/>
        <item m="1" x="375"/>
        <item m="1" x="742"/>
        <item m="1" x="435"/>
        <item m="1" x="991"/>
        <item x="62"/>
        <item x="63"/>
        <item x="199"/>
        <item m="1" x="782"/>
        <item m="1" x="506"/>
        <item m="1" x="628"/>
        <item x="29"/>
        <item m="1" x="745"/>
        <item m="1" x="383"/>
        <item m="1" x="553"/>
        <item x="200"/>
        <item x="115"/>
        <item m="1" x="877"/>
        <item x="116"/>
        <item m="1" x="486"/>
        <item x="64"/>
        <item x="30"/>
        <item m="1" x="614"/>
        <item m="1" x="973"/>
        <item m="1" x="775"/>
        <item m="1" x="846"/>
        <item m="1" x="686"/>
        <item m="1" x="483"/>
        <item m="1" x="993"/>
        <item x="192"/>
        <item m="1" x="508"/>
        <item m="1" x="944"/>
        <item m="1" x="825"/>
        <item m="1" x="653"/>
        <item m="1" x="561"/>
        <item m="1" x="537"/>
        <item m="1" x="338"/>
        <item m="1" x="390"/>
        <item m="1" x="678"/>
        <item m="1" x="729"/>
        <item m="1" x="424"/>
        <item m="1" x="676"/>
        <item m="1" x="584"/>
        <item m="1" x="650"/>
        <item x="65"/>
        <item m="1" x="249"/>
        <item m="1" x="460"/>
        <item m="1" x="801"/>
        <item m="1" x="323"/>
        <item m="1" x="761"/>
        <item m="1" x="855"/>
        <item m="1" x="575"/>
        <item m="1" x="949"/>
        <item m="1" x="580"/>
        <item m="1" x="886"/>
        <item m="1" x="253"/>
        <item m="1" x="478"/>
        <item m="1" x="612"/>
        <item m="1" x="958"/>
        <item m="1" x="504"/>
        <item m="1" x="800"/>
        <item m="1" x="705"/>
        <item m="1" x="649"/>
        <item m="1" x="228"/>
        <item m="1" x="356"/>
        <item x="172"/>
        <item x="31"/>
        <item x="173"/>
        <item m="1" x="289"/>
        <item m="1" x="505"/>
        <item m="1" x="527"/>
        <item m="1" x="701"/>
        <item m="1" x="681"/>
        <item m="1" x="948"/>
        <item m="1" x="346"/>
        <item m="1" x="432"/>
        <item m="1" x="205"/>
        <item m="1" x="331"/>
        <item m="1" x="311"/>
        <item x="174"/>
        <item m="1" x="740"/>
        <item m="1" x="757"/>
        <item x="193"/>
        <item x="194"/>
        <item m="1" x="514"/>
        <item m="1" x="706"/>
        <item m="1" x="568"/>
        <item m="1" x="913"/>
        <item m="1" x="615"/>
        <item m="1" x="213"/>
        <item m="1" x="355"/>
        <item x="145"/>
        <item m="1" x="562"/>
        <item x="32"/>
        <item m="1" x="599"/>
        <item m="1" x="950"/>
        <item x="202"/>
        <item m="1" x="942"/>
        <item m="1" x="477"/>
        <item m="1" x="455"/>
        <item x="33"/>
        <item m="1" x="966"/>
        <item m="1" x="453"/>
        <item m="1" x="529"/>
        <item m="1" x="594"/>
        <item m="1" x="758"/>
        <item m="1" x="799"/>
        <item m="1" x="827"/>
        <item m="1" x="652"/>
        <item x="66"/>
        <item m="1" x="900"/>
        <item m="1" x="820"/>
        <item m="1" x="525"/>
        <item m="1" x="699"/>
        <item m="1" x="849"/>
        <item m="1" x="672"/>
        <item m="1" x="832"/>
        <item m="1" x="772"/>
        <item x="146"/>
        <item m="1" x="996"/>
        <item m="1" x="836"/>
        <item x="195"/>
        <item m="1" x="206"/>
        <item m="1" x="288"/>
        <item m="1" x="523"/>
        <item m="1" x="763"/>
        <item m="1" x="863"/>
        <item x="34"/>
        <item m="1" x="1008"/>
        <item x="35"/>
        <item x="147"/>
        <item x="36"/>
        <item m="1" x="984"/>
        <item x="37"/>
        <item x="175"/>
        <item m="1" x="292"/>
        <item m="1" x="538"/>
        <item x="38"/>
        <item m="1" x="773"/>
        <item m="1" x="349"/>
        <item m="1" x="990"/>
        <item x="117"/>
        <item x="118"/>
        <item m="1" x="656"/>
        <item m="1" x="499"/>
        <item m="1" x="774"/>
        <item m="1" x="715"/>
        <item m="1" x="550"/>
        <item m="1" x="232"/>
        <item m="1" x="625"/>
        <item m="1" x="657"/>
        <item m="1" x="299"/>
        <item m="1" x="404"/>
        <item m="1" x="458"/>
        <item m="1" x="560"/>
        <item m="1" x="810"/>
        <item x="39"/>
        <item m="1" x="449"/>
        <item m="1" x="231"/>
        <item m="1" x="831"/>
        <item m="1" x="875"/>
        <item m="1" x="798"/>
        <item m="1" x="983"/>
        <item m="1" x="914"/>
        <item x="67"/>
        <item m="1" x="234"/>
        <item m="1" x="634"/>
        <item m="1" x="222"/>
        <item m="1" x="645"/>
        <item m="1" x="882"/>
        <item m="1" x="796"/>
        <item m="1" x="467"/>
        <item m="1" x="433"/>
        <item m="1" x="401"/>
        <item m="1" x="749"/>
        <item m="1" x="542"/>
        <item m="1" x="809"/>
        <item m="1" x="214"/>
        <item m="1" x="811"/>
        <item m="1" x="646"/>
        <item m="1" x="861"/>
        <item x="148"/>
        <item x="68"/>
        <item x="149"/>
        <item x="40"/>
        <item m="1" x="859"/>
        <item m="1" x="781"/>
        <item m="1" x="365"/>
        <item m="1" x="1010"/>
        <item m="1" x="357"/>
        <item m="1" x="272"/>
        <item m="1" x="937"/>
        <item m="1" x="862"/>
        <item m="1" x="876"/>
        <item m="1" x="739"/>
        <item m="1" x="723"/>
        <item m="1" x="815"/>
        <item x="150"/>
        <item x="151"/>
        <item m="1" x="207"/>
        <item m="1" x="474"/>
        <item m="1" x="986"/>
        <item m="1" x="878"/>
        <item x="41"/>
        <item x="176"/>
        <item x="177"/>
        <item x="42"/>
        <item x="43"/>
        <item m="1" x="329"/>
        <item m="1" x="853"/>
        <item m="1" x="716"/>
        <item m="1" x="654"/>
        <item m="1" x="712"/>
        <item m="1" x="726"/>
        <item m="1" x="548"/>
        <item m="1" x="229"/>
        <item m="1" x="587"/>
        <item m="1" x="982"/>
        <item m="1" x="684"/>
        <item m="1" x="287"/>
        <item m="1" x="760"/>
        <item m="1" x="988"/>
        <item m="1" x="274"/>
        <item m="1" x="979"/>
        <item m="1" x="980"/>
        <item m="1" x="818"/>
        <item m="1" x="981"/>
        <item m="1" x="378"/>
        <item m="1" x="687"/>
        <item m="1" x="776"/>
        <item m="1" x="893"/>
        <item m="1" x="212"/>
        <item m="1" x="303"/>
        <item m="1" x="459"/>
        <item m="1" x="358"/>
        <item m="1" x="210"/>
        <item m="1" x="691"/>
        <item m="1" x="591"/>
        <item m="1" x="961"/>
        <item m="1" x="1006"/>
        <item m="1" x="968"/>
        <item m="1" x="920"/>
        <item m="1" x="291"/>
        <item m="1" x="683"/>
        <item m="1" x="540"/>
        <item m="1" x="464"/>
        <item m="1" x="381"/>
        <item m="1" x="437"/>
        <item m="1" x="241"/>
        <item m="1" x="947"/>
        <item m="1" x="528"/>
        <item m="1" x="544"/>
        <item m="1" x="516"/>
        <item m="1" x="737"/>
        <item m="1" x="1013"/>
        <item m="1" x="946"/>
        <item m="1" x="532"/>
        <item m="1" x="421"/>
        <item m="1" x="592"/>
        <item m="1" x="866"/>
        <item m="1" x="270"/>
        <item m="1" x="951"/>
        <item m="1" x="428"/>
        <item x="178"/>
        <item m="1" x="664"/>
        <item m="1" x="955"/>
        <item m="1" x="574"/>
        <item m="1" x="438"/>
        <item m="1" x="617"/>
        <item m="1" x="976"/>
        <item m="1" x="956"/>
        <item m="1" x="690"/>
        <item m="1" x="624"/>
        <item m="1" x="498"/>
        <item m="1" x="418"/>
        <item m="1" x="419"/>
        <item m="1" x="379"/>
        <item m="1" x="240"/>
        <item m="1" x="377"/>
        <item m="1" x="218"/>
        <item m="1" x="204"/>
        <item m="1" x="808"/>
        <item m="1" x="468"/>
        <item m="1" x="392"/>
        <item m="1" x="595"/>
        <item m="1" x="394"/>
        <item m="1" x="533"/>
        <item m="1" x="252"/>
        <item m="1" x="616"/>
        <item m="1" x="637"/>
        <item m="1" x="667"/>
        <item m="1" x="694"/>
        <item m="1" x="860"/>
        <item m="1" x="340"/>
        <item m="1" x="621"/>
        <item m="1" x="771"/>
        <item m="1" x="741"/>
        <item m="1" x="918"/>
        <item m="1" x="330"/>
        <item m="1" x="487"/>
        <item m="1" x="1002"/>
        <item m="1" x="500"/>
        <item m="1" x="697"/>
        <item m="1" x="736"/>
        <item m="1" x="427"/>
        <item m="1" x="816"/>
        <item x="44"/>
        <item m="1" x="858"/>
        <item m="1" x="554"/>
        <item m="1" x="397"/>
        <item x="152"/>
        <item x="45"/>
        <item m="1" x="297"/>
        <item x="119"/>
        <item m="1" x="610"/>
        <item m="1" x="813"/>
        <item m="1" x="298"/>
        <item m="1" x="802"/>
        <item m="1" x="978"/>
        <item m="1" x="605"/>
        <item m="1" x="604"/>
        <item m="1" x="333"/>
        <item m="1" x="793"/>
        <item m="1" x="361"/>
        <item m="1" x="589"/>
        <item m="1" x="812"/>
        <item m="1" x="312"/>
        <item m="1" x="238"/>
        <item m="1" x="425"/>
        <item m="1" x="443"/>
        <item x="46"/>
        <item x="179"/>
        <item m="1" x="285"/>
        <item m="1" x="765"/>
        <item m="1" x="843"/>
        <item m="1" x="935"/>
        <item m="1" x="400"/>
        <item x="180"/>
        <item m="1" x="969"/>
        <item m="1" x="436"/>
        <item m="1" x="967"/>
        <item m="1" x="909"/>
        <item m="1" x="847"/>
        <item m="1" x="426"/>
        <item m="1" x="788"/>
        <item x="120"/>
        <item x="121"/>
        <item x="122"/>
        <item m="1" x="891"/>
        <item m="1" x="221"/>
        <item m="1" x="746"/>
        <item m="1" x="597"/>
        <item m="1" x="662"/>
        <item m="1" x="475"/>
        <item m="1" x="559"/>
        <item m="1" x="852"/>
        <item m="1" x="552"/>
        <item m="1" x="750"/>
        <item m="1" x="707"/>
        <item m="1" x="908"/>
        <item m="1" x="762"/>
        <item m="1" x="688"/>
        <item m="1" x="960"/>
        <item m="1" x="555"/>
        <item m="1" x="246"/>
        <item x="123"/>
        <item m="1" x="997"/>
        <item m="1" x="302"/>
        <item m="1" x="1014"/>
        <item x="181"/>
        <item m="1" x="598"/>
        <item m="1" x="243"/>
        <item m="1" x="225"/>
        <item m="1" x="821"/>
        <item m="1" x="838"/>
        <item m="1" x="839"/>
        <item m="1" x="911"/>
        <item m="1" x="874"/>
        <item m="1" x="306"/>
        <item m="1" x="586"/>
        <item m="1" x="406"/>
        <item m="1" x="407"/>
        <item m="1" x="975"/>
        <item m="1" x="923"/>
        <item m="1" x="509"/>
        <item m="1" x="257"/>
        <item m="1" x="601"/>
        <item m="1" x="907"/>
        <item m="1" x="236"/>
        <item m="1" x="582"/>
        <item m="1" x="963"/>
        <item m="1" x="583"/>
        <item m="1" x="902"/>
        <item m="1" x="515"/>
        <item m="1" x="452"/>
        <item m="1" x="783"/>
        <item m="1" x="239"/>
        <item m="1" x="251"/>
        <item m="1" x="727"/>
        <item m="1" x="696"/>
        <item m="1" x="265"/>
        <item m="1" x="857"/>
        <item m="1" x="248"/>
        <item m="1" x="447"/>
        <item m="1" x="638"/>
        <item m="1" x="570"/>
        <item m="1" x="266"/>
        <item m="1" x="892"/>
        <item m="1" x="692"/>
        <item m="1" x="639"/>
        <item m="1" x="666"/>
        <item x="124"/>
        <item x="47"/>
        <item m="1" x="203"/>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dataField="1" numFmtId="1" showAll="0"/>
    <pivotField numFmtId="9" showAll="0"/>
    <pivotField numFmtId="9" showAll="0"/>
    <pivotField numFmtId="9" showAll="0"/>
    <pivotField showAll="0"/>
    <pivotField showAll="0"/>
    <pivotField numFmtId="1" showAll="0"/>
    <pivotField numFmtId="1" showAll="0"/>
    <pivotField numFmtId="1" showAll="0"/>
    <pivotField numFmtId="1"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168">
    <i>
      <x v="3"/>
    </i>
    <i>
      <x v="7"/>
    </i>
    <i>
      <x v="8"/>
    </i>
    <i>
      <x v="9"/>
    </i>
    <i>
      <x v="10"/>
    </i>
    <i>
      <x v="11"/>
    </i>
    <i>
      <x v="12"/>
    </i>
    <i>
      <x v="65"/>
    </i>
    <i>
      <x v="80"/>
    </i>
    <i>
      <x v="81"/>
    </i>
    <i>
      <x v="100"/>
    </i>
    <i>
      <x v="104"/>
    </i>
    <i>
      <x v="110"/>
    </i>
    <i>
      <x v="120"/>
    </i>
    <i>
      <x v="125"/>
    </i>
    <i>
      <x v="128"/>
    </i>
    <i>
      <x v="142"/>
    </i>
    <i>
      <x v="153"/>
    </i>
    <i>
      <x v="155"/>
    </i>
    <i>
      <x v="157"/>
    </i>
    <i>
      <x v="185"/>
    </i>
    <i>
      <x v="186"/>
    </i>
    <i>
      <x v="187"/>
    </i>
    <i>
      <x v="188"/>
    </i>
    <i>
      <x v="192"/>
    </i>
    <i>
      <x v="195"/>
    </i>
    <i>
      <x v="198"/>
    </i>
    <i>
      <x v="199"/>
    </i>
    <i>
      <x v="203"/>
    </i>
    <i>
      <x v="208"/>
    </i>
    <i>
      <x v="212"/>
    </i>
    <i>
      <x v="214"/>
    </i>
    <i>
      <x v="217"/>
    </i>
    <i>
      <x v="218"/>
    </i>
    <i>
      <x v="220"/>
    </i>
    <i>
      <x v="228"/>
    </i>
    <i>
      <x v="229"/>
    </i>
    <i>
      <x v="230"/>
    </i>
    <i>
      <x v="231"/>
    </i>
    <i>
      <x v="232"/>
    </i>
    <i>
      <x v="234"/>
    </i>
    <i>
      <x v="243"/>
    </i>
    <i>
      <x v="267"/>
    </i>
    <i>
      <x v="278"/>
    </i>
    <i>
      <x v="285"/>
    </i>
    <i>
      <x v="353"/>
    </i>
    <i>
      <x v="360"/>
    </i>
    <i>
      <x v="365"/>
    </i>
    <i>
      <x v="366"/>
    </i>
    <i>
      <x v="371"/>
    </i>
    <i>
      <x v="373"/>
    </i>
    <i>
      <x v="374"/>
    </i>
    <i>
      <x v="375"/>
    </i>
    <i>
      <x v="376"/>
    </i>
    <i>
      <x v="388"/>
    </i>
    <i>
      <x v="393"/>
    </i>
    <i>
      <x v="394"/>
    </i>
    <i>
      <x v="395"/>
    </i>
    <i>
      <x v="397"/>
    </i>
    <i>
      <x v="398"/>
    </i>
    <i>
      <x v="399"/>
    </i>
    <i>
      <x v="400"/>
    </i>
    <i>
      <x v="404"/>
    </i>
    <i>
      <x v="405"/>
    </i>
    <i>
      <x v="406"/>
    </i>
    <i>
      <x v="408"/>
    </i>
    <i>
      <x v="412"/>
    </i>
    <i>
      <x v="413"/>
    </i>
    <i>
      <x v="416"/>
    </i>
    <i>
      <x v="417"/>
    </i>
    <i>
      <x v="418"/>
    </i>
    <i>
      <x v="419"/>
    </i>
    <i>
      <x v="420"/>
    </i>
    <i>
      <x v="421"/>
    </i>
    <i>
      <x v="423"/>
    </i>
    <i>
      <x v="424"/>
    </i>
    <i>
      <x v="425"/>
    </i>
    <i>
      <x v="426"/>
    </i>
    <i>
      <x v="430"/>
    </i>
    <i>
      <x v="432"/>
    </i>
    <i>
      <x v="433"/>
    </i>
    <i>
      <x v="434"/>
    </i>
    <i>
      <x v="435"/>
    </i>
    <i>
      <x v="437"/>
    </i>
    <i>
      <x v="438"/>
    </i>
    <i>
      <x v="443"/>
    </i>
    <i>
      <x v="444"/>
    </i>
    <i>
      <x v="451"/>
    </i>
    <i>
      <x v="452"/>
    </i>
    <i>
      <x v="456"/>
    </i>
    <i>
      <x v="478"/>
    </i>
    <i>
      <x v="479"/>
    </i>
    <i>
      <x v="480"/>
    </i>
    <i>
      <x v="482"/>
    </i>
    <i>
      <x v="492"/>
    </i>
    <i>
      <x v="493"/>
    </i>
    <i>
      <x v="504"/>
    </i>
    <i>
      <x v="505"/>
    </i>
    <i>
      <x v="519"/>
    </i>
    <i>
      <x v="523"/>
    </i>
    <i>
      <x v="525"/>
    </i>
    <i>
      <x v="527"/>
    </i>
    <i>
      <x v="529"/>
    </i>
    <i>
      <x v="530"/>
    </i>
    <i>
      <x v="534"/>
    </i>
    <i>
      <x v="541"/>
    </i>
    <i>
      <x v="542"/>
    </i>
    <i>
      <x v="546"/>
    </i>
    <i>
      <x v="576"/>
    </i>
    <i>
      <x v="579"/>
    </i>
    <i>
      <x v="585"/>
    </i>
    <i>
      <x v="606"/>
    </i>
    <i>
      <x v="607"/>
    </i>
    <i>
      <x v="608"/>
    </i>
    <i>
      <x v="612"/>
    </i>
    <i>
      <x v="616"/>
    </i>
    <i>
      <x v="621"/>
    </i>
    <i>
      <x v="622"/>
    </i>
    <i>
      <x v="630"/>
    </i>
    <i>
      <x v="645"/>
    </i>
    <i>
      <x v="666"/>
    </i>
    <i>
      <x v="667"/>
    </i>
    <i>
      <x v="668"/>
    </i>
    <i>
      <x v="680"/>
    </i>
    <i>
      <x v="683"/>
    </i>
    <i>
      <x v="684"/>
    </i>
    <i>
      <x v="692"/>
    </i>
    <i>
      <x v="694"/>
    </i>
    <i>
      <x v="697"/>
    </i>
    <i>
      <x v="701"/>
    </i>
    <i>
      <x v="710"/>
    </i>
    <i>
      <x v="719"/>
    </i>
    <i>
      <x v="722"/>
    </i>
    <i>
      <x v="728"/>
    </i>
    <i>
      <x v="730"/>
    </i>
    <i>
      <x v="731"/>
    </i>
    <i>
      <x v="732"/>
    </i>
    <i>
      <x v="734"/>
    </i>
    <i>
      <x v="735"/>
    </i>
    <i>
      <x v="738"/>
    </i>
    <i>
      <x v="742"/>
    </i>
    <i>
      <x v="743"/>
    </i>
    <i>
      <x v="757"/>
    </i>
    <i>
      <x v="765"/>
    </i>
    <i>
      <x v="782"/>
    </i>
    <i>
      <x v="783"/>
    </i>
    <i>
      <x v="784"/>
    </i>
    <i>
      <x v="785"/>
    </i>
    <i>
      <x v="798"/>
    </i>
    <i>
      <x v="799"/>
    </i>
    <i>
      <x v="804"/>
    </i>
    <i>
      <x v="805"/>
    </i>
    <i>
      <x v="806"/>
    </i>
    <i>
      <x v="807"/>
    </i>
    <i>
      <x v="808"/>
    </i>
    <i>
      <x v="864"/>
    </i>
    <i>
      <x v="907"/>
    </i>
    <i>
      <x v="911"/>
    </i>
    <i>
      <x v="912"/>
    </i>
    <i>
      <x v="931"/>
    </i>
    <i>
      <x v="932"/>
    </i>
    <i>
      <x v="938"/>
    </i>
    <i>
      <x v="946"/>
    </i>
    <i>
      <x v="947"/>
    </i>
    <i>
      <x v="948"/>
    </i>
    <i>
      <x v="966"/>
    </i>
    <i>
      <x v="970"/>
    </i>
    <i>
      <x v="1013"/>
    </i>
  </rowItems>
  <colFields count="1">
    <field x="0"/>
  </colFields>
  <colItems count="3">
    <i>
      <x v="13"/>
    </i>
    <i>
      <x v="14"/>
    </i>
    <i>
      <x v="15"/>
    </i>
  </colItems>
  <pageFields count="1">
    <pageField fld="4" hier="-1"/>
  </pageFields>
  <dataFields count="1">
    <dataField name="Sum of HRP3" fld="114" baseField="0" baseItem="0"/>
  </dataFields>
  <formats count="15">
    <format dxfId="1004">
      <pivotArea outline="0" collapsedLevelsAreSubtotals="1" fieldPosition="0"/>
    </format>
    <format dxfId="1003">
      <pivotArea dataOnly="0" labelOnly="1" outline="0" fieldPosition="0">
        <references count="1">
          <reference field="4" count="0"/>
        </references>
      </pivotArea>
    </format>
    <format dxfId="1002">
      <pivotArea field="0" type="button" dataOnly="0" labelOnly="1" outline="0" axis="axisCol" fieldPosition="0"/>
    </format>
    <format dxfId="1001">
      <pivotArea type="topRight" dataOnly="0" labelOnly="1" outline="0" fieldPosition="0"/>
    </format>
    <format dxfId="1000">
      <pivotArea dataOnly="0" labelOnly="1" fieldPosition="0">
        <references count="1">
          <reference field="0" count="0"/>
        </references>
      </pivotArea>
    </format>
    <format dxfId="999">
      <pivotArea dataOnly="0" labelOnly="1" grandCol="1" outline="0" fieldPosition="0"/>
    </format>
    <format dxfId="998">
      <pivotArea dataOnly="0" labelOnly="1" fieldPosition="0">
        <references count="1">
          <reference field="7" count="1">
            <x v="201"/>
          </reference>
        </references>
      </pivotArea>
    </format>
    <format dxfId="997">
      <pivotArea dataOnly="0" labelOnly="1" fieldPosition="0">
        <references count="1">
          <reference field="7" count="1">
            <x v="219"/>
          </reference>
        </references>
      </pivotArea>
    </format>
    <format dxfId="996">
      <pivotArea dataOnly="0" labelOnly="1" fieldPosition="0">
        <references count="1">
          <reference field="7" count="1">
            <x v="232"/>
          </reference>
        </references>
      </pivotArea>
    </format>
    <format dxfId="995">
      <pivotArea dataOnly="0" labelOnly="1" fieldPosition="0">
        <references count="1">
          <reference field="7" count="1">
            <x v="303"/>
          </reference>
        </references>
      </pivotArea>
    </format>
    <format dxfId="994">
      <pivotArea dataOnly="0" labelOnly="1" fieldPosition="0">
        <references count="1">
          <reference field="7" count="1">
            <x v="414"/>
          </reference>
        </references>
      </pivotArea>
    </format>
    <format dxfId="993">
      <pivotArea dataOnly="0" labelOnly="1" fieldPosition="0">
        <references count="1">
          <reference field="7" count="1">
            <x v="474"/>
          </reference>
        </references>
      </pivotArea>
    </format>
    <format dxfId="992">
      <pivotArea dataOnly="0" labelOnly="1" fieldPosition="0">
        <references count="1">
          <reference field="7" count="1">
            <x v="516"/>
          </reference>
        </references>
      </pivotArea>
    </format>
    <format dxfId="991">
      <pivotArea dataOnly="0" labelOnly="1" fieldPosition="0">
        <references count="1">
          <reference field="7" count="1">
            <x v="645"/>
          </reference>
        </references>
      </pivotArea>
    </format>
    <format dxfId="990">
      <pivotArea dataOnly="0" labelOnly="1" fieldPosition="0">
        <references count="1">
          <reference field="7" count="1">
            <x v="3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46:D251" firstHeaderRow="0" firstDataRow="1" firstDataCol="1" rowPageCount="3" colPageCount="1"/>
  <pivotFields count="147">
    <pivotField axis="axisPage" subtotalTop="0" multipleItemSelectionAllowed="1" showAll="0">
      <items count="18">
        <item h="1"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1"/>
        <item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2"/>
  </rowFields>
  <rowItems count="5">
    <i>
      <x/>
    </i>
    <i r="1">
      <x v="339"/>
    </i>
    <i r="1">
      <x v="340"/>
    </i>
    <i t="default">
      <x/>
    </i>
    <i t="grand">
      <x/>
    </i>
  </rowItems>
  <colFields count="1">
    <field x="-2"/>
  </colFields>
  <colItems count="2">
    <i>
      <x/>
    </i>
    <i i="1">
      <x v="1"/>
    </i>
  </colItems>
  <pageFields count="3">
    <pageField fld="0" hier="-1"/>
    <pageField fld="136" item="0" hier="-1"/>
    <pageField fld="6" hier="-1"/>
  </pageFields>
  <dataFields count="2">
    <dataField name="Sum of Total HH" fld="8" baseField="2" baseItem="0" numFmtId="3"/>
    <dataField name="Sum of Total PoP " fld="9" baseField="0" baseItem="0"/>
  </dataFields>
  <formats count="14">
    <format dxfId="516">
      <pivotArea type="all" dataOnly="0" outline="0" fieldPosition="0"/>
    </format>
    <format dxfId="515">
      <pivotArea type="all" dataOnly="0" outline="0" fieldPosition="0"/>
    </format>
    <format dxfId="514">
      <pivotArea outline="0" collapsedLevelsAreSubtotals="1" fieldPosition="0"/>
    </format>
    <format dxfId="513">
      <pivotArea field="4" type="button" dataOnly="0" labelOnly="1" outline="0" axis="axisRow" fieldPosition="0"/>
    </format>
    <format dxfId="512">
      <pivotArea dataOnly="0" labelOnly="1" fieldPosition="0">
        <references count="1">
          <reference field="4" count="0"/>
        </references>
      </pivotArea>
    </format>
    <format dxfId="511">
      <pivotArea dataOnly="0" labelOnly="1" grandRow="1" outline="0" fieldPosition="0"/>
    </format>
    <format dxfId="510">
      <pivotArea dataOnly="0" labelOnly="1" outline="0" fieldPosition="0">
        <references count="1">
          <reference field="4294967294" count="1">
            <x v="0"/>
          </reference>
        </references>
      </pivotArea>
    </format>
    <format dxfId="509">
      <pivotArea outline="0" fieldPosition="0">
        <references count="1">
          <reference field="4294967294" count="1">
            <x v="0"/>
          </reference>
        </references>
      </pivotArea>
    </format>
    <format dxfId="508">
      <pivotArea type="all" dataOnly="0" outline="0" fieldPosition="0"/>
    </format>
    <format dxfId="507">
      <pivotArea outline="0" collapsedLevelsAreSubtotals="1" fieldPosition="0"/>
    </format>
    <format dxfId="506">
      <pivotArea field="4" type="button" dataOnly="0" labelOnly="1" outline="0" axis="axisRow" fieldPosition="0"/>
    </format>
    <format dxfId="505">
      <pivotArea dataOnly="0" labelOnly="1" fieldPosition="0">
        <references count="1">
          <reference field="4" count="0"/>
        </references>
      </pivotArea>
    </format>
    <format dxfId="504">
      <pivotArea dataOnly="0" labelOnly="1" grandRow="1" outline="0" fieldPosition="0"/>
    </format>
    <format dxfId="503">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0">
  <location ref="O128:Q130" firstHeaderRow="0" firstDataRow="1" firstDataCol="1" rowPageCount="4"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1">
        <item x="1"/>
        <item x="0"/>
        <item m="1" x="7"/>
        <item h="1" m="1" x="5"/>
        <item m="1" x="3"/>
        <item m="1" x="2"/>
        <item h="1" m="1" x="9"/>
        <item m="1" x="6"/>
        <item h="1" m="1" x="10"/>
        <item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1"/>
        <item n="# in NGCA (20:1)"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2"/>
  </rowFields>
  <rowItems count="2">
    <i>
      <x v="339"/>
    </i>
    <i>
      <x v="340"/>
    </i>
  </rowItems>
  <colFields count="1">
    <field x="-2"/>
  </colFields>
  <colItems count="2">
    <i>
      <x/>
    </i>
    <i i="1">
      <x v="1"/>
    </i>
  </colItems>
  <pageFields count="4">
    <pageField fld="0" item="16" hier="-1"/>
    <pageField fld="4" item="0" hier="-1"/>
    <pageField fld="136" item="0" hier="-1"/>
    <pageField fld="6" hier="-1"/>
  </pageFields>
  <dataFields count="2">
    <dataField name="Accessed" fld="101" baseField="0" baseItem="0"/>
    <dataField name="Not-accessed" fld="146" baseField="0" baseItem="0" numFmtId="1"/>
  </dataFields>
  <formats count="15">
    <format dxfId="531">
      <pivotArea field="4" type="button" dataOnly="0" labelOnly="1" outline="0" axis="axisPage" fieldPosition="1"/>
    </format>
    <format dxfId="530">
      <pivotArea type="all" dataOnly="0" outline="0" fieldPosition="0"/>
    </format>
    <format dxfId="529">
      <pivotArea type="origin" dataOnly="0" labelOnly="1" outline="0" fieldPosition="0"/>
    </format>
    <format dxfId="528">
      <pivotArea type="topRight" dataOnly="0" labelOnly="1" outline="0" fieldPosition="0"/>
    </format>
    <format dxfId="527">
      <pivotArea field="-2" type="button" dataOnly="0" labelOnly="1" outline="0" axis="axisCol" fieldPosition="0"/>
    </format>
    <format dxfId="526">
      <pivotArea type="all" dataOnly="0" outline="0" fieldPosition="0"/>
    </format>
    <format dxfId="525">
      <pivotArea outline="0" collapsedLevelsAreSubtotals="1" fieldPosition="0"/>
    </format>
    <format dxfId="524">
      <pivotArea type="origin" dataOnly="0" labelOnly="1" outline="0" fieldPosition="0"/>
    </format>
    <format dxfId="523">
      <pivotArea type="topRight" dataOnly="0" labelOnly="1" outline="0" fieldPosition="0"/>
    </format>
    <format dxfId="522">
      <pivotArea field="-2" type="button" dataOnly="0" labelOnly="1" outline="0" axis="axisCol" fieldPosition="0"/>
    </format>
    <format dxfId="521">
      <pivotArea dataOnly="0" labelOnly="1" outline="0" fieldPosition="0">
        <references count="3">
          <reference field="0" count="1" selected="0">
            <x v="7"/>
          </reference>
          <reference field="4" count="1">
            <x v="0"/>
          </reference>
          <reference field="136" count="1" selected="0">
            <x v="0"/>
          </reference>
        </references>
      </pivotArea>
    </format>
    <format dxfId="520">
      <pivotArea type="all" dataOnly="0" outline="0" fieldPosition="0"/>
    </format>
    <format dxfId="519">
      <pivotArea outline="0" collapsedLevelsAreSubtotals="1" fieldPosition="0"/>
    </format>
    <format dxfId="518">
      <pivotArea dataOnly="0" labelOnly="1" fieldPosition="0">
        <references count="1">
          <reference field="132" count="2">
            <x v="339"/>
            <x v="340"/>
          </reference>
        </references>
      </pivotArea>
    </format>
    <format dxfId="517">
      <pivotArea outline="0" collapsedLevelsAreSubtotals="1" fieldPosition="0"/>
    </format>
  </formats>
  <chartFormats count="6">
    <chartFormat chart="27" format="0" series="1">
      <pivotArea type="data" outline="0" fieldPosition="0">
        <references count="2">
          <reference field="4294967294" count="1" selected="0">
            <x v="0"/>
          </reference>
          <reference field="132" count="1" selected="0">
            <x v="339"/>
          </reference>
        </references>
      </pivotArea>
    </chartFormat>
    <chartFormat chart="27" format="1" series="1">
      <pivotArea type="data" outline="0" fieldPosition="0">
        <references count="2">
          <reference field="4294967294" count="1" selected="0">
            <x v="0"/>
          </reference>
          <reference field="132"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88:D101"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136" item="0" hier="-1"/>
    <pageField fld="4" item="0" hier="-1"/>
    <pageField fld="6" hier="-1"/>
  </pageFields>
  <dataFields count="2">
    <dataField name=" % Water Coverage" fld="142" baseField="0" baseItem="0"/>
    <dataField name=" % Water GAP" fld="143" baseField="0" baseItem="0"/>
  </dataFields>
  <formats count="10">
    <format dxfId="541">
      <pivotArea field="4" type="button" dataOnly="0" labelOnly="1" outline="0" axis="axisPage" fieldPosition="2"/>
    </format>
    <format dxfId="540">
      <pivotArea type="all" dataOnly="0" outline="0" fieldPosition="0"/>
    </format>
    <format dxfId="539">
      <pivotArea outline="0" collapsedLevelsAreSubtotals="1" fieldPosition="0"/>
    </format>
    <format dxfId="538">
      <pivotArea field="4" type="button" dataOnly="0" labelOnly="1" outline="0" axis="axisPage" fieldPosition="2"/>
    </format>
    <format dxfId="537">
      <pivotArea type="all" dataOnly="0" outline="0" fieldPosition="0"/>
    </format>
    <format dxfId="536">
      <pivotArea outline="0" collapsedLevelsAreSubtotals="1" fieldPosition="0"/>
    </format>
    <format dxfId="535">
      <pivotArea outline="0" collapsedLevelsAreSubtotals="1" fieldPosition="0"/>
    </format>
    <format dxfId="534">
      <pivotArea field="5" type="button" dataOnly="0" labelOnly="1" outline="0" axis="axisRow" fieldPosition="0"/>
    </format>
    <format dxfId="533">
      <pivotArea field="5" type="button" dataOnly="0" labelOnly="1" outline="0" axis="axisRow" fieldPosition="0"/>
    </format>
    <format dxfId="532">
      <pivotArea field="5" type="button" dataOnly="0" labelOnly="1" outline="0" axis="axisRow" fieldPosition="0"/>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2">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258:D262" firstHeaderRow="0" firstDataRow="1" firstDataCol="1" rowPageCount="3" colPageCount="1"/>
  <pivotFields count="147">
    <pivotField axis="axisPage" subtotalTop="0" multipleItemSelectionAllowed="1" showAll="0">
      <items count="18">
        <item h="1" m="1" x="15"/>
        <item m="1" x="5"/>
        <item m="1" x="16"/>
        <item h="1" m="1" x="8"/>
        <item m="1" x="4"/>
        <item h="1" m="1" x="3"/>
        <item h="1" m="1" x="14"/>
        <item h="1" m="1" x="10"/>
        <item h="1" m="1" x="12"/>
        <item m="1" x="13"/>
        <item h="1" m="1" x="6"/>
        <item h="1" m="1" x="7"/>
        <item h="1" m="1" x="9"/>
        <item m="1" x="11"/>
        <item h="1" x="0"/>
        <item x="1"/>
        <item h="1"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1"/>
        <item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2"/>
  </rowFields>
  <rowItems count="4">
    <i>
      <x/>
    </i>
    <i r="1">
      <x v="339"/>
    </i>
    <i r="1">
      <x v="340"/>
    </i>
    <i t="default">
      <x/>
    </i>
  </rowItems>
  <colFields count="1">
    <field x="-2"/>
  </colFields>
  <colItems count="2">
    <i>
      <x/>
    </i>
    <i i="1">
      <x v="1"/>
    </i>
  </colItems>
  <pageFields count="3">
    <pageField fld="0" hier="-1"/>
    <pageField fld="136" item="0" hier="-1"/>
    <pageField fld="6" hier="-1"/>
  </pageFields>
  <dataFields count="2">
    <dataField name="Sum of #_households that received standard amount of soap for this quarter" fld="64" baseField="0" baseItem="0"/>
    <dataField name="Sum of # of affected women and girls receiving a sufficient quantity of sanitary pads from direct distribution or from MHM room facilities" fld="65" baseField="0" baseItem="0"/>
  </dataFields>
  <formats count="11">
    <format dxfId="552">
      <pivotArea type="all" dataOnly="0" outline="0" fieldPosition="0"/>
    </format>
    <format dxfId="551">
      <pivotArea type="all" dataOnly="0" outline="0" fieldPosition="0"/>
    </format>
    <format dxfId="550">
      <pivotArea outline="0" collapsedLevelsAreSubtotals="1" fieldPosition="0"/>
    </format>
    <format dxfId="549">
      <pivotArea field="4" type="button" dataOnly="0" labelOnly="1" outline="0" axis="axisRow" fieldPosition="0"/>
    </format>
    <format dxfId="548">
      <pivotArea dataOnly="0" labelOnly="1" fieldPosition="0">
        <references count="1">
          <reference field="4" count="0"/>
        </references>
      </pivotArea>
    </format>
    <format dxfId="547">
      <pivotArea dataOnly="0" labelOnly="1" grandRow="1" outline="0" fieldPosition="0"/>
    </format>
    <format dxfId="546">
      <pivotArea type="all" dataOnly="0" outline="0" fieldPosition="0"/>
    </format>
    <format dxfId="545">
      <pivotArea outline="0" collapsedLevelsAreSubtotals="1" fieldPosition="0"/>
    </format>
    <format dxfId="544">
      <pivotArea field="4" type="button" dataOnly="0" labelOnly="1" outline="0" axis="axisRow" fieldPosition="0"/>
    </format>
    <format dxfId="543">
      <pivotArea dataOnly="0" labelOnly="1" fieldPosition="0">
        <references count="1">
          <reference field="4" count="0"/>
        </references>
      </pivotArea>
    </format>
    <format dxfId="542">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74:M282" firstHeaderRow="0" firstDataRow="1" firstDataCol="1" rowPageCount="4" colPageCount="1"/>
  <pivotFields count="147">
    <pivotField axis="axisPage" subtotalTop="0" multipleItemSelectionAllowed="1" showAll="0">
      <items count="18">
        <item m="1" x="15"/>
        <item m="1" x="5"/>
        <item h="1" m="1" x="8"/>
        <item h="1" m="1" x="3"/>
        <item m="1" x="16"/>
        <item m="1" x="4"/>
        <item h="1" m="1" x="14"/>
        <item h="1" m="1" x="10"/>
        <item h="1" m="1" x="12"/>
        <item m="1" x="13"/>
        <item h="1" m="1" x="6"/>
        <item h="1" m="1" x="7"/>
        <item h="1" m="1" x="9"/>
        <item m="1" x="11"/>
        <item h="1" x="0"/>
        <item x="1"/>
        <item h="1"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axis="axisRow" subtotalTop="0" showAll="0">
      <items count="46">
        <item m="1" x="30"/>
        <item x="10"/>
        <item m="1" x="43"/>
        <item x="4"/>
        <item x="3"/>
        <item x="19"/>
        <item x="20"/>
        <item x="13"/>
        <item m="1" x="38"/>
        <item m="1" x="24"/>
        <item x="12"/>
        <item m="1" x="41"/>
        <item x="9"/>
        <item x="16"/>
        <item m="1" x="36"/>
        <item m="1" x="29"/>
        <item x="6"/>
        <item x="5"/>
        <item x="7"/>
        <item m="1" x="42"/>
        <item x="14"/>
        <item m="1" x="34"/>
        <item x="0"/>
        <item m="1" x="32"/>
        <item x="18"/>
        <item x="15"/>
        <item m="1" x="27"/>
        <item m="1" x="31"/>
        <item m="1" x="37"/>
        <item x="8"/>
        <item m="1" x="44"/>
        <item m="1" x="40"/>
        <item x="1"/>
        <item m="1" x="39"/>
        <item x="11"/>
        <item x="21"/>
        <item x="2"/>
        <item m="1" x="23"/>
        <item x="17"/>
        <item m="1" x="22"/>
        <item m="1" x="35"/>
        <item m="1" x="33"/>
        <item m="1" x="28"/>
        <item m="1" x="25"/>
        <item m="1" x="26"/>
        <item t="default"/>
      </items>
    </pivotField>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36" item="0" hier="-1"/>
    <pageField fld="4" hier="-1"/>
    <pageField fld="6" hier="-1"/>
  </pageFields>
  <dataFields count="2">
    <dataField name="  % Hygiene Coverage" fld="141" baseField="0" baseItem="0" numFmtId="1"/>
    <dataField name="  % Hygiene Gap" fld="140" baseField="0" baseItem="0" numFmtId="1"/>
  </dataFields>
  <formats count="11">
    <format dxfId="563">
      <pivotArea type="all" dataOnly="0" outline="0" fieldPosition="0"/>
    </format>
    <format dxfId="562">
      <pivotArea outline="0" collapsedLevelsAreSubtotals="1" fieldPosition="0"/>
    </format>
    <format dxfId="561">
      <pivotArea field="4" type="button" dataOnly="0" labelOnly="1" outline="0" axis="axisPage" fieldPosition="2"/>
    </format>
    <format dxfId="560">
      <pivotArea type="all" dataOnly="0" outline="0" fieldPosition="0"/>
    </format>
    <format dxfId="559">
      <pivotArea outline="0" collapsedLevelsAreSubtotals="1" fieldPosition="0"/>
    </format>
    <format dxfId="558">
      <pivotArea outline="0" collapsedLevelsAreSubtotals="1" fieldPosition="0"/>
    </format>
    <format dxfId="557">
      <pivotArea field="5" type="button" dataOnly="0" labelOnly="1" outline="0" axis="axisRow" fieldPosition="0"/>
    </format>
    <format dxfId="556">
      <pivotArea field="5" type="button" dataOnly="0" labelOnly="1" outline="0" axis="axisRow" fieldPosition="0"/>
    </format>
    <format dxfId="555">
      <pivotArea field="5" type="button" dataOnly="0" labelOnly="1" outline="0" axis="axisRow" fieldPosition="0"/>
    </format>
    <format dxfId="554">
      <pivotArea field="4" type="button" dataOnly="0" labelOnly="1" outline="0" axis="axisPage" fieldPosition="2"/>
    </format>
    <format dxfId="553">
      <pivotArea dataOnly="0" labelOnly="1" outline="0" fieldPosition="0">
        <references count="2">
          <reference field="4" count="0"/>
          <reference field="136"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78:I380" firstHeaderRow="0" firstDataRow="1" firstDataCol="1" rowPageCount="2" colPageCount="1"/>
  <pivotFields count="147">
    <pivotField axis="axisPage" subtotalTop="0" showAll="0">
      <items count="18">
        <item m="1" x="15"/>
        <item m="1" x="5"/>
        <item m="1" x="16"/>
        <item m="1" x="8"/>
        <item m="1" x="4"/>
        <item m="1" x="3"/>
        <item m="1" x="14"/>
        <item m="1" x="10"/>
        <item m="1" x="12"/>
        <item m="1" x="13"/>
        <item m="1" x="6"/>
        <item m="1" x="7"/>
        <item m="1" x="9"/>
        <item m="1" x="11"/>
        <item x="0"/>
        <item x="1"/>
        <item x="2"/>
        <item t="default"/>
      </items>
    </pivotField>
    <pivotField showAll="0" defaultSubtotal="0"/>
    <pivotField showAll="0" defaultSubtotal="0"/>
    <pivotField subtotalTop="0" showAll="0"/>
    <pivotField axis="axisRow" subtotalTop="0" multipleItemSelectionAllowed="1" showAll="0">
      <items count="7">
        <item x="0"/>
        <item m="1" x="4"/>
        <item x="1"/>
        <item h="1" m="1" x="2"/>
        <item m="1" x="3"/>
        <item m="1" x="5"/>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dataField="1" showAll="0" defaultSubtota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item="16" hier="-1"/>
    <pageField fld="136" hier="-1"/>
  </pageFields>
  <dataFields count="6">
    <dataField name="Sum of #_of water points in TLS/CFS /THF" fld="39" baseField="0" baseItem="0"/>
    <dataField name="Sum of # of functional latrines in THF supported by WASH partners during the reporting period2" fld="54" baseField="4" baseItem="0"/>
    <dataField name="Sum of # of functional latrines in TLS/CFS supported by WASH partners during the reporting period" fld="53" baseField="0" baseItem="0"/>
    <dataField name=" #_Constructed/Existing hand washing stations at TLS" fld="38" baseField="4" baseItem="0"/>
    <dataField name=" #_Hygiene Promotion activities (sessions) in TLS?" fld="67" baseField="4" baseItem="0"/>
    <dataField name=" # of hand washing stations with soap in TLS" fld="122" baseField="4" baseItem="0"/>
  </dataFields>
  <formats count="22">
    <format dxfId="585">
      <pivotArea type="all" dataOnly="0" outline="0" fieldPosition="0"/>
    </format>
    <format dxfId="584">
      <pivotArea outline="0" collapsedLevelsAreSubtotals="1" fieldPosition="0"/>
    </format>
    <format dxfId="583">
      <pivotArea field="4" type="button" dataOnly="0" labelOnly="1" outline="0" axis="axisRow" fieldPosition="0"/>
    </format>
    <format dxfId="582">
      <pivotArea dataOnly="0" labelOnly="1" grandRow="1" outline="0" fieldPosition="0"/>
    </format>
    <format dxfId="581">
      <pivotArea type="all" dataOnly="0" outline="0" fieldPosition="0"/>
    </format>
    <format dxfId="580">
      <pivotArea outline="0" collapsedLevelsAreSubtotals="1" fieldPosition="0"/>
    </format>
    <format dxfId="579">
      <pivotArea type="origin" dataOnly="0" labelOnly="1" outline="0" fieldPosition="0"/>
    </format>
    <format dxfId="578">
      <pivotArea field="136" type="button" dataOnly="0" labelOnly="1" outline="0" axis="axisPage" fieldPosition="1"/>
    </format>
    <format dxfId="577">
      <pivotArea type="topRight" dataOnly="0" labelOnly="1" outline="0" fieldPosition="0"/>
    </format>
    <format dxfId="576">
      <pivotArea dataOnly="0" labelOnly="1" fieldPosition="0">
        <references count="1">
          <reference field="136" count="0"/>
        </references>
      </pivotArea>
    </format>
    <format dxfId="575">
      <pivotArea type="all" dataOnly="0" outline="0" fieldPosition="0"/>
    </format>
    <format dxfId="574">
      <pivotArea outline="0" collapsedLevelsAreSubtotals="1" fieldPosition="0"/>
    </format>
    <format dxfId="573">
      <pivotArea field="4" type="button" dataOnly="0" labelOnly="1" outline="0" axis="axisRow" fieldPosition="0"/>
    </format>
    <format dxfId="572">
      <pivotArea dataOnly="0" labelOnly="1" fieldPosition="0">
        <references count="1">
          <reference field="4" count="0"/>
        </references>
      </pivotArea>
    </format>
    <format dxfId="571">
      <pivotArea outline="0" collapsedLevelsAreSubtotals="1" fieldPosition="0"/>
    </format>
    <format dxfId="570">
      <pivotArea field="4" type="button" dataOnly="0" labelOnly="1" outline="0" axis="axisRow" fieldPosition="0"/>
    </format>
    <format dxfId="569">
      <pivotArea dataOnly="0" labelOnly="1" outline="0" fieldPosition="0">
        <references count="1">
          <reference field="4294967294" count="3">
            <x v="3"/>
            <x v="4"/>
            <x v="5"/>
          </reference>
        </references>
      </pivotArea>
    </format>
    <format dxfId="568">
      <pivotArea field="4" type="button" dataOnly="0" labelOnly="1" outline="0" axis="axisRow" fieldPosition="0"/>
    </format>
    <format dxfId="567">
      <pivotArea dataOnly="0" labelOnly="1" outline="0" fieldPosition="0">
        <references count="1">
          <reference field="4294967294" count="3">
            <x v="3"/>
            <x v="4"/>
            <x v="5"/>
          </reference>
        </references>
      </pivotArea>
    </format>
    <format dxfId="566">
      <pivotArea field="4" type="button" dataOnly="0" labelOnly="1" outline="0" axis="axisRow" fieldPosition="0"/>
    </format>
    <format dxfId="565">
      <pivotArea dataOnly="0" labelOnly="1" outline="0" fieldPosition="0">
        <references count="1">
          <reference field="4294967294" count="3">
            <x v="3"/>
            <x v="4"/>
            <x v="5"/>
          </reference>
        </references>
      </pivotArea>
    </format>
    <format dxfId="564">
      <pivotArea dataOnly="0" labelOnly="1" outline="0" fieldPosition="0">
        <references count="1">
          <reference field="4294967294" count="1">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61:G164" firstHeaderRow="1" firstDataRow="2" firstDataCol="1" rowPageCount="3" colPageCount="1"/>
  <pivotFields count="147">
    <pivotField axis="axisPage" subtotalTop="0" multipleItemSelectionAllowed="1" showAll="0">
      <items count="18">
        <item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Row" subtotalTop="0" showAll="0">
      <items count="7">
        <item x="0"/>
        <item m="1" x="4"/>
        <item x="1"/>
        <item h="1" m="1" x="2"/>
        <item m="1" x="3"/>
        <item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3"/>
        <item x="4"/>
        <item x="2"/>
        <item x="0"/>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2"/>
        <item h="1"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5">
    <i>
      <x/>
    </i>
    <i>
      <x v="1"/>
    </i>
    <i>
      <x v="2"/>
    </i>
    <i>
      <x v="3"/>
    </i>
    <i>
      <x v="4"/>
    </i>
  </colItems>
  <pageFields count="3">
    <pageField fld="0" hier="-1"/>
    <pageField fld="136" hier="-1"/>
    <pageField fld="6" hier="-1"/>
  </pageFields>
  <dataFields count="1">
    <dataField name="Count of Is there constructed surface water drainage system?_x000a_" fld="50" subtotal="count" baseField="0" baseItem="0"/>
  </dataFields>
  <formats count="9">
    <format dxfId="594">
      <pivotArea type="all" dataOnly="0" outline="0" fieldPosition="0"/>
    </format>
    <format dxfId="593">
      <pivotArea outline="0" collapsedLevelsAreSubtotals="1" fieldPosition="0"/>
    </format>
    <format dxfId="592">
      <pivotArea type="origin" dataOnly="0" labelOnly="1" outline="0" fieldPosition="0"/>
    </format>
    <format dxfId="591">
      <pivotArea type="topRight" dataOnly="0" labelOnly="1" outline="0" fieldPosition="0"/>
    </format>
    <format dxfId="590">
      <pivotArea field="4" type="button" dataOnly="0" labelOnly="1" outline="0" axis="axisRow" fieldPosition="0"/>
    </format>
    <format dxfId="589">
      <pivotArea dataOnly="0" labelOnly="1" fieldPosition="0">
        <references count="1">
          <reference field="4" count="0"/>
        </references>
      </pivotArea>
    </format>
    <format dxfId="588">
      <pivotArea type="all" dataOnly="0" outline="0" fieldPosition="0"/>
    </format>
    <format dxfId="587">
      <pivotArea outline="0" collapsedLevelsAreSubtotals="1" fieldPosition="0"/>
    </format>
    <format dxfId="58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54" firstHeaderRow="0" firstDataRow="1" firstDataCol="2" rowPageCount="1" colPageCount="1"/>
  <pivotFields count="147">
    <pivotField axis="axisPage" compact="0" outline="0" multipleItemSelectionAllowed="1" showAll="0">
      <items count="18">
        <item m="1" x="14"/>
        <item m="1" x="15"/>
        <item m="1" x="5"/>
        <item m="1" x="16"/>
        <item m="1" x="8"/>
        <item m="1" x="4"/>
        <item m="1" x="3"/>
        <item m="1" x="10"/>
        <item m="1" x="12"/>
        <item m="1" x="13"/>
        <item m="1" x="6"/>
        <item m="1" x="7"/>
        <item m="1" x="9"/>
        <item m="1" x="11"/>
        <item x="0"/>
        <item x="1"/>
        <item x="2"/>
        <item t="default"/>
      </items>
    </pivotField>
    <pivotField compact="0" outline="0" showAll="0" defaultSubtotal="0">
      <items count="53">
        <item m="1" x="31"/>
        <item m="1" x="42"/>
        <item m="1" x="44"/>
        <item m="1" x="36"/>
        <item m="1" x="51"/>
        <item m="1" x="32"/>
        <item m="1" x="37"/>
        <item m="1" x="52"/>
        <item x="0"/>
        <item m="1" x="25"/>
        <item x="8"/>
        <item x="1"/>
        <item x="10"/>
        <item m="1" x="43"/>
        <item m="1" x="29"/>
        <item m="1" x="22"/>
        <item m="1" x="49"/>
        <item x="2"/>
        <item x="3"/>
        <item x="9"/>
        <item m="1" x="16"/>
        <item m="1" x="35"/>
        <item m="1" x="34"/>
        <item m="1" x="28"/>
        <item m="1" x="21"/>
        <item m="1" x="41"/>
        <item m="1" x="18"/>
        <item m="1" x="17"/>
        <item m="1" x="47"/>
        <item x="4"/>
        <item m="1" x="27"/>
        <item m="1" x="26"/>
        <item m="1" x="24"/>
        <item m="1" x="39"/>
        <item m="1" x="23"/>
        <item m="1" x="45"/>
        <item m="1" x="48"/>
        <item m="1" x="15"/>
        <item m="1" x="19"/>
        <item m="1" x="40"/>
        <item m="1" x="20"/>
        <item m="1" x="50"/>
        <item m="1" x="46"/>
        <item x="5"/>
        <item x="6"/>
        <item x="11"/>
        <item m="1" x="30"/>
        <item m="1" x="33"/>
        <item x="13"/>
        <item x="7"/>
        <item x="12"/>
        <item m="1" x="38"/>
        <item m="1" x="14"/>
      </items>
    </pivotField>
    <pivotField compact="0" outline="0" showAll="0" defaultSubtotal="0"/>
    <pivotField compact="0" outline="0" showAll="0"/>
    <pivotField axis="axisRow" compact="0" outline="0" showAll="0">
      <items count="7">
        <item x="0"/>
        <item m="1" x="4"/>
        <item x="1"/>
        <item m="1" x="2"/>
        <item m="1" x="3"/>
        <item m="1" x="5"/>
        <item t="default"/>
      </items>
    </pivotField>
    <pivotField axis="axisRow" compact="0" outline="0" showAll="0">
      <items count="46">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 t="default"/>
      </items>
    </pivotField>
    <pivotField compact="0" outline="0" showAll="0" defaultSubtotal="0">
      <items count="11">
        <item x="1"/>
        <item m="1" x="8"/>
        <item x="0"/>
        <item m="1" x="7"/>
        <item m="1" x="5"/>
        <item m="1" x="3"/>
        <item m="1" x="2"/>
        <item m="1" x="9"/>
        <item m="1" x="6"/>
        <item m="1" x="10"/>
        <item m="1" x="4"/>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5">
    <i>
      <x/>
      <x v="1"/>
    </i>
    <i r="1">
      <x v="3"/>
    </i>
    <i r="1">
      <x v="4"/>
    </i>
    <i r="1">
      <x v="12"/>
    </i>
    <i r="1">
      <x v="16"/>
    </i>
    <i r="1">
      <x v="17"/>
    </i>
    <i r="1">
      <x v="18"/>
    </i>
    <i r="1">
      <x v="22"/>
    </i>
    <i r="1">
      <x v="28"/>
    </i>
    <i r="1">
      <x v="31"/>
    </i>
    <i r="1">
      <x v="33"/>
    </i>
    <i r="1">
      <x v="34"/>
    </i>
    <i r="1">
      <x v="35"/>
    </i>
    <i t="default">
      <x/>
    </i>
    <i>
      <x v="2"/>
      <x v="5"/>
    </i>
    <i r="1">
      <x v="6"/>
    </i>
    <i r="1">
      <x v="7"/>
    </i>
    <i r="1">
      <x v="10"/>
    </i>
    <i r="1">
      <x v="13"/>
    </i>
    <i r="1">
      <x v="20"/>
    </i>
    <i r="1">
      <x v="23"/>
    </i>
    <i r="1">
      <x v="24"/>
    </i>
    <i r="1">
      <x v="38"/>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4" baseField="0" baseItem="0"/>
    <dataField name="Number of people with equitable and continuous access to safe sanitation facilities" fld="101" baseField="0" baseItem="0"/>
    <dataField name="Number of people with equitable and continuous access to sufficient quantity of domestic water" fld="93" baseField="0" baseItem="0"/>
  </dataFields>
  <formats count="25">
    <format dxfId="102">
      <pivotArea field="4" type="button" dataOnly="0" labelOnly="1" outline="0" axis="axisRow" fieldPosition="0"/>
    </format>
    <format dxfId="101">
      <pivotArea field="5" type="button" dataOnly="0" labelOnly="1" outline="0" axis="axisRow" fieldPosition="1"/>
    </format>
    <format dxfId="100">
      <pivotArea dataOnly="0" labelOnly="1" outline="0" fieldPosition="0">
        <references count="1">
          <reference field="4294967294" count="1">
            <x v="0"/>
          </reference>
        </references>
      </pivotArea>
    </format>
    <format dxfId="99">
      <pivotArea field="4" type="button" dataOnly="0" labelOnly="1" outline="0" axis="axisRow" fieldPosition="0"/>
    </format>
    <format dxfId="98">
      <pivotArea field="5" type="button" dataOnly="0" labelOnly="1" outline="0" axis="axisRow" fieldPosition="1"/>
    </format>
    <format dxfId="97">
      <pivotArea dataOnly="0" labelOnly="1" outline="0" fieldPosition="0">
        <references count="1">
          <reference field="4294967294" count="1">
            <x v="0"/>
          </reference>
        </references>
      </pivotArea>
    </format>
    <format dxfId="96">
      <pivotArea field="4" type="button" dataOnly="0" labelOnly="1" outline="0" axis="axisRow" fieldPosition="0"/>
    </format>
    <format dxfId="95">
      <pivotArea field="5" type="button" dataOnly="0" labelOnly="1" outline="0" axis="axisRow" fieldPosition="1"/>
    </format>
    <format dxfId="94">
      <pivotArea dataOnly="0" labelOnly="1" outline="0" fieldPosition="0">
        <references count="1">
          <reference field="4294967294" count="1">
            <x v="0"/>
          </reference>
        </references>
      </pivotArea>
    </format>
    <format dxfId="93">
      <pivotArea dataOnly="0" labelOnly="1" outline="0" fieldPosition="0">
        <references count="1">
          <reference field="4294967294" count="1">
            <x v="0"/>
          </reference>
        </references>
      </pivotArea>
    </format>
    <format dxfId="92">
      <pivotArea dataOnly="0" labelOnly="1" outline="0" fieldPosition="0">
        <references count="1">
          <reference field="4294967294" count="1">
            <x v="0"/>
          </reference>
        </references>
      </pivotArea>
    </format>
    <format dxfId="91">
      <pivotArea type="all" dataOnly="0" outline="0" fieldPosition="0"/>
    </format>
    <format dxfId="90">
      <pivotArea outline="0" collapsedLevelsAreSubtotals="1" fieldPosition="0"/>
    </format>
    <format dxfId="89">
      <pivotArea field="4" type="button" dataOnly="0" labelOnly="1" outline="0" axis="axisRow" fieldPosition="0"/>
    </format>
    <format dxfId="88">
      <pivotArea field="5" type="button" dataOnly="0" labelOnly="1" outline="0" axis="axisRow" fieldPosition="1"/>
    </format>
    <format dxfId="87">
      <pivotArea dataOnly="0" labelOnly="1" outline="0" fieldPosition="0">
        <references count="1">
          <reference field="4" count="0"/>
        </references>
      </pivotArea>
    </format>
    <format dxfId="86">
      <pivotArea dataOnly="0" labelOnly="1" outline="0" fieldPosition="0">
        <references count="1">
          <reference field="4" count="0" defaultSubtotal="1"/>
        </references>
      </pivotArea>
    </format>
    <format dxfId="85">
      <pivotArea dataOnly="0" labelOnly="1" grandRow="1" outline="0" fieldPosition="0"/>
    </format>
    <format dxfId="84">
      <pivotArea dataOnly="0" labelOnly="1" outline="0" fieldPosition="0">
        <references count="2">
          <reference field="4" count="1" selected="0">
            <x v="0"/>
          </reference>
          <reference field="5" count="13">
            <x v="1"/>
            <x v="3"/>
            <x v="4"/>
            <x v="12"/>
            <x v="16"/>
            <x v="17"/>
            <x v="18"/>
            <x v="22"/>
            <x v="28"/>
            <x v="31"/>
            <x v="33"/>
            <x v="34"/>
            <x v="35"/>
          </reference>
        </references>
      </pivotArea>
    </format>
    <format dxfId="83">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82">
      <pivotArea dataOnly="0" labelOnly="1" outline="0" fieldPosition="0">
        <references count="2">
          <reference field="4" count="1" selected="0">
            <x v="1"/>
          </reference>
          <reference field="5" count="12">
            <x v="0"/>
            <x v="2"/>
            <x v="8"/>
            <x v="9"/>
            <x v="14"/>
            <x v="15"/>
            <x v="19"/>
            <x v="21"/>
            <x v="26"/>
            <x v="27"/>
            <x v="30"/>
            <x v="32"/>
          </reference>
        </references>
      </pivotArea>
    </format>
    <format dxfId="81">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0">
      <pivotArea dataOnly="0" labelOnly="1" outline="0" fieldPosition="0">
        <references count="2">
          <reference field="4" count="1" selected="0">
            <x v="2"/>
          </reference>
          <reference field="5" count="7">
            <x v="5"/>
            <x v="6"/>
            <x v="7"/>
            <x v="13"/>
            <x v="20"/>
            <x v="23"/>
            <x v="24"/>
          </reference>
        </references>
      </pivotArea>
    </format>
    <format dxfId="79">
      <pivotArea dataOnly="0" labelOnly="1" outline="0" fieldPosition="0">
        <references count="2">
          <reference field="4" count="1" selected="0">
            <x v="2"/>
          </reference>
          <reference field="5" count="7" defaultSubtotal="1">
            <x v="5"/>
            <x v="6"/>
            <x v="7"/>
            <x v="13"/>
            <x v="20"/>
            <x v="23"/>
            <x v="24"/>
          </reference>
        </references>
      </pivotArea>
    </format>
    <format dxfId="78">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238" firstHeaderRow="0" firstDataRow="1" firstDataCol="1" rowPageCount="3" colPageCount="1"/>
  <pivotFields count="147">
    <pivotField axis="axisPage" compact="0" outline="0" showAll="0">
      <items count="18">
        <item m="1" x="14"/>
        <item m="1" x="15"/>
        <item m="1" x="5"/>
        <item m="1" x="16"/>
        <item m="1" x="8"/>
        <item m="1" x="4"/>
        <item m="1" x="3"/>
        <item m="1" x="10"/>
        <item m="1" x="12"/>
        <item m="1" x="13"/>
        <item m="1" x="6"/>
        <item m="1" x="7"/>
        <item m="1" x="9"/>
        <item m="1" x="11"/>
        <item x="0"/>
        <item x="1"/>
        <item x="2"/>
        <item t="default"/>
      </items>
    </pivotField>
    <pivotField compact="0" outline="0" showAll="0" defaultSubtotal="0"/>
    <pivotField compact="0" outline="0" showAll="0" defaultSubtotal="0">
      <items count="52">
        <item m="1" x="29"/>
        <item m="1" x="42"/>
        <item m="1" x="44"/>
        <item m="1" x="38"/>
        <item m="1" x="49"/>
        <item m="1" x="30"/>
        <item m="1" x="39"/>
        <item m="1" x="50"/>
        <item x="0"/>
        <item m="1" x="22"/>
        <item x="8"/>
        <item x="1"/>
        <item x="10"/>
        <item m="1" x="43"/>
        <item m="1" x="27"/>
        <item m="1" x="20"/>
        <item m="1" x="47"/>
        <item x="2"/>
        <item x="3"/>
        <item x="9"/>
        <item m="1" x="23"/>
        <item m="1" x="16"/>
        <item m="1" x="31"/>
        <item m="1" x="36"/>
        <item m="1" x="35"/>
        <item m="1" x="26"/>
        <item m="1" x="51"/>
        <item m="1" x="19"/>
        <item m="1" x="37"/>
        <item m="1" x="17"/>
        <item x="4"/>
        <item m="1" x="25"/>
        <item m="1" x="24"/>
        <item m="1" x="21"/>
        <item m="1" x="40"/>
        <item m="1" x="45"/>
        <item m="1" x="15"/>
        <item m="1" x="41"/>
        <item m="1" x="18"/>
        <item m="1" x="48"/>
        <item m="1" x="46"/>
        <item x="5"/>
        <item x="6"/>
        <item x="11"/>
        <item m="1" x="28"/>
        <item m="1" x="33"/>
        <item m="1" x="32"/>
        <item x="13"/>
        <item m="1" x="34"/>
        <item x="7"/>
        <item x="12"/>
        <item m="1" x="14"/>
      </items>
    </pivotField>
    <pivotField compact="0" outline="0" showAll="0"/>
    <pivotField axis="axisPage" compact="0" outline="0" showAll="0">
      <items count="7">
        <item x="0"/>
        <item m="1" x="4"/>
        <item x="1"/>
        <item m="1" x="2"/>
        <item m="1" x="3"/>
        <item m="1" x="5"/>
        <item t="default"/>
      </items>
    </pivotField>
    <pivotField axis="axisPage" compact="0" outline="0" showAll="0">
      <items count="46">
        <item m="1" x="30"/>
        <item x="10"/>
        <item m="1" x="43"/>
        <item x="4"/>
        <item x="3"/>
        <item x="19"/>
        <item x="20"/>
        <item x="13"/>
        <item m="1" x="38"/>
        <item m="1" x="24"/>
        <item x="12"/>
        <item m="1" x="41"/>
        <item x="9"/>
        <item x="16"/>
        <item m="1" x="36"/>
        <item m="1" x="29"/>
        <item x="6"/>
        <item x="5"/>
        <item x="7"/>
        <item m="1" x="42"/>
        <item x="14"/>
        <item m="1" x="34"/>
        <item x="0"/>
        <item x="18"/>
        <item x="15"/>
        <item m="1" x="27"/>
        <item m="1" x="31"/>
        <item m="1" x="37"/>
        <item x="8"/>
        <item m="1" x="44"/>
        <item m="1" x="40"/>
        <item x="1"/>
        <item m="1" x="39"/>
        <item x="11"/>
        <item x="21"/>
        <item x="2"/>
        <item m="1" x="32"/>
        <item m="1" x="23"/>
        <item x="17"/>
        <item m="1" x="22"/>
        <item m="1" x="35"/>
        <item m="1" x="33"/>
        <item m="1" x="28"/>
        <item m="1" x="25"/>
        <item m="1" x="26"/>
        <item t="default"/>
      </items>
    </pivotField>
    <pivotField compact="0" outline="0" showAll="0" defaultSubtotal="0">
      <items count="11">
        <item x="1"/>
        <item m="1" x="8"/>
        <item x="0"/>
        <item m="1" x="7"/>
        <item m="1" x="5"/>
        <item m="1" x="3"/>
        <item m="1" x="2"/>
        <item m="1" x="9"/>
        <item m="1" x="6"/>
        <item m="1" x="10"/>
        <item m="1" x="4"/>
      </items>
    </pivotField>
    <pivotField axis="axisRow" compact="0" outline="0" showAll="0">
      <items count="1016">
        <item x="153"/>
        <item x="183"/>
        <item x="184"/>
        <item x="154"/>
        <item x="155"/>
        <item x="69"/>
        <item m="1" x="352"/>
        <item m="1" x="581"/>
        <item m="1" x="269"/>
        <item m="1" x="308"/>
        <item m="1" x="556"/>
        <item m="1" x="668"/>
        <item m="1" x="682"/>
        <item m="1" x="469"/>
        <item m="1" x="310"/>
        <item m="1" x="927"/>
        <item m="1" x="835"/>
        <item m="1" x="322"/>
        <item m="1" x="724"/>
        <item m="1" x="522"/>
        <item m="1" x="872"/>
        <item m="1" x="814"/>
        <item m="1" x="895"/>
        <item m="1" x="916"/>
        <item m="1" x="385"/>
        <item m="1" x="795"/>
        <item m="1" x="415"/>
        <item m="1" x="431"/>
        <item m="1" x="429"/>
        <item m="1" x="348"/>
        <item x="70"/>
        <item m="1" x="964"/>
        <item m="1" x="1001"/>
        <item m="1" x="734"/>
        <item m="1" x="481"/>
        <item m="1" x="373"/>
        <item x="156"/>
        <item m="1" x="416"/>
        <item m="1" x="870"/>
        <item m="1" x="824"/>
        <item m="1" x="887"/>
        <item m="1" x="259"/>
        <item m="1" x="362"/>
        <item m="1" x="569"/>
        <item m="1" x="789"/>
        <item m="1" x="790"/>
        <item m="1" x="565"/>
        <item x="128"/>
        <item m="1" x="411"/>
        <item x="48"/>
        <item m="1" x="995"/>
        <item m="1" x="954"/>
        <item m="1" x="732"/>
        <item x="196"/>
        <item m="1" x="922"/>
        <item m="1" x="722"/>
        <item m="1" x="751"/>
        <item m="1" x="235"/>
        <item m="1" x="255"/>
        <item x="157"/>
        <item m="1" x="897"/>
        <item m="1" x="450"/>
        <item m="1" x="372"/>
        <item m="1" x="446"/>
        <item x="158"/>
        <item m="1" x="630"/>
        <item m="1" x="779"/>
        <item m="1" x="217"/>
        <item m="1" x="728"/>
        <item m="1" x="957"/>
        <item m="1" x="651"/>
        <item m="1" x="260"/>
        <item m="1" x="388"/>
        <item m="1" x="890"/>
        <item x="159"/>
        <item m="1" x="823"/>
        <item m="1" x="571"/>
        <item m="1" x="470"/>
        <item m="1" x="925"/>
        <item m="1" x="626"/>
        <item m="1" x="402"/>
        <item x="2"/>
        <item m="1" x="797"/>
        <item x="49"/>
        <item m="1" x="941"/>
        <item m="1" x="350"/>
        <item m="1" x="962"/>
        <item m="1" x="695"/>
        <item m="1" x="578"/>
        <item m="1" x="607"/>
        <item m="1" x="850"/>
        <item m="1" x="262"/>
        <item m="1" x="755"/>
        <item m="1" x="689"/>
        <item m="1" x="939"/>
        <item m="1" x="884"/>
        <item m="1" x="748"/>
        <item m="1" x="611"/>
        <item m="1" x="644"/>
        <item m="1" x="233"/>
        <item x="131"/>
        <item x="160"/>
        <item x="3"/>
        <item m="1" x="318"/>
        <item m="1" x="223"/>
        <item m="1" x="602"/>
        <item x="4"/>
        <item m="1" x="511"/>
        <item x="161"/>
        <item m="1" x="471"/>
        <item x="132"/>
        <item x="73"/>
        <item m="1" x="717"/>
        <item x="162"/>
        <item m="1" x="472"/>
        <item m="1" x="720"/>
        <item x="5"/>
        <item m="1" x="244"/>
        <item x="74"/>
        <item x="75"/>
        <item x="77"/>
        <item m="1" x="730"/>
        <item m="1" x="439"/>
        <item m="1" x="282"/>
        <item m="1" x="702"/>
        <item x="134"/>
        <item x="7"/>
        <item x="50"/>
        <item x="51"/>
        <item m="1" x="663"/>
        <item m="1" x="970"/>
        <item m="1" x="1011"/>
        <item m="1" x="912"/>
        <item x="78"/>
        <item m="1" x="635"/>
        <item m="1" x="627"/>
        <item m="1" x="826"/>
        <item m="1" x="399"/>
        <item m="1" x="353"/>
        <item m="1" x="393"/>
        <item m="1" x="613"/>
        <item m="1" x="759"/>
        <item m="1" x="932"/>
        <item m="1" x="718"/>
        <item m="1" x="277"/>
        <item m="1" x="856"/>
        <item m="1" x="489"/>
        <item m="1" x="590"/>
        <item m="1" x="422"/>
        <item m="1" x="545"/>
        <item x="79"/>
        <item m="1" x="493"/>
        <item m="1" x="1003"/>
        <item m="1" x="719"/>
        <item x="135"/>
        <item m="1" x="456"/>
        <item m="1" x="725"/>
        <item m="1" x="496"/>
        <item m="1" x="295"/>
        <item m="1" x="374"/>
        <item m="1" x="307"/>
        <item m="1" x="731"/>
        <item m="1" x="959"/>
        <item x="80"/>
        <item x="81"/>
        <item x="82"/>
        <item m="1" x="585"/>
        <item m="1" x="300"/>
        <item m="1" x="744"/>
        <item m="1" x="336"/>
        <item m="1" x="794"/>
        <item m="1" x="334"/>
        <item m="1" x="380"/>
        <item m="1" x="619"/>
        <item m="1" x="989"/>
        <item m="1" x="1005"/>
        <item m="1" x="317"/>
        <item m="1" x="278"/>
        <item m="1" x="368"/>
        <item m="1" x="756"/>
        <item m="1" x="398"/>
        <item m="1" x="465"/>
        <item m="1" x="819"/>
        <item m="1" x="325"/>
        <item m="1" x="896"/>
        <item m="1" x="931"/>
        <item m="1" x="320"/>
        <item m="1" x="572"/>
        <item m="1" x="899"/>
        <item m="1" x="386"/>
        <item m="1" x="267"/>
        <item x="83"/>
        <item m="1" x="685"/>
        <item m="1" x="220"/>
        <item x="9"/>
        <item m="1" x="883"/>
        <item m="1" x="622"/>
        <item m="1" x="442"/>
        <item m="1" x="391"/>
        <item x="10"/>
        <item m="1" x="889"/>
        <item x="197"/>
        <item m="1" x="280"/>
        <item m="1" x="665"/>
        <item m="1" x="867"/>
        <item m="1" x="787"/>
        <item x="163"/>
        <item x="12"/>
        <item x="13"/>
        <item m="1" x="1012"/>
        <item m="1" x="261"/>
        <item m="1" x="209"/>
        <item m="1" x="841"/>
        <item m="1" x="513"/>
        <item m="1" x="256"/>
        <item m="1" x="704"/>
        <item m="1" x="476"/>
        <item x="164"/>
        <item m="1" x="502"/>
        <item m="1" x="608"/>
        <item x="165"/>
        <item x="166"/>
        <item x="84"/>
        <item x="85"/>
        <item x="186"/>
        <item x="187"/>
        <item x="188"/>
        <item m="1" x="328"/>
        <item m="1" x="271"/>
        <item m="1" x="314"/>
        <item x="14"/>
        <item x="189"/>
        <item m="1" x="851"/>
        <item m="1" x="845"/>
        <item x="16"/>
        <item x="137"/>
        <item m="1" x="405"/>
        <item x="167"/>
        <item x="57"/>
        <item x="17"/>
        <item x="18"/>
        <item x="19"/>
        <item x="58"/>
        <item m="1" x="873"/>
        <item x="20"/>
        <item x="87"/>
        <item x="190"/>
        <item x="21"/>
        <item x="138"/>
        <item x="88"/>
        <item m="1" x="541"/>
        <item x="89"/>
        <item x="90"/>
        <item x="91"/>
        <item x="92"/>
        <item m="1" x="679"/>
        <item x="93"/>
        <item x="94"/>
        <item x="95"/>
        <item x="125"/>
        <item m="1" x="219"/>
        <item x="96"/>
        <item x="139"/>
        <item m="1" x="268"/>
        <item m="1" x="898"/>
        <item m="1" x="319"/>
        <item x="168"/>
        <item x="169"/>
        <item m="1" x="247"/>
        <item m="1" x="304"/>
        <item m="1" x="869"/>
        <item x="140"/>
        <item m="1" x="408"/>
        <item m="1" x="492"/>
        <item m="1" x="316"/>
        <item m="1" x="326"/>
        <item m="1" x="463"/>
        <item m="1" x="335"/>
        <item m="1" x="977"/>
        <item m="1" x="965"/>
        <item m="1" x="721"/>
        <item m="1" x="264"/>
        <item x="141"/>
        <item x="99"/>
        <item x="142"/>
        <item x="100"/>
        <item x="101"/>
        <item x="102"/>
        <item x="103"/>
        <item m="1" x="567"/>
        <item x="104"/>
        <item m="1" x="276"/>
        <item m="1" x="822"/>
        <item x="105"/>
        <item x="143"/>
        <item m="1" x="462"/>
        <item m="1" x="641"/>
        <item m="1" x="945"/>
        <item m="1" x="482"/>
        <item x="144"/>
        <item m="1" x="488"/>
        <item x="126"/>
        <item x="106"/>
        <item x="107"/>
        <item x="127"/>
        <item m="1" x="660"/>
        <item x="108"/>
        <item m="1" x="389"/>
        <item x="170"/>
        <item x="110"/>
        <item x="111"/>
        <item x="112"/>
        <item m="1" x="817"/>
        <item x="60"/>
        <item m="1" x="780"/>
        <item x="113"/>
        <item x="61"/>
        <item m="1" x="286"/>
        <item m="1" x="521"/>
        <item m="1" x="829"/>
        <item x="25"/>
        <item m="1" x="382"/>
        <item m="1" x="905"/>
        <item m="1" x="296"/>
        <item x="171"/>
        <item x="26"/>
        <item m="1" x="211"/>
        <item x="27"/>
        <item x="114"/>
        <item m="1" x="549"/>
        <item m="1" x="807"/>
        <item m="1" x="655"/>
        <item m="1" x="343"/>
        <item m="1" x="588"/>
        <item m="1" x="894"/>
        <item m="1" x="370"/>
        <item m="1" x="485"/>
        <item m="1" x="364"/>
        <item m="1" x="480"/>
        <item m="1" x="351"/>
        <item m="1" x="403"/>
        <item m="1" x="919"/>
        <item x="198"/>
        <item m="1" x="344"/>
        <item m="1" x="294"/>
        <item x="28"/>
        <item m="1" x="360"/>
        <item m="1" x="576"/>
        <item m="1" x="558"/>
        <item m="1" x="833"/>
        <item x="191"/>
        <item m="1" x="519"/>
        <item m="1" x="283"/>
        <item m="1" x="423"/>
        <item m="1" x="603"/>
        <item m="1" x="495"/>
        <item m="1" x="279"/>
        <item m="1" x="837"/>
        <item m="1" x="520"/>
        <item m="1" x="710"/>
        <item m="1" x="376"/>
        <item m="1" x="451"/>
        <item m="1" x="864"/>
        <item m="1" x="926"/>
        <item m="1" x="375"/>
        <item x="62"/>
        <item x="199"/>
        <item m="1" x="782"/>
        <item x="29"/>
        <item m="1" x="745"/>
        <item m="1" x="383"/>
        <item m="1" x="553"/>
        <item x="115"/>
        <item x="116"/>
        <item x="64"/>
        <item m="1" x="973"/>
        <item m="1" x="775"/>
        <item m="1" x="846"/>
        <item m="1" x="483"/>
        <item m="1" x="993"/>
        <item x="192"/>
        <item m="1" x="508"/>
        <item m="1" x="653"/>
        <item m="1" x="561"/>
        <item m="1" x="537"/>
        <item m="1" x="390"/>
        <item m="1" x="424"/>
        <item m="1" x="676"/>
        <item x="65"/>
        <item m="1" x="249"/>
        <item m="1" x="460"/>
        <item m="1" x="801"/>
        <item m="1" x="575"/>
        <item m="1" x="949"/>
        <item m="1" x="580"/>
        <item m="1" x="478"/>
        <item m="1" x="612"/>
        <item m="1" x="958"/>
        <item m="1" x="228"/>
        <item x="172"/>
        <item x="31"/>
        <item x="173"/>
        <item m="1" x="289"/>
        <item m="1" x="681"/>
        <item m="1" x="948"/>
        <item m="1" x="346"/>
        <item m="1" x="432"/>
        <item m="1" x="205"/>
        <item m="1" x="331"/>
        <item x="174"/>
        <item m="1" x="757"/>
        <item x="193"/>
        <item m="1" x="514"/>
        <item m="1" x="568"/>
        <item m="1" x="213"/>
        <item m="1" x="562"/>
        <item x="32"/>
        <item m="1" x="599"/>
        <item m="1" x="950"/>
        <item m="1" x="942"/>
        <item m="1" x="455"/>
        <item x="33"/>
        <item m="1" x="758"/>
        <item m="1" x="799"/>
        <item m="1" x="652"/>
        <item x="66"/>
        <item m="1" x="820"/>
        <item m="1" x="525"/>
        <item m="1" x="849"/>
        <item m="1" x="672"/>
        <item m="1" x="832"/>
        <item m="1" x="836"/>
        <item x="195"/>
        <item m="1" x="206"/>
        <item m="1" x="288"/>
        <item m="1" x="523"/>
        <item x="34"/>
        <item m="1" x="1008"/>
        <item x="35"/>
        <item x="147"/>
        <item x="36"/>
        <item m="1" x="984"/>
        <item x="37"/>
        <item x="175"/>
        <item m="1" x="292"/>
        <item x="38"/>
        <item x="117"/>
        <item x="118"/>
        <item m="1" x="656"/>
        <item m="1" x="499"/>
        <item m="1" x="774"/>
        <item m="1" x="625"/>
        <item x="39"/>
        <item m="1" x="231"/>
        <item m="1" x="875"/>
        <item m="1" x="798"/>
        <item x="67"/>
        <item m="1" x="882"/>
        <item m="1" x="796"/>
        <item m="1" x="467"/>
        <item m="1" x="401"/>
        <item m="1" x="749"/>
        <item m="1" x="542"/>
        <item m="1" x="809"/>
        <item m="1" x="646"/>
        <item x="68"/>
        <item x="149"/>
        <item m="1" x="859"/>
        <item m="1" x="781"/>
        <item m="1" x="272"/>
        <item m="1" x="937"/>
        <item m="1" x="862"/>
        <item m="1" x="739"/>
        <item m="1" x="815"/>
        <item x="150"/>
        <item m="1" x="207"/>
        <item m="1" x="474"/>
        <item x="41"/>
        <item x="176"/>
        <item x="177"/>
        <item x="42"/>
        <item x="43"/>
        <item m="1" x="329"/>
        <item m="1" x="716"/>
        <item m="1" x="654"/>
        <item m="1" x="712"/>
        <item m="1" x="726"/>
        <item m="1" x="548"/>
        <item m="1" x="229"/>
        <item m="1" x="982"/>
        <item m="1" x="760"/>
        <item m="1" x="988"/>
        <item m="1" x="776"/>
        <item m="1" x="893"/>
        <item m="1" x="691"/>
        <item m="1" x="1006"/>
        <item m="1" x="968"/>
        <item m="1" x="683"/>
        <item m="1" x="464"/>
        <item m="1" x="381"/>
        <item m="1" x="241"/>
        <item m="1" x="947"/>
        <item m="1" x="528"/>
        <item m="1" x="544"/>
        <item m="1" x="737"/>
        <item m="1" x="1013"/>
        <item m="1" x="592"/>
        <item m="1" x="866"/>
        <item m="1" x="270"/>
        <item x="178"/>
        <item m="1" x="664"/>
        <item m="1" x="955"/>
        <item m="1" x="976"/>
        <item m="1" x="956"/>
        <item m="1" x="498"/>
        <item m="1" x="419"/>
        <item m="1" x="379"/>
        <item m="1" x="240"/>
        <item m="1" x="377"/>
        <item m="1" x="218"/>
        <item m="1" x="204"/>
        <item m="1" x="808"/>
        <item m="1" x="392"/>
        <item m="1" x="340"/>
        <item m="1" x="741"/>
        <item m="1" x="918"/>
        <item m="1" x="330"/>
        <item m="1" x="1002"/>
        <item m="1" x="500"/>
        <item x="152"/>
        <item x="119"/>
        <item m="1" x="298"/>
        <item m="1" x="802"/>
        <item m="1" x="333"/>
        <item m="1" x="793"/>
        <item m="1" x="589"/>
        <item m="1" x="812"/>
        <item m="1" x="425"/>
        <item x="179"/>
        <item m="1" x="765"/>
        <item x="180"/>
        <item m="1" x="969"/>
        <item m="1" x="909"/>
        <item m="1" x="847"/>
        <item x="120"/>
        <item x="121"/>
        <item x="122"/>
        <item m="1" x="746"/>
        <item m="1" x="475"/>
        <item m="1" x="559"/>
        <item m="1" x="852"/>
        <item m="1" x="688"/>
        <item m="1" x="555"/>
        <item x="123"/>
        <item m="1" x="997"/>
        <item x="181"/>
        <item m="1" x="598"/>
        <item m="1" x="243"/>
        <item m="1" x="821"/>
        <item m="1" x="838"/>
        <item m="1" x="839"/>
        <item m="1" x="911"/>
        <item m="1" x="306"/>
        <item m="1" x="586"/>
        <item m="1" x="406"/>
        <item m="1" x="407"/>
        <item m="1" x="975"/>
        <item m="1" x="923"/>
        <item m="1" x="907"/>
        <item m="1" x="582"/>
        <item m="1" x="963"/>
        <item m="1" x="515"/>
        <item m="1" x="696"/>
        <item m="1" x="857"/>
        <item m="1" x="248"/>
        <item m="1" x="447"/>
        <item m="1" x="266"/>
        <item m="1" x="692"/>
        <item m="1" x="639"/>
        <item m="1" x="666"/>
        <item x="124"/>
        <item m="1" x="723"/>
        <item x="59"/>
        <item x="54"/>
        <item m="1" x="563"/>
        <item x="129"/>
        <item m="1" x="297"/>
        <item m="1" x="986"/>
        <item m="1" x="631"/>
        <item x="44"/>
        <item m="1" x="709"/>
        <item x="145"/>
        <item x="55"/>
        <item x="53"/>
        <item x="52"/>
        <item m="1" x="623"/>
        <item m="1" x="466"/>
        <item m="1" x="250"/>
        <item m="1" x="991"/>
        <item m="1" x="767"/>
        <item m="1" x="363"/>
        <item m="1" x="678"/>
        <item m="1" x="587"/>
        <item m="1" x="1010"/>
        <item m="1" x="934"/>
        <item m="1" x="533"/>
        <item m="1" x="426"/>
        <item m="1" x="512"/>
        <item m="1" x="285"/>
        <item m="1" x="891"/>
        <item m="1" x="705"/>
        <item m="1" x="971"/>
        <item m="1" x="212"/>
        <item m="1" x="750"/>
        <item x="30"/>
        <item x="56"/>
        <item x="47"/>
        <item x="11"/>
        <item x="0"/>
        <item x="40"/>
        <item x="1"/>
        <item x="6"/>
        <item x="23"/>
        <item m="1" x="566"/>
        <item m="1" x="703"/>
        <item m="1" x="551"/>
        <item m="1" x="810"/>
        <item m="1" x="783"/>
        <item m="1" x="458"/>
        <item m="1" x="903"/>
        <item m="1" x="560"/>
        <item m="1" x="670"/>
        <item m="1" x="770"/>
        <item m="1" x="404"/>
        <item m="1" x="299"/>
        <item m="1" x="1009"/>
        <item m="1" x="275"/>
        <item m="1" x="777"/>
        <item m="1" x="1000"/>
        <item m="1" x="936"/>
        <item m="1" x="998"/>
        <item m="1" x="967"/>
        <item m="1" x="435"/>
        <item m="1" x="387"/>
        <item m="1" x="593"/>
        <item m="1" x="484"/>
        <item m="1" x="1004"/>
        <item m="1" x="803"/>
        <item m="1" x="930"/>
        <item m="1" x="254"/>
        <item m="1" x="504"/>
        <item m="1" x="428"/>
        <item m="1" x="263"/>
        <item m="1" x="690"/>
        <item m="1" x="624"/>
        <item m="1" x="885"/>
        <item m="1" x="396"/>
        <item m="1" x="486"/>
        <item m="1" x="657"/>
        <item m="1" x="583"/>
        <item m="1" x="902"/>
        <item m="1" x="610"/>
        <item m="1" x="444"/>
        <item m="1" x="981"/>
        <item m="1" x="818"/>
        <item m="1" x="980"/>
        <item m="1" x="979"/>
        <item m="1" x="315"/>
        <item m="1" x="662"/>
        <item m="1" x="357"/>
        <item m="1" x="830"/>
        <item m="1" x="910"/>
        <item m="1" x="487"/>
        <item m="1" x="290"/>
        <item m="1" x="208"/>
        <item m="1" x="412"/>
        <item m="1" x="943"/>
        <item m="1" x="394"/>
        <item m="1" x="510"/>
        <item m="1" x="966"/>
        <item m="1" x="669"/>
        <item m="1" x="754"/>
        <item m="1" x="440"/>
        <item m="1" x="706"/>
        <item m="1" x="281"/>
        <item m="1" x="601"/>
        <item m="1" x="457"/>
        <item m="1" x="743"/>
        <item m="1" x="497"/>
        <item m="1" x="540"/>
        <item m="1" x="427"/>
        <item m="1" x="371"/>
        <item m="1" x="738"/>
        <item m="1" x="871"/>
        <item x="15"/>
        <item x="151"/>
        <item x="109"/>
        <item x="86"/>
        <item x="98"/>
        <item x="24"/>
        <item x="45"/>
        <item x="8"/>
        <item x="46"/>
        <item x="63"/>
        <item m="1" x="636"/>
        <item m="1" x="323"/>
        <item m="1" x="888"/>
        <item m="1" x="828"/>
        <item m="1" x="355"/>
        <item m="1" x="477"/>
        <item m="1" x="252"/>
        <item m="1" x="584"/>
        <item x="97"/>
        <item x="148"/>
        <item m="1" x="245"/>
        <item m="1" x="946"/>
        <item m="1" x="430"/>
        <item m="1" x="650"/>
        <item m="1" x="658"/>
        <item m="1" x="253"/>
        <item m="1" x="800"/>
        <item x="72"/>
        <item x="76"/>
        <item m="1" x="595"/>
        <item m="1" x="547"/>
        <item m="1" x="354"/>
        <item m="1" x="338"/>
        <item m="1" x="861"/>
        <item m="1" x="420"/>
        <item m="1" x="410"/>
        <item m="1" x="855"/>
        <item m="1" x="400"/>
        <item m="1" x="863"/>
        <item m="1" x="437"/>
        <item m="1" x="210"/>
        <item m="1" x="933"/>
        <item m="1" x="629"/>
        <item m="1" x="791"/>
        <item m="1" x="675"/>
        <item m="1" x="574"/>
        <item m="1" x="438"/>
        <item m="1" x="557"/>
        <item m="1" x="633"/>
        <item m="1" x="516"/>
        <item m="1" x="369"/>
        <item m="1" x="974"/>
        <item m="1" x="349"/>
        <item m="1" x="443"/>
        <item m="1" x="929"/>
        <item m="1" x="531"/>
        <item m="1" x="503"/>
        <item m="1" x="844"/>
        <item m="1" x="604"/>
        <item m="1" x="361"/>
        <item m="1" x="771"/>
        <item m="1" x="536"/>
        <item m="1" x="552"/>
        <item m="1" x="546"/>
        <item m="1" x="221"/>
        <item m="1" x="596"/>
        <item m="1" x="409"/>
        <item m="1" x="309"/>
        <item m="1" x="999"/>
        <item m="1" x="591"/>
        <item m="1" x="312"/>
        <item m="1" x="865"/>
        <item m="1" x="550"/>
        <item m="1" x="577"/>
        <item m="1" x="238"/>
        <item m="1" x="337"/>
        <item m="1" x="813"/>
        <item m="1" x="524"/>
        <item m="1" x="632"/>
        <item m="1" x="246"/>
        <item m="1" x="618"/>
        <item m="1" x="736"/>
        <item m="1" x="339"/>
        <item m="1" x="434"/>
        <item m="1" x="356"/>
        <item m="1" x="453"/>
        <item m="1" x="441"/>
        <item m="1" x="291"/>
        <item m="1" x="920"/>
        <item m="1" x="792"/>
        <item m="1" x="600"/>
        <item m="1" x="227"/>
        <item m="1" x="693"/>
        <item m="1" x="886"/>
        <item m="1" x="773"/>
        <item m="1" x="538"/>
        <item m="1" x="570"/>
        <item m="1" x="708"/>
        <item m="1" x="366"/>
        <item m="1" x="825"/>
        <item m="1" x="638"/>
        <item m="1" x="554"/>
        <item m="1" x="772"/>
        <item m="1" x="742"/>
        <item m="1" x="715"/>
        <item m="1" x="686"/>
        <item m="1" x="901"/>
        <item m="1" x="698"/>
        <item m="1" x="234"/>
        <item m="1" x="222"/>
        <item m="1" x="359"/>
        <item m="1" x="711"/>
        <item m="1" x="395"/>
        <item m="1" x="697"/>
        <item m="1" x="881"/>
        <item m="1" x="413"/>
        <item m="1" x="367"/>
        <item m="1" x="699"/>
        <item m="1" x="674"/>
        <item m="1" x="452"/>
        <item m="1" x="448"/>
        <item m="1" x="880"/>
        <item m="1" x="479"/>
        <item m="1" x="761"/>
        <item m="1" x="694"/>
        <item m="1" x="908"/>
        <item m="1" x="938"/>
        <item m="1" x="273"/>
        <item m="1" x="985"/>
        <item m="1" x="649"/>
        <item m="1" x="494"/>
        <item m="1" x="848"/>
        <item m="1" x="284"/>
        <item m="1" x="913"/>
        <item m="1" x="768"/>
        <item m="1" x="491"/>
        <item m="1" x="468"/>
        <item m="1" x="449"/>
        <item m="1" x="507"/>
        <item m="1" x="827"/>
        <item m="1" x="445"/>
        <item m="1" x="216"/>
        <item m="1" x="915"/>
        <item m="1" x="842"/>
        <item m="1" x="616"/>
        <item m="1" x="532"/>
        <item m="1" x="876"/>
        <item m="1" x="594"/>
        <item m="1" x="564"/>
        <item m="1" x="293"/>
        <item m="1" x="517"/>
        <item m="1" x="637"/>
        <item m="1" x="609"/>
        <item m="1" x="615"/>
        <item m="1" x="226"/>
        <item m="1" x="303"/>
        <item m="1" x="433"/>
        <item m="1" x="365"/>
        <item m="1" x="840"/>
        <item m="1" x="843"/>
        <item m="1" x="784"/>
        <item m="1" x="804"/>
        <item m="1" x="421"/>
        <item m="1" x="996"/>
        <item m="1" x="543"/>
        <item m="1" x="274"/>
        <item m="1" x="831"/>
        <item m="1" x="529"/>
        <item m="1" x="454"/>
        <item m="1" x="384"/>
        <item m="1" x="224"/>
        <item m="1" x="203"/>
        <item x="130"/>
        <item m="1" x="418"/>
        <item m="1" x="733"/>
        <item m="1" x="239"/>
        <item m="1" x="778"/>
        <item m="1" x="753"/>
        <item m="1" x="242"/>
        <item m="1" x="597"/>
        <item m="1" x="860"/>
        <item m="1" x="573"/>
        <item m="1" x="951"/>
        <item m="1" x="805"/>
        <item m="1" x="900"/>
        <item m="1" x="617"/>
        <item m="1" x="251"/>
        <item m="1" x="877"/>
        <item m="1" x="764"/>
        <item m="1" x="788"/>
        <item m="1" x="397"/>
        <item m="1" x="535"/>
        <item m="1" x="816"/>
        <item m="1" x="509"/>
        <item m="1" x="858"/>
        <item m="1" x="347"/>
        <item m="1" x="667"/>
        <item m="1" x="436"/>
        <item m="1" x="287"/>
        <item m="1" x="729"/>
        <item m="1" x="747"/>
        <item m="1" x="579"/>
        <item m="1" x="647"/>
        <item m="1" x="648"/>
        <item m="1" x="643"/>
        <item m="1" x="906"/>
        <item m="1" x="358"/>
        <item m="1" x="917"/>
        <item m="1" x="972"/>
        <item m="1" x="324"/>
        <item m="1" x="257"/>
        <item m="1" x="321"/>
        <item m="1" x="714"/>
        <item m="1" x="687"/>
        <item m="1" x="378"/>
        <item m="1" x="921"/>
        <item m="1" x="766"/>
        <item m="1" x="215"/>
        <item m="1" x="313"/>
        <item m="1" x="879"/>
        <item m="1" x="539"/>
        <item m="1" x="769"/>
        <item m="1" x="752"/>
        <item m="1" x="735"/>
        <item m="1" x="628"/>
        <item m="1" x="526"/>
        <item m="1" x="501"/>
        <item m="1" x="237"/>
        <item m="1" x="341"/>
        <item m="1" x="892"/>
        <item m="1" x="952"/>
        <item m="1" x="671"/>
        <item m="1" x="992"/>
        <item m="1" x="265"/>
        <item m="1" x="707"/>
        <item m="1" x="762"/>
        <item m="1" x="944"/>
        <item m="1" x="834"/>
        <item m="1" x="785"/>
        <item m="1" x="961"/>
        <item m="1" x="740"/>
        <item m="1" x="645"/>
        <item m="1" x="327"/>
        <item m="1" x="677"/>
        <item m="1" x="854"/>
        <item m="1" x="1014"/>
        <item m="1" x="811"/>
        <item m="1" x="461"/>
        <item m="1" x="684"/>
        <item m="1" x="987"/>
        <item m="1" x="634"/>
        <item m="1" x="506"/>
        <item m="1" x="621"/>
        <item m="1" x="534"/>
        <item m="1" x="953"/>
        <item m="1" x="640"/>
        <item m="1" x="928"/>
        <item m="1" x="700"/>
        <item m="1" x="414"/>
        <item m="1" x="302"/>
        <item m="1" x="214"/>
        <item m="1" x="935"/>
        <item m="1" x="232"/>
        <item m="1" x="620"/>
        <item m="1" x="311"/>
        <item m="1" x="924"/>
        <item m="1" x="994"/>
        <item m="1" x="680"/>
        <item m="1" x="914"/>
        <item m="1" x="983"/>
        <item m="1" x="642"/>
        <item m="1" x="904"/>
        <item m="1" x="332"/>
        <item m="1" x="874"/>
        <item m="1" x="225"/>
        <item m="1" x="727"/>
        <item m="1" x="459"/>
        <item m="1" x="518"/>
        <item m="1" x="990"/>
        <item m="1" x="853"/>
        <item x="185"/>
        <item x="71"/>
        <item m="1" x="301"/>
        <item m="1" x="659"/>
        <item m="1" x="806"/>
        <item m="1" x="606"/>
        <item m="1" x="1007"/>
        <item x="133"/>
        <item x="136"/>
        <item x="182"/>
        <item x="194"/>
        <item x="200"/>
        <item m="1" x="960"/>
        <item m="1" x="305"/>
        <item m="1" x="868"/>
        <item m="1" x="701"/>
        <item m="1" x="342"/>
        <item m="1" x="940"/>
        <item m="1" x="490"/>
        <item m="1" x="763"/>
        <item m="1" x="236"/>
        <item m="1" x="417"/>
        <item m="1" x="473"/>
        <item m="1" x="661"/>
        <item m="1" x="878"/>
        <item m="1" x="505"/>
        <item m="1" x="527"/>
        <item x="22"/>
        <item x="146"/>
        <item m="1" x="673"/>
        <item m="1" x="614"/>
        <item m="1" x="258"/>
        <item m="1" x="605"/>
        <item m="1" x="345"/>
        <item m="1" x="713"/>
        <item m="1" x="230"/>
        <item m="1" x="978"/>
        <item m="1" x="786"/>
        <item m="1" x="530"/>
        <item x="201"/>
        <item x="202"/>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00">
    <i>
      <x/>
    </i>
    <i>
      <x v="1"/>
    </i>
    <i>
      <x v="2"/>
    </i>
    <i>
      <x v="3"/>
    </i>
    <i>
      <x v="4"/>
    </i>
    <i>
      <x v="5"/>
    </i>
    <i>
      <x v="30"/>
    </i>
    <i>
      <x v="36"/>
    </i>
    <i>
      <x v="47"/>
    </i>
    <i>
      <x v="49"/>
    </i>
    <i>
      <x v="53"/>
    </i>
    <i>
      <x v="59"/>
    </i>
    <i>
      <x v="64"/>
    </i>
    <i>
      <x v="74"/>
    </i>
    <i>
      <x v="81"/>
    </i>
    <i>
      <x v="83"/>
    </i>
    <i>
      <x v="100"/>
    </i>
    <i>
      <x v="101"/>
    </i>
    <i>
      <x v="102"/>
    </i>
    <i>
      <x v="106"/>
    </i>
    <i>
      <x v="108"/>
    </i>
    <i>
      <x v="110"/>
    </i>
    <i>
      <x v="111"/>
    </i>
    <i>
      <x v="113"/>
    </i>
    <i>
      <x v="116"/>
    </i>
    <i>
      <x v="118"/>
    </i>
    <i>
      <x v="119"/>
    </i>
    <i>
      <x v="120"/>
    </i>
    <i>
      <x v="125"/>
    </i>
    <i>
      <x v="126"/>
    </i>
    <i>
      <x v="127"/>
    </i>
    <i>
      <x v="128"/>
    </i>
    <i>
      <x v="133"/>
    </i>
    <i>
      <x v="150"/>
    </i>
    <i>
      <x v="154"/>
    </i>
    <i>
      <x v="163"/>
    </i>
    <i>
      <x v="164"/>
    </i>
    <i>
      <x v="165"/>
    </i>
    <i>
      <x v="191"/>
    </i>
    <i>
      <x v="194"/>
    </i>
    <i>
      <x v="199"/>
    </i>
    <i>
      <x v="201"/>
    </i>
    <i>
      <x v="206"/>
    </i>
    <i>
      <x v="207"/>
    </i>
    <i>
      <x v="208"/>
    </i>
    <i>
      <x v="217"/>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6"/>
    </i>
    <i>
      <x v="258"/>
    </i>
    <i>
      <x v="259"/>
    </i>
    <i>
      <x v="261"/>
    </i>
    <i>
      <x v="262"/>
    </i>
    <i>
      <x v="266"/>
    </i>
    <i>
      <x v="267"/>
    </i>
    <i>
      <x v="271"/>
    </i>
    <i>
      <x v="282"/>
    </i>
    <i>
      <x v="283"/>
    </i>
    <i>
      <x v="284"/>
    </i>
    <i>
      <x v="285"/>
    </i>
    <i>
      <x v="286"/>
    </i>
    <i>
      <x v="287"/>
    </i>
    <i>
      <x v="288"/>
    </i>
    <i>
      <x v="290"/>
    </i>
    <i>
      <x v="293"/>
    </i>
    <i>
      <x v="294"/>
    </i>
    <i>
      <x v="299"/>
    </i>
    <i>
      <x v="301"/>
    </i>
    <i>
      <x v="302"/>
    </i>
    <i>
      <x v="303"/>
    </i>
    <i>
      <x v="304"/>
    </i>
    <i>
      <x v="306"/>
    </i>
    <i>
      <x v="308"/>
    </i>
    <i>
      <x v="309"/>
    </i>
    <i>
      <x v="310"/>
    </i>
    <i>
      <x v="311"/>
    </i>
    <i>
      <x v="313"/>
    </i>
    <i>
      <x v="316"/>
    </i>
    <i>
      <x v="320"/>
    </i>
    <i>
      <x v="324"/>
    </i>
    <i>
      <x v="325"/>
    </i>
    <i>
      <x v="327"/>
    </i>
    <i>
      <x v="328"/>
    </i>
    <i>
      <x v="342"/>
    </i>
    <i>
      <x v="345"/>
    </i>
    <i>
      <x v="350"/>
    </i>
    <i>
      <x v="365"/>
    </i>
    <i>
      <x v="366"/>
    </i>
    <i>
      <x v="368"/>
    </i>
    <i>
      <x v="372"/>
    </i>
    <i>
      <x v="373"/>
    </i>
    <i>
      <x v="374"/>
    </i>
    <i>
      <x v="380"/>
    </i>
    <i>
      <x v="388"/>
    </i>
    <i>
      <x v="399"/>
    </i>
    <i>
      <x v="400"/>
    </i>
    <i>
      <x v="401"/>
    </i>
    <i>
      <x v="409"/>
    </i>
    <i>
      <x v="411"/>
    </i>
    <i>
      <x v="416"/>
    </i>
    <i>
      <x v="421"/>
    </i>
    <i>
      <x v="425"/>
    </i>
    <i>
      <x v="432"/>
    </i>
    <i>
      <x v="436"/>
    </i>
    <i>
      <x v="438"/>
    </i>
    <i>
      <x v="439"/>
    </i>
    <i>
      <x v="440"/>
    </i>
    <i>
      <x v="442"/>
    </i>
    <i>
      <x v="443"/>
    </i>
    <i>
      <x v="445"/>
    </i>
    <i>
      <x v="446"/>
    </i>
    <i>
      <x v="447"/>
    </i>
    <i>
      <x v="452"/>
    </i>
    <i>
      <x v="465"/>
    </i>
    <i>
      <x v="466"/>
    </i>
    <i>
      <x v="474"/>
    </i>
    <i>
      <x v="477"/>
    </i>
    <i>
      <x v="478"/>
    </i>
    <i>
      <x v="479"/>
    </i>
    <i>
      <x v="480"/>
    </i>
    <i>
      <x v="481"/>
    </i>
    <i>
      <x v="509"/>
    </i>
    <i>
      <x v="529"/>
    </i>
    <i>
      <x v="530"/>
    </i>
    <i>
      <x v="538"/>
    </i>
    <i>
      <x v="540"/>
    </i>
    <i>
      <x v="544"/>
    </i>
    <i>
      <x v="545"/>
    </i>
    <i>
      <x v="546"/>
    </i>
    <i>
      <x v="555"/>
    </i>
    <i>
      <x v="580"/>
    </i>
    <i>
      <x v="582"/>
    </i>
    <i>
      <x v="583"/>
    </i>
    <i>
      <x v="585"/>
    </i>
    <i>
      <x v="589"/>
    </i>
    <i>
      <x v="591"/>
    </i>
    <i>
      <x v="592"/>
    </i>
    <i>
      <x v="593"/>
    </i>
    <i>
      <x v="594"/>
    </i>
    <i>
      <x v="614"/>
    </i>
    <i>
      <x v="615"/>
    </i>
    <i>
      <x v="616"/>
    </i>
    <i>
      <x v="617"/>
    </i>
    <i>
      <x v="618"/>
    </i>
    <i>
      <x v="619"/>
    </i>
    <i>
      <x v="620"/>
    </i>
    <i>
      <x v="621"/>
    </i>
    <i>
      <x v="622"/>
    </i>
    <i>
      <x v="694"/>
    </i>
    <i>
      <x v="695"/>
    </i>
    <i>
      <x v="696"/>
    </i>
    <i>
      <x v="697"/>
    </i>
    <i>
      <x v="698"/>
    </i>
    <i>
      <x v="699"/>
    </i>
    <i>
      <x v="700"/>
    </i>
    <i>
      <x v="701"/>
    </i>
    <i>
      <x v="702"/>
    </i>
    <i>
      <x v="703"/>
    </i>
    <i>
      <x v="712"/>
    </i>
    <i>
      <x v="713"/>
    </i>
    <i>
      <x v="721"/>
    </i>
    <i>
      <x v="722"/>
    </i>
    <i>
      <x v="866"/>
    </i>
    <i>
      <x v="974"/>
    </i>
    <i>
      <x v="975"/>
    </i>
    <i>
      <x v="981"/>
    </i>
    <i>
      <x v="982"/>
    </i>
    <i>
      <x v="983"/>
    </i>
    <i>
      <x v="984"/>
    </i>
    <i>
      <x v="985"/>
    </i>
    <i>
      <x v="1001"/>
    </i>
    <i>
      <x v="1002"/>
    </i>
    <i>
      <x v="1013"/>
    </i>
    <i>
      <x v="1014"/>
    </i>
    <i t="grand">
      <x/>
    </i>
  </rowItems>
  <colFields count="1">
    <field x="-2"/>
  </colFields>
  <colItems count="4">
    <i>
      <x/>
    </i>
    <i i="1">
      <x v="1"/>
    </i>
    <i i="2">
      <x v="2"/>
    </i>
    <i i="3">
      <x v="3"/>
    </i>
  </colItems>
  <pageFields count="3">
    <pageField fld="0" item="16" hier="-1"/>
    <pageField fld="5" hier="-1"/>
    <pageField fld="4" hier="-1"/>
  </pageFields>
  <dataFields count="4">
    <dataField name="Total Population" fld="9" baseField="0" baseItem="0"/>
    <dataField name="# of People adopt basic personal and community hygiene practices" fld="114" baseField="0" baseItem="0"/>
    <dataField name="# of people access to functioning  sanitation facilities" fld="101" baseField="0" baseItem="0"/>
    <dataField name="# of people Equitable and continuous access to sufficient quantity of domestic water" fld="93"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804" firstHeaderRow="0" firstDataRow="1" firstDataCol="2" rowPageCount="1" colPageCount="1"/>
  <pivotFields count="147">
    <pivotField axis="axisRow" compact="0" outline="0" showAll="0">
      <items count="18">
        <item m="1" x="14"/>
        <item m="1" x="15"/>
        <item m="1" x="5"/>
        <item m="1" x="16"/>
        <item m="1" x="8"/>
        <item m="1" x="10"/>
        <item m="1" x="12"/>
        <item m="1" x="13"/>
        <item m="1" x="4"/>
        <item m="1" x="3"/>
        <item m="1" x="6"/>
        <item m="1" x="7"/>
        <item m="1" x="9"/>
        <item m="1" x="11"/>
        <item x="0"/>
        <item x="1"/>
        <item x="2"/>
        <item t="default"/>
      </items>
    </pivotField>
    <pivotField compact="0" outline="0" showAll="0" defaultSubtotal="0"/>
    <pivotField compact="0" outline="0" showAll="0" defaultSubtotal="0">
      <items count="52">
        <item m="1" x="29"/>
        <item m="1" x="42"/>
        <item m="1" x="44"/>
        <item m="1" x="38"/>
        <item m="1" x="49"/>
        <item m="1" x="30"/>
        <item m="1" x="39"/>
        <item m="1" x="50"/>
        <item x="0"/>
        <item m="1" x="22"/>
        <item x="8"/>
        <item x="1"/>
        <item x="10"/>
        <item m="1" x="43"/>
        <item m="1" x="27"/>
        <item m="1" x="20"/>
        <item m="1" x="47"/>
        <item x="2"/>
        <item x="3"/>
        <item x="9"/>
        <item m="1" x="23"/>
        <item m="1" x="16"/>
        <item m="1" x="31"/>
        <item m="1" x="36"/>
        <item m="1" x="35"/>
        <item m="1" x="26"/>
        <item m="1" x="51"/>
        <item m="1" x="19"/>
        <item m="1" x="37"/>
        <item m="1" x="17"/>
        <item x="4"/>
        <item m="1" x="25"/>
        <item m="1" x="24"/>
        <item m="1" x="21"/>
        <item m="1" x="40"/>
        <item m="1" x="45"/>
        <item m="1" x="15"/>
        <item m="1" x="41"/>
        <item m="1" x="18"/>
        <item m="1" x="48"/>
        <item m="1" x="46"/>
        <item x="5"/>
        <item x="6"/>
        <item x="11"/>
        <item m="1" x="28"/>
        <item m="1" x="33"/>
        <item m="1" x="32"/>
        <item x="13"/>
        <item m="1" x="34"/>
        <item x="7"/>
        <item x="12"/>
        <item m="1" x="14"/>
      </items>
    </pivotField>
    <pivotField compact="0" outline="0" showAll="0"/>
    <pivotField compact="0" outline="0" showAll="0">
      <items count="7">
        <item m="1" x="3"/>
        <item x="0"/>
        <item m="1" x="5"/>
        <item m="1" x="4"/>
        <item x="1"/>
        <item m="1" x="2"/>
        <item t="default"/>
      </items>
    </pivotField>
    <pivotField compact="0" outline="0" showAll="0">
      <items count="46">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 t="default"/>
      </items>
    </pivotField>
    <pivotField compact="0" outline="0" showAll="0" defaultSubtotal="0">
      <items count="11">
        <item x="1"/>
        <item m="1" x="8"/>
        <item x="0"/>
        <item m="1" x="7"/>
        <item m="1" x="5"/>
        <item m="1" x="3"/>
        <item m="1" x="2"/>
        <item m="1" x="9"/>
        <item m="1" x="6"/>
        <item m="1" x="10"/>
        <item m="1" x="4"/>
      </items>
    </pivotField>
    <pivotField axis="axisRow" compact="0" outline="0" showAll="0">
      <items count="1016">
        <item x="153"/>
        <item m="1" x="484"/>
        <item m="1" x="593"/>
        <item x="183"/>
        <item x="184"/>
        <item x="154"/>
        <item x="155"/>
        <item x="69"/>
        <item m="1" x="457"/>
        <item m="1" x="352"/>
        <item m="1" x="581"/>
        <item m="1" x="269"/>
        <item m="1" x="308"/>
        <item m="1" x="556"/>
        <item m="1" x="668"/>
        <item m="1" x="682"/>
        <item m="1" x="803"/>
        <item m="1" x="469"/>
        <item m="1" x="310"/>
        <item m="1" x="927"/>
        <item m="1" x="835"/>
        <item m="1" x="322"/>
        <item m="1" x="724"/>
        <item m="1" x="522"/>
        <item m="1" x="872"/>
        <item m="1" x="814"/>
        <item m="1" x="895"/>
        <item m="1" x="916"/>
        <item m="1" x="385"/>
        <item m="1" x="795"/>
        <item m="1" x="415"/>
        <item m="1" x="431"/>
        <item m="1" x="703"/>
        <item m="1" x="429"/>
        <item m="1" x="1000"/>
        <item m="1" x="348"/>
        <item m="1" x="998"/>
        <item x="70"/>
        <item m="1" x="964"/>
        <item m="1" x="1001"/>
        <item m="1" x="734"/>
        <item m="1" x="481"/>
        <item m="1" x="658"/>
        <item m="1" x="1009"/>
        <item m="1" x="373"/>
        <item m="1" x="245"/>
        <item x="0"/>
        <item x="156"/>
        <item m="1" x="416"/>
        <item m="1" x="870"/>
        <item m="1" x="824"/>
        <item m="1" x="887"/>
        <item m="1" x="259"/>
        <item m="1" x="362"/>
        <item m="1" x="569"/>
        <item m="1" x="789"/>
        <item m="1" x="790"/>
        <item m="1" x="565"/>
        <item m="1" x="709"/>
        <item x="128"/>
        <item m="1" x="411"/>
        <item x="48"/>
        <item m="1" x="995"/>
        <item m="1" x="954"/>
        <item m="1" x="732"/>
        <item x="196"/>
        <item m="1" x="922"/>
        <item m="1" x="440"/>
        <item m="1" x="722"/>
        <item m="1" x="751"/>
        <item m="1" x="235"/>
        <item m="1" x="255"/>
        <item x="157"/>
        <item m="1" x="897"/>
        <item m="1" x="450"/>
        <item m="1" x="372"/>
        <item m="1" x="446"/>
        <item x="158"/>
        <item m="1" x="630"/>
        <item x="1"/>
        <item m="1" x="743"/>
        <item m="1" x="779"/>
        <item m="1" x="217"/>
        <item m="1" x="728"/>
        <item m="1" x="957"/>
        <item m="1" x="651"/>
        <item m="1" x="260"/>
        <item m="1" x="388"/>
        <item m="1" x="254"/>
        <item m="1" x="890"/>
        <item x="159"/>
        <item m="1" x="823"/>
        <item m="1" x="571"/>
        <item m="1" x="470"/>
        <item m="1" x="925"/>
        <item m="1" x="626"/>
        <item m="1" x="402"/>
        <item x="2"/>
        <item m="1" x="797"/>
        <item x="49"/>
        <item x="129"/>
        <item m="1" x="941"/>
        <item m="1" x="350"/>
        <item x="72"/>
        <item m="1" x="962"/>
        <item m="1" x="695"/>
        <item m="1" x="578"/>
        <item m="1" x="903"/>
        <item m="1" x="607"/>
        <item m="1" x="850"/>
        <item m="1" x="262"/>
        <item m="1" x="755"/>
        <item m="1" x="689"/>
        <item m="1" x="939"/>
        <item m="1" x="884"/>
        <item m="1" x="748"/>
        <item m="1" x="611"/>
        <item m="1" x="208"/>
        <item m="1" x="644"/>
        <item m="1" x="233"/>
        <item x="131"/>
        <item x="160"/>
        <item x="3"/>
        <item m="1" x="318"/>
        <item m="1" x="223"/>
        <item m="1" x="602"/>
        <item x="4"/>
        <item m="1" x="511"/>
        <item x="161"/>
        <item m="1" x="471"/>
        <item x="132"/>
        <item x="73"/>
        <item m="1" x="717"/>
        <item x="162"/>
        <item m="1" x="472"/>
        <item m="1" x="720"/>
        <item m="1" x="936"/>
        <item x="5"/>
        <item m="1" x="244"/>
        <item x="74"/>
        <item x="6"/>
        <item x="75"/>
        <item x="76"/>
        <item x="77"/>
        <item m="1" x="730"/>
        <item m="1" x="767"/>
        <item m="1" x="439"/>
        <item m="1" x="282"/>
        <item m="1" x="371"/>
        <item m="1" x="738"/>
        <item m="1" x="702"/>
        <item x="134"/>
        <item x="7"/>
        <item x="50"/>
        <item x="8"/>
        <item x="51"/>
        <item m="1" x="663"/>
        <item x="52"/>
        <item m="1" x="970"/>
        <item m="1" x="1011"/>
        <item m="1" x="551"/>
        <item m="1" x="885"/>
        <item m="1" x="912"/>
        <item x="78"/>
        <item m="1" x="670"/>
        <item m="1" x="635"/>
        <item m="1" x="627"/>
        <item m="1" x="826"/>
        <item m="1" x="399"/>
        <item m="1" x="770"/>
        <item m="1" x="353"/>
        <item m="1" x="393"/>
        <item m="1" x="613"/>
        <item m="1" x="759"/>
        <item m="1" x="932"/>
        <item m="1" x="718"/>
        <item m="1" x="277"/>
        <item m="1" x="856"/>
        <item m="1" x="636"/>
        <item m="1" x="888"/>
        <item x="53"/>
        <item m="1" x="281"/>
        <item m="1" x="430"/>
        <item m="1" x="489"/>
        <item m="1" x="590"/>
        <item m="1" x="422"/>
        <item m="1" x="545"/>
        <item x="79"/>
        <item m="1" x="493"/>
        <item m="1" x="1003"/>
        <item m="1" x="719"/>
        <item x="135"/>
        <item m="1" x="456"/>
        <item m="1" x="725"/>
        <item m="1" x="496"/>
        <item m="1" x="295"/>
        <item m="1" x="374"/>
        <item m="1" x="307"/>
        <item m="1" x="731"/>
        <item m="1" x="959"/>
        <item m="1" x="315"/>
        <item x="80"/>
        <item x="81"/>
        <item x="82"/>
        <item m="1" x="585"/>
        <item m="1" x="300"/>
        <item m="1" x="971"/>
        <item m="1" x="744"/>
        <item m="1" x="336"/>
        <item m="1" x="794"/>
        <item m="1" x="263"/>
        <item m="1" x="334"/>
        <item m="1" x="871"/>
        <item m="1" x="380"/>
        <item m="1" x="619"/>
        <item m="1" x="989"/>
        <item m="1" x="1005"/>
        <item m="1" x="317"/>
        <item m="1" x="278"/>
        <item m="1" x="368"/>
        <item m="1" x="756"/>
        <item m="1" x="398"/>
        <item m="1" x="465"/>
        <item m="1" x="819"/>
        <item m="1" x="325"/>
        <item m="1" x="777"/>
        <item m="1" x="275"/>
        <item m="1" x="896"/>
        <item m="1" x="931"/>
        <item m="1" x="320"/>
        <item m="1" x="572"/>
        <item m="1" x="899"/>
        <item m="1" x="386"/>
        <item m="1" x="934"/>
        <item m="1" x="267"/>
        <item x="83"/>
        <item m="1" x="685"/>
        <item m="1" x="220"/>
        <item x="9"/>
        <item m="1" x="883"/>
        <item m="1" x="622"/>
        <item m="1" x="442"/>
        <item m="1" x="930"/>
        <item m="1" x="391"/>
        <item x="10"/>
        <item m="1" x="889"/>
        <item m="1" x="250"/>
        <item m="1" x="466"/>
        <item m="1" x="563"/>
        <item x="54"/>
        <item x="197"/>
        <item m="1" x="280"/>
        <item m="1" x="665"/>
        <item m="1" x="290"/>
        <item m="1" x="867"/>
        <item x="55"/>
        <item m="1" x="787"/>
        <item x="163"/>
        <item x="11"/>
        <item x="12"/>
        <item x="13"/>
        <item m="1" x="1012"/>
        <item m="1" x="261"/>
        <item m="1" x="209"/>
        <item m="1" x="841"/>
        <item m="1" x="513"/>
        <item m="1" x="256"/>
        <item m="1" x="704"/>
        <item m="1" x="476"/>
        <item x="164"/>
        <item m="1" x="502"/>
        <item m="1" x="608"/>
        <item x="165"/>
        <item x="166"/>
        <item x="84"/>
        <item x="85"/>
        <item x="186"/>
        <item x="187"/>
        <item x="188"/>
        <item x="56"/>
        <item m="1" x="328"/>
        <item m="1" x="271"/>
        <item m="1" x="314"/>
        <item x="14"/>
        <item x="189"/>
        <item m="1" x="851"/>
        <item x="15"/>
        <item m="1" x="845"/>
        <item m="1" x="363"/>
        <item x="16"/>
        <item x="137"/>
        <item x="86"/>
        <item m="1" x="405"/>
        <item x="167"/>
        <item x="57"/>
        <item x="17"/>
        <item x="18"/>
        <item x="19"/>
        <item x="58"/>
        <item m="1" x="873"/>
        <item x="20"/>
        <item x="87"/>
        <item x="190"/>
        <item x="21"/>
        <item x="138"/>
        <item x="88"/>
        <item m="1" x="541"/>
        <item x="89"/>
        <item x="90"/>
        <item x="91"/>
        <item x="92"/>
        <item m="1" x="679"/>
        <item x="93"/>
        <item x="94"/>
        <item x="95"/>
        <item x="125"/>
        <item m="1" x="219"/>
        <item x="96"/>
        <item x="139"/>
        <item m="1" x="268"/>
        <item m="1" x="898"/>
        <item m="1" x="396"/>
        <item m="1" x="319"/>
        <item x="168"/>
        <item x="169"/>
        <item m="1" x="247"/>
        <item m="1" x="304"/>
        <item m="1" x="869"/>
        <item x="140"/>
        <item m="1" x="408"/>
        <item m="1" x="492"/>
        <item x="97"/>
        <item m="1" x="444"/>
        <item m="1" x="316"/>
        <item m="1" x="326"/>
        <item m="1" x="463"/>
        <item m="1" x="335"/>
        <item m="1" x="497"/>
        <item m="1" x="977"/>
        <item m="1" x="387"/>
        <item m="1" x="910"/>
        <item m="1" x="965"/>
        <item m="1" x="721"/>
        <item x="98"/>
        <item m="1" x="830"/>
        <item m="1" x="264"/>
        <item x="141"/>
        <item x="99"/>
        <item m="1" x="566"/>
        <item x="142"/>
        <item x="100"/>
        <item x="101"/>
        <item x="102"/>
        <item x="103"/>
        <item m="1" x="567"/>
        <item x="104"/>
        <item m="1" x="276"/>
        <item m="1" x="822"/>
        <item x="105"/>
        <item x="143"/>
        <item m="1" x="462"/>
        <item m="1" x="1004"/>
        <item m="1" x="641"/>
        <item m="1" x="945"/>
        <item m="1" x="482"/>
        <item x="59"/>
        <item x="144"/>
        <item m="1" x="510"/>
        <item m="1" x="488"/>
        <item x="126"/>
        <item x="106"/>
        <item x="107"/>
        <item x="127"/>
        <item m="1" x="660"/>
        <item x="108"/>
        <item m="1" x="389"/>
        <item x="109"/>
        <item x="170"/>
        <item x="110"/>
        <item x="111"/>
        <item x="23"/>
        <item x="112"/>
        <item x="24"/>
        <item m="1" x="817"/>
        <item x="60"/>
        <item m="1" x="780"/>
        <item x="113"/>
        <item x="61"/>
        <item m="1" x="286"/>
        <item m="1" x="521"/>
        <item m="1" x="829"/>
        <item x="25"/>
        <item m="1" x="382"/>
        <item m="1" x="905"/>
        <item m="1" x="296"/>
        <item x="171"/>
        <item x="26"/>
        <item m="1" x="631"/>
        <item m="1" x="211"/>
        <item x="27"/>
        <item x="114"/>
        <item m="1" x="669"/>
        <item m="1" x="549"/>
        <item m="1" x="754"/>
        <item m="1" x="807"/>
        <item m="1" x="655"/>
        <item m="1" x="512"/>
        <item m="1" x="343"/>
        <item m="1" x="588"/>
        <item m="1" x="894"/>
        <item m="1" x="370"/>
        <item m="1" x="623"/>
        <item m="1" x="485"/>
        <item m="1" x="943"/>
        <item m="1" x="364"/>
        <item m="1" x="412"/>
        <item m="1" x="828"/>
        <item m="1" x="480"/>
        <item m="1" x="351"/>
        <item m="1" x="403"/>
        <item m="1" x="919"/>
        <item x="198"/>
        <item m="1" x="344"/>
        <item m="1" x="294"/>
        <item x="28"/>
        <item m="1" x="360"/>
        <item m="1" x="576"/>
        <item m="1" x="558"/>
        <item m="1" x="833"/>
        <item x="191"/>
        <item m="1" x="519"/>
        <item m="1" x="283"/>
        <item m="1" x="423"/>
        <item m="1" x="603"/>
        <item m="1" x="495"/>
        <item m="1" x="279"/>
        <item m="1" x="837"/>
        <item m="1" x="520"/>
        <item m="1" x="710"/>
        <item m="1" x="376"/>
        <item m="1" x="451"/>
        <item m="1" x="864"/>
        <item m="1" x="926"/>
        <item m="1" x="375"/>
        <item m="1" x="435"/>
        <item m="1" x="991"/>
        <item x="62"/>
        <item x="63"/>
        <item x="199"/>
        <item m="1" x="782"/>
        <item x="29"/>
        <item m="1" x="745"/>
        <item m="1" x="383"/>
        <item m="1" x="553"/>
        <item x="115"/>
        <item x="116"/>
        <item m="1" x="486"/>
        <item x="64"/>
        <item x="30"/>
        <item m="1" x="973"/>
        <item m="1" x="775"/>
        <item m="1" x="846"/>
        <item m="1" x="483"/>
        <item m="1" x="993"/>
        <item x="192"/>
        <item m="1" x="508"/>
        <item m="1" x="653"/>
        <item m="1" x="561"/>
        <item m="1" x="537"/>
        <item m="1" x="390"/>
        <item m="1" x="678"/>
        <item m="1" x="424"/>
        <item m="1" x="676"/>
        <item m="1" x="584"/>
        <item m="1" x="650"/>
        <item x="65"/>
        <item m="1" x="249"/>
        <item m="1" x="460"/>
        <item m="1" x="801"/>
        <item m="1" x="323"/>
        <item m="1" x="575"/>
        <item m="1" x="949"/>
        <item m="1" x="580"/>
        <item m="1" x="253"/>
        <item m="1" x="478"/>
        <item m="1" x="612"/>
        <item m="1" x="958"/>
        <item m="1" x="504"/>
        <item m="1" x="800"/>
        <item m="1" x="705"/>
        <item m="1" x="228"/>
        <item x="172"/>
        <item x="31"/>
        <item x="173"/>
        <item m="1" x="289"/>
        <item m="1" x="681"/>
        <item m="1" x="948"/>
        <item m="1" x="346"/>
        <item m="1" x="432"/>
        <item m="1" x="205"/>
        <item m="1" x="331"/>
        <item x="174"/>
        <item m="1" x="757"/>
        <item x="193"/>
        <item m="1" x="514"/>
        <item m="1" x="706"/>
        <item m="1" x="568"/>
        <item m="1" x="213"/>
        <item m="1" x="355"/>
        <item x="145"/>
        <item m="1" x="562"/>
        <item x="32"/>
        <item m="1" x="599"/>
        <item m="1" x="950"/>
        <item m="1" x="942"/>
        <item m="1" x="477"/>
        <item m="1" x="455"/>
        <item x="33"/>
        <item m="1" x="966"/>
        <item m="1" x="758"/>
        <item m="1" x="799"/>
        <item m="1" x="652"/>
        <item x="66"/>
        <item m="1" x="820"/>
        <item m="1" x="525"/>
        <item m="1" x="849"/>
        <item m="1" x="672"/>
        <item m="1" x="832"/>
        <item m="1" x="836"/>
        <item x="195"/>
        <item m="1" x="206"/>
        <item m="1" x="288"/>
        <item m="1" x="523"/>
        <item x="34"/>
        <item m="1" x="1008"/>
        <item x="35"/>
        <item x="147"/>
        <item x="36"/>
        <item m="1" x="984"/>
        <item x="37"/>
        <item x="175"/>
        <item m="1" x="292"/>
        <item x="38"/>
        <item x="117"/>
        <item x="118"/>
        <item m="1" x="656"/>
        <item m="1" x="499"/>
        <item m="1" x="774"/>
        <item m="1" x="625"/>
        <item m="1" x="657"/>
        <item m="1" x="299"/>
        <item m="1" x="404"/>
        <item m="1" x="458"/>
        <item m="1" x="560"/>
        <item m="1" x="810"/>
        <item x="39"/>
        <item m="1" x="231"/>
        <item m="1" x="875"/>
        <item m="1" x="798"/>
        <item x="67"/>
        <item m="1" x="882"/>
        <item m="1" x="796"/>
        <item m="1" x="467"/>
        <item m="1" x="401"/>
        <item m="1" x="749"/>
        <item m="1" x="542"/>
        <item m="1" x="809"/>
        <item m="1" x="646"/>
        <item x="148"/>
        <item x="68"/>
        <item x="149"/>
        <item x="40"/>
        <item m="1" x="859"/>
        <item m="1" x="781"/>
        <item m="1" x="1010"/>
        <item m="1" x="357"/>
        <item m="1" x="272"/>
        <item m="1" x="937"/>
        <item m="1" x="862"/>
        <item m="1" x="739"/>
        <item m="1" x="723"/>
        <item m="1" x="815"/>
        <item x="150"/>
        <item x="151"/>
        <item m="1" x="207"/>
        <item m="1" x="474"/>
        <item m="1" x="986"/>
        <item x="41"/>
        <item x="176"/>
        <item x="177"/>
        <item x="42"/>
        <item x="43"/>
        <item m="1" x="329"/>
        <item m="1" x="716"/>
        <item m="1" x="654"/>
        <item m="1" x="712"/>
        <item m="1" x="726"/>
        <item m="1" x="548"/>
        <item m="1" x="229"/>
        <item m="1" x="587"/>
        <item m="1" x="982"/>
        <item m="1" x="760"/>
        <item m="1" x="988"/>
        <item m="1" x="979"/>
        <item m="1" x="980"/>
        <item m="1" x="818"/>
        <item m="1" x="981"/>
        <item m="1" x="776"/>
        <item m="1" x="893"/>
        <item m="1" x="212"/>
        <item m="1" x="691"/>
        <item m="1" x="1006"/>
        <item m="1" x="968"/>
        <item m="1" x="683"/>
        <item m="1" x="540"/>
        <item m="1" x="464"/>
        <item m="1" x="381"/>
        <item m="1" x="241"/>
        <item m="1" x="947"/>
        <item m="1" x="528"/>
        <item m="1" x="544"/>
        <item m="1" x="737"/>
        <item m="1" x="1013"/>
        <item m="1" x="946"/>
        <item m="1" x="592"/>
        <item m="1" x="866"/>
        <item m="1" x="270"/>
        <item m="1" x="428"/>
        <item x="178"/>
        <item m="1" x="664"/>
        <item m="1" x="955"/>
        <item m="1" x="976"/>
        <item m="1" x="956"/>
        <item m="1" x="690"/>
        <item m="1" x="624"/>
        <item m="1" x="498"/>
        <item m="1" x="419"/>
        <item m="1" x="379"/>
        <item m="1" x="240"/>
        <item m="1" x="377"/>
        <item m="1" x="218"/>
        <item m="1" x="204"/>
        <item m="1" x="808"/>
        <item m="1" x="392"/>
        <item m="1" x="595"/>
        <item m="1" x="394"/>
        <item m="1" x="533"/>
        <item m="1" x="252"/>
        <item m="1" x="340"/>
        <item m="1" x="741"/>
        <item m="1" x="918"/>
        <item m="1" x="330"/>
        <item m="1" x="487"/>
        <item m="1" x="1002"/>
        <item m="1" x="500"/>
        <item m="1" x="427"/>
        <item x="44"/>
        <item x="152"/>
        <item x="45"/>
        <item m="1" x="297"/>
        <item x="119"/>
        <item m="1" x="610"/>
        <item m="1" x="298"/>
        <item m="1" x="802"/>
        <item m="1" x="333"/>
        <item m="1" x="793"/>
        <item m="1" x="589"/>
        <item m="1" x="812"/>
        <item m="1" x="425"/>
        <item x="46"/>
        <item x="179"/>
        <item m="1" x="285"/>
        <item m="1" x="765"/>
        <item x="180"/>
        <item m="1" x="969"/>
        <item m="1" x="967"/>
        <item m="1" x="909"/>
        <item m="1" x="847"/>
        <item m="1" x="426"/>
        <item x="120"/>
        <item x="121"/>
        <item x="122"/>
        <item m="1" x="891"/>
        <item m="1" x="746"/>
        <item m="1" x="662"/>
        <item m="1" x="475"/>
        <item m="1" x="559"/>
        <item m="1" x="852"/>
        <item m="1" x="750"/>
        <item m="1" x="688"/>
        <item m="1" x="555"/>
        <item x="123"/>
        <item m="1" x="997"/>
        <item x="181"/>
        <item m="1" x="598"/>
        <item m="1" x="243"/>
        <item m="1" x="821"/>
        <item m="1" x="838"/>
        <item m="1" x="839"/>
        <item m="1" x="911"/>
        <item m="1" x="306"/>
        <item m="1" x="586"/>
        <item m="1" x="406"/>
        <item m="1" x="407"/>
        <item m="1" x="975"/>
        <item m="1" x="923"/>
        <item m="1" x="601"/>
        <item m="1" x="907"/>
        <item m="1" x="582"/>
        <item m="1" x="963"/>
        <item m="1" x="583"/>
        <item m="1" x="902"/>
        <item m="1" x="515"/>
        <item m="1" x="783"/>
        <item m="1" x="696"/>
        <item m="1" x="857"/>
        <item m="1" x="248"/>
        <item m="1" x="447"/>
        <item m="1" x="266"/>
        <item m="1" x="692"/>
        <item m="1" x="639"/>
        <item m="1" x="666"/>
        <item x="124"/>
        <item x="47"/>
        <item m="1" x="547"/>
        <item m="1" x="354"/>
        <item m="1" x="338"/>
        <item m="1" x="861"/>
        <item m="1" x="420"/>
        <item m="1" x="410"/>
        <item m="1" x="855"/>
        <item m="1" x="400"/>
        <item m="1" x="863"/>
        <item m="1" x="437"/>
        <item m="1" x="210"/>
        <item m="1" x="933"/>
        <item m="1" x="629"/>
        <item m="1" x="791"/>
        <item m="1" x="675"/>
        <item m="1" x="574"/>
        <item m="1" x="438"/>
        <item m="1" x="557"/>
        <item m="1" x="633"/>
        <item m="1" x="516"/>
        <item m="1" x="369"/>
        <item m="1" x="974"/>
        <item m="1" x="349"/>
        <item m="1" x="443"/>
        <item m="1" x="929"/>
        <item m="1" x="531"/>
        <item m="1" x="503"/>
        <item m="1" x="844"/>
        <item m="1" x="604"/>
        <item m="1" x="361"/>
        <item m="1" x="771"/>
        <item m="1" x="536"/>
        <item m="1" x="552"/>
        <item m="1" x="546"/>
        <item m="1" x="221"/>
        <item m="1" x="596"/>
        <item m="1" x="409"/>
        <item m="1" x="309"/>
        <item m="1" x="999"/>
        <item m="1" x="591"/>
        <item m="1" x="312"/>
        <item m="1" x="865"/>
        <item m="1" x="550"/>
        <item m="1" x="577"/>
        <item m="1" x="238"/>
        <item m="1" x="337"/>
        <item m="1" x="813"/>
        <item m="1" x="524"/>
        <item m="1" x="632"/>
        <item m="1" x="246"/>
        <item m="1" x="618"/>
        <item m="1" x="736"/>
        <item m="1" x="339"/>
        <item m="1" x="434"/>
        <item m="1" x="356"/>
        <item m="1" x="453"/>
        <item m="1" x="441"/>
        <item m="1" x="291"/>
        <item m="1" x="920"/>
        <item m="1" x="792"/>
        <item m="1" x="600"/>
        <item m="1" x="227"/>
        <item m="1" x="693"/>
        <item m="1" x="886"/>
        <item m="1" x="773"/>
        <item m="1" x="538"/>
        <item m="1" x="570"/>
        <item m="1" x="708"/>
        <item m="1" x="366"/>
        <item m="1" x="825"/>
        <item m="1" x="638"/>
        <item m="1" x="554"/>
        <item m="1" x="772"/>
        <item m="1" x="742"/>
        <item m="1" x="715"/>
        <item m="1" x="686"/>
        <item m="1" x="901"/>
        <item m="1" x="698"/>
        <item m="1" x="234"/>
        <item m="1" x="222"/>
        <item m="1" x="359"/>
        <item m="1" x="711"/>
        <item m="1" x="395"/>
        <item m="1" x="697"/>
        <item m="1" x="881"/>
        <item m="1" x="413"/>
        <item m="1" x="367"/>
        <item m="1" x="699"/>
        <item m="1" x="674"/>
        <item m="1" x="452"/>
        <item m="1" x="448"/>
        <item m="1" x="880"/>
        <item m="1" x="479"/>
        <item m="1" x="761"/>
        <item m="1" x="694"/>
        <item m="1" x="908"/>
        <item m="1" x="938"/>
        <item m="1" x="273"/>
        <item m="1" x="985"/>
        <item m="1" x="649"/>
        <item m="1" x="494"/>
        <item m="1" x="848"/>
        <item m="1" x="284"/>
        <item m="1" x="913"/>
        <item m="1" x="768"/>
        <item m="1" x="491"/>
        <item m="1" x="468"/>
        <item m="1" x="449"/>
        <item m="1" x="507"/>
        <item m="1" x="827"/>
        <item m="1" x="445"/>
        <item m="1" x="216"/>
        <item m="1" x="915"/>
        <item m="1" x="842"/>
        <item m="1" x="616"/>
        <item m="1" x="532"/>
        <item m="1" x="876"/>
        <item m="1" x="594"/>
        <item m="1" x="564"/>
        <item m="1" x="293"/>
        <item m="1" x="517"/>
        <item m="1" x="637"/>
        <item m="1" x="609"/>
        <item m="1" x="615"/>
        <item m="1" x="226"/>
        <item m="1" x="303"/>
        <item m="1" x="433"/>
        <item m="1" x="365"/>
        <item m="1" x="840"/>
        <item m="1" x="843"/>
        <item m="1" x="784"/>
        <item m="1" x="804"/>
        <item m="1" x="421"/>
        <item m="1" x="996"/>
        <item m="1" x="543"/>
        <item m="1" x="274"/>
        <item m="1" x="831"/>
        <item m="1" x="529"/>
        <item m="1" x="454"/>
        <item m="1" x="384"/>
        <item m="1" x="224"/>
        <item m="1" x="203"/>
        <item x="130"/>
        <item m="1" x="418"/>
        <item m="1" x="733"/>
        <item m="1" x="239"/>
        <item m="1" x="778"/>
        <item m="1" x="753"/>
        <item m="1" x="242"/>
        <item m="1" x="597"/>
        <item m="1" x="860"/>
        <item m="1" x="573"/>
        <item m="1" x="951"/>
        <item m="1" x="805"/>
        <item m="1" x="900"/>
        <item m="1" x="617"/>
        <item m="1" x="251"/>
        <item m="1" x="877"/>
        <item m="1" x="764"/>
        <item m="1" x="788"/>
        <item m="1" x="397"/>
        <item m="1" x="535"/>
        <item m="1" x="816"/>
        <item m="1" x="509"/>
        <item m="1" x="858"/>
        <item m="1" x="347"/>
        <item m="1" x="667"/>
        <item m="1" x="436"/>
        <item m="1" x="287"/>
        <item m="1" x="729"/>
        <item m="1" x="747"/>
        <item m="1" x="579"/>
        <item m="1" x="647"/>
        <item m="1" x="648"/>
        <item m="1" x="643"/>
        <item m="1" x="906"/>
        <item m="1" x="358"/>
        <item m="1" x="917"/>
        <item m="1" x="972"/>
        <item m="1" x="324"/>
        <item m="1" x="257"/>
        <item m="1" x="321"/>
        <item m="1" x="714"/>
        <item m="1" x="687"/>
        <item m="1" x="378"/>
        <item m="1" x="921"/>
        <item m="1" x="766"/>
        <item m="1" x="215"/>
        <item m="1" x="313"/>
        <item m="1" x="879"/>
        <item m="1" x="539"/>
        <item m="1" x="769"/>
        <item m="1" x="752"/>
        <item m="1" x="735"/>
        <item m="1" x="628"/>
        <item m="1" x="526"/>
        <item m="1" x="501"/>
        <item m="1" x="237"/>
        <item m="1" x="341"/>
        <item m="1" x="892"/>
        <item m="1" x="952"/>
        <item m="1" x="671"/>
        <item m="1" x="992"/>
        <item m="1" x="265"/>
        <item m="1" x="707"/>
        <item m="1" x="762"/>
        <item m="1" x="944"/>
        <item m="1" x="834"/>
        <item m="1" x="785"/>
        <item m="1" x="961"/>
        <item m="1" x="740"/>
        <item m="1" x="645"/>
        <item m="1" x="327"/>
        <item m="1" x="677"/>
        <item m="1" x="854"/>
        <item m="1" x="1014"/>
        <item m="1" x="811"/>
        <item m="1" x="461"/>
        <item m="1" x="684"/>
        <item m="1" x="987"/>
        <item m="1" x="634"/>
        <item m="1" x="506"/>
        <item m="1" x="621"/>
        <item m="1" x="534"/>
        <item m="1" x="953"/>
        <item m="1" x="640"/>
        <item m="1" x="928"/>
        <item m="1" x="700"/>
        <item m="1" x="414"/>
        <item m="1" x="302"/>
        <item m="1" x="214"/>
        <item m="1" x="935"/>
        <item m="1" x="232"/>
        <item m="1" x="620"/>
        <item m="1" x="311"/>
        <item m="1" x="924"/>
        <item m="1" x="994"/>
        <item m="1" x="680"/>
        <item m="1" x="914"/>
        <item m="1" x="983"/>
        <item m="1" x="642"/>
        <item m="1" x="904"/>
        <item m="1" x="332"/>
        <item m="1" x="874"/>
        <item m="1" x="225"/>
        <item m="1" x="727"/>
        <item m="1" x="459"/>
        <item m="1" x="518"/>
        <item m="1" x="990"/>
        <item m="1" x="853"/>
        <item x="185"/>
        <item x="71"/>
        <item m="1" x="301"/>
        <item m="1" x="659"/>
        <item m="1" x="806"/>
        <item m="1" x="606"/>
        <item m="1" x="1007"/>
        <item x="133"/>
        <item x="136"/>
        <item x="182"/>
        <item x="194"/>
        <item x="200"/>
        <item m="1" x="960"/>
        <item m="1" x="305"/>
        <item m="1" x="868"/>
        <item m="1" x="701"/>
        <item m="1" x="342"/>
        <item m="1" x="940"/>
        <item m="1" x="490"/>
        <item m="1" x="763"/>
        <item m="1" x="236"/>
        <item m="1" x="417"/>
        <item m="1" x="473"/>
        <item m="1" x="661"/>
        <item m="1" x="878"/>
        <item m="1" x="505"/>
        <item m="1" x="527"/>
        <item x="22"/>
        <item x="146"/>
        <item m="1" x="673"/>
        <item m="1" x="614"/>
        <item m="1" x="258"/>
        <item m="1" x="605"/>
        <item m="1" x="345"/>
        <item m="1" x="713"/>
        <item m="1" x="230"/>
        <item m="1" x="978"/>
        <item m="1" x="786"/>
        <item m="1" x="530"/>
        <item x="201"/>
        <item x="202"/>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2"/>
        <item m="1" x="3"/>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800">
    <i>
      <x/>
      <x v="14"/>
    </i>
    <i r="1">
      <x v="15"/>
    </i>
    <i r="1">
      <x v="16"/>
    </i>
    <i t="default">
      <x/>
    </i>
    <i>
      <x v="3"/>
      <x v="14"/>
    </i>
    <i r="1">
      <x v="15"/>
    </i>
    <i r="1">
      <x v="16"/>
    </i>
    <i t="default">
      <x v="3"/>
    </i>
    <i>
      <x v="4"/>
      <x v="14"/>
    </i>
    <i r="1">
      <x v="15"/>
    </i>
    <i r="1">
      <x v="16"/>
    </i>
    <i t="default">
      <x v="4"/>
    </i>
    <i>
      <x v="5"/>
      <x v="14"/>
    </i>
    <i r="1">
      <x v="15"/>
    </i>
    <i r="1">
      <x v="16"/>
    </i>
    <i t="default">
      <x v="5"/>
    </i>
    <i>
      <x v="6"/>
      <x v="14"/>
    </i>
    <i r="1">
      <x v="15"/>
    </i>
    <i r="1">
      <x v="16"/>
    </i>
    <i t="default">
      <x v="6"/>
    </i>
    <i>
      <x v="7"/>
      <x v="14"/>
    </i>
    <i r="1">
      <x v="15"/>
    </i>
    <i r="1">
      <x v="16"/>
    </i>
    <i t="default">
      <x v="7"/>
    </i>
    <i>
      <x v="37"/>
      <x v="14"/>
    </i>
    <i r="1">
      <x v="15"/>
    </i>
    <i r="1">
      <x v="16"/>
    </i>
    <i t="default">
      <x v="37"/>
    </i>
    <i>
      <x v="46"/>
      <x v="14"/>
    </i>
    <i r="1">
      <x v="15"/>
    </i>
    <i r="1">
      <x v="16"/>
    </i>
    <i t="default">
      <x v="46"/>
    </i>
    <i>
      <x v="47"/>
      <x v="14"/>
    </i>
    <i r="1">
      <x v="15"/>
    </i>
    <i r="1">
      <x v="16"/>
    </i>
    <i t="default">
      <x v="47"/>
    </i>
    <i>
      <x v="59"/>
      <x v="14"/>
    </i>
    <i r="1">
      <x v="15"/>
    </i>
    <i r="1">
      <x v="16"/>
    </i>
    <i t="default">
      <x v="59"/>
    </i>
    <i>
      <x v="61"/>
      <x v="14"/>
    </i>
    <i r="1">
      <x v="15"/>
    </i>
    <i r="1">
      <x v="16"/>
    </i>
    <i t="default">
      <x v="61"/>
    </i>
    <i>
      <x v="65"/>
      <x v="14"/>
    </i>
    <i r="1">
      <x v="15"/>
    </i>
    <i r="1">
      <x v="16"/>
    </i>
    <i t="default">
      <x v="65"/>
    </i>
    <i>
      <x v="72"/>
      <x v="14"/>
    </i>
    <i r="1">
      <x v="15"/>
    </i>
    <i r="1">
      <x v="16"/>
    </i>
    <i t="default">
      <x v="72"/>
    </i>
    <i>
      <x v="77"/>
      <x v="14"/>
    </i>
    <i r="1">
      <x v="15"/>
    </i>
    <i r="1">
      <x v="16"/>
    </i>
    <i t="default">
      <x v="77"/>
    </i>
    <i>
      <x v="79"/>
      <x v="14"/>
    </i>
    <i r="1">
      <x v="15"/>
    </i>
    <i r="1">
      <x v="16"/>
    </i>
    <i t="default">
      <x v="79"/>
    </i>
    <i>
      <x v="90"/>
      <x v="14"/>
    </i>
    <i r="1">
      <x v="15"/>
    </i>
    <i r="1">
      <x v="16"/>
    </i>
    <i t="default">
      <x v="90"/>
    </i>
    <i>
      <x v="97"/>
      <x v="14"/>
    </i>
    <i r="1">
      <x v="15"/>
    </i>
    <i r="1">
      <x v="16"/>
    </i>
    <i t="default">
      <x v="97"/>
    </i>
    <i>
      <x v="99"/>
      <x v="14"/>
    </i>
    <i r="1">
      <x v="15"/>
    </i>
    <i r="1">
      <x v="16"/>
    </i>
    <i t="default">
      <x v="99"/>
    </i>
    <i>
      <x v="100"/>
      <x v="14"/>
    </i>
    <i r="1">
      <x v="15"/>
    </i>
    <i r="1">
      <x v="16"/>
    </i>
    <i t="default">
      <x v="100"/>
    </i>
    <i>
      <x v="103"/>
      <x v="14"/>
    </i>
    <i r="1">
      <x v="15"/>
    </i>
    <i r="1">
      <x v="16"/>
    </i>
    <i t="default">
      <x v="103"/>
    </i>
    <i>
      <x v="120"/>
      <x v="14"/>
    </i>
    <i r="1">
      <x v="15"/>
    </i>
    <i r="1">
      <x v="16"/>
    </i>
    <i t="default">
      <x v="120"/>
    </i>
    <i>
      <x v="121"/>
      <x v="14"/>
    </i>
    <i r="1">
      <x v="15"/>
    </i>
    <i r="1">
      <x v="16"/>
    </i>
    <i t="default">
      <x v="121"/>
    </i>
    <i>
      <x v="122"/>
      <x v="14"/>
    </i>
    <i r="1">
      <x v="15"/>
    </i>
    <i r="1">
      <x v="16"/>
    </i>
    <i t="default">
      <x v="122"/>
    </i>
    <i>
      <x v="126"/>
      <x v="14"/>
    </i>
    <i r="1">
      <x v="15"/>
    </i>
    <i r="1">
      <x v="16"/>
    </i>
    <i t="default">
      <x v="126"/>
    </i>
    <i>
      <x v="128"/>
      <x v="14"/>
    </i>
    <i r="1">
      <x v="15"/>
    </i>
    <i r="1">
      <x v="16"/>
    </i>
    <i t="default">
      <x v="128"/>
    </i>
    <i>
      <x v="130"/>
      <x v="14"/>
    </i>
    <i r="1">
      <x v="15"/>
    </i>
    <i r="1">
      <x v="16"/>
    </i>
    <i t="default">
      <x v="130"/>
    </i>
    <i>
      <x v="131"/>
      <x v="14"/>
    </i>
    <i r="1">
      <x v="15"/>
    </i>
    <i r="1">
      <x v="16"/>
    </i>
    <i t="default">
      <x v="131"/>
    </i>
    <i>
      <x v="133"/>
      <x v="14"/>
    </i>
    <i r="1">
      <x v="15"/>
    </i>
    <i r="1">
      <x v="16"/>
    </i>
    <i t="default">
      <x v="133"/>
    </i>
    <i>
      <x v="137"/>
      <x v="14"/>
    </i>
    <i r="1">
      <x v="15"/>
    </i>
    <i r="1">
      <x v="16"/>
    </i>
    <i t="default">
      <x v="137"/>
    </i>
    <i>
      <x v="139"/>
      <x v="14"/>
    </i>
    <i r="1">
      <x v="15"/>
    </i>
    <i r="1">
      <x v="16"/>
    </i>
    <i t="default">
      <x v="139"/>
    </i>
    <i>
      <x v="140"/>
      <x v="14"/>
    </i>
    <i r="1">
      <x v="15"/>
    </i>
    <i r="1">
      <x v="16"/>
    </i>
    <i t="default">
      <x v="140"/>
    </i>
    <i>
      <x v="141"/>
      <x v="14"/>
    </i>
    <i r="1">
      <x v="15"/>
    </i>
    <i r="1">
      <x v="16"/>
    </i>
    <i t="default">
      <x v="141"/>
    </i>
    <i>
      <x v="142"/>
      <x v="14"/>
    </i>
    <i r="1">
      <x v="15"/>
    </i>
    <i r="1">
      <x v="16"/>
    </i>
    <i t="default">
      <x v="142"/>
    </i>
    <i>
      <x v="143"/>
      <x v="14"/>
    </i>
    <i r="1">
      <x v="15"/>
    </i>
    <i r="1">
      <x v="16"/>
    </i>
    <i t="default">
      <x v="143"/>
    </i>
    <i>
      <x v="151"/>
      <x v="14"/>
    </i>
    <i r="1">
      <x v="15"/>
    </i>
    <i r="1">
      <x v="16"/>
    </i>
    <i t="default">
      <x v="151"/>
    </i>
    <i>
      <x v="152"/>
      <x v="14"/>
    </i>
    <i r="1">
      <x v="15"/>
    </i>
    <i r="1">
      <x v="16"/>
    </i>
    <i t="default">
      <x v="152"/>
    </i>
    <i>
      <x v="153"/>
      <x v="14"/>
    </i>
    <i r="1">
      <x v="15"/>
    </i>
    <i r="1">
      <x v="16"/>
    </i>
    <i t="default">
      <x v="153"/>
    </i>
    <i>
      <x v="154"/>
      <x v="14"/>
    </i>
    <i r="1">
      <x v="15"/>
    </i>
    <i r="1">
      <x v="16"/>
    </i>
    <i t="default">
      <x v="154"/>
    </i>
    <i>
      <x v="155"/>
      <x v="14"/>
    </i>
    <i r="1">
      <x v="15"/>
    </i>
    <i r="1">
      <x v="16"/>
    </i>
    <i t="default">
      <x v="155"/>
    </i>
    <i>
      <x v="157"/>
      <x v="14"/>
    </i>
    <i r="1">
      <x v="15"/>
    </i>
    <i r="1">
      <x v="16"/>
    </i>
    <i t="default">
      <x v="157"/>
    </i>
    <i>
      <x v="163"/>
      <x v="14"/>
    </i>
    <i r="1">
      <x v="15"/>
    </i>
    <i r="1">
      <x v="16"/>
    </i>
    <i t="default">
      <x v="163"/>
    </i>
    <i>
      <x v="180"/>
      <x v="14"/>
    </i>
    <i r="1">
      <x v="15"/>
    </i>
    <i r="1">
      <x v="16"/>
    </i>
    <i t="default">
      <x v="180"/>
    </i>
    <i>
      <x v="187"/>
      <x v="14"/>
    </i>
    <i r="1">
      <x v="15"/>
    </i>
    <i r="1">
      <x v="16"/>
    </i>
    <i t="default">
      <x v="187"/>
    </i>
    <i>
      <x v="191"/>
      <x v="14"/>
    </i>
    <i r="1">
      <x v="15"/>
    </i>
    <i r="1">
      <x v="16"/>
    </i>
    <i t="default">
      <x v="191"/>
    </i>
    <i>
      <x v="201"/>
      <x v="14"/>
    </i>
    <i r="1">
      <x v="15"/>
    </i>
    <i r="1">
      <x v="16"/>
    </i>
    <i t="default">
      <x v="201"/>
    </i>
    <i>
      <x v="202"/>
      <x v="14"/>
    </i>
    <i r="1">
      <x v="15"/>
    </i>
    <i r="1">
      <x v="16"/>
    </i>
    <i t="default">
      <x v="202"/>
    </i>
    <i>
      <x v="203"/>
      <x v="14"/>
    </i>
    <i r="1">
      <x v="15"/>
    </i>
    <i r="1">
      <x v="16"/>
    </i>
    <i t="default">
      <x v="203"/>
    </i>
    <i>
      <x v="235"/>
      <x v="14"/>
    </i>
    <i r="1">
      <x v="15"/>
    </i>
    <i r="1">
      <x v="16"/>
    </i>
    <i t="default">
      <x v="235"/>
    </i>
    <i>
      <x v="238"/>
      <x v="14"/>
    </i>
    <i r="1">
      <x v="15"/>
    </i>
    <i r="1">
      <x v="16"/>
    </i>
    <i t="default">
      <x v="238"/>
    </i>
    <i>
      <x v="244"/>
      <x v="14"/>
    </i>
    <i r="1">
      <x v="15"/>
    </i>
    <i r="1">
      <x v="16"/>
    </i>
    <i t="default">
      <x v="244"/>
    </i>
    <i>
      <x v="249"/>
      <x v="14"/>
    </i>
    <i r="1">
      <x v="15"/>
    </i>
    <i r="1">
      <x v="16"/>
    </i>
    <i t="default">
      <x v="249"/>
    </i>
    <i>
      <x v="250"/>
      <x v="14"/>
    </i>
    <i r="1">
      <x v="15"/>
    </i>
    <i r="1">
      <x v="16"/>
    </i>
    <i t="default">
      <x v="250"/>
    </i>
    <i>
      <x v="255"/>
      <x v="14"/>
    </i>
    <i r="1">
      <x v="15"/>
    </i>
    <i r="1">
      <x v="16"/>
    </i>
    <i t="default">
      <x v="255"/>
    </i>
    <i>
      <x v="257"/>
      <x v="14"/>
    </i>
    <i r="1">
      <x v="15"/>
    </i>
    <i r="1">
      <x v="16"/>
    </i>
    <i t="default">
      <x v="257"/>
    </i>
    <i>
      <x v="258"/>
      <x v="14"/>
    </i>
    <i r="1">
      <x v="15"/>
    </i>
    <i r="1">
      <x v="16"/>
    </i>
    <i t="default">
      <x v="258"/>
    </i>
    <i>
      <x v="259"/>
      <x v="14"/>
    </i>
    <i r="1">
      <x v="15"/>
    </i>
    <i r="1">
      <x v="16"/>
    </i>
    <i t="default">
      <x v="259"/>
    </i>
    <i>
      <x v="260"/>
      <x v="14"/>
    </i>
    <i r="1">
      <x v="15"/>
    </i>
    <i r="1">
      <x v="16"/>
    </i>
    <i t="default">
      <x v="260"/>
    </i>
    <i>
      <x v="269"/>
      <x v="14"/>
    </i>
    <i r="1">
      <x v="15"/>
    </i>
    <i r="1">
      <x v="16"/>
    </i>
    <i t="default">
      <x v="269"/>
    </i>
    <i>
      <x v="272"/>
      <x v="14"/>
    </i>
    <i r="1">
      <x v="15"/>
    </i>
    <i r="1">
      <x v="16"/>
    </i>
    <i t="default">
      <x v="272"/>
    </i>
    <i>
      <x v="273"/>
      <x v="14"/>
    </i>
    <i r="1">
      <x v="15"/>
    </i>
    <i r="1">
      <x v="16"/>
    </i>
    <i t="default">
      <x v="273"/>
    </i>
    <i>
      <x v="274"/>
      <x v="14"/>
    </i>
    <i r="1">
      <x v="15"/>
    </i>
    <i r="1">
      <x v="16"/>
    </i>
    <i t="default">
      <x v="274"/>
    </i>
    <i>
      <x v="275"/>
      <x v="14"/>
    </i>
    <i r="1">
      <x v="15"/>
    </i>
    <i r="1">
      <x v="16"/>
    </i>
    <i t="default">
      <x v="275"/>
    </i>
    <i>
      <x v="276"/>
      <x v="14"/>
    </i>
    <i r="1">
      <x v="15"/>
    </i>
    <i r="1">
      <x v="16"/>
    </i>
    <i t="default">
      <x v="276"/>
    </i>
    <i>
      <x v="277"/>
      <x v="14"/>
    </i>
    <i r="1">
      <x v="15"/>
    </i>
    <i r="1">
      <x v="16"/>
    </i>
    <i t="default">
      <x v="277"/>
    </i>
    <i>
      <x v="278"/>
      <x v="14"/>
    </i>
    <i r="1">
      <x v="15"/>
    </i>
    <i r="1">
      <x v="16"/>
    </i>
    <i t="default">
      <x v="278"/>
    </i>
    <i>
      <x v="279"/>
      <x v="14"/>
    </i>
    <i r="1">
      <x v="15"/>
    </i>
    <i r="1">
      <x v="16"/>
    </i>
    <i t="default">
      <x v="279"/>
    </i>
    <i>
      <x v="283"/>
      <x v="14"/>
    </i>
    <i r="1">
      <x v="15"/>
    </i>
    <i r="1">
      <x v="16"/>
    </i>
    <i t="default">
      <x v="283"/>
    </i>
    <i>
      <x v="284"/>
      <x v="14"/>
    </i>
    <i r="1">
      <x v="15"/>
    </i>
    <i r="1">
      <x v="16"/>
    </i>
    <i t="default">
      <x v="284"/>
    </i>
    <i>
      <x v="286"/>
      <x v="14"/>
    </i>
    <i r="1">
      <x v="15"/>
    </i>
    <i r="1">
      <x v="16"/>
    </i>
    <i t="default">
      <x v="286"/>
    </i>
    <i>
      <x v="289"/>
      <x v="14"/>
    </i>
    <i r="1">
      <x v="15"/>
    </i>
    <i r="1">
      <x v="16"/>
    </i>
    <i t="default">
      <x v="289"/>
    </i>
    <i>
      <x v="290"/>
      <x v="14"/>
    </i>
    <i r="1">
      <x v="15"/>
    </i>
    <i r="1">
      <x v="16"/>
    </i>
    <i t="default">
      <x v="290"/>
    </i>
    <i>
      <x v="291"/>
      <x v="14"/>
    </i>
    <i r="1">
      <x v="15"/>
    </i>
    <i r="1">
      <x v="16"/>
    </i>
    <i t="default">
      <x v="291"/>
    </i>
    <i>
      <x v="293"/>
      <x v="14"/>
    </i>
    <i r="1">
      <x v="15"/>
    </i>
    <i r="1">
      <x v="16"/>
    </i>
    <i t="default">
      <x v="293"/>
    </i>
    <i>
      <x v="294"/>
      <x v="14"/>
    </i>
    <i r="1">
      <x v="15"/>
    </i>
    <i r="1">
      <x v="16"/>
    </i>
    <i t="default">
      <x v="294"/>
    </i>
    <i>
      <x v="295"/>
      <x v="14"/>
    </i>
    <i r="1">
      <x v="15"/>
    </i>
    <i r="1">
      <x v="16"/>
    </i>
    <i t="default">
      <x v="295"/>
    </i>
    <i>
      <x v="296"/>
      <x v="14"/>
    </i>
    <i r="1">
      <x v="15"/>
    </i>
    <i r="1">
      <x v="16"/>
    </i>
    <i t="default">
      <x v="296"/>
    </i>
    <i>
      <x v="297"/>
      <x v="14"/>
    </i>
    <i r="1">
      <x v="15"/>
    </i>
    <i r="1">
      <x v="16"/>
    </i>
    <i t="default">
      <x v="297"/>
    </i>
    <i>
      <x v="298"/>
      <x v="14"/>
    </i>
    <i r="1">
      <x v="15"/>
    </i>
    <i r="1">
      <x v="16"/>
    </i>
    <i t="default">
      <x v="298"/>
    </i>
    <i>
      <x v="300"/>
      <x v="14"/>
    </i>
    <i r="1">
      <x v="15"/>
    </i>
    <i r="1">
      <x v="16"/>
    </i>
    <i t="default">
      <x v="300"/>
    </i>
    <i>
      <x v="301"/>
      <x v="14"/>
    </i>
    <i r="1">
      <x v="15"/>
    </i>
    <i r="1">
      <x v="16"/>
    </i>
    <i t="default">
      <x v="301"/>
    </i>
    <i>
      <x v="302"/>
      <x v="14"/>
    </i>
    <i r="1">
      <x v="15"/>
    </i>
    <i r="1">
      <x v="16"/>
    </i>
    <i t="default">
      <x v="302"/>
    </i>
    <i>
      <x v="303"/>
      <x v="14"/>
    </i>
    <i r="1">
      <x v="15"/>
    </i>
    <i r="1">
      <x v="16"/>
    </i>
    <i t="default">
      <x v="303"/>
    </i>
    <i>
      <x v="304"/>
      <x v="14"/>
    </i>
    <i r="1">
      <x v="15"/>
    </i>
    <i r="1">
      <x v="16"/>
    </i>
    <i t="default">
      <x v="304"/>
    </i>
    <i>
      <x v="305"/>
      <x v="14"/>
    </i>
    <i r="1">
      <x v="15"/>
    </i>
    <i r="1">
      <x v="16"/>
    </i>
    <i t="default">
      <x v="305"/>
    </i>
    <i>
      <x v="307"/>
      <x v="14"/>
    </i>
    <i r="1">
      <x v="15"/>
    </i>
    <i r="1">
      <x v="16"/>
    </i>
    <i t="default">
      <x v="307"/>
    </i>
    <i>
      <x v="308"/>
      <x v="14"/>
    </i>
    <i r="1">
      <x v="15"/>
    </i>
    <i r="1">
      <x v="16"/>
    </i>
    <i t="default">
      <x v="308"/>
    </i>
    <i>
      <x v="309"/>
      <x v="14"/>
    </i>
    <i r="1">
      <x v="15"/>
    </i>
    <i r="1">
      <x v="16"/>
    </i>
    <i t="default">
      <x v="309"/>
    </i>
    <i>
      <x v="310"/>
      <x v="14"/>
    </i>
    <i r="1">
      <x v="15"/>
    </i>
    <i r="1">
      <x v="16"/>
    </i>
    <i t="default">
      <x v="310"/>
    </i>
    <i>
      <x v="312"/>
      <x v="14"/>
    </i>
    <i r="1">
      <x v="15"/>
    </i>
    <i r="1">
      <x v="16"/>
    </i>
    <i t="default">
      <x v="312"/>
    </i>
    <i>
      <x v="313"/>
      <x v="14"/>
    </i>
    <i t="default">
      <x v="313"/>
    </i>
    <i>
      <x v="314"/>
      <x v="14"/>
    </i>
    <i r="1">
      <x v="15"/>
    </i>
    <i r="1">
      <x v="16"/>
    </i>
    <i t="default">
      <x v="314"/>
    </i>
    <i>
      <x v="315"/>
      <x v="14"/>
    </i>
    <i r="1">
      <x v="15"/>
    </i>
    <i r="1">
      <x v="16"/>
    </i>
    <i t="default">
      <x v="315"/>
    </i>
    <i>
      <x v="317"/>
      <x v="14"/>
    </i>
    <i r="1">
      <x v="15"/>
    </i>
    <i r="1">
      <x v="16"/>
    </i>
    <i t="default">
      <x v="317"/>
    </i>
    <i>
      <x v="318"/>
      <x v="14"/>
    </i>
    <i r="1">
      <x v="15"/>
    </i>
    <i r="1">
      <x v="16"/>
    </i>
    <i t="default">
      <x v="318"/>
    </i>
    <i>
      <x v="323"/>
      <x v="14"/>
    </i>
    <i r="1">
      <x v="15"/>
    </i>
    <i r="1">
      <x v="16"/>
    </i>
    <i t="default">
      <x v="323"/>
    </i>
    <i>
      <x v="324"/>
      <x v="14"/>
    </i>
    <i r="1">
      <x v="15"/>
    </i>
    <i r="1">
      <x v="16"/>
    </i>
    <i t="default">
      <x v="324"/>
    </i>
    <i>
      <x v="328"/>
      <x v="14"/>
    </i>
    <i r="1">
      <x v="15"/>
    </i>
    <i r="1">
      <x v="16"/>
    </i>
    <i t="default">
      <x v="328"/>
    </i>
    <i>
      <x v="331"/>
      <x v="14"/>
    </i>
    <i r="1">
      <x v="15"/>
    </i>
    <i r="1">
      <x v="16"/>
    </i>
    <i t="default">
      <x v="331"/>
    </i>
    <i>
      <x v="343"/>
      <x v="14"/>
    </i>
    <i r="1">
      <x v="15"/>
    </i>
    <i r="1">
      <x v="16"/>
    </i>
    <i t="default">
      <x v="343"/>
    </i>
    <i>
      <x v="346"/>
      <x v="14"/>
    </i>
    <i r="1">
      <x v="15"/>
    </i>
    <i r="1">
      <x v="16"/>
    </i>
    <i t="default">
      <x v="346"/>
    </i>
    <i>
      <x v="347"/>
      <x v="14"/>
    </i>
    <i r="1">
      <x v="15"/>
    </i>
    <i r="1">
      <x v="16"/>
    </i>
    <i t="default">
      <x v="347"/>
    </i>
    <i>
      <x v="349"/>
      <x v="14"/>
    </i>
    <i r="1">
      <x v="15"/>
    </i>
    <i r="1">
      <x v="16"/>
    </i>
    <i t="default">
      <x v="349"/>
    </i>
    <i>
      <x v="350"/>
      <x v="14"/>
    </i>
    <i r="1">
      <x v="15"/>
    </i>
    <i r="1">
      <x v="16"/>
    </i>
    <i t="default">
      <x v="350"/>
    </i>
    <i>
      <x v="351"/>
      <x v="14"/>
    </i>
    <i r="1">
      <x v="15"/>
    </i>
    <i r="1">
      <x v="16"/>
    </i>
    <i t="default">
      <x v="351"/>
    </i>
    <i>
      <x v="352"/>
      <x v="14"/>
    </i>
    <i r="1">
      <x v="15"/>
    </i>
    <i r="1">
      <x v="16"/>
    </i>
    <i t="default">
      <x v="352"/>
    </i>
    <i>
      <x v="353"/>
      <x v="14"/>
    </i>
    <i r="1">
      <x v="15"/>
    </i>
    <i r="1">
      <x v="16"/>
    </i>
    <i t="default">
      <x v="353"/>
    </i>
    <i>
      <x v="355"/>
      <x v="14"/>
    </i>
    <i r="1">
      <x v="15"/>
    </i>
    <i r="1">
      <x v="16"/>
    </i>
    <i t="default">
      <x v="355"/>
    </i>
    <i>
      <x v="358"/>
      <x v="14"/>
    </i>
    <i r="1">
      <x v="15"/>
    </i>
    <i r="1">
      <x v="16"/>
    </i>
    <i t="default">
      <x v="358"/>
    </i>
    <i>
      <x v="359"/>
      <x v="14"/>
    </i>
    <i r="1">
      <x v="15"/>
    </i>
    <i r="1">
      <x v="16"/>
    </i>
    <i t="default">
      <x v="359"/>
    </i>
    <i>
      <x v="365"/>
      <x v="14"/>
    </i>
    <i r="1">
      <x v="15"/>
    </i>
    <i r="1">
      <x v="16"/>
    </i>
    <i t="default">
      <x v="365"/>
    </i>
    <i>
      <x v="366"/>
      <x v="14"/>
    </i>
    <i r="1">
      <x v="15"/>
    </i>
    <i r="1">
      <x v="16"/>
    </i>
    <i t="default">
      <x v="366"/>
    </i>
    <i>
      <x v="369"/>
      <x v="14"/>
    </i>
    <i r="1">
      <x v="15"/>
    </i>
    <i r="1">
      <x v="16"/>
    </i>
    <i t="default">
      <x v="369"/>
    </i>
    <i>
      <x v="370"/>
      <x v="14"/>
    </i>
    <i r="1">
      <x v="15"/>
    </i>
    <i r="1">
      <x v="16"/>
    </i>
    <i t="default">
      <x v="370"/>
    </i>
    <i>
      <x v="371"/>
      <x v="14"/>
    </i>
    <i r="1">
      <x v="15"/>
    </i>
    <i r="1">
      <x v="16"/>
    </i>
    <i t="default">
      <x v="371"/>
    </i>
    <i>
      <x v="372"/>
      <x v="14"/>
    </i>
    <i r="1">
      <x v="15"/>
    </i>
    <i r="1">
      <x v="16"/>
    </i>
    <i t="default">
      <x v="372"/>
    </i>
    <i>
      <x v="374"/>
      <x v="14"/>
    </i>
    <i r="1">
      <x v="15"/>
    </i>
    <i r="1">
      <x v="16"/>
    </i>
    <i t="default">
      <x v="374"/>
    </i>
    <i>
      <x v="376"/>
      <x v="14"/>
    </i>
    <i r="1">
      <x v="15"/>
    </i>
    <i r="1">
      <x v="16"/>
    </i>
    <i t="default">
      <x v="376"/>
    </i>
    <i>
      <x v="377"/>
      <x v="14"/>
    </i>
    <i r="1">
      <x v="15"/>
    </i>
    <i r="1">
      <x v="16"/>
    </i>
    <i t="default">
      <x v="377"/>
    </i>
    <i>
      <x v="378"/>
      <x v="14"/>
    </i>
    <i r="1">
      <x v="15"/>
    </i>
    <i r="1">
      <x v="16"/>
    </i>
    <i t="default">
      <x v="378"/>
    </i>
    <i>
      <x v="379"/>
      <x v="14"/>
    </i>
    <i r="1">
      <x v="15"/>
    </i>
    <i r="1">
      <x v="16"/>
    </i>
    <i t="default">
      <x v="379"/>
    </i>
    <i>
      <x v="380"/>
      <x v="14"/>
    </i>
    <i r="1">
      <x v="15"/>
    </i>
    <i r="1">
      <x v="16"/>
    </i>
    <i t="default">
      <x v="380"/>
    </i>
    <i>
      <x v="381"/>
      <x v="14"/>
    </i>
    <i r="1">
      <x v="15"/>
    </i>
    <i r="1">
      <x v="16"/>
    </i>
    <i t="default">
      <x v="381"/>
    </i>
    <i>
      <x v="382"/>
      <x v="14"/>
    </i>
    <i r="1">
      <x v="15"/>
    </i>
    <i r="1">
      <x v="16"/>
    </i>
    <i t="default">
      <x v="382"/>
    </i>
    <i>
      <x v="384"/>
      <x v="14"/>
    </i>
    <i r="1">
      <x v="15"/>
    </i>
    <i r="1">
      <x v="16"/>
    </i>
    <i t="default">
      <x v="384"/>
    </i>
    <i>
      <x v="386"/>
      <x v="14"/>
    </i>
    <i t="default">
      <x v="386"/>
    </i>
    <i>
      <x v="387"/>
      <x v="14"/>
    </i>
    <i r="1">
      <x v="15"/>
    </i>
    <i r="1">
      <x v="16"/>
    </i>
    <i t="default">
      <x v="387"/>
    </i>
    <i>
      <x v="391"/>
      <x v="14"/>
    </i>
    <i r="1">
      <x v="15"/>
    </i>
    <i r="1">
      <x v="16"/>
    </i>
    <i t="default">
      <x v="391"/>
    </i>
    <i>
      <x v="395"/>
      <x v="14"/>
    </i>
    <i r="1">
      <x v="15"/>
    </i>
    <i r="1">
      <x v="16"/>
    </i>
    <i t="default">
      <x v="395"/>
    </i>
    <i>
      <x v="396"/>
      <x v="14"/>
    </i>
    <i r="1">
      <x v="15"/>
    </i>
    <i r="1">
      <x v="16"/>
    </i>
    <i t="default">
      <x v="396"/>
    </i>
    <i>
      <x v="399"/>
      <x v="14"/>
    </i>
    <i r="1">
      <x v="15"/>
    </i>
    <i r="1">
      <x v="16"/>
    </i>
    <i t="default">
      <x v="399"/>
    </i>
    <i>
      <x v="400"/>
      <x v="14"/>
    </i>
    <i r="1">
      <x v="15"/>
    </i>
    <i r="1">
      <x v="16"/>
    </i>
    <i t="default">
      <x v="400"/>
    </i>
    <i>
      <x v="421"/>
      <x v="14"/>
    </i>
    <i r="1">
      <x v="15"/>
    </i>
    <i r="1">
      <x v="16"/>
    </i>
    <i t="default">
      <x v="421"/>
    </i>
    <i>
      <x v="424"/>
      <x v="14"/>
    </i>
    <i r="1">
      <x v="15"/>
    </i>
    <i r="1">
      <x v="16"/>
    </i>
    <i t="default">
      <x v="424"/>
    </i>
    <i>
      <x v="429"/>
      <x v="14"/>
    </i>
    <i r="1">
      <x v="15"/>
    </i>
    <i r="1">
      <x v="16"/>
    </i>
    <i t="default">
      <x v="429"/>
    </i>
    <i>
      <x v="446"/>
      <x v="14"/>
    </i>
    <i r="1">
      <x v="15"/>
    </i>
    <i r="1">
      <x v="16"/>
    </i>
    <i t="default">
      <x v="446"/>
    </i>
    <i>
      <x v="447"/>
      <x v="14"/>
    </i>
    <i r="1">
      <x v="15"/>
    </i>
    <i r="1">
      <x v="16"/>
    </i>
    <i t="default">
      <x v="447"/>
    </i>
    <i>
      <x v="448"/>
      <x v="14"/>
    </i>
    <i r="1">
      <x v="15"/>
    </i>
    <i r="1">
      <x v="16"/>
    </i>
    <i t="default">
      <x v="448"/>
    </i>
    <i>
      <x v="450"/>
      <x v="14"/>
    </i>
    <i r="1">
      <x v="15"/>
    </i>
    <i r="1">
      <x v="16"/>
    </i>
    <i t="default">
      <x v="450"/>
    </i>
    <i>
      <x v="454"/>
      <x v="14"/>
    </i>
    <i r="1">
      <x v="15"/>
    </i>
    <i r="1">
      <x v="16"/>
    </i>
    <i t="default">
      <x v="454"/>
    </i>
    <i>
      <x v="455"/>
      <x v="14"/>
    </i>
    <i r="1">
      <x v="15"/>
    </i>
    <i r="1">
      <x v="16"/>
    </i>
    <i t="default">
      <x v="455"/>
    </i>
    <i>
      <x v="457"/>
      <x v="14"/>
    </i>
    <i r="1">
      <x v="15"/>
    </i>
    <i r="1">
      <x v="16"/>
    </i>
    <i t="default">
      <x v="457"/>
    </i>
    <i>
      <x v="458"/>
      <x v="14"/>
    </i>
    <i r="1">
      <x v="15"/>
    </i>
    <i r="1">
      <x v="16"/>
    </i>
    <i t="default">
      <x v="458"/>
    </i>
    <i>
      <x v="464"/>
      <x v="14"/>
    </i>
    <i r="1">
      <x v="15"/>
    </i>
    <i r="1">
      <x v="16"/>
    </i>
    <i t="default">
      <x v="464"/>
    </i>
    <i>
      <x v="475"/>
      <x v="14"/>
    </i>
    <i r="1">
      <x v="15"/>
    </i>
    <i r="1">
      <x v="16"/>
    </i>
    <i t="default">
      <x v="475"/>
    </i>
    <i>
      <x v="491"/>
      <x v="14"/>
    </i>
    <i r="1">
      <x v="15"/>
    </i>
    <i r="1">
      <x v="16"/>
    </i>
    <i t="default">
      <x v="491"/>
    </i>
    <i>
      <x v="492"/>
      <x v="14"/>
    </i>
    <i r="1">
      <x v="15"/>
    </i>
    <i r="1">
      <x v="16"/>
    </i>
    <i t="default">
      <x v="492"/>
    </i>
    <i>
      <x v="493"/>
      <x v="14"/>
    </i>
    <i r="1">
      <x v="15"/>
    </i>
    <i r="1">
      <x v="16"/>
    </i>
    <i t="default">
      <x v="493"/>
    </i>
    <i>
      <x v="501"/>
      <x v="14"/>
    </i>
    <i r="1">
      <x v="15"/>
    </i>
    <i r="1">
      <x v="16"/>
    </i>
    <i t="default">
      <x v="501"/>
    </i>
    <i>
      <x v="503"/>
      <x v="14"/>
    </i>
    <i r="1">
      <x v="15"/>
    </i>
    <i r="1">
      <x v="16"/>
    </i>
    <i t="default">
      <x v="503"/>
    </i>
    <i>
      <x v="509"/>
      <x v="14"/>
    </i>
    <i r="1">
      <x v="15"/>
    </i>
    <i r="1">
      <x v="16"/>
    </i>
    <i t="default">
      <x v="509"/>
    </i>
    <i>
      <x v="511"/>
      <x v="14"/>
    </i>
    <i r="1">
      <x v="15"/>
    </i>
    <i r="1">
      <x v="16"/>
    </i>
    <i t="default">
      <x v="511"/>
    </i>
    <i>
      <x v="517"/>
      <x v="14"/>
    </i>
    <i r="1">
      <x v="15"/>
    </i>
    <i r="1">
      <x v="16"/>
    </i>
    <i t="default">
      <x v="517"/>
    </i>
    <i>
      <x v="522"/>
      <x v="14"/>
    </i>
    <i r="1">
      <x v="15"/>
    </i>
    <i r="1">
      <x v="16"/>
    </i>
    <i t="default">
      <x v="522"/>
    </i>
    <i>
      <x v="529"/>
      <x v="14"/>
    </i>
    <i r="1">
      <x v="15"/>
    </i>
    <i r="1">
      <x v="16"/>
    </i>
    <i t="default">
      <x v="529"/>
    </i>
    <i>
      <x v="533"/>
      <x v="14"/>
    </i>
    <i r="1">
      <x v="15"/>
    </i>
    <i r="1">
      <x v="16"/>
    </i>
    <i t="default">
      <x v="533"/>
    </i>
    <i>
      <x v="535"/>
      <x v="14"/>
    </i>
    <i r="1">
      <x v="15"/>
    </i>
    <i r="1">
      <x v="16"/>
    </i>
    <i t="default">
      <x v="535"/>
    </i>
    <i>
      <x v="536"/>
      <x v="14"/>
    </i>
    <i r="1">
      <x v="15"/>
    </i>
    <i r="1">
      <x v="16"/>
    </i>
    <i t="default">
      <x v="536"/>
    </i>
    <i>
      <x v="537"/>
      <x v="14"/>
    </i>
    <i r="1">
      <x v="15"/>
    </i>
    <i r="1">
      <x v="16"/>
    </i>
    <i t="default">
      <x v="537"/>
    </i>
    <i>
      <x v="539"/>
      <x v="14"/>
    </i>
    <i r="1">
      <x v="15"/>
    </i>
    <i r="1">
      <x v="16"/>
    </i>
    <i t="default">
      <x v="539"/>
    </i>
    <i>
      <x v="540"/>
      <x v="14"/>
    </i>
    <i r="1">
      <x v="15"/>
    </i>
    <i r="1">
      <x v="16"/>
    </i>
    <i t="default">
      <x v="540"/>
    </i>
    <i>
      <x v="542"/>
      <x v="14"/>
    </i>
    <i r="1">
      <x v="15"/>
    </i>
    <i r="1">
      <x v="16"/>
    </i>
    <i t="default">
      <x v="542"/>
    </i>
    <i>
      <x v="543"/>
      <x v="14"/>
    </i>
    <i r="1">
      <x v="15"/>
    </i>
    <i r="1">
      <x v="16"/>
    </i>
    <i t="default">
      <x v="543"/>
    </i>
    <i>
      <x v="544"/>
      <x v="14"/>
    </i>
    <i r="1">
      <x v="15"/>
    </i>
    <i r="1">
      <x v="16"/>
    </i>
    <i t="default">
      <x v="544"/>
    </i>
    <i>
      <x v="555"/>
      <x v="14"/>
    </i>
    <i r="1">
      <x v="15"/>
    </i>
    <i r="1">
      <x v="16"/>
    </i>
    <i t="default">
      <x v="555"/>
    </i>
    <i>
      <x v="559"/>
      <x v="14"/>
    </i>
    <i t="default">
      <x v="559"/>
    </i>
    <i>
      <x v="568"/>
      <x v="14"/>
    </i>
    <i r="1">
      <x v="15"/>
    </i>
    <i r="1">
      <x v="16"/>
    </i>
    <i t="default">
      <x v="568"/>
    </i>
    <i>
      <x v="569"/>
      <x v="14"/>
    </i>
    <i r="1">
      <x v="15"/>
    </i>
    <i r="1">
      <x v="16"/>
    </i>
    <i t="default">
      <x v="569"/>
    </i>
    <i>
      <x v="570"/>
      <x v="14"/>
    </i>
    <i r="1">
      <x v="15"/>
    </i>
    <i r="1">
      <x v="16"/>
    </i>
    <i t="default">
      <x v="570"/>
    </i>
    <i>
      <x v="571"/>
      <x v="14"/>
    </i>
    <i r="1">
      <x v="15"/>
    </i>
    <i r="1">
      <x v="16"/>
    </i>
    <i t="default">
      <x v="571"/>
    </i>
    <i>
      <x v="582"/>
      <x v="14"/>
    </i>
    <i r="1">
      <x v="15"/>
    </i>
    <i r="1">
      <x v="16"/>
    </i>
    <i t="default">
      <x v="582"/>
    </i>
    <i>
      <x v="583"/>
      <x v="14"/>
    </i>
    <i r="1">
      <x v="15"/>
    </i>
    <i r="1">
      <x v="16"/>
    </i>
    <i t="default">
      <x v="583"/>
    </i>
    <i>
      <x v="587"/>
      <x v="14"/>
    </i>
    <i r="1">
      <x v="15"/>
    </i>
    <i r="1">
      <x v="16"/>
    </i>
    <i t="default">
      <x v="587"/>
    </i>
    <i>
      <x v="588"/>
      <x v="14"/>
    </i>
    <i r="1">
      <x v="15"/>
    </i>
    <i r="1">
      <x v="16"/>
    </i>
    <i t="default">
      <x v="588"/>
    </i>
    <i>
      <x v="589"/>
      <x v="14"/>
    </i>
    <i r="1">
      <x v="15"/>
    </i>
    <i r="1">
      <x v="16"/>
    </i>
    <i t="default">
      <x v="589"/>
    </i>
    <i>
      <x v="590"/>
      <x v="14"/>
    </i>
    <i r="1">
      <x v="15"/>
    </i>
    <i r="1">
      <x v="16"/>
    </i>
    <i t="default">
      <x v="590"/>
    </i>
    <i>
      <x v="591"/>
      <x v="14"/>
    </i>
    <i r="1">
      <x v="15"/>
    </i>
    <i r="1">
      <x v="16"/>
    </i>
    <i t="default">
      <x v="591"/>
    </i>
    <i>
      <x v="628"/>
      <x v="14"/>
    </i>
    <i r="1">
      <x v="15"/>
    </i>
    <i r="1">
      <x v="16"/>
    </i>
    <i t="default">
      <x v="628"/>
    </i>
    <i>
      <x v="656"/>
      <x v="14"/>
    </i>
    <i r="1">
      <x v="15"/>
    </i>
    <i r="1">
      <x v="16"/>
    </i>
    <i t="default">
      <x v="656"/>
    </i>
    <i>
      <x v="657"/>
      <x v="14"/>
    </i>
    <i r="1">
      <x v="15"/>
    </i>
    <i r="1">
      <x v="16"/>
    </i>
    <i t="default">
      <x v="657"/>
    </i>
    <i>
      <x v="658"/>
      <x v="14"/>
    </i>
    <i r="1">
      <x v="15"/>
    </i>
    <i r="1">
      <x v="16"/>
    </i>
    <i t="default">
      <x v="658"/>
    </i>
    <i>
      <x v="660"/>
      <x v="14"/>
    </i>
    <i r="1">
      <x v="15"/>
    </i>
    <i r="1">
      <x v="16"/>
    </i>
    <i t="default">
      <x v="660"/>
    </i>
    <i>
      <x v="669"/>
      <x v="14"/>
    </i>
    <i r="1">
      <x v="15"/>
    </i>
    <i r="1">
      <x v="16"/>
    </i>
    <i t="default">
      <x v="669"/>
    </i>
    <i>
      <x v="670"/>
      <x v="14"/>
    </i>
    <i r="1">
      <x v="15"/>
    </i>
    <i r="1">
      <x v="16"/>
    </i>
    <i t="default">
      <x v="670"/>
    </i>
    <i>
      <x v="673"/>
      <x v="14"/>
    </i>
    <i r="1">
      <x v="15"/>
    </i>
    <i r="1">
      <x v="16"/>
    </i>
    <i t="default">
      <x v="673"/>
    </i>
    <i>
      <x v="679"/>
      <x v="14"/>
    </i>
    <i r="1">
      <x v="15"/>
    </i>
    <i r="1">
      <x v="16"/>
    </i>
    <i t="default">
      <x v="679"/>
    </i>
    <i>
      <x v="680"/>
      <x v="14"/>
    </i>
    <i r="1">
      <x v="15"/>
    </i>
    <i r="1">
      <x v="16"/>
    </i>
    <i t="default">
      <x v="680"/>
    </i>
    <i>
      <x v="681"/>
      <x v="14"/>
    </i>
    <i r="1">
      <x v="15"/>
    </i>
    <i r="1">
      <x v="16"/>
    </i>
    <i t="default">
      <x v="681"/>
    </i>
    <i>
      <x v="691"/>
      <x v="14"/>
    </i>
    <i t="default">
      <x v="691"/>
    </i>
    <i>
      <x v="693"/>
      <x v="14"/>
    </i>
    <i r="1">
      <x v="15"/>
    </i>
    <i r="1">
      <x v="16"/>
    </i>
    <i t="default">
      <x v="693"/>
    </i>
    <i>
      <x v="722"/>
      <x v="14"/>
    </i>
    <i r="1">
      <x v="15"/>
    </i>
    <i r="1">
      <x v="16"/>
    </i>
    <i t="default">
      <x v="722"/>
    </i>
    <i>
      <x v="723"/>
      <x v="14"/>
    </i>
    <i r="1">
      <x v="15"/>
    </i>
    <i r="1">
      <x v="16"/>
    </i>
    <i t="default">
      <x v="723"/>
    </i>
    <i>
      <x v="866"/>
      <x v="14"/>
    </i>
    <i r="1">
      <x v="15"/>
    </i>
    <i r="1">
      <x v="16"/>
    </i>
    <i t="default">
      <x v="866"/>
    </i>
    <i>
      <x v="974"/>
      <x v="14"/>
    </i>
    <i r="1">
      <x v="15"/>
    </i>
    <i r="1">
      <x v="16"/>
    </i>
    <i t="default">
      <x v="974"/>
    </i>
    <i>
      <x v="975"/>
      <x v="14"/>
    </i>
    <i r="1">
      <x v="15"/>
    </i>
    <i r="1">
      <x v="16"/>
    </i>
    <i t="default">
      <x v="975"/>
    </i>
    <i>
      <x v="981"/>
      <x v="14"/>
    </i>
    <i r="1">
      <x v="15"/>
    </i>
    <i r="1">
      <x v="16"/>
    </i>
    <i t="default">
      <x v="981"/>
    </i>
    <i>
      <x v="982"/>
      <x v="14"/>
    </i>
    <i r="1">
      <x v="15"/>
    </i>
    <i r="1">
      <x v="16"/>
    </i>
    <i t="default">
      <x v="982"/>
    </i>
    <i>
      <x v="983"/>
      <x v="14"/>
    </i>
    <i r="1">
      <x v="15"/>
    </i>
    <i r="1">
      <x v="16"/>
    </i>
    <i t="default">
      <x v="983"/>
    </i>
    <i>
      <x v="984"/>
      <x v="14"/>
    </i>
    <i r="1">
      <x v="15"/>
    </i>
    <i r="1">
      <x v="16"/>
    </i>
    <i t="default">
      <x v="984"/>
    </i>
    <i>
      <x v="985"/>
      <x v="15"/>
    </i>
    <i r="1">
      <x v="16"/>
    </i>
    <i t="default">
      <x v="985"/>
    </i>
    <i>
      <x v="1001"/>
      <x v="14"/>
    </i>
    <i r="1">
      <x v="15"/>
    </i>
    <i r="1">
      <x v="16"/>
    </i>
    <i t="default">
      <x v="1001"/>
    </i>
    <i>
      <x v="1002"/>
      <x v="14"/>
    </i>
    <i r="1">
      <x v="15"/>
    </i>
    <i r="1">
      <x v="16"/>
    </i>
    <i t="default">
      <x v="1002"/>
    </i>
    <i>
      <x v="1013"/>
      <x v="16"/>
    </i>
    <i t="default">
      <x v="1013"/>
    </i>
    <i>
      <x v="1014"/>
      <x v="16"/>
    </i>
    <i t="default">
      <x v="1014"/>
    </i>
    <i t="grand">
      <x/>
    </i>
  </rowItems>
  <colFields count="1">
    <field x="-2"/>
  </colFields>
  <colItems count="3">
    <i>
      <x/>
    </i>
    <i i="1">
      <x v="1"/>
    </i>
    <i i="2">
      <x v="2"/>
    </i>
  </colItems>
  <pageFields count="1">
    <pageField fld="136" hier="-1"/>
  </pageFields>
  <dataFields count="3">
    <dataField name="# of People adopt basic personal and community hygiene practices" fld="114" baseField="0" baseItem="0"/>
    <dataField name="# of people access to functioning  sanitation facilities" fld="101" baseField="0" baseItem="0"/>
    <dataField name="# of people Equitable and continuous access to sufficient quantity of domestic water" fld="93"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2" applyNumberFormats="0" applyBorderFormats="0" applyFontFormats="0" applyPatternFormats="0" applyAlignmentFormats="0" applyWidthHeightFormats="1" dataCaption="Values" updatedVersion="6" minRefreshableVersion="3" colGrandTotals="0" itemPrintTitles="1" createdVersion="6" indent="0" showHeaders="0" compact="0" compactData="0" multipleFieldFilters="0">
  <location ref="A6:N15" firstHeaderRow="0" firstDataRow="1" firstDataCol="2" rowPageCount="2" colPageCount="1"/>
  <pivotFields count="147">
    <pivotField axis="axisRow" compact="0" outline="0" subtotalTop="0" showAll="0">
      <items count="18">
        <item m="1" x="15"/>
        <item m="1" x="8"/>
        <item m="1" x="3"/>
        <item m="1" x="5"/>
        <item m="1" x="16"/>
        <item m="1" x="4"/>
        <item m="1" x="14"/>
        <item m="1" x="10"/>
        <item m="1" x="12"/>
        <item m="1" x="13"/>
        <item m="1" x="6"/>
        <item m="1" x="7"/>
        <item m="1" x="9"/>
        <item m="1" x="11"/>
        <item x="0"/>
        <item x="1"/>
        <item x="2"/>
        <item t="default"/>
      </items>
    </pivotField>
    <pivotField compact="0" outline="0" showAll="0" defaultSubtotal="0"/>
    <pivotField compact="0" outline="0" showAll="0" defaultSubtotal="0"/>
    <pivotField compact="0" outline="0" subtotalTop="0" showAll="0"/>
    <pivotField axis="axisRow" compact="0" outline="0" subtotalTop="0" showAll="0">
      <items count="7">
        <item x="0"/>
        <item m="1" x="4"/>
        <item x="1"/>
        <item m="1" x="2"/>
        <item m="1" x="3"/>
        <item m="1" x="5"/>
        <item t="default"/>
      </items>
    </pivotField>
    <pivotField compact="0" outline="0" subtotalTop="0" showAll="0"/>
    <pivotField axis="axisPage" compact="0" outline="0" multipleItemSelectionAllowed="1" showAll="0" defaultSubtotal="0">
      <items count="11">
        <item x="1"/>
        <item x="0"/>
        <item m="1" x="7"/>
        <item h="1" m="1" x="9"/>
        <item h="1" m="1" x="10"/>
        <item h="1" m="1" x="3"/>
        <item h="1" m="1" x="6"/>
        <item h="1" m="1" x="2"/>
        <item m="1" x="4"/>
        <item m="1" x="5"/>
        <item h="1" m="1" x="8"/>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dataField="1"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dataField="1" compact="0" outline="0" showAll="0"/>
    <pivotField dataField="1" compact="0" numFmtId="1"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dataField="1" compact="0" numFmtId="1" outline="0" showAll="0"/>
    <pivotField compact="0" outline="0" showAll="0"/>
    <pivotField compact="0" numFmtId="9" outline="0" showAll="0"/>
    <pivotField dataField="1" compact="0" numFmtId="164" outline="0" showAll="0"/>
    <pivotField dataField="1"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6">
        <item x="0"/>
        <item x="1"/>
        <item m="1" x="2"/>
        <item m="1" x="4"/>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9">
    <i>
      <x/>
      <x v="14"/>
    </i>
    <i r="1">
      <x v="15"/>
    </i>
    <i r="1">
      <x v="16"/>
    </i>
    <i t="default">
      <x/>
    </i>
    <i>
      <x v="2"/>
      <x v="14"/>
    </i>
    <i r="1">
      <x v="15"/>
    </i>
    <i r="1">
      <x v="16"/>
    </i>
    <i t="default">
      <x v="2"/>
    </i>
    <i t="grand">
      <x/>
    </i>
  </rowItems>
  <colFields count="1">
    <field x="-2"/>
  </colFields>
  <colItems count="12">
    <i>
      <x/>
    </i>
    <i i="1">
      <x v="1"/>
    </i>
    <i i="2">
      <x v="2"/>
    </i>
    <i i="3">
      <x v="3"/>
    </i>
    <i i="4">
      <x v="4"/>
    </i>
    <i i="5">
      <x v="5"/>
    </i>
    <i i="6">
      <x v="6"/>
    </i>
    <i i="7">
      <x v="7"/>
    </i>
    <i i="8">
      <x v="8"/>
    </i>
    <i i="9">
      <x v="9"/>
    </i>
    <i i="10">
      <x v="10"/>
    </i>
    <i i="11">
      <x v="11"/>
    </i>
  </colItems>
  <pageFields count="2">
    <pageField fld="136" item="0" hier="-1"/>
    <pageField fld="6" hier="-1"/>
  </pageFields>
  <dataFields count="12">
    <dataField name="Total Population reached" fld="9" baseField="2" baseItem="0" numFmtId="3"/>
    <dataField name=" HRP1" fld="93" baseField="4" baseItem="0"/>
    <dataField name=" HRP2" fld="101" baseField="0" baseItem="0"/>
    <dataField name=" HRP3" fld="114" baseField="0" baseItem="0"/>
    <dataField name=" HRP4" fld="126" baseField="4" baseItem="0"/>
    <dataField name=" HRP5" fld="127" baseField="4" baseItem="0"/>
    <dataField name=" # People received regular supply of hygiene items" fld="113" baseField="0" baseItem="0"/>
    <dataField name=" # people reached by regular dedicated hygiene promotion" fld="110" baseField="0" baseItem="0"/>
    <dataField name=" # People access to Handwashing Station" fld="123" baseField="0" baseItem="0"/>
    <dataField name="  # People access to functional water points or water provision supported by WASH partners in TLS/CFS/THF_HRP5" fld="85" baseField="0" baseItem="0"/>
    <dataField name=" # students access to functioning school latrines_HRP5" fld="103" baseField="0" baseItem="0"/>
    <dataField name=" # People access to functioning latrines in THF_HRP5" fld="104" baseField="0" baseItem="0"/>
  </dataFields>
  <formats count="53">
    <format dxfId="675">
      <pivotArea field="4" type="button" dataOnly="0" labelOnly="1" outline="0" axis="axisRow" fieldPosition="0"/>
    </format>
    <format dxfId="674">
      <pivotArea type="all" dataOnly="0" outline="0" fieldPosition="0"/>
    </format>
    <format dxfId="673">
      <pivotArea field="4" type="button" dataOnly="0" labelOnly="1" outline="0" axis="axisRow" fieldPosition="0"/>
    </format>
    <format dxfId="672">
      <pivotArea outline="0" fieldPosition="0">
        <references count="1">
          <reference field="4294967294" count="1">
            <x v="0"/>
          </reference>
        </references>
      </pivotArea>
    </format>
    <format dxfId="671">
      <pivotArea dataOnly="0" labelOnly="1" outline="0" fieldPosition="0">
        <references count="1">
          <reference field="4294967294" count="1">
            <x v="0"/>
          </reference>
        </references>
      </pivotArea>
    </format>
    <format dxfId="670">
      <pivotArea type="all" dataOnly="0" outline="0" fieldPosition="0"/>
    </format>
    <format dxfId="669">
      <pivotArea outline="0" collapsedLevelsAreSubtotals="1" fieldPosition="0"/>
    </format>
    <format dxfId="668">
      <pivotArea dataOnly="0" labelOnly="1" fieldPosition="0">
        <references count="1">
          <reference field="4" count="0"/>
        </references>
      </pivotArea>
    </format>
    <format dxfId="667">
      <pivotArea dataOnly="0" labelOnly="1" grandRow="1" outline="0" fieldPosition="0"/>
    </format>
    <format dxfId="666">
      <pivotArea dataOnly="0" labelOnly="1" outline="0" fieldPosition="0">
        <references count="1">
          <reference field="4294967294" count="1">
            <x v="0"/>
          </reference>
        </references>
      </pivotArea>
    </format>
    <format dxfId="665">
      <pivotArea type="all" dataOnly="0" outline="0" fieldPosition="0"/>
    </format>
    <format dxfId="664">
      <pivotArea outline="0" collapsedLevelsAreSubtotals="1" fieldPosition="0"/>
    </format>
    <format dxfId="663">
      <pivotArea dataOnly="0" labelOnly="1" fieldPosition="0">
        <references count="1">
          <reference field="4" count="0"/>
        </references>
      </pivotArea>
    </format>
    <format dxfId="662">
      <pivotArea dataOnly="0" labelOnly="1" grandRow="1" outline="0" fieldPosition="0"/>
    </format>
    <format dxfId="661">
      <pivotArea dataOnly="0" labelOnly="1" outline="0" fieldPosition="0">
        <references count="1">
          <reference field="4294967294" count="1">
            <x v="0"/>
          </reference>
        </references>
      </pivotArea>
    </format>
    <format dxfId="660">
      <pivotArea outline="0" collapsedLevelsAreSubtotals="1" fieldPosition="0"/>
    </format>
    <format dxfId="659">
      <pivotArea outline="0" collapsedLevelsAreSubtotals="1" fieldPosition="0">
        <references count="1">
          <reference field="4294967294" count="1" selected="0">
            <x v="1"/>
          </reference>
        </references>
      </pivotArea>
    </format>
    <format dxfId="658">
      <pivotArea dataOnly="0" labelOnly="1" outline="0" fieldPosition="0">
        <references count="1">
          <reference field="4294967294" count="1">
            <x v="1"/>
          </reference>
        </references>
      </pivotArea>
    </format>
    <format dxfId="657">
      <pivotArea outline="0" collapsedLevelsAreSubtotals="1" fieldPosition="0">
        <references count="1">
          <reference field="4294967294" count="1" selected="0">
            <x v="1"/>
          </reference>
        </references>
      </pivotArea>
    </format>
    <format dxfId="656">
      <pivotArea dataOnly="0" labelOnly="1" outline="0" fieldPosition="0">
        <references count="1">
          <reference field="4294967294" count="1">
            <x v="1"/>
          </reference>
        </references>
      </pivotArea>
    </format>
    <format dxfId="655">
      <pivotArea outline="0" collapsedLevelsAreSubtotals="1" fieldPosition="0">
        <references count="1">
          <reference field="4294967294" count="1" selected="0">
            <x v="2"/>
          </reference>
        </references>
      </pivotArea>
    </format>
    <format dxfId="654">
      <pivotArea dataOnly="0" labelOnly="1" outline="0" fieldPosition="0">
        <references count="1">
          <reference field="4294967294" count="1">
            <x v="2"/>
          </reference>
        </references>
      </pivotArea>
    </format>
    <format dxfId="653">
      <pivotArea outline="0" collapsedLevelsAreSubtotals="1" fieldPosition="0">
        <references count="1">
          <reference field="4294967294" count="1" selected="0">
            <x v="2"/>
          </reference>
        </references>
      </pivotArea>
    </format>
    <format dxfId="652">
      <pivotArea dataOnly="0" labelOnly="1" outline="0" fieldPosition="0">
        <references count="1">
          <reference field="4294967294" count="1">
            <x v="2"/>
          </reference>
        </references>
      </pivotArea>
    </format>
    <format dxfId="651">
      <pivotArea outline="0" collapsedLevelsAreSubtotals="1" fieldPosition="0">
        <references count="1">
          <reference field="4294967294" count="1" selected="0">
            <x v="3"/>
          </reference>
        </references>
      </pivotArea>
    </format>
    <format dxfId="650">
      <pivotArea dataOnly="0" labelOnly="1" outline="0" fieldPosition="0">
        <references count="1">
          <reference field="4294967294" count="1">
            <x v="3"/>
          </reference>
        </references>
      </pivotArea>
    </format>
    <format dxfId="649">
      <pivotArea outline="0" collapsedLevelsAreSubtotals="1" fieldPosition="0">
        <references count="1">
          <reference field="4294967294" count="1" selected="0">
            <x v="3"/>
          </reference>
        </references>
      </pivotArea>
    </format>
    <format dxfId="648">
      <pivotArea dataOnly="0" labelOnly="1" outline="0" fieldPosition="0">
        <references count="1">
          <reference field="4294967294" count="1">
            <x v="3"/>
          </reference>
        </references>
      </pivotArea>
    </format>
    <format dxfId="647">
      <pivotArea outline="0" collapsedLevelsAreSubtotals="1" fieldPosition="0">
        <references count="1">
          <reference field="4294967294" count="1" selected="0">
            <x v="0"/>
          </reference>
        </references>
      </pivotArea>
    </format>
    <format dxfId="646">
      <pivotArea dataOnly="0" labelOnly="1" outline="0" fieldPosition="0">
        <references count="1">
          <reference field="4294967294" count="1">
            <x v="0"/>
          </reference>
        </references>
      </pivotArea>
    </format>
    <format dxfId="645">
      <pivotArea outline="0" collapsedLevelsAreSubtotals="1" fieldPosition="0">
        <references count="1">
          <reference field="4294967294" count="1" selected="0">
            <x v="0"/>
          </reference>
        </references>
      </pivotArea>
    </format>
    <format dxfId="644">
      <pivotArea dataOnly="0" labelOnly="1" outline="0" fieldPosition="0">
        <references count="1">
          <reference field="4294967294" count="1">
            <x v="0"/>
          </reference>
        </references>
      </pivotArea>
    </format>
    <format dxfId="643">
      <pivotArea dataOnly="0" labelOnly="1" outline="0" fieldPosition="0">
        <references count="1">
          <reference field="4294967294" count="4">
            <x v="0"/>
            <x v="1"/>
            <x v="2"/>
            <x v="3"/>
          </reference>
        </references>
      </pivotArea>
    </format>
    <format dxfId="642">
      <pivotArea dataOnly="0" labelOnly="1" outline="0" fieldPosition="0">
        <references count="1">
          <reference field="4294967294" count="4">
            <x v="0"/>
            <x v="1"/>
            <x v="2"/>
            <x v="3"/>
          </reference>
        </references>
      </pivotArea>
    </format>
    <format dxfId="641">
      <pivotArea dataOnly="0" labelOnly="1" outline="0" fieldPosition="0">
        <references count="1">
          <reference field="4294967294" count="1">
            <x v="6"/>
          </reference>
        </references>
      </pivotArea>
    </format>
    <format dxfId="640">
      <pivotArea dataOnly="0" labelOnly="1" outline="0" fieldPosition="0">
        <references count="1">
          <reference field="4294967294" count="1">
            <x v="6"/>
          </reference>
        </references>
      </pivotArea>
    </format>
    <format dxfId="639">
      <pivotArea dataOnly="0" labelOnly="1" outline="0" fieldPosition="0">
        <references count="1">
          <reference field="4294967294" count="1">
            <x v="8"/>
          </reference>
        </references>
      </pivotArea>
    </format>
    <format dxfId="638">
      <pivotArea outline="0" collapsedLevelsAreSubtotals="1" fieldPosition="0">
        <references count="1">
          <reference field="4294967294" count="2" selected="0">
            <x v="6"/>
            <x v="8"/>
          </reference>
        </references>
      </pivotArea>
    </format>
    <format dxfId="637">
      <pivotArea dataOnly="0" labelOnly="1" outline="0" fieldPosition="0">
        <references count="1">
          <reference field="4294967294" count="1">
            <x v="7"/>
          </reference>
        </references>
      </pivotArea>
    </format>
    <format dxfId="636">
      <pivotArea collapsedLevelsAreSubtotals="1" fieldPosition="0">
        <references count="2">
          <reference field="4294967294" count="1" selected="0">
            <x v="7"/>
          </reference>
          <reference field="4" count="1">
            <x v="0"/>
          </reference>
        </references>
      </pivotArea>
    </format>
    <format dxfId="635">
      <pivotArea outline="0" collapsedLevelsAreSubtotals="1" fieldPosition="0">
        <references count="1">
          <reference field="4294967294" count="3" selected="0">
            <x v="6"/>
            <x v="7"/>
            <x v="8"/>
          </reference>
        </references>
      </pivotArea>
    </format>
    <format dxfId="634">
      <pivotArea dataOnly="0" labelOnly="1" outline="0" fieldPosition="0">
        <references count="1">
          <reference field="4294967294" count="3">
            <x v="6"/>
            <x v="7"/>
            <x v="8"/>
          </reference>
        </references>
      </pivotArea>
    </format>
    <format dxfId="633">
      <pivotArea outline="0" collapsedLevelsAreSubtotals="1" fieldPosition="0">
        <references count="1">
          <reference field="4294967294" count="3" selected="0">
            <x v="6"/>
            <x v="7"/>
            <x v="8"/>
          </reference>
        </references>
      </pivotArea>
    </format>
    <format dxfId="632">
      <pivotArea dataOnly="0" labelOnly="1" outline="0" fieldPosition="0">
        <references count="1">
          <reference field="4294967294" count="3">
            <x v="6"/>
            <x v="7"/>
            <x v="8"/>
          </reference>
        </references>
      </pivotArea>
    </format>
    <format dxfId="631">
      <pivotArea outline="0" collapsedLevelsAreSubtotals="1" fieldPosition="0">
        <references count="1">
          <reference field="4294967294" count="1" selected="0">
            <x v="4"/>
          </reference>
        </references>
      </pivotArea>
    </format>
    <format dxfId="630">
      <pivotArea dataOnly="0" labelOnly="1" outline="0" fieldPosition="0">
        <references count="1">
          <reference field="4294967294" count="1">
            <x v="4"/>
          </reference>
        </references>
      </pivotArea>
    </format>
    <format dxfId="629">
      <pivotArea outline="0" collapsedLevelsAreSubtotals="1" fieldPosition="0">
        <references count="1">
          <reference field="4294967294" count="1" selected="0">
            <x v="5"/>
          </reference>
        </references>
      </pivotArea>
    </format>
    <format dxfId="628">
      <pivotArea dataOnly="0" labelOnly="1" outline="0" fieldPosition="0">
        <references count="1">
          <reference field="4294967294" count="1">
            <x v="5"/>
          </reference>
        </references>
      </pivotArea>
    </format>
    <format dxfId="627">
      <pivotArea dataOnly="0" labelOnly="1" outline="0" fieldPosition="0">
        <references count="1">
          <reference field="4294967294" count="5">
            <x v="4"/>
            <x v="5"/>
            <x v="6"/>
            <x v="7"/>
            <x v="8"/>
          </reference>
        </references>
      </pivotArea>
    </format>
    <format dxfId="626">
      <pivotArea dataOnly="0" labelOnly="1" outline="0" fieldPosition="0">
        <references count="1">
          <reference field="4294967294" count="3">
            <x v="9"/>
            <x v="10"/>
            <x v="11"/>
          </reference>
        </references>
      </pivotArea>
    </format>
    <format dxfId="625">
      <pivotArea dataOnly="0" labelOnly="1" outline="0" fieldPosition="0">
        <references count="1">
          <reference field="4294967294" count="3">
            <x v="9"/>
            <x v="10"/>
            <x v="11"/>
          </reference>
        </references>
      </pivotArea>
    </format>
    <format dxfId="624">
      <pivotArea dataOnly="0" labelOnly="1" outline="0" fieldPosition="0">
        <references count="1">
          <reference field="4294967294" count="3">
            <x v="9"/>
            <x v="10"/>
            <x v="11"/>
          </reference>
        </references>
      </pivotArea>
    </format>
    <format dxfId="623">
      <pivotArea dataOnly="0" outline="0" fieldPosition="0">
        <references count="2">
          <reference field="4" count="0" defaultSubtotal="1"/>
          <reference field="136"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B7" firstHeaderRow="1" firstDataRow="1" firstDataCol="2" rowPageCount="4" colPageCount="1"/>
  <pivotFields count="147">
    <pivotField axis="axisPage" compact="0" outline="0" subtotalTop="0" multipleItemSelectionAllowed="1" showAll="0" defaultSubtotal="0">
      <items count="17">
        <item m="1" x="15"/>
        <item m="1" x="5"/>
        <item h="1" m="1" x="8"/>
        <item m="1" x="3"/>
        <item m="1" x="16"/>
        <item m="1" x="4"/>
        <item m="1" x="14"/>
        <item h="1" m="1" x="10"/>
        <item h="1" m="1" x="12"/>
        <item m="1" x="13"/>
        <item h="1" m="1" x="6"/>
        <item m="1" x="7"/>
        <item h="1" m="1" x="9"/>
        <item h="1" m="1" x="11"/>
        <item h="1" x="0"/>
        <item h="1"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2">
        <item m="1" x="29"/>
        <item m="1" x="38"/>
        <item m="1" x="49"/>
        <item m="1" x="30"/>
        <item m="1" x="39"/>
        <item x="0"/>
        <item m="1" x="22"/>
        <item x="1"/>
        <item m="1" x="20"/>
        <item m="1" x="47"/>
        <item x="2"/>
        <item x="3"/>
        <item m="1" x="23"/>
        <item m="1" x="16"/>
        <item x="4"/>
        <item m="1" x="40"/>
        <item m="1" x="45"/>
        <item m="1" x="15"/>
        <item m="1" x="41"/>
        <item m="1" x="18"/>
        <item m="1" x="48"/>
        <item x="5"/>
        <item x="6"/>
        <item m="1" x="28"/>
        <item m="1" x="34"/>
        <item x="7"/>
        <item m="1" x="32"/>
        <item m="1" x="37"/>
        <item m="1" x="51"/>
        <item m="1" x="17"/>
        <item m="1" x="25"/>
        <item m="1" x="42"/>
        <item m="1" x="35"/>
        <item m="1" x="36"/>
        <item m="1" x="19"/>
        <item m="1" x="14"/>
        <item m="1" x="26"/>
        <item m="1" x="31"/>
        <item m="1" x="33"/>
        <item m="1" x="44"/>
        <item m="1" x="21"/>
        <item m="1" x="24"/>
        <item m="1" x="46"/>
        <item m="1" x="43"/>
        <item m="1" x="27"/>
        <item m="1" x="50"/>
        <item x="8"/>
        <item x="12"/>
        <item x="9"/>
        <item x="10"/>
        <item x="11"/>
        <item x="1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h="1" m="1" x="4"/>
        <item x="1"/>
        <item h="1" m="1" x="2"/>
        <item h="1" m="1" x="3"/>
        <item h="1" m="1" x="5"/>
      </items>
      <extLst>
        <ext xmlns:x14="http://schemas.microsoft.com/office/spreadsheetml/2009/9/main" uri="{2946ED86-A175-432a-8AC1-64E0C546D7DE}">
          <x14:pivotField fillDownLabels="1"/>
        </ext>
      </extLst>
    </pivotField>
    <pivotField axis="axisRow" compact="0" outline="0" subtotalTop="0" showAll="0" sortType="ascending" defaultSubtotal="0">
      <items count="45">
        <item m="1" x="30"/>
        <item x="10"/>
        <item m="1" x="43"/>
        <item m="1" x="35"/>
        <item x="4"/>
        <item x="3"/>
        <item x="19"/>
        <item x="20"/>
        <item m="1" x="26"/>
        <item x="13"/>
        <item m="1" x="25"/>
        <item m="1" x="38"/>
        <item m="1" x="24"/>
        <item x="12"/>
        <item m="1" x="33"/>
        <item m="1" x="41"/>
        <item x="9"/>
        <item x="16"/>
        <item m="1" x="36"/>
        <item m="1" x="29"/>
        <item x="6"/>
        <item x="5"/>
        <item m="1" x="23"/>
        <item x="7"/>
        <item m="1" x="42"/>
        <item x="14"/>
        <item m="1" x="34"/>
        <item x="0"/>
        <item m="1" x="32"/>
        <item x="18"/>
        <item m="1" x="28"/>
        <item x="15"/>
        <item x="17"/>
        <item m="1" x="27"/>
        <item m="1" x="31"/>
        <item m="1" x="37"/>
        <item x="8"/>
        <item m="1" x="44"/>
        <item m="1" x="40"/>
        <item x="1"/>
        <item m="1" x="39"/>
        <item x="11"/>
        <item x="21"/>
        <item x="2"/>
        <item m="1" x="22"/>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h="1" x="1"/>
        <item h="1" x="0"/>
        <item m="1" x="7"/>
        <item m="1" x="3"/>
        <item h="1" m="1" x="2"/>
        <item m="1" x="9"/>
        <item h="1" m="1" x="6"/>
        <item h="1" m="1" x="10"/>
        <item m="1" x="4"/>
        <item h="1" m="1" x="5"/>
        <item h="1" m="1" x="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5">
        <item x="0"/>
        <item x="1"/>
        <item m="1" x="4"/>
        <item m="1" x="2"/>
        <item m="1"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2">
    <field x="5"/>
    <field x="2"/>
  </rowFields>
  <colItems count="1">
    <i/>
  </colItems>
  <pageFields count="4">
    <pageField fld="0" hier="-1"/>
    <pageField fld="136" item="0" hier="-1"/>
    <pageField fld="6" hier="-1"/>
    <pageField fld="4" hier="-1"/>
  </pageFields>
  <formats count="28">
    <format dxfId="622">
      <pivotArea type="all" dataOnly="0" outline="0" fieldPosition="0"/>
    </format>
    <format dxfId="621">
      <pivotArea outline="0" collapsedLevelsAreSubtotals="1" fieldPosition="0"/>
    </format>
    <format dxfId="620">
      <pivotArea field="5" type="button" dataOnly="0" labelOnly="1" outline="0" axis="axisRow" fieldPosition="0"/>
    </format>
    <format dxfId="619">
      <pivotArea dataOnly="0" labelOnly="1" outline="0" axis="axisValues" fieldPosition="0"/>
    </format>
    <format dxfId="618">
      <pivotArea dataOnly="0" labelOnly="1" fieldPosition="0">
        <references count="1">
          <reference field="5" count="0"/>
        </references>
      </pivotArea>
    </format>
    <format dxfId="617">
      <pivotArea dataOnly="0" labelOnly="1" grandRow="1" outline="0" fieldPosition="0"/>
    </format>
    <format dxfId="616">
      <pivotArea dataOnly="0" labelOnly="1" outline="0" axis="axisValues" fieldPosition="0"/>
    </format>
    <format dxfId="615">
      <pivotArea type="all" dataOnly="0" outline="0" fieldPosition="0"/>
    </format>
    <format dxfId="614">
      <pivotArea field="5" type="button" dataOnly="0" labelOnly="1" outline="0" axis="axisRow" fieldPosition="0"/>
    </format>
    <format dxfId="613">
      <pivotArea dataOnly="0" labelOnly="1" outline="0" axis="axisValues" fieldPosition="0"/>
    </format>
    <format dxfId="612">
      <pivotArea dataOnly="0" labelOnly="1" fieldPosition="0">
        <references count="1">
          <reference field="5" count="0"/>
        </references>
      </pivotArea>
    </format>
    <format dxfId="611">
      <pivotArea dataOnly="0" labelOnly="1" outline="0" axis="axisValues" fieldPosition="0"/>
    </format>
    <format dxfId="610">
      <pivotArea field="5" type="button" dataOnly="0" labelOnly="1" outline="0" axis="axisRow" fieldPosition="0"/>
    </format>
    <format dxfId="609">
      <pivotArea type="all" dataOnly="0" outline="0" fieldPosition="0"/>
    </format>
    <format dxfId="608">
      <pivotArea field="5" type="button" dataOnly="0" labelOnly="1" outline="0" axis="axisRow" fieldPosition="0"/>
    </format>
    <format dxfId="607">
      <pivotArea dataOnly="0" labelOnly="1" fieldPosition="0">
        <references count="1">
          <reference field="5" count="0"/>
        </references>
      </pivotArea>
    </format>
    <format dxfId="606">
      <pivotArea type="all" dataOnly="0" outline="0" fieldPosition="0"/>
    </format>
    <format dxfId="605">
      <pivotArea outline="0" collapsedLevelsAreSubtotals="1" fieldPosition="0"/>
    </format>
    <format dxfId="604">
      <pivotArea field="5" type="button" dataOnly="0" labelOnly="1" outline="0" axis="axisRow" fieldPosition="0"/>
    </format>
    <format dxfId="603">
      <pivotArea dataOnly="0" labelOnly="1" fieldPosition="0">
        <references count="1">
          <reference field="5" count="0"/>
        </references>
      </pivotArea>
    </format>
    <format dxfId="602">
      <pivotArea field="5" type="button" dataOnly="0" labelOnly="1" outline="0" axis="axisRow" fieldPosition="0"/>
    </format>
    <format dxfId="601">
      <pivotArea type="all" dataOnly="0" outline="0" fieldPosition="0"/>
    </format>
    <format dxfId="600">
      <pivotArea outline="0" collapsedLevelsAreSubtotals="1" fieldPosition="0"/>
    </format>
    <format dxfId="599">
      <pivotArea field="5" type="button" dataOnly="0" labelOnly="1" outline="0" axis="axisRow" fieldPosition="0"/>
    </format>
    <format dxfId="598">
      <pivotArea dataOnly="0" labelOnly="1" fieldPosition="0">
        <references count="1">
          <reference field="5" count="13">
            <x v="1"/>
            <x v="4"/>
            <x v="5"/>
            <x v="16"/>
            <x v="20"/>
            <x v="21"/>
            <x v="23"/>
            <x v="27"/>
            <x v="36"/>
            <x v="39"/>
            <x v="41"/>
            <x v="42"/>
            <x v="43"/>
          </reference>
        </references>
      </pivotArea>
    </format>
    <format dxfId="597">
      <pivotArea dataOnly="0" labelOnly="1" grandRow="1" outline="0" fieldPosition="0"/>
    </format>
    <format dxfId="596">
      <pivotArea field="4" type="button" dataOnly="0" labelOnly="1" outline="0" axis="axisPage" fieldPosition="3"/>
    </format>
    <format dxfId="595">
      <pivotArea dataOnly="0" labelOnly="1" outline="0" fieldPosition="0">
        <references count="2">
          <reference field="4" count="1">
            <x v="0"/>
          </reference>
          <reference field="136"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7:F180" firstHeaderRow="1" firstDataRow="2" firstDataCol="1" rowPageCount="3" colPageCount="1"/>
  <pivotFields count="147">
    <pivotField axis="axisPage" subtotalTop="0" multipleItemSelectionAllowed="1" showAll="0">
      <items count="18">
        <item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Row" subtotalTop="0" showAll="0">
      <items count="7">
        <item x="0"/>
        <item m="1" x="4"/>
        <item x="1"/>
        <item h="1" m="1" x="2"/>
        <item m="1" x="3"/>
        <item m="1" x="5"/>
        <item t="default"/>
      </items>
    </pivotField>
    <pivotField subtotalTop="0" showAll="0"/>
    <pivotField axis="axisPage" multipleItemSelectionAllowed="1" showAll="0" defaultSubtotal="0">
      <items count="11">
        <item x="1"/>
        <item x="0"/>
        <item m="1" x="7"/>
        <item h="1"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3"/>
        <item x="2"/>
        <item x="1"/>
        <item x="0"/>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49"/>
  </colFields>
  <colItems count="4">
    <i>
      <x/>
    </i>
    <i>
      <x v="1"/>
    </i>
    <i>
      <x v="2"/>
    </i>
    <i>
      <x v="3"/>
    </i>
  </colItems>
  <pageFields count="3">
    <pageField fld="0" hier="-1"/>
    <pageField fld="136" item="0" hier="-1"/>
    <pageField fld="6" hier="-1"/>
  </pageFields>
  <dataFields count="1">
    <dataField name="Count of Is there provision of solid waste management equipment?" fld="49" subtotal="count" baseField="0" baseItem="0"/>
  </dataFields>
  <formats count="11">
    <format dxfId="113">
      <pivotArea type="all" dataOnly="0" outline="0" fieldPosition="0"/>
    </format>
    <format dxfId="112">
      <pivotArea outline="0" collapsedLevelsAreSubtotals="1" fieldPosition="0"/>
    </format>
    <format dxfId="111">
      <pivotArea type="origin" dataOnly="0" labelOnly="1" outline="0" fieldPosition="0"/>
    </format>
    <format dxfId="110">
      <pivotArea type="topRight" dataOnly="0" labelOnly="1" outline="0" fieldPosition="0"/>
    </format>
    <format dxfId="109">
      <pivotArea field="4" type="button" dataOnly="0" labelOnly="1" outline="0" axis="axisRow" fieldPosition="0"/>
    </format>
    <format dxfId="108">
      <pivotArea dataOnly="0" labelOnly="1" fieldPosition="0">
        <references count="1">
          <reference field="4" count="0"/>
        </references>
      </pivotArea>
    </format>
    <format dxfId="107">
      <pivotArea dataOnly="0" labelOnly="1" grandRow="1" outline="0" fieldPosition="0"/>
    </format>
    <format dxfId="106">
      <pivotArea dataOnly="0" labelOnly="1" grandCol="1" outline="0" fieldPosition="0"/>
    </format>
    <format dxfId="105">
      <pivotArea type="all" dataOnly="0" outline="0" fieldPosition="0"/>
    </format>
    <format dxfId="104">
      <pivotArea outline="0" collapsedLevelsAreSubtotals="1" fieldPosition="0"/>
    </format>
    <format dxfId="103">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J128:K136" firstHeaderRow="1" firstDataRow="2" firstDataCol="1" rowPageCount="4" colPageCount="1"/>
  <pivotFields count="147">
    <pivotField axis="axisPage" subtotalTop="0" multipleItemSelectionAllowed="1" showAll="0">
      <items count="18">
        <item m="1" x="15"/>
        <item m="1" x="5"/>
        <item m="1" x="16"/>
        <item h="1" m="1" x="8"/>
        <item m="1" x="4"/>
        <item h="1" m="1" x="3"/>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h="1" m="1" x="4"/>
        <item x="1"/>
        <item m="1" x="2"/>
        <item h="1" m="1" x="3"/>
        <item h="1" m="1" x="5"/>
        <item t="default"/>
      </items>
    </pivotField>
    <pivotField subtotalTop="0" showAll="0"/>
    <pivotField axis="axisPage" multipleItemSelectionAllowed="1" showAll="0" defaultSubtotal="0">
      <items count="11">
        <item x="1"/>
        <item x="0"/>
        <item m="1" x="7"/>
        <item m="1" x="5"/>
        <item m="1" x="3"/>
        <item m="1" x="2"/>
        <item h="1" m="1" x="9"/>
        <item m="1" x="6"/>
        <item h="1" m="1" x="10"/>
        <item h="1" m="1" x="4"/>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Col" subtotalTop="0" showAll="0">
      <items count="342">
        <item h="1" m="1" x="2"/>
        <item h="1" m="1" x="186"/>
        <item h="1" m="1" x="209"/>
        <item h="1" m="1" x="340"/>
        <item h="1" m="1" x="290"/>
        <item h="1" m="1" x="180"/>
        <item h="1" m="1" x="168"/>
        <item h="1" m="1" x="127"/>
        <item h="1" m="1" x="289"/>
        <item h="1" m="1" x="126"/>
        <item h="1" m="1" x="13"/>
        <item h="1" m="1" x="274"/>
        <item h="1" m="1" x="24"/>
        <item h="1" m="1" x="119"/>
        <item h="1" m="1" x="303"/>
        <item h="1" m="1" x="97"/>
        <item h="1" m="1" x="275"/>
        <item h="1" m="1" x="296"/>
        <item h="1" m="1" x="104"/>
        <item h="1" m="1" x="218"/>
        <item h="1" m="1" x="80"/>
        <item h="1" m="1" x="118"/>
        <item h="1" m="1" x="20"/>
        <item h="1" m="1" x="204"/>
        <item h="1" m="1" x="114"/>
        <item h="1" m="1" x="138"/>
        <item h="1" m="1" x="25"/>
        <item h="1" m="1" x="165"/>
        <item h="1" m="1" x="212"/>
        <item h="1" m="1" x="146"/>
        <item h="1" m="1" x="224"/>
        <item h="1" m="1" x="171"/>
        <item h="1" m="1" x="107"/>
        <item h="1" m="1" x="26"/>
        <item h="1" m="1" x="145"/>
        <item h="1" m="1" x="50"/>
        <item h="1" m="1" x="263"/>
        <item h="1" m="1" x="244"/>
        <item h="1" m="1" x="213"/>
        <item h="1" m="1" x="59"/>
        <item h="1" m="1" x="108"/>
        <item h="1" m="1" x="128"/>
        <item h="1" m="1" x="272"/>
        <item h="1" m="1" x="324"/>
        <item h="1" m="1" x="115"/>
        <item h="1" m="1" x="58"/>
        <item h="1" m="1" x="72"/>
        <item h="1" m="1" x="170"/>
        <item h="1" m="1" x="307"/>
        <item h="1" m="1" x="337"/>
        <item h="1" m="1" x="273"/>
        <item h="1" m="1" x="48"/>
        <item h="1" m="1" x="294"/>
        <item h="1" m="1" x="43"/>
        <item h="1" m="1" x="60"/>
        <item h="1" m="1" x="217"/>
        <item h="1" m="1" x="210"/>
        <item h="1" m="1" x="49"/>
        <item h="1" m="1" x="86"/>
        <item h="1" m="1" x="129"/>
        <item h="1" m="1" x="237"/>
        <item h="1" m="1" x="253"/>
        <item h="1" m="1" x="116"/>
        <item h="1" m="1" x="84"/>
        <item h="1" m="1" x="211"/>
        <item h="1" m="1" x="36"/>
        <item h="1" m="1" x="46"/>
        <item h="1" m="1" x="251"/>
        <item h="1" m="1" x="318"/>
        <item h="1" m="1" x="71"/>
        <item h="1" m="1" x="323"/>
        <item h="1" m="1" x="133"/>
        <item h="1" m="1" x="73"/>
        <item h="1" m="1" x="8"/>
        <item h="1" m="1" x="93"/>
        <item h="1" m="1" x="227"/>
        <item h="1" m="1" x="155"/>
        <item h="1" m="1" x="111"/>
        <item h="1" m="1" x="295"/>
        <item h="1" m="1" x="195"/>
        <item h="1" m="1" x="179"/>
        <item h="1" m="1" x="110"/>
        <item h="1" m="1" x="327"/>
        <item h="1" m="1" x="246"/>
        <item h="1" m="1" x="202"/>
        <item h="1" m="1" x="9"/>
        <item h="1" m="1" x="103"/>
        <item h="1" m="1" x="277"/>
        <item h="1" m="1" x="39"/>
        <item h="1" m="1" x="254"/>
        <item h="1" m="1" x="306"/>
        <item h="1" m="1" x="249"/>
        <item h="1" m="1" x="29"/>
        <item h="1" m="1" x="85"/>
        <item h="1" m="1" x="287"/>
        <item h="1" m="1" x="181"/>
        <item h="1" m="1" x="319"/>
        <item h="1" m="1" x="19"/>
        <item h="1" m="1" x="260"/>
        <item h="1" m="1" x="125"/>
        <item h="1" m="1" x="311"/>
        <item h="1" m="1" x="74"/>
        <item h="1" m="1" x="236"/>
        <item h="1" m="1" x="320"/>
        <item h="1" m="1" x="187"/>
        <item h="1" m="1" x="196"/>
        <item h="1" m="1" x="98"/>
        <item h="1" m="1" x="120"/>
        <item h="1" m="1" x="96"/>
        <item h="1" m="1" x="12"/>
        <item h="1" m="1" x="79"/>
        <item h="1" m="1" x="276"/>
        <item h="1" m="1" x="183"/>
        <item h="1" m="1" x="162"/>
        <item h="1" m="1" x="291"/>
        <item h="1" m="1" x="14"/>
        <item h="1" m="1" x="109"/>
        <item h="1" m="1" x="169"/>
        <item h="1" m="1" x="161"/>
        <item h="1" m="1" x="243"/>
        <item h="1" m="1" x="286"/>
        <item h="1" m="1" x="203"/>
        <item h="1" m="1" x="139"/>
        <item h="1" m="1" x="75"/>
        <item h="1" m="1" x="206"/>
        <item h="1" m="1" x="10"/>
        <item h="1" m="1" x="282"/>
        <item h="1" m="1" x="325"/>
        <item h="1" m="1" x="140"/>
        <item h="1" m="1" x="141"/>
        <item h="1" m="1" x="166"/>
        <item h="1" m="1" x="328"/>
        <item h="1" m="1" x="53"/>
        <item h="1" m="1" x="81"/>
        <item h="1" m="1" x="87"/>
        <item h="1" m="1" x="262"/>
        <item h="1" m="1" x="292"/>
        <item h="1" m="1" x="338"/>
        <item h="1" m="1" x="105"/>
        <item h="1" m="1" x="283"/>
        <item h="1" m="1" x="221"/>
        <item h="1" m="1" x="99"/>
        <item h="1" m="1" x="233"/>
        <item h="1" m="1" x="308"/>
        <item h="1" m="1" x="238"/>
        <item h="1" m="1" x="197"/>
        <item h="1" m="1" x="135"/>
        <item h="1" m="1" x="333"/>
        <item h="1" m="1" x="147"/>
        <item h="1" m="1" x="316"/>
        <item h="1" m="1" x="279"/>
        <item h="1" m="1" x="193"/>
        <item h="1" m="1" x="266"/>
        <item h="1" m="1" x="137"/>
        <item h="1" m="1" x="151"/>
        <item h="1" m="1" x="317"/>
        <item h="1" m="1" x="27"/>
        <item h="1" m="1" x="37"/>
        <item h="1" m="1" x="269"/>
        <item h="1" m="1" x="241"/>
        <item h="1" m="1" x="298"/>
        <item h="1" m="1" x="23"/>
        <item h="1" m="1" x="41"/>
        <item h="1" m="1" x="62"/>
        <item h="1" m="1" x="143"/>
        <item h="1" m="1" x="192"/>
        <item h="1" m="1" x="270"/>
        <item h="1" m="1" x="159"/>
        <item h="1" m="1" x="78"/>
        <item h="1" m="1" x="4"/>
        <item h="1" m="1" x="231"/>
        <item h="1" m="1" x="271"/>
        <item h="1" m="1" x="153"/>
        <item h="1" m="1" x="160"/>
        <item h="1" m="1" x="82"/>
        <item h="1" m="1" x="123"/>
        <item h="1" m="1" x="61"/>
        <item h="1" m="1" x="152"/>
        <item h="1" m="1" x="315"/>
        <item h="1" m="1" x="184"/>
        <item h="1" m="1" x="16"/>
        <item h="1" m="1" x="300"/>
        <item h="1" m="1" x="150"/>
        <item h="1" m="1" x="106"/>
        <item h="1" m="1" x="68"/>
        <item h="1" m="1" x="226"/>
        <item h="1" m="1" x="301"/>
        <item h="1" m="1" x="83"/>
        <item h="1" m="1" x="144"/>
        <item h="1" m="1" x="34"/>
        <item h="1" m="1" x="149"/>
        <item h="1" m="1" x="230"/>
        <item h="1" m="1" x="265"/>
        <item h="1" m="1" x="336"/>
        <item h="1" m="1" x="113"/>
        <item h="1" m="1" x="223"/>
        <item h="1" m="1" x="38"/>
        <item h="1" m="1" x="305"/>
        <item h="1" m="1" x="281"/>
        <item h="1" m="1" x="158"/>
        <item h="1" m="1" x="51"/>
        <item h="1" m="1" x="91"/>
        <item h="1" m="1" x="280"/>
        <item h="1" m="1" x="200"/>
        <item h="1" m="1" x="132"/>
        <item h="1" m="1" x="284"/>
        <item h="1" m="1" x="76"/>
        <item h="1" m="1" x="33"/>
        <item h="1" m="1" x="199"/>
        <item h="1" m="1" x="44"/>
        <item h="1" m="1" x="310"/>
        <item h="1" m="1" x="288"/>
        <item h="1" m="1" x="156"/>
        <item h="1" m="1" x="335"/>
        <item h="1" m="1" x="304"/>
        <item h="1" m="1" x="299"/>
        <item h="1" m="1" x="242"/>
        <item h="1" m="1" x="117"/>
        <item h="1" m="1" x="121"/>
        <item h="1" m="1" x="334"/>
        <item h="1" m="1" x="215"/>
        <item h="1" m="1" x="339"/>
        <item h="1" m="1" x="322"/>
        <item h="1" m="1" x="207"/>
        <item h="1" m="1" x="314"/>
        <item h="1" m="1" x="11"/>
        <item h="1" m="1" x="40"/>
        <item h="1" m="1" x="293"/>
        <item h="1" m="1" x="22"/>
        <item h="1" m="1" x="94"/>
        <item h="1" m="1" x="131"/>
        <item h="1" m="1" x="234"/>
        <item h="1" m="1" x="208"/>
        <item h="1" m="1" x="164"/>
        <item h="1" m="1" x="6"/>
        <item h="1" m="1" x="261"/>
        <item h="1" m="1" x="190"/>
        <item h="1" m="1" x="112"/>
        <item h="1" m="1" x="285"/>
        <item h="1" m="1" x="100"/>
        <item h="1" m="1" x="90"/>
        <item h="1" m="1" x="225"/>
        <item h="1" m="1" x="229"/>
        <item h="1" m="1" x="257"/>
        <item h="1" m="1" x="331"/>
        <item h="1" m="1" x="45"/>
        <item h="1" m="1" x="240"/>
        <item h="1" m="1" x="232"/>
        <item h="1" m="1" x="77"/>
        <item h="1" m="1" x="177"/>
        <item h="1" m="1" x="122"/>
        <item h="1" m="1" x="124"/>
        <item h="1" m="1" x="248"/>
        <item h="1" m="1" x="32"/>
        <item h="1" m="1" x="256"/>
        <item h="1" m="1" x="250"/>
        <item h="1" m="1" x="228"/>
        <item h="1" m="1" x="65"/>
        <item h="1" m="1" x="278"/>
        <item h="1" m="1" x="329"/>
        <item h="1" m="1" x="172"/>
        <item h="1" m="1" x="21"/>
        <item h="1" m="1" x="222"/>
        <item h="1" m="1" x="67"/>
        <item h="1" m="1" x="255"/>
        <item h="1" m="1" x="264"/>
        <item h="1" m="1" x="89"/>
        <item h="1" m="1" x="55"/>
        <item h="1" m="1" x="239"/>
        <item h="1" m="1" x="247"/>
        <item h="1" m="1" x="142"/>
        <item h="1" m="1" x="148"/>
        <item h="1" m="1" x="188"/>
        <item h="1" m="1" x="216"/>
        <item h="1" m="1" x="88"/>
        <item h="1" m="1" x="176"/>
        <item h="1" m="1" x="5"/>
        <item h="1" m="1" x="28"/>
        <item h="1" m="1" x="64"/>
        <item h="1" m="1" x="163"/>
        <item h="1" m="1" x="54"/>
        <item h="1" m="1" x="198"/>
        <item h="1" m="1" x="326"/>
        <item h="1" m="1" x="189"/>
        <item h="1" m="1" x="297"/>
        <item h="1" m="1" x="130"/>
        <item h="1" m="1" x="313"/>
        <item h="1" m="1" x="175"/>
        <item h="1" m="1" x="309"/>
        <item h="1" m="1" x="312"/>
        <item h="1" m="1" x="174"/>
        <item h="1" m="1" x="3"/>
        <item h="1" m="1" x="66"/>
        <item h="1" m="1" x="31"/>
        <item h="1" m="1" x="136"/>
        <item h="1" m="1" x="173"/>
        <item h="1" m="1" x="220"/>
        <item h="1" m="1" x="268"/>
        <item h="1" m="1" x="214"/>
        <item h="1" m="1" x="321"/>
        <item h="1" m="1" x="15"/>
        <item h="1" m="1" x="63"/>
        <item h="1" m="1" x="167"/>
        <item h="1" m="1" x="267"/>
        <item h="1" m="1" x="47"/>
        <item h="1" m="1" x="52"/>
        <item h="1" m="1" x="154"/>
        <item h="1" m="1" x="18"/>
        <item h="1" m="1" x="92"/>
        <item h="1" m="1" x="35"/>
        <item h="1" m="1" x="69"/>
        <item h="1" m="1" x="42"/>
        <item h="1" m="1" x="56"/>
        <item h="1" m="1" x="191"/>
        <item h="1" m="1" x="182"/>
        <item h="1" m="1" x="157"/>
        <item h="1" m="1" x="259"/>
        <item h="1" m="1" x="17"/>
        <item h="1" m="1" x="185"/>
        <item h="1" m="1" x="201"/>
        <item h="1" m="1" x="302"/>
        <item h="1" m="1" x="101"/>
        <item h="1" m="1" x="102"/>
        <item h="1" m="1" x="194"/>
        <item h="1" m="1" x="57"/>
        <item h="1" m="1" x="95"/>
        <item h="1" m="1" x="7"/>
        <item h="1" m="1" x="235"/>
        <item h="1" m="1" x="258"/>
        <item h="1" m="1" x="252"/>
        <item h="1" m="1" x="332"/>
        <item h="1" m="1" x="330"/>
        <item h="1" m="1" x="70"/>
        <item h="1" m="1" x="178"/>
        <item h="1" m="1" x="205"/>
        <item h="1" m="1" x="245"/>
        <item h="1" m="1" x="219"/>
        <item h="1" m="1" x="134"/>
        <item h="1" m="1" x="30"/>
        <item n="# in GCA (20:1)" x="1"/>
        <item n="# in NGCA (20:1)" x="0"/>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2"/>
  </colFields>
  <colItems count="1">
    <i>
      <x v="339"/>
    </i>
  </colItems>
  <pageFields count="4">
    <pageField fld="0" hier="-1"/>
    <pageField fld="4" hier="-1"/>
    <pageField fld="136" hier="-1"/>
    <pageField fld="6" hier="-1"/>
  </pageFields>
  <dataFields count="7">
    <dataField name="# latrines (target)" fld="106" baseField="0" baseItem="0"/>
    <dataField name="# Operation &amp; maintenance of latrines" fld="45" baseField="0" baseItem="0"/>
    <dataField name="# Latrines desludged" fld="46" baseField="0" baseItem="0"/>
    <dataField name="# handed over" fld="48" baseField="0" baseItem="0"/>
    <dataField name="Sum of # Existing functional latrines" fld="99" baseField="0" baseItem="0"/>
    <dataField name="  Total # of latrine" fld="138" baseField="0" baseItem="0"/>
    <dataField name="Sum of #_Non-functional latrines" fld="44" baseField="0" baseItem="0"/>
  </dataFields>
  <formats count="10">
    <format dxfId="123">
      <pivotArea field="4" type="button" dataOnly="0" labelOnly="1" outline="0" axis="axisPage" fieldPosition="1"/>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type="topRight" dataOnly="0" labelOnly="1" outline="0" fieldPosition="0"/>
    </format>
    <format dxfId="118">
      <pivotArea field="-2" type="button" dataOnly="0" labelOnly="1" outline="0" axis="axisRow" fieldPosition="0"/>
    </format>
    <format dxfId="117">
      <pivotArea type="all" dataOnly="0" outline="0" fieldPosition="0"/>
    </format>
    <format dxfId="116">
      <pivotArea dataOnly="0" labelOnly="1" outline="0" fieldPosition="0">
        <references count="1">
          <reference field="4294967294" count="1">
            <x v="0"/>
          </reference>
        </references>
      </pivotArea>
    </format>
    <format dxfId="115">
      <pivotArea field="4" type="button" dataOnly="0" labelOnly="1" outline="0" axis="axisPage" fieldPosition="1"/>
    </format>
    <format dxfId="114">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5">
  <location ref="B46:D48" firstHeaderRow="0" firstDataRow="1" firstDataCol="1" rowPageCount="4" colPageCount="1"/>
  <pivotFields count="147">
    <pivotField axis="axisPage" subtotalTop="0" multipleItemSelectionAllowed="1" showAll="0">
      <items count="18">
        <item h="1" m="1" x="15"/>
        <item m="1" x="5"/>
        <item h="1" m="1" x="8"/>
        <item h="1" m="1" x="3"/>
        <item m="1" x="16"/>
        <item m="1" x="4"/>
        <item h="1" m="1" x="14"/>
        <item h="1" m="1" x="10"/>
        <item h="1" m="1" x="12"/>
        <item m="1" x="13"/>
        <item h="1" m="1" x="6"/>
        <item h="1" m="1" x="7"/>
        <item h="1" m="1" x="9"/>
        <item m="1" x="11"/>
        <item h="1" x="0"/>
        <item h="1" x="1"/>
        <item x="2"/>
        <item t="default"/>
      </items>
    </pivotField>
    <pivotField showAll="0" defaultSubtotal="0"/>
    <pivotField showAll="0" defaultSubtotal="0"/>
    <pivotField subtotalTop="0" showAll="0"/>
    <pivotField axis="axisPage" subtotalTop="0" multipleItemSelectionAllowed="1" showAll="0">
      <items count="7">
        <item x="0"/>
        <item h="1" m="1" x="4"/>
        <item h="1" x="1"/>
        <item h="1" m="1" x="2"/>
        <item h="1" m="1" x="3"/>
        <item h="1" m="1" x="5"/>
        <item t="default"/>
      </items>
    </pivotField>
    <pivotField subtotalTop="0" showAll="0"/>
    <pivotField axis="axisPage" multipleItemSelectionAllowed="1" showAll="0" defaultSubtotal="0">
      <items count="11">
        <item x="1"/>
        <item x="0"/>
        <item m="1" x="7"/>
        <item m="1" x="3"/>
        <item m="1" x="2"/>
        <item h="1" m="1" x="9"/>
        <item m="1" x="6"/>
        <item h="1" m="1" x="10"/>
        <item h="1" m="1" x="4"/>
        <item h="1" m="1" x="5"/>
        <item h="1" m="1" x="8"/>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defaultSubtota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GCA (500:1)" x="1"/>
        <item n="NGCA (500:1)" x="0"/>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2"/>
  </rowFields>
  <rowItems count="2">
    <i>
      <x v="339"/>
    </i>
    <i>
      <x v="340"/>
    </i>
  </rowItems>
  <colFields count="1">
    <field x="-2"/>
  </colFields>
  <colItems count="2">
    <i>
      <x/>
    </i>
    <i i="1">
      <x v="1"/>
    </i>
  </colItems>
  <pageFields count="4">
    <pageField fld="0" hier="-1"/>
    <pageField fld="4" hier="-1"/>
    <pageField fld="136" item="0" hier="-1"/>
    <pageField fld="6" hier="-1"/>
  </pageFields>
  <dataFields count="2">
    <dataField name="Coverage" fld="94" baseField="80" baseItem="1" numFmtId="1"/>
    <dataField name="Gap" fld="97" baseField="80" baseItem="1" numFmtId="1"/>
  </dataFields>
  <formats count="18">
    <format dxfId="141">
      <pivotArea type="all" dataOnly="0" outline="0" fieldPosition="0"/>
    </format>
    <format dxfId="140">
      <pivotArea outline="0" collapsedLevelsAreSubtotals="1" fieldPosition="0"/>
    </format>
    <format dxfId="139">
      <pivotArea field="132" type="button" dataOnly="0" labelOnly="1" outline="0" axis="axisRow" fieldPosition="0"/>
    </format>
    <format dxfId="138">
      <pivotArea dataOnly="0" labelOnly="1" fieldPosition="0">
        <references count="1">
          <reference field="132" count="0"/>
        </references>
      </pivotArea>
    </format>
    <format dxfId="137">
      <pivotArea type="all" dataOnly="0" outline="0" fieldPosition="0"/>
    </format>
    <format dxfId="136">
      <pivotArea field="132" type="button" dataOnly="0" labelOnly="1" outline="0" axis="axisRow" fieldPosition="0"/>
    </format>
    <format dxfId="135">
      <pivotArea dataOnly="0" labelOnly="1" fieldPosition="0">
        <references count="1">
          <reference field="132" count="0"/>
        </references>
      </pivotArea>
    </format>
    <format dxfId="134">
      <pivotArea field="132" type="button" dataOnly="0" labelOnly="1" outline="0" axis="axisRow" fieldPosition="0"/>
    </format>
    <format dxfId="133">
      <pivotArea dataOnly="0" labelOnly="1" outline="0" fieldPosition="0">
        <references count="1">
          <reference field="4294967294" count="2">
            <x v="0"/>
            <x v="1"/>
          </reference>
        </references>
      </pivotArea>
    </format>
    <format dxfId="132">
      <pivotArea outline="0" fieldPosition="0">
        <references count="1">
          <reference field="4294967294" count="1">
            <x v="0"/>
          </reference>
        </references>
      </pivotArea>
    </format>
    <format dxfId="131">
      <pivotArea outline="0" fieldPosition="0">
        <references count="1">
          <reference field="4294967294" count="1">
            <x v="1"/>
          </reference>
        </references>
      </pivotArea>
    </format>
    <format dxfId="130">
      <pivotArea type="all" dataOnly="0" outline="0" fieldPosition="0"/>
    </format>
    <format dxfId="129">
      <pivotArea outline="0" collapsedLevelsAreSubtotals="1" fieldPosition="0"/>
    </format>
    <format dxfId="128">
      <pivotArea field="132" type="button" dataOnly="0" labelOnly="1" outline="0" axis="axisRow" fieldPosition="0"/>
    </format>
    <format dxfId="127">
      <pivotArea dataOnly="0" labelOnly="1" fieldPosition="0">
        <references count="1">
          <reference field="132" count="2">
            <x v="339"/>
            <x v="340"/>
          </reference>
        </references>
      </pivotArea>
    </format>
    <format dxfId="126">
      <pivotArea dataOnly="0" labelOnly="1" outline="0" fieldPosition="0">
        <references count="1">
          <reference field="4294967294" count="2">
            <x v="0"/>
            <x v="1"/>
          </reference>
        </references>
      </pivotArea>
    </format>
    <format dxfId="125">
      <pivotArea field="4" type="button" dataOnly="0" labelOnly="1" outline="0" axis="axisPage" fieldPosition="1"/>
    </format>
    <format dxfId="124">
      <pivotArea dataOnly="0" labelOnly="1" outline="0" fieldPosition="0">
        <references count="2">
          <reference field="4" count="0"/>
          <reference field="136" count="1" selected="0">
            <x v="0"/>
          </reference>
        </references>
      </pivotArea>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1:I73"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36"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4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i x="3" nd="1"/>
        <i x="5" nd="1"/>
        <i x="4" nd="1"/>
        <i x="2"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5">
        <i x="10" s="1"/>
        <i x="4" s="1"/>
        <i x="3" s="1"/>
        <i x="19" s="1"/>
        <i x="20" s="1"/>
        <i x="13" s="1"/>
        <i x="12" s="1"/>
        <i x="9" s="1"/>
        <i x="16" s="1"/>
        <i x="6" s="1"/>
        <i x="5" s="1"/>
        <i x="7" s="1"/>
        <i x="14" s="1"/>
        <i x="0" s="1"/>
        <i x="18" s="1"/>
        <i x="15" s="1"/>
        <i x="17" s="1"/>
        <i x="8" s="1"/>
        <i x="1" s="1"/>
        <i x="11" s="1"/>
        <i x="21" s="1"/>
        <i x="2" s="1"/>
        <i x="30" s="1" nd="1"/>
        <i x="43" s="1" nd="1"/>
        <i x="35" s="1" nd="1"/>
        <i x="26" s="1" nd="1"/>
        <i x="25" s="1" nd="1"/>
        <i x="38" s="1" nd="1"/>
        <i x="24" s="1" nd="1"/>
        <i x="33" s="1" nd="1"/>
        <i x="41" s="1" nd="1"/>
        <i x="36" s="1" nd="1"/>
        <i x="29" s="1" nd="1"/>
        <i x="23" s="1" nd="1"/>
        <i x="42" s="1" nd="1"/>
        <i x="34" s="1" nd="1"/>
        <i x="32" s="1" nd="1"/>
        <i x="28" s="1" nd="1"/>
        <i x="27" s="1" nd="1"/>
        <i x="31" s="1" nd="1"/>
        <i x="37" s="1" nd="1"/>
        <i x="44" s="1" nd="1"/>
        <i x="40" s="1" nd="1"/>
        <i x="39" s="1" nd="1"/>
        <i x="22"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53">
        <i x="0" s="1"/>
        <i x="8" s="1"/>
        <i x="1" s="1"/>
        <i x="10" s="1"/>
        <i x="2" s="1"/>
        <i x="3" s="1"/>
        <i x="9" s="1"/>
        <i x="4" s="1"/>
        <i x="5" s="1"/>
        <i x="6" s="1"/>
        <i x="11" s="1"/>
        <i x="13" s="1"/>
        <i x="7" s="1"/>
        <i x="12" s="1"/>
        <i x="31" s="1" nd="1"/>
        <i x="42" s="1" nd="1"/>
        <i x="44" s="1" nd="1"/>
        <i x="36" s="1" nd="1"/>
        <i x="51" s="1" nd="1"/>
        <i x="32" s="1" nd="1"/>
        <i x="37" s="1" nd="1"/>
        <i x="52" s="1" nd="1"/>
        <i x="25" s="1" nd="1"/>
        <i x="43" s="1" nd="1"/>
        <i x="29" s="1" nd="1"/>
        <i x="22" s="1" nd="1"/>
        <i x="49" s="1" nd="1"/>
        <i x="16" s="1" nd="1"/>
        <i x="35" s="1" nd="1"/>
        <i x="34" s="1" nd="1"/>
        <i x="28" s="1" nd="1"/>
        <i x="21" s="1" nd="1"/>
        <i x="41" s="1" nd="1"/>
        <i x="18" s="1" nd="1"/>
        <i x="17" s="1" nd="1"/>
        <i x="47" s="1" nd="1"/>
        <i x="27" s="1" nd="1"/>
        <i x="26" s="1" nd="1"/>
        <i x="24" s="1" nd="1"/>
        <i x="39" s="1" nd="1"/>
        <i x="23" s="1" nd="1"/>
        <i x="45" s="1" nd="1"/>
        <i x="48" s="1" nd="1"/>
        <i x="15" s="1" nd="1"/>
        <i x="19" s="1" nd="1"/>
        <i x="40" s="1" nd="1"/>
        <i x="20" s="1" nd="1"/>
        <i x="50" s="1" nd="1"/>
        <i x="46" s="1" nd="1"/>
        <i x="30" s="1" nd="1"/>
        <i x="33" s="1" nd="1"/>
        <i x="38" s="1" nd="1"/>
        <i x="14"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1">
        <i x="1" s="1"/>
        <i x="0" s="1"/>
        <i x="8" s="1" nd="1"/>
        <i x="7" s="1" nd="1"/>
        <i x="5" s="1" nd="1"/>
        <i x="3" s="1" nd="1"/>
        <i x="2" s="1" nd="1"/>
        <i x="9" s="1" nd="1"/>
        <i x="6" s="1" nd="1"/>
        <i x="10" s="1" nd="1"/>
        <i x="4"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1">
        <i x="1" s="1"/>
        <i x="0" s="1"/>
        <i x="8" s="1" nd="1"/>
        <i x="7" s="1" nd="1"/>
        <i x="5" s="1" nd="1"/>
        <i x="3" s="1" nd="1"/>
        <i x="2" s="1" nd="1"/>
        <i x="9" s="1" nd="1"/>
        <i x="6" s="1" nd="1"/>
        <i x="10" s="1" nd="1"/>
        <i x="4"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2">
        <i x="0" s="1"/>
        <i x="8" s="1"/>
        <i x="1" s="1"/>
        <i x="10" s="1"/>
        <i x="2" s="1"/>
        <i x="3" s="1"/>
        <i x="9" s="1"/>
        <i x="4" s="1"/>
        <i x="5" s="1"/>
        <i x="6" s="1"/>
        <i x="11" s="1"/>
        <i x="13" s="1"/>
        <i x="7" s="1"/>
        <i x="12" s="1"/>
        <i x="29" s="1" nd="1"/>
        <i x="42" s="1" nd="1"/>
        <i x="44" s="1" nd="1"/>
        <i x="38" s="1" nd="1"/>
        <i x="49" s="1" nd="1"/>
        <i x="30" s="1" nd="1"/>
        <i x="39" s="1" nd="1"/>
        <i x="50" s="1" nd="1"/>
        <i x="22" s="1" nd="1"/>
        <i x="43" s="1" nd="1"/>
        <i x="27" s="1" nd="1"/>
        <i x="20" s="1" nd="1"/>
        <i x="47" s="1" nd="1"/>
        <i x="23" s="1" nd="1"/>
        <i x="16" s="1" nd="1"/>
        <i x="31" s="1" nd="1"/>
        <i x="36" s="1" nd="1"/>
        <i x="35" s="1" nd="1"/>
        <i x="26" s="1" nd="1"/>
        <i x="51" s="1" nd="1"/>
        <i x="19" s="1" nd="1"/>
        <i x="37" s="1" nd="1"/>
        <i x="17" s="1" nd="1"/>
        <i x="25" s="1" nd="1"/>
        <i x="24" s="1" nd="1"/>
        <i x="21" s="1" nd="1"/>
        <i x="40" s="1" nd="1"/>
        <i x="45" s="1" nd="1"/>
        <i x="15" s="1" nd="1"/>
        <i x="41" s="1" nd="1"/>
        <i x="18" s="1" nd="1"/>
        <i x="48" s="1" nd="1"/>
        <i x="46" s="1" nd="1"/>
        <i x="28" s="1" nd="1"/>
        <i x="33" s="1" nd="1"/>
        <i x="32" s="1" nd="1"/>
        <i x="34" s="1" nd="1"/>
        <i x="14"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2">
        <i x="0" s="1"/>
        <i x="8" s="1"/>
        <i x="1" s="1"/>
        <i x="2" s="1"/>
        <i x="3" s="1"/>
        <i x="9" s="1"/>
        <i x="4" s="1"/>
        <i x="5" s="1"/>
        <i x="6" s="1"/>
        <i x="11" s="1"/>
        <i x="13" s="1"/>
        <i x="7" s="1"/>
        <i x="12" s="1"/>
        <i x="29" s="1" nd="1"/>
        <i x="42" s="1" nd="1"/>
        <i x="44" s="1" nd="1"/>
        <i x="38" s="1" nd="1"/>
        <i x="49" s="1" nd="1"/>
        <i x="30" s="1" nd="1"/>
        <i x="39" s="1" nd="1"/>
        <i x="50" s="1" nd="1"/>
        <i x="22" s="1" nd="1"/>
        <i x="10" s="1" nd="1"/>
        <i x="43" s="1" nd="1"/>
        <i x="27" s="1" nd="1"/>
        <i x="20" s="1" nd="1"/>
        <i x="47" s="1" nd="1"/>
        <i x="23" s="1" nd="1"/>
        <i x="16" s="1" nd="1"/>
        <i x="31" s="1" nd="1"/>
        <i x="36" s="1" nd="1"/>
        <i x="35" s="1" nd="1"/>
        <i x="26" s="1" nd="1"/>
        <i x="51" s="1" nd="1"/>
        <i x="19" s="1" nd="1"/>
        <i x="37" s="1" nd="1"/>
        <i x="17" s="1" nd="1"/>
        <i x="25" s="1" nd="1"/>
        <i x="24" s="1" nd="1"/>
        <i x="21" s="1" nd="1"/>
        <i x="40" s="1" nd="1"/>
        <i x="45" s="1" nd="1"/>
        <i x="15" s="1" nd="1"/>
        <i x="41" s="1" nd="1"/>
        <i x="18" s="1" nd="1"/>
        <i x="48" s="1" nd="1"/>
        <i x="46" s="1" nd="1"/>
        <i x="28" s="1" nd="1"/>
        <i x="33" s="1" nd="1"/>
        <i x="32" s="1" nd="1"/>
        <i x="34" s="1" nd="1"/>
        <i x="14"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1">
        <i x="1" s="1"/>
        <i x="0" s="1"/>
        <i x="8" s="1" nd="1"/>
        <i x="7" s="1" nd="1"/>
        <i x="5" s="1" nd="1"/>
        <i x="3" s="1" nd="1"/>
        <i x="2" s="1" nd="1"/>
        <i x="9" s="1" nd="1"/>
        <i x="6" s="1" nd="1"/>
        <i x="10"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s="1"/>
        <i x="1"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5">
        <i x="10" s="1"/>
        <i x="4" s="1"/>
        <i x="3" s="1"/>
        <i x="19" s="1"/>
        <i x="20" s="1"/>
        <i x="13" s="1"/>
        <i x="12" s="1"/>
        <i x="9" s="1"/>
        <i x="16" s="1"/>
        <i x="6" s="1"/>
        <i x="5" s="1"/>
        <i x="7" s="1"/>
        <i x="14" s="1"/>
        <i x="0" s="1"/>
        <i x="18" s="1"/>
        <i x="15" s="1"/>
        <i x="17" s="1"/>
        <i x="8" s="1"/>
        <i x="1" s="1"/>
        <i x="11" s="1"/>
        <i x="21" s="1"/>
        <i x="2" s="1"/>
        <i x="30" s="1" nd="1"/>
        <i x="43" s="1" nd="1"/>
        <i x="35" s="1" nd="1"/>
        <i x="26" s="1" nd="1"/>
        <i x="25" s="1" nd="1"/>
        <i x="38" s="1" nd="1"/>
        <i x="24" s="1" nd="1"/>
        <i x="33" s="1" nd="1"/>
        <i x="41" s="1" nd="1"/>
        <i x="36" s="1" nd="1"/>
        <i x="29" s="1" nd="1"/>
        <i x="23" s="1" nd="1"/>
        <i x="42" s="1" nd="1"/>
        <i x="34" s="1" nd="1"/>
        <i x="32" s="1" nd="1"/>
        <i x="28" s="1" nd="1"/>
        <i x="27" s="1" nd="1"/>
        <i x="31" s="1" nd="1"/>
        <i x="37" s="1" nd="1"/>
        <i x="44" s="1" nd="1"/>
        <i x="40" s="1" nd="1"/>
        <i x="39" s="1" nd="1"/>
        <i x="2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1"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5">
        <i x="10" s="1"/>
        <i x="4" s="1"/>
        <i x="3" s="1"/>
        <i x="19" s="1"/>
        <i x="20" s="1"/>
        <i x="13" s="1"/>
        <i x="12" s="1"/>
        <i x="9" s="1"/>
        <i x="16" s="1"/>
        <i x="6" s="1"/>
        <i x="5" s="1"/>
        <i x="7" s="1"/>
        <i x="14" s="1"/>
        <i x="0" s="1"/>
        <i x="18" s="1"/>
        <i x="15" s="1"/>
        <i x="17" s="1"/>
        <i x="8" s="1"/>
        <i x="1" s="1"/>
        <i x="11" s="1"/>
        <i x="21" s="1"/>
        <i x="2" s="1"/>
        <i x="30" s="1" nd="1"/>
        <i x="43" s="1" nd="1"/>
        <i x="35" s="1" nd="1"/>
        <i x="26" s="1" nd="1"/>
        <i x="25" s="1" nd="1"/>
        <i x="38" s="1" nd="1"/>
        <i x="24" s="1" nd="1"/>
        <i x="33" s="1" nd="1"/>
        <i x="41" s="1" nd="1"/>
        <i x="36" s="1" nd="1"/>
        <i x="29" s="1" nd="1"/>
        <i x="23" s="1" nd="1"/>
        <i x="42" s="1" nd="1"/>
        <i x="34" s="1" nd="1"/>
        <i x="32" s="1" nd="1"/>
        <i x="28" s="1" nd="1"/>
        <i x="27" s="1" nd="1"/>
        <i x="31" s="1" nd="1"/>
        <i x="37" s="1" nd="1"/>
        <i x="44" s="1" nd="1"/>
        <i x="40" s="1" nd="1"/>
        <i x="39" s="1" nd="1"/>
        <i x="2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7">
        <i x="3" s="1"/>
        <i x="1" s="1"/>
        <i x="0" s="1"/>
        <i x="4" s="1"/>
        <i x="6" s="1" nd="1"/>
        <i x="5" s="1" nd="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7">
        <i x="0" s="1"/>
        <i x="1" s="1"/>
        <i x="2" s="1"/>
        <i x="14" s="1" nd="1"/>
        <i x="15" s="1" nd="1"/>
        <i x="5" s="1" nd="1"/>
        <i x="16" s="1" nd="1"/>
        <i x="8" s="1" nd="1"/>
        <i x="10" s="1" nd="1"/>
        <i x="12" s="1" nd="1"/>
        <i x="13" s="1" nd="1"/>
        <i x="4" s="1" nd="1"/>
        <i x="6" s="1" nd="1"/>
        <i x="7" s="1" nd="1"/>
        <i x="9" s="1" nd="1"/>
        <i x="11" s="1" nd="1"/>
        <i x="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8">
        <i x="0" s="1"/>
        <i x="1" s="1"/>
        <i x="4" s="1" nd="1"/>
        <i x="3" s="1" nd="1"/>
        <i x="5" s="1" nd="1"/>
        <i x="7" s="1" nd="1"/>
        <i x="6" s="1" nd="1"/>
        <i x="2"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1" s="1"/>
        <i x="3" s="1" nd="1"/>
        <i x="5" s="1" nd="1"/>
        <i x="4"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E6E74B-9278-46CF-9079-013C5C9F8F04}" name="Table4" displayName="Table4" ref="E5:N41" totalsRowShown="0">
  <autoFilter ref="E5:N41" xr:uid="{8524BEFB-AB3B-48A4-83EE-CFB4E1CC6397}">
    <filterColumn colId="9">
      <customFilters>
        <customFilter operator="notEqual" val=" "/>
      </customFilters>
    </filterColumn>
  </autoFilter>
  <tableColumns count="10">
    <tableColumn id="1" xr3:uid="{E8C6F03A-7C2C-4A57-AD4E-E91D77CA979A}" name="State" dataDxfId="1015"/>
    <tableColumn id="2" xr3:uid="{DF18D7A0-D07D-4C55-9D43-7BCDF5A37B9E}" name="Township" dataDxfId="1014"/>
    <tableColumn id="3" xr3:uid="{FFD7A381-020A-4EB6-84BF-FFE37C48D52C}" name="WASH implementing agency"/>
    <tableColumn id="4" xr3:uid="{D7CED10D-9929-46BB-9F1E-23B6A98298F7}" name="Column1"/>
    <tableColumn id="5" xr3:uid="{604F42A3-4AD9-4622-90E8-3D1164678702}" name="Column2"/>
    <tableColumn id="6" xr3:uid="{D3DF7DF7-799A-4740-9DC7-DDE57637810D}" name="Column3"/>
    <tableColumn id="7" xr3:uid="{A9CF2079-9530-4C22-A857-64D287225D51}" name="Column4"/>
    <tableColumn id="8" xr3:uid="{3480F16C-B392-4FAA-8EB4-510988299AE8}" name="Column5"/>
    <tableColumn id="9" xr3:uid="{DB9C9EAE-9BB5-4FB1-85FC-A1F763C01CE3}" name="Column6" dataDxfId="1013">
      <calculatedColumnFormula>Table4[[#This Row],[Column1]]&amp;", "&amp;Table4[[#This Row],[Column2]]&amp;", "&amp;Table4[[#This Row],[Column3]]&amp;", "&amp;Table4[[#This Row],[Column4]]&amp;", "&amp;Table4[[#This Row],[Column5]]</calculatedColumnFormula>
    </tableColumn>
    <tableColumn id="10" xr3:uid="{99D301F1-DA94-48A1-A05C-213979E2FBA1}" name="Column7" dataDxfId="101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H602" totalsRowShown="0" headerRowDxfId="988" dataDxfId="986" headerRowBorderDxfId="987" tableBorderDxfId="985">
  <autoFilter ref="A6:EH602" xr:uid="{C5C3DDBB-EC14-475D-808F-420C633A3216}">
    <filterColumn colId="0">
      <filters>
        <filter val="2020_Q3"/>
      </filters>
    </filterColumn>
  </autoFilter>
  <sortState xmlns:xlrd2="http://schemas.microsoft.com/office/spreadsheetml/2017/richdata2" ref="A412:EH551">
    <sortCondition ref="H446"/>
  </sortState>
  <tableColumns count="138">
    <tableColumn id="1" xr3:uid="{00000000-0010-0000-0000-000001000000}" name="Reporting Period" dataDxfId="984" totalsRowDxfId="983"/>
    <tableColumn id="75" xr3:uid="{00000000-0010-0000-0000-00004B000000}" name="WASH project agency" dataDxfId="982" totalsRowDxfId="981"/>
    <tableColumn id="2" xr3:uid="{00000000-0010-0000-0000-000002000000}" name="WASH implementing agency" dataDxfId="980" totalsRowDxfId="979"/>
    <tableColumn id="8" xr3:uid="{00000000-0010-0000-0000-000008000000}" name="Primary Donor covering WASH activities at site " dataDxfId="978" totalsRowDxfId="977"/>
    <tableColumn id="3" xr3:uid="{00000000-0010-0000-0000-000003000000}" name="State" dataDxfId="976" totalsRowDxfId="975"/>
    <tableColumn id="4" xr3:uid="{00000000-0010-0000-0000-000004000000}" name="Township" dataDxfId="974" totalsRowDxfId="973"/>
    <tableColumn id="82" xr3:uid="{00000000-0010-0000-0000-000052000000}" name="Location Type" dataDxfId="972" totalsRowDxfId="971" dataCellStyle="Percent">
      <calculatedColumnFormula>VLOOKUP(WWWW[[#This Row],[Site Name]],SiteDB6[[Site Name]:[Location Type]],8,FALSE)</calculatedColumnFormula>
    </tableColumn>
    <tableColumn id="5" xr3:uid="{00000000-0010-0000-0000-000005000000}" name="Site Name" dataDxfId="970" totalsRowDxfId="969"/>
    <tableColumn id="6" xr3:uid="{00000000-0010-0000-0000-000006000000}" name="Total HH" dataDxfId="968" totalsRowDxfId="967" dataCellStyle="Comma"/>
    <tableColumn id="7" xr3:uid="{00000000-0010-0000-0000-000007000000}" name="Total PoP " dataDxfId="966" totalsRowDxfId="965" dataCellStyle="Comma"/>
    <tableColumn id="77" xr3:uid="{00000000-0010-0000-0000-00004D000000}" name="Project start date" dataDxfId="964" totalsRowDxfId="963"/>
    <tableColumn id="9" xr3:uid="{00000000-0010-0000-0000-000009000000}" name="Project end date" dataDxfId="962" totalsRowDxfId="961"/>
    <tableColumn id="104" xr3:uid="{00000000-0010-0000-0000-000068000000}" name="#_students at TLS_CFS" dataDxfId="960" totalsRowDxfId="959" dataCellStyle="Comma"/>
    <tableColumn id="50" xr3:uid="{00000000-0010-0000-0000-000032000000}" name="#_ paid camp based WASH skilled labor" dataDxfId="958" totalsRowDxfId="957" dataCellStyle="Comma"/>
    <tableColumn id="51" xr3:uid="{00000000-0010-0000-0000-000033000000}" name="#_paid camp based unskilled WASH unskilled labor" dataDxfId="956" totalsRowDxfId="955" dataCellStyle="Comma"/>
    <tableColumn id="10" xr3:uid="{00000000-0010-0000-0000-00000A000000}" name="# Work days (approx) lost in this site due to access restrictions" dataDxfId="954" totalsRowDxfId="953" dataCellStyle="Comma"/>
    <tableColumn id="74" xr3:uid="{00000000-0010-0000-0000-00004A000000}" name="WASH Focal in camp management structure?" dataDxfId="952" totalsRowDxfId="951"/>
    <tableColumn id="83" xr3:uid="{00000000-0010-0000-0000-000053000000}" name="#_men on camp WASH team" dataDxfId="950" totalsRowDxfId="949" dataCellStyle="Comma"/>
    <tableColumn id="101" xr3:uid="{00000000-0010-0000-0000-000065000000}" name="#_women on camp WASH team" dataDxfId="948" totalsRowDxfId="947" dataCellStyle="Comma"/>
    <tableColumn id="14" xr3:uid="{00000000-0010-0000-0000-00000E000000}" name="#_Constructed/existing protected hand dug well" dataDxfId="946" totalsRowDxfId="945" dataCellStyle="Comma"/>
    <tableColumn id="102" xr3:uid="{00000000-0010-0000-0000-000066000000}" name="#_Non-functional protected hand dug well" dataDxfId="944" totalsRowDxfId="943" dataCellStyle="Comma"/>
    <tableColumn id="103" xr3:uid="{00000000-0010-0000-0000-000067000000}" name="#_Operation &amp; Maintenance of hand dug well" dataDxfId="942" totalsRowDxfId="941" dataCellStyle="Comma"/>
    <tableColumn id="15" xr3:uid="{00000000-0010-0000-0000-00000F000000}" name="#_Constructed/Existing tube wells/boreholes/handpumps_WASH_agency" dataDxfId="940" totalsRowDxfId="939" dataCellStyle="Comma"/>
    <tableColumn id="106" xr3:uid="{00000000-0010-0000-0000-00006A000000}" name="#_Non-Cluster partner water tube-wells/boreholes/handpumps" dataDxfId="938" totalsRowDxfId="937" dataCellStyle="Comma"/>
    <tableColumn id="107" xr3:uid="{00000000-0010-0000-0000-00006B000000}" name="#_Non-functional tube wells/boreholes/handpumps" dataDxfId="936" totalsRowDxfId="935" dataCellStyle="Comma"/>
    <tableColumn id="108" xr3:uid="{00000000-0010-0000-0000-00006C000000}" name="#_Operation &amp; Maintenance of tube wells/boreholes/handpumps" dataDxfId="934" totalsRowDxfId="933" dataCellStyle="Comma"/>
    <tableColumn id="109" xr3:uid="{00000000-0010-0000-0000-00006D000000}" name="#_Constructed/Existingwater storage tank with gravity fed reticulation system" dataDxfId="932" totalsRowDxfId="931" dataCellStyle="Comma"/>
    <tableColumn id="110" xr3:uid="{00000000-0010-0000-0000-00006E000000}" name="#_Non-functional storage tank gravity fed reticulation system" dataDxfId="930" totalsRowDxfId="929" dataCellStyle="Comma"/>
    <tableColumn id="111" xr3:uid="{00000000-0010-0000-0000-00006F000000}" name="#_Operation &amp; maintenance of storage tank and reticulation system" dataDxfId="928" totalsRowDxfId="927" dataCellStyle="Comma"/>
    <tableColumn id="112" xr3:uid="{00000000-0010-0000-0000-000070000000}" name="#_Water_Liters_supplied_by_Water boating or water trucking" dataDxfId="926" totalsRowDxfId="925" dataCellStyle="Comma"/>
    <tableColumn id="113" xr3:uid="{00000000-0010-0000-0000-000071000000}" name="#_Constructed/Existing protected/fenced ponds" dataDxfId="924" totalsRowDxfId="923" dataCellStyle="Comma"/>
    <tableColumn id="114" xr3:uid="{00000000-0010-0000-0000-000072000000}" name="#_Water_Liters_from_Constructed/Existing water distribution system from river or natural spring" dataDxfId="922" totalsRowDxfId="921" dataCellStyle="Comma"/>
    <tableColumn id="115" xr3:uid="{00000000-0010-0000-0000-000073000000}" name="#_committes/technicians trained and maintaining the water points" dataDxfId="920" totalsRowDxfId="919" dataCellStyle="Comma"/>
    <tableColumn id="116" xr3:uid="{00000000-0010-0000-0000-000074000000}" name="#_Water points fully handed over" dataDxfId="918" totalsRowDxfId="917" dataCellStyle="Comma"/>
    <tableColumn id="117" xr3:uid="{00000000-0010-0000-0000-000075000000}" name="#_Water sources tested for fecal coliform " dataDxfId="916" totalsRowDxfId="915" dataCellStyle="Comma"/>
    <tableColumn id="118" xr3:uid="{00000000-0010-0000-0000-000076000000}" name="#_Water sources passed" dataDxfId="914" totalsRowDxfId="913" dataCellStyle="Comma"/>
    <tableColumn id="119" xr3:uid="{00000000-0010-0000-0000-000077000000}" name="#_Household water samples tested for fecal coliform" dataDxfId="912" totalsRowDxfId="911" dataCellStyle="Comma"/>
    <tableColumn id="120" xr3:uid="{00000000-0010-0000-0000-000078000000}" name="#_Household passed" dataDxfId="910" totalsRowDxfId="909" dataCellStyle="Comma"/>
    <tableColumn id="121" xr3:uid="{00000000-0010-0000-0000-000079000000}" name="#_Constructed/Existing hand washing stations at TLS" dataDxfId="908" totalsRowDxfId="907" dataCellStyle="Comma"/>
    <tableColumn id="17" xr3:uid="{00000000-0010-0000-0000-000011000000}" name="#_of water points in TLS/CFS /THF" dataDxfId="906" totalsRowDxfId="905" dataCellStyle="Comma"/>
    <tableColumn id="59" xr3:uid="{00000000-0010-0000-0000-00003B000000}" name="WATER Comments" dataDxfId="904" totalsRowDxfId="903"/>
    <tableColumn id="87" xr3:uid="{00000000-0010-0000-0000-000057000000}" name="#_Constructed latrines_by_WASHAgencies" dataDxfId="902" totalsRowDxfId="901" dataCellStyle="Comma"/>
    <tableColumn id="65" xr3:uid="{00000000-0010-0000-0000-000041000000}" name="#_Non Cluster partner latrines" dataDxfId="900" totalsRowDxfId="899" dataCellStyle="Comma"/>
    <tableColumn id="39" xr3:uid="{00000000-0010-0000-0000-000027000000}" name="Name of Non-Cluster partner who constructed latrines" dataDxfId="898" totalsRowDxfId="897"/>
    <tableColumn id="23" xr3:uid="{00000000-0010-0000-0000-000017000000}" name="#_Non-functional latrines" dataDxfId="896" totalsRowDxfId="895" dataCellStyle="Comma"/>
    <tableColumn id="24" xr3:uid="{00000000-0010-0000-0000-000018000000}" name="#_Operation &amp; maintenance of latrines" dataDxfId="894" totalsRowDxfId="893" dataCellStyle="Comma"/>
    <tableColumn id="25" xr3:uid="{00000000-0010-0000-0000-000019000000}" name="#_Latrines desludged during the past quarter" dataDxfId="892" totalsRowDxfId="891" dataCellStyle="Comma"/>
    <tableColumn id="122" xr3:uid="{00000000-0010-0000-0000-00007A000000}" name="#_Cubic meters of desludging in past quarter" dataDxfId="890" totalsRowDxfId="889" dataCellStyle="Comma"/>
    <tableColumn id="123" xr3:uid="{00000000-0010-0000-0000-00007B000000}" name="#_Latrines fully handed over" dataDxfId="888" totalsRowDxfId="887" dataCellStyle="Comma"/>
    <tableColumn id="124" xr3:uid="{00000000-0010-0000-0000-00007C000000}" name="Is there provision of solid waste management equipment?" dataDxfId="886" totalsRowDxfId="885" dataCellStyle="Percent"/>
    <tableColumn id="105" xr3:uid="{00000000-0010-0000-0000-000069000000}" name="Is there constructed surface water drainage system?_x000a_" dataDxfId="884" totalsRowDxfId="883"/>
    <tableColumn id="100" xr3:uid="{00000000-0010-0000-0000-000064000000}" name="#_Constructed/Existing child friendly latrines" dataDxfId="882" totalsRowDxfId="881" dataCellStyle="Comma"/>
    <tableColumn id="26" xr3:uid="{00000000-0010-0000-0000-00001A000000}" name="#_Constructed/Existing disabled &amp; elderly friendly latrines " dataDxfId="880" totalsRowDxfId="879" dataCellStyle="Comma"/>
    <tableColumn id="125" xr3:uid="{00000000-0010-0000-0000-00007D000000}" name="# of functional latrines in TLS/CFS supported by WASH partners during the reporting period" dataDxfId="878" totalsRowDxfId="877" dataCellStyle="Comma"/>
    <tableColumn id="94" xr3:uid="{7F7C0F7D-C4C1-4C47-A69B-747B7539E4BF}" name="# of functional latrines in THF supported by WASH partners during the reporting period2" dataDxfId="876" totalsRowDxfId="875" dataCellStyle="Comma"/>
    <tableColumn id="32" xr3:uid="{103DD5A6-1CAA-4F9C-AD18-280981AF11D7}" name="#_of_persons_with_disabilities_with_adapted_sanitation_option" dataDxfId="874" totalsRowDxfId="873" dataCellStyle="Comma"/>
    <tableColumn id="11" xr3:uid="{00000000-0010-0000-0000-00000B000000}" name="Sanitation Comments" dataDxfId="872" totalsRowDxfId="871"/>
    <tableColumn id="126" xr3:uid="{00000000-0010-0000-0000-00007E000000}" name="#_Constructed/Existing hand washing stations" dataDxfId="870" totalsRowDxfId="869" dataCellStyle="Comma"/>
    <tableColumn id="127" xr3:uid="{00000000-0010-0000-0000-00007F000000}" name="#_Non-Functional_hand_washing_stations" dataDxfId="868" totalsRowDxfId="867" dataCellStyle="Comma"/>
    <tableColumn id="13" xr3:uid="{00000000-0010-0000-0000-00000D000000}" name="#_Constructed/Existing_individual_bathing_spaces " dataDxfId="866" totalsRowDxfId="865" dataCellStyle="Comma"/>
    <tableColumn id="128" xr3:uid="{00000000-0010-0000-0000-000080000000}" name="#_Constructed/Existing communal bathing spaces " dataDxfId="864" totalsRowDxfId="863" dataCellStyle="Comma"/>
    <tableColumn id="129" xr3:uid="{00000000-0010-0000-0000-000081000000}" name="#_Non-Functional communal_bathing spaces " dataDxfId="862" totalsRowDxfId="861" dataCellStyle="Comma"/>
    <tableColumn id="130" xr3:uid="{00000000-0010-0000-0000-000082000000}" name="#_male hygiene promoters" dataDxfId="860" totalsRowDxfId="859" dataCellStyle="Comma"/>
    <tableColumn id="131" xr3:uid="{00000000-0010-0000-0000-000083000000}" name="#_female hygiene promoters" dataDxfId="858" totalsRowDxfId="857" dataCellStyle="Comma"/>
    <tableColumn id="132" xr3:uid="{00000000-0010-0000-0000-000084000000}" name="#_households that received standard amount of soap for this quarter" dataDxfId="856" totalsRowDxfId="855" dataCellStyle="Comma"/>
    <tableColumn id="133" xr3:uid="{00000000-0010-0000-0000-000085000000}" name="# of affected women and girls receiving a sufficient quantity of sanitary pads from direct distribution or from MHM room facilities" dataDxfId="854" totalsRowDxfId="853" dataCellStyle="Comma"/>
    <tableColumn id="134" xr3:uid="{00000000-0010-0000-0000-000086000000}" name="Is sufficient soap available for TLS? (Yes/No)" dataDxfId="852" totalsRowDxfId="851"/>
    <tableColumn id="20" xr3:uid="{00000000-0010-0000-0000-000014000000}" name="#_Hygiene Promotion activities (sessions) in TLS?" dataDxfId="850" totalsRowDxfId="849"/>
    <tableColumn id="27" xr3:uid="{00000000-0010-0000-0000-00001B000000}" name="% of students reached by HP activities" dataDxfId="848" totalsRowDxfId="847" dataCellStyle="Percent"/>
    <tableColumn id="28" xr3:uid="{00000000-0010-0000-0000-00001C000000}" name="Hygiene_x000a_Comments " dataDxfId="846" totalsRowDxfId="845"/>
    <tableColumn id="88" xr3:uid="{9392C146-40EC-4C6C-845E-899B52090CD0}" name="%_of_affected_people_surveyed_who_report_feeling_satistfied_with_the_latrine_design_and_sanitation_service" dataDxfId="844" totalsRowDxfId="843" dataCellStyle="Percent"/>
    <tableColumn id="84" xr3:uid="{D02E63BE-A09A-459E-A028-D523541E7FF1}" name="%_of_affected_people_surveyed_who_report_feeling_satistfied_with_the_water_point_design_and_water_service" dataDxfId="842" totalsRowDxfId="841" dataCellStyle="Percent"/>
    <tableColumn id="79" xr3:uid="{45D940FA-098B-422B-8457-B5D7E56B8A76}" name="#_of_affected_people_surveyed_who_report_feeling_informed_about_the_different_WASH_services_available_to_them" dataDxfId="840" totalsRowDxfId="839" dataCellStyle="Percent"/>
    <tableColumn id="69" xr3:uid="{48B022E4-7FE2-4B75-A989-82EB1EB664CB}" name="%_of_complaints_received_that_result_in_timely_corrective_action_and_feedback_to_the_community" dataDxfId="838" totalsRowDxfId="837" dataCellStyle="Percent"/>
    <tableColumn id="91" xr3:uid="{A6DE4835-FE6C-403F-8C4E-CB713ADA4F9D}" name="# of sanitation facilities (latrines) built/repaired/rehabilitated following risk-sensitive programming and consultation with communities and/or GBV risk-sensitive programming" dataDxfId="836" totalsRowDxfId="835" dataCellStyle="Comma"/>
    <tableColumn id="92" xr3:uid="{01D53E97-A04B-40D2-88CE-B51CAB6274C9}" name="# of sanitation facilities (HH sanitation devices) distributed following risk-sensitive programming and consultation with communities and/or GBV risk-sensitive programming" dataDxfId="834" totalsRowDxfId="833" dataCellStyle="Comma"/>
    <tableColumn id="93" xr3:uid="{6F0F9250-E439-4B01-A614-A46D59F326F9}" name="# of sanitation facilities (bathing spaces) built following risk-sensitive programming and consultation with communities" dataDxfId="832" totalsRowDxfId="831" dataCellStyle="Comma"/>
    <tableColumn id="97" xr3:uid="{00000000-0010-0000-0000-000061000000}" name="% of water sources passed" dataDxfId="830" totalsRowDxfId="829">
      <calculatedColumnFormula>IFERROR(WWWW[[#This Row],['#_Water sources passed]]/WWWW[[#This Row],['#_Water sources tested for fecal coliform ]],"no test")</calculatedColumnFormula>
    </tableColumn>
    <tableColumn id="98" xr3:uid="{00000000-0010-0000-0000-000062000000}" name="% Household passed" dataDxfId="828" totalsRowDxfId="827"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826" totalsRowDxfId="825"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824" totalsRowDxfId="823"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822" totalsRowDxfId="821"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820" totalsRowDxfId="819"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818" totalsRowDxfId="817" dataCellStyle="Percent">
      <calculatedColumnFormula>(WWWW[[#This Row],['#_Water_Liters_supplied_by_Water boating or water trucking]]/90)/15</calculatedColumnFormula>
    </tableColumn>
    <tableColumn id="52" xr3:uid="{00000000-0010-0000-0000-000034000000}" name="Liters_Constructed water distribution system from river" dataDxfId="816" totalsRowDxfId="815"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THF_HRP5" dataDxfId="814" totalsRowDxfId="813" dataCellStyle="Percent">
      <calculatedColumnFormula>WWWW[[#This Row],['#_of water points in TLS/CFS /THF]]*500</calculatedColumnFormula>
    </tableColumn>
    <tableColumn id="34" xr3:uid="{00000000-0010-0000-0000-000022000000}" name="Access to safe drinking water for Camp" dataDxfId="812" totalsRowDxfId="811"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810" totalsRowDxfId="809"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808" totalsRowDxfId="807"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806" totalsRowDxfId="805">
      <calculatedColumnFormula>WWWW[[#This Row],[%Equitable and continuous access to sufficient quantity of safe drinking water]]*WWWW[[#This Row],[Total PoP ]]</calculatedColumnFormula>
    </tableColumn>
    <tableColumn id="37" xr3:uid="{00000000-0010-0000-0000-000025000000}" name="% Access to unimproved water points" dataDxfId="804" totalsRowDxfId="803"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802" totalsRowDxfId="801">
      <calculatedColumnFormula>WWWW[[#This Row],[% Access to unimproved water points]]*WWWW[[#This Row],[Total PoP ]]</calculatedColumnFormula>
    </tableColumn>
    <tableColumn id="41" xr3:uid="{00000000-0010-0000-0000-000029000000}" name="% Equitable and continuous access to sufficient quantity of domestic water" dataDxfId="800" totalsRowDxfId="799"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798" totalsRowDxfId="797">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796" totalsRowDxfId="795">
      <calculatedColumnFormula>WWWW[[#This Row],[HRP1]]/500</calculatedColumnFormula>
    </tableColumn>
    <tableColumn id="85" xr3:uid="{00000000-0010-0000-0000-000055000000}" name="%equitable and continuous access to sufficient quantity of safe drinking and domestic water's GAP" dataDxfId="794" totalsRowDxfId="793">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792" totalsRowDxfId="791">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790" totalsRowDxfId="789"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788" totalsRowDxfId="787" dataCellStyle="Percent">
      <calculatedColumnFormula>ROUND(IF(WWWW[[#This Row],[Total PoP ]]&lt;500,1,WWWW[[#This Row],[Total PoP ]]/500),0)</calculatedColumnFormula>
    </tableColumn>
    <tableColumn id="66" xr3:uid="{00000000-0010-0000-0000-000042000000}" name="# of Functioning latrine" dataDxfId="786" totalsRowDxfId="785"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784" totalsRowDxfId="783" dataCellStyle="Percent">
      <calculatedColumnFormula>WWWW[[#This Row],[HRP2]]/WWWW[[#This Row],[Total PoP ]]</calculatedColumnFormula>
    </tableColumn>
    <tableColumn id="18" xr3:uid="{00000000-0010-0000-0000-000012000000}" name="HRP2" dataDxfId="782" totalsRowDxfId="781">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calculatedColumnFormula>
    </tableColumn>
    <tableColumn id="70" xr3:uid="{00000000-0010-0000-0000-000046000000}" name="# people access to continuous sanitation services desluding" dataDxfId="780" totalsRowDxfId="779"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778" totalsRowDxfId="777" dataCellStyle="Percent">
      <calculatedColumnFormula>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5" dataDxfId="776" totalsRowDxfId="775"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136" xr3:uid="{A7890887-5293-4F58-A244-D3578BB5286C}" name="# People access to functioning latrines in TLS/CFS/THF_HRP5" dataDxfId="774" totalsRowDxfId="773" dataCellStyle="Percent">
      <calculatedColumnFormula>WWWW[[#This Row],['# students access to functioning school latrines_HRP5]]+WWWW[[#This Row],['# People access to functioning latrines in THF_HRP5]]</calculatedColumnFormula>
    </tableColumn>
    <tableColumn id="73" xr3:uid="{00000000-0010-0000-0000-000049000000}" name="Total required Latrines" dataDxfId="772" totalsRowDxfId="771"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770" totalsRowDxfId="769"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768" totalsRowDxfId="767">
      <calculatedColumnFormula>1-WWWW[[#This Row],[% people access to functioning Latrine]]</calculatedColumnFormula>
    </tableColumn>
    <tableColumn id="76" xr3:uid="{00000000-0010-0000-0000-00004C000000}" name="% Latrines requiring  repairs" dataDxfId="766" totalsRowDxfId="765"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764" totalsRowDxfId="763">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762" totalsRowDxfId="761"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760" totalsRowDxfId="759"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758" totalsRowDxfId="757"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756" totalsRowDxfId="755"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754" totalsRowDxfId="753">
      <calculatedColumnFormula>IF(WWWW[[#This Row],[HRP3]]/WWWW[[#This Row],[Total PoP ]]&gt;1,1,WWWW[[#This Row],[HRP3]]/WWWW[[#This Row],[Total PoP ]])</calculatedColumnFormula>
    </tableColumn>
    <tableColumn id="72" xr3:uid="{00000000-0010-0000-0000-000048000000}" name="Hygiene Gap%" dataDxfId="752" totalsRowDxfId="751" dataCellStyle="Percent">
      <calculatedColumnFormula>1-WWWW[[#This Row],[Hygiene Coverage%]]</calculatedColumnFormula>
    </tableColumn>
    <tableColumn id="96" xr3:uid="{00000000-0010-0000-0000-000060000000}" name="%people reached by regular dedicated hygiene promotion" dataDxfId="750" totalsRowDxfId="749" dataCellStyle="Percent">
      <calculatedColumnFormula>WWWW[[#This Row],['# people reached by regular dedicated hygiene promotion_5]]/WWWW[[#This Row],[Total PoP ]]</calculatedColumnFormula>
    </tableColumn>
    <tableColumn id="55" xr3:uid="{00000000-0010-0000-0000-000037000000}" name="%HH with access to soap" dataDxfId="748" totalsRowDxfId="747"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746" totalsRowDxfId="745"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744" totalsRowDxfId="743"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742" totalsRowDxfId="741">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740" totalsRowDxfId="739">
      <calculatedColumnFormula>IF(WWWW[[#This Row],[Is sufficient soap available for TLS? (Yes/No)]]="yes",WWWW[[#This Row],['#_Constructed/Existing hand washing stations at TLS]],0)</calculatedColumnFormula>
    </tableColumn>
    <tableColumn id="22" xr3:uid="{1493D209-8D39-48AA-8346-47078D7BAB87}" name="# People access to Handwashing Station" dataDxfId="738" totalsRowDxfId="737">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736" totalsRowDxfId="735">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734" totalsRowDxfId="733"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38" xr3:uid="{D2E8727C-D400-42EC-927D-BF8DF766C3B5}" name="HRP4" dataDxfId="732" totalsRowDxfId="731" dataCellStyle="Percent">
      <calculatedColumnFormula>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calculatedColumnFormula>
    </tableColumn>
    <tableColumn id="139" xr3:uid="{D29A4F7B-10CF-4208-8675-3A9C881225BC}" name="HRP5" dataDxfId="730" totalsRowDxfId="729" dataCellStyle="Comma">
      <calculatedColumnFormula>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calculatedColumnFormula>
    </tableColumn>
    <tableColumn id="58" xr3:uid="{00000000-0010-0000-0000-00003A000000}" name="CCCM Management" dataDxfId="728" totalsRowDxfId="727" dataCellStyle="Percent">
      <calculatedColumnFormula>VLOOKUP(WWWW[[#This Row],[Site Name]],SiteDB6[[Site Name]:[CCCM Management]],6,FALSE)</calculatedColumnFormula>
    </tableColumn>
    <tableColumn id="81" xr3:uid="{00000000-0010-0000-0000-000051000000}" name="CCCM Focal Agency" dataDxfId="726" totalsRowDxfId="725" dataCellStyle="Percent">
      <calculatedColumnFormula>VLOOKUP(WWWW[[#This Row],[Site Name]],SiteDB6[[Site Name]:[CCCM Focal Agency]],7,FALSE)</calculatedColumnFormula>
    </tableColumn>
    <tableColumn id="80" xr3:uid="{00000000-0010-0000-0000-000050000000}" name="Location Type 1" dataDxfId="724" totalsRowDxfId="723" dataCellStyle="Percent">
      <calculatedColumnFormula>VLOOKUP(WWWW[[#This Row],[Site Name]],SiteDB6[[Site Name]:[Location Type 1]],9,FALSE)</calculatedColumnFormula>
    </tableColumn>
    <tableColumn id="45" xr3:uid="{00000000-0010-0000-0000-00002D000000}" name="Type of accommodation" dataDxfId="722" totalsRowDxfId="721" dataCellStyle="Percent">
      <calculatedColumnFormula>VLOOKUP(WWWW[[#This Row],[Site Name]],SiteDB6[[Site Name]:[Type of Accommodation]],10,FALSE)</calculatedColumnFormula>
    </tableColumn>
    <tableColumn id="46" xr3:uid="{00000000-0010-0000-0000-00002E000000}" name="Ethnic or GCA/NGCA" dataDxfId="720" totalsRowDxfId="719" dataCellStyle="Percent">
      <calculatedColumnFormula>VLOOKUP(WWWW[[#This Row],[Site Name]],SiteDB6[[Site Name]:[Ethnic or GCA/NGCA]],11,FALSE)</calculatedColumnFormula>
    </tableColumn>
    <tableColumn id="60" xr3:uid="{00000000-0010-0000-0000-00003C000000}" name="Lat" dataDxfId="718" totalsRowDxfId="717" dataCellStyle="Percent">
      <calculatedColumnFormula>VLOOKUP(WWWW[[#This Row],[Site Name]],SiteDB6[[Site Name]:[Lat]],12,FALSE)</calculatedColumnFormula>
    </tableColumn>
    <tableColumn id="61" xr3:uid="{00000000-0010-0000-0000-00003D000000}" name="Long" dataDxfId="716" totalsRowDxfId="715" dataCellStyle="Percent">
      <calculatedColumnFormula>VLOOKUP(WWWW[[#This Row],[Site Name]],SiteDB6[[Site Name]:[Long]],13,FALSE)</calculatedColumnFormula>
    </tableColumn>
    <tableColumn id="62" xr3:uid="{00000000-0010-0000-0000-00003E000000}" name="Pcode" dataDxfId="714" totalsRowDxfId="713" dataCellStyle="Percent">
      <calculatedColumnFormula>VLOOKUP(WWWW[[#This Row],[Site Name]],SiteDB6[[Site Name]:[Pcode]],3,FALSE)</calculatedColumnFormula>
    </tableColumn>
    <tableColumn id="63" xr3:uid="{00000000-0010-0000-0000-00003F000000}" name="Covered" dataDxfId="712" totalsRowDxfId="711">
      <calculatedColumnFormula>IF(C7="none","Notcovered","Covered")</calculatedColumnFormula>
    </tableColumn>
    <tableColumn id="64" xr3:uid="{00000000-0010-0000-0000-000040000000}" name="Remark" dataDxfId="710" totalsRowDxfId="709">
      <calculatedColumnFormula>VLOOKUP(WWWW[[#This Row],[Site Name]],Site_DB!$C$389:$D$1120,2,FALSE)</calculatedColumnFormula>
    </tableColumn>
  </tableColumns>
  <tableStyleInfo name="TableStyleMedium27"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149" totalsRowShown="0" headerRowDxfId="699">
  <autoFilter ref="A2:W1149" xr:uid="{F998ED58-97B9-4E7C-943B-3697300BB96E}"/>
  <sortState xmlns:xlrd2="http://schemas.microsoft.com/office/spreadsheetml/2017/richdata2" ref="A3:W1143">
    <sortCondition ref="A3:A1143"/>
    <sortCondition ref="B3:B1143"/>
    <sortCondition ref="C3:C1143"/>
  </sortState>
  <tableColumns count="23">
    <tableColumn id="13" xr3:uid="{00000000-0010-0000-0100-00000D000000}" name="State" dataDxfId="698"/>
    <tableColumn id="12" xr3:uid="{00000000-0010-0000-0100-00000C000000}" name="Township" dataDxfId="697"/>
    <tableColumn id="1" xr3:uid="{00000000-0010-0000-0100-000001000000}" name="Site Name" dataDxfId="696"/>
    <tableColumn id="26" xr3:uid="{00000000-0010-0000-0100-00001A000000}" name="open in cccm?" dataDxfId="695"/>
    <tableColumn id="2" xr3:uid="{00000000-0010-0000-0100-000002000000}" name="Pcode" dataDxfId="694"/>
    <tableColumn id="20" xr3:uid="{00000000-0010-0000-0100-000014000000}" name="Vtract" dataDxfId="693"/>
    <tableColumn id="21" xr3:uid="{00000000-0010-0000-0100-000015000000}" name="VillageWard" dataDxfId="692"/>
    <tableColumn id="3" xr3:uid="{00000000-0010-0000-0100-000003000000}" name="CCCM Management" dataDxfId="691"/>
    <tableColumn id="4" xr3:uid="{00000000-0010-0000-0100-000004000000}" name="CCCM Focal Agency" dataDxfId="690"/>
    <tableColumn id="5" xr3:uid="{00000000-0010-0000-0100-000005000000}" name="Location Type" dataDxfId="689"/>
    <tableColumn id="6" xr3:uid="{00000000-0010-0000-0100-000006000000}" name="Location Type 1" dataDxfId="688"/>
    <tableColumn id="7" xr3:uid="{00000000-0010-0000-0100-000007000000}" name="Type of Accommodation" dataDxfId="687"/>
    <tableColumn id="8" xr3:uid="{00000000-0010-0000-0100-000008000000}" name="Ethnic or GCA/NGCA" dataDxfId="686"/>
    <tableColumn id="10" xr3:uid="{00000000-0010-0000-0100-00000A000000}" name="Lat" dataDxfId="685"/>
    <tableColumn id="9" xr3:uid="{00000000-0010-0000-0100-000009000000}" name="Long" dataDxfId="684"/>
    <tableColumn id="11" xr3:uid="{00000000-0010-0000-0100-00000B000000}" name="HRP categories" dataDxfId="683"/>
    <tableColumn id="14" xr3:uid="{00000000-0010-0000-0100-00000E000000}" name="Current 4 W reported list" dataDxfId="682"/>
    <tableColumn id="15" xr3:uid="{00000000-0010-0000-0100-00000F000000}" name="HH_x000a_(Rakhine-CCCM as of 31st Jan 2019)_x000a_(Kachin/Shan-CCCM as of 31st July 2019)" dataDxfId="681"/>
    <tableColumn id="16" xr3:uid="{00000000-0010-0000-0100-000010000000}" name="Pop_x000a_(Rakhine-CCCM as of 31st Jan 2019)_x000a_(Kachin/Shan-CCCM as of 31st July 2019)" dataDxfId="680"/>
    <tableColumn id="17" xr3:uid="{00000000-0010-0000-0100-000011000000}" name="Updated Date" dataDxfId="679"/>
    <tableColumn id="18" xr3:uid="{00000000-0010-0000-0100-000012000000}" name="Remark" dataDxfId="678"/>
    <tableColumn id="19" xr3:uid="{00000000-0010-0000-0100-000013000000}" name="Site Name_(Old)" dataDxfId="677"/>
    <tableColumn id="24" xr3:uid="{00000000-0010-0000-0100-000018000000}" name="Comments form CCCM" dataDxfId="67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48:H62" totalsRowShown="0" headerRowDxfId="77" dataDxfId="76" totalsRowDxfId="75">
  <autoFilter ref="B48:H62"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74" totalsRowDxfId="73"/>
    <tableColumn id="2" xr3:uid="{00000000-0010-0000-0200-000002000000}" name="Partners " dataDxfId="72"/>
    <tableColumn id="3" xr3:uid="{00000000-0010-0000-0200-000003000000}" name="# of sites" dataDxfId="71" dataCellStyle="Comma"/>
    <tableColumn id="4" xr3:uid="{00000000-0010-0000-0200-000004000000}" name="Total population" dataDxfId="70" dataCellStyle="Comma"/>
    <tableColumn id="5" xr3:uid="{00000000-0010-0000-0200-000005000000}" name=" % _x000a_Water Gap" dataDxfId="69"/>
    <tableColumn id="6" xr3:uid="{00000000-0010-0000-0200-000006000000}" name=" %_x000a_ Sanitation Gap" dataDxfId="68"/>
    <tableColumn id="7" xr3:uid="{43887CA2-2ABC-4266-ACE9-C2109EC04876}" name="%  _x000a_Hygiene Gap" dataDxfId="67" totalsRowDxfId="66"/>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91E84C-CF95-419F-B9C3-8DE05DE946E5}" name="Table3" displayName="Table3" ref="B64:H69" totalsRowShown="0" headerRowDxfId="65" headerRowBorderDxfId="64" tableBorderDxfId="63">
  <tableColumns count="7">
    <tableColumn id="1" xr3:uid="{A98AEB9C-B387-4C61-8145-A507F690BAC6}" name="Gap in WASH covered villages / township"/>
    <tableColumn id="2" xr3:uid="{4BD8682D-5899-4781-A405-54CC3A03F989}" name="Partners "/>
    <tableColumn id="3" xr3:uid="{99302724-D9B0-46A1-809F-4142D45DA7B2}" name="# of villages" dataDxfId="62"/>
    <tableColumn id="4" xr3:uid="{DC50B553-D54C-45DD-B06D-FC13E36C3554}" name="Total population" dataDxfId="61"/>
    <tableColumn id="5" xr3:uid="{9D12971F-D8CC-4D6E-98EC-A4F965AEF1D0}" name=" % _x000a_Water Gap" dataDxfId="60"/>
    <tableColumn id="6" xr3:uid="{24FE1E40-BC66-413E-A0D2-D1D1F440948D}" name=" %_x000a_ Sanitation Gap" dataDxfId="59"/>
    <tableColumn id="7" xr3:uid="{1A9FBEAB-0FF7-4AD2-B477-9562C837DE1A}" name="%  _x000a_Hygiene Gap" dataDxfId="5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47:H56" totalsRowShown="0" headerRowDxfId="57" dataDxfId="56">
  <tableColumns count="7">
    <tableColumn id="1" xr3:uid="{00000000-0010-0000-0500-000001000000}" name="Gap in WASH covered camps / township" dataDxfId="55" totalsRowDxfId="54"/>
    <tableColumn id="2" xr3:uid="{00000000-0010-0000-0500-000002000000}" name="Partners " dataDxfId="53" totalsRowDxfId="52"/>
    <tableColumn id="3" xr3:uid="{00000000-0010-0000-0500-000003000000}" name="# of sites" dataDxfId="51" totalsRowDxfId="50" dataCellStyle="Comma"/>
    <tableColumn id="4" xr3:uid="{00000000-0010-0000-0500-000004000000}" name="Total population" dataDxfId="49" totalsRowDxfId="48" dataCellStyle="Comma"/>
    <tableColumn id="5" xr3:uid="{00000000-0010-0000-0500-000005000000}" name=" % _x000a_Water Gap" dataDxfId="47" totalsRowDxfId="46"/>
    <tableColumn id="6" xr3:uid="{00000000-0010-0000-0500-000006000000}" name=" %_x000a_ Sanitation Gap" dataDxfId="45" totalsRowDxfId="44"/>
    <tableColumn id="7" xr3:uid="{AB1608BD-CBFF-4849-B68E-CA61CA18B396}" name="%  _x000a_Hygiene Gap" dataDxfId="43" totalsRowDxfId="42"/>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58:H64" totalsRowShown="0" headerRowDxfId="41" dataDxfId="39" headerRowBorderDxfId="40" tableBorderDxfId="38">
  <tableColumns count="7">
    <tableColumn id="1" xr3:uid="{698DE567-F73E-4889-A830-67FFCE1B6803}" name="Gap in WASH covered villages / township" dataDxfId="37"/>
    <tableColumn id="2" xr3:uid="{9545AE45-0B30-40F1-9017-7E27D70768AE}" name="Partners " dataDxfId="36"/>
    <tableColumn id="3" xr3:uid="{A628D95F-ABF8-4B91-AC92-76A5D9D7533E}" name="# of villages" dataDxfId="35"/>
    <tableColumn id="4" xr3:uid="{C6D6A6A5-922D-43FD-8D84-E0EB3210DAAA}" name="PoP " dataDxfId="34"/>
    <tableColumn id="5" xr3:uid="{498662AD-6EB1-4CC0-8C46-2F84560E0FFD}" name=" % _x000a_Water GAP" dataDxfId="33"/>
    <tableColumn id="6" xr3:uid="{ABECD877-BBD9-4F1A-A1BA-C2D733E18258}" name=" %_x000a_Sanitation GAP" dataDxfId="32"/>
    <tableColumn id="7" xr3:uid="{31B1CF1B-5248-4EC8-9F42-13E2AD36658C}" name=" %_x000a_Hygiene Gap" dataDxfId="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13" Type="http://schemas.openxmlformats.org/officeDocument/2006/relationships/pivotTable" Target="../pivotTables/pivotTable18.xml"/><Relationship Id="rId18" Type="http://schemas.openxmlformats.org/officeDocument/2006/relationships/pivotTable" Target="../pivotTables/pivotTable23.xml"/><Relationship Id="rId26" Type="http://schemas.openxmlformats.org/officeDocument/2006/relationships/pivotTable" Target="../pivotTables/pivotTable31.xml"/><Relationship Id="rId3" Type="http://schemas.openxmlformats.org/officeDocument/2006/relationships/pivotTable" Target="../pivotTables/pivotTable8.xml"/><Relationship Id="rId21" Type="http://schemas.openxmlformats.org/officeDocument/2006/relationships/pivotTable" Target="../pivotTables/pivotTable26.xml"/><Relationship Id="rId34" Type="http://schemas.microsoft.com/office/2007/relationships/slicer" Target="../slicers/slicer1.xml"/><Relationship Id="rId7" Type="http://schemas.openxmlformats.org/officeDocument/2006/relationships/pivotTable" Target="../pivotTables/pivotTable12.xml"/><Relationship Id="rId12" Type="http://schemas.openxmlformats.org/officeDocument/2006/relationships/pivotTable" Target="../pivotTables/pivotTable17.xml"/><Relationship Id="rId17" Type="http://schemas.openxmlformats.org/officeDocument/2006/relationships/pivotTable" Target="../pivotTables/pivotTable22.xml"/><Relationship Id="rId25" Type="http://schemas.openxmlformats.org/officeDocument/2006/relationships/pivotTable" Target="../pivotTables/pivotTable30.xml"/><Relationship Id="rId33" Type="http://schemas.openxmlformats.org/officeDocument/2006/relationships/drawing" Target="../drawings/drawing4.xml"/><Relationship Id="rId2" Type="http://schemas.openxmlformats.org/officeDocument/2006/relationships/pivotTable" Target="../pivotTables/pivotTable7.xml"/><Relationship Id="rId16" Type="http://schemas.openxmlformats.org/officeDocument/2006/relationships/pivotTable" Target="../pivotTables/pivotTable21.xml"/><Relationship Id="rId20" Type="http://schemas.openxmlformats.org/officeDocument/2006/relationships/pivotTable" Target="../pivotTables/pivotTable25.xml"/><Relationship Id="rId29" Type="http://schemas.openxmlformats.org/officeDocument/2006/relationships/pivotTable" Target="../pivotTables/pivotTable34.xml"/><Relationship Id="rId1" Type="http://schemas.openxmlformats.org/officeDocument/2006/relationships/pivotTable" Target="../pivotTables/pivotTable6.xml"/><Relationship Id="rId6" Type="http://schemas.openxmlformats.org/officeDocument/2006/relationships/pivotTable" Target="../pivotTables/pivotTable11.xml"/><Relationship Id="rId11" Type="http://schemas.openxmlformats.org/officeDocument/2006/relationships/pivotTable" Target="../pivotTables/pivotTable16.xml"/><Relationship Id="rId24" Type="http://schemas.openxmlformats.org/officeDocument/2006/relationships/pivotTable" Target="../pivotTables/pivotTable29.xml"/><Relationship Id="rId32" Type="http://schemas.openxmlformats.org/officeDocument/2006/relationships/printerSettings" Target="../printerSettings/printerSettings9.bin"/><Relationship Id="rId5" Type="http://schemas.openxmlformats.org/officeDocument/2006/relationships/pivotTable" Target="../pivotTables/pivotTable10.xml"/><Relationship Id="rId15" Type="http://schemas.openxmlformats.org/officeDocument/2006/relationships/pivotTable" Target="../pivotTables/pivotTable20.xml"/><Relationship Id="rId23" Type="http://schemas.openxmlformats.org/officeDocument/2006/relationships/pivotTable" Target="../pivotTables/pivotTable28.xml"/><Relationship Id="rId28" Type="http://schemas.openxmlformats.org/officeDocument/2006/relationships/pivotTable" Target="../pivotTables/pivotTable33.xml"/><Relationship Id="rId10" Type="http://schemas.openxmlformats.org/officeDocument/2006/relationships/pivotTable" Target="../pivotTables/pivotTable15.xml"/><Relationship Id="rId19" Type="http://schemas.openxmlformats.org/officeDocument/2006/relationships/pivotTable" Target="../pivotTables/pivotTable24.xml"/><Relationship Id="rId31" Type="http://schemas.openxmlformats.org/officeDocument/2006/relationships/pivotTable" Target="../pivotTables/pivotTable36.xml"/><Relationship Id="rId4" Type="http://schemas.openxmlformats.org/officeDocument/2006/relationships/pivotTable" Target="../pivotTables/pivotTable9.xml"/><Relationship Id="rId9" Type="http://schemas.openxmlformats.org/officeDocument/2006/relationships/pivotTable" Target="../pivotTables/pivotTable14.xml"/><Relationship Id="rId14" Type="http://schemas.openxmlformats.org/officeDocument/2006/relationships/pivotTable" Target="../pivotTables/pivotTable19.xml"/><Relationship Id="rId22" Type="http://schemas.openxmlformats.org/officeDocument/2006/relationships/pivotTable" Target="../pivotTables/pivotTable27.xml"/><Relationship Id="rId27" Type="http://schemas.openxmlformats.org/officeDocument/2006/relationships/pivotTable" Target="../pivotTables/pivotTable32.xml"/><Relationship Id="rId30" Type="http://schemas.openxmlformats.org/officeDocument/2006/relationships/pivotTable" Target="../pivotTables/pivotTable35.xml"/><Relationship Id="rId8" Type="http://schemas.openxmlformats.org/officeDocument/2006/relationships/pivotTable" Target="../pivotTables/pivotTable13.xml"/></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3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1.xml"/><Relationship Id="rId1" Type="http://schemas.openxmlformats.org/officeDocument/2006/relationships/pivotTable" Target="../pivotTables/pivotTable38.xml"/></Relationships>
</file>

<file path=xl/worksheets/_rels/sheet18.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2.xml"/><Relationship Id="rId1" Type="http://schemas.openxmlformats.org/officeDocument/2006/relationships/pivotTable" Target="../pivotTables/pivotTable3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035" t="s">
        <v>82</v>
      </c>
      <c r="C2" s="1036"/>
      <c r="D2" s="1036"/>
      <c r="E2" s="1036"/>
      <c r="F2" s="1036"/>
      <c r="G2" s="1036"/>
      <c r="H2" s="1036"/>
      <c r="I2" s="1036"/>
      <c r="J2" s="1036"/>
      <c r="K2" s="1036"/>
      <c r="L2" s="1036"/>
      <c r="M2" s="1036"/>
      <c r="N2" s="1036"/>
      <c r="O2" s="1036"/>
      <c r="P2" s="1036"/>
      <c r="Q2" s="1036"/>
      <c r="R2" s="1036"/>
      <c r="S2" s="1036"/>
      <c r="T2" s="1037"/>
    </row>
    <row r="3" spans="2:20" ht="15" thickTop="1">
      <c r="B3" s="23"/>
      <c r="C3" s="24"/>
      <c r="D3" s="24"/>
      <c r="E3" s="24"/>
      <c r="F3" s="24"/>
      <c r="G3" s="24"/>
      <c r="H3" s="24"/>
      <c r="I3" s="24"/>
      <c r="J3" s="24"/>
      <c r="K3" s="24"/>
      <c r="L3" s="24"/>
      <c r="M3" s="24"/>
      <c r="N3" s="24"/>
      <c r="O3" s="24"/>
      <c r="P3" s="24"/>
      <c r="Q3" s="24"/>
      <c r="R3" s="24"/>
      <c r="S3" s="24"/>
      <c r="T3" s="25"/>
    </row>
    <row r="4" spans="2:20">
      <c r="B4" s="23"/>
      <c r="C4" s="26" t="s">
        <v>83</v>
      </c>
      <c r="D4" s="24"/>
      <c r="E4" s="24"/>
      <c r="F4" s="24"/>
      <c r="G4" s="24"/>
      <c r="H4" s="24"/>
      <c r="I4" s="24"/>
      <c r="J4" s="24"/>
      <c r="K4" s="24"/>
      <c r="L4" s="24"/>
      <c r="M4" s="24"/>
      <c r="N4" s="24"/>
      <c r="O4" s="24"/>
      <c r="P4" s="24"/>
      <c r="Q4" s="24"/>
      <c r="R4" s="24"/>
      <c r="S4" s="24"/>
      <c r="T4" s="25"/>
    </row>
    <row r="5" spans="2:20">
      <c r="B5" s="23"/>
      <c r="C5" s="24"/>
      <c r="D5" s="24" t="s">
        <v>84</v>
      </c>
      <c r="E5" s="24"/>
      <c r="F5" s="24"/>
      <c r="G5" s="24"/>
      <c r="H5" s="24"/>
      <c r="I5" s="24"/>
      <c r="J5" s="24"/>
      <c r="K5" s="24"/>
      <c r="L5" s="24"/>
      <c r="M5" s="24"/>
      <c r="N5" s="24"/>
      <c r="O5" s="24"/>
      <c r="P5" s="24"/>
      <c r="Q5" s="24"/>
      <c r="R5" s="24"/>
      <c r="S5" s="24"/>
      <c r="T5" s="25"/>
    </row>
    <row r="6" spans="2:20">
      <c r="B6" s="23"/>
      <c r="C6" s="24"/>
      <c r="D6" s="24" t="s">
        <v>85</v>
      </c>
      <c r="E6" s="24"/>
      <c r="F6" s="24"/>
      <c r="G6" s="24"/>
      <c r="H6" s="24"/>
      <c r="I6" s="24"/>
      <c r="J6" s="24"/>
      <c r="K6" s="24"/>
      <c r="L6" s="24"/>
      <c r="M6" s="24"/>
      <c r="N6" s="24"/>
      <c r="O6" s="24"/>
      <c r="P6" s="24"/>
      <c r="Q6" s="24"/>
      <c r="R6" s="24"/>
      <c r="S6" s="24"/>
      <c r="T6" s="25"/>
    </row>
    <row r="7" spans="2:20">
      <c r="B7" s="23"/>
      <c r="C7" s="24"/>
      <c r="D7" s="24" t="s">
        <v>86</v>
      </c>
      <c r="E7" s="24"/>
      <c r="F7" s="24"/>
      <c r="G7" s="24"/>
      <c r="H7" s="24"/>
      <c r="I7" s="24"/>
      <c r="J7" s="24"/>
      <c r="K7" s="24"/>
      <c r="L7" s="24"/>
      <c r="M7" s="24"/>
      <c r="N7" s="24"/>
      <c r="O7" s="24"/>
      <c r="P7" s="24"/>
      <c r="Q7" s="24"/>
      <c r="R7" s="24"/>
      <c r="S7" s="24"/>
      <c r="T7" s="25"/>
    </row>
    <row r="8" spans="2:20">
      <c r="B8" s="23"/>
      <c r="C8" s="24"/>
      <c r="D8" s="24" t="s">
        <v>87</v>
      </c>
      <c r="E8" s="24"/>
      <c r="F8" s="24"/>
      <c r="G8" s="24"/>
      <c r="H8" s="24"/>
      <c r="I8" s="24"/>
      <c r="J8" s="24"/>
      <c r="K8" s="24"/>
      <c r="L8" s="24"/>
      <c r="M8" s="24"/>
      <c r="N8" s="24"/>
      <c r="O8" s="24"/>
      <c r="P8" s="24"/>
      <c r="Q8" s="24"/>
      <c r="R8" s="24"/>
      <c r="S8" s="24"/>
      <c r="T8" s="25"/>
    </row>
    <row r="9" spans="2:20">
      <c r="B9" s="23"/>
      <c r="C9" s="24"/>
      <c r="D9" s="24" t="s">
        <v>88</v>
      </c>
      <c r="E9" s="24"/>
      <c r="F9" s="24"/>
      <c r="G9" s="24"/>
      <c r="H9" s="24"/>
      <c r="I9" s="24"/>
      <c r="J9" s="24"/>
      <c r="K9" s="24"/>
      <c r="L9" s="24"/>
      <c r="M9" s="24"/>
      <c r="N9" s="24"/>
      <c r="O9" s="24"/>
      <c r="P9" s="24"/>
      <c r="Q9" s="24"/>
      <c r="R9" s="24"/>
      <c r="S9" s="24"/>
      <c r="T9" s="25"/>
    </row>
    <row r="10" spans="2:20">
      <c r="B10" s="23"/>
      <c r="C10" s="24"/>
      <c r="D10" s="24" t="s">
        <v>89</v>
      </c>
      <c r="E10" s="24"/>
      <c r="F10" s="24"/>
      <c r="G10" s="24"/>
      <c r="H10" s="24"/>
      <c r="I10" s="24"/>
      <c r="J10" s="24"/>
      <c r="K10" s="24"/>
      <c r="L10" s="24"/>
      <c r="M10" s="24"/>
      <c r="N10" s="24"/>
      <c r="O10" s="24"/>
      <c r="P10" s="24"/>
      <c r="Q10" s="24"/>
      <c r="R10" s="24"/>
      <c r="S10" s="24"/>
      <c r="T10" s="25"/>
    </row>
    <row r="11" spans="2:20">
      <c r="B11" s="23"/>
      <c r="C11" s="24"/>
      <c r="D11" s="24" t="s">
        <v>90</v>
      </c>
      <c r="E11" s="24"/>
      <c r="F11" s="24"/>
      <c r="G11" s="24"/>
      <c r="H11" s="24"/>
      <c r="I11" s="24"/>
      <c r="J11" s="24"/>
      <c r="K11" s="24"/>
      <c r="L11" s="24"/>
      <c r="M11" s="24"/>
      <c r="N11" s="24"/>
      <c r="O11" s="24"/>
      <c r="P11" s="24"/>
      <c r="Q11" s="24"/>
      <c r="R11" s="24"/>
      <c r="S11" s="24"/>
      <c r="T11" s="25"/>
    </row>
    <row r="12" spans="2:20">
      <c r="B12" s="23"/>
      <c r="C12" s="24"/>
      <c r="D12" s="24" t="s">
        <v>91</v>
      </c>
      <c r="E12" s="24"/>
      <c r="F12" s="24"/>
      <c r="G12" s="24"/>
      <c r="H12" s="24"/>
      <c r="I12" s="24"/>
      <c r="J12" s="24"/>
      <c r="K12" s="24"/>
      <c r="L12" s="24"/>
      <c r="M12" s="24"/>
      <c r="N12" s="24"/>
      <c r="O12" s="24"/>
      <c r="P12" s="24"/>
      <c r="Q12" s="24"/>
      <c r="R12" s="24"/>
      <c r="S12" s="24"/>
      <c r="T12" s="25"/>
    </row>
    <row r="13" spans="2:20">
      <c r="B13" s="23"/>
      <c r="C13" s="24"/>
      <c r="D13" s="24" t="s">
        <v>92</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93</v>
      </c>
      <c r="D15" s="24"/>
      <c r="E15" s="24"/>
      <c r="F15" s="24"/>
      <c r="G15" s="24"/>
      <c r="H15" s="24"/>
      <c r="I15" s="24"/>
      <c r="J15" s="24"/>
      <c r="K15" s="24"/>
      <c r="L15" s="24"/>
      <c r="M15" s="24"/>
      <c r="N15" s="24"/>
      <c r="O15" s="24"/>
      <c r="P15" s="24"/>
      <c r="Q15" s="24"/>
      <c r="R15" s="24"/>
      <c r="S15" s="24"/>
      <c r="T15" s="25"/>
    </row>
    <row r="16" spans="2:20">
      <c r="B16" s="23"/>
      <c r="C16" s="24"/>
      <c r="D16" s="24" t="s">
        <v>94</v>
      </c>
      <c r="E16" s="24"/>
      <c r="F16" s="24"/>
      <c r="G16" s="24"/>
      <c r="H16" s="24"/>
      <c r="I16" s="24"/>
      <c r="J16" s="24"/>
      <c r="K16" s="24"/>
      <c r="L16" s="24"/>
      <c r="M16" s="24"/>
      <c r="N16" s="24"/>
      <c r="O16" s="24"/>
      <c r="P16" s="24"/>
      <c r="Q16" s="24"/>
      <c r="R16" s="24"/>
      <c r="S16" s="24"/>
      <c r="T16" s="25"/>
    </row>
    <row r="17" spans="2:20">
      <c r="B17" s="23"/>
      <c r="C17" s="24"/>
      <c r="D17" s="24" t="s">
        <v>95</v>
      </c>
      <c r="E17" s="24"/>
      <c r="F17" s="24"/>
      <c r="G17" s="24"/>
      <c r="H17" s="24"/>
      <c r="I17" s="24"/>
      <c r="J17" s="24"/>
      <c r="K17" s="24"/>
      <c r="L17" s="24"/>
      <c r="M17" s="24"/>
      <c r="N17" s="24"/>
      <c r="O17" s="24"/>
      <c r="P17" s="24"/>
      <c r="Q17" s="24"/>
      <c r="R17" s="24"/>
      <c r="S17" s="24"/>
      <c r="T17" s="25"/>
    </row>
    <row r="18" spans="2:20">
      <c r="B18" s="23"/>
      <c r="C18" s="24"/>
      <c r="D18" s="24" t="s">
        <v>96</v>
      </c>
      <c r="E18" s="24"/>
      <c r="F18" s="24"/>
      <c r="G18" s="24"/>
      <c r="H18" s="24"/>
      <c r="I18" s="24"/>
      <c r="J18" s="24"/>
      <c r="K18" s="24"/>
      <c r="L18" s="24"/>
      <c r="M18" s="24"/>
      <c r="N18" s="24"/>
      <c r="O18" s="24"/>
      <c r="P18" s="24"/>
      <c r="Q18" s="24"/>
      <c r="R18" s="24"/>
      <c r="S18" s="24"/>
      <c r="T18" s="25"/>
    </row>
    <row r="19" spans="2:20">
      <c r="B19" s="23"/>
      <c r="C19" s="24"/>
      <c r="D19" s="24" t="s">
        <v>97</v>
      </c>
      <c r="E19" s="24"/>
      <c r="F19" s="24"/>
      <c r="G19" s="24"/>
      <c r="H19" s="24"/>
      <c r="I19" s="24"/>
      <c r="J19" s="24"/>
      <c r="K19" s="24"/>
      <c r="L19" s="24"/>
      <c r="M19" s="24"/>
      <c r="N19" s="24"/>
      <c r="O19" s="24"/>
      <c r="P19" s="24"/>
      <c r="Q19" s="24"/>
      <c r="R19" s="24"/>
      <c r="S19" s="24"/>
      <c r="T19" s="25"/>
    </row>
    <row r="20" spans="2:20">
      <c r="B20" s="23"/>
      <c r="C20" s="24"/>
      <c r="D20" s="24" t="s">
        <v>98</v>
      </c>
      <c r="E20" s="24"/>
      <c r="F20" s="24"/>
      <c r="G20" s="24"/>
      <c r="H20" s="24"/>
      <c r="I20" s="24"/>
      <c r="J20" s="24"/>
      <c r="K20" s="24"/>
      <c r="L20" s="24"/>
      <c r="M20" s="24"/>
      <c r="N20" s="24"/>
      <c r="O20" s="24"/>
      <c r="P20" s="24"/>
      <c r="Q20" s="24"/>
      <c r="R20" s="24"/>
      <c r="S20" s="24"/>
      <c r="T20" s="25"/>
    </row>
    <row r="21" spans="2:20">
      <c r="B21" s="23"/>
      <c r="C21" s="24"/>
      <c r="D21" s="24" t="s">
        <v>99</v>
      </c>
      <c r="E21" s="24"/>
      <c r="F21" s="24"/>
      <c r="G21" s="24"/>
      <c r="H21" s="24"/>
      <c r="I21" s="24"/>
      <c r="J21" s="24"/>
      <c r="K21" s="24"/>
      <c r="L21" s="24"/>
      <c r="M21" s="24"/>
      <c r="N21" s="24"/>
      <c r="O21" s="24"/>
      <c r="P21" s="24"/>
      <c r="Q21" s="24"/>
      <c r="R21" s="24"/>
      <c r="S21" s="24"/>
      <c r="T21" s="25"/>
    </row>
    <row r="22" spans="2:20">
      <c r="B22" s="23"/>
      <c r="C22" s="24"/>
      <c r="D22" s="24" t="s">
        <v>100</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101</v>
      </c>
      <c r="D24" s="24"/>
      <c r="E24" s="24"/>
      <c r="F24" s="24"/>
      <c r="G24" s="24"/>
      <c r="H24" s="24"/>
      <c r="I24" s="24"/>
      <c r="J24" s="24"/>
      <c r="K24" s="24"/>
      <c r="L24" s="24"/>
      <c r="M24" s="24"/>
      <c r="N24" s="24"/>
      <c r="O24" s="24"/>
      <c r="P24" s="24"/>
      <c r="Q24" s="24"/>
      <c r="R24" s="24"/>
      <c r="S24" s="24"/>
      <c r="T24" s="25"/>
    </row>
    <row r="25" spans="2:20">
      <c r="B25" s="23"/>
      <c r="C25" s="24"/>
      <c r="D25" s="24" t="s">
        <v>102</v>
      </c>
      <c r="E25" s="24"/>
      <c r="F25" s="24"/>
      <c r="G25" s="24"/>
      <c r="H25" s="24"/>
      <c r="I25" s="24"/>
      <c r="J25" s="24"/>
      <c r="K25" s="24"/>
      <c r="L25" s="24"/>
      <c r="M25" s="24"/>
      <c r="N25" s="24"/>
      <c r="O25" s="24"/>
      <c r="P25" s="24"/>
      <c r="Q25" s="24"/>
      <c r="R25" s="24"/>
      <c r="S25" s="24"/>
      <c r="T25" s="25"/>
    </row>
    <row r="26" spans="2:20" ht="27" customHeight="1">
      <c r="B26" s="23"/>
      <c r="C26" s="24"/>
      <c r="D26" s="1038" t="s">
        <v>2920</v>
      </c>
      <c r="E26" s="1039"/>
      <c r="F26" s="1039"/>
      <c r="G26" s="1039"/>
      <c r="H26" s="1039"/>
      <c r="I26" s="1039"/>
      <c r="J26" s="1039"/>
      <c r="K26" s="1039"/>
      <c r="L26" s="1039"/>
      <c r="M26" s="1039"/>
      <c r="N26" s="1039"/>
      <c r="O26" s="1039"/>
      <c r="P26" s="1039"/>
      <c r="Q26" s="1039"/>
      <c r="R26" s="1039"/>
      <c r="S26" s="1039"/>
      <c r="T26" s="1040"/>
    </row>
    <row r="27" spans="2:20">
      <c r="B27" s="23"/>
      <c r="C27" s="24"/>
      <c r="D27" s="98" t="s">
        <v>1984</v>
      </c>
      <c r="E27" s="24"/>
      <c r="F27" s="24"/>
      <c r="G27" s="24"/>
      <c r="H27" s="24"/>
      <c r="I27" s="24"/>
      <c r="J27" s="24"/>
      <c r="K27" s="24"/>
      <c r="L27" s="24"/>
      <c r="M27" s="24"/>
      <c r="N27" s="24"/>
      <c r="O27" s="24"/>
      <c r="P27" s="24"/>
      <c r="Q27" s="24"/>
      <c r="R27" s="24"/>
      <c r="S27" s="24"/>
      <c r="T27" s="25"/>
    </row>
    <row r="28" spans="2:20">
      <c r="B28" s="23"/>
      <c r="C28" s="24"/>
      <c r="D28" s="24" t="s">
        <v>103</v>
      </c>
      <c r="E28" s="24"/>
      <c r="F28" s="24"/>
      <c r="G28" s="24"/>
      <c r="H28" s="24"/>
      <c r="I28" s="24"/>
      <c r="J28" s="24"/>
      <c r="K28" s="24"/>
      <c r="L28" s="24"/>
      <c r="M28" s="24"/>
      <c r="N28" s="24"/>
      <c r="O28" s="24"/>
      <c r="P28" s="24"/>
      <c r="Q28" s="24"/>
      <c r="R28" s="24"/>
      <c r="S28" s="24"/>
      <c r="T28" s="25"/>
    </row>
    <row r="29" spans="2:20">
      <c r="B29" s="23"/>
      <c r="C29" s="24"/>
      <c r="D29" s="449" t="s">
        <v>2921</v>
      </c>
      <c r="E29" s="24"/>
      <c r="F29" s="24"/>
      <c r="G29" s="24"/>
      <c r="H29" s="24"/>
      <c r="I29" s="24"/>
      <c r="J29" s="24"/>
      <c r="K29" s="24"/>
      <c r="L29" s="24"/>
      <c r="M29" s="24"/>
      <c r="N29" s="24"/>
      <c r="O29" s="24"/>
      <c r="P29" s="24"/>
      <c r="Q29" s="24"/>
      <c r="R29" s="24"/>
      <c r="S29" s="24"/>
      <c r="T29" s="25"/>
    </row>
    <row r="30" spans="2:20">
      <c r="B30" s="23"/>
      <c r="C30" s="24"/>
      <c r="D30" s="24" t="s">
        <v>104</v>
      </c>
      <c r="E30" s="24"/>
      <c r="F30" s="24"/>
      <c r="G30" s="24"/>
      <c r="H30" s="24"/>
      <c r="I30" s="24"/>
      <c r="J30" s="24"/>
      <c r="K30" s="24"/>
      <c r="L30" s="24"/>
      <c r="M30" s="24"/>
      <c r="N30" s="24"/>
      <c r="O30" s="24"/>
      <c r="P30" s="24"/>
      <c r="Q30" s="24"/>
      <c r="R30" s="24"/>
      <c r="S30" s="24"/>
      <c r="T30" s="25"/>
    </row>
    <row r="31" spans="2:20">
      <c r="B31" s="23"/>
      <c r="C31" s="24"/>
      <c r="D31" s="98" t="s">
        <v>1986</v>
      </c>
      <c r="E31" s="24"/>
      <c r="F31" s="24"/>
      <c r="G31" s="24"/>
      <c r="H31" s="24"/>
      <c r="I31" s="24"/>
      <c r="J31" s="24"/>
      <c r="K31" s="24"/>
      <c r="L31" s="24"/>
      <c r="M31" s="24"/>
      <c r="N31" s="24"/>
      <c r="O31" s="24"/>
      <c r="P31" s="24"/>
      <c r="Q31" s="24"/>
      <c r="R31" s="24"/>
      <c r="S31" s="24"/>
      <c r="T31" s="25"/>
    </row>
    <row r="32" spans="2:20">
      <c r="B32" s="23"/>
      <c r="C32" s="24"/>
      <c r="D32" s="24" t="s">
        <v>105</v>
      </c>
      <c r="E32" s="24"/>
      <c r="F32" s="24"/>
      <c r="G32" s="24"/>
      <c r="H32" s="24"/>
      <c r="I32" s="24"/>
      <c r="J32" s="24"/>
      <c r="K32" s="24"/>
      <c r="L32" s="24"/>
      <c r="M32" s="24"/>
      <c r="N32" s="24"/>
      <c r="O32" s="24"/>
      <c r="P32" s="24"/>
      <c r="Q32" s="24"/>
      <c r="R32" s="24"/>
      <c r="S32" s="24"/>
      <c r="T32" s="25"/>
    </row>
    <row r="33" spans="2:20">
      <c r="B33" s="23"/>
      <c r="C33" s="24"/>
      <c r="D33" s="24" t="s">
        <v>106</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107</v>
      </c>
      <c r="D35" s="24"/>
      <c r="E35" s="24"/>
      <c r="F35" s="24"/>
      <c r="G35" s="24"/>
      <c r="H35" s="24"/>
      <c r="I35" s="24"/>
      <c r="J35" s="24"/>
      <c r="K35" s="24"/>
      <c r="L35" s="24"/>
      <c r="M35" s="24"/>
      <c r="N35" s="24"/>
      <c r="O35" s="24"/>
      <c r="P35" s="24"/>
      <c r="Q35" s="24"/>
      <c r="R35" s="24"/>
      <c r="S35" s="24"/>
      <c r="T35" s="25"/>
    </row>
    <row r="36" spans="2:20">
      <c r="B36" s="23"/>
      <c r="C36" s="24"/>
      <c r="D36" s="24" t="s">
        <v>108</v>
      </c>
      <c r="E36" s="24"/>
      <c r="F36" s="24"/>
      <c r="G36" s="24"/>
      <c r="H36" s="24"/>
      <c r="I36" s="24"/>
      <c r="J36" s="24"/>
      <c r="K36" s="24"/>
      <c r="L36" s="24"/>
      <c r="M36" s="24"/>
      <c r="N36" s="24"/>
      <c r="O36" s="24"/>
      <c r="P36" s="24"/>
      <c r="Q36" s="24"/>
      <c r="R36" s="24"/>
      <c r="S36" s="24"/>
      <c r="T36" s="25"/>
    </row>
    <row r="37" spans="2:20">
      <c r="B37" s="23"/>
      <c r="C37" s="24"/>
      <c r="D37" s="24" t="s">
        <v>109</v>
      </c>
      <c r="E37" s="24"/>
      <c r="F37" s="24"/>
      <c r="G37" s="24"/>
      <c r="H37" s="24"/>
      <c r="I37" s="24"/>
      <c r="J37" s="24"/>
      <c r="K37" s="24"/>
      <c r="L37" s="24"/>
      <c r="M37" s="24"/>
      <c r="N37" s="24"/>
      <c r="O37" s="24"/>
      <c r="P37" s="24"/>
      <c r="Q37" s="24"/>
      <c r="R37" s="24"/>
      <c r="S37" s="24"/>
      <c r="T37" s="25"/>
    </row>
    <row r="38" spans="2:20">
      <c r="B38" s="23"/>
      <c r="C38" s="24"/>
      <c r="D38" s="24" t="s">
        <v>110</v>
      </c>
      <c r="E38" s="24"/>
      <c r="F38" s="24"/>
      <c r="G38" s="24"/>
      <c r="H38" s="24"/>
      <c r="I38" s="24"/>
      <c r="J38" s="24"/>
      <c r="K38" s="24"/>
      <c r="L38" s="24"/>
      <c r="M38" s="24"/>
      <c r="N38" s="24"/>
      <c r="O38" s="24"/>
      <c r="P38" s="24"/>
      <c r="Q38" s="24"/>
      <c r="R38" s="24"/>
      <c r="S38" s="24"/>
      <c r="T38" s="25"/>
    </row>
    <row r="39" spans="2:20">
      <c r="B39" s="23"/>
      <c r="C39" s="24"/>
      <c r="D39" s="24" t="s">
        <v>111</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112</v>
      </c>
      <c r="D41" s="24"/>
      <c r="E41" s="24"/>
      <c r="F41" s="24"/>
      <c r="G41" s="24"/>
      <c r="H41" s="24"/>
      <c r="I41" s="24"/>
      <c r="J41" s="24"/>
      <c r="K41" s="24"/>
      <c r="L41" s="24"/>
      <c r="M41" s="24"/>
      <c r="N41" s="24"/>
      <c r="O41" s="24"/>
      <c r="P41" s="24"/>
      <c r="Q41" s="24"/>
      <c r="R41" s="24"/>
      <c r="S41" s="24"/>
      <c r="T41" s="25"/>
    </row>
    <row r="42" spans="2:20">
      <c r="B42" s="23"/>
      <c r="C42" s="24"/>
      <c r="D42" s="24" t="s">
        <v>113</v>
      </c>
      <c r="E42" s="24"/>
      <c r="F42" s="24"/>
      <c r="G42" s="24"/>
      <c r="H42" s="24"/>
      <c r="I42" s="24"/>
      <c r="J42" s="24"/>
      <c r="K42" s="24"/>
      <c r="L42" s="24"/>
      <c r="M42" s="24"/>
      <c r="N42" s="24"/>
      <c r="O42" s="24"/>
      <c r="P42" s="24"/>
      <c r="Q42" s="24"/>
      <c r="R42" s="24"/>
      <c r="S42" s="24"/>
      <c r="T42" s="25"/>
    </row>
    <row r="43" spans="2:20">
      <c r="B43" s="23"/>
      <c r="C43" s="24"/>
      <c r="D43" s="24" t="s">
        <v>114</v>
      </c>
      <c r="E43" s="24"/>
      <c r="F43" s="24"/>
      <c r="G43" s="24"/>
      <c r="H43" s="24"/>
      <c r="I43" s="24"/>
      <c r="J43" s="24"/>
      <c r="K43" s="24"/>
      <c r="L43" s="24"/>
      <c r="M43" s="24"/>
      <c r="N43" s="24"/>
      <c r="O43" s="24"/>
      <c r="P43" s="24"/>
      <c r="Q43" s="24"/>
      <c r="R43" s="24"/>
      <c r="S43" s="24"/>
      <c r="T43" s="25"/>
    </row>
    <row r="44" spans="2:20">
      <c r="B44" s="23"/>
      <c r="C44" s="24"/>
      <c r="D44" s="24" t="s">
        <v>115</v>
      </c>
      <c r="E44" s="24"/>
      <c r="F44" s="24"/>
      <c r="G44" s="24"/>
      <c r="H44" s="24"/>
      <c r="I44" s="24"/>
      <c r="J44" s="24"/>
      <c r="K44" s="24"/>
      <c r="L44" s="24"/>
      <c r="M44" s="24"/>
      <c r="N44" s="24"/>
      <c r="O44" s="24"/>
      <c r="P44" s="24"/>
      <c r="Q44" s="24"/>
      <c r="R44" s="24"/>
      <c r="S44" s="24"/>
      <c r="T44" s="25"/>
    </row>
    <row r="45" spans="2:20">
      <c r="B45" s="23"/>
      <c r="C45" s="24"/>
      <c r="D45" s="24" t="s">
        <v>116</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14"/>
  <sheetViews>
    <sheetView showGridLines="0" zoomScale="80" zoomScaleNormal="80" workbookViewId="0">
      <selection activeCell="D17" sqref="D17:F17"/>
    </sheetView>
  </sheetViews>
  <sheetFormatPr defaultColWidth="9" defaultRowHeight="15.5"/>
  <cols>
    <col min="1" max="1" width="17.08203125" style="59" bestFit="1" customWidth="1"/>
    <col min="2" max="2" width="10.75" style="59" customWidth="1"/>
    <col min="3" max="3" width="31.08203125" style="59" customWidth="1"/>
    <col min="4" max="4" width="16.9140625" style="59" customWidth="1"/>
    <col min="5" max="5" width="20.4140625" style="59" bestFit="1" customWidth="1"/>
    <col min="6" max="6" width="17.1640625" style="59" customWidth="1"/>
    <col min="7" max="7" width="19.5" style="59" customWidth="1"/>
    <col min="8" max="8" width="13.08203125" style="59" customWidth="1"/>
    <col min="9" max="9" width="13.1640625" style="59" customWidth="1"/>
    <col min="10" max="10" width="12" style="59" customWidth="1"/>
    <col min="11" max="11" width="9.58203125" style="59" customWidth="1"/>
    <col min="12" max="12" width="19.83203125" style="59" customWidth="1"/>
    <col min="13" max="13" width="14.1640625" style="59" customWidth="1"/>
    <col min="14" max="15" width="17" style="59" customWidth="1"/>
    <col min="16" max="16" width="9.58203125" style="59" customWidth="1"/>
    <col min="17" max="17" width="16.33203125" style="59" customWidth="1"/>
    <col min="18" max="18" width="17.08203125" style="59" customWidth="1"/>
    <col min="19" max="19" width="19" style="59" customWidth="1"/>
    <col min="20" max="21" width="16.08203125" style="59" customWidth="1"/>
    <col min="22" max="22" width="21.58203125" style="59" customWidth="1"/>
    <col min="23" max="23" width="19.1640625" style="59" bestFit="1" customWidth="1"/>
    <col min="24" max="24" width="9.58203125" style="59" customWidth="1"/>
    <col min="25" max="25" width="13" style="59" bestFit="1" customWidth="1"/>
    <col min="26" max="26" width="10.6640625" style="59" bestFit="1" customWidth="1"/>
    <col min="27" max="27" width="22.08203125" style="59" customWidth="1"/>
    <col min="28" max="29" width="9.1640625" style="59" customWidth="1"/>
    <col min="30" max="30" width="33.5" style="59" customWidth="1"/>
    <col min="31" max="37" width="9.1640625" style="59" customWidth="1"/>
    <col min="38" max="38" width="16.58203125" style="59" customWidth="1"/>
    <col min="39" max="39" width="16.6640625" style="59" customWidth="1"/>
    <col min="40" max="40" width="9.1640625" style="59" customWidth="1"/>
    <col min="41" max="41" width="24.5" style="59" customWidth="1"/>
    <col min="42" max="42" width="22.1640625" style="59" customWidth="1"/>
    <col min="43" max="43" width="19.1640625" style="59" bestFit="1" customWidth="1"/>
    <col min="44" max="44" width="9.1640625" style="59" customWidth="1"/>
    <col min="45" max="45" width="23" style="59" customWidth="1"/>
    <col min="46" max="46" width="9.1640625" style="59" customWidth="1"/>
    <col min="47" max="47" width="10.1640625" style="59" customWidth="1"/>
    <col min="48" max="16384" width="9" style="59"/>
  </cols>
  <sheetData>
    <row r="1" spans="1:35">
      <c r="B1"/>
      <c r="C1"/>
    </row>
    <row r="2" spans="1:35">
      <c r="B2"/>
      <c r="C2"/>
      <c r="V2"/>
    </row>
    <row r="3" spans="1:35" s="60" customFormat="1">
      <c r="A3" s="991" t="s">
        <v>35</v>
      </c>
      <c r="B3" s="992" t="s">
        <v>35</v>
      </c>
      <c r="C3" s="59"/>
      <c r="D3" s="59"/>
      <c r="E3" s="59"/>
      <c r="F3" s="59"/>
      <c r="G3" s="59"/>
      <c r="Q3" s="59"/>
      <c r="R3" s="59"/>
      <c r="S3" s="59"/>
      <c r="T3" s="59"/>
      <c r="U3" s="59"/>
      <c r="AB3" s="59"/>
      <c r="AC3" s="59"/>
      <c r="AD3" s="59"/>
      <c r="AF3" s="59"/>
      <c r="AH3" s="59"/>
    </row>
    <row r="4" spans="1:35">
      <c r="A4" s="991" t="s">
        <v>137</v>
      </c>
      <c r="B4" s="992" t="s">
        <v>1915</v>
      </c>
    </row>
    <row r="5" spans="1:35">
      <c r="A5"/>
      <c r="B5"/>
      <c r="C5" s="411" t="s">
        <v>2825</v>
      </c>
      <c r="D5"/>
      <c r="E5"/>
      <c r="F5"/>
      <c r="G5"/>
      <c r="H5"/>
      <c r="I5" s="396"/>
      <c r="J5" s="396"/>
      <c r="Q5"/>
      <c r="R5"/>
      <c r="S5"/>
      <c r="T5"/>
      <c r="U5"/>
      <c r="AB5"/>
      <c r="AC5"/>
      <c r="AD5" s="396"/>
      <c r="AF5"/>
    </row>
    <row r="6" spans="1:35" ht="93">
      <c r="A6" s="992"/>
      <c r="B6" s="992"/>
      <c r="C6" s="999" t="s">
        <v>1680</v>
      </c>
      <c r="D6" s="1000" t="s">
        <v>2676</v>
      </c>
      <c r="E6" s="1001" t="s">
        <v>2677</v>
      </c>
      <c r="F6" s="1002" t="s">
        <v>2678</v>
      </c>
      <c r="G6" s="1007" t="s">
        <v>3258</v>
      </c>
      <c r="H6" s="1008" t="s">
        <v>3259</v>
      </c>
      <c r="I6" s="1004" t="s">
        <v>2828</v>
      </c>
      <c r="J6" s="1004" t="s">
        <v>2832</v>
      </c>
      <c r="K6" s="1004" t="s">
        <v>2830</v>
      </c>
      <c r="L6" s="1009" t="s">
        <v>3284</v>
      </c>
      <c r="M6" s="1009" t="s">
        <v>3285</v>
      </c>
      <c r="N6" s="1009" t="s">
        <v>3286</v>
      </c>
      <c r="Q6"/>
      <c r="R6"/>
      <c r="S6"/>
      <c r="T6"/>
      <c r="U6"/>
      <c r="V6"/>
      <c r="W6"/>
      <c r="X6"/>
      <c r="Y6"/>
      <c r="AB6"/>
      <c r="AC6"/>
      <c r="AD6"/>
      <c r="AE6"/>
      <c r="AF6"/>
      <c r="AG6"/>
      <c r="AH6"/>
      <c r="AI6" s="408"/>
    </row>
    <row r="7" spans="1:35">
      <c r="A7" s="992" t="s">
        <v>39</v>
      </c>
      <c r="B7" s="992" t="s">
        <v>3261</v>
      </c>
      <c r="C7" s="998">
        <v>97096</v>
      </c>
      <c r="D7" s="995">
        <v>53088.742222222223</v>
      </c>
      <c r="E7" s="996">
        <v>59750</v>
      </c>
      <c r="F7" s="997">
        <v>52362</v>
      </c>
      <c r="G7" s="1005">
        <v>0</v>
      </c>
      <c r="H7" s="1006">
        <v>14864</v>
      </c>
      <c r="I7" s="1003">
        <v>7809</v>
      </c>
      <c r="J7" s="1003">
        <v>51727</v>
      </c>
      <c r="K7" s="1003">
        <v>45870</v>
      </c>
      <c r="L7" s="994">
        <v>12500</v>
      </c>
      <c r="M7" s="994">
        <v>5921</v>
      </c>
      <c r="N7" s="994">
        <v>0</v>
      </c>
      <c r="Q7"/>
      <c r="R7"/>
      <c r="S7"/>
      <c r="T7"/>
      <c r="U7"/>
      <c r="V7"/>
      <c r="W7"/>
      <c r="X7"/>
      <c r="Y7"/>
      <c r="AB7"/>
      <c r="AC7"/>
      <c r="AD7"/>
      <c r="AE7"/>
      <c r="AF7"/>
      <c r="AG7"/>
      <c r="AH7"/>
    </row>
    <row r="8" spans="1:35">
      <c r="A8" s="992"/>
      <c r="B8" s="992" t="s">
        <v>3262</v>
      </c>
      <c r="C8" s="998">
        <v>97501</v>
      </c>
      <c r="D8" s="995">
        <v>56353.47407407406</v>
      </c>
      <c r="E8" s="996">
        <v>62925</v>
      </c>
      <c r="F8" s="997">
        <v>70251</v>
      </c>
      <c r="G8" s="1005">
        <v>54</v>
      </c>
      <c r="H8" s="1006">
        <v>19956</v>
      </c>
      <c r="I8" s="1003">
        <v>24898</v>
      </c>
      <c r="J8" s="1003">
        <v>60695</v>
      </c>
      <c r="K8" s="1003">
        <v>51627</v>
      </c>
      <c r="L8" s="994">
        <v>14000</v>
      </c>
      <c r="M8" s="994">
        <v>6029</v>
      </c>
      <c r="N8" s="994">
        <v>400</v>
      </c>
      <c r="Q8"/>
      <c r="R8"/>
      <c r="S8"/>
      <c r="T8"/>
      <c r="U8"/>
      <c r="V8"/>
      <c r="W8"/>
      <c r="X8"/>
      <c r="Y8"/>
      <c r="AB8"/>
      <c r="AC8"/>
      <c r="AD8"/>
      <c r="AE8"/>
      <c r="AF8"/>
      <c r="AG8"/>
      <c r="AH8"/>
    </row>
    <row r="9" spans="1:35">
      <c r="A9" s="992"/>
      <c r="B9" s="992" t="s">
        <v>3263</v>
      </c>
      <c r="C9" s="998">
        <v>98289</v>
      </c>
      <c r="D9" s="995">
        <v>57120.140740740746</v>
      </c>
      <c r="E9" s="996">
        <v>64019</v>
      </c>
      <c r="F9" s="997">
        <v>70663</v>
      </c>
      <c r="G9" s="1005">
        <v>25</v>
      </c>
      <c r="H9" s="1006">
        <v>14100</v>
      </c>
      <c r="I9" s="1003">
        <v>18845</v>
      </c>
      <c r="J9" s="1003">
        <v>60703</v>
      </c>
      <c r="K9" s="1003">
        <v>52905</v>
      </c>
      <c r="L9" s="994">
        <v>14000</v>
      </c>
      <c r="M9" s="994">
        <v>100</v>
      </c>
      <c r="N9" s="994">
        <v>400</v>
      </c>
      <c r="P9"/>
      <c r="Q9"/>
      <c r="R9"/>
      <c r="S9"/>
      <c r="T9"/>
      <c r="U9"/>
      <c r="V9"/>
      <c r="W9"/>
      <c r="X9"/>
      <c r="Y9"/>
      <c r="AB9"/>
      <c r="AC9"/>
      <c r="AD9"/>
      <c r="AE9"/>
      <c r="AF9"/>
      <c r="AG9"/>
      <c r="AH9"/>
    </row>
    <row r="10" spans="1:35">
      <c r="A10" s="1010" t="s">
        <v>1930</v>
      </c>
      <c r="B10" s="1010"/>
      <c r="C10" s="1011">
        <v>292886</v>
      </c>
      <c r="D10" s="1011">
        <v>166562.35703703703</v>
      </c>
      <c r="E10" s="1011">
        <v>186694</v>
      </c>
      <c r="F10" s="1011">
        <v>193276</v>
      </c>
      <c r="G10" s="1012">
        <v>79</v>
      </c>
      <c r="H10" s="1012">
        <v>48920</v>
      </c>
      <c r="I10" s="1013">
        <v>51552</v>
      </c>
      <c r="J10" s="1013">
        <v>173125</v>
      </c>
      <c r="K10" s="1013">
        <v>150402</v>
      </c>
      <c r="L10" s="1012">
        <v>40500</v>
      </c>
      <c r="M10" s="1012">
        <v>12050</v>
      </c>
      <c r="N10" s="1012">
        <v>800</v>
      </c>
      <c r="P10"/>
      <c r="Q10"/>
      <c r="R10"/>
      <c r="S10"/>
      <c r="T10"/>
      <c r="U10"/>
      <c r="V10"/>
      <c r="W10"/>
      <c r="X10"/>
      <c r="Y10"/>
      <c r="Z10"/>
      <c r="AA10"/>
      <c r="AB10"/>
      <c r="AC10"/>
      <c r="AD10"/>
      <c r="AE10"/>
      <c r="AF10"/>
      <c r="AG10"/>
      <c r="AH10"/>
    </row>
    <row r="11" spans="1:35">
      <c r="A11" s="992" t="s">
        <v>711</v>
      </c>
      <c r="B11" s="992" t="s">
        <v>3261</v>
      </c>
      <c r="C11" s="998">
        <v>9274</v>
      </c>
      <c r="D11" s="995">
        <v>7752.666666666667</v>
      </c>
      <c r="E11" s="996">
        <v>7502</v>
      </c>
      <c r="F11" s="997">
        <v>6791</v>
      </c>
      <c r="G11" s="1005">
        <v>0</v>
      </c>
      <c r="H11" s="1006">
        <v>2632</v>
      </c>
      <c r="I11" s="1003">
        <v>0</v>
      </c>
      <c r="J11" s="1003">
        <v>6791</v>
      </c>
      <c r="K11" s="1003">
        <v>4022</v>
      </c>
      <c r="L11" s="994">
        <v>2500</v>
      </c>
      <c r="M11" s="994">
        <v>285</v>
      </c>
      <c r="N11" s="994">
        <v>0</v>
      </c>
      <c r="P11" s="468"/>
      <c r="Q11" s="468"/>
      <c r="R11" s="468"/>
      <c r="S11" s="468"/>
      <c r="T11" s="468"/>
      <c r="U11" s="468"/>
      <c r="V11" s="468"/>
      <c r="W11" s="468"/>
      <c r="X11" s="468"/>
      <c r="Y11" s="468"/>
      <c r="Z11" s="468"/>
      <c r="AA11" s="468"/>
      <c r="AB11" s="468"/>
      <c r="AC11" s="468"/>
      <c r="AD11" s="468"/>
      <c r="AE11" s="468"/>
      <c r="AF11" s="468"/>
      <c r="AG11" s="468"/>
      <c r="AH11" s="468"/>
    </row>
    <row r="12" spans="1:35">
      <c r="A12" s="992"/>
      <c r="B12" s="992" t="s">
        <v>3262</v>
      </c>
      <c r="C12" s="998">
        <v>9274</v>
      </c>
      <c r="D12" s="995">
        <v>7819.333333333333</v>
      </c>
      <c r="E12" s="996">
        <v>7582</v>
      </c>
      <c r="F12" s="997">
        <v>7862</v>
      </c>
      <c r="G12" s="1005">
        <v>0</v>
      </c>
      <c r="H12" s="1006">
        <v>2500</v>
      </c>
      <c r="I12" s="1003">
        <v>5695</v>
      </c>
      <c r="J12" s="1003">
        <v>6791</v>
      </c>
      <c r="K12" s="1003">
        <v>4022</v>
      </c>
      <c r="L12" s="994">
        <v>2500</v>
      </c>
      <c r="M12" s="994">
        <v>0</v>
      </c>
      <c r="N12" s="994">
        <v>0</v>
      </c>
      <c r="P12" s="468"/>
      <c r="Q12" s="468"/>
      <c r="R12" s="468"/>
      <c r="S12" s="468"/>
      <c r="T12" s="468"/>
      <c r="U12" s="468"/>
      <c r="V12" s="468"/>
      <c r="W12" s="468"/>
      <c r="X12" s="468"/>
      <c r="Y12" s="468"/>
      <c r="Z12" s="468"/>
      <c r="AA12" s="468"/>
      <c r="AB12" s="468"/>
      <c r="AC12" s="468"/>
      <c r="AD12" s="468"/>
      <c r="AE12" s="468"/>
      <c r="AF12" s="468"/>
      <c r="AG12" s="468"/>
      <c r="AH12" s="468"/>
    </row>
    <row r="13" spans="1:35">
      <c r="A13" s="992"/>
      <c r="B13" s="992" t="s">
        <v>3263</v>
      </c>
      <c r="C13" s="998">
        <v>9253</v>
      </c>
      <c r="D13" s="995">
        <v>4507.6666666666661</v>
      </c>
      <c r="E13" s="996">
        <v>8079</v>
      </c>
      <c r="F13" s="997">
        <v>8260</v>
      </c>
      <c r="G13" s="1005">
        <v>0</v>
      </c>
      <c r="H13" s="1006">
        <v>2500</v>
      </c>
      <c r="I13" s="1003">
        <v>7064</v>
      </c>
      <c r="J13" s="1003">
        <v>6770</v>
      </c>
      <c r="K13" s="1003">
        <v>3936</v>
      </c>
      <c r="L13" s="994">
        <v>2500</v>
      </c>
      <c r="M13" s="994">
        <v>0</v>
      </c>
      <c r="N13" s="994">
        <v>0</v>
      </c>
      <c r="P13" s="468"/>
      <c r="Q13" s="468"/>
      <c r="R13" s="468"/>
      <c r="S13" s="468"/>
      <c r="T13" s="468"/>
      <c r="U13" s="468"/>
      <c r="V13" s="468"/>
      <c r="W13" s="468"/>
      <c r="X13" s="468"/>
      <c r="Y13" s="468"/>
      <c r="Z13" s="468"/>
      <c r="AA13" s="468"/>
      <c r="AB13" s="468"/>
      <c r="AC13" s="468"/>
      <c r="AD13" s="468"/>
      <c r="AE13" s="468"/>
      <c r="AF13" s="468"/>
      <c r="AG13" s="468"/>
      <c r="AH13" s="468"/>
    </row>
    <row r="14" spans="1:35">
      <c r="A14" s="1010" t="s">
        <v>2819</v>
      </c>
      <c r="B14" s="1010"/>
      <c r="C14" s="1011">
        <v>27801</v>
      </c>
      <c r="D14" s="1011">
        <v>20079.666666666664</v>
      </c>
      <c r="E14" s="1011">
        <v>23163</v>
      </c>
      <c r="F14" s="1011">
        <v>22913</v>
      </c>
      <c r="G14" s="1012">
        <v>0</v>
      </c>
      <c r="H14" s="1012">
        <v>7632</v>
      </c>
      <c r="I14" s="1013">
        <v>12759</v>
      </c>
      <c r="J14" s="1013">
        <v>20352</v>
      </c>
      <c r="K14" s="1013">
        <v>11980</v>
      </c>
      <c r="L14" s="1012">
        <v>7500</v>
      </c>
      <c r="M14" s="1012">
        <v>285</v>
      </c>
      <c r="N14" s="1012">
        <v>0</v>
      </c>
      <c r="P14" s="468"/>
      <c r="Q14" s="468"/>
      <c r="R14" s="468"/>
      <c r="S14" s="468"/>
      <c r="T14" s="468"/>
      <c r="U14" s="468"/>
      <c r="V14" s="468"/>
      <c r="W14" s="468"/>
      <c r="X14" s="468"/>
      <c r="Y14" s="468"/>
      <c r="Z14" s="468"/>
      <c r="AA14" s="468"/>
      <c r="AB14" s="468"/>
      <c r="AC14" s="468"/>
      <c r="AD14" s="468"/>
      <c r="AE14" s="468"/>
      <c r="AF14" s="468"/>
      <c r="AG14" s="468"/>
      <c r="AH14" s="468"/>
    </row>
    <row r="15" spans="1:35">
      <c r="A15" s="992" t="s">
        <v>1662</v>
      </c>
      <c r="B15" s="992"/>
      <c r="C15" s="998">
        <v>320687</v>
      </c>
      <c r="D15" s="995">
        <v>186642.02370370369</v>
      </c>
      <c r="E15" s="996">
        <v>209857</v>
      </c>
      <c r="F15" s="997">
        <v>216189</v>
      </c>
      <c r="G15" s="1005">
        <v>79</v>
      </c>
      <c r="H15" s="1006">
        <v>56552</v>
      </c>
      <c r="I15" s="1003">
        <v>64311</v>
      </c>
      <c r="J15" s="1003">
        <v>193477</v>
      </c>
      <c r="K15" s="1003">
        <v>162382</v>
      </c>
      <c r="L15" s="994">
        <v>48000</v>
      </c>
      <c r="M15" s="994">
        <v>12335</v>
      </c>
      <c r="N15" s="994">
        <v>800</v>
      </c>
      <c r="P15" s="468"/>
      <c r="Q15" s="468"/>
      <c r="R15" s="468"/>
      <c r="S15" s="468"/>
      <c r="T15" s="468"/>
      <c r="U15" s="468"/>
      <c r="V15" s="468"/>
      <c r="W15" s="468"/>
      <c r="X15" s="468"/>
      <c r="Y15" s="468"/>
      <c r="Z15" s="468"/>
      <c r="AA15" s="468"/>
      <c r="AB15" s="468"/>
      <c r="AC15" s="468"/>
      <c r="AD15" s="468"/>
      <c r="AE15" s="468"/>
      <c r="AF15" s="468"/>
      <c r="AG15" s="468"/>
      <c r="AH15" s="468"/>
    </row>
    <row r="16" spans="1:35">
      <c r="B16"/>
      <c r="C16"/>
      <c r="D16"/>
      <c r="E16"/>
      <c r="F16"/>
      <c r="G16"/>
      <c r="H16"/>
      <c r="I16"/>
      <c r="J16"/>
      <c r="K16"/>
      <c r="L16"/>
      <c r="M16"/>
      <c r="N16"/>
      <c r="O16" s="468"/>
      <c r="P16" s="468"/>
      <c r="Q16" s="468"/>
      <c r="R16" s="468"/>
      <c r="S16" s="468"/>
      <c r="T16" s="468"/>
      <c r="U16" s="468"/>
      <c r="V16" s="468"/>
      <c r="W16" s="468"/>
      <c r="X16" s="468"/>
      <c r="Y16" s="468"/>
      <c r="Z16" s="468"/>
      <c r="AA16" s="468"/>
      <c r="AB16" s="468"/>
      <c r="AC16" s="468"/>
      <c r="AD16" s="468"/>
      <c r="AE16" s="468"/>
      <c r="AF16" s="468"/>
      <c r="AG16" s="468"/>
      <c r="AH16" s="468"/>
    </row>
    <row r="17" spans="3:26">
      <c r="C17" s="178"/>
      <c r="D17" s="412">
        <v>57120.140740740746</v>
      </c>
      <c r="E17" s="178">
        <v>64019</v>
      </c>
      <c r="F17" s="178">
        <v>70663</v>
      </c>
      <c r="G17" s="59">
        <v>25</v>
      </c>
      <c r="H17" s="59">
        <v>14100</v>
      </c>
      <c r="I17" s="59">
        <v>18845</v>
      </c>
      <c r="J17" s="59">
        <v>60703</v>
      </c>
      <c r="K17" s="59">
        <v>52905</v>
      </c>
      <c r="M17"/>
      <c r="N17"/>
      <c r="O17"/>
      <c r="P17"/>
      <c r="R17"/>
      <c r="S17"/>
      <c r="T17"/>
      <c r="U17"/>
      <c r="W17"/>
      <c r="X17"/>
      <c r="Y17"/>
      <c r="Z17"/>
    </row>
    <row r="18" spans="3:26" ht="16" thickBot="1">
      <c r="C18" s="178"/>
      <c r="D18" s="413"/>
      <c r="E18" s="178"/>
      <c r="F18" s="178"/>
    </row>
    <row r="19" spans="3:26" ht="16" thickBot="1">
      <c r="F19" s="61"/>
      <c r="G19" s="1118" t="s">
        <v>1666</v>
      </c>
      <c r="H19" s="1119"/>
      <c r="I19" s="1119"/>
      <c r="J19" s="1119"/>
      <c r="K19" s="1119"/>
      <c r="N19" s="167" t="s">
        <v>1949</v>
      </c>
      <c r="O19" s="168"/>
      <c r="P19" s="1101" t="s">
        <v>1950</v>
      </c>
      <c r="Q19" s="1101"/>
      <c r="R19" s="1102"/>
    </row>
    <row r="20" spans="3:26" ht="60" customHeight="1" thickTop="1">
      <c r="C20" s="82" t="s">
        <v>1663</v>
      </c>
      <c r="D20" s="83" t="s">
        <v>1664</v>
      </c>
      <c r="E20" s="83" t="s">
        <v>1665</v>
      </c>
      <c r="F20" s="813" t="s">
        <v>1681</v>
      </c>
      <c r="G20" s="874" t="s">
        <v>1096</v>
      </c>
      <c r="H20" s="606" t="s">
        <v>3629</v>
      </c>
      <c r="I20" s="875" t="s">
        <v>888</v>
      </c>
      <c r="J20" s="875" t="s">
        <v>3144</v>
      </c>
      <c r="K20" s="876" t="s">
        <v>3628</v>
      </c>
      <c r="L20" s="821" t="s">
        <v>2050</v>
      </c>
      <c r="M20" s="84" t="s">
        <v>2051</v>
      </c>
      <c r="N20" s="79" t="s">
        <v>1667</v>
      </c>
      <c r="O20" s="80" t="s">
        <v>1668</v>
      </c>
      <c r="P20" s="80" t="s">
        <v>1669</v>
      </c>
      <c r="Q20" s="80" t="s">
        <v>1670</v>
      </c>
      <c r="R20" s="81" t="s">
        <v>1671</v>
      </c>
      <c r="S20" s="84" t="s">
        <v>1673</v>
      </c>
    </row>
    <row r="21" spans="3:26" ht="25.5" customHeight="1">
      <c r="C21" s="1096" t="s">
        <v>3196</v>
      </c>
      <c r="D21" s="742" t="s">
        <v>820</v>
      </c>
      <c r="E21" s="743">
        <v>4279</v>
      </c>
      <c r="F21" s="814">
        <v>1000</v>
      </c>
      <c r="G21" s="877"/>
      <c r="H21" s="892">
        <v>10532</v>
      </c>
      <c r="I21" s="744"/>
      <c r="J21" s="844">
        <f t="shared" ref="J21:J31" si="0">SUM(G21:I21)</f>
        <v>10532</v>
      </c>
      <c r="K21" s="878"/>
      <c r="L21" s="822">
        <f t="shared" ref="L21:L53" si="1">J21/F21</f>
        <v>10.532</v>
      </c>
      <c r="M21" s="745">
        <f>1-L21</f>
        <v>-9.532</v>
      </c>
      <c r="N21" s="744">
        <f>J21*0.45</f>
        <v>4739.4000000000005</v>
      </c>
      <c r="O21" s="744">
        <f>J21*0.55</f>
        <v>5792.6</v>
      </c>
      <c r="P21" s="744">
        <f>J21*0.35</f>
        <v>3686.2</v>
      </c>
      <c r="Q21" s="744">
        <f>J21*0.4</f>
        <v>4212.8</v>
      </c>
      <c r="R21" s="744">
        <f>J21*0.25</f>
        <v>2633</v>
      </c>
      <c r="S21" s="744">
        <f t="shared" ref="S21:S53" si="2">F21-J21</f>
        <v>-9532</v>
      </c>
    </row>
    <row r="22" spans="3:26" ht="25.5" customHeight="1">
      <c r="C22" s="1097"/>
      <c r="D22" s="742" t="s">
        <v>39</v>
      </c>
      <c r="E22" s="743">
        <v>132614</v>
      </c>
      <c r="F22" s="814">
        <v>85938</v>
      </c>
      <c r="G22" s="879">
        <f>GETPIVOTDATA(" HRP1",$A$6,"Reporting Period","2020_Q3","State","Kachin")</f>
        <v>57120.140740740746</v>
      </c>
      <c r="H22" s="893"/>
      <c r="I22" s="845">
        <v>7992</v>
      </c>
      <c r="J22" s="844">
        <f t="shared" si="0"/>
        <v>65112.140740740746</v>
      </c>
      <c r="K22" s="880"/>
      <c r="L22" s="822">
        <f t="shared" si="1"/>
        <v>0.75766413857363157</v>
      </c>
      <c r="M22" s="745">
        <f>1-L22</f>
        <v>0.24233586142636843</v>
      </c>
      <c r="N22" s="744">
        <f>J22*0.45</f>
        <v>29300.463333333337</v>
      </c>
      <c r="O22" s="744">
        <f>J22*0.55</f>
        <v>35811.677407407413</v>
      </c>
      <c r="P22" s="744">
        <f>J22*0.35</f>
        <v>22789.249259259261</v>
      </c>
      <c r="Q22" s="744">
        <f>J22*0.4</f>
        <v>26044.856296296301</v>
      </c>
      <c r="R22" s="744">
        <f>J22*0.25</f>
        <v>16278.035185185186</v>
      </c>
      <c r="S22" s="744">
        <f t="shared" si="2"/>
        <v>20825.859259259254</v>
      </c>
    </row>
    <row r="23" spans="3:26" ht="25.5" customHeight="1">
      <c r="C23" s="1097"/>
      <c r="D23" s="742" t="s">
        <v>3260</v>
      </c>
      <c r="E23" s="743">
        <v>9132</v>
      </c>
      <c r="F23" s="814">
        <v>9132</v>
      </c>
      <c r="G23" s="879"/>
      <c r="H23" s="893">
        <v>7144</v>
      </c>
      <c r="I23" s="845"/>
      <c r="J23" s="844">
        <f t="shared" si="0"/>
        <v>7144</v>
      </c>
      <c r="K23" s="880"/>
      <c r="L23" s="822">
        <f t="shared" si="1"/>
        <v>0.78230398598335527</v>
      </c>
      <c r="M23" s="745">
        <f>1-L23</f>
        <v>0.21769601401664473</v>
      </c>
      <c r="N23" s="744">
        <f>J23*0.45</f>
        <v>3214.8</v>
      </c>
      <c r="O23" s="744">
        <f>J23*0.55</f>
        <v>3929.2000000000003</v>
      </c>
      <c r="P23" s="744">
        <f>J23*0.35</f>
        <v>2500.3999999999996</v>
      </c>
      <c r="Q23" s="744">
        <f>J23*0.4</f>
        <v>2857.6000000000004</v>
      </c>
      <c r="R23" s="744">
        <f>J23*0.25</f>
        <v>1786</v>
      </c>
      <c r="S23" s="744">
        <f t="shared" si="2"/>
        <v>1988</v>
      </c>
    </row>
    <row r="24" spans="3:26" ht="25.5" customHeight="1">
      <c r="C24" s="1097"/>
      <c r="D24" s="742" t="s">
        <v>307</v>
      </c>
      <c r="E24" s="743">
        <v>665868.82999999996</v>
      </c>
      <c r="F24" s="814">
        <v>410888</v>
      </c>
      <c r="G24" s="879">
        <v>117974</v>
      </c>
      <c r="H24" s="893">
        <v>21209</v>
      </c>
      <c r="I24" s="845">
        <v>127629</v>
      </c>
      <c r="J24" s="844">
        <f t="shared" si="0"/>
        <v>266812</v>
      </c>
      <c r="K24" s="880"/>
      <c r="L24" s="822">
        <f t="shared" si="1"/>
        <v>0.64935456864157626</v>
      </c>
      <c r="M24" s="745">
        <f>1-L24</f>
        <v>0.35064543135842374</v>
      </c>
      <c r="N24" s="744">
        <f>J24*0.45</f>
        <v>120065.40000000001</v>
      </c>
      <c r="O24" s="744">
        <f>J24*0.55</f>
        <v>146746.6</v>
      </c>
      <c r="P24" s="744">
        <f>J24*0.35</f>
        <v>93384.2</v>
      </c>
      <c r="Q24" s="744">
        <f>J24*0.4</f>
        <v>106724.8</v>
      </c>
      <c r="R24" s="744">
        <f>J24*0.25</f>
        <v>66703</v>
      </c>
      <c r="S24" s="744">
        <f t="shared" si="2"/>
        <v>144076</v>
      </c>
    </row>
    <row r="25" spans="3:26" ht="27.75" customHeight="1">
      <c r="C25" s="1097"/>
      <c r="D25" s="742" t="s">
        <v>711</v>
      </c>
      <c r="E25" s="743">
        <v>57260</v>
      </c>
      <c r="F25" s="814">
        <v>21033</v>
      </c>
      <c r="G25" s="879">
        <f>GETPIVOTDATA(" HRP1",$A$6,"Reporting Period","2020_Q2","State","Shan (North)")</f>
        <v>7819.333333333333</v>
      </c>
      <c r="H25" s="893"/>
      <c r="I25" s="845">
        <v>3054</v>
      </c>
      <c r="J25" s="844">
        <f t="shared" si="0"/>
        <v>10873.333333333332</v>
      </c>
      <c r="K25" s="880"/>
      <c r="L25" s="822">
        <f t="shared" si="1"/>
        <v>0.51696540357216436</v>
      </c>
      <c r="M25" s="745">
        <f t="shared" ref="M25:M37" si="3">1-L25</f>
        <v>0.48303459642783564</v>
      </c>
      <c r="N25" s="744">
        <f>J25*0.45</f>
        <v>4893</v>
      </c>
      <c r="O25" s="744">
        <f>J25*0.55</f>
        <v>5980.333333333333</v>
      </c>
      <c r="P25" s="744">
        <f>J25*0.35</f>
        <v>3805.6666666666661</v>
      </c>
      <c r="Q25" s="744">
        <f>J25*0.4</f>
        <v>4349.333333333333</v>
      </c>
      <c r="R25" s="744">
        <f>J25*0.25</f>
        <v>2718.333333333333</v>
      </c>
      <c r="S25" s="744">
        <f t="shared" si="2"/>
        <v>10159.666666666668</v>
      </c>
    </row>
    <row r="26" spans="3:26" s="739" customFormat="1" ht="27.75" customHeight="1">
      <c r="C26" s="1098"/>
      <c r="D26" s="740" t="s">
        <v>1929</v>
      </c>
      <c r="E26" s="741">
        <f>SUM(E21:E25)</f>
        <v>869153.83</v>
      </c>
      <c r="F26" s="815">
        <f>SUM(F21:F25)</f>
        <v>527991</v>
      </c>
      <c r="G26" s="881">
        <f>SUM(G21:G25)</f>
        <v>182913.4740740741</v>
      </c>
      <c r="H26" s="894">
        <f>SUM(H21:H25)</f>
        <v>38885</v>
      </c>
      <c r="I26" s="741">
        <f t="shared" ref="I26" si="4">SUM(I21:I25)</f>
        <v>138675</v>
      </c>
      <c r="J26" s="741">
        <f t="shared" si="0"/>
        <v>360473.47407407407</v>
      </c>
      <c r="K26" s="882"/>
      <c r="L26" s="823">
        <f t="shared" si="1"/>
        <v>0.68272655040346153</v>
      </c>
      <c r="M26" s="761">
        <f t="shared" ref="M26" si="5">1-L26</f>
        <v>0.31727344959653847</v>
      </c>
      <c r="N26" s="741">
        <f>SUM(N21:N25)</f>
        <v>162213.06333333335</v>
      </c>
      <c r="O26" s="741">
        <f t="shared" ref="O26" si="6">SUM(O21:O25)</f>
        <v>198260.41074074074</v>
      </c>
      <c r="P26" s="741">
        <f t="shared" ref="P26" si="7">SUM(P21:P25)</f>
        <v>126165.71592592592</v>
      </c>
      <c r="Q26" s="741">
        <f t="shared" ref="Q26" si="8">SUM(Q21:Q25)</f>
        <v>144189.38962962964</v>
      </c>
      <c r="R26" s="741">
        <f t="shared" ref="R26" si="9">SUM(R21:R25)</f>
        <v>90118.368518518517</v>
      </c>
      <c r="S26" s="741">
        <f t="shared" si="2"/>
        <v>167517.52592592593</v>
      </c>
    </row>
    <row r="27" spans="3:26" ht="25.5" customHeight="1">
      <c r="C27" s="1112" t="s">
        <v>3197</v>
      </c>
      <c r="D27" s="746" t="s">
        <v>820</v>
      </c>
      <c r="E27" s="747">
        <v>4279</v>
      </c>
      <c r="F27" s="816">
        <v>1000</v>
      </c>
      <c r="G27" s="883"/>
      <c r="H27" s="895">
        <v>8946</v>
      </c>
      <c r="I27" s="748"/>
      <c r="J27" s="844">
        <f t="shared" si="0"/>
        <v>8946</v>
      </c>
      <c r="K27" s="880"/>
      <c r="L27" s="824">
        <f t="shared" si="1"/>
        <v>8.9459999999999997</v>
      </c>
      <c r="M27" s="749">
        <f t="shared" si="3"/>
        <v>-7.9459999999999997</v>
      </c>
      <c r="N27" s="748">
        <f t="shared" ref="N27:N53" si="10">J27*0.45</f>
        <v>4025.7000000000003</v>
      </c>
      <c r="O27" s="748">
        <f t="shared" ref="O27:O53" si="11">J27*0.55</f>
        <v>4920.3</v>
      </c>
      <c r="P27" s="748">
        <f t="shared" ref="P27:P53" si="12">J27*0.35</f>
        <v>3131.1</v>
      </c>
      <c r="Q27" s="748">
        <f t="shared" ref="Q27:Q53" si="13">J27*0.4</f>
        <v>3578.4</v>
      </c>
      <c r="R27" s="748">
        <f t="shared" ref="R27:R53" si="14">J27*0.25</f>
        <v>2236.5</v>
      </c>
      <c r="S27" s="748">
        <f t="shared" si="2"/>
        <v>-7946</v>
      </c>
    </row>
    <row r="28" spans="3:26" ht="25.5" customHeight="1">
      <c r="C28" s="1113"/>
      <c r="D28" s="746" t="s">
        <v>39</v>
      </c>
      <c r="E28" s="747">
        <v>132614</v>
      </c>
      <c r="F28" s="816">
        <v>85938</v>
      </c>
      <c r="G28" s="883">
        <f>GETPIVOTDATA(" HRP2",$A$6,"Reporting Period","2020_Q3","State","Kachin")</f>
        <v>64019</v>
      </c>
      <c r="H28" s="895"/>
      <c r="I28" s="748">
        <v>3388</v>
      </c>
      <c r="J28" s="844">
        <f t="shared" si="0"/>
        <v>67407</v>
      </c>
      <c r="K28" s="880"/>
      <c r="L28" s="824">
        <f t="shared" si="1"/>
        <v>0.78436780004189066</v>
      </c>
      <c r="M28" s="749">
        <f t="shared" ref="M28" si="15">1-L28</f>
        <v>0.21563219995810934</v>
      </c>
      <c r="N28" s="748">
        <f t="shared" si="10"/>
        <v>30333.15</v>
      </c>
      <c r="O28" s="748">
        <f t="shared" si="11"/>
        <v>37073.850000000006</v>
      </c>
      <c r="P28" s="748">
        <f t="shared" si="12"/>
        <v>23592.449999999997</v>
      </c>
      <c r="Q28" s="748">
        <f t="shared" si="13"/>
        <v>26962.800000000003</v>
      </c>
      <c r="R28" s="748">
        <f t="shared" si="14"/>
        <v>16851.75</v>
      </c>
      <c r="S28" s="748">
        <f t="shared" si="2"/>
        <v>18531</v>
      </c>
    </row>
    <row r="29" spans="3:26" ht="25.5" customHeight="1">
      <c r="C29" s="1113"/>
      <c r="D29" s="746" t="s">
        <v>3260</v>
      </c>
      <c r="E29" s="747">
        <v>9132</v>
      </c>
      <c r="F29" s="816">
        <v>9132</v>
      </c>
      <c r="G29" s="883"/>
      <c r="H29" s="895">
        <v>4602</v>
      </c>
      <c r="I29" s="748"/>
      <c r="J29" s="844">
        <f t="shared" si="0"/>
        <v>4602</v>
      </c>
      <c r="K29" s="880"/>
      <c r="L29" s="824">
        <f t="shared" si="1"/>
        <v>0.50394218134034163</v>
      </c>
      <c r="M29" s="749">
        <f t="shared" ref="M29" si="16">1-L29</f>
        <v>0.49605781865965837</v>
      </c>
      <c r="N29" s="748">
        <f t="shared" si="10"/>
        <v>2070.9</v>
      </c>
      <c r="O29" s="748">
        <f t="shared" si="11"/>
        <v>2531.1000000000004</v>
      </c>
      <c r="P29" s="748">
        <f t="shared" si="12"/>
        <v>1610.6999999999998</v>
      </c>
      <c r="Q29" s="748">
        <f t="shared" si="13"/>
        <v>1840.8000000000002</v>
      </c>
      <c r="R29" s="748">
        <f t="shared" si="14"/>
        <v>1150.5</v>
      </c>
      <c r="S29" s="748">
        <f t="shared" si="2"/>
        <v>4530</v>
      </c>
    </row>
    <row r="30" spans="3:26" ht="25.5" customHeight="1">
      <c r="C30" s="1113"/>
      <c r="D30" s="746" t="s">
        <v>307</v>
      </c>
      <c r="E30" s="747">
        <v>665868.82999999996</v>
      </c>
      <c r="F30" s="816">
        <v>410888</v>
      </c>
      <c r="G30" s="883">
        <v>98505</v>
      </c>
      <c r="H30" s="895">
        <v>23904</v>
      </c>
      <c r="I30" s="748">
        <v>45023</v>
      </c>
      <c r="J30" s="844">
        <f t="shared" si="0"/>
        <v>167432</v>
      </c>
      <c r="K30" s="880"/>
      <c r="L30" s="824">
        <f t="shared" si="1"/>
        <v>0.40748817195926873</v>
      </c>
      <c r="M30" s="749">
        <f t="shared" ref="M30" si="17">1-L30</f>
        <v>0.59251182804073133</v>
      </c>
      <c r="N30" s="748">
        <f t="shared" si="10"/>
        <v>75344.400000000009</v>
      </c>
      <c r="O30" s="748">
        <f t="shared" si="11"/>
        <v>92087.6</v>
      </c>
      <c r="P30" s="748">
        <f t="shared" si="12"/>
        <v>58601.2</v>
      </c>
      <c r="Q30" s="748">
        <f t="shared" si="13"/>
        <v>66972.800000000003</v>
      </c>
      <c r="R30" s="748">
        <f t="shared" si="14"/>
        <v>41858</v>
      </c>
      <c r="S30" s="748">
        <f t="shared" si="2"/>
        <v>243456</v>
      </c>
    </row>
    <row r="31" spans="3:26" ht="22.5" customHeight="1">
      <c r="C31" s="1113"/>
      <c r="D31" s="746" t="s">
        <v>711</v>
      </c>
      <c r="E31" s="747">
        <v>57260</v>
      </c>
      <c r="F31" s="816">
        <v>21033</v>
      </c>
      <c r="G31" s="883">
        <f>GETPIVOTDATA(" HRP2",$A$6,"Reporting Period","2020_Q3","State","Shan (North)")</f>
        <v>8079</v>
      </c>
      <c r="H31" s="895"/>
      <c r="I31" s="748">
        <v>2394</v>
      </c>
      <c r="J31" s="844">
        <f t="shared" si="0"/>
        <v>10473</v>
      </c>
      <c r="K31" s="880"/>
      <c r="L31" s="824">
        <f t="shared" si="1"/>
        <v>0.49793182142347742</v>
      </c>
      <c r="M31" s="749">
        <f t="shared" si="3"/>
        <v>0.50206817857652264</v>
      </c>
      <c r="N31" s="748">
        <f t="shared" si="10"/>
        <v>4712.8500000000004</v>
      </c>
      <c r="O31" s="748">
        <f t="shared" si="11"/>
        <v>5760.1500000000005</v>
      </c>
      <c r="P31" s="748">
        <f t="shared" si="12"/>
        <v>3665.5499999999997</v>
      </c>
      <c r="Q31" s="748">
        <f t="shared" si="13"/>
        <v>4189.2</v>
      </c>
      <c r="R31" s="748">
        <f t="shared" si="14"/>
        <v>2618.25</v>
      </c>
      <c r="S31" s="748">
        <f t="shared" si="2"/>
        <v>10560</v>
      </c>
    </row>
    <row r="32" spans="3:26" s="739" customFormat="1" ht="22.5" customHeight="1">
      <c r="C32" s="1114"/>
      <c r="D32" s="762" t="s">
        <v>1929</v>
      </c>
      <c r="E32" s="763">
        <f>SUM(E27:E31)</f>
        <v>869153.83</v>
      </c>
      <c r="F32" s="817">
        <f t="shared" ref="F32" si="18">SUM(F27:F31)</f>
        <v>527991</v>
      </c>
      <c r="G32" s="884">
        <f>SUM(G27:G31)</f>
        <v>170603</v>
      </c>
      <c r="H32" s="834">
        <f t="shared" ref="H32:J32" si="19">SUM(H27:H31)</f>
        <v>37452</v>
      </c>
      <c r="I32" s="834">
        <f t="shared" si="19"/>
        <v>50805</v>
      </c>
      <c r="J32" s="834">
        <f t="shared" si="19"/>
        <v>258860</v>
      </c>
      <c r="K32" s="885"/>
      <c r="L32" s="825">
        <f t="shared" si="1"/>
        <v>0.49027350844995465</v>
      </c>
      <c r="M32" s="764">
        <f t="shared" ref="M32" si="20">1-L32</f>
        <v>0.50972649155004535</v>
      </c>
      <c r="N32" s="765">
        <f t="shared" si="10"/>
        <v>116487</v>
      </c>
      <c r="O32" s="765">
        <f t="shared" si="11"/>
        <v>142373</v>
      </c>
      <c r="P32" s="765">
        <f t="shared" si="12"/>
        <v>90601</v>
      </c>
      <c r="Q32" s="765">
        <f t="shared" si="13"/>
        <v>103544</v>
      </c>
      <c r="R32" s="765">
        <f t="shared" si="14"/>
        <v>64715</v>
      </c>
      <c r="S32" s="765">
        <f t="shared" si="2"/>
        <v>269131</v>
      </c>
    </row>
    <row r="33" spans="3:19" ht="25.5" customHeight="1">
      <c r="C33" s="1109" t="s">
        <v>3198</v>
      </c>
      <c r="D33" s="750" t="s">
        <v>820</v>
      </c>
      <c r="E33" s="751">
        <v>4279</v>
      </c>
      <c r="F33" s="818">
        <v>1000</v>
      </c>
      <c r="G33" s="886"/>
      <c r="H33" s="896">
        <v>3574</v>
      </c>
      <c r="I33" s="752"/>
      <c r="J33" s="844">
        <f>SUM(G33:I33)</f>
        <v>3574</v>
      </c>
      <c r="K33" s="880"/>
      <c r="L33" s="826">
        <f t="shared" si="1"/>
        <v>3.5739999999999998</v>
      </c>
      <c r="M33" s="753">
        <f t="shared" si="3"/>
        <v>-2.5739999999999998</v>
      </c>
      <c r="N33" s="752">
        <f t="shared" si="10"/>
        <v>1608.3</v>
      </c>
      <c r="O33" s="752">
        <f t="shared" si="11"/>
        <v>1965.7</v>
      </c>
      <c r="P33" s="752">
        <f t="shared" si="12"/>
        <v>1250.8999999999999</v>
      </c>
      <c r="Q33" s="752">
        <f t="shared" si="13"/>
        <v>1429.6000000000001</v>
      </c>
      <c r="R33" s="752">
        <f t="shared" si="14"/>
        <v>893.5</v>
      </c>
      <c r="S33" s="752">
        <f t="shared" si="2"/>
        <v>-2574</v>
      </c>
    </row>
    <row r="34" spans="3:19" ht="25.5" customHeight="1">
      <c r="C34" s="1110"/>
      <c r="D34" s="750" t="s">
        <v>39</v>
      </c>
      <c r="E34" s="751">
        <v>132614</v>
      </c>
      <c r="F34" s="818">
        <v>85938</v>
      </c>
      <c r="G34" s="886">
        <f>GETPIVOTDATA(" HRP3",$A$6,"Reporting Period","2020_Q3","State","Kachin")</f>
        <v>70663</v>
      </c>
      <c r="H34" s="896"/>
      <c r="I34" s="752">
        <v>1907</v>
      </c>
      <c r="J34" s="844">
        <f>SUM(G34:I34)</f>
        <v>72570</v>
      </c>
      <c r="K34" s="880"/>
      <c r="L34" s="826">
        <f t="shared" si="1"/>
        <v>0.84444599595056902</v>
      </c>
      <c r="M34" s="753">
        <f t="shared" ref="M34" si="21">1-L34</f>
        <v>0.15555400404943098</v>
      </c>
      <c r="N34" s="752">
        <f t="shared" si="10"/>
        <v>32656.5</v>
      </c>
      <c r="O34" s="752">
        <f t="shared" si="11"/>
        <v>39913.5</v>
      </c>
      <c r="P34" s="752">
        <f t="shared" si="12"/>
        <v>25399.5</v>
      </c>
      <c r="Q34" s="752">
        <f t="shared" si="13"/>
        <v>29028</v>
      </c>
      <c r="R34" s="752">
        <f t="shared" si="14"/>
        <v>18142.5</v>
      </c>
      <c r="S34" s="752">
        <f t="shared" si="2"/>
        <v>13368</v>
      </c>
    </row>
    <row r="35" spans="3:19" ht="25.5" customHeight="1">
      <c r="C35" s="1110"/>
      <c r="D35" s="750" t="s">
        <v>3260</v>
      </c>
      <c r="E35" s="751">
        <v>9132</v>
      </c>
      <c r="F35" s="818">
        <v>9132</v>
      </c>
      <c r="G35" s="886"/>
      <c r="H35" s="896">
        <v>7547</v>
      </c>
      <c r="I35" s="752"/>
      <c r="J35" s="844">
        <f>SUM(G35:I35)</f>
        <v>7547</v>
      </c>
      <c r="K35" s="880"/>
      <c r="L35" s="826">
        <f t="shared" si="1"/>
        <v>0.82643451598773543</v>
      </c>
      <c r="M35" s="753">
        <f t="shared" ref="M35" si="22">1-L35</f>
        <v>0.17356548401226457</v>
      </c>
      <c r="N35" s="752">
        <f t="shared" si="10"/>
        <v>3396.15</v>
      </c>
      <c r="O35" s="752">
        <f t="shared" si="11"/>
        <v>4150.8500000000004</v>
      </c>
      <c r="P35" s="752">
        <f t="shared" si="12"/>
        <v>2641.45</v>
      </c>
      <c r="Q35" s="752">
        <f t="shared" si="13"/>
        <v>3018.8</v>
      </c>
      <c r="R35" s="752">
        <f t="shared" si="14"/>
        <v>1886.75</v>
      </c>
      <c r="S35" s="752">
        <f t="shared" si="2"/>
        <v>1585</v>
      </c>
    </row>
    <row r="36" spans="3:19" ht="25.5" customHeight="1">
      <c r="C36" s="1110"/>
      <c r="D36" s="750" t="s">
        <v>307</v>
      </c>
      <c r="E36" s="751">
        <v>665868.82999999996</v>
      </c>
      <c r="F36" s="818">
        <v>410888</v>
      </c>
      <c r="G36" s="886">
        <v>119419.00602379248</v>
      </c>
      <c r="H36" s="896">
        <v>38311</v>
      </c>
      <c r="I36" s="752">
        <v>41621</v>
      </c>
      <c r="J36" s="844">
        <f>SUM(G36:I36)</f>
        <v>199351.00602379249</v>
      </c>
      <c r="K36" s="880"/>
      <c r="L36" s="826">
        <f t="shared" si="1"/>
        <v>0.48517115618804268</v>
      </c>
      <c r="M36" s="753">
        <f t="shared" ref="M36" si="23">1-L36</f>
        <v>0.51482884381195726</v>
      </c>
      <c r="N36" s="752">
        <f t="shared" si="10"/>
        <v>89707.952710706624</v>
      </c>
      <c r="O36" s="752">
        <f t="shared" si="11"/>
        <v>109643.05331308588</v>
      </c>
      <c r="P36" s="752">
        <f t="shared" si="12"/>
        <v>69772.852108327366</v>
      </c>
      <c r="Q36" s="752">
        <f t="shared" si="13"/>
        <v>79740.402409517003</v>
      </c>
      <c r="R36" s="752">
        <f t="shared" si="14"/>
        <v>49837.751505948123</v>
      </c>
      <c r="S36" s="752">
        <f t="shared" si="2"/>
        <v>211536.99397620751</v>
      </c>
    </row>
    <row r="37" spans="3:19" ht="27.75" customHeight="1">
      <c r="C37" s="1110"/>
      <c r="D37" s="750" t="s">
        <v>711</v>
      </c>
      <c r="E37" s="751">
        <v>57260</v>
      </c>
      <c r="F37" s="818">
        <v>21033</v>
      </c>
      <c r="G37" s="886">
        <f>GETPIVOTDATA(" HRP3",$A$6,"Reporting Period","2020_Q3","State","Shan (North)")</f>
        <v>8260</v>
      </c>
      <c r="H37" s="896"/>
      <c r="I37" s="752">
        <v>1044</v>
      </c>
      <c r="J37" s="844">
        <f>SUM(G37:I37)</f>
        <v>9304</v>
      </c>
      <c r="K37" s="880"/>
      <c r="L37" s="826">
        <f t="shared" si="1"/>
        <v>0.4423524937003756</v>
      </c>
      <c r="M37" s="753">
        <f t="shared" si="3"/>
        <v>0.55764750629962445</v>
      </c>
      <c r="N37" s="752">
        <f t="shared" si="10"/>
        <v>4186.8</v>
      </c>
      <c r="O37" s="752">
        <f t="shared" si="11"/>
        <v>5117.2000000000007</v>
      </c>
      <c r="P37" s="752">
        <f t="shared" si="12"/>
        <v>3256.3999999999996</v>
      </c>
      <c r="Q37" s="752">
        <f t="shared" si="13"/>
        <v>3721.6000000000004</v>
      </c>
      <c r="R37" s="752">
        <f t="shared" si="14"/>
        <v>2326</v>
      </c>
      <c r="S37" s="752">
        <f t="shared" si="2"/>
        <v>11729</v>
      </c>
    </row>
    <row r="38" spans="3:19" s="766" customFormat="1" ht="27.75" customHeight="1">
      <c r="C38" s="1111"/>
      <c r="D38" s="767" t="s">
        <v>1929</v>
      </c>
      <c r="E38" s="768">
        <f>SUM(E33:E37)</f>
        <v>869153.83</v>
      </c>
      <c r="F38" s="819">
        <f t="shared" ref="F38:J38" si="24">SUM(F33:F37)</f>
        <v>527991</v>
      </c>
      <c r="G38" s="887">
        <f t="shared" si="24"/>
        <v>198342.00602379249</v>
      </c>
      <c r="H38" s="768">
        <f t="shared" si="24"/>
        <v>49432</v>
      </c>
      <c r="I38" s="768">
        <f t="shared" si="24"/>
        <v>44572</v>
      </c>
      <c r="J38" s="768">
        <f t="shared" si="24"/>
        <v>292346.00602379249</v>
      </c>
      <c r="K38" s="888"/>
      <c r="L38" s="827">
        <f t="shared" si="1"/>
        <v>0.55369505545320374</v>
      </c>
      <c r="M38" s="769">
        <f t="shared" ref="M38" si="25">1-L38</f>
        <v>0.44630494454679626</v>
      </c>
      <c r="N38" s="770">
        <f t="shared" si="10"/>
        <v>131555.70271070662</v>
      </c>
      <c r="O38" s="770">
        <f t="shared" si="11"/>
        <v>160790.3033130859</v>
      </c>
      <c r="P38" s="770">
        <f t="shared" si="12"/>
        <v>102321.10210832737</v>
      </c>
      <c r="Q38" s="770">
        <f t="shared" si="13"/>
        <v>116938.402409517</v>
      </c>
      <c r="R38" s="770">
        <f t="shared" si="14"/>
        <v>73086.501505948123</v>
      </c>
      <c r="S38" s="770">
        <f t="shared" si="2"/>
        <v>235644.99397620751</v>
      </c>
    </row>
    <row r="39" spans="3:19" ht="27.75" customHeight="1">
      <c r="C39" s="1105" t="s">
        <v>3199</v>
      </c>
      <c r="D39" s="779" t="s">
        <v>820</v>
      </c>
      <c r="E39" s="779">
        <v>651</v>
      </c>
      <c r="F39" s="780">
        <v>130</v>
      </c>
      <c r="G39" s="897"/>
      <c r="H39" s="779"/>
      <c r="I39" s="779"/>
      <c r="J39" s="898">
        <f>SUM(G39:I39)</f>
        <v>0</v>
      </c>
      <c r="K39" s="899"/>
      <c r="L39" s="828">
        <f t="shared" si="1"/>
        <v>0</v>
      </c>
      <c r="M39" s="782">
        <f t="shared" ref="M39:M52" si="26">1-L39</f>
        <v>1</v>
      </c>
      <c r="N39" s="781">
        <f t="shared" si="10"/>
        <v>0</v>
      </c>
      <c r="O39" s="781">
        <f t="shared" si="11"/>
        <v>0</v>
      </c>
      <c r="P39" s="781">
        <f t="shared" si="12"/>
        <v>0</v>
      </c>
      <c r="Q39" s="781">
        <f t="shared" si="13"/>
        <v>0</v>
      </c>
      <c r="R39" s="781">
        <f t="shared" si="14"/>
        <v>0</v>
      </c>
      <c r="S39" s="781">
        <f t="shared" si="2"/>
        <v>130</v>
      </c>
    </row>
    <row r="40" spans="3:19" ht="27.75" customHeight="1">
      <c r="C40" s="1106"/>
      <c r="D40" s="779" t="s">
        <v>39</v>
      </c>
      <c r="E40" s="779">
        <v>55997</v>
      </c>
      <c r="F40" s="780">
        <v>11199</v>
      </c>
      <c r="G40" s="900">
        <f>GETPIVOTDATA(" HRP4",$A$6,"Reporting Period","2020_Q2","State","Kachin")</f>
        <v>54</v>
      </c>
      <c r="H40" s="901"/>
      <c r="I40" s="901"/>
      <c r="J40" s="902">
        <f>SUM(G40:I40)</f>
        <v>54</v>
      </c>
      <c r="K40" s="903"/>
      <c r="L40" s="828">
        <f t="shared" si="1"/>
        <v>4.8218590945620149E-3</v>
      </c>
      <c r="M40" s="782">
        <f t="shared" ref="M40:M41" si="27">1-L40</f>
        <v>0.99517814090543799</v>
      </c>
      <c r="N40" s="781">
        <f t="shared" si="10"/>
        <v>24.3</v>
      </c>
      <c r="O40" s="781">
        <f t="shared" si="11"/>
        <v>29.700000000000003</v>
      </c>
      <c r="P40" s="781">
        <f t="shared" si="12"/>
        <v>18.899999999999999</v>
      </c>
      <c r="Q40" s="781">
        <f t="shared" si="13"/>
        <v>21.6</v>
      </c>
      <c r="R40" s="781">
        <f t="shared" si="14"/>
        <v>13.5</v>
      </c>
      <c r="S40" s="781">
        <f t="shared" si="2"/>
        <v>11145</v>
      </c>
    </row>
    <row r="41" spans="3:19" ht="27.75" customHeight="1">
      <c r="C41" s="1106"/>
      <c r="D41" s="779" t="s">
        <v>3260</v>
      </c>
      <c r="E41" s="779">
        <v>5950</v>
      </c>
      <c r="F41" s="780">
        <v>1190</v>
      </c>
      <c r="G41" s="900"/>
      <c r="H41" s="901"/>
      <c r="I41" s="901"/>
      <c r="J41" s="902">
        <f>SUM(G41:I41)</f>
        <v>0</v>
      </c>
      <c r="K41" s="903"/>
      <c r="L41" s="828">
        <f t="shared" si="1"/>
        <v>0</v>
      </c>
      <c r="M41" s="782">
        <f t="shared" si="27"/>
        <v>1</v>
      </c>
      <c r="N41" s="781">
        <f t="shared" si="10"/>
        <v>0</v>
      </c>
      <c r="O41" s="781">
        <f t="shared" si="11"/>
        <v>0</v>
      </c>
      <c r="P41" s="781">
        <f t="shared" si="12"/>
        <v>0</v>
      </c>
      <c r="Q41" s="781">
        <f t="shared" si="13"/>
        <v>0</v>
      </c>
      <c r="R41" s="781">
        <f t="shared" si="14"/>
        <v>0</v>
      </c>
      <c r="S41" s="781">
        <f t="shared" si="2"/>
        <v>1190</v>
      </c>
    </row>
    <row r="42" spans="3:19" ht="27.75" customHeight="1">
      <c r="C42" s="1106"/>
      <c r="D42" s="779" t="s">
        <v>307</v>
      </c>
      <c r="E42" s="779">
        <v>267734</v>
      </c>
      <c r="F42" s="780">
        <v>53546.177433372381</v>
      </c>
      <c r="G42" s="900">
        <v>6996</v>
      </c>
      <c r="H42" s="901"/>
      <c r="I42" s="901"/>
      <c r="J42" s="902">
        <f>SUM(G42:I42)</f>
        <v>6996</v>
      </c>
      <c r="K42" s="903"/>
      <c r="L42" s="828">
        <f t="shared" si="1"/>
        <v>0.13065358416490397</v>
      </c>
      <c r="M42" s="782">
        <f t="shared" ref="M42" si="28">1-L42</f>
        <v>0.86934641583509609</v>
      </c>
      <c r="N42" s="781">
        <f t="shared" si="10"/>
        <v>3148.2000000000003</v>
      </c>
      <c r="O42" s="781">
        <f t="shared" si="11"/>
        <v>3847.8</v>
      </c>
      <c r="P42" s="781">
        <f t="shared" si="12"/>
        <v>2448.6</v>
      </c>
      <c r="Q42" s="781">
        <f t="shared" si="13"/>
        <v>2798.4</v>
      </c>
      <c r="R42" s="781">
        <f t="shared" si="14"/>
        <v>1749</v>
      </c>
      <c r="S42" s="781">
        <f t="shared" si="2"/>
        <v>46550.177433372381</v>
      </c>
    </row>
    <row r="43" spans="3:19" ht="27.75" customHeight="1">
      <c r="C43" s="1106"/>
      <c r="D43" s="779" t="s">
        <v>711</v>
      </c>
      <c r="E43" s="779">
        <v>13705</v>
      </c>
      <c r="F43" s="780">
        <v>2741</v>
      </c>
      <c r="G43" s="900">
        <f>GETPIVOTDATA(" HRP4",$A$6,"State","Shan (North)")</f>
        <v>0</v>
      </c>
      <c r="H43" s="901"/>
      <c r="I43" s="901"/>
      <c r="J43" s="902">
        <f>SUM(G43:I43)</f>
        <v>0</v>
      </c>
      <c r="K43" s="903"/>
      <c r="L43" s="828">
        <f t="shared" si="1"/>
        <v>0</v>
      </c>
      <c r="M43" s="782">
        <f t="shared" si="26"/>
        <v>1</v>
      </c>
      <c r="N43" s="781">
        <f t="shared" si="10"/>
        <v>0</v>
      </c>
      <c r="O43" s="781">
        <f t="shared" si="11"/>
        <v>0</v>
      </c>
      <c r="P43" s="781">
        <f t="shared" si="12"/>
        <v>0</v>
      </c>
      <c r="Q43" s="781">
        <f t="shared" si="13"/>
        <v>0</v>
      </c>
      <c r="R43" s="781">
        <f t="shared" si="14"/>
        <v>0</v>
      </c>
      <c r="S43" s="781">
        <f t="shared" si="2"/>
        <v>2741</v>
      </c>
    </row>
    <row r="44" spans="3:19" s="739" customFormat="1" ht="27.75" customHeight="1">
      <c r="C44" s="1107"/>
      <c r="D44" s="771" t="s">
        <v>1929</v>
      </c>
      <c r="E44" s="771">
        <f t="shared" ref="E44:J44" si="29">SUM(E39:E43)</f>
        <v>344037</v>
      </c>
      <c r="F44" s="820">
        <f t="shared" si="29"/>
        <v>68806.177433372388</v>
      </c>
      <c r="G44" s="889">
        <f t="shared" si="29"/>
        <v>7050</v>
      </c>
      <c r="H44" s="846">
        <f t="shared" si="29"/>
        <v>0</v>
      </c>
      <c r="I44" s="846">
        <f t="shared" si="29"/>
        <v>0</v>
      </c>
      <c r="J44" s="846">
        <f t="shared" si="29"/>
        <v>7050</v>
      </c>
      <c r="K44" s="904"/>
      <c r="L44" s="829">
        <f t="shared" si="1"/>
        <v>0.10246173037045664</v>
      </c>
      <c r="M44" s="772">
        <f t="shared" ref="M44" si="30">1-L44</f>
        <v>0.89753826962954331</v>
      </c>
      <c r="N44" s="773">
        <f t="shared" si="10"/>
        <v>3172.5</v>
      </c>
      <c r="O44" s="773">
        <f t="shared" si="11"/>
        <v>3877.5000000000005</v>
      </c>
      <c r="P44" s="773">
        <f t="shared" si="12"/>
        <v>2467.5</v>
      </c>
      <c r="Q44" s="773">
        <f t="shared" si="13"/>
        <v>2820</v>
      </c>
      <c r="R44" s="773">
        <f t="shared" si="14"/>
        <v>1762.5</v>
      </c>
      <c r="S44" s="773">
        <f t="shared" si="2"/>
        <v>61756.177433372388</v>
      </c>
    </row>
    <row r="45" spans="3:19" ht="44" customHeight="1">
      <c r="C45" s="1108" t="s">
        <v>3200</v>
      </c>
      <c r="D45" s="774" t="s">
        <v>39</v>
      </c>
      <c r="E45" s="702">
        <v>32812</v>
      </c>
      <c r="F45" s="703">
        <v>6562</v>
      </c>
      <c r="G45" s="905">
        <f>GETPIVOTDATA(" HRP5",$A$6,"Reporting Period","2020_Q2","State","Kachin")</f>
        <v>19956</v>
      </c>
      <c r="H45" s="906"/>
      <c r="I45" s="906"/>
      <c r="J45" s="902">
        <f>SUM(G45:I45)</f>
        <v>19956</v>
      </c>
      <c r="K45" s="903"/>
      <c r="L45" s="830">
        <f t="shared" si="1"/>
        <v>3.0411459920755868</v>
      </c>
      <c r="M45" s="705">
        <f t="shared" si="26"/>
        <v>-2.0411459920755868</v>
      </c>
      <c r="N45" s="704">
        <f t="shared" si="10"/>
        <v>8980.2000000000007</v>
      </c>
      <c r="O45" s="704">
        <f t="shared" si="11"/>
        <v>10975.800000000001</v>
      </c>
      <c r="P45" s="704">
        <f t="shared" si="12"/>
        <v>6984.5999999999995</v>
      </c>
      <c r="Q45" s="704">
        <f t="shared" si="13"/>
        <v>7982.4000000000005</v>
      </c>
      <c r="R45" s="704">
        <f t="shared" si="14"/>
        <v>4989</v>
      </c>
      <c r="S45" s="704">
        <f t="shared" si="2"/>
        <v>-13394</v>
      </c>
    </row>
    <row r="46" spans="3:19" ht="48" customHeight="1">
      <c r="C46" s="1108"/>
      <c r="D46" s="774" t="s">
        <v>307</v>
      </c>
      <c r="E46" s="702">
        <v>160216</v>
      </c>
      <c r="F46" s="703">
        <v>32042</v>
      </c>
      <c r="G46" s="905">
        <v>16200</v>
      </c>
      <c r="H46" s="906"/>
      <c r="I46" s="906"/>
      <c r="J46" s="902">
        <f>SUM(G46:I46)</f>
        <v>16200</v>
      </c>
      <c r="K46" s="903"/>
      <c r="L46" s="830">
        <f t="shared" si="1"/>
        <v>0.50558641782660263</v>
      </c>
      <c r="M46" s="705">
        <f t="shared" ref="M46" si="31">1-L46</f>
        <v>0.49441358217339737</v>
      </c>
      <c r="N46" s="704">
        <f t="shared" si="10"/>
        <v>7290</v>
      </c>
      <c r="O46" s="704">
        <f t="shared" si="11"/>
        <v>8910</v>
      </c>
      <c r="P46" s="704">
        <f t="shared" si="12"/>
        <v>5670</v>
      </c>
      <c r="Q46" s="704">
        <f t="shared" si="13"/>
        <v>6480</v>
      </c>
      <c r="R46" s="704">
        <f t="shared" si="14"/>
        <v>4050</v>
      </c>
      <c r="S46" s="704">
        <f t="shared" si="2"/>
        <v>15842</v>
      </c>
    </row>
    <row r="47" spans="3:19" ht="19.25" customHeight="1">
      <c r="C47" s="1108"/>
      <c r="D47" s="775" t="s">
        <v>1929</v>
      </c>
      <c r="E47" s="776">
        <f>SUM(E45:E46)</f>
        <v>193028</v>
      </c>
      <c r="F47" s="811">
        <f t="shared" ref="F47:J47" si="32">SUM(F45:F46)</f>
        <v>38604</v>
      </c>
      <c r="G47" s="890">
        <f t="shared" si="32"/>
        <v>36156</v>
      </c>
      <c r="H47" s="776">
        <f t="shared" si="32"/>
        <v>0</v>
      </c>
      <c r="I47" s="776">
        <f t="shared" si="32"/>
        <v>0</v>
      </c>
      <c r="J47" s="776">
        <f t="shared" si="32"/>
        <v>36156</v>
      </c>
      <c r="K47" s="907"/>
      <c r="L47" s="831">
        <f t="shared" si="1"/>
        <v>0.93658688218837427</v>
      </c>
      <c r="M47" s="777">
        <f t="shared" ref="M47:M48" si="33">1-L47</f>
        <v>6.341311781162573E-2</v>
      </c>
      <c r="N47" s="778">
        <f t="shared" si="10"/>
        <v>16270.2</v>
      </c>
      <c r="O47" s="778">
        <f t="shared" si="11"/>
        <v>19885.800000000003</v>
      </c>
      <c r="P47" s="778">
        <f t="shared" si="12"/>
        <v>12654.599999999999</v>
      </c>
      <c r="Q47" s="778">
        <f t="shared" si="13"/>
        <v>14462.400000000001</v>
      </c>
      <c r="R47" s="778">
        <f t="shared" si="14"/>
        <v>9039</v>
      </c>
      <c r="S47" s="778">
        <f t="shared" si="2"/>
        <v>2448</v>
      </c>
    </row>
    <row r="48" spans="3:19" ht="32.25" customHeight="1" thickBot="1">
      <c r="C48" s="1115" t="s">
        <v>2831</v>
      </c>
      <c r="D48" s="754" t="s">
        <v>820</v>
      </c>
      <c r="E48" s="755">
        <v>4279</v>
      </c>
      <c r="F48" s="756">
        <v>1000</v>
      </c>
      <c r="G48" s="908"/>
      <c r="H48" s="755">
        <v>3574</v>
      </c>
      <c r="I48" s="812"/>
      <c r="J48" s="909">
        <f>G48+H48+I48+K48</f>
        <v>11887</v>
      </c>
      <c r="K48" s="910">
        <v>8313</v>
      </c>
      <c r="L48" s="832">
        <f t="shared" si="1"/>
        <v>11.887</v>
      </c>
      <c r="M48" s="760">
        <f t="shared" si="33"/>
        <v>-10.887</v>
      </c>
      <c r="N48" s="759">
        <f t="shared" si="10"/>
        <v>5349.1500000000005</v>
      </c>
      <c r="O48" s="759">
        <f t="shared" si="11"/>
        <v>6537.85</v>
      </c>
      <c r="P48" s="759">
        <f t="shared" si="12"/>
        <v>4160.45</v>
      </c>
      <c r="Q48" s="759">
        <f t="shared" si="13"/>
        <v>4754.8</v>
      </c>
      <c r="R48" s="759">
        <f t="shared" si="14"/>
        <v>2971.75</v>
      </c>
      <c r="S48" s="759">
        <f t="shared" si="2"/>
        <v>-10887</v>
      </c>
    </row>
    <row r="49" spans="1:60" ht="23.25" customHeight="1">
      <c r="C49" s="1116"/>
      <c r="D49" s="754" t="s">
        <v>39</v>
      </c>
      <c r="E49" s="755">
        <v>132614</v>
      </c>
      <c r="F49" s="756">
        <v>85938</v>
      </c>
      <c r="G49" s="911">
        <f>GETPIVOTDATA(" # People received regular supply of hygiene items",$A$6,"Reporting Period","2020_Q2","State","Kachin")</f>
        <v>24898</v>
      </c>
      <c r="H49" s="755"/>
      <c r="I49" s="755"/>
      <c r="J49" s="909">
        <f t="shared" ref="J49:J52" si="34">G49+H49+I49+K49</f>
        <v>87722</v>
      </c>
      <c r="K49" s="910">
        <v>62824</v>
      </c>
      <c r="L49" s="833">
        <f t="shared" si="1"/>
        <v>1.0207591519467523</v>
      </c>
      <c r="M49" s="758">
        <f t="shared" si="26"/>
        <v>-2.0759151946752263E-2</v>
      </c>
      <c r="N49" s="757">
        <f t="shared" si="10"/>
        <v>39474.9</v>
      </c>
      <c r="O49" s="757">
        <f t="shared" si="11"/>
        <v>48247.100000000006</v>
      </c>
      <c r="P49" s="757">
        <f t="shared" si="12"/>
        <v>30702.699999999997</v>
      </c>
      <c r="Q49" s="757">
        <f t="shared" si="13"/>
        <v>35088.800000000003</v>
      </c>
      <c r="R49" s="757">
        <f t="shared" si="14"/>
        <v>21930.5</v>
      </c>
      <c r="S49" s="757">
        <f t="shared" si="2"/>
        <v>-1784</v>
      </c>
    </row>
    <row r="50" spans="1:60" ht="16" thickBot="1">
      <c r="C50" s="1116"/>
      <c r="D50" s="754" t="s">
        <v>3260</v>
      </c>
      <c r="E50" s="755">
        <v>9132</v>
      </c>
      <c r="F50" s="756">
        <v>9132</v>
      </c>
      <c r="G50" s="911"/>
      <c r="H50" s="755">
        <v>7547</v>
      </c>
      <c r="I50" s="755"/>
      <c r="J50" s="909">
        <f t="shared" si="34"/>
        <v>100862</v>
      </c>
      <c r="K50" s="910">
        <v>93315</v>
      </c>
      <c r="L50" s="832">
        <f t="shared" si="1"/>
        <v>11.044897065265003</v>
      </c>
      <c r="M50" s="760">
        <f t="shared" ref="M50:M51" si="35">1-L50</f>
        <v>-10.044897065265003</v>
      </c>
      <c r="N50" s="759">
        <f t="shared" si="10"/>
        <v>45387.9</v>
      </c>
      <c r="O50" s="759">
        <f t="shared" si="11"/>
        <v>55474.100000000006</v>
      </c>
      <c r="P50" s="759">
        <f t="shared" si="12"/>
        <v>35301.699999999997</v>
      </c>
      <c r="Q50" s="759">
        <f t="shared" si="13"/>
        <v>40344.800000000003</v>
      </c>
      <c r="R50" s="759">
        <f t="shared" si="14"/>
        <v>25215.5</v>
      </c>
      <c r="S50" s="759">
        <f t="shared" si="2"/>
        <v>-91730</v>
      </c>
    </row>
    <row r="51" spans="1:60" ht="23.25" customHeight="1" thickBot="1">
      <c r="C51" s="1116"/>
      <c r="D51" s="754" t="s">
        <v>307</v>
      </c>
      <c r="E51" s="755">
        <v>665868.82999999996</v>
      </c>
      <c r="F51" s="756">
        <v>410888</v>
      </c>
      <c r="G51" s="911">
        <v>119374.04602379249</v>
      </c>
      <c r="H51" s="917">
        <v>38311</v>
      </c>
      <c r="I51" s="755">
        <v>30051</v>
      </c>
      <c r="J51" s="909">
        <f t="shared" si="34"/>
        <v>498635.04602379247</v>
      </c>
      <c r="K51" s="910">
        <v>310899</v>
      </c>
      <c r="L51" s="832">
        <f t="shared" si="1"/>
        <v>1.2135546572880991</v>
      </c>
      <c r="M51" s="760">
        <f t="shared" si="35"/>
        <v>-0.21355465728809908</v>
      </c>
      <c r="N51" s="759">
        <f t="shared" si="10"/>
        <v>224385.77071070662</v>
      </c>
      <c r="O51" s="759">
        <f t="shared" si="11"/>
        <v>274249.27531308588</v>
      </c>
      <c r="P51" s="759">
        <f t="shared" si="12"/>
        <v>174522.26610832734</v>
      </c>
      <c r="Q51" s="759">
        <f t="shared" si="13"/>
        <v>199454.01840951701</v>
      </c>
      <c r="R51" s="759">
        <f t="shared" si="14"/>
        <v>124658.76150594812</v>
      </c>
      <c r="S51" s="759">
        <f t="shared" si="2"/>
        <v>-87747.046023792471</v>
      </c>
    </row>
    <row r="52" spans="1:60" ht="32.25" customHeight="1" thickBot="1">
      <c r="C52" s="1117"/>
      <c r="D52" s="754" t="s">
        <v>711</v>
      </c>
      <c r="E52" s="755">
        <v>57260</v>
      </c>
      <c r="F52" s="756">
        <v>21033</v>
      </c>
      <c r="G52" s="911">
        <f>GETPIVOTDATA(" # People received regular supply of hygiene items",$A$6,"Reporting Period","2020_Q3","State","Shan (North)")</f>
        <v>7064</v>
      </c>
      <c r="H52" s="755"/>
      <c r="I52" s="755">
        <v>1044</v>
      </c>
      <c r="J52" s="909">
        <f t="shared" si="34"/>
        <v>99681</v>
      </c>
      <c r="K52" s="910">
        <v>91573</v>
      </c>
      <c r="L52" s="832">
        <f t="shared" si="1"/>
        <v>4.7392668663528736</v>
      </c>
      <c r="M52" s="760">
        <f t="shared" si="26"/>
        <v>-3.7392668663528736</v>
      </c>
      <c r="N52" s="759">
        <f t="shared" si="10"/>
        <v>44856.450000000004</v>
      </c>
      <c r="O52" s="759">
        <f t="shared" si="11"/>
        <v>54824.55</v>
      </c>
      <c r="P52" s="759">
        <f t="shared" si="12"/>
        <v>34888.35</v>
      </c>
      <c r="Q52" s="759">
        <f t="shared" si="13"/>
        <v>39872.400000000001</v>
      </c>
      <c r="R52" s="759">
        <f t="shared" si="14"/>
        <v>24920.25</v>
      </c>
      <c r="S52" s="759">
        <f t="shared" si="2"/>
        <v>-78648</v>
      </c>
    </row>
    <row r="53" spans="1:60" ht="19.25" customHeight="1" thickBot="1">
      <c r="C53" s="838"/>
      <c r="D53" s="839" t="s">
        <v>1929</v>
      </c>
      <c r="E53" s="840">
        <f t="shared" ref="E53:G53" si="36">SUM(E48:E52)</f>
        <v>869153.83</v>
      </c>
      <c r="F53" s="873">
        <f t="shared" si="36"/>
        <v>527991</v>
      </c>
      <c r="G53" s="912">
        <f t="shared" si="36"/>
        <v>151336.04602379247</v>
      </c>
      <c r="H53" s="913">
        <f>SUM(H48:H52)</f>
        <v>49432</v>
      </c>
      <c r="I53" s="913">
        <f>SUM(I48:I52)</f>
        <v>31095</v>
      </c>
      <c r="J53" s="913">
        <f>SUM(J48:J52)</f>
        <v>798787.04602379247</v>
      </c>
      <c r="K53" s="891">
        <f>SUM(K48:K52)</f>
        <v>566924</v>
      </c>
      <c r="L53" s="841">
        <f t="shared" si="1"/>
        <v>1.5128800415609214</v>
      </c>
      <c r="M53" s="842">
        <f t="shared" ref="M53" si="37">1-L53</f>
        <v>-0.51288004156092137</v>
      </c>
      <c r="N53" s="843">
        <f t="shared" si="10"/>
        <v>359454.17071070662</v>
      </c>
      <c r="O53" s="843">
        <f t="shared" si="11"/>
        <v>439332.87531308591</v>
      </c>
      <c r="P53" s="843">
        <f t="shared" si="12"/>
        <v>279575.46610832732</v>
      </c>
      <c r="Q53" s="843">
        <f t="shared" si="13"/>
        <v>319514.818409517</v>
      </c>
      <c r="R53" s="843">
        <f t="shared" si="14"/>
        <v>199696.76150594812</v>
      </c>
      <c r="S53" s="843">
        <f t="shared" si="2"/>
        <v>-270796.04602379247</v>
      </c>
    </row>
    <row r="54" spans="1:60" hidden="1">
      <c r="B54" s="1103" t="s">
        <v>1916</v>
      </c>
      <c r="C54" s="1104"/>
      <c r="D54" s="1104"/>
      <c r="E54" s="1104"/>
      <c r="F54" s="1104"/>
      <c r="G54" s="1104"/>
      <c r="H54" s="1104"/>
      <c r="J54" s="1103" t="s">
        <v>1927</v>
      </c>
      <c r="K54" s="1104"/>
      <c r="L54" s="1104"/>
      <c r="M54" s="1104"/>
      <c r="N54" s="1104"/>
      <c r="O54" s="1104"/>
      <c r="P54" s="1104"/>
    </row>
    <row r="55" spans="1:60" ht="79.5" hidden="1" customHeight="1">
      <c r="B55" s="78" t="s">
        <v>22</v>
      </c>
      <c r="C55" s="75" t="s">
        <v>1674</v>
      </c>
      <c r="D55" s="75" t="s">
        <v>1675</v>
      </c>
      <c r="E55" s="76" t="s">
        <v>80</v>
      </c>
      <c r="F55" s="76" t="s">
        <v>1677</v>
      </c>
      <c r="G55" s="77" t="s">
        <v>81</v>
      </c>
      <c r="H55" s="77" t="s">
        <v>1676</v>
      </c>
      <c r="J55" s="78" t="s">
        <v>22</v>
      </c>
      <c r="K55" s="169" t="s">
        <v>1674</v>
      </c>
      <c r="L55" s="169" t="s">
        <v>1675</v>
      </c>
      <c r="M55" s="170" t="s">
        <v>80</v>
      </c>
      <c r="N55" s="170" t="s">
        <v>1677</v>
      </c>
      <c r="O55" s="171" t="s">
        <v>81</v>
      </c>
      <c r="P55" s="171" t="s">
        <v>1676</v>
      </c>
    </row>
    <row r="56" spans="1:60" hidden="1">
      <c r="B56" s="78" t="s">
        <v>39</v>
      </c>
      <c r="C56" s="172" t="e">
        <f>#REF!/#REF!</f>
        <v>#REF!</v>
      </c>
      <c r="D56" s="172" t="e">
        <f>#REF!/#REF!</f>
        <v>#REF!</v>
      </c>
      <c r="E56" s="173" t="e">
        <f>#REF!/#REF!</f>
        <v>#REF!</v>
      </c>
      <c r="F56" s="173" t="e">
        <f>#REF!/#REF!</f>
        <v>#REF!</v>
      </c>
      <c r="G56" s="174" t="e">
        <f>#REF!/#REF!</f>
        <v>#REF!</v>
      </c>
      <c r="H56" s="174" t="e">
        <f>#REF!/#REF!</f>
        <v>#REF!</v>
      </c>
      <c r="J56" s="78" t="s">
        <v>39</v>
      </c>
      <c r="K56" s="175" t="e">
        <f>#REF!/#REF!</f>
        <v>#REF!</v>
      </c>
      <c r="L56" s="175" t="e">
        <f>#REF!/#REF!</f>
        <v>#REF!</v>
      </c>
      <c r="M56" s="176" t="e">
        <f>#REF!/#REF!</f>
        <v>#REF!</v>
      </c>
      <c r="N56" s="176" t="e">
        <f>#REF!/#REF!</f>
        <v>#REF!</v>
      </c>
      <c r="O56" s="177" t="e">
        <f>#REF!/#REF!</f>
        <v>#REF!</v>
      </c>
      <c r="P56" s="177" t="e">
        <f>#REF!/#REF!</f>
        <v>#REF!</v>
      </c>
    </row>
    <row r="57" spans="1:60" hidden="1">
      <c r="B57" s="78" t="s">
        <v>307</v>
      </c>
      <c r="C57" s="172" t="e">
        <f>#REF!/#REF!</f>
        <v>#REF!</v>
      </c>
      <c r="D57" s="172" t="e">
        <f>#REF!/#REF!</f>
        <v>#REF!</v>
      </c>
      <c r="E57" s="173" t="e">
        <f>#REF!/#REF!</f>
        <v>#REF!</v>
      </c>
      <c r="F57" s="173" t="e">
        <f>#REF!/#REF!</f>
        <v>#REF!</v>
      </c>
      <c r="G57" s="174" t="e">
        <f>#REF!/#REF!</f>
        <v>#REF!</v>
      </c>
      <c r="H57" s="174" t="e">
        <f>#REF!/#REF!</f>
        <v>#REF!</v>
      </c>
      <c r="J57" s="78" t="s">
        <v>307</v>
      </c>
      <c r="K57" s="175" t="e">
        <f>#REF!/#REF!</f>
        <v>#REF!</v>
      </c>
      <c r="L57" s="175" t="e">
        <f>#REF!/#REF!</f>
        <v>#REF!</v>
      </c>
      <c r="M57" s="176" t="e">
        <f>#REF!/#REF!</f>
        <v>#REF!</v>
      </c>
      <c r="N57" s="176" t="e">
        <f>#REF!/#REF!</f>
        <v>#REF!</v>
      </c>
      <c r="O57" s="177" t="e">
        <f>#REF!/#REF!</f>
        <v>#REF!</v>
      </c>
      <c r="P57" s="177" t="e">
        <f>#REF!/#REF!</f>
        <v>#REF!</v>
      </c>
    </row>
    <row r="58" spans="1:60" ht="31" hidden="1">
      <c r="B58" s="78" t="s">
        <v>711</v>
      </c>
      <c r="C58" s="172" t="e">
        <f>#REF!/#REF!</f>
        <v>#REF!</v>
      </c>
      <c r="D58" s="172" t="e">
        <f>#REF!/#REF!</f>
        <v>#REF!</v>
      </c>
      <c r="E58" s="173" t="e">
        <f>#REF!/#REF!</f>
        <v>#REF!</v>
      </c>
      <c r="F58" s="173" t="e">
        <f>#REF!/#REF!</f>
        <v>#REF!</v>
      </c>
      <c r="G58" s="174" t="e">
        <f>#REF!/#REF!</f>
        <v>#REF!</v>
      </c>
      <c r="H58" s="174" t="e">
        <f>#REF!/#REF!</f>
        <v>#REF!</v>
      </c>
      <c r="J58" s="78" t="s">
        <v>711</v>
      </c>
      <c r="K58" s="175" t="e">
        <f>#REF!/#REF!</f>
        <v>#REF!</v>
      </c>
      <c r="L58" s="175" t="e">
        <f>#REF!/#REF!</f>
        <v>#REF!</v>
      </c>
      <c r="M58" s="176" t="e">
        <f>#REF!/#REF!</f>
        <v>#REF!</v>
      </c>
      <c r="N58" s="176" t="e">
        <f>#REF!/#REF!</f>
        <v>#REF!</v>
      </c>
      <c r="O58" s="177" t="e">
        <f>#REF!/#REF!</f>
        <v>#REF!</v>
      </c>
      <c r="P58" s="177" t="e">
        <f>#REF!/#REF!</f>
        <v>#REF!</v>
      </c>
    </row>
    <row r="59" spans="1:60">
      <c r="G59" s="61"/>
      <c r="H59" s="61"/>
      <c r="I59" s="61"/>
    </row>
    <row r="61" spans="1:60">
      <c r="V61"/>
      <c r="W61"/>
    </row>
    <row r="62" spans="1:60" ht="23.5">
      <c r="A62" s="392" t="s">
        <v>2052</v>
      </c>
      <c r="B62" s="390"/>
      <c r="C62" s="390"/>
      <c r="D62" s="390"/>
      <c r="E62" s="390"/>
      <c r="F62" s="390"/>
      <c r="G62" s="390"/>
      <c r="H62" s="390"/>
      <c r="I62" s="390"/>
      <c r="J62" s="390"/>
      <c r="K62" s="390"/>
      <c r="L62" s="390"/>
      <c r="M62" s="390"/>
      <c r="N62" s="390"/>
      <c r="O62" s="390"/>
      <c r="P62" s="390"/>
      <c r="Q62" s="390"/>
      <c r="R62" s="390"/>
      <c r="S62" s="390"/>
      <c r="T62" s="390"/>
      <c r="U62" s="390"/>
      <c r="V62" s="391"/>
      <c r="W62" s="391"/>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row>
    <row r="63" spans="1:60">
      <c r="V63"/>
      <c r="W63"/>
    </row>
    <row r="64" spans="1:60">
      <c r="J64" s="60"/>
      <c r="AP64" s="543"/>
      <c r="AQ64" s="543"/>
    </row>
    <row r="65" spans="1:60">
      <c r="AP65" s="543"/>
      <c r="AQ65" s="543"/>
    </row>
    <row r="66" spans="1:60">
      <c r="C66" s="179" t="s">
        <v>2052</v>
      </c>
      <c r="D66"/>
      <c r="E66"/>
      <c r="F66"/>
      <c r="J66"/>
      <c r="Q66" s="544" t="s">
        <v>2052</v>
      </c>
      <c r="R66" s="545" t="s">
        <v>2922</v>
      </c>
      <c r="S66" s="546"/>
      <c r="T66" s="546"/>
      <c r="U66"/>
      <c r="AA66" s="544" t="s">
        <v>2052</v>
      </c>
      <c r="AB66" s="546"/>
      <c r="AC66" s="546"/>
      <c r="AD66" s="546"/>
      <c r="AP66" s="543"/>
      <c r="AQ66" s="543"/>
      <c r="AR66"/>
    </row>
    <row r="67" spans="1:60" ht="31">
      <c r="C67" s="89" t="s">
        <v>1663</v>
      </c>
      <c r="D67" s="90" t="s">
        <v>1966</v>
      </c>
      <c r="E67" s="92" t="s">
        <v>1672</v>
      </c>
      <c r="F67" s="92" t="s">
        <v>1673</v>
      </c>
      <c r="J67"/>
      <c r="Q67" s="547" t="s">
        <v>1663</v>
      </c>
      <c r="R67" s="548" t="s">
        <v>1966</v>
      </c>
      <c r="S67" s="549" t="s">
        <v>1672</v>
      </c>
      <c r="T67" s="549" t="s">
        <v>1673</v>
      </c>
      <c r="U67"/>
      <c r="AA67" s="547" t="s">
        <v>1663</v>
      </c>
      <c r="AB67" s="548" t="s">
        <v>1966</v>
      </c>
      <c r="AC67" s="549" t="s">
        <v>1672</v>
      </c>
      <c r="AD67" s="549" t="s">
        <v>1673</v>
      </c>
      <c r="AP67" s="468"/>
      <c r="AQ67"/>
      <c r="AR67"/>
    </row>
    <row r="68" spans="1:60" ht="95" customHeight="1">
      <c r="A68" s="536" t="s">
        <v>3043</v>
      </c>
      <c r="C68" s="706" t="s">
        <v>3200</v>
      </c>
      <c r="D68" s="708">
        <v>38604</v>
      </c>
      <c r="E68" s="712">
        <f>G47</f>
        <v>36156</v>
      </c>
      <c r="F68" s="712">
        <f>D68-E68</f>
        <v>2448</v>
      </c>
      <c r="J68"/>
      <c r="K68"/>
      <c r="P68" s="59">
        <v>180006</v>
      </c>
      <c r="Q68" s="706" t="s">
        <v>3200</v>
      </c>
      <c r="R68" s="708"/>
      <c r="S68" s="709"/>
      <c r="T68" s="709">
        <f>R68-S68</f>
        <v>0</v>
      </c>
      <c r="U68"/>
      <c r="AA68" s="706" t="s">
        <v>3200</v>
      </c>
      <c r="AB68" s="714">
        <f t="shared" ref="AB68:AC72" si="38">D68+R68</f>
        <v>38604</v>
      </c>
      <c r="AC68" s="714">
        <f t="shared" si="38"/>
        <v>36156</v>
      </c>
      <c r="AD68" s="714">
        <f>AB68-AC68</f>
        <v>2448</v>
      </c>
      <c r="AP68"/>
      <c r="AQ68"/>
      <c r="AR68"/>
    </row>
    <row r="69" spans="1:60" ht="57.65" customHeight="1">
      <c r="C69" s="707" t="s">
        <v>3199</v>
      </c>
      <c r="D69" s="713">
        <v>68806</v>
      </c>
      <c r="E69" s="713">
        <f>G44</f>
        <v>7050</v>
      </c>
      <c r="F69" s="713">
        <f>D69-E69</f>
        <v>61756</v>
      </c>
      <c r="J69"/>
      <c r="K69"/>
      <c r="P69" s="59">
        <v>26654</v>
      </c>
      <c r="Q69" s="707" t="s">
        <v>3199</v>
      </c>
      <c r="R69" s="710"/>
      <c r="S69" s="711"/>
      <c r="T69" s="711">
        <f>R69-S69</f>
        <v>0</v>
      </c>
      <c r="U69"/>
      <c r="AA69" s="707" t="s">
        <v>3199</v>
      </c>
      <c r="AB69" s="715">
        <f t="shared" si="38"/>
        <v>68806</v>
      </c>
      <c r="AC69" s="715">
        <f t="shared" si="38"/>
        <v>7050</v>
      </c>
      <c r="AD69" s="715">
        <f>AB69-AC69</f>
        <v>61756</v>
      </c>
      <c r="AP69"/>
      <c r="AQ69"/>
      <c r="AR69"/>
    </row>
    <row r="70" spans="1:60" ht="73.25" customHeight="1">
      <c r="C70" s="88" t="s">
        <v>2679</v>
      </c>
      <c r="D70" s="95">
        <v>238159</v>
      </c>
      <c r="E70" s="95">
        <f>G38+H38</f>
        <v>247774.00602379249</v>
      </c>
      <c r="F70" s="95">
        <f>D70-E70</f>
        <v>-9615.0060237924918</v>
      </c>
      <c r="H70" s="181">
        <v>112517.49333333335</v>
      </c>
      <c r="J70"/>
      <c r="K70"/>
      <c r="P70" s="59">
        <v>81219</v>
      </c>
      <c r="Q70" s="88" t="s">
        <v>2679</v>
      </c>
      <c r="R70" s="97">
        <f>527991-238159</f>
        <v>289832</v>
      </c>
      <c r="S70" s="97">
        <f>I38</f>
        <v>44572</v>
      </c>
      <c r="T70" s="97">
        <f>R70-S70</f>
        <v>245260</v>
      </c>
      <c r="U70"/>
      <c r="AA70" s="88" t="s">
        <v>2679</v>
      </c>
      <c r="AB70" s="97">
        <f t="shared" si="38"/>
        <v>527991</v>
      </c>
      <c r="AC70" s="97">
        <f t="shared" si="38"/>
        <v>292346.00602379249</v>
      </c>
      <c r="AD70" s="97">
        <f>AB70-AC70</f>
        <v>235644.99397620751</v>
      </c>
      <c r="AP70"/>
      <c r="AQ70"/>
      <c r="AR70"/>
    </row>
    <row r="71" spans="1:60" ht="72.650000000000006" customHeight="1">
      <c r="C71" s="87" t="s">
        <v>2680</v>
      </c>
      <c r="D71" s="94">
        <v>238159</v>
      </c>
      <c r="E71" s="94">
        <f>G32+H32</f>
        <v>208055</v>
      </c>
      <c r="F71" s="94">
        <f>D71-E71</f>
        <v>30104</v>
      </c>
      <c r="H71" s="61">
        <f>SUM(E70:E72)</f>
        <v>677627.48009786662</v>
      </c>
      <c r="J71"/>
      <c r="K71"/>
      <c r="Q71" s="87" t="s">
        <v>2680</v>
      </c>
      <c r="R71" s="183">
        <v>289832</v>
      </c>
      <c r="S71" s="183">
        <f>I32</f>
        <v>50805</v>
      </c>
      <c r="T71" s="183">
        <f>R71-S71</f>
        <v>239027</v>
      </c>
      <c r="U71"/>
      <c r="X71" s="61">
        <f>SUM(S70:S72)</f>
        <v>234052</v>
      </c>
      <c r="AA71" s="87" t="s">
        <v>2680</v>
      </c>
      <c r="AB71" s="183">
        <f t="shared" si="38"/>
        <v>527991</v>
      </c>
      <c r="AC71" s="183">
        <f t="shared" si="38"/>
        <v>258860</v>
      </c>
      <c r="AD71" s="183">
        <f>AB71-AC71</f>
        <v>269131</v>
      </c>
      <c r="AP71"/>
      <c r="AQ71"/>
      <c r="AR71"/>
      <c r="AU71" s="61">
        <f>SUM(AC70:AC72)</f>
        <v>911679.48009786662</v>
      </c>
    </row>
    <row r="72" spans="1:60" ht="55.25" customHeight="1">
      <c r="C72" s="91" t="s">
        <v>2681</v>
      </c>
      <c r="D72" s="93">
        <v>238159</v>
      </c>
      <c r="E72" s="93">
        <f>G26+H26</f>
        <v>221798.4740740741</v>
      </c>
      <c r="F72" s="93">
        <f>D72-E72</f>
        <v>16360.525925925904</v>
      </c>
      <c r="H72" s="61"/>
      <c r="Q72" s="91" t="s">
        <v>2681</v>
      </c>
      <c r="R72" s="96">
        <v>289832</v>
      </c>
      <c r="S72" s="96">
        <f>I26</f>
        <v>138675</v>
      </c>
      <c r="T72" s="96">
        <f>R72-S72</f>
        <v>151157</v>
      </c>
      <c r="W72" s="61">
        <f>487648-203446</f>
        <v>284202</v>
      </c>
      <c r="AA72" s="91" t="s">
        <v>2681</v>
      </c>
      <c r="AB72" s="550">
        <f t="shared" si="38"/>
        <v>527991</v>
      </c>
      <c r="AC72" s="550">
        <f t="shared" si="38"/>
        <v>360473.47407407407</v>
      </c>
      <c r="AD72" s="550">
        <f>AB72-AC72</f>
        <v>167517.52592592593</v>
      </c>
      <c r="AP72"/>
      <c r="AQ72"/>
    </row>
    <row r="73" spans="1:60">
      <c r="C73"/>
      <c r="D73"/>
      <c r="E73"/>
      <c r="S73"/>
      <c r="T73"/>
      <c r="V73"/>
      <c r="W73"/>
      <c r="AP73"/>
      <c r="AQ73"/>
    </row>
    <row r="74" spans="1:60">
      <c r="C74" s="468"/>
      <c r="D74" s="468"/>
      <c r="E74" s="468"/>
      <c r="S74" s="468"/>
      <c r="T74" s="468"/>
      <c r="V74" s="468"/>
      <c r="W74" s="468"/>
      <c r="AP74" s="468"/>
      <c r="AQ74" s="468"/>
    </row>
    <row r="75" spans="1:60">
      <c r="C75" s="468"/>
      <c r="D75" s="468"/>
      <c r="E75" s="468"/>
      <c r="S75" s="468"/>
      <c r="T75" s="468"/>
      <c r="V75" s="468"/>
      <c r="W75" s="468"/>
      <c r="AP75" s="468"/>
      <c r="AQ75" s="468"/>
    </row>
    <row r="76" spans="1:60">
      <c r="C76"/>
      <c r="D76"/>
      <c r="S76"/>
      <c r="T76"/>
    </row>
    <row r="77" spans="1:60" ht="23.5">
      <c r="A77" s="392" t="s">
        <v>39</v>
      </c>
      <c r="B77" s="390"/>
      <c r="C77" s="390"/>
      <c r="D77" s="390"/>
      <c r="E77" s="390"/>
      <c r="F77" s="390"/>
      <c r="G77" s="390"/>
      <c r="H77" s="390"/>
      <c r="I77" s="390"/>
      <c r="J77" s="390"/>
      <c r="K77" s="390"/>
      <c r="L77" s="390"/>
      <c r="M77" s="390"/>
      <c r="N77" s="390"/>
      <c r="O77" s="390"/>
      <c r="P77" s="390"/>
      <c r="Q77" s="390"/>
      <c r="R77" s="390"/>
      <c r="S77" s="390"/>
      <c r="T77" s="390"/>
      <c r="U77" s="390"/>
      <c r="V77" s="391"/>
      <c r="W77" s="391"/>
      <c r="X77" s="390"/>
      <c r="Y77" s="39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row>
    <row r="78" spans="1:60" s="178" customFormat="1" ht="23.5">
      <c r="A78" s="409"/>
      <c r="C78" s="59"/>
      <c r="D78" s="59"/>
      <c r="E78" s="59"/>
      <c r="F78" s="59"/>
      <c r="V78" s="401"/>
      <c r="W78" s="401"/>
    </row>
    <row r="80" spans="1:60">
      <c r="H80" s="1099"/>
      <c r="I80" s="1099"/>
    </row>
    <row r="81" spans="1:60">
      <c r="C81" s="611"/>
      <c r="D81" s="611"/>
      <c r="H81" s="410"/>
      <c r="I81" s="410"/>
    </row>
    <row r="82" spans="1:60">
      <c r="C82" s="611"/>
      <c r="D82" s="611"/>
    </row>
    <row r="83" spans="1:60" ht="73.5" customHeight="1">
      <c r="C83" s="179" t="s">
        <v>39</v>
      </c>
    </row>
    <row r="84" spans="1:60" ht="65.25" customHeight="1">
      <c r="C84" s="89" t="s">
        <v>1663</v>
      </c>
      <c r="D84" s="90" t="s">
        <v>1966</v>
      </c>
      <c r="E84" s="92" t="s">
        <v>1672</v>
      </c>
      <c r="F84" s="92" t="s">
        <v>1673</v>
      </c>
    </row>
    <row r="85" spans="1:60" ht="65.25" customHeight="1">
      <c r="C85" s="706" t="s">
        <v>3200</v>
      </c>
      <c r="D85" s="708">
        <v>6562</v>
      </c>
      <c r="E85" s="712">
        <f>J45</f>
        <v>19956</v>
      </c>
      <c r="F85" s="712"/>
      <c r="G85" s="61">
        <f>D85-E85</f>
        <v>-13394</v>
      </c>
    </row>
    <row r="86" spans="1:60" ht="65.25" customHeight="1">
      <c r="C86" s="707" t="s">
        <v>3199</v>
      </c>
      <c r="D86" s="713">
        <v>11199</v>
      </c>
      <c r="E86" s="713">
        <f>J40</f>
        <v>54</v>
      </c>
      <c r="F86" s="713">
        <f>D86-E86</f>
        <v>11145</v>
      </c>
    </row>
    <row r="87" spans="1:60" ht="69" customHeight="1">
      <c r="C87" s="88" t="s">
        <v>2679</v>
      </c>
      <c r="D87" s="95">
        <v>85938</v>
      </c>
      <c r="E87" s="95">
        <f>J34</f>
        <v>72570</v>
      </c>
      <c r="F87" s="95">
        <f>D87-E87</f>
        <v>13368</v>
      </c>
    </row>
    <row r="88" spans="1:60" ht="62">
      <c r="C88" s="87" t="s">
        <v>2680</v>
      </c>
      <c r="D88" s="94">
        <v>85938</v>
      </c>
      <c r="E88" s="94">
        <f>J28</f>
        <v>67407</v>
      </c>
      <c r="F88" s="94">
        <f>D88-E88</f>
        <v>18531</v>
      </c>
    </row>
    <row r="89" spans="1:60" ht="62">
      <c r="C89" s="91" t="s">
        <v>2681</v>
      </c>
      <c r="D89" s="93">
        <v>85938</v>
      </c>
      <c r="E89" s="93">
        <f>J22</f>
        <v>65112.140740740746</v>
      </c>
      <c r="F89" s="93">
        <f>D89-E89</f>
        <v>20825.859259259254</v>
      </c>
    </row>
    <row r="90" spans="1:60">
      <c r="E90" s="61"/>
    </row>
    <row r="91" spans="1:60">
      <c r="C91"/>
      <c r="D91"/>
    </row>
    <row r="92" spans="1:60">
      <c r="C92"/>
      <c r="D92"/>
      <c r="AD92" s="178"/>
      <c r="AE92" s="178"/>
      <c r="AF92" s="178"/>
      <c r="AG92" s="178"/>
    </row>
    <row r="93" spans="1:60" ht="23.5">
      <c r="A93" s="392" t="s">
        <v>711</v>
      </c>
      <c r="B93" s="390"/>
      <c r="C93" s="390"/>
      <c r="D93" s="390"/>
      <c r="E93" s="390"/>
      <c r="F93" s="390"/>
      <c r="G93" s="390"/>
      <c r="H93" s="390"/>
      <c r="I93" s="390"/>
      <c r="J93" s="390"/>
      <c r="K93" s="390"/>
      <c r="L93" s="390"/>
      <c r="M93" s="390"/>
      <c r="N93" s="390"/>
      <c r="O93" s="390"/>
      <c r="P93" s="390"/>
      <c r="Q93" s="390"/>
      <c r="R93" s="390"/>
      <c r="S93" s="390"/>
      <c r="T93" s="390"/>
      <c r="U93" s="390"/>
      <c r="V93" s="391"/>
      <c r="W93" s="391"/>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row>
    <row r="94" spans="1:60" s="178" customFormat="1" ht="23.5">
      <c r="A94" s="409"/>
      <c r="V94" s="401"/>
      <c r="W94" s="401"/>
      <c r="AD94" s="59"/>
      <c r="AE94" s="59"/>
      <c r="AF94" s="59"/>
      <c r="AG94" s="59"/>
    </row>
    <row r="95" spans="1:60">
      <c r="C95" s="611"/>
      <c r="D95" s="611"/>
    </row>
    <row r="96" spans="1:60">
      <c r="C96" s="611"/>
      <c r="D96" s="611"/>
    </row>
    <row r="97" spans="3:60">
      <c r="C97" s="611"/>
      <c r="D97" s="611"/>
      <c r="AD97" s="408"/>
      <c r="AE97" s="408"/>
      <c r="AF97" s="408"/>
      <c r="AG97" s="408"/>
    </row>
    <row r="98" spans="3:60">
      <c r="C98" s="179" t="s">
        <v>711</v>
      </c>
      <c r="E98" s="1100"/>
      <c r="F98" s="1100"/>
    </row>
    <row r="99" spans="3:60">
      <c r="C99" s="89" t="s">
        <v>1663</v>
      </c>
      <c r="D99" s="90" t="s">
        <v>1966</v>
      </c>
      <c r="E99" s="92" t="s">
        <v>1672</v>
      </c>
      <c r="F99" s="92" t="s">
        <v>1673</v>
      </c>
      <c r="S99" s="468"/>
      <c r="T99" s="468"/>
      <c r="AC99" s="408"/>
      <c r="AH99" s="408"/>
      <c r="AI99" s="408"/>
      <c r="AJ99" s="408"/>
      <c r="AK99" s="408"/>
      <c r="AL99" s="408"/>
      <c r="AM99" s="408"/>
      <c r="AN99" s="408"/>
      <c r="AO99" s="408"/>
      <c r="AP99" s="408"/>
      <c r="AQ99" s="408"/>
      <c r="AR99" s="408"/>
      <c r="AS99" s="408"/>
      <c r="AT99" s="408"/>
      <c r="AU99" s="408"/>
      <c r="AV99" s="408"/>
      <c r="AW99" s="408"/>
      <c r="AX99" s="408"/>
      <c r="AY99" s="408"/>
      <c r="AZ99" s="408"/>
      <c r="BA99" s="408"/>
      <c r="BB99" s="408"/>
      <c r="BC99" s="408"/>
      <c r="BD99" s="408"/>
      <c r="BE99" s="408"/>
      <c r="BF99" s="408"/>
      <c r="BG99" s="408"/>
      <c r="BH99" s="408"/>
    </row>
    <row r="100" spans="3:60" ht="62">
      <c r="C100" s="707" t="s">
        <v>3199</v>
      </c>
      <c r="D100" s="713">
        <v>2741</v>
      </c>
      <c r="E100" s="713">
        <f>J43</f>
        <v>0</v>
      </c>
      <c r="F100" s="713">
        <f>D100-E100</f>
        <v>2741</v>
      </c>
      <c r="S100" s="468"/>
      <c r="T100" s="468"/>
      <c r="AC100" s="408"/>
      <c r="AH100" s="408"/>
      <c r="AI100" s="408"/>
      <c r="AJ100" s="408"/>
      <c r="AK100" s="408"/>
      <c r="AL100" s="408"/>
      <c r="AM100" s="408"/>
      <c r="AN100" s="408"/>
      <c r="AO100" s="408"/>
      <c r="AP100" s="408"/>
      <c r="AQ100" s="408"/>
      <c r="AR100" s="408"/>
      <c r="AS100" s="408"/>
      <c r="AT100" s="408"/>
      <c r="AU100" s="408"/>
      <c r="AV100" s="408"/>
      <c r="AW100" s="408"/>
      <c r="AX100" s="408"/>
      <c r="AY100" s="408"/>
      <c r="AZ100" s="408"/>
      <c r="BA100" s="408"/>
      <c r="BB100" s="408"/>
      <c r="BC100" s="408"/>
      <c r="BD100" s="408"/>
      <c r="BE100" s="408"/>
      <c r="BF100" s="408"/>
      <c r="BG100" s="408"/>
      <c r="BH100" s="408"/>
    </row>
    <row r="101" spans="3:60" ht="93">
      <c r="C101" s="88" t="s">
        <v>2679</v>
      </c>
      <c r="D101" s="95">
        <v>21033</v>
      </c>
      <c r="E101" s="95">
        <f>J37</f>
        <v>9304</v>
      </c>
      <c r="F101" s="95">
        <f>D101-E101</f>
        <v>11729</v>
      </c>
      <c r="S101"/>
      <c r="T101"/>
    </row>
    <row r="102" spans="3:60" ht="62">
      <c r="C102" s="87" t="s">
        <v>2680</v>
      </c>
      <c r="D102" s="94">
        <v>21033</v>
      </c>
      <c r="E102" s="94">
        <f>J31</f>
        <v>10473</v>
      </c>
      <c r="F102" s="94">
        <f>D102-E102</f>
        <v>10560</v>
      </c>
      <c r="S102"/>
      <c r="T102"/>
    </row>
    <row r="103" spans="3:60" ht="62">
      <c r="C103" s="91" t="s">
        <v>2681</v>
      </c>
      <c r="D103" s="93">
        <v>21033</v>
      </c>
      <c r="E103" s="93">
        <f>J25</f>
        <v>10873.333333333332</v>
      </c>
      <c r="F103" s="93">
        <f>D103-E103</f>
        <v>10159.666666666668</v>
      </c>
      <c r="S103"/>
      <c r="T103"/>
    </row>
    <row r="104" spans="3:60">
      <c r="C104"/>
      <c r="D104"/>
      <c r="E104" s="61"/>
    </row>
    <row r="111" spans="3:60">
      <c r="C111"/>
      <c r="D111"/>
    </row>
    <row r="112" spans="3:60">
      <c r="C112"/>
      <c r="D112"/>
    </row>
    <row r="113" spans="3:4">
      <c r="C113"/>
      <c r="D113"/>
    </row>
    <row r="114" spans="3:4">
      <c r="C114"/>
      <c r="D114"/>
    </row>
  </sheetData>
  <mergeCells count="12">
    <mergeCell ref="C21:C26"/>
    <mergeCell ref="H80:I80"/>
    <mergeCell ref="E98:F98"/>
    <mergeCell ref="P19:R19"/>
    <mergeCell ref="B54:H54"/>
    <mergeCell ref="J54:P54"/>
    <mergeCell ref="C39:C44"/>
    <mergeCell ref="C45:C47"/>
    <mergeCell ref="C33:C38"/>
    <mergeCell ref="C27:C32"/>
    <mergeCell ref="C48:C52"/>
    <mergeCell ref="G19:K19"/>
  </mergeCell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workbookViewId="0">
      <selection activeCell="A20" sqref="A20"/>
    </sheetView>
  </sheetViews>
  <sheetFormatPr defaultRowHeight="15.5"/>
  <cols>
    <col min="1" max="1" width="29.5" customWidth="1"/>
    <col min="2" max="2" width="15" bestFit="1" customWidth="1"/>
    <col min="3" max="3" width="20.1640625" customWidth="1"/>
    <col min="6" max="6" width="11" bestFit="1" customWidth="1"/>
    <col min="8" max="8" width="45.6640625" bestFit="1" customWidth="1"/>
    <col min="9" max="9" width="11.58203125" bestFit="1" customWidth="1"/>
    <col min="12" max="12" width="17.08203125" customWidth="1"/>
    <col min="13" max="13" width="9" style="396"/>
    <col min="14" max="14" width="13.1640625" bestFit="1" customWidth="1"/>
    <col min="16" max="16" width="28.58203125" bestFit="1" customWidth="1"/>
  </cols>
  <sheetData>
    <row r="2" spans="1:16">
      <c r="A2" s="1014" t="s">
        <v>20</v>
      </c>
      <c r="B2" s="1015" t="s">
        <v>1661</v>
      </c>
    </row>
    <row r="3" spans="1:16">
      <c r="A3" s="1014" t="s">
        <v>35</v>
      </c>
      <c r="B3" s="1015" t="s">
        <v>35</v>
      </c>
    </row>
    <row r="4" spans="1:16">
      <c r="A4" s="1014" t="s">
        <v>137</v>
      </c>
      <c r="B4" s="1015" t="s">
        <v>1661</v>
      </c>
    </row>
    <row r="5" spans="1:16">
      <c r="A5" s="1016" t="s">
        <v>22</v>
      </c>
      <c r="B5" s="1015" t="s">
        <v>711</v>
      </c>
      <c r="E5" s="188" t="s">
        <v>22</v>
      </c>
      <c r="F5" s="188" t="s">
        <v>23</v>
      </c>
      <c r="G5" s="188" t="s">
        <v>21</v>
      </c>
      <c r="I5" s="188" t="s">
        <v>22</v>
      </c>
      <c r="J5" s="188" t="s">
        <v>23</v>
      </c>
      <c r="K5" s="188" t="s">
        <v>21</v>
      </c>
      <c r="N5" s="188" t="s">
        <v>22</v>
      </c>
      <c r="O5" s="188" t="s">
        <v>23</v>
      </c>
      <c r="P5" s="188" t="s">
        <v>21</v>
      </c>
    </row>
    <row r="6" spans="1:16">
      <c r="A6" s="112"/>
      <c r="B6" s="105"/>
      <c r="E6" s="414" t="s">
        <v>39</v>
      </c>
      <c r="F6" s="445" t="s">
        <v>198</v>
      </c>
      <c r="G6" s="441" t="s">
        <v>144</v>
      </c>
      <c r="H6" t="str">
        <f>G6&amp;", "&amp;G7&amp;", "&amp;G8</f>
        <v>KBC, Metta, SI</v>
      </c>
      <c r="J6" s="443" t="s">
        <v>730</v>
      </c>
      <c r="K6" s="441" t="s">
        <v>195</v>
      </c>
      <c r="L6" t="str">
        <f>K7</f>
        <v>SCI, Metta</v>
      </c>
      <c r="N6" s="443" t="s">
        <v>2827</v>
      </c>
      <c r="O6" s="445" t="s">
        <v>370</v>
      </c>
      <c r="P6" s="441" t="s">
        <v>2335</v>
      </c>
    </row>
    <row r="7" spans="1:16">
      <c r="A7" s="1014" t="s">
        <v>23</v>
      </c>
      <c r="B7" s="1014" t="s">
        <v>2361</v>
      </c>
      <c r="D7" s="399"/>
      <c r="E7" s="414" t="s">
        <v>39</v>
      </c>
      <c r="F7" s="445" t="s">
        <v>198</v>
      </c>
      <c r="G7" s="441" t="s">
        <v>195</v>
      </c>
      <c r="H7" s="396"/>
      <c r="J7" s="444" t="s">
        <v>730</v>
      </c>
      <c r="K7" s="441" t="s">
        <v>1948</v>
      </c>
      <c r="L7" s="396"/>
      <c r="N7" s="443" t="s">
        <v>2827</v>
      </c>
      <c r="O7" s="445" t="s">
        <v>315</v>
      </c>
      <c r="P7" s="441" t="s">
        <v>306</v>
      </c>
    </row>
    <row r="8" spans="1:16">
      <c r="E8" s="414" t="s">
        <v>39</v>
      </c>
      <c r="F8" s="445" t="s">
        <v>198</v>
      </c>
      <c r="G8" s="441" t="s">
        <v>279</v>
      </c>
      <c r="J8" s="444" t="s">
        <v>752</v>
      </c>
      <c r="K8" s="441" t="s">
        <v>300</v>
      </c>
      <c r="L8" t="str">
        <f>K8</f>
        <v>SCI</v>
      </c>
      <c r="N8" s="443" t="s">
        <v>2827</v>
      </c>
      <c r="O8" s="445" t="s">
        <v>412</v>
      </c>
      <c r="P8" s="441" t="s">
        <v>411</v>
      </c>
    </row>
    <row r="9" spans="1:16">
      <c r="E9" s="414" t="s">
        <v>39</v>
      </c>
      <c r="F9" s="445" t="s">
        <v>149</v>
      </c>
      <c r="G9" s="441" t="s">
        <v>144</v>
      </c>
      <c r="H9" t="str">
        <f>G9&amp;", "&amp;G10&amp;", "&amp;G11</f>
        <v>KBC, KMSS, Shalom</v>
      </c>
      <c r="J9" s="443" t="s">
        <v>715</v>
      </c>
      <c r="K9" s="441" t="s">
        <v>195</v>
      </c>
      <c r="L9" t="str">
        <f>K10&amp;", "&amp;K9</f>
        <v>SCI, Metta</v>
      </c>
      <c r="N9" s="443" t="s">
        <v>2827</v>
      </c>
      <c r="O9" s="445" t="s">
        <v>415</v>
      </c>
      <c r="P9" s="441" t="s">
        <v>2904</v>
      </c>
    </row>
    <row r="10" spans="1:16">
      <c r="E10" s="414" t="s">
        <v>39</v>
      </c>
      <c r="F10" s="445" t="s">
        <v>149</v>
      </c>
      <c r="G10" s="441" t="s">
        <v>38</v>
      </c>
      <c r="J10" s="443" t="s">
        <v>715</v>
      </c>
      <c r="K10" s="441" t="s">
        <v>300</v>
      </c>
      <c r="N10" s="444" t="s">
        <v>2827</v>
      </c>
      <c r="O10" s="446" t="s">
        <v>308</v>
      </c>
      <c r="P10" s="440" t="s">
        <v>2905</v>
      </c>
    </row>
    <row r="11" spans="1:16">
      <c r="E11" s="414" t="s">
        <v>39</v>
      </c>
      <c r="F11" s="445" t="s">
        <v>149</v>
      </c>
      <c r="G11" s="441" t="s">
        <v>245</v>
      </c>
      <c r="J11" s="444" t="s">
        <v>715</v>
      </c>
      <c r="K11" s="441" t="s">
        <v>1948</v>
      </c>
    </row>
    <row r="12" spans="1:16">
      <c r="E12" s="414" t="s">
        <v>39</v>
      </c>
      <c r="F12" s="445" t="s">
        <v>151</v>
      </c>
      <c r="G12" s="441" t="s">
        <v>144</v>
      </c>
      <c r="H12" t="str">
        <f>G12&amp;", "&amp;G13&amp;", "&amp;G14</f>
        <v>KBC, KMSS, Shalom</v>
      </c>
      <c r="J12" s="444" t="s">
        <v>1267</v>
      </c>
      <c r="K12" s="441" t="s">
        <v>195</v>
      </c>
      <c r="L12" t="str">
        <f>K12</f>
        <v>Metta</v>
      </c>
      <c r="N12" s="443" t="s">
        <v>332</v>
      </c>
      <c r="O12" s="441" t="s">
        <v>382</v>
      </c>
      <c r="P12" t="s">
        <v>2906</v>
      </c>
    </row>
    <row r="13" spans="1:16">
      <c r="E13" s="414" t="s">
        <v>39</v>
      </c>
      <c r="F13" s="445" t="s">
        <v>151</v>
      </c>
      <c r="G13" s="441" t="s">
        <v>38</v>
      </c>
      <c r="J13" s="443" t="s">
        <v>718</v>
      </c>
      <c r="K13" s="441" t="s">
        <v>195</v>
      </c>
      <c r="L13" t="str">
        <f>K14</f>
        <v>KMSS, Metta</v>
      </c>
      <c r="N13" s="444" t="s">
        <v>370</v>
      </c>
      <c r="O13" s="441" t="s">
        <v>2335</v>
      </c>
      <c r="P13" t="s">
        <v>2335</v>
      </c>
    </row>
    <row r="14" spans="1:16">
      <c r="E14" s="414" t="s">
        <v>39</v>
      </c>
      <c r="F14" s="445" t="s">
        <v>151</v>
      </c>
      <c r="G14" s="441" t="s">
        <v>245</v>
      </c>
      <c r="J14" s="444" t="s">
        <v>718</v>
      </c>
      <c r="K14" s="441" t="s">
        <v>1228</v>
      </c>
      <c r="N14" s="444" t="s">
        <v>315</v>
      </c>
      <c r="O14" s="441" t="s">
        <v>331</v>
      </c>
      <c r="P14" t="s">
        <v>331</v>
      </c>
    </row>
    <row r="15" spans="1:16">
      <c r="E15" s="414" t="s">
        <v>39</v>
      </c>
      <c r="F15" s="445" t="s">
        <v>40</v>
      </c>
      <c r="G15" s="441" t="s">
        <v>144</v>
      </c>
      <c r="H15" t="str">
        <f>G15&amp;", "&amp;G16&amp;", "&amp;G17&amp;", "&amp;G18</f>
        <v>KBC, KMSS, Metta, WPN</v>
      </c>
      <c r="J15" s="443" t="s">
        <v>721</v>
      </c>
      <c r="K15" s="441" t="s">
        <v>195</v>
      </c>
      <c r="L15" t="str">
        <f>K16&amp;", "&amp;K15</f>
        <v>SCI, Metta</v>
      </c>
      <c r="N15" s="443" t="s">
        <v>318</v>
      </c>
      <c r="O15" s="441" t="s">
        <v>321</v>
      </c>
      <c r="P15" t="s">
        <v>2165</v>
      </c>
    </row>
    <row r="16" spans="1:16">
      <c r="E16" s="414" t="s">
        <v>39</v>
      </c>
      <c r="F16" s="445" t="s">
        <v>40</v>
      </c>
      <c r="G16" s="441" t="s">
        <v>38</v>
      </c>
      <c r="J16" s="444" t="s">
        <v>721</v>
      </c>
      <c r="K16" s="441" t="s">
        <v>300</v>
      </c>
      <c r="N16" s="444" t="s">
        <v>325</v>
      </c>
      <c r="O16" s="441" t="s">
        <v>327</v>
      </c>
      <c r="P16" t="s">
        <v>327</v>
      </c>
    </row>
    <row r="17" spans="5:16">
      <c r="E17" s="414" t="s">
        <v>39</v>
      </c>
      <c r="F17" s="445" t="s">
        <v>40</v>
      </c>
      <c r="G17" s="441" t="s">
        <v>195</v>
      </c>
      <c r="J17" s="443" t="s">
        <v>712</v>
      </c>
      <c r="K17" s="441" t="s">
        <v>195</v>
      </c>
      <c r="L17" t="str">
        <f>K19&amp;", "&amp;K18</f>
        <v>KMSS, Metta, SCI</v>
      </c>
      <c r="N17" s="444" t="s">
        <v>412</v>
      </c>
      <c r="O17" s="441" t="s">
        <v>411</v>
      </c>
      <c r="P17" t="s">
        <v>411</v>
      </c>
    </row>
    <row r="18" spans="5:16">
      <c r="E18" s="414" t="s">
        <v>39</v>
      </c>
      <c r="F18" s="445" t="s">
        <v>40</v>
      </c>
      <c r="G18" s="441" t="s">
        <v>294</v>
      </c>
      <c r="J18" s="443" t="s">
        <v>712</v>
      </c>
      <c r="K18" s="441" t="s">
        <v>300</v>
      </c>
      <c r="N18" s="443" t="s">
        <v>415</v>
      </c>
      <c r="O18" s="441" t="s">
        <v>347</v>
      </c>
      <c r="P18" t="s">
        <v>2907</v>
      </c>
    </row>
    <row r="19" spans="5:16">
      <c r="E19" s="414" t="s">
        <v>39</v>
      </c>
      <c r="F19" s="445" t="s">
        <v>155</v>
      </c>
      <c r="G19" s="441" t="s">
        <v>144</v>
      </c>
      <c r="H19" t="str">
        <f>G19&amp;", "&amp;G20</f>
        <v>KBC, KMSS</v>
      </c>
      <c r="J19" s="443" t="s">
        <v>712</v>
      </c>
      <c r="K19" s="441" t="s">
        <v>1228</v>
      </c>
      <c r="N19" s="444" t="s">
        <v>350</v>
      </c>
      <c r="O19" s="441" t="s">
        <v>1265</v>
      </c>
      <c r="P19" t="s">
        <v>1265</v>
      </c>
    </row>
    <row r="20" spans="5:16">
      <c r="E20" s="414" t="s">
        <v>39</v>
      </c>
      <c r="F20" s="445" t="s">
        <v>155</v>
      </c>
      <c r="G20" s="441" t="s">
        <v>38</v>
      </c>
      <c r="J20" s="444" t="s">
        <v>712</v>
      </c>
      <c r="K20" s="441" t="s">
        <v>3035</v>
      </c>
      <c r="N20" s="443" t="s">
        <v>308</v>
      </c>
      <c r="O20" s="441" t="s">
        <v>327</v>
      </c>
      <c r="P20" t="s">
        <v>2908</v>
      </c>
    </row>
    <row r="21" spans="5:16">
      <c r="E21" s="414" t="s">
        <v>39</v>
      </c>
      <c r="F21" s="445" t="s">
        <v>160</v>
      </c>
      <c r="G21" s="441" t="s">
        <v>144</v>
      </c>
      <c r="H21" t="str">
        <f>G21&amp;", "&amp;G22</f>
        <v>KBC, KMSS</v>
      </c>
      <c r="J21" s="443" t="s">
        <v>732</v>
      </c>
      <c r="K21" s="441" t="s">
        <v>195</v>
      </c>
      <c r="L21" t="str">
        <f>K23</f>
        <v>SCI, Metta</v>
      </c>
    </row>
    <row r="22" spans="5:16">
      <c r="E22" s="414" t="s">
        <v>39</v>
      </c>
      <c r="F22" s="445" t="s">
        <v>160</v>
      </c>
      <c r="G22" s="441" t="s">
        <v>38</v>
      </c>
      <c r="J22" s="443" t="s">
        <v>732</v>
      </c>
      <c r="K22" s="441" t="s">
        <v>300</v>
      </c>
      <c r="N22" s="443" t="s">
        <v>332</v>
      </c>
      <c r="O22" s="441" t="s">
        <v>382</v>
      </c>
      <c r="P22" t="s">
        <v>2909</v>
      </c>
    </row>
    <row r="23" spans="5:16">
      <c r="E23" s="414" t="s">
        <v>39</v>
      </c>
      <c r="F23" s="445" t="s">
        <v>208</v>
      </c>
      <c r="G23" s="441" t="s">
        <v>144</v>
      </c>
      <c r="H23" t="str">
        <f>G23&amp;", "&amp;G24&amp;", "&amp;G25&amp;", "&amp;G26&amp;", "&amp;G27</f>
        <v>KBC, KMSS, Metta, SI, WPN</v>
      </c>
      <c r="J23" s="444" t="s">
        <v>732</v>
      </c>
      <c r="K23" s="441" t="s">
        <v>1948</v>
      </c>
      <c r="N23" s="444" t="s">
        <v>315</v>
      </c>
      <c r="O23" s="441" t="s">
        <v>1265</v>
      </c>
      <c r="P23" s="441" t="s">
        <v>1265</v>
      </c>
    </row>
    <row r="24" spans="5:16">
      <c r="E24" s="414" t="s">
        <v>39</v>
      </c>
      <c r="F24" s="445" t="s">
        <v>208</v>
      </c>
      <c r="G24" s="441" t="s">
        <v>38</v>
      </c>
      <c r="J24" s="444" t="s">
        <v>1285</v>
      </c>
      <c r="K24" s="440" t="s">
        <v>195</v>
      </c>
      <c r="L24" s="396" t="str">
        <f>K24</f>
        <v>Metta</v>
      </c>
      <c r="M24"/>
      <c r="N24" s="444" t="s">
        <v>318</v>
      </c>
      <c r="O24" s="441" t="s">
        <v>2884</v>
      </c>
      <c r="P24" s="441" t="s">
        <v>2884</v>
      </c>
    </row>
    <row r="25" spans="5:16">
      <c r="E25" s="414" t="s">
        <v>39</v>
      </c>
      <c r="F25" s="445" t="s">
        <v>208</v>
      </c>
      <c r="G25" s="441" t="s">
        <v>195</v>
      </c>
      <c r="L25" s="396"/>
      <c r="M25"/>
      <c r="N25" s="444" t="s">
        <v>484</v>
      </c>
      <c r="O25" s="441" t="s">
        <v>2738</v>
      </c>
      <c r="P25" s="441" t="s">
        <v>2738</v>
      </c>
    </row>
    <row r="26" spans="5:16">
      <c r="E26" s="414" t="s">
        <v>39</v>
      </c>
      <c r="F26" s="445" t="s">
        <v>208</v>
      </c>
      <c r="G26" s="441" t="s">
        <v>279</v>
      </c>
      <c r="L26" s="396"/>
      <c r="M26"/>
      <c r="N26" s="444" t="s">
        <v>415</v>
      </c>
      <c r="O26" s="440" t="s">
        <v>1265</v>
      </c>
      <c r="P26" s="440" t="s">
        <v>1265</v>
      </c>
    </row>
    <row r="27" spans="5:16">
      <c r="E27" s="414" t="s">
        <v>39</v>
      </c>
      <c r="F27" s="445" t="s">
        <v>208</v>
      </c>
      <c r="G27" s="441" t="s">
        <v>294</v>
      </c>
      <c r="J27" s="188" t="s">
        <v>23</v>
      </c>
      <c r="K27" s="188" t="s">
        <v>21</v>
      </c>
      <c r="L27" s="396"/>
      <c r="M27"/>
    </row>
    <row r="28" spans="5:16">
      <c r="E28" s="414" t="s">
        <v>39</v>
      </c>
      <c r="F28" s="445" t="s">
        <v>162</v>
      </c>
      <c r="G28" s="441" t="s">
        <v>144</v>
      </c>
      <c r="H28" t="str">
        <f>G28&amp;", "&amp;G29&amp;", "&amp;G30</f>
        <v>KBC, KMSS, Shalom</v>
      </c>
      <c r="J28" s="443" t="s">
        <v>730</v>
      </c>
      <c r="K28" t="s">
        <v>1948</v>
      </c>
      <c r="L28" s="396"/>
      <c r="M28"/>
    </row>
    <row r="29" spans="5:16">
      <c r="E29" s="414" t="s">
        <v>39</v>
      </c>
      <c r="F29" s="445" t="s">
        <v>162</v>
      </c>
      <c r="G29" s="441" t="s">
        <v>38</v>
      </c>
      <c r="J29" t="s">
        <v>752</v>
      </c>
      <c r="K29" t="s">
        <v>300</v>
      </c>
      <c r="L29" s="396"/>
      <c r="M29"/>
    </row>
    <row r="30" spans="5:16">
      <c r="E30" s="414" t="s">
        <v>39</v>
      </c>
      <c r="F30" s="445" t="s">
        <v>162</v>
      </c>
      <c r="G30" s="441" t="s">
        <v>245</v>
      </c>
      <c r="J30" t="s">
        <v>715</v>
      </c>
      <c r="K30" t="s">
        <v>1948</v>
      </c>
    </row>
    <row r="31" spans="5:16">
      <c r="E31" s="414" t="s">
        <v>39</v>
      </c>
      <c r="F31" s="445" t="s">
        <v>176</v>
      </c>
      <c r="G31" s="441" t="s">
        <v>144</v>
      </c>
      <c r="H31" t="str">
        <f>G31</f>
        <v>KBC</v>
      </c>
      <c r="J31" s="444" t="s">
        <v>1267</v>
      </c>
      <c r="K31" s="441" t="s">
        <v>195</v>
      </c>
    </row>
    <row r="32" spans="5:16">
      <c r="E32" s="414" t="s">
        <v>39</v>
      </c>
      <c r="F32" s="445" t="s">
        <v>217</v>
      </c>
      <c r="G32" s="441" t="s">
        <v>144</v>
      </c>
      <c r="H32" t="str">
        <f>G32&amp;", "&amp;G33</f>
        <v>KBC, Metta</v>
      </c>
      <c r="J32" t="s">
        <v>718</v>
      </c>
      <c r="K32" t="s">
        <v>1228</v>
      </c>
    </row>
    <row r="33" spans="5:13">
      <c r="E33" s="414" t="s">
        <v>39</v>
      </c>
      <c r="F33" s="445" t="s">
        <v>217</v>
      </c>
      <c r="G33" s="441" t="s">
        <v>195</v>
      </c>
      <c r="J33" t="s">
        <v>721</v>
      </c>
      <c r="K33" t="s">
        <v>1948</v>
      </c>
    </row>
    <row r="34" spans="5:13">
      <c r="E34" s="414" t="s">
        <v>39</v>
      </c>
      <c r="F34" s="445" t="s">
        <v>187</v>
      </c>
      <c r="G34" s="441" t="s">
        <v>144</v>
      </c>
      <c r="H34" t="str">
        <f>G34</f>
        <v>KBC</v>
      </c>
      <c r="J34" t="s">
        <v>712</v>
      </c>
      <c r="K34" t="s">
        <v>3051</v>
      </c>
    </row>
    <row r="35" spans="5:13">
      <c r="E35" s="414" t="s">
        <v>39</v>
      </c>
      <c r="F35" s="443" t="s">
        <v>145</v>
      </c>
      <c r="G35" s="441" t="s">
        <v>144</v>
      </c>
      <c r="H35" t="str">
        <f>G35&amp;", "&amp;G36&amp;", "&amp;G37&amp;", "&amp;G38</f>
        <v>KBC, KMSS, Metta, Shalom</v>
      </c>
      <c r="J35" t="s">
        <v>732</v>
      </c>
      <c r="K35" t="s">
        <v>195</v>
      </c>
      <c r="L35" t="s">
        <v>1948</v>
      </c>
    </row>
    <row r="36" spans="5:13">
      <c r="E36" s="414" t="s">
        <v>39</v>
      </c>
      <c r="F36" s="443" t="s">
        <v>145</v>
      </c>
      <c r="G36" s="441" t="s">
        <v>38</v>
      </c>
      <c r="J36" s="444" t="s">
        <v>1285</v>
      </c>
      <c r="K36" s="440" t="s">
        <v>195</v>
      </c>
    </row>
    <row r="37" spans="5:13">
      <c r="E37" s="414" t="s">
        <v>39</v>
      </c>
      <c r="F37" s="443" t="s">
        <v>145</v>
      </c>
      <c r="G37" s="441" t="s">
        <v>195</v>
      </c>
    </row>
    <row r="38" spans="5:13">
      <c r="E38" s="414" t="s">
        <v>39</v>
      </c>
      <c r="F38" s="444" t="s">
        <v>145</v>
      </c>
      <c r="G38" s="440" t="s">
        <v>245</v>
      </c>
    </row>
    <row r="39" spans="5:13">
      <c r="E39" s="414"/>
      <c r="F39" s="445"/>
      <c r="G39" s="441"/>
    </row>
    <row r="40" spans="5:13">
      <c r="E40" s="414"/>
      <c r="F40" s="445"/>
      <c r="G40" s="441"/>
    </row>
    <row r="41" spans="5:13">
      <c r="E41" s="447"/>
      <c r="F41" s="445"/>
      <c r="G41" s="441"/>
    </row>
    <row r="44" spans="5:13">
      <c r="E44" t="s">
        <v>22</v>
      </c>
      <c r="F44" t="s">
        <v>23</v>
      </c>
      <c r="L44" s="396"/>
      <c r="M44"/>
    </row>
    <row r="45" spans="5:13">
      <c r="E45" t="s">
        <v>39</v>
      </c>
      <c r="F45" t="s">
        <v>198</v>
      </c>
      <c r="G45" t="s">
        <v>2161</v>
      </c>
      <c r="L45" s="396"/>
      <c r="M45"/>
    </row>
    <row r="46" spans="5:13">
      <c r="E46" t="s">
        <v>39</v>
      </c>
      <c r="F46" t="s">
        <v>149</v>
      </c>
      <c r="G46" t="s">
        <v>2162</v>
      </c>
      <c r="L46" s="396"/>
      <c r="M46"/>
    </row>
    <row r="47" spans="5:13">
      <c r="E47" t="s">
        <v>39</v>
      </c>
      <c r="F47" t="s">
        <v>151</v>
      </c>
      <c r="G47" t="s">
        <v>2162</v>
      </c>
      <c r="L47" s="396"/>
      <c r="M47"/>
    </row>
    <row r="48" spans="5:13">
      <c r="E48" t="s">
        <v>39</v>
      </c>
      <c r="F48" t="s">
        <v>40</v>
      </c>
      <c r="G48" t="s">
        <v>2903</v>
      </c>
      <c r="L48" s="396"/>
      <c r="M48"/>
    </row>
    <row r="49" spans="5:13">
      <c r="E49" t="s">
        <v>39</v>
      </c>
      <c r="F49" t="s">
        <v>155</v>
      </c>
      <c r="G49" t="s">
        <v>2163</v>
      </c>
      <c r="L49" s="396"/>
      <c r="M49"/>
    </row>
    <row r="50" spans="5:13">
      <c r="E50" t="s">
        <v>39</v>
      </c>
      <c r="F50" t="s">
        <v>160</v>
      </c>
      <c r="G50" t="s">
        <v>2163</v>
      </c>
      <c r="L50" s="396"/>
      <c r="M50"/>
    </row>
    <row r="51" spans="5:13">
      <c r="E51" t="s">
        <v>39</v>
      </c>
      <c r="F51" t="s">
        <v>208</v>
      </c>
      <c r="G51" t="s">
        <v>3050</v>
      </c>
      <c r="L51" s="396"/>
      <c r="M51"/>
    </row>
    <row r="52" spans="5:13">
      <c r="E52" s="182" t="s">
        <v>39</v>
      </c>
      <c r="F52" s="182" t="s">
        <v>162</v>
      </c>
      <c r="G52" t="s">
        <v>2162</v>
      </c>
      <c r="L52" s="396"/>
      <c r="M52"/>
    </row>
    <row r="53" spans="5:13">
      <c r="E53" s="182" t="s">
        <v>39</v>
      </c>
      <c r="F53" s="182" t="s">
        <v>176</v>
      </c>
      <c r="G53" t="s">
        <v>144</v>
      </c>
      <c r="L53" s="396"/>
      <c r="M53"/>
    </row>
    <row r="54" spans="5:13">
      <c r="E54" s="182" t="s">
        <v>39</v>
      </c>
      <c r="F54" s="182" t="s">
        <v>217</v>
      </c>
      <c r="G54" t="s">
        <v>1961</v>
      </c>
      <c r="L54" s="396"/>
      <c r="M54"/>
    </row>
    <row r="55" spans="5:13">
      <c r="E55" s="182" t="s">
        <v>39</v>
      </c>
      <c r="F55" s="182" t="s">
        <v>187</v>
      </c>
      <c r="G55" t="s">
        <v>144</v>
      </c>
      <c r="L55" s="396"/>
      <c r="M55"/>
    </row>
    <row r="56" spans="5:13">
      <c r="E56" s="182" t="s">
        <v>39</v>
      </c>
      <c r="F56" s="182" t="s">
        <v>145</v>
      </c>
      <c r="G56" t="s">
        <v>2164</v>
      </c>
      <c r="L56" s="396"/>
      <c r="M56"/>
    </row>
    <row r="57" spans="5:13">
      <c r="E57" s="182"/>
      <c r="F57" s="182"/>
    </row>
    <row r="58" spans="5:13">
      <c r="E58" s="182"/>
      <c r="F58" s="182"/>
    </row>
    <row r="59" spans="5:13">
      <c r="E59" s="182"/>
      <c r="F59" s="182"/>
    </row>
    <row r="60" spans="5:13">
      <c r="E60" s="182"/>
      <c r="F60" s="182"/>
    </row>
    <row r="61" spans="5:13">
      <c r="E61" s="187"/>
      <c r="F61" s="18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90"/>
  <sheetViews>
    <sheetView showGridLines="0" topLeftCell="A6" zoomScale="90" zoomScaleNormal="90" workbookViewId="0">
      <selection activeCell="G28" sqref="G28"/>
    </sheetView>
  </sheetViews>
  <sheetFormatPr defaultColWidth="9" defaultRowHeight="14.5"/>
  <cols>
    <col min="1" max="1" width="9.58203125" style="105" customWidth="1"/>
    <col min="2" max="2" width="11" style="105" customWidth="1"/>
    <col min="3" max="3" width="13.83203125" style="105" customWidth="1"/>
    <col min="4" max="4" width="16.08203125" style="105" customWidth="1"/>
    <col min="5" max="5" width="16.1640625" style="105" customWidth="1"/>
    <col min="6" max="6" width="17.1640625" style="105" customWidth="1"/>
    <col min="7" max="7" width="12.5" style="105" customWidth="1"/>
    <col min="8" max="8" width="35.25" style="105" bestFit="1" customWidth="1"/>
    <col min="9" max="9" width="25.4140625" style="105" bestFit="1" customWidth="1"/>
    <col min="10" max="10" width="15" style="105" customWidth="1"/>
    <col min="11" max="11" width="9.58203125" style="105" customWidth="1"/>
    <col min="12" max="12" width="14.83203125" style="105" customWidth="1"/>
    <col min="13" max="13" width="9.1640625" style="105" customWidth="1"/>
    <col min="14" max="14" width="11.1640625" style="105" customWidth="1"/>
    <col min="15" max="15" width="13.1640625" style="105" customWidth="1"/>
    <col min="16" max="16" width="14.1640625" style="105" customWidth="1"/>
    <col min="17" max="17" width="12.6640625" style="105" customWidth="1"/>
    <col min="18" max="18" width="9.58203125" style="105" customWidth="1"/>
    <col min="19" max="19" width="13.08203125" style="105" customWidth="1"/>
    <col min="20" max="21" width="9.58203125" style="105" customWidth="1"/>
    <col min="22" max="22" width="44.58203125" style="105" bestFit="1" customWidth="1"/>
    <col min="23" max="23" width="25.4140625" style="105" bestFit="1" customWidth="1"/>
    <col min="24" max="24" width="13.6640625" style="105" customWidth="1"/>
    <col min="25" max="31" width="9.58203125" style="105" customWidth="1"/>
    <col min="32" max="32" width="16.6640625" style="105" customWidth="1"/>
    <col min="33" max="33" width="9.58203125" style="105" customWidth="1"/>
    <col min="34" max="37" width="9" style="105"/>
    <col min="38" max="38" width="14.6640625" style="105" customWidth="1"/>
    <col min="39" max="16384" width="9" style="105"/>
  </cols>
  <sheetData>
    <row r="2" spans="1:42" s="132" customFormat="1" ht="18.5">
      <c r="A2" s="104" t="s">
        <v>2033</v>
      </c>
      <c r="B2" s="104"/>
      <c r="C2" s="104"/>
      <c r="D2" s="104"/>
      <c r="E2" s="104"/>
      <c r="F2" s="104"/>
      <c r="G2" s="104"/>
      <c r="H2" s="104"/>
      <c r="I2" s="104"/>
      <c r="J2" s="104"/>
      <c r="K2" s="104"/>
      <c r="L2" s="104"/>
      <c r="M2" s="104"/>
      <c r="N2" s="104"/>
      <c r="O2" s="104"/>
      <c r="P2" s="104"/>
      <c r="Q2" s="104"/>
      <c r="R2" s="104"/>
      <c r="S2" s="104"/>
      <c r="T2" s="104"/>
      <c r="U2" s="104"/>
      <c r="V2" s="104"/>
      <c r="W2" s="104"/>
      <c r="X2" s="104"/>
      <c r="Y2" s="104"/>
      <c r="Z2" s="104"/>
    </row>
    <row r="3" spans="1:42">
      <c r="C3" s="106"/>
      <c r="K3" s="106"/>
      <c r="R3" s="106"/>
    </row>
    <row r="4" spans="1:42">
      <c r="C4" s="107"/>
      <c r="D4" s="108"/>
      <c r="E4" s="108"/>
      <c r="F4" s="108"/>
      <c r="G4" s="109"/>
    </row>
    <row r="5" spans="1:42" ht="15.5">
      <c r="B5" s="1014" t="s">
        <v>20</v>
      </c>
      <c r="C5" s="1015" t="s">
        <v>3263</v>
      </c>
      <c r="I5" s="1014" t="s">
        <v>20</v>
      </c>
      <c r="J5" s="1015" t="s">
        <v>3263</v>
      </c>
      <c r="O5" s="573"/>
      <c r="AL5"/>
      <c r="AM5"/>
    </row>
    <row r="6" spans="1:42" ht="15.5">
      <c r="B6" s="1014" t="s">
        <v>35</v>
      </c>
      <c r="C6" s="1015" t="s">
        <v>35</v>
      </c>
      <c r="I6" s="1014" t="s">
        <v>35</v>
      </c>
      <c r="J6" s="1015" t="s">
        <v>35</v>
      </c>
      <c r="O6" s="573"/>
      <c r="AL6" s="396"/>
      <c r="AM6" s="396"/>
      <c r="AN6" s="396"/>
    </row>
    <row r="7" spans="1:42" ht="15.5">
      <c r="B7" s="1016" t="s">
        <v>22</v>
      </c>
      <c r="C7" s="1016" t="s">
        <v>39</v>
      </c>
      <c r="I7" s="1016" t="s">
        <v>22</v>
      </c>
      <c r="J7" s="1015" t="s">
        <v>711</v>
      </c>
      <c r="O7" s="573"/>
      <c r="AL7" s="396"/>
      <c r="AM7" s="396"/>
      <c r="AN7" s="396"/>
    </row>
    <row r="8" spans="1:42" ht="15.5">
      <c r="B8" s="1014" t="s">
        <v>137</v>
      </c>
      <c r="C8" s="1015" t="s">
        <v>1915</v>
      </c>
      <c r="I8" s="1014" t="s">
        <v>137</v>
      </c>
      <c r="J8" s="1015" t="s">
        <v>1915</v>
      </c>
      <c r="O8" s="573"/>
      <c r="AE8" s="162"/>
      <c r="AL8" s="396"/>
      <c r="AM8" s="396"/>
      <c r="AN8" s="396"/>
    </row>
    <row r="9" spans="1:42" s="110" customFormat="1" ht="15.5">
      <c r="B9" s="112"/>
      <c r="C9" s="105"/>
      <c r="D9" s="162" t="s">
        <v>45</v>
      </c>
      <c r="E9" s="105"/>
      <c r="F9" s="105"/>
      <c r="I9" s="396"/>
      <c r="J9" s="105"/>
      <c r="K9" s="162" t="s">
        <v>45</v>
      </c>
      <c r="L9" s="105"/>
      <c r="M9" s="105"/>
      <c r="O9" s="105"/>
      <c r="P9" s="162"/>
      <c r="Q9" s="105"/>
      <c r="R9" s="105"/>
      <c r="S9" s="105"/>
      <c r="AE9"/>
      <c r="AF9"/>
      <c r="AG9"/>
      <c r="AH9" s="442"/>
      <c r="AI9" s="416"/>
      <c r="AJ9" s="416"/>
      <c r="AK9" s="417"/>
      <c r="AL9" s="399"/>
      <c r="AM9" s="399"/>
      <c r="AN9" s="399"/>
      <c r="AO9" s="416"/>
      <c r="AP9" s="416"/>
    </row>
    <row r="10" spans="1:42" s="110" customFormat="1" ht="15.5">
      <c r="B10" s="1022" t="s">
        <v>23</v>
      </c>
      <c r="C10" s="1015" t="s">
        <v>3655</v>
      </c>
      <c r="D10" s="1028" t="s">
        <v>1925</v>
      </c>
      <c r="E10" s="1015" t="s">
        <v>2983</v>
      </c>
      <c r="F10" s="1015" t="s">
        <v>2984</v>
      </c>
      <c r="G10" s="1015" t="s">
        <v>2985</v>
      </c>
      <c r="I10" s="1022" t="s">
        <v>1660</v>
      </c>
      <c r="J10" s="1015" t="s">
        <v>3655</v>
      </c>
      <c r="K10" s="1028" t="s">
        <v>1925</v>
      </c>
      <c r="L10" s="1015" t="s">
        <v>2983</v>
      </c>
      <c r="M10" s="1015" t="s">
        <v>2984</v>
      </c>
      <c r="N10" s="1015" t="s">
        <v>2986</v>
      </c>
      <c r="O10"/>
      <c r="P10"/>
      <c r="Q10"/>
      <c r="R10"/>
      <c r="S10" s="475"/>
      <c r="T10" s="417"/>
      <c r="U10" s="417"/>
      <c r="V10" s="417"/>
      <c r="W10" s="417"/>
      <c r="X10" s="417"/>
      <c r="Y10" s="417"/>
      <c r="Z10" s="417"/>
      <c r="AA10" s="417"/>
      <c r="AB10" s="417"/>
      <c r="AC10" s="417"/>
      <c r="AD10" s="417"/>
      <c r="AE10" s="475"/>
      <c r="AF10" s="475"/>
      <c r="AG10" s="475"/>
      <c r="AH10" s="475"/>
      <c r="AI10" s="475"/>
      <c r="AJ10" s="475"/>
      <c r="AK10" s="417"/>
      <c r="AL10" s="475"/>
      <c r="AM10" s="475"/>
      <c r="AN10" s="475"/>
      <c r="AO10" s="475"/>
      <c r="AP10" s="475"/>
    </row>
    <row r="11" spans="1:42" ht="15.5">
      <c r="B11" s="1017" t="s">
        <v>198</v>
      </c>
      <c r="C11" s="1019">
        <v>11</v>
      </c>
      <c r="D11" s="1027">
        <v>8001</v>
      </c>
      <c r="E11" s="1021">
        <v>1.6372953380827449E-2</v>
      </c>
      <c r="F11" s="1021">
        <v>0.36095488063991998</v>
      </c>
      <c r="G11" s="1021">
        <v>0.27609048868891384</v>
      </c>
      <c r="I11" s="1017" t="s">
        <v>730</v>
      </c>
      <c r="J11" s="1019">
        <v>2</v>
      </c>
      <c r="K11" s="1027">
        <v>365</v>
      </c>
      <c r="L11" s="1021">
        <v>0</v>
      </c>
      <c r="M11" s="1021">
        <v>0</v>
      </c>
      <c r="N11" s="1021">
        <v>0</v>
      </c>
      <c r="O11"/>
      <c r="P11"/>
      <c r="Q11"/>
      <c r="R11"/>
      <c r="S11"/>
      <c r="U11" s="182"/>
      <c r="AE11"/>
      <c r="AF11"/>
      <c r="AG11"/>
      <c r="AH11"/>
      <c r="AI11"/>
      <c r="AJ11"/>
      <c r="AL11" s="396"/>
      <c r="AM11" s="396"/>
      <c r="AN11" s="396"/>
      <c r="AO11"/>
      <c r="AP11"/>
    </row>
    <row r="12" spans="1:42" ht="15.5">
      <c r="B12" s="1017" t="s">
        <v>149</v>
      </c>
      <c r="C12" s="1019">
        <v>5</v>
      </c>
      <c r="D12" s="1027">
        <v>2999</v>
      </c>
      <c r="E12" s="1021">
        <v>0.91108147160164499</v>
      </c>
      <c r="F12" s="1021">
        <v>6.5688562854284815E-2</v>
      </c>
      <c r="G12" s="1021">
        <v>0.36712237412470827</v>
      </c>
      <c r="I12" s="1017" t="s">
        <v>715</v>
      </c>
      <c r="J12" s="1019">
        <v>16</v>
      </c>
      <c r="K12" s="1027">
        <v>5151</v>
      </c>
      <c r="L12" s="1021">
        <v>0.61133760434867013</v>
      </c>
      <c r="M12" s="1021">
        <v>8.0955154338963276E-2</v>
      </c>
      <c r="N12" s="1021">
        <v>1.4560279557367495E-2</v>
      </c>
      <c r="O12"/>
      <c r="P12"/>
      <c r="Q12"/>
      <c r="R12"/>
      <c r="S12"/>
      <c r="U12" s="396"/>
      <c r="AE12"/>
      <c r="AF12"/>
      <c r="AG12"/>
      <c r="AH12"/>
      <c r="AI12"/>
      <c r="AJ12"/>
      <c r="AL12" s="396"/>
      <c r="AM12" s="396"/>
      <c r="AN12" s="396"/>
      <c r="AO12"/>
      <c r="AP12"/>
    </row>
    <row r="13" spans="1:42" ht="15.5">
      <c r="B13" s="1017" t="s">
        <v>151</v>
      </c>
      <c r="C13" s="1019">
        <v>21</v>
      </c>
      <c r="D13" s="1027">
        <v>3920</v>
      </c>
      <c r="E13" s="1021">
        <v>0.23069727891156455</v>
      </c>
      <c r="F13" s="1021">
        <v>2.9081632653061185E-2</v>
      </c>
      <c r="G13" s="1021">
        <v>3.5714285714285587E-3</v>
      </c>
      <c r="I13" s="1017" t="s">
        <v>1267</v>
      </c>
      <c r="J13" s="1019">
        <v>1</v>
      </c>
      <c r="K13" s="1027">
        <v>95</v>
      </c>
      <c r="L13" s="1021">
        <v>0</v>
      </c>
      <c r="M13" s="1021">
        <v>0</v>
      </c>
      <c r="N13" s="1021">
        <v>0</v>
      </c>
      <c r="O13"/>
      <c r="P13"/>
      <c r="Q13"/>
      <c r="R13"/>
      <c r="S13"/>
      <c r="U13" s="396"/>
      <c r="AB13"/>
      <c r="AE13"/>
      <c r="AF13"/>
      <c r="AG13"/>
      <c r="AH13"/>
      <c r="AI13"/>
      <c r="AJ13"/>
      <c r="AL13" s="396"/>
      <c r="AM13" s="396"/>
      <c r="AN13" s="396"/>
      <c r="AO13"/>
      <c r="AP13"/>
    </row>
    <row r="14" spans="1:42" ht="15.5">
      <c r="B14" s="1017" t="s">
        <v>40</v>
      </c>
      <c r="C14" s="1019">
        <v>10</v>
      </c>
      <c r="D14" s="1027">
        <v>13067</v>
      </c>
      <c r="E14" s="1021">
        <v>0.45511594091987451</v>
      </c>
      <c r="F14" s="1021">
        <v>0.36014387388076829</v>
      </c>
      <c r="G14" s="1021">
        <v>0.31422667789087011</v>
      </c>
      <c r="I14" s="1017" t="s">
        <v>718</v>
      </c>
      <c r="J14" s="1019">
        <v>2</v>
      </c>
      <c r="K14" s="1027">
        <v>304</v>
      </c>
      <c r="L14" s="1021">
        <v>0</v>
      </c>
      <c r="M14" s="1021">
        <v>0</v>
      </c>
      <c r="N14" s="1021">
        <v>0</v>
      </c>
      <c r="O14"/>
      <c r="P14"/>
      <c r="Q14"/>
      <c r="R14"/>
      <c r="S14"/>
      <c r="U14" s="396"/>
      <c r="AB14"/>
      <c r="AE14"/>
      <c r="AF14"/>
      <c r="AG14"/>
      <c r="AH14"/>
      <c r="AI14"/>
      <c r="AJ14"/>
      <c r="AL14" s="396"/>
      <c r="AM14" s="396"/>
      <c r="AN14" s="396"/>
      <c r="AO14"/>
      <c r="AP14"/>
    </row>
    <row r="15" spans="1:42" ht="15.5">
      <c r="B15" s="1017" t="s">
        <v>155</v>
      </c>
      <c r="C15" s="1019">
        <v>8</v>
      </c>
      <c r="D15" s="1027">
        <v>1462</v>
      </c>
      <c r="E15" s="1021">
        <v>5.0615595075239384E-2</v>
      </c>
      <c r="F15" s="1021">
        <v>0.22435020519835847</v>
      </c>
      <c r="G15" s="1021">
        <v>0</v>
      </c>
      <c r="I15" s="1017" t="s">
        <v>721</v>
      </c>
      <c r="J15" s="1019">
        <v>2</v>
      </c>
      <c r="K15" s="1027">
        <v>667</v>
      </c>
      <c r="L15" s="1021">
        <v>0.82908545727136429</v>
      </c>
      <c r="M15" s="1021">
        <v>0</v>
      </c>
      <c r="N15" s="1021">
        <v>0</v>
      </c>
      <c r="O15"/>
      <c r="P15"/>
      <c r="Q15"/>
      <c r="R15"/>
      <c r="S15"/>
      <c r="U15" s="396"/>
      <c r="AA15"/>
      <c r="AB15"/>
      <c r="AE15"/>
      <c r="AF15"/>
      <c r="AG15"/>
      <c r="AH15"/>
      <c r="AI15"/>
      <c r="AJ15"/>
      <c r="AL15" s="396"/>
      <c r="AM15" s="396"/>
      <c r="AN15" s="396"/>
      <c r="AO15"/>
      <c r="AP15"/>
    </row>
    <row r="16" spans="1:42" ht="15.5">
      <c r="B16" s="1017" t="s">
        <v>160</v>
      </c>
      <c r="C16" s="1019">
        <v>3</v>
      </c>
      <c r="D16" s="1027">
        <v>286</v>
      </c>
      <c r="E16" s="1021">
        <v>0.42307692307692313</v>
      </c>
      <c r="F16" s="1021">
        <v>0.46853146853146854</v>
      </c>
      <c r="G16" s="1021">
        <v>0.42307692307692313</v>
      </c>
      <c r="I16" s="1017" t="s">
        <v>712</v>
      </c>
      <c r="J16" s="1019">
        <v>6</v>
      </c>
      <c r="K16" s="1027">
        <v>2035</v>
      </c>
      <c r="L16" s="1021">
        <v>0.44029484029484034</v>
      </c>
      <c r="M16" s="1021">
        <v>0.34545454545454546</v>
      </c>
      <c r="N16" s="1021">
        <v>0.45110565110565115</v>
      </c>
      <c r="O16"/>
      <c r="P16"/>
      <c r="Q16"/>
      <c r="R16"/>
      <c r="S16"/>
      <c r="U16" s="396"/>
      <c r="AA16"/>
      <c r="AB16"/>
      <c r="AE16"/>
      <c r="AF16"/>
      <c r="AG16"/>
      <c r="AH16"/>
      <c r="AI16"/>
      <c r="AJ16"/>
      <c r="AL16" s="396"/>
      <c r="AM16" s="396"/>
      <c r="AN16" s="396"/>
      <c r="AO16"/>
      <c r="AP16"/>
    </row>
    <row r="17" spans="1:42" ht="15.5">
      <c r="B17" s="1017" t="s">
        <v>208</v>
      </c>
      <c r="C17" s="1019">
        <v>19</v>
      </c>
      <c r="D17" s="1027">
        <v>26972</v>
      </c>
      <c r="E17" s="1021">
        <v>0.54019229818577286</v>
      </c>
      <c r="F17" s="1021">
        <v>0.4961070740026694</v>
      </c>
      <c r="G17" s="1021">
        <v>0.31899747886697316</v>
      </c>
      <c r="I17" s="1017" t="s">
        <v>732</v>
      </c>
      <c r="J17" s="1019">
        <v>4</v>
      </c>
      <c r="K17" s="1027">
        <v>583</v>
      </c>
      <c r="L17" s="1021">
        <v>0.16180674671240702</v>
      </c>
      <c r="M17" s="1021">
        <v>1.7152658662092923E-3</v>
      </c>
      <c r="N17" s="1021">
        <v>0</v>
      </c>
      <c r="O17"/>
      <c r="P17"/>
      <c r="Q17"/>
      <c r="R17"/>
      <c r="S17"/>
      <c r="AA17"/>
      <c r="AB17"/>
      <c r="AE17"/>
      <c r="AF17"/>
      <c r="AG17"/>
      <c r="AH17"/>
      <c r="AI17"/>
      <c r="AJ17"/>
      <c r="AL17" s="396"/>
      <c r="AM17" s="396"/>
      <c r="AN17" s="396"/>
      <c r="AO17"/>
      <c r="AP17"/>
    </row>
    <row r="18" spans="1:42" ht="15.5">
      <c r="B18" s="1017" t="s">
        <v>162</v>
      </c>
      <c r="C18" s="1019">
        <v>28</v>
      </c>
      <c r="D18" s="1027">
        <v>10831</v>
      </c>
      <c r="E18" s="1021">
        <v>7.8109131197488635E-2</v>
      </c>
      <c r="F18" s="1021">
        <v>0.21604653309943678</v>
      </c>
      <c r="G18" s="1021">
        <v>0.22417135998522764</v>
      </c>
      <c r="I18" s="1017" t="s">
        <v>1285</v>
      </c>
      <c r="J18" s="1019">
        <v>1</v>
      </c>
      <c r="K18" s="1027">
        <v>53</v>
      </c>
      <c r="L18" s="1021">
        <v>1</v>
      </c>
      <c r="M18" s="1021">
        <v>1</v>
      </c>
      <c r="N18" s="1021">
        <v>0</v>
      </c>
      <c r="O18"/>
      <c r="P18"/>
      <c r="Q18"/>
      <c r="R18"/>
      <c r="S18"/>
      <c r="AA18"/>
      <c r="AB18"/>
      <c r="AE18"/>
      <c r="AF18"/>
      <c r="AG18"/>
      <c r="AL18" s="396"/>
      <c r="AM18" s="396"/>
      <c r="AN18" s="396"/>
      <c r="AO18"/>
      <c r="AP18"/>
    </row>
    <row r="19" spans="1:42" ht="15.5">
      <c r="B19" s="1017" t="s">
        <v>176</v>
      </c>
      <c r="C19" s="1019">
        <v>1</v>
      </c>
      <c r="D19" s="1027">
        <v>289</v>
      </c>
      <c r="E19" s="1021">
        <v>0</v>
      </c>
      <c r="F19" s="1021">
        <v>0.16955017301038067</v>
      </c>
      <c r="G19" s="1021">
        <v>0</v>
      </c>
      <c r="I19" s="1017" t="s">
        <v>1662</v>
      </c>
      <c r="J19" s="1019">
        <v>34</v>
      </c>
      <c r="K19" s="1027">
        <v>9253</v>
      </c>
      <c r="L19" s="1021">
        <v>0.51284268165279734</v>
      </c>
      <c r="M19" s="1021">
        <v>0.12687776937209549</v>
      </c>
      <c r="N19" s="1021">
        <v>0.10731654598508589</v>
      </c>
      <c r="O19"/>
      <c r="P19"/>
      <c r="Q19"/>
      <c r="R19"/>
      <c r="S19"/>
      <c r="AA19"/>
      <c r="AB19"/>
      <c r="AE19"/>
      <c r="AF19"/>
      <c r="AG19"/>
      <c r="AL19"/>
      <c r="AM19"/>
    </row>
    <row r="20" spans="1:42" ht="15.5">
      <c r="B20" s="1017" t="s">
        <v>217</v>
      </c>
      <c r="C20" s="1019">
        <v>6</v>
      </c>
      <c r="D20" s="1027">
        <v>2859</v>
      </c>
      <c r="E20" s="1021">
        <v>0.3410283315844701</v>
      </c>
      <c r="F20" s="1021">
        <v>0.8111227701993704</v>
      </c>
      <c r="G20" s="1021">
        <v>0.82966072053165441</v>
      </c>
      <c r="I20"/>
      <c r="J20"/>
      <c r="K20"/>
      <c r="L20"/>
      <c r="M20"/>
      <c r="N20"/>
      <c r="P20" s="468"/>
      <c r="Q20" s="468"/>
      <c r="R20"/>
      <c r="S20"/>
      <c r="T20"/>
      <c r="AA20"/>
      <c r="AB20"/>
      <c r="AE20"/>
      <c r="AF20"/>
      <c r="AG20"/>
      <c r="AL20"/>
      <c r="AM20"/>
    </row>
    <row r="21" spans="1:42" ht="15.5">
      <c r="B21" s="1017" t="s">
        <v>187</v>
      </c>
      <c r="C21" s="1019">
        <v>2</v>
      </c>
      <c r="D21" s="1027">
        <v>872</v>
      </c>
      <c r="E21" s="1021">
        <v>0.84709480122324154</v>
      </c>
      <c r="F21" s="1021">
        <v>0</v>
      </c>
      <c r="G21" s="1021">
        <v>0</v>
      </c>
      <c r="I21"/>
      <c r="J21"/>
      <c r="K21"/>
      <c r="L21"/>
      <c r="M21"/>
      <c r="N21"/>
      <c r="P21" s="468"/>
      <c r="Q21" s="468"/>
      <c r="R21"/>
      <c r="S21"/>
      <c r="T21"/>
      <c r="U21"/>
      <c r="AA21"/>
      <c r="AB21"/>
      <c r="AE21"/>
      <c r="AF21"/>
      <c r="AG21"/>
      <c r="AL21"/>
      <c r="AM21"/>
    </row>
    <row r="22" spans="1:42" ht="15.5">
      <c r="B22" s="1017" t="s">
        <v>1148</v>
      </c>
      <c r="C22" s="1019">
        <v>2</v>
      </c>
      <c r="D22" s="1027">
        <v>950</v>
      </c>
      <c r="E22" s="1021">
        <v>0.2192982456140351</v>
      </c>
      <c r="F22" s="1021">
        <v>0.5368421052631579</v>
      </c>
      <c r="G22" s="1021">
        <v>0.93684210526315792</v>
      </c>
      <c r="P22" s="468"/>
      <c r="Q22" s="468"/>
      <c r="R22" s="396"/>
      <c r="AA22"/>
      <c r="AB22"/>
      <c r="AE22"/>
      <c r="AF22"/>
      <c r="AG22"/>
      <c r="AL22"/>
      <c r="AM22"/>
    </row>
    <row r="23" spans="1:42" ht="15.5">
      <c r="B23" s="1017" t="s">
        <v>145</v>
      </c>
      <c r="C23" s="1019">
        <v>25</v>
      </c>
      <c r="D23" s="1027">
        <v>25781</v>
      </c>
      <c r="E23" s="1021">
        <v>0.53997618113827728</v>
      </c>
      <c r="F23" s="1021">
        <v>0.28330941390946818</v>
      </c>
      <c r="G23" s="1021">
        <v>0.22423490167177373</v>
      </c>
      <c r="I23" s="468"/>
      <c r="J23" s="468"/>
      <c r="K23" s="468"/>
      <c r="L23" s="468"/>
      <c r="M23" s="468"/>
      <c r="N23" s="468"/>
      <c r="P23" s="468"/>
      <c r="Q23" s="468"/>
      <c r="R23" s="396"/>
      <c r="AA23"/>
      <c r="AB23"/>
      <c r="AF23"/>
      <c r="AG23"/>
      <c r="AL23"/>
      <c r="AM23"/>
    </row>
    <row r="24" spans="1:42" ht="15.5">
      <c r="B24" s="1017" t="s">
        <v>1662</v>
      </c>
      <c r="C24" s="1019">
        <v>141</v>
      </c>
      <c r="D24" s="1027">
        <v>98289</v>
      </c>
      <c r="E24" s="1021">
        <v>0.41885520515275643</v>
      </c>
      <c r="F24" s="1021">
        <v>0.34866566960697531</v>
      </c>
      <c r="G24" s="1021">
        <v>0.28106909216697695</v>
      </c>
      <c r="I24" s="468"/>
      <c r="J24" s="468"/>
      <c r="K24" s="468"/>
      <c r="L24" s="468"/>
      <c r="M24" s="468"/>
      <c r="N24" s="468"/>
      <c r="P24" s="468"/>
      <c r="Q24" s="468"/>
      <c r="R24" s="396"/>
      <c r="AF24"/>
      <c r="AG24"/>
      <c r="AL24"/>
      <c r="AM24"/>
    </row>
    <row r="25" spans="1:42" ht="39.5" thickBot="1">
      <c r="A25" s="468"/>
      <c r="B25" s="468"/>
      <c r="C25" s="468"/>
      <c r="D25" s="468"/>
      <c r="E25" s="468"/>
      <c r="F25" s="468"/>
      <c r="G25" s="468"/>
      <c r="H25" s="468"/>
      <c r="I25" s="623" t="s">
        <v>3162</v>
      </c>
      <c r="J25" s="624" t="s">
        <v>1951</v>
      </c>
      <c r="K25" s="623" t="s">
        <v>1928</v>
      </c>
      <c r="L25" s="623" t="s">
        <v>1952</v>
      </c>
      <c r="M25" s="623" t="s">
        <v>1953</v>
      </c>
      <c r="N25" s="623" t="s">
        <v>1954</v>
      </c>
      <c r="P25" s="468"/>
      <c r="Q25" s="468"/>
      <c r="R25" s="396"/>
      <c r="S25" s="162"/>
      <c r="AA25" s="416"/>
      <c r="AB25" s="416"/>
      <c r="AE25" s="416"/>
      <c r="AF25" s="399"/>
      <c r="AG25" s="399"/>
      <c r="AH25" s="416"/>
      <c r="AI25" s="416"/>
      <c r="AJ25" s="416"/>
      <c r="AK25" s="416"/>
      <c r="AL25" s="399"/>
      <c r="AM25" s="399"/>
      <c r="AN25" s="416"/>
      <c r="AO25" s="416"/>
      <c r="AP25" s="416"/>
    </row>
    <row r="26" spans="1:42" ht="15.5">
      <c r="A26" s="468"/>
      <c r="B26" s="468"/>
      <c r="C26" s="468"/>
      <c r="D26" s="468"/>
      <c r="E26" s="468"/>
      <c r="F26" s="468"/>
      <c r="G26" s="468"/>
      <c r="H26" s="468"/>
      <c r="I26" s="625"/>
      <c r="J26" s="626"/>
      <c r="K26" s="627"/>
      <c r="L26" s="628"/>
      <c r="M26" s="628"/>
      <c r="N26" s="629"/>
      <c r="P26" s="468"/>
      <c r="Q26" s="468"/>
      <c r="R26" s="399"/>
      <c r="S26" s="399"/>
      <c r="T26" s="399"/>
      <c r="U26" s="399"/>
      <c r="AA26" s="416"/>
      <c r="AB26" s="416"/>
      <c r="AC26" s="399"/>
      <c r="AD26" s="399"/>
      <c r="AE26" s="416"/>
      <c r="AF26" s="399"/>
      <c r="AG26" s="399"/>
      <c r="AH26" s="416"/>
      <c r="AI26" s="416"/>
      <c r="AJ26" s="416"/>
      <c r="AK26" s="416"/>
      <c r="AL26" s="399"/>
      <c r="AM26" s="399"/>
      <c r="AN26" s="416"/>
      <c r="AO26" s="416"/>
      <c r="AP26" s="416"/>
    </row>
    <row r="27" spans="1:42" ht="16" thickBot="1">
      <c r="A27" s="468"/>
      <c r="B27" s="468"/>
      <c r="C27" s="468"/>
      <c r="D27" s="468"/>
      <c r="E27" s="468"/>
      <c r="F27" s="468"/>
      <c r="G27" s="468"/>
      <c r="H27" s="468"/>
      <c r="I27" s="630"/>
      <c r="J27" s="631"/>
      <c r="K27" s="632"/>
      <c r="L27" s="633"/>
      <c r="M27" s="633"/>
      <c r="N27" s="634"/>
      <c r="P27" s="468"/>
      <c r="Q27" s="468"/>
      <c r="R27" s="396"/>
      <c r="S27"/>
      <c r="T27"/>
      <c r="U27"/>
      <c r="AC27"/>
      <c r="AD27"/>
      <c r="AF27" s="396"/>
      <c r="AG27" s="396"/>
      <c r="AL27" s="396"/>
      <c r="AM27" s="396"/>
    </row>
    <row r="28" spans="1:42" ht="16" thickTop="1">
      <c r="A28" s="468"/>
      <c r="B28" s="468"/>
      <c r="C28" s="468"/>
      <c r="D28" s="468"/>
      <c r="E28" s="468"/>
      <c r="F28" s="468"/>
      <c r="G28" s="468"/>
      <c r="H28" s="468"/>
      <c r="I28" s="635" t="s">
        <v>1929</v>
      </c>
      <c r="J28" s="636" t="s">
        <v>1960</v>
      </c>
      <c r="K28" s="637">
        <f>SUM(K26:K27)</f>
        <v>0</v>
      </c>
      <c r="L28" s="638"/>
      <c r="M28" s="638"/>
      <c r="N28" s="639"/>
      <c r="P28" s="468"/>
      <c r="Q28" s="468"/>
      <c r="R28" s="399"/>
      <c r="S28" s="399"/>
      <c r="T28" s="399"/>
      <c r="U28" s="399"/>
      <c r="AA28" s="416"/>
      <c r="AB28" s="416"/>
      <c r="AC28" s="399"/>
      <c r="AD28" s="399"/>
      <c r="AE28" s="416"/>
      <c r="AF28" s="399"/>
      <c r="AG28" s="399"/>
      <c r="AH28" s="416"/>
      <c r="AI28" s="416"/>
      <c r="AJ28" s="416"/>
      <c r="AK28" s="416"/>
      <c r="AL28" s="399"/>
      <c r="AM28" s="399"/>
      <c r="AN28" s="416"/>
      <c r="AO28" s="416"/>
      <c r="AP28" s="416"/>
    </row>
    <row r="29" spans="1:42" ht="15.5">
      <c r="A29" s="468"/>
      <c r="B29" s="468"/>
      <c r="C29" s="468"/>
      <c r="D29" s="468"/>
      <c r="E29" s="468"/>
      <c r="F29" s="468"/>
      <c r="G29" s="468"/>
      <c r="H29" s="468"/>
      <c r="I29" s="465"/>
      <c r="J29" s="465"/>
      <c r="K29" s="465"/>
      <c r="L29" s="465"/>
      <c r="M29" s="465"/>
      <c r="N29" s="465"/>
      <c r="P29" s="468"/>
      <c r="Q29" s="468"/>
      <c r="R29" s="396"/>
      <c r="S29"/>
      <c r="T29"/>
      <c r="U29"/>
      <c r="AC29"/>
      <c r="AD29"/>
      <c r="AF29" s="396"/>
      <c r="AG29" s="396"/>
      <c r="AL29" s="396"/>
      <c r="AM29" s="396"/>
    </row>
    <row r="30" spans="1:42" ht="15.5">
      <c r="A30" s="468"/>
      <c r="B30" s="468"/>
      <c r="C30" s="468"/>
      <c r="D30" s="468"/>
      <c r="E30" s="468"/>
      <c r="F30" s="468"/>
      <c r="G30" s="468"/>
      <c r="H30" s="468"/>
      <c r="I30" s="465"/>
      <c r="J30" s="465"/>
      <c r="K30" s="465"/>
      <c r="L30" s="465"/>
      <c r="M30" s="465"/>
      <c r="N30" s="465"/>
      <c r="P30" s="468"/>
      <c r="Q30" s="468"/>
      <c r="R30" s="396"/>
      <c r="S30"/>
      <c r="T30"/>
      <c r="U30"/>
      <c r="AC30"/>
      <c r="AD30"/>
      <c r="AF30"/>
      <c r="AG30"/>
      <c r="AL30"/>
      <c r="AM30"/>
    </row>
    <row r="31" spans="1:42" ht="15.5">
      <c r="A31" s="468"/>
      <c r="B31" s="468"/>
      <c r="C31" s="468"/>
      <c r="D31" s="468"/>
      <c r="E31" s="468"/>
      <c r="F31" s="468"/>
      <c r="G31" s="468"/>
      <c r="H31" s="468"/>
      <c r="I31" s="465"/>
      <c r="J31" s="465"/>
      <c r="K31" s="465"/>
      <c r="L31" s="465"/>
      <c r="M31" s="465"/>
      <c r="N31" s="465"/>
      <c r="O31" s="475"/>
      <c r="P31" s="475"/>
      <c r="Q31" s="475"/>
      <c r="R31" s="475"/>
      <c r="S31" s="475"/>
      <c r="T31" s="475"/>
      <c r="U31" s="475"/>
      <c r="V31" s="416"/>
      <c r="W31" s="416"/>
      <c r="X31" s="416"/>
      <c r="Y31" s="416"/>
      <c r="Z31" s="416"/>
      <c r="AA31" s="416"/>
      <c r="AB31" s="416"/>
      <c r="AC31" s="475"/>
      <c r="AD31" s="475"/>
      <c r="AE31" s="416"/>
      <c r="AF31" s="475"/>
      <c r="AG31"/>
      <c r="AL31"/>
      <c r="AM31"/>
    </row>
    <row r="32" spans="1:42" ht="15.5">
      <c r="A32" s="468"/>
      <c r="B32" s="468"/>
      <c r="C32" s="468"/>
      <c r="D32" s="468"/>
      <c r="E32" s="468"/>
      <c r="F32" s="468"/>
      <c r="G32" s="468"/>
      <c r="H32" s="468"/>
      <c r="I32" s="465"/>
      <c r="J32" s="465"/>
      <c r="K32" s="465"/>
      <c r="L32" s="465"/>
      <c r="M32" s="465"/>
      <c r="N32" s="465"/>
      <c r="Q32"/>
      <c r="R32" s="396"/>
      <c r="S32" s="396"/>
      <c r="T32" s="396"/>
      <c r="U32" s="396"/>
      <c r="AC32"/>
      <c r="AD32"/>
      <c r="AF32" s="396"/>
      <c r="AG32" s="396"/>
      <c r="AL32" s="396"/>
      <c r="AM32" s="396"/>
    </row>
    <row r="33" spans="1:39" s="115" customFormat="1" ht="15.5">
      <c r="A33" s="468"/>
      <c r="B33" s="468"/>
      <c r="C33" s="468"/>
      <c r="D33" s="468"/>
      <c r="E33" s="468"/>
      <c r="F33" s="468"/>
      <c r="G33" s="468"/>
      <c r="H33" s="468"/>
      <c r="I33" s="465"/>
      <c r="J33" s="465"/>
      <c r="K33" s="465"/>
      <c r="L33" s="465"/>
      <c r="M33" s="465"/>
      <c r="N33" s="465"/>
      <c r="O33" s="465"/>
      <c r="P33" s="465"/>
      <c r="Q33" s="465"/>
      <c r="R33" s="465"/>
      <c r="S33" s="465"/>
      <c r="T33" s="465"/>
      <c r="U33" s="465"/>
      <c r="V33" s="465"/>
      <c r="W33" s="465"/>
      <c r="X33" s="465"/>
      <c r="Y33" s="465"/>
      <c r="Z33" s="465"/>
      <c r="AC33" s="401"/>
      <c r="AF33" s="401"/>
      <c r="AL33" s="401"/>
      <c r="AM33" s="401"/>
    </row>
    <row r="34" spans="1:39" s="115" customFormat="1" ht="15.5">
      <c r="A34" s="468"/>
      <c r="B34" s="468"/>
      <c r="C34" s="468"/>
      <c r="D34"/>
      <c r="E34" s="468"/>
      <c r="F34" s="468"/>
      <c r="G34" s="468"/>
      <c r="H34" s="468"/>
      <c r="I34" s="465"/>
      <c r="J34" s="465"/>
      <c r="K34" s="465"/>
      <c r="L34" s="465"/>
      <c r="M34" s="465"/>
      <c r="N34" s="465"/>
      <c r="O34" s="465"/>
      <c r="P34" s="465"/>
      <c r="Q34" s="465"/>
      <c r="R34" s="465"/>
      <c r="S34" s="465"/>
      <c r="T34" s="465"/>
      <c r="U34" s="465"/>
      <c r="V34" s="465"/>
      <c r="W34" s="465"/>
      <c r="X34" s="465"/>
      <c r="Y34" s="465"/>
      <c r="Z34" s="465"/>
      <c r="AC34" s="401"/>
      <c r="AF34" s="401"/>
      <c r="AL34" s="401"/>
      <c r="AM34" s="401"/>
    </row>
    <row r="35" spans="1:39" s="115" customFormat="1" ht="18.5">
      <c r="A35" s="464"/>
      <c r="B35" s="616"/>
      <c r="C35" s="616"/>
      <c r="D35" s="617"/>
      <c r="E35" s="618"/>
      <c r="F35" s="618"/>
      <c r="G35" s="618"/>
      <c r="H35" s="466"/>
      <c r="I35" s="465"/>
      <c r="J35" s="465"/>
      <c r="K35" s="465"/>
      <c r="L35" s="465"/>
      <c r="M35" s="465"/>
      <c r="N35" s="465"/>
      <c r="O35" s="465"/>
      <c r="P35" s="465"/>
      <c r="Q35" s="465"/>
      <c r="R35" s="465"/>
      <c r="S35" s="465"/>
      <c r="T35" s="465"/>
      <c r="U35" s="465"/>
      <c r="V35" s="465"/>
      <c r="W35" s="465"/>
      <c r="X35" s="465"/>
      <c r="Y35" s="465"/>
      <c r="Z35" s="465"/>
      <c r="AC35" s="489"/>
      <c r="AF35" s="489"/>
      <c r="AL35" s="489"/>
      <c r="AM35" s="489"/>
    </row>
    <row r="36" spans="1:39" s="115" customFormat="1" ht="18.5">
      <c r="A36" s="464"/>
      <c r="B36" s="616"/>
      <c r="C36" s="616"/>
      <c r="D36" s="617"/>
      <c r="E36" s="618"/>
      <c r="F36" s="618"/>
      <c r="G36" s="618"/>
      <c r="H36" s="466"/>
      <c r="O36" s="465"/>
      <c r="P36" s="465"/>
      <c r="Q36" s="465"/>
      <c r="R36" s="465"/>
      <c r="S36" s="465"/>
      <c r="T36" s="465"/>
      <c r="U36" s="465"/>
      <c r="V36" s="465"/>
      <c r="W36" s="465"/>
      <c r="X36" s="465"/>
      <c r="Y36" s="465"/>
      <c r="Z36" s="465"/>
      <c r="AC36" s="489"/>
      <c r="AF36" s="489"/>
      <c r="AL36" s="489"/>
      <c r="AM36" s="489"/>
    </row>
    <row r="37" spans="1:39" ht="18.5">
      <c r="A37" s="157" t="s">
        <v>2041</v>
      </c>
      <c r="B37" s="461"/>
      <c r="C37" s="461"/>
      <c r="D37" s="461"/>
      <c r="E37" s="461"/>
      <c r="F37" s="461"/>
      <c r="G37" s="461"/>
      <c r="H37" s="461"/>
      <c r="I37" s="462"/>
      <c r="J37" s="463"/>
      <c r="K37" s="463"/>
      <c r="L37" s="463"/>
      <c r="M37" s="113"/>
      <c r="N37" s="113"/>
      <c r="O37" s="113"/>
      <c r="P37" s="113"/>
      <c r="Q37" s="113"/>
      <c r="R37" s="113"/>
      <c r="S37" s="113"/>
      <c r="T37" s="113"/>
      <c r="U37" s="113"/>
      <c r="V37" s="113"/>
      <c r="W37" s="113"/>
      <c r="X37" s="113"/>
      <c r="Y37" s="113"/>
      <c r="Z37" s="113"/>
      <c r="AC37" s="396"/>
      <c r="AF37" s="396"/>
      <c r="AL37" s="396"/>
      <c r="AM37" s="396"/>
    </row>
    <row r="38" spans="1:39" ht="15.5">
      <c r="B38"/>
      <c r="C38"/>
      <c r="D38"/>
      <c r="E38"/>
      <c r="F38"/>
      <c r="G38"/>
      <c r="AC38"/>
      <c r="AF38"/>
      <c r="AL38"/>
      <c r="AM38"/>
    </row>
    <row r="39" spans="1:39" ht="15.5">
      <c r="B39"/>
      <c r="C39"/>
      <c r="D39"/>
      <c r="E39"/>
      <c r="F39"/>
      <c r="AC39"/>
      <c r="AL39"/>
      <c r="AM39"/>
    </row>
    <row r="40" spans="1:39" ht="15.5">
      <c r="B40"/>
      <c r="C40"/>
      <c r="D40"/>
      <c r="E40"/>
      <c r="F40"/>
      <c r="AC40"/>
      <c r="AL40"/>
    </row>
    <row r="41" spans="1:39" ht="15.5">
      <c r="B41" s="1014" t="s">
        <v>20</v>
      </c>
      <c r="C41" s="1015" t="s">
        <v>3263</v>
      </c>
      <c r="I41" s="1014" t="s">
        <v>20</v>
      </c>
      <c r="J41" s="1015" t="s">
        <v>3263</v>
      </c>
      <c r="AC41"/>
      <c r="AL41"/>
    </row>
    <row r="42" spans="1:39" ht="15.5">
      <c r="B42" s="1016" t="s">
        <v>22</v>
      </c>
      <c r="C42" s="1016" t="s">
        <v>39</v>
      </c>
      <c r="I42" s="1016" t="s">
        <v>22</v>
      </c>
      <c r="J42" s="1015" t="s">
        <v>711</v>
      </c>
      <c r="AC42"/>
      <c r="AL42"/>
    </row>
    <row r="43" spans="1:39" ht="15.5">
      <c r="B43" s="1014" t="s">
        <v>35</v>
      </c>
      <c r="C43" s="1015" t="s">
        <v>35</v>
      </c>
      <c r="I43" s="1014" t="s">
        <v>35</v>
      </c>
      <c r="J43" s="1015" t="s">
        <v>35</v>
      </c>
      <c r="AC43"/>
      <c r="AL43"/>
    </row>
    <row r="44" spans="1:39" ht="15.5">
      <c r="B44" s="1014" t="s">
        <v>137</v>
      </c>
      <c r="C44" s="1015" t="s">
        <v>1915</v>
      </c>
      <c r="I44" s="1014" t="s">
        <v>137</v>
      </c>
      <c r="J44" s="1015" t="s">
        <v>1915</v>
      </c>
      <c r="AL44"/>
    </row>
    <row r="45" spans="1:39" ht="15.5">
      <c r="AL45"/>
    </row>
    <row r="46" spans="1:39" ht="15.5">
      <c r="B46" s="1022" t="s">
        <v>1660</v>
      </c>
      <c r="C46" s="1028" t="s">
        <v>1672</v>
      </c>
      <c r="D46" s="1028" t="s">
        <v>1673</v>
      </c>
      <c r="E46" s="112"/>
      <c r="I46" s="1022" t="s">
        <v>1660</v>
      </c>
      <c r="J46" s="1028" t="s">
        <v>1672</v>
      </c>
      <c r="K46" s="1028" t="s">
        <v>1673</v>
      </c>
      <c r="AL46"/>
    </row>
    <row r="47" spans="1:39">
      <c r="B47" s="1017" t="s">
        <v>2833</v>
      </c>
      <c r="C47" s="1020">
        <v>87.617999999999967</v>
      </c>
      <c r="D47" s="1020">
        <v>71.268000000000001</v>
      </c>
      <c r="E47" s="112"/>
      <c r="I47" s="1017" t="s">
        <v>2833</v>
      </c>
      <c r="J47" s="1020">
        <v>9.0153333333333361</v>
      </c>
      <c r="K47" s="1020">
        <v>26.138666666666662</v>
      </c>
    </row>
    <row r="48" spans="1:39" ht="15.5">
      <c r="B48" s="1017" t="s">
        <v>2834</v>
      </c>
      <c r="C48" s="1020">
        <v>26.62228148148148</v>
      </c>
      <c r="D48" s="1020">
        <v>63.601718518518524</v>
      </c>
      <c r="E48" s="112"/>
      <c r="I48"/>
      <c r="J48"/>
      <c r="K48"/>
      <c r="P48"/>
      <c r="Q48"/>
      <c r="R48"/>
    </row>
    <row r="49" spans="2:39" ht="15.5">
      <c r="B49"/>
      <c r="C49"/>
      <c r="D49"/>
      <c r="E49" s="112"/>
      <c r="F49" s="112"/>
      <c r="G49" s="112"/>
      <c r="H49" s="112"/>
      <c r="I49"/>
      <c r="J49"/>
      <c r="K49"/>
    </row>
    <row r="50" spans="2:39" ht="15.5">
      <c r="F50" s="112"/>
      <c r="G50" s="112"/>
      <c r="H50" s="112"/>
      <c r="I50"/>
      <c r="J50"/>
      <c r="K50"/>
    </row>
    <row r="54" spans="2:39">
      <c r="B54" s="112"/>
      <c r="C54" s="112"/>
      <c r="D54" s="112"/>
      <c r="F54" s="551"/>
      <c r="G54" s="112"/>
      <c r="H54" s="112"/>
      <c r="J54" s="112"/>
      <c r="K54" s="112"/>
      <c r="L54" s="112"/>
    </row>
    <row r="55" spans="2:39">
      <c r="B55" s="112"/>
      <c r="C55" s="112"/>
      <c r="D55" s="112"/>
      <c r="F55" s="112"/>
      <c r="G55" s="112"/>
      <c r="H55" s="112"/>
      <c r="J55" s="112"/>
      <c r="K55" s="112"/>
      <c r="L55" s="112"/>
    </row>
    <row r="56" spans="2:39">
      <c r="B56" s="1014" t="s">
        <v>20</v>
      </c>
      <c r="C56" s="1015" t="s">
        <v>1915</v>
      </c>
      <c r="D56" s="112"/>
      <c r="E56" s="184" t="s">
        <v>2278</v>
      </c>
      <c r="F56" s="112"/>
      <c r="G56" s="112"/>
      <c r="P56" s="1014" t="s">
        <v>20</v>
      </c>
      <c r="Q56" s="1015" t="s">
        <v>1915</v>
      </c>
      <c r="R56" s="112"/>
      <c r="S56" s="184" t="s">
        <v>2278</v>
      </c>
      <c r="T56" s="112"/>
    </row>
    <row r="57" spans="2:39">
      <c r="B57" s="1014" t="s">
        <v>35</v>
      </c>
      <c r="C57" s="1015" t="s">
        <v>35</v>
      </c>
      <c r="D57" s="112"/>
      <c r="F57" s="112"/>
      <c r="G57" s="112"/>
      <c r="P57" s="1014" t="s">
        <v>35</v>
      </c>
      <c r="Q57" s="1015" t="s">
        <v>35</v>
      </c>
      <c r="R57" s="112"/>
      <c r="T57" s="112"/>
    </row>
    <row r="58" spans="2:39">
      <c r="B58" s="1014" t="s">
        <v>137</v>
      </c>
      <c r="C58" s="1015" t="s">
        <v>1915</v>
      </c>
      <c r="D58" s="112"/>
      <c r="F58" s="112"/>
      <c r="G58" s="112"/>
      <c r="P58" s="1014" t="s">
        <v>137</v>
      </c>
      <c r="Q58" s="1015" t="s">
        <v>1915</v>
      </c>
      <c r="R58" s="112"/>
      <c r="T58" s="112"/>
    </row>
    <row r="59" spans="2:39" ht="15" thickBot="1">
      <c r="B59" s="112"/>
      <c r="C59" s="112"/>
      <c r="D59" s="112"/>
      <c r="F59" s="112"/>
      <c r="G59" s="112"/>
      <c r="P59" s="112"/>
      <c r="Q59" s="112"/>
      <c r="R59" s="112"/>
      <c r="S59" s="1120" t="s">
        <v>141</v>
      </c>
      <c r="T59" s="1121"/>
      <c r="W59" s="1122" t="s">
        <v>3044</v>
      </c>
      <c r="X59" s="1123"/>
    </row>
    <row r="60" spans="2:39" ht="16" thickBot="1">
      <c r="B60" s="1022" t="s">
        <v>22</v>
      </c>
      <c r="C60" s="1015" t="s">
        <v>3265</v>
      </c>
      <c r="D60" s="1015" t="s">
        <v>3266</v>
      </c>
      <c r="E60"/>
      <c r="F60"/>
      <c r="G60" s="112"/>
      <c r="H60" s="528" t="s">
        <v>22</v>
      </c>
      <c r="I60" s="456" t="s">
        <v>1920</v>
      </c>
      <c r="J60" s="457" t="s">
        <v>1968</v>
      </c>
      <c r="K60" s="457" t="s">
        <v>1967</v>
      </c>
      <c r="L60" s="457" t="s">
        <v>3026</v>
      </c>
      <c r="M60" s="458" t="s">
        <v>3267</v>
      </c>
      <c r="P60" s="1022" t="s">
        <v>22</v>
      </c>
      <c r="Q60" s="1015" t="s">
        <v>3295</v>
      </c>
      <c r="R60" s="1015" t="s">
        <v>3268</v>
      </c>
      <c r="S60"/>
      <c r="T60"/>
      <c r="U60" s="416"/>
      <c r="V60" s="528" t="s">
        <v>22</v>
      </c>
      <c r="W60" s="456" t="s">
        <v>1920</v>
      </c>
      <c r="X60" s="457" t="s">
        <v>1968</v>
      </c>
      <c r="Y60" s="457" t="s">
        <v>3027</v>
      </c>
      <c r="Z60" s="457" t="s">
        <v>3028</v>
      </c>
      <c r="AA60" s="458" t="s">
        <v>3029</v>
      </c>
      <c r="AB60" s="416"/>
      <c r="AC60" s="416"/>
      <c r="AD60" s="416"/>
      <c r="AE60" s="416"/>
      <c r="AF60" s="416"/>
      <c r="AG60" s="416"/>
      <c r="AH60" s="416"/>
      <c r="AI60" s="416"/>
      <c r="AJ60" s="416"/>
      <c r="AK60" s="416"/>
      <c r="AL60" s="416"/>
      <c r="AM60" s="416"/>
    </row>
    <row r="61" spans="2:39" ht="15.5">
      <c r="B61" s="1017" t="s">
        <v>39</v>
      </c>
      <c r="C61" s="1019">
        <v>180</v>
      </c>
      <c r="D61" s="1019">
        <v>96</v>
      </c>
      <c r="E61"/>
      <c r="F61"/>
      <c r="G61" s="112"/>
      <c r="H61" s="126" t="s">
        <v>39</v>
      </c>
      <c r="I61" s="459">
        <v>139</v>
      </c>
      <c r="J61" s="459">
        <f>GETPIVOTDATA("[Measures].[Distinct Count of Site Name]",$H$71,"[WWWW].[State]","[WWWW].[State].&amp;[Kachin]")</f>
        <v>28</v>
      </c>
      <c r="K61" s="529">
        <f>I61-J61</f>
        <v>111</v>
      </c>
      <c r="L61" s="459">
        <f>GETPIVOTDATA("Sum of #_Water sources tested for fecal coliform ",$B$60,"State","Kachin")</f>
        <v>180</v>
      </c>
      <c r="M61" s="459">
        <f>GETPIVOTDATA("Sum of #_Water sources passed",$B$60,"State","Kachin")</f>
        <v>96</v>
      </c>
      <c r="P61" s="1017" t="s">
        <v>39</v>
      </c>
      <c r="Q61" s="1019">
        <v>585</v>
      </c>
      <c r="R61" s="1019">
        <v>303</v>
      </c>
      <c r="S61"/>
      <c r="T61"/>
      <c r="V61" s="126" t="s">
        <v>39</v>
      </c>
      <c r="W61" s="459">
        <v>139</v>
      </c>
      <c r="X61" s="459">
        <f>GETPIVOTDATA("[Measures].[Distinct Count of Site Name]",$V$69,"[WWWW].[State]","[WWWW].[State].&amp;[Kachin]")</f>
        <v>25</v>
      </c>
      <c r="Y61" s="459">
        <f>W61-X61</f>
        <v>114</v>
      </c>
      <c r="Z61" s="459">
        <f>GETPIVOTDATA("Sum of #_Household water samples tested for fecal coliform",$P$60,"State","Kachin")</f>
        <v>585</v>
      </c>
      <c r="AA61" s="459">
        <f>GETPIVOTDATA("Sum of #_Household passed",$P$60,"State","Kachin")</f>
        <v>303</v>
      </c>
    </row>
    <row r="62" spans="2:39" ht="15.5">
      <c r="B62" s="1017" t="s">
        <v>711</v>
      </c>
      <c r="C62" s="1019"/>
      <c r="D62" s="1019"/>
      <c r="E62"/>
      <c r="F62"/>
      <c r="G62" s="112"/>
      <c r="H62" s="127" t="s">
        <v>711</v>
      </c>
      <c r="I62" s="460">
        <v>34</v>
      </c>
      <c r="J62" s="460">
        <v>0</v>
      </c>
      <c r="K62" s="529">
        <f>I62-J62</f>
        <v>34</v>
      </c>
      <c r="L62" s="460">
        <f>GETPIVOTDATA("Sum of #_Water sources tested for fecal coliform ",$B$60,"State","Shan (North)")</f>
        <v>0</v>
      </c>
      <c r="M62" s="526">
        <f>GETPIVOTDATA("Sum of #_Water sources passed",$B$60,"State","Shan (North)")</f>
        <v>0</v>
      </c>
      <c r="P62" s="1017" t="s">
        <v>711</v>
      </c>
      <c r="Q62" s="1019"/>
      <c r="R62" s="1019"/>
      <c r="S62"/>
      <c r="T62"/>
      <c r="V62" s="127" t="s">
        <v>711</v>
      </c>
      <c r="W62" s="460">
        <v>34</v>
      </c>
      <c r="X62" s="460">
        <v>0</v>
      </c>
      <c r="Y62" s="459">
        <f>W62-X62</f>
        <v>34</v>
      </c>
      <c r="Z62" s="460">
        <f>GETPIVOTDATA("Sum of #_Household water samples tested for fecal coliform",$P$60,"State","Shan (North)")</f>
        <v>0</v>
      </c>
      <c r="AA62" s="526">
        <f>GETPIVOTDATA("Sum of #_Household passed",$P$60,"State","Shan (North)")</f>
        <v>0</v>
      </c>
    </row>
    <row r="63" spans="2:39" ht="16" thickBot="1">
      <c r="B63" s="1017" t="s">
        <v>1662</v>
      </c>
      <c r="C63" s="1019">
        <v>180</v>
      </c>
      <c r="D63" s="1019">
        <v>96</v>
      </c>
      <c r="E63"/>
      <c r="F63"/>
      <c r="G63" s="112"/>
      <c r="H63" s="126"/>
      <c r="I63" s="459"/>
      <c r="J63" s="459"/>
      <c r="K63" s="529"/>
      <c r="L63" s="459"/>
      <c r="M63" s="459"/>
      <c r="P63" s="1017" t="s">
        <v>1662</v>
      </c>
      <c r="Q63" s="1019">
        <v>585</v>
      </c>
      <c r="R63" s="1019">
        <v>303</v>
      </c>
      <c r="S63"/>
      <c r="T63"/>
      <c r="V63" s="126"/>
      <c r="W63" s="459"/>
      <c r="X63" s="459"/>
      <c r="Y63" s="459"/>
      <c r="Z63" s="459"/>
      <c r="AA63" s="459"/>
    </row>
    <row r="64" spans="2:39" ht="16" thickBot="1">
      <c r="B64"/>
      <c r="C64"/>
      <c r="D64"/>
      <c r="E64"/>
      <c r="F64"/>
      <c r="H64" s="455" t="s">
        <v>1662</v>
      </c>
      <c r="I64" s="527">
        <f>SUM(I61:I63)</f>
        <v>173</v>
      </c>
      <c r="J64" s="527">
        <f>SUM(J61:J63)</f>
        <v>28</v>
      </c>
      <c r="K64" s="529">
        <f>I64-J64</f>
        <v>145</v>
      </c>
      <c r="L64" s="527">
        <f>SUM(L61:L63)</f>
        <v>180</v>
      </c>
      <c r="M64" s="527">
        <f>SUM(M61:M63)</f>
        <v>96</v>
      </c>
      <c r="P64"/>
      <c r="Q64"/>
      <c r="R64"/>
      <c r="S64"/>
      <c r="T64"/>
    </row>
    <row r="65" spans="1:23">
      <c r="A65" s="112"/>
      <c r="B65" s="112"/>
      <c r="C65" s="112"/>
      <c r="D65" s="112"/>
    </row>
    <row r="66" spans="1:23" ht="15.5">
      <c r="A66" s="112"/>
      <c r="B66" s="112"/>
      <c r="C66" s="112"/>
      <c r="D66" s="112"/>
      <c r="V66" s="475" t="s">
        <v>35</v>
      </c>
      <c r="W66" s="468" t="s" vm="1">
        <v>35</v>
      </c>
    </row>
    <row r="67" spans="1:23" ht="15.5">
      <c r="A67" s="112"/>
      <c r="B67" s="112"/>
      <c r="C67" s="112"/>
      <c r="H67"/>
      <c r="I67"/>
      <c r="V67" s="475" t="s">
        <v>3186</v>
      </c>
      <c r="W67" s="468" t="s" vm="3">
        <v>1661</v>
      </c>
    </row>
    <row r="68" spans="1:23" ht="15.5">
      <c r="A68" s="112"/>
      <c r="B68" s="112"/>
      <c r="C68" s="112"/>
      <c r="H68" s="475" t="s">
        <v>35</v>
      </c>
      <c r="I68" s="468" t="s" vm="1">
        <v>35</v>
      </c>
    </row>
    <row r="69" spans="1:23" ht="15.5">
      <c r="A69" s="112"/>
      <c r="B69" s="112"/>
      <c r="C69" s="112"/>
      <c r="H69" s="475" t="s">
        <v>3389</v>
      </c>
      <c r="I69" s="468" t="s" vm="2">
        <v>1661</v>
      </c>
      <c r="V69" s="475" t="s">
        <v>1660</v>
      </c>
      <c r="W69" t="s">
        <v>3390</v>
      </c>
    </row>
    <row r="70" spans="1:23" ht="15.5">
      <c r="A70" s="112"/>
      <c r="B70" s="112"/>
      <c r="C70" s="112"/>
      <c r="D70" s="112"/>
      <c r="V70" s="572" t="s">
        <v>39</v>
      </c>
      <c r="W70" s="467">
        <v>25</v>
      </c>
    </row>
    <row r="71" spans="1:23" ht="15.5">
      <c r="A71" s="112"/>
      <c r="B71" s="112"/>
      <c r="C71" s="112"/>
      <c r="D71" s="112"/>
      <c r="H71" s="475" t="s">
        <v>1660</v>
      </c>
      <c r="I71" t="s">
        <v>3390</v>
      </c>
      <c r="J71"/>
      <c r="V71" s="572" t="s">
        <v>1662</v>
      </c>
      <c r="W71" s="467">
        <v>25</v>
      </c>
    </row>
    <row r="72" spans="1:23" ht="15.5">
      <c r="A72" s="112"/>
      <c r="B72" s="112"/>
      <c r="C72" s="112"/>
      <c r="D72" s="112"/>
      <c r="H72" s="572" t="s">
        <v>39</v>
      </c>
      <c r="I72" s="467">
        <v>28</v>
      </c>
      <c r="J72"/>
      <c r="V72"/>
      <c r="W72"/>
    </row>
    <row r="73" spans="1:23" ht="15.5">
      <c r="A73" s="112"/>
      <c r="B73" s="112"/>
      <c r="C73" s="112"/>
      <c r="D73" s="112"/>
      <c r="H73" s="572" t="s">
        <v>1662</v>
      </c>
      <c r="I73" s="467">
        <v>28</v>
      </c>
      <c r="J73"/>
    </row>
    <row r="74" spans="1:23" ht="15.5">
      <c r="A74" s="112"/>
      <c r="B74" s="112"/>
      <c r="C74" s="112"/>
      <c r="D74" s="112"/>
      <c r="H74"/>
      <c r="I74"/>
      <c r="J74"/>
    </row>
    <row r="75" spans="1:23" ht="15.5">
      <c r="A75" s="112"/>
      <c r="B75" s="112"/>
      <c r="C75" s="112"/>
      <c r="D75" s="112"/>
      <c r="H75"/>
      <c r="I75"/>
      <c r="J75"/>
    </row>
    <row r="76" spans="1:23" ht="15.5">
      <c r="A76" s="112"/>
      <c r="B76" s="112"/>
      <c r="C76" s="112"/>
      <c r="D76" s="112"/>
      <c r="E76" s="112"/>
      <c r="F76" s="112"/>
      <c r="G76" s="112"/>
      <c r="H76"/>
      <c r="I76"/>
      <c r="J76"/>
    </row>
    <row r="77" spans="1:23" ht="15.5">
      <c r="A77" s="112"/>
      <c r="B77" s="112"/>
      <c r="C77" s="112"/>
      <c r="D77" s="112"/>
      <c r="E77" s="112"/>
      <c r="F77" s="112"/>
      <c r="G77" s="112"/>
      <c r="H77"/>
      <c r="I77"/>
      <c r="J77"/>
    </row>
    <row r="78" spans="1:23" ht="15.5">
      <c r="A78" s="112"/>
      <c r="B78" s="112"/>
      <c r="C78" s="112"/>
      <c r="D78" s="112"/>
      <c r="E78" s="112"/>
      <c r="F78" s="112"/>
      <c r="G78" s="112"/>
      <c r="H78"/>
      <c r="I78"/>
      <c r="J78"/>
    </row>
    <row r="79" spans="1:23" ht="15.5">
      <c r="A79" s="112"/>
      <c r="B79" s="112"/>
      <c r="C79" s="112"/>
      <c r="D79" s="112"/>
      <c r="E79" s="108"/>
      <c r="F79" s="108"/>
      <c r="G79" s="109"/>
      <c r="H79"/>
      <c r="I79"/>
      <c r="J79"/>
    </row>
    <row r="80" spans="1:23" s="115" customFormat="1" ht="15.5">
      <c r="B80" s="116"/>
      <c r="C80" s="117"/>
      <c r="D80" s="117"/>
      <c r="E80" s="118"/>
      <c r="F80" s="118"/>
      <c r="G80" s="119"/>
      <c r="H80"/>
      <c r="I80"/>
      <c r="J80"/>
    </row>
    <row r="81" spans="2:15" s="115" customFormat="1" ht="15.5">
      <c r="B81" s="116"/>
      <c r="C81" s="117"/>
      <c r="D81" s="117"/>
      <c r="E81" s="118"/>
      <c r="F81" s="118"/>
      <c r="G81" s="119"/>
      <c r="H81"/>
      <c r="I81"/>
      <c r="J81"/>
    </row>
    <row r="82" spans="2:15" s="115" customFormat="1" ht="15.5">
      <c r="B82" s="116"/>
      <c r="C82" s="117"/>
      <c r="D82" s="117"/>
      <c r="E82" s="118"/>
      <c r="F82" s="118"/>
      <c r="G82" s="119"/>
      <c r="H82"/>
      <c r="I82"/>
      <c r="J82"/>
    </row>
    <row r="83" spans="2:15" s="115" customFormat="1" ht="15.5">
      <c r="B83" s="1014" t="s">
        <v>20</v>
      </c>
      <c r="C83" s="1015" t="s">
        <v>3263</v>
      </c>
      <c r="D83" s="117"/>
      <c r="E83" s="118"/>
      <c r="F83" s="118"/>
      <c r="G83" s="119"/>
      <c r="H83"/>
      <c r="I83"/>
      <c r="J83"/>
      <c r="M83" s="421"/>
      <c r="N83" s="421"/>
      <c r="O83" s="117"/>
    </row>
    <row r="84" spans="2:15" s="115" customFormat="1" ht="15.5">
      <c r="B84" s="1014" t="s">
        <v>35</v>
      </c>
      <c r="C84" s="1015" t="s">
        <v>35</v>
      </c>
      <c r="D84" s="112"/>
      <c r="E84" s="118"/>
      <c r="F84" s="118"/>
      <c r="G84" s="119"/>
      <c r="H84"/>
      <c r="I84"/>
      <c r="J84"/>
      <c r="M84" s="421"/>
      <c r="N84" s="421"/>
      <c r="O84" s="422"/>
    </row>
    <row r="85" spans="2:15" s="115" customFormat="1" ht="15.5">
      <c r="B85" s="1022" t="s">
        <v>22</v>
      </c>
      <c r="C85" s="1015" t="s">
        <v>39</v>
      </c>
      <c r="D85" s="112"/>
      <c r="E85" s="118"/>
      <c r="F85" s="118"/>
      <c r="G85" s="119"/>
      <c r="H85"/>
      <c r="I85"/>
      <c r="J85"/>
      <c r="M85" s="423"/>
      <c r="N85" s="421"/>
      <c r="O85" s="422"/>
    </row>
    <row r="86" spans="2:15" s="115" customFormat="1" ht="15.5">
      <c r="B86" s="1014" t="s">
        <v>137</v>
      </c>
      <c r="C86" s="1015" t="s">
        <v>1915</v>
      </c>
      <c r="D86" s="112"/>
      <c r="E86" s="118"/>
      <c r="F86" s="118"/>
      <c r="G86" s="119"/>
      <c r="H86"/>
      <c r="I86"/>
      <c r="J86"/>
      <c r="M86" s="421"/>
      <c r="N86" s="421"/>
      <c r="O86" s="422"/>
    </row>
    <row r="87" spans="2:15" s="115" customFormat="1" ht="15.5">
      <c r="B87" s="418"/>
      <c r="C87" s="112"/>
      <c r="D87" s="112"/>
      <c r="E87" s="118"/>
      <c r="F87" s="118"/>
      <c r="G87" s="119"/>
      <c r="H87"/>
      <c r="I87"/>
      <c r="J87"/>
      <c r="M87" s="424"/>
      <c r="N87" s="422"/>
      <c r="O87" s="422"/>
    </row>
    <row r="88" spans="2:15" s="115" customFormat="1" ht="15.5">
      <c r="B88" s="1023" t="s">
        <v>22</v>
      </c>
      <c r="C88" s="1015" t="s">
        <v>2987</v>
      </c>
      <c r="D88" s="1015" t="s">
        <v>2983</v>
      </c>
      <c r="E88"/>
      <c r="F88" s="118"/>
      <c r="G88" s="119"/>
      <c r="H88"/>
      <c r="I88"/>
      <c r="J88"/>
      <c r="M88" s="401"/>
      <c r="N88" s="401"/>
      <c r="O88" s="401"/>
    </row>
    <row r="89" spans="2:15" s="115" customFormat="1" ht="15.5">
      <c r="B89" s="1017" t="s">
        <v>198</v>
      </c>
      <c r="C89" s="1021">
        <v>0.98362704661917255</v>
      </c>
      <c r="D89" s="1021">
        <v>1.6372953380827449E-2</v>
      </c>
      <c r="E89"/>
      <c r="F89" s="118"/>
      <c r="G89" s="119"/>
      <c r="M89" s="401"/>
      <c r="N89" s="401"/>
      <c r="O89" s="401"/>
    </row>
    <row r="90" spans="2:15" s="115" customFormat="1" ht="15.5">
      <c r="B90" s="1017" t="s">
        <v>149</v>
      </c>
      <c r="C90" s="1021">
        <v>8.8918528398355012E-2</v>
      </c>
      <c r="D90" s="1021">
        <v>0.91108147160164499</v>
      </c>
      <c r="E90"/>
      <c r="F90" s="118"/>
      <c r="G90" s="119"/>
      <c r="M90" s="401"/>
      <c r="N90" s="401"/>
      <c r="O90" s="401"/>
    </row>
    <row r="91" spans="2:15" s="115" customFormat="1" ht="15.5">
      <c r="B91" s="1017" t="s">
        <v>151</v>
      </c>
      <c r="C91" s="1021">
        <v>0.76930272108843545</v>
      </c>
      <c r="D91" s="1021">
        <v>0.23069727891156455</v>
      </c>
      <c r="E91"/>
      <c r="F91" s="118"/>
      <c r="G91" s="119"/>
      <c r="M91" s="401"/>
      <c r="N91" s="401"/>
      <c r="O91" s="401"/>
    </row>
    <row r="92" spans="2:15" s="115" customFormat="1" ht="15.5">
      <c r="B92" s="1017" t="s">
        <v>40</v>
      </c>
      <c r="C92" s="1021">
        <v>0.54488405908012549</v>
      </c>
      <c r="D92" s="1021">
        <v>0.45511594091987451</v>
      </c>
      <c r="E92"/>
      <c r="F92" s="118"/>
      <c r="G92" s="119"/>
      <c r="M92"/>
      <c r="N92"/>
      <c r="O92"/>
    </row>
    <row r="93" spans="2:15" s="115" customFormat="1" ht="15.5">
      <c r="B93" s="1017" t="s">
        <v>155</v>
      </c>
      <c r="C93" s="1021">
        <v>0.94938440492476062</v>
      </c>
      <c r="D93" s="1021">
        <v>5.0615595075239384E-2</v>
      </c>
      <c r="E93"/>
      <c r="F93" s="118"/>
      <c r="G93" s="119"/>
      <c r="M93"/>
      <c r="N93"/>
      <c r="O93"/>
    </row>
    <row r="94" spans="2:15" s="115" customFormat="1" ht="15.5">
      <c r="B94" s="1017" t="s">
        <v>160</v>
      </c>
      <c r="C94" s="1021">
        <v>0.57692307692307687</v>
      </c>
      <c r="D94" s="1021">
        <v>0.42307692307692313</v>
      </c>
      <c r="E94"/>
      <c r="F94" s="118"/>
      <c r="G94" s="119"/>
      <c r="M94"/>
      <c r="N94"/>
      <c r="O94"/>
    </row>
    <row r="95" spans="2:15" s="115" customFormat="1" ht="15.5">
      <c r="B95" s="1017" t="s">
        <v>208</v>
      </c>
      <c r="C95" s="1021">
        <v>0.45980770181422714</v>
      </c>
      <c r="D95" s="1021">
        <v>0.54019229818577286</v>
      </c>
      <c r="E95"/>
      <c r="F95" s="118"/>
      <c r="G95" s="119"/>
      <c r="M95"/>
      <c r="N95"/>
      <c r="O95"/>
    </row>
    <row r="96" spans="2:15" s="115" customFormat="1" ht="15.5">
      <c r="B96" s="1017" t="s">
        <v>162</v>
      </c>
      <c r="C96" s="1021">
        <v>0.92189086880251137</v>
      </c>
      <c r="D96" s="1021">
        <v>7.8109131197488635E-2</v>
      </c>
      <c r="E96"/>
      <c r="F96" s="118"/>
      <c r="G96" s="119"/>
      <c r="M96"/>
      <c r="N96"/>
      <c r="O96"/>
    </row>
    <row r="97" spans="2:16" s="115" customFormat="1" ht="15.5">
      <c r="B97" s="1017" t="s">
        <v>176</v>
      </c>
      <c r="C97" s="1021">
        <v>1</v>
      </c>
      <c r="D97" s="1021">
        <v>0</v>
      </c>
      <c r="E97"/>
      <c r="F97" s="118"/>
      <c r="G97" s="119"/>
      <c r="M97"/>
      <c r="N97"/>
      <c r="O97"/>
    </row>
    <row r="98" spans="2:16" s="115" customFormat="1" ht="15.5">
      <c r="B98" s="1017" t="s">
        <v>217</v>
      </c>
      <c r="C98" s="1021">
        <v>0.6589716684155299</v>
      </c>
      <c r="D98" s="1021">
        <v>0.3410283315844701</v>
      </c>
      <c r="E98"/>
      <c r="F98" s="118"/>
      <c r="G98" s="119"/>
    </row>
    <row r="99" spans="2:16" s="115" customFormat="1" ht="15.5">
      <c r="B99" s="1017" t="s">
        <v>187</v>
      </c>
      <c r="C99" s="1021">
        <v>0.15290519877675843</v>
      </c>
      <c r="D99" s="1021">
        <v>0.84709480122324154</v>
      </c>
      <c r="E99"/>
      <c r="F99" s="118"/>
      <c r="G99" s="119"/>
      <c r="M99"/>
      <c r="N99"/>
      <c r="O99"/>
    </row>
    <row r="100" spans="2:16" s="115" customFormat="1" ht="15.5">
      <c r="B100" s="1017" t="s">
        <v>1148</v>
      </c>
      <c r="C100" s="1021">
        <v>0.7807017543859649</v>
      </c>
      <c r="D100" s="1021">
        <v>0.2192982456140351</v>
      </c>
      <c r="E100"/>
      <c r="F100" s="118"/>
      <c r="G100" s="119"/>
      <c r="M100"/>
      <c r="N100"/>
      <c r="O100"/>
    </row>
    <row r="101" spans="2:16" s="115" customFormat="1" ht="15.5">
      <c r="B101" s="1017" t="s">
        <v>145</v>
      </c>
      <c r="C101" s="1021">
        <v>0.46002381886172272</v>
      </c>
      <c r="D101" s="1021">
        <v>0.53997618113827728</v>
      </c>
      <c r="E101" s="118"/>
      <c r="F101" s="118"/>
      <c r="G101" s="119"/>
      <c r="M101"/>
      <c r="N101"/>
      <c r="O101"/>
    </row>
    <row r="102" spans="2:16" s="115" customFormat="1" ht="15.5">
      <c r="B102"/>
      <c r="C102"/>
      <c r="D102"/>
      <c r="E102" s="118"/>
      <c r="F102" s="118"/>
      <c r="G102" s="119"/>
    </row>
    <row r="103" spans="2:16" s="115" customFormat="1" ht="15.5">
      <c r="B103"/>
      <c r="C103"/>
      <c r="D103"/>
      <c r="E103" s="118"/>
      <c r="F103" s="118"/>
      <c r="G103" s="119"/>
      <c r="K103" s="530"/>
      <c r="L103" s="530"/>
      <c r="M103" s="117"/>
    </row>
    <row r="104" spans="2:16" s="115" customFormat="1" ht="15.5">
      <c r="B104" s="1014" t="s">
        <v>20</v>
      </c>
      <c r="C104" s="1015" t="s">
        <v>3263</v>
      </c>
      <c r="D104" s="117"/>
      <c r="E104" s="118"/>
      <c r="F104" s="118"/>
      <c r="G104" s="119"/>
      <c r="I104" s="468"/>
      <c r="J104" s="468"/>
      <c r="K104" s="468"/>
      <c r="L104" s="468"/>
      <c r="M104" s="468"/>
      <c r="N104" s="468"/>
      <c r="O104" s="468"/>
      <c r="P104" s="468"/>
    </row>
    <row r="105" spans="2:16" s="115" customFormat="1" ht="15.5">
      <c r="B105" s="1014" t="s">
        <v>35</v>
      </c>
      <c r="C105" s="1015" t="s">
        <v>35</v>
      </c>
      <c r="D105" s="112"/>
      <c r="E105" s="118"/>
      <c r="F105" s="118"/>
      <c r="G105" s="119"/>
      <c r="I105" s="468"/>
      <c r="J105" s="468"/>
      <c r="K105" s="468"/>
      <c r="L105" s="468"/>
      <c r="M105" s="468"/>
      <c r="N105" s="468"/>
      <c r="O105" s="468"/>
      <c r="P105" s="468"/>
    </row>
    <row r="106" spans="2:16" s="115" customFormat="1" ht="15.5">
      <c r="B106" s="1033" t="s">
        <v>22</v>
      </c>
      <c r="C106" s="1033" t="s">
        <v>711</v>
      </c>
      <c r="D106" s="112"/>
      <c r="E106" s="118"/>
      <c r="F106" s="118"/>
      <c r="G106" s="119"/>
      <c r="I106" s="468"/>
      <c r="J106" s="468"/>
      <c r="K106" s="468"/>
      <c r="L106" s="468"/>
      <c r="M106" s="468"/>
      <c r="N106" s="468"/>
      <c r="O106" s="468"/>
      <c r="P106" s="468"/>
    </row>
    <row r="107" spans="2:16" s="115" customFormat="1" ht="15.5">
      <c r="B107" s="1014" t="s">
        <v>137</v>
      </c>
      <c r="C107" s="1015" t="s">
        <v>1915</v>
      </c>
      <c r="D107" s="112"/>
      <c r="E107" s="118"/>
      <c r="F107" s="118"/>
      <c r="G107" s="119"/>
      <c r="I107" s="468"/>
      <c r="J107" s="468"/>
      <c r="K107" s="468"/>
      <c r="L107" s="468"/>
      <c r="M107" s="468"/>
      <c r="N107" s="468"/>
      <c r="O107" s="468"/>
      <c r="P107" s="468"/>
    </row>
    <row r="108" spans="2:16" s="115" customFormat="1" ht="15.5">
      <c r="B108" s="419"/>
      <c r="C108" s="112"/>
      <c r="D108" s="112"/>
      <c r="E108" s="118"/>
      <c r="F108" s="118"/>
      <c r="G108" s="119"/>
      <c r="I108" s="468"/>
      <c r="J108" s="468"/>
      <c r="K108" s="468"/>
      <c r="L108" s="468"/>
      <c r="M108" s="468"/>
      <c r="N108" s="468"/>
      <c r="O108" s="468"/>
      <c r="P108" s="468"/>
    </row>
    <row r="109" spans="2:16" s="115" customFormat="1" ht="15.5">
      <c r="B109" s="1023" t="s">
        <v>22</v>
      </c>
      <c r="C109" s="1015" t="s">
        <v>2987</v>
      </c>
      <c r="D109" s="1015" t="s">
        <v>2983</v>
      </c>
      <c r="E109" s="118"/>
      <c r="F109" s="118"/>
      <c r="G109" s="119"/>
      <c r="I109" s="468"/>
      <c r="J109" s="468"/>
      <c r="K109" s="468"/>
      <c r="L109" s="468"/>
      <c r="M109" s="468"/>
      <c r="N109" s="468"/>
      <c r="O109" s="468"/>
      <c r="P109" s="468"/>
    </row>
    <row r="110" spans="2:16" s="115" customFormat="1" ht="15.5">
      <c r="B110" s="1017" t="s">
        <v>730</v>
      </c>
      <c r="C110" s="1021">
        <v>1</v>
      </c>
      <c r="D110" s="1021">
        <v>0</v>
      </c>
      <c r="E110" s="118"/>
      <c r="F110" s="118"/>
      <c r="G110" s="119"/>
      <c r="I110" s="468"/>
      <c r="J110" s="468"/>
      <c r="K110" s="468"/>
      <c r="L110" s="468"/>
      <c r="M110" s="468"/>
      <c r="N110" s="468"/>
      <c r="O110" s="468"/>
      <c r="P110" s="468"/>
    </row>
    <row r="111" spans="2:16" s="115" customFormat="1" ht="15.5">
      <c r="B111" s="1017" t="s">
        <v>715</v>
      </c>
      <c r="C111" s="1021">
        <v>0.38866239565132987</v>
      </c>
      <c r="D111" s="1021">
        <v>0.61133760434867013</v>
      </c>
      <c r="E111" s="118"/>
      <c r="F111" s="118"/>
      <c r="G111" s="119"/>
      <c r="J111"/>
      <c r="K111"/>
      <c r="L111"/>
      <c r="M111"/>
      <c r="N111"/>
      <c r="O111"/>
      <c r="P111"/>
    </row>
    <row r="112" spans="2:16" s="115" customFormat="1" ht="15.5">
      <c r="B112" s="1017" t="s">
        <v>1267</v>
      </c>
      <c r="C112" s="1021">
        <v>1</v>
      </c>
      <c r="D112" s="1021">
        <v>0</v>
      </c>
      <c r="E112" s="118"/>
      <c r="F112" s="118"/>
      <c r="G112" s="119"/>
      <c r="J112"/>
      <c r="K112"/>
      <c r="L112"/>
      <c r="M112"/>
      <c r="N112"/>
      <c r="O112"/>
      <c r="P112"/>
    </row>
    <row r="113" spans="1:30" s="115" customFormat="1" ht="15.5">
      <c r="B113" s="1017" t="s">
        <v>718</v>
      </c>
      <c r="C113" s="1021">
        <v>1</v>
      </c>
      <c r="D113" s="1021">
        <v>0</v>
      </c>
      <c r="E113" s="118"/>
      <c r="F113" s="118"/>
      <c r="G113" s="119"/>
      <c r="J113"/>
      <c r="K113"/>
      <c r="L113"/>
      <c r="M113"/>
      <c r="N113"/>
      <c r="O113"/>
      <c r="P113"/>
    </row>
    <row r="114" spans="1:30" s="115" customFormat="1" ht="15.5">
      <c r="B114" s="1017" t="s">
        <v>721</v>
      </c>
      <c r="C114" s="1021">
        <v>0.17091454272863568</v>
      </c>
      <c r="D114" s="1021">
        <v>0.82908545727136429</v>
      </c>
      <c r="E114" s="118"/>
      <c r="F114" s="118"/>
      <c r="G114" s="119"/>
      <c r="J114"/>
      <c r="K114"/>
      <c r="L114"/>
      <c r="M114"/>
      <c r="N114"/>
      <c r="O114"/>
      <c r="P114"/>
    </row>
    <row r="115" spans="1:30" s="115" customFormat="1" ht="15.5">
      <c r="B115" s="1017" t="s">
        <v>712</v>
      </c>
      <c r="C115" s="1021">
        <v>0.55970515970515966</v>
      </c>
      <c r="D115" s="1021">
        <v>0.44029484029484034</v>
      </c>
      <c r="E115" s="118"/>
      <c r="F115" s="118"/>
      <c r="G115" s="119"/>
      <c r="J115"/>
      <c r="K115"/>
      <c r="L115"/>
      <c r="M115"/>
      <c r="T115"/>
      <c r="U115"/>
      <c r="V115"/>
      <c r="W115"/>
      <c r="X115"/>
      <c r="Y115"/>
    </row>
    <row r="116" spans="1:30" s="115" customFormat="1" ht="15.5">
      <c r="B116" s="1017" t="s">
        <v>732</v>
      </c>
      <c r="C116" s="1021">
        <v>0.83819325328759298</v>
      </c>
      <c r="D116" s="1021">
        <v>0.16180674671240702</v>
      </c>
      <c r="E116" s="118"/>
      <c r="F116" s="118"/>
      <c r="G116" s="119"/>
      <c r="J116"/>
      <c r="K116"/>
      <c r="L116"/>
      <c r="M116"/>
      <c r="T116"/>
      <c r="U116"/>
      <c r="V116"/>
    </row>
    <row r="117" spans="1:30" s="115" customFormat="1" ht="15.5">
      <c r="B117" s="1017" t="s">
        <v>1285</v>
      </c>
      <c r="C117" s="1021">
        <v>0</v>
      </c>
      <c r="D117" s="1021">
        <v>1</v>
      </c>
      <c r="E117" s="118"/>
      <c r="F117" s="118"/>
      <c r="G117" s="119"/>
      <c r="J117"/>
      <c r="K117"/>
      <c r="L117"/>
      <c r="M117"/>
      <c r="T117"/>
      <c r="U117"/>
      <c r="V117"/>
    </row>
    <row r="118" spans="1:30" s="115" customFormat="1" ht="15.5">
      <c r="B118"/>
      <c r="C118"/>
      <c r="D118"/>
      <c r="E118" s="118"/>
      <c r="F118" s="118"/>
      <c r="G118" s="119"/>
      <c r="K118"/>
      <c r="L118"/>
      <c r="M118"/>
      <c r="T118"/>
      <c r="U118"/>
      <c r="V118"/>
    </row>
    <row r="119" spans="1:30" s="115" customFormat="1" ht="15.5">
      <c r="B119"/>
      <c r="C119"/>
      <c r="D119"/>
      <c r="E119" s="118"/>
      <c r="F119" s="118"/>
      <c r="G119" s="119"/>
      <c r="K119"/>
      <c r="L119"/>
      <c r="M119"/>
      <c r="T119"/>
      <c r="U119"/>
    </row>
    <row r="120" spans="1:30" s="115" customFormat="1" ht="15.5">
      <c r="B120" s="116"/>
      <c r="C120" s="117"/>
      <c r="D120" s="117"/>
      <c r="E120" s="118"/>
      <c r="F120" s="118"/>
      <c r="G120" s="119"/>
      <c r="T120"/>
      <c r="U120"/>
    </row>
    <row r="121" spans="1:30" s="131" customFormat="1" ht="18.5">
      <c r="A121" s="103" t="s">
        <v>2042</v>
      </c>
      <c r="B121" s="103"/>
      <c r="C121" s="128"/>
      <c r="D121" s="129"/>
      <c r="E121" s="129"/>
      <c r="F121" s="129"/>
      <c r="G121" s="130"/>
      <c r="H121" s="103"/>
      <c r="I121" s="103"/>
      <c r="J121" s="103"/>
      <c r="K121" s="103"/>
      <c r="L121" s="103"/>
      <c r="M121" s="103"/>
      <c r="N121" s="103"/>
      <c r="O121" s="103"/>
      <c r="P121" s="103"/>
      <c r="Q121" s="103"/>
      <c r="R121" s="103"/>
      <c r="S121" s="103"/>
      <c r="T121" s="103"/>
      <c r="U121" s="103"/>
      <c r="V121" s="103"/>
      <c r="W121" s="103"/>
      <c r="X121" s="103"/>
      <c r="Y121" s="103"/>
      <c r="Z121" s="103"/>
    </row>
    <row r="122" spans="1:30">
      <c r="C122" s="107"/>
      <c r="D122" s="108"/>
      <c r="E122" s="108"/>
      <c r="F122" s="108"/>
      <c r="G122" s="109"/>
    </row>
    <row r="123" spans="1:30" ht="15.5">
      <c r="C123" s="1014" t="s">
        <v>20</v>
      </c>
      <c r="D123" s="1015" t="s">
        <v>3263</v>
      </c>
      <c r="F123" s="108"/>
      <c r="G123" s="109"/>
      <c r="J123" s="1014" t="s">
        <v>20</v>
      </c>
      <c r="K123" s="1015" t="s">
        <v>3263</v>
      </c>
      <c r="L123"/>
      <c r="O123" s="1014" t="s">
        <v>20</v>
      </c>
      <c r="P123" s="1015" t="s">
        <v>3263</v>
      </c>
      <c r="X123" s="1014" t="s">
        <v>20</v>
      </c>
      <c r="Y123" s="1015" t="s">
        <v>3262</v>
      </c>
    </row>
    <row r="124" spans="1:30" ht="29">
      <c r="C124" s="1022" t="s">
        <v>22</v>
      </c>
      <c r="D124" s="1015" t="s">
        <v>39</v>
      </c>
      <c r="E124" s="108"/>
      <c r="J124" s="1029" t="s">
        <v>22</v>
      </c>
      <c r="K124" s="1029" t="s">
        <v>711</v>
      </c>
      <c r="L124" s="537"/>
      <c r="O124" s="1022" t="s">
        <v>22</v>
      </c>
      <c r="P124" s="1015" t="s">
        <v>39</v>
      </c>
      <c r="Q124" s="108"/>
      <c r="X124" s="1022" t="s">
        <v>22</v>
      </c>
      <c r="Y124" s="1015" t="s">
        <v>711</v>
      </c>
      <c r="Z124" s="108"/>
    </row>
    <row r="125" spans="1:30" ht="15.5">
      <c r="C125" s="1014" t="s">
        <v>35</v>
      </c>
      <c r="D125" s="1015" t="s">
        <v>35</v>
      </c>
      <c r="J125" s="1014" t="s">
        <v>35</v>
      </c>
      <c r="K125" s="1015" t="s">
        <v>35</v>
      </c>
      <c r="L125" s="468"/>
      <c r="O125" s="1014" t="s">
        <v>35</v>
      </c>
      <c r="P125" s="1015" t="s">
        <v>35</v>
      </c>
      <c r="X125" s="1014" t="s">
        <v>35</v>
      </c>
      <c r="Y125" s="1015" t="s">
        <v>35</v>
      </c>
    </row>
    <row r="126" spans="1:30" ht="15.5">
      <c r="C126" s="1014" t="s">
        <v>137</v>
      </c>
      <c r="D126" s="1015" t="s">
        <v>1915</v>
      </c>
      <c r="J126" s="1014" t="s">
        <v>137</v>
      </c>
      <c r="K126" s="1015" t="s">
        <v>1915</v>
      </c>
      <c r="L126" s="468"/>
      <c r="O126" s="1014" t="s">
        <v>137</v>
      </c>
      <c r="P126" s="1015" t="s">
        <v>1915</v>
      </c>
      <c r="X126" s="1014" t="s">
        <v>137</v>
      </c>
      <c r="Y126" s="1015" t="s">
        <v>1915</v>
      </c>
    </row>
    <row r="127" spans="1:30" s="110" customFormat="1">
      <c r="C127" s="105"/>
      <c r="D127" s="105"/>
      <c r="E127" s="105"/>
      <c r="F127" s="112"/>
      <c r="G127" s="112"/>
      <c r="H127" s="105"/>
      <c r="I127" s="105"/>
      <c r="J127" s="105"/>
      <c r="K127" s="105"/>
      <c r="L127" s="105"/>
      <c r="M127" s="105"/>
      <c r="O127" s="105"/>
      <c r="P127" s="105"/>
      <c r="Q127" s="105"/>
      <c r="R127" s="105"/>
      <c r="S127" s="105"/>
      <c r="U127" s="105"/>
      <c r="V127" s="105"/>
      <c r="W127" s="105"/>
      <c r="X127" s="105"/>
      <c r="Y127" s="105"/>
      <c r="Z127" s="105"/>
      <c r="AC127" s="105"/>
      <c r="AD127" s="105"/>
    </row>
    <row r="128" spans="1:30" ht="15.5">
      <c r="C128" s="1015"/>
      <c r="D128" s="1014" t="s">
        <v>1917</v>
      </c>
      <c r="E128" s="1015"/>
      <c r="F128"/>
      <c r="G128"/>
      <c r="J128" s="1015"/>
      <c r="K128" s="1014" t="s">
        <v>1917</v>
      </c>
      <c r="L128"/>
      <c r="M128"/>
      <c r="O128" s="1014" t="s">
        <v>1660</v>
      </c>
      <c r="P128" s="1015" t="s">
        <v>3297</v>
      </c>
      <c r="Q128" s="1015" t="s">
        <v>3298</v>
      </c>
      <c r="U128"/>
      <c r="X128" s="1014" t="s">
        <v>1660</v>
      </c>
      <c r="Y128" s="1015" t="s">
        <v>3297</v>
      </c>
      <c r="Z128" s="1015" t="s">
        <v>3298</v>
      </c>
      <c r="AA128" s="416"/>
      <c r="AB128" s="416"/>
      <c r="AC128" s="416"/>
      <c r="AD128" s="416"/>
    </row>
    <row r="129" spans="1:30" ht="15.5">
      <c r="C129" s="1014" t="s">
        <v>1918</v>
      </c>
      <c r="D129" s="1015" t="s">
        <v>1964</v>
      </c>
      <c r="E129" s="1015" t="s">
        <v>1965</v>
      </c>
      <c r="F129"/>
      <c r="G129"/>
      <c r="J129" s="1014" t="s">
        <v>1918</v>
      </c>
      <c r="K129" s="1015" t="s">
        <v>1964</v>
      </c>
      <c r="L129"/>
      <c r="M129"/>
      <c r="O129" s="1017" t="s">
        <v>1964</v>
      </c>
      <c r="P129" s="1027">
        <v>38572</v>
      </c>
      <c r="Q129" s="1027">
        <v>16124</v>
      </c>
      <c r="R129" s="416"/>
      <c r="S129" s="416"/>
      <c r="T129" s="416"/>
      <c r="U129" s="475"/>
      <c r="V129" s="416"/>
      <c r="W129" s="416"/>
      <c r="X129" s="1017" t="s">
        <v>1964</v>
      </c>
      <c r="Y129" s="1027">
        <v>7582</v>
      </c>
      <c r="Z129" s="1027">
        <v>1692</v>
      </c>
      <c r="AA129" s="416"/>
      <c r="AB129" s="416"/>
      <c r="AC129" s="416"/>
      <c r="AD129" s="416"/>
    </row>
    <row r="130" spans="1:30" ht="15.5">
      <c r="B130" s="577" t="s">
        <v>131</v>
      </c>
      <c r="C130" s="1017" t="s">
        <v>1962</v>
      </c>
      <c r="D130" s="1019">
        <v>2740</v>
      </c>
      <c r="E130" s="1019">
        <v>2280</v>
      </c>
      <c r="F130"/>
      <c r="G130"/>
      <c r="J130" s="1017" t="s">
        <v>1962</v>
      </c>
      <c r="K130" s="1019">
        <v>730</v>
      </c>
      <c r="L130"/>
      <c r="M130"/>
      <c r="O130" s="1017" t="s">
        <v>1965</v>
      </c>
      <c r="P130" s="1027">
        <v>25447</v>
      </c>
      <c r="Q130" s="1027">
        <v>18146</v>
      </c>
      <c r="U130"/>
      <c r="X130"/>
      <c r="Y130"/>
      <c r="Z130"/>
    </row>
    <row r="131" spans="1:30" ht="15.5">
      <c r="C131" s="1017" t="s">
        <v>2838</v>
      </c>
      <c r="D131" s="1019">
        <v>22</v>
      </c>
      <c r="E131" s="1019"/>
      <c r="F131"/>
      <c r="G131"/>
      <c r="J131" s="1017" t="s">
        <v>2838</v>
      </c>
      <c r="K131" s="1019">
        <v>37</v>
      </c>
      <c r="L131"/>
      <c r="M131"/>
      <c r="O131"/>
      <c r="P131"/>
      <c r="Q131"/>
      <c r="U131"/>
    </row>
    <row r="132" spans="1:30" ht="15.5">
      <c r="C132" s="1017" t="s">
        <v>2839</v>
      </c>
      <c r="D132" s="1019">
        <v>208</v>
      </c>
      <c r="E132" s="1019"/>
      <c r="F132"/>
      <c r="G132"/>
      <c r="J132" s="1017" t="s">
        <v>2839</v>
      </c>
      <c r="K132" s="1019"/>
      <c r="L132"/>
      <c r="M132"/>
      <c r="O132"/>
      <c r="P132"/>
      <c r="Q132"/>
      <c r="U132"/>
    </row>
    <row r="133" spans="1:30" ht="15.5">
      <c r="C133" s="1017" t="s">
        <v>2840</v>
      </c>
      <c r="D133" s="1019">
        <v>750</v>
      </c>
      <c r="E133" s="1019">
        <v>1210</v>
      </c>
      <c r="F133"/>
      <c r="G133"/>
      <c r="J133" s="1017" t="s">
        <v>2840</v>
      </c>
      <c r="K133" s="1019">
        <v>66</v>
      </c>
      <c r="L133"/>
      <c r="M133"/>
      <c r="O133"/>
      <c r="P133"/>
      <c r="Q133"/>
      <c r="U133"/>
    </row>
    <row r="134" spans="1:30" ht="15.5">
      <c r="B134" s="112" t="s">
        <v>2453</v>
      </c>
      <c r="C134" s="1017" t="s">
        <v>2841</v>
      </c>
      <c r="D134" s="1019">
        <v>2435</v>
      </c>
      <c r="E134" s="1019">
        <v>2665</v>
      </c>
      <c r="F134"/>
      <c r="G134"/>
      <c r="J134" s="1017" t="s">
        <v>2841</v>
      </c>
      <c r="K134" s="1019">
        <v>978</v>
      </c>
      <c r="L134"/>
      <c r="M134"/>
      <c r="O134"/>
      <c r="P134"/>
      <c r="Q134"/>
      <c r="U134"/>
    </row>
    <row r="135" spans="1:30" ht="15.5">
      <c r="B135" s="112"/>
      <c r="C135" s="1017" t="s">
        <v>2842</v>
      </c>
      <c r="D135" s="1019">
        <v>2568</v>
      </c>
      <c r="E135" s="1019">
        <v>2665</v>
      </c>
      <c r="F135"/>
      <c r="G135"/>
      <c r="J135" s="1017" t="s">
        <v>2842</v>
      </c>
      <c r="K135" s="1019">
        <v>978</v>
      </c>
      <c r="L135" s="468"/>
      <c r="M135" s="468"/>
      <c r="N135" s="468"/>
      <c r="O135"/>
      <c r="P135"/>
      <c r="Q135"/>
      <c r="R135"/>
      <c r="U135"/>
    </row>
    <row r="136" spans="1:30" ht="15.5">
      <c r="B136" s="112"/>
      <c r="C136" s="1017" t="s">
        <v>3118</v>
      </c>
      <c r="D136" s="1019">
        <v>133</v>
      </c>
      <c r="E136" s="1019"/>
      <c r="F136"/>
      <c r="G136"/>
      <c r="J136" s="1017" t="s">
        <v>3118</v>
      </c>
      <c r="K136" s="1019"/>
      <c r="L136" s="468"/>
      <c r="M136" s="468"/>
      <c r="N136" s="468"/>
      <c r="O136"/>
      <c r="P136"/>
      <c r="Q136"/>
      <c r="R136"/>
      <c r="S136"/>
      <c r="T136"/>
      <c r="U136"/>
    </row>
    <row r="137" spans="1:30" ht="16" thickBot="1">
      <c r="B137" s="112"/>
      <c r="C137" s="107"/>
      <c r="D137" s="109"/>
      <c r="E137" s="109"/>
      <c r="F137" s="112"/>
      <c r="G137" s="112"/>
      <c r="M137" s="468"/>
      <c r="N137" s="112" t="s">
        <v>1981</v>
      </c>
      <c r="O137" s="111">
        <f>K139</f>
        <v>978</v>
      </c>
    </row>
    <row r="138" spans="1:30" ht="15.5">
      <c r="B138" s="133" t="s">
        <v>39</v>
      </c>
      <c r="C138" s="134" t="s">
        <v>1964</v>
      </c>
      <c r="D138" s="135" t="s">
        <v>1965</v>
      </c>
      <c r="F138" s="112" t="s">
        <v>1981</v>
      </c>
      <c r="G138" s="121">
        <f>GETPIVOTDATA("Sum of # Existing functional latrines",$C$128,"Ethnic or GCA/NGCA","# in GCA (20:1)")+GETPIVOTDATA("Sum of # Existing functional latrines",$C$128,"Ethnic or GCA/NGCA","# in NGCA (20:1)")</f>
        <v>5100</v>
      </c>
      <c r="J138" s="142" t="s">
        <v>711</v>
      </c>
      <c r="K138" s="134" t="s">
        <v>1964</v>
      </c>
      <c r="L138" s="468"/>
      <c r="M138" s="468"/>
      <c r="N138" s="112" t="s">
        <v>3120</v>
      </c>
      <c r="O138" s="111">
        <f>GETPIVOTDATA("  Total # of latrine",$J$128,"Ethnic or GCA/NGCA","# in GCA (20:1)")-O137</f>
        <v>0</v>
      </c>
    </row>
    <row r="139" spans="1:30" ht="15.5">
      <c r="A139" s="576" t="s">
        <v>2845</v>
      </c>
      <c r="B139" s="136" t="s">
        <v>1672</v>
      </c>
      <c r="C139" s="137">
        <f>GETPIVOTDATA("Sum of # Existing functional latrines",$C$128,"Ethnic or GCA/NGCA","# in GCA (20:1)")</f>
        <v>2435</v>
      </c>
      <c r="D139" s="138">
        <f>GETPIVOTDATA("Sum of # Existing functional latrines",$C$128,"Ethnic or GCA/NGCA","# in NGCA (20:1)")</f>
        <v>2665</v>
      </c>
      <c r="F139" s="112" t="s">
        <v>3119</v>
      </c>
      <c r="G139" s="121">
        <f>GETPIVOTDATA("Sum of #_Non-functional latrines",$C$128,"Ethnic or GCA/NGCA","# in GCA (20:1)")+GETPIVOTDATA("Sum of #_Non-functional latrines",$C$128,"Ethnic or GCA/NGCA","# in NGCA (20:1)")</f>
        <v>133</v>
      </c>
      <c r="J139" s="136" t="s">
        <v>1672</v>
      </c>
      <c r="K139" s="137">
        <f>GETPIVOTDATA("Sum of # Existing functional latrines",$J$128,"Ethnic or GCA/NGCA","# in GCA (20:1)")</f>
        <v>978</v>
      </c>
      <c r="L139" s="468"/>
      <c r="M139" s="468"/>
      <c r="N139" s="112"/>
      <c r="O139" s="111"/>
    </row>
    <row r="140" spans="1:30" ht="15.5">
      <c r="A140" s="576" t="s">
        <v>2844</v>
      </c>
      <c r="B140" s="136" t="s">
        <v>1976</v>
      </c>
      <c r="C140" s="137">
        <f>GETPIVOTDATA("# latrines (target)",$C$128,"Ethnic or GCA/NGCA","# in GCA (20:1)")-GETPIVOTDATA("Sum of # Existing functional latrines",$C$128,"Ethnic or GCA/NGCA","# in GCA (20:1)")</f>
        <v>305</v>
      </c>
      <c r="D140" s="138">
        <f>IF(GETPIVOTDATA("# latrines (target)",$C$128,"Ethnic or GCA/NGCA","# in NGCA (20:1)")-GETPIVOTDATA("Sum of # Existing functional latrines",$C$128,"Ethnic or GCA/NGCA","# in NGCA (20:1)")&lt;0,0,GETPIVOTDATA("# latrines (target)",$C$128,"Ethnic or GCA/NGCA","# in NGCA (20:1)")-GETPIVOTDATA("Sum of # Existing functional latrines",$C$128,"Ethnic or GCA/NGCA","# in NGCA (20:1)"))</f>
        <v>0</v>
      </c>
      <c r="F140" s="112" t="s">
        <v>2843</v>
      </c>
      <c r="G140" s="121">
        <f>SUM(C143:D143)</f>
        <v>22</v>
      </c>
      <c r="J140" s="136" t="s">
        <v>1976</v>
      </c>
      <c r="K140" s="137">
        <f>GETPIVOTDATA("  Total # of latrine",$J$128,"Ethnic or GCA/NGCA","# in GCA (20:1)")-GETPIVOTDATA("Sum of # Existing functional latrines",$J$128,"Ethnic or GCA/NGCA","# in GCA (20:1)")</f>
        <v>0</v>
      </c>
      <c r="L140" s="468"/>
      <c r="M140" s="468"/>
      <c r="N140" s="468"/>
      <c r="O140" s="468"/>
    </row>
    <row r="141" spans="1:30" ht="29">
      <c r="B141" s="136" t="s">
        <v>1977</v>
      </c>
      <c r="C141" s="137">
        <f>GETPIVOTDATA("# handed over",$C$128,"Ethnic or GCA/NGCA","# in GCA (20:1)")</f>
        <v>750</v>
      </c>
      <c r="D141" s="138">
        <f>GETPIVOTDATA("# handed over",$C$128,"Ethnic or GCA/NGCA","# in NGCA (20:1)")</f>
        <v>1210</v>
      </c>
      <c r="F141" s="112" t="s">
        <v>1982</v>
      </c>
      <c r="G141" s="112">
        <f>SUM(C144:D144)</f>
        <v>208</v>
      </c>
      <c r="J141" s="136" t="s">
        <v>1977</v>
      </c>
      <c r="K141" s="137">
        <f>GETPIVOTDATA("# handed over",$J$128,"Ethnic or GCA/NGCA","# in GCA (20:1)")</f>
        <v>66</v>
      </c>
      <c r="L141" s="468"/>
      <c r="M141" s="468"/>
      <c r="N141" s="468"/>
      <c r="O141" s="468"/>
    </row>
    <row r="142" spans="1:30" ht="29">
      <c r="B142" s="136" t="s">
        <v>1978</v>
      </c>
      <c r="C142" s="137">
        <f>GETPIVOTDATA("# latrines (target)",$C$128,"Ethnic or GCA/NGCA","# in GCA (20:1)")-GETPIVOTDATA("# handed over",$C$128,"Ethnic or GCA/NGCA","# in GCA (20:1)")</f>
        <v>1990</v>
      </c>
      <c r="D142" s="138">
        <f>D139-D141</f>
        <v>1455</v>
      </c>
      <c r="G142" s="112"/>
      <c r="H142" s="112"/>
      <c r="J142" s="136" t="s">
        <v>1978</v>
      </c>
      <c r="K142" s="137">
        <f>GETPIVOTDATA("  Total # of latrine",$J$128,"Ethnic or GCA/NGCA","# in GCA (20:1)")-GETPIVOTDATA("# handed over",$J$128,"Ethnic or GCA/NGCA","# in GCA (20:1)")</f>
        <v>912</v>
      </c>
      <c r="L142" s="468"/>
      <c r="M142" s="468"/>
      <c r="N142" s="468"/>
      <c r="O142" s="468"/>
    </row>
    <row r="143" spans="1:30" ht="58">
      <c r="B143" s="136" t="s">
        <v>2838</v>
      </c>
      <c r="C143" s="137">
        <f>GETPIVOTDATA("# Operation &amp; maintenance of latrines",$C$128,"Ethnic or GCA/NGCA","# in GCA (20:1)")</f>
        <v>22</v>
      </c>
      <c r="D143" s="138">
        <f>GETPIVOTDATA("# Operation &amp; maintenance of latrines",$C$128,"Ethnic or GCA/NGCA","# in NGCA (20:1)")</f>
        <v>0</v>
      </c>
      <c r="G143" s="112"/>
      <c r="J143" s="136" t="s">
        <v>2846</v>
      </c>
      <c r="K143" s="137">
        <f>GETPIVOTDATA("# Operation &amp; maintenance of latrines",$J$128,"Ethnic or GCA/NGCA","# in GCA (20:1)")</f>
        <v>37</v>
      </c>
      <c r="L143" s="468"/>
      <c r="M143" s="468"/>
      <c r="N143" s="468"/>
      <c r="O143" s="468"/>
    </row>
    <row r="144" spans="1:30" ht="29">
      <c r="B144" s="136" t="s">
        <v>1963</v>
      </c>
      <c r="C144" s="137">
        <f>GETPIVOTDATA("# latrines desludged",$C$128,"Ethnic or GCA/NGCA","# in GCA (20:1)")</f>
        <v>208</v>
      </c>
      <c r="D144" s="138">
        <f>GETPIVOTDATA("# latrines desludged",$C$128,"Ethnic or GCA/NGCA","# in NGCA (20:1)")</f>
        <v>0</v>
      </c>
      <c r="G144" s="112"/>
      <c r="J144" s="136" t="s">
        <v>1963</v>
      </c>
      <c r="K144" s="137">
        <f>GETPIVOTDATA("# Latrines desludged",$J$128,"Ethnic or GCA/NGCA","# in GCA (20:1)")</f>
        <v>0</v>
      </c>
      <c r="L144" s="468"/>
      <c r="M144" s="468"/>
      <c r="N144" s="468"/>
      <c r="O144" s="468"/>
    </row>
    <row r="145" spans="2:21" ht="16" thickBot="1">
      <c r="B145" s="139" t="s">
        <v>1962</v>
      </c>
      <c r="C145" s="140">
        <f>GETPIVOTDATA("# latrines (target)",$C$128,"Ethnic or GCA/NGCA","# in GCA (20:1)")</f>
        <v>2740</v>
      </c>
      <c r="D145" s="141">
        <f>GETPIVOTDATA("# latrines (target)",$C$128,"Ethnic or GCA/NGCA","# in NGCA (20:1)")</f>
        <v>2280</v>
      </c>
      <c r="G145" s="112"/>
      <c r="J145" s="139" t="s">
        <v>1962</v>
      </c>
      <c r="K145" s="140">
        <f>GETPIVOTDATA("# latrines (target)",$J$128,"Ethnic or GCA/NGCA","# in GCA (20:1)")</f>
        <v>730</v>
      </c>
      <c r="L145" s="468"/>
      <c r="M145" s="468"/>
      <c r="N145" s="468"/>
      <c r="O145" s="468"/>
    </row>
    <row r="146" spans="2:21" ht="15.5">
      <c r="B146" s="112"/>
      <c r="C146" s="143"/>
      <c r="D146" s="144"/>
      <c r="E146" s="144"/>
      <c r="G146" s="112"/>
      <c r="K146" s="468"/>
      <c r="L146" s="468"/>
      <c r="M146" s="468"/>
      <c r="N146" s="468"/>
      <c r="O146" s="468"/>
      <c r="Q146" s="112"/>
      <c r="R146" s="112"/>
      <c r="S146" s="143"/>
      <c r="T146" s="144"/>
      <c r="U146" s="144"/>
    </row>
    <row r="147" spans="2:21" ht="15.5">
      <c r="B147" s="112"/>
      <c r="C147" s="143"/>
      <c r="D147" s="144"/>
      <c r="E147" s="144"/>
      <c r="G147" s="112"/>
      <c r="K147" s="468"/>
      <c r="L147" s="468"/>
      <c r="M147" s="468"/>
      <c r="N147" s="468"/>
      <c r="O147" s="468"/>
      <c r="Q147" s="112"/>
      <c r="R147" s="112"/>
      <c r="S147" s="143"/>
      <c r="T147" s="144"/>
      <c r="U147" s="144"/>
    </row>
    <row r="148" spans="2:21" ht="15.5">
      <c r="B148" s="112"/>
      <c r="C148" s="143"/>
      <c r="D148" s="144"/>
      <c r="E148" s="144"/>
      <c r="G148" s="112"/>
      <c r="K148" s="468"/>
      <c r="L148" s="468"/>
      <c r="M148" s="468"/>
      <c r="N148" s="468"/>
      <c r="O148" s="468"/>
      <c r="Q148" s="112"/>
      <c r="R148" s="112"/>
      <c r="S148" s="143"/>
      <c r="T148" s="144"/>
      <c r="U148" s="144"/>
    </row>
    <row r="149" spans="2:21">
      <c r="B149" s="112"/>
      <c r="C149" s="107"/>
      <c r="D149" s="109"/>
      <c r="E149" s="109"/>
      <c r="F149" s="112"/>
      <c r="G149" s="112"/>
      <c r="J149" s="112"/>
      <c r="K149" s="112"/>
      <c r="L149" s="112"/>
      <c r="Q149" s="112"/>
      <c r="R149" s="112"/>
      <c r="S149" s="112"/>
    </row>
    <row r="150" spans="2:21">
      <c r="B150" s="112"/>
      <c r="C150" s="107"/>
      <c r="D150" s="109"/>
      <c r="E150" s="109"/>
      <c r="F150" s="112"/>
      <c r="G150" s="112"/>
      <c r="J150" s="112"/>
      <c r="K150" s="112"/>
      <c r="L150" s="112"/>
      <c r="Q150" s="112"/>
      <c r="R150" s="112"/>
      <c r="S150" s="112"/>
    </row>
    <row r="151" spans="2:21">
      <c r="B151" s="112"/>
      <c r="C151" s="107"/>
      <c r="D151" s="109"/>
      <c r="E151" s="109"/>
      <c r="F151" s="112"/>
      <c r="G151" s="112"/>
      <c r="J151" s="112"/>
      <c r="K151" s="112"/>
      <c r="L151" s="112"/>
      <c r="Q151" s="112"/>
      <c r="R151" s="112"/>
      <c r="S151" s="112"/>
    </row>
    <row r="152" spans="2:21">
      <c r="B152" s="112"/>
      <c r="C152" s="107"/>
      <c r="D152" s="109"/>
      <c r="E152" s="109"/>
      <c r="F152" s="112"/>
      <c r="G152" s="112"/>
      <c r="J152" s="112"/>
      <c r="K152" s="112"/>
      <c r="L152" s="112"/>
      <c r="Q152" s="112"/>
      <c r="R152" s="112"/>
      <c r="S152" s="112"/>
    </row>
    <row r="153" spans="2:21">
      <c r="B153" s="112"/>
      <c r="C153" s="107"/>
      <c r="D153" s="109"/>
      <c r="E153" s="109"/>
      <c r="F153" s="112"/>
      <c r="G153" s="112"/>
      <c r="J153" s="112"/>
      <c r="K153" s="112"/>
      <c r="L153" s="112"/>
      <c r="Q153" s="112"/>
      <c r="R153" s="112"/>
      <c r="S153" s="112"/>
    </row>
    <row r="154" spans="2:21">
      <c r="B154" s="112"/>
      <c r="C154" s="107"/>
      <c r="D154" s="109"/>
      <c r="E154" s="109"/>
      <c r="F154" s="112"/>
      <c r="G154" s="112"/>
      <c r="J154" s="112"/>
      <c r="K154" s="112"/>
      <c r="L154" s="112"/>
      <c r="Q154" s="112"/>
      <c r="R154" s="112"/>
      <c r="S154" s="112"/>
    </row>
    <row r="155" spans="2:21">
      <c r="B155" s="112"/>
      <c r="C155" s="107"/>
      <c r="D155" s="109"/>
      <c r="E155" s="109"/>
      <c r="F155" s="112"/>
      <c r="G155" s="112"/>
      <c r="J155" s="112"/>
      <c r="K155" s="112"/>
      <c r="L155" s="112"/>
      <c r="Q155" s="112"/>
      <c r="R155" s="112"/>
      <c r="S155" s="112"/>
    </row>
    <row r="156" spans="2:21">
      <c r="B156" s="112"/>
      <c r="C156" s="107"/>
      <c r="D156" s="109"/>
      <c r="E156" s="109"/>
      <c r="F156" s="112"/>
      <c r="G156" s="112"/>
      <c r="J156" s="112"/>
      <c r="K156" s="112"/>
      <c r="L156" s="112"/>
      <c r="Q156" s="112"/>
      <c r="R156" s="112"/>
      <c r="S156" s="112"/>
    </row>
    <row r="157" spans="2:21">
      <c r="B157" s="1014" t="s">
        <v>20</v>
      </c>
      <c r="C157" s="1015" t="s">
        <v>3263</v>
      </c>
      <c r="D157" s="109"/>
      <c r="E157" s="109"/>
      <c r="F157" s="112"/>
      <c r="G157" s="112"/>
      <c r="J157" s="112"/>
      <c r="K157" s="112"/>
      <c r="L157" s="112"/>
      <c r="Q157" s="112"/>
      <c r="R157" s="112"/>
      <c r="S157" s="112"/>
    </row>
    <row r="158" spans="2:21">
      <c r="B158" s="1014" t="s">
        <v>35</v>
      </c>
      <c r="C158" s="1015" t="s">
        <v>35</v>
      </c>
      <c r="D158" s="109"/>
      <c r="E158" s="109"/>
      <c r="F158" s="112"/>
      <c r="G158" s="112"/>
      <c r="J158" s="112"/>
      <c r="K158" s="112"/>
      <c r="L158" s="112"/>
      <c r="Q158" s="112"/>
      <c r="R158" s="112"/>
      <c r="S158" s="112"/>
    </row>
    <row r="159" spans="2:21">
      <c r="B159" s="1014" t="s">
        <v>137</v>
      </c>
      <c r="C159" s="1015" t="s">
        <v>1915</v>
      </c>
    </row>
    <row r="161" spans="2:19">
      <c r="B161" s="1014" t="s">
        <v>2847</v>
      </c>
      <c r="C161" s="1014" t="s">
        <v>1917</v>
      </c>
      <c r="D161" s="1015"/>
      <c r="E161" s="1015"/>
      <c r="F161" s="1015"/>
      <c r="G161" s="1015"/>
    </row>
    <row r="162" spans="2:19">
      <c r="B162" s="1014" t="s">
        <v>22</v>
      </c>
      <c r="C162" s="1015" t="s">
        <v>140</v>
      </c>
      <c r="D162" s="1015" t="s">
        <v>143</v>
      </c>
      <c r="E162" s="1015" t="s">
        <v>139</v>
      </c>
      <c r="F162" s="1015" t="s">
        <v>1195</v>
      </c>
      <c r="G162" s="1015" t="s">
        <v>3649</v>
      </c>
    </row>
    <row r="163" spans="2:19">
      <c r="B163" s="1017" t="s">
        <v>39</v>
      </c>
      <c r="C163" s="1019">
        <v>97</v>
      </c>
      <c r="D163" s="1019">
        <v>15</v>
      </c>
      <c r="E163" s="1019">
        <v>12</v>
      </c>
      <c r="F163" s="1019">
        <v>15</v>
      </c>
      <c r="G163" s="1019"/>
    </row>
    <row r="164" spans="2:19">
      <c r="B164" s="1017" t="s">
        <v>711</v>
      </c>
      <c r="C164" s="1019">
        <v>15</v>
      </c>
      <c r="D164" s="1019">
        <v>7</v>
      </c>
      <c r="E164" s="1019">
        <v>6</v>
      </c>
      <c r="F164" s="1019">
        <v>6</v>
      </c>
      <c r="G164" s="1019"/>
    </row>
    <row r="165" spans="2:19" ht="15.5">
      <c r="B165"/>
      <c r="C165"/>
      <c r="D165"/>
      <c r="E165"/>
      <c r="F165"/>
      <c r="G165"/>
    </row>
    <row r="166" spans="2:19">
      <c r="B166" s="112"/>
      <c r="C166" s="112"/>
      <c r="D166" s="112"/>
      <c r="E166" s="112"/>
      <c r="F166" s="112"/>
      <c r="G166" s="112"/>
      <c r="Q166" s="112"/>
      <c r="R166" s="112"/>
      <c r="S166" s="112"/>
    </row>
    <row r="167" spans="2:19">
      <c r="B167" s="145"/>
      <c r="C167" s="145" t="s">
        <v>140</v>
      </c>
      <c r="D167" s="145" t="s">
        <v>143</v>
      </c>
      <c r="E167" s="145" t="s">
        <v>1195</v>
      </c>
      <c r="F167" s="145" t="s">
        <v>189</v>
      </c>
    </row>
    <row r="168" spans="2:19">
      <c r="B168" s="146" t="s">
        <v>39</v>
      </c>
      <c r="C168" s="147">
        <f>GETPIVOTDATA("Is there constructed surface water drainage system?
",$B$161,"State","Kachin","Is there constructed surface water drainage system?
","Functional")</f>
        <v>97</v>
      </c>
      <c r="D168" s="147">
        <f>GETPIVOTDATA("Is there constructed surface water drainage system?
",$B$161,"State","Kachin","Is there constructed surface water drainage system?
","NA")</f>
        <v>15</v>
      </c>
      <c r="E168" s="147">
        <f>GETPIVOTDATA("Is there constructed surface water drainage system?
",$B$161,"State","Kachin","Is there constructed surface water drainage system?
","Not_Functional")</f>
        <v>15</v>
      </c>
      <c r="F168" s="147">
        <f>GETPIVOTDATA("Is there constructed surface water drainage system?
",$B$161,"State","Kachin","Is there constructed surface water drainage system?
","No")</f>
        <v>12</v>
      </c>
    </row>
    <row r="169" spans="2:19">
      <c r="B169" s="146"/>
      <c r="C169" s="147"/>
      <c r="D169" s="147"/>
      <c r="E169" s="147"/>
      <c r="F169" s="147"/>
    </row>
    <row r="170" spans="2:19">
      <c r="B170" s="146" t="s">
        <v>711</v>
      </c>
      <c r="C170" s="147">
        <f>GETPIVOTDATA("Is there constructed surface water drainage system?
",$B$161,"State","Shan (North)","Is there constructed surface water drainage system?
","Functional")</f>
        <v>15</v>
      </c>
      <c r="D170" s="147">
        <f>GETPIVOTDATA("Is there constructed surface water drainage system?
",$B$161,"State","Shan (North)","Is there constructed surface water drainage system?
","NA")</f>
        <v>7</v>
      </c>
      <c r="E170" s="147">
        <f>GETPIVOTDATA("Is there constructed surface water drainage system?
",$B$161,"State","Shan (North)","Is there constructed surface water drainage system?
","Not_Functional")</f>
        <v>6</v>
      </c>
      <c r="F170" s="147">
        <f>GETPIVOTDATA("Is there constructed surface water drainage system?
",$B$161,"State","Shan (North)","Is there constructed surface water drainage system?
","No")</f>
        <v>6</v>
      </c>
    </row>
    <row r="171" spans="2:19">
      <c r="B171" s="143"/>
      <c r="C171" s="144"/>
      <c r="D171" s="144"/>
      <c r="E171" s="144"/>
      <c r="F171" s="144"/>
    </row>
    <row r="172" spans="2:19">
      <c r="B172" s="143"/>
      <c r="C172" s="144"/>
      <c r="D172" s="144"/>
      <c r="E172" s="144"/>
      <c r="F172" s="144"/>
    </row>
    <row r="173" spans="2:19">
      <c r="B173" s="1014" t="s">
        <v>20</v>
      </c>
      <c r="C173" s="1015" t="s">
        <v>3263</v>
      </c>
    </row>
    <row r="174" spans="2:19">
      <c r="B174" s="1014" t="s">
        <v>35</v>
      </c>
      <c r="C174" s="1015" t="s">
        <v>35</v>
      </c>
    </row>
    <row r="175" spans="2:19">
      <c r="B175" s="1014" t="s">
        <v>137</v>
      </c>
      <c r="C175" s="1015" t="s">
        <v>1915</v>
      </c>
    </row>
    <row r="177" spans="2:35" ht="15.5">
      <c r="B177" s="1014" t="s">
        <v>2848</v>
      </c>
      <c r="C177" s="1014" t="s">
        <v>1917</v>
      </c>
      <c r="D177" s="1015"/>
      <c r="E177" s="1015"/>
      <c r="F177" s="1015"/>
      <c r="G177"/>
      <c r="H177" s="112"/>
      <c r="I177" s="112"/>
      <c r="J177" s="112"/>
      <c r="K177" s="112"/>
    </row>
    <row r="178" spans="2:35" ht="15.5">
      <c r="B178" s="1014" t="s">
        <v>22</v>
      </c>
      <c r="C178" s="1015" t="s">
        <v>143</v>
      </c>
      <c r="D178" s="1015" t="s">
        <v>139</v>
      </c>
      <c r="E178" s="1015" t="s">
        <v>43</v>
      </c>
      <c r="F178" s="1015" t="s">
        <v>3649</v>
      </c>
      <c r="G178"/>
      <c r="H178" s="112"/>
      <c r="I178" s="112"/>
      <c r="J178" s="112"/>
      <c r="K178" s="112"/>
    </row>
    <row r="179" spans="2:35" ht="15.5">
      <c r="B179" s="1017" t="s">
        <v>39</v>
      </c>
      <c r="C179" s="1019">
        <v>12</v>
      </c>
      <c r="D179" s="1019">
        <v>7</v>
      </c>
      <c r="E179" s="1019">
        <v>120</v>
      </c>
      <c r="F179" s="1019"/>
      <c r="G179"/>
      <c r="H179" s="112"/>
      <c r="I179" s="112"/>
      <c r="J179" s="112"/>
      <c r="K179" s="112"/>
    </row>
    <row r="180" spans="2:35" ht="15.5">
      <c r="B180" s="1017" t="s">
        <v>711</v>
      </c>
      <c r="C180" s="1019">
        <v>7</v>
      </c>
      <c r="D180" s="1019">
        <v>6</v>
      </c>
      <c r="E180" s="1019">
        <v>21</v>
      </c>
      <c r="F180" s="1019"/>
      <c r="G180"/>
      <c r="H180" s="112"/>
      <c r="I180" s="112"/>
      <c r="J180" s="112"/>
      <c r="K180" s="112"/>
    </row>
    <row r="181" spans="2:35" ht="15.5">
      <c r="B181"/>
      <c r="C181"/>
      <c r="D181"/>
      <c r="E181"/>
      <c r="F181"/>
      <c r="G181"/>
      <c r="H181" s="112"/>
      <c r="I181" s="112"/>
      <c r="J181" s="112"/>
      <c r="K181" s="112"/>
    </row>
    <row r="182" spans="2:35">
      <c r="B182" s="112"/>
      <c r="C182" s="112"/>
      <c r="D182" s="112"/>
      <c r="E182" s="112"/>
      <c r="F182" s="112"/>
      <c r="G182" s="112"/>
      <c r="H182" s="112"/>
      <c r="I182" s="112"/>
    </row>
    <row r="183" spans="2:35">
      <c r="B183" s="154" t="s">
        <v>1660</v>
      </c>
      <c r="C183" s="426" t="s">
        <v>143</v>
      </c>
      <c r="D183" s="426" t="s">
        <v>139</v>
      </c>
      <c r="E183" s="426" t="s">
        <v>43</v>
      </c>
    </row>
    <row r="184" spans="2:35">
      <c r="B184" s="150" t="s">
        <v>39</v>
      </c>
      <c r="C184" s="152">
        <f>GETPIVOTDATA("Is there provision of solid waste management equipment?",$B$177,"State","Kachin","Is there provision of solid waste management equipment?","NA")</f>
        <v>12</v>
      </c>
      <c r="D184" s="151">
        <f>GETPIVOTDATA("Is there provision of solid waste management equipment?",$B$177,"State","Kachin","Is there provision of solid waste management equipment?","No")</f>
        <v>7</v>
      </c>
      <c r="E184" s="152">
        <f>GETPIVOTDATA("Is there provision of solid waste management equipment?",$B$177,"State","Kachin","Is there provision of solid waste management equipment?","Yes")</f>
        <v>120</v>
      </c>
    </row>
    <row r="185" spans="2:35">
      <c r="B185" s="148"/>
      <c r="C185" s="153"/>
      <c r="D185" s="149"/>
      <c r="E185" s="153"/>
    </row>
    <row r="186" spans="2:35">
      <c r="B186" s="150" t="s">
        <v>711</v>
      </c>
      <c r="C186" s="152">
        <f>GETPIVOTDATA("Is there provision of solid waste management equipment?",$B$177,"State","Shan (North)","Is there provision of solid waste management equipment?","NA")</f>
        <v>7</v>
      </c>
      <c r="D186" s="151">
        <f>GETPIVOTDATA("Is there provision of solid waste management equipment?",$B$177,"State","Shan (North)","Is there provision of solid waste management equipment?","No")</f>
        <v>6</v>
      </c>
      <c r="E186" s="152">
        <f>GETPIVOTDATA("Is there provision of solid waste management equipment?",$B$177,"State","Shan (North)","Is there provision of solid waste management equipment?","Yes")</f>
        <v>21</v>
      </c>
    </row>
    <row r="190" spans="2:35" ht="15.5">
      <c r="B190" s="1014" t="s">
        <v>20</v>
      </c>
      <c r="C190" s="1015" t="s">
        <v>3263</v>
      </c>
      <c r="D190" s="117"/>
      <c r="V190" s="468"/>
      <c r="W190" s="468"/>
      <c r="X190" s="468"/>
      <c r="Y190" s="468"/>
      <c r="Z190" s="468"/>
      <c r="AA190" s="468"/>
      <c r="AB190" s="468"/>
      <c r="AC190" s="468"/>
      <c r="AD190" s="468"/>
      <c r="AE190" s="468"/>
      <c r="AF190" s="468"/>
      <c r="AG190" s="468"/>
      <c r="AH190" s="468"/>
    </row>
    <row r="191" spans="2:35" ht="15.5">
      <c r="B191" s="1014" t="s">
        <v>35</v>
      </c>
      <c r="C191" s="1015" t="s">
        <v>35</v>
      </c>
      <c r="D191" s="112"/>
      <c r="L191" s="1014" t="s">
        <v>20</v>
      </c>
      <c r="M191" s="1015" t="s">
        <v>3263</v>
      </c>
      <c r="N191" s="117"/>
      <c r="V191" s="468"/>
      <c r="W191" s="468"/>
      <c r="X191" s="468"/>
      <c r="Y191" s="468"/>
      <c r="Z191" s="468"/>
      <c r="AA191" s="468"/>
      <c r="AB191" s="468"/>
      <c r="AC191" s="468"/>
      <c r="AD191" s="468"/>
      <c r="AE191" s="468"/>
      <c r="AF191" s="468"/>
      <c r="AG191" s="468"/>
      <c r="AH191" s="468"/>
      <c r="AI191" s="117"/>
    </row>
    <row r="192" spans="2:35" ht="15.5">
      <c r="B192" s="1024" t="s">
        <v>22</v>
      </c>
      <c r="C192" s="1025" t="s">
        <v>39</v>
      </c>
      <c r="D192" s="112"/>
      <c r="L192" s="1014" t="s">
        <v>35</v>
      </c>
      <c r="M192" s="1015" t="s">
        <v>35</v>
      </c>
      <c r="N192" s="112"/>
      <c r="V192" s="468"/>
      <c r="W192" s="468"/>
      <c r="X192" s="468"/>
      <c r="Y192" s="468"/>
      <c r="Z192" s="468"/>
      <c r="AA192" s="468"/>
      <c r="AB192" s="468"/>
      <c r="AC192" s="468"/>
      <c r="AD192" s="468"/>
      <c r="AE192" s="468"/>
      <c r="AF192" s="468"/>
      <c r="AG192" s="468"/>
      <c r="AH192" s="468"/>
      <c r="AI192" s="112"/>
    </row>
    <row r="193" spans="2:35" ht="15.5">
      <c r="B193" s="1014" t="s">
        <v>137</v>
      </c>
      <c r="C193" s="1015" t="s">
        <v>1915</v>
      </c>
      <c r="D193" s="112"/>
      <c r="L193" s="1024" t="s">
        <v>22</v>
      </c>
      <c r="M193" s="1025" t="s">
        <v>711</v>
      </c>
      <c r="N193" s="112"/>
      <c r="V193" s="468"/>
      <c r="W193" s="468"/>
      <c r="X193" s="468"/>
      <c r="Y193" s="468"/>
      <c r="Z193" s="468"/>
      <c r="AA193" s="468"/>
      <c r="AB193" s="468"/>
      <c r="AC193" s="468"/>
      <c r="AD193" s="468"/>
      <c r="AE193" s="468"/>
      <c r="AF193" s="468"/>
      <c r="AG193" s="468"/>
      <c r="AH193" s="468"/>
      <c r="AI193" s="112"/>
    </row>
    <row r="194" spans="2:35" ht="15.5">
      <c r="B194" s="420"/>
      <c r="C194" s="112"/>
      <c r="D194" s="112"/>
      <c r="L194" s="1014" t="s">
        <v>137</v>
      </c>
      <c r="M194" s="1015" t="s">
        <v>1915</v>
      </c>
      <c r="N194" s="112"/>
      <c r="V194" s="468"/>
      <c r="W194" s="468"/>
      <c r="X194" s="468"/>
      <c r="Y194" s="468"/>
      <c r="Z194" s="468"/>
      <c r="AA194" s="468"/>
      <c r="AB194" s="468"/>
      <c r="AC194" s="468"/>
      <c r="AD194" s="468"/>
      <c r="AE194" s="468"/>
      <c r="AF194" s="468"/>
      <c r="AG194" s="468"/>
      <c r="AH194" s="468"/>
      <c r="AI194" s="112"/>
    </row>
    <row r="195" spans="2:35" ht="15.5">
      <c r="B195" s="1023" t="s">
        <v>22</v>
      </c>
      <c r="C195" s="1015" t="s">
        <v>2990</v>
      </c>
      <c r="D195" s="1015" t="s">
        <v>2989</v>
      </c>
      <c r="L195" s="420"/>
      <c r="M195" s="112"/>
      <c r="N195" s="112"/>
      <c r="V195" s="468"/>
      <c r="W195" s="468"/>
      <c r="X195" s="468"/>
      <c r="Y195" s="468"/>
      <c r="Z195" s="468"/>
      <c r="AA195" s="468"/>
      <c r="AB195" s="468"/>
      <c r="AC195" s="468"/>
      <c r="AD195" s="468"/>
      <c r="AE195" s="468"/>
      <c r="AF195" s="468"/>
      <c r="AG195" s="468"/>
      <c r="AH195" s="468"/>
      <c r="AI195" s="112"/>
    </row>
    <row r="196" spans="2:35" ht="15.5">
      <c r="B196" s="1017" t="s">
        <v>198</v>
      </c>
      <c r="C196" s="1021">
        <v>0.63904511936008002</v>
      </c>
      <c r="D196" s="1021">
        <v>0.36095488063991998</v>
      </c>
      <c r="L196" s="1023" t="s">
        <v>22</v>
      </c>
      <c r="M196" s="1015" t="s">
        <v>2988</v>
      </c>
      <c r="N196" s="1015" t="s">
        <v>2989</v>
      </c>
      <c r="V196" s="468"/>
      <c r="W196" s="468"/>
      <c r="X196" s="468"/>
      <c r="Y196" s="468"/>
      <c r="Z196" s="468"/>
      <c r="AA196" s="468"/>
      <c r="AB196" s="468"/>
      <c r="AC196" s="468"/>
      <c r="AD196" s="468"/>
      <c r="AE196" s="468"/>
      <c r="AF196" s="468"/>
      <c r="AG196" s="468"/>
      <c r="AH196" s="468"/>
      <c r="AI196"/>
    </row>
    <row r="197" spans="2:35" ht="15.5">
      <c r="B197" s="1017" t="s">
        <v>149</v>
      </c>
      <c r="C197" s="1021">
        <v>0.93431143714571518</v>
      </c>
      <c r="D197" s="1021">
        <v>6.5688562854284815E-2</v>
      </c>
      <c r="L197" s="1017" t="s">
        <v>730</v>
      </c>
      <c r="M197" s="1021">
        <v>1</v>
      </c>
      <c r="N197" s="1021">
        <v>0</v>
      </c>
      <c r="V197" s="468"/>
      <c r="W197" s="468"/>
      <c r="X197" s="468"/>
      <c r="Y197" s="468"/>
      <c r="Z197" s="468"/>
      <c r="AA197" s="468"/>
      <c r="AB197" s="468"/>
      <c r="AC197" s="468"/>
      <c r="AD197" s="468"/>
      <c r="AE197" s="468"/>
      <c r="AF197" s="468"/>
      <c r="AG197" s="468"/>
      <c r="AH197" s="468"/>
      <c r="AI197"/>
    </row>
    <row r="198" spans="2:35" ht="15.5">
      <c r="B198" s="1017" t="s">
        <v>151</v>
      </c>
      <c r="C198" s="1021">
        <v>0.97091836734693882</v>
      </c>
      <c r="D198" s="1021">
        <v>2.9081632653061185E-2</v>
      </c>
      <c r="L198" s="1017" t="s">
        <v>715</v>
      </c>
      <c r="M198" s="1021">
        <v>0.91904484566103672</v>
      </c>
      <c r="N198" s="1021">
        <v>8.0955154338963276E-2</v>
      </c>
      <c r="V198" s="468"/>
      <c r="W198" s="468"/>
      <c r="X198" s="468"/>
      <c r="Y198" s="468"/>
      <c r="Z198" s="468"/>
      <c r="AA198" s="468"/>
      <c r="AB198" s="468"/>
      <c r="AC198" s="468"/>
      <c r="AD198" s="468"/>
      <c r="AE198" s="468"/>
      <c r="AF198" s="468"/>
      <c r="AG198" s="468"/>
      <c r="AH198" s="468"/>
      <c r="AI198"/>
    </row>
    <row r="199" spans="2:35" ht="15.5">
      <c r="B199" s="1017" t="s">
        <v>40</v>
      </c>
      <c r="C199" s="1021">
        <v>0.63985612611923171</v>
      </c>
      <c r="D199" s="1021">
        <v>0.36014387388076829</v>
      </c>
      <c r="L199" s="1017" t="s">
        <v>1267</v>
      </c>
      <c r="M199" s="1021">
        <v>1</v>
      </c>
      <c r="N199" s="1021">
        <v>0</v>
      </c>
      <c r="V199" s="468"/>
      <c r="W199" s="468"/>
      <c r="X199" s="468"/>
      <c r="Y199" s="468"/>
      <c r="Z199" s="468"/>
      <c r="AA199" s="468"/>
      <c r="AB199" s="468"/>
      <c r="AC199" s="468"/>
      <c r="AD199" s="468"/>
      <c r="AE199" s="468"/>
      <c r="AF199" s="468"/>
      <c r="AG199" s="468"/>
      <c r="AH199" s="468"/>
      <c r="AI199"/>
    </row>
    <row r="200" spans="2:35" ht="15.5">
      <c r="B200" s="1017" t="s">
        <v>155</v>
      </c>
      <c r="C200" s="1021">
        <v>0.77564979480164153</v>
      </c>
      <c r="D200" s="1021">
        <v>0.22435020519835847</v>
      </c>
      <c r="L200" s="1017" t="s">
        <v>718</v>
      </c>
      <c r="M200" s="1021">
        <v>1</v>
      </c>
      <c r="N200" s="1021">
        <v>0</v>
      </c>
      <c r="V200" s="468"/>
      <c r="W200" s="468"/>
      <c r="X200"/>
      <c r="Y200" s="468"/>
      <c r="Z200" s="468"/>
      <c r="AA200" s="468"/>
      <c r="AB200" s="468"/>
      <c r="AC200" s="468"/>
      <c r="AD200" s="468"/>
      <c r="AE200" s="468"/>
      <c r="AF200" s="468"/>
      <c r="AG200" s="468"/>
      <c r="AH200" s="468"/>
      <c r="AI200"/>
    </row>
    <row r="201" spans="2:35" ht="15.5">
      <c r="B201" s="1017" t="s">
        <v>160</v>
      </c>
      <c r="C201" s="1021">
        <v>0.53146853146853146</v>
      </c>
      <c r="D201" s="1021">
        <v>0.46853146853146854</v>
      </c>
      <c r="L201" s="1017" t="s">
        <v>721</v>
      </c>
      <c r="M201" s="1021">
        <v>1</v>
      </c>
      <c r="N201" s="1021">
        <v>0</v>
      </c>
      <c r="V201" s="468"/>
      <c r="W201" s="468"/>
      <c r="X201" s="468"/>
      <c r="Y201" s="468"/>
      <c r="Z201" s="468"/>
      <c r="AA201" s="468"/>
      <c r="AB201" s="468"/>
      <c r="AC201" s="468"/>
      <c r="AD201" s="468"/>
      <c r="AE201" s="468"/>
      <c r="AF201" s="468"/>
      <c r="AG201" s="468"/>
      <c r="AH201" s="468"/>
      <c r="AI201"/>
    </row>
    <row r="202" spans="2:35" ht="15.5">
      <c r="B202" s="1017" t="s">
        <v>208</v>
      </c>
      <c r="C202" s="1021">
        <v>0.5038929259973306</v>
      </c>
      <c r="D202" s="1021">
        <v>0.4961070740026694</v>
      </c>
      <c r="L202" s="1017" t="s">
        <v>712</v>
      </c>
      <c r="M202" s="1021">
        <v>0.65454545454545454</v>
      </c>
      <c r="N202" s="1021">
        <v>0.34545454545454546</v>
      </c>
      <c r="V202"/>
      <c r="W202"/>
      <c r="X202"/>
    </row>
    <row r="203" spans="2:35">
      <c r="B203" s="1017" t="s">
        <v>162</v>
      </c>
      <c r="C203" s="1021">
        <v>0.78395346690056322</v>
      </c>
      <c r="D203" s="1021">
        <v>0.21604653309943678</v>
      </c>
      <c r="L203" s="1017" t="s">
        <v>732</v>
      </c>
      <c r="M203" s="1021">
        <v>0.99828473413379071</v>
      </c>
      <c r="N203" s="1021">
        <v>1.7152658662092923E-3</v>
      </c>
    </row>
    <row r="204" spans="2:35">
      <c r="B204" s="1017" t="s">
        <v>176</v>
      </c>
      <c r="C204" s="1021">
        <v>0.83044982698961933</v>
      </c>
      <c r="D204" s="1021">
        <v>0.16955017301038067</v>
      </c>
      <c r="L204" s="1017" t="s">
        <v>1285</v>
      </c>
      <c r="M204" s="1021">
        <v>0</v>
      </c>
      <c r="N204" s="1021">
        <v>1</v>
      </c>
    </row>
    <row r="205" spans="2:35" ht="15.5">
      <c r="B205" s="1017" t="s">
        <v>217</v>
      </c>
      <c r="C205" s="1021">
        <v>0.1888772298006296</v>
      </c>
      <c r="D205" s="1021">
        <v>0.8111227701993704</v>
      </c>
      <c r="L205"/>
      <c r="M205"/>
      <c r="N205"/>
    </row>
    <row r="206" spans="2:35" ht="15.5">
      <c r="B206" s="1017" t="s">
        <v>187</v>
      </c>
      <c r="C206" s="1021">
        <v>1</v>
      </c>
      <c r="D206" s="1021">
        <v>0</v>
      </c>
      <c r="L206"/>
      <c r="M206"/>
      <c r="N206"/>
    </row>
    <row r="207" spans="2:35" ht="15.5">
      <c r="B207" s="1017" t="s">
        <v>1148</v>
      </c>
      <c r="C207" s="1021">
        <v>0.4631578947368421</v>
      </c>
      <c r="D207" s="1021">
        <v>0.5368421052631579</v>
      </c>
      <c r="L207"/>
      <c r="M207"/>
      <c r="N207"/>
    </row>
    <row r="208" spans="2:35" ht="15.5">
      <c r="B208" s="1017" t="s">
        <v>145</v>
      </c>
      <c r="C208" s="1021">
        <v>0.71669058609053182</v>
      </c>
      <c r="D208" s="1021">
        <v>0.28330941390946818</v>
      </c>
      <c r="L208"/>
      <c r="M208"/>
      <c r="N208"/>
    </row>
    <row r="209" spans="1:26" ht="15.5">
      <c r="B209"/>
      <c r="C209"/>
      <c r="D209"/>
      <c r="L209"/>
      <c r="M209"/>
      <c r="N209"/>
    </row>
    <row r="210" spans="1:26" ht="15.5">
      <c r="B210" s="107"/>
      <c r="C210" s="108"/>
      <c r="D210" s="108"/>
      <c r="L210"/>
      <c r="M210"/>
      <c r="N210"/>
    </row>
    <row r="211" spans="1:26" ht="15.5">
      <c r="L211"/>
      <c r="M211"/>
      <c r="N211"/>
    </row>
    <row r="212" spans="1:26" ht="15.5">
      <c r="B212" s="112"/>
      <c r="C212" s="112"/>
      <c r="D212" s="112"/>
      <c r="S212"/>
      <c r="T212"/>
    </row>
    <row r="213" spans="1:26" ht="18.5">
      <c r="A213" s="158" t="s">
        <v>2043</v>
      </c>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5">
      <c r="S214"/>
      <c r="T214"/>
    </row>
    <row r="216" spans="1:26">
      <c r="B216" s="1014" t="s">
        <v>20</v>
      </c>
      <c r="C216" s="1015" t="s">
        <v>3263</v>
      </c>
      <c r="D216" s="112"/>
      <c r="G216" s="1014" t="s">
        <v>20</v>
      </c>
      <c r="H216" s="1015" t="s">
        <v>3263</v>
      </c>
      <c r="I216" s="112"/>
    </row>
    <row r="217" spans="1:26">
      <c r="B217" s="1014" t="s">
        <v>35</v>
      </c>
      <c r="C217" s="1015" t="s">
        <v>35</v>
      </c>
      <c r="G217" s="1014" t="s">
        <v>35</v>
      </c>
      <c r="H217" s="1015" t="s">
        <v>35</v>
      </c>
      <c r="M217" s="109"/>
    </row>
    <row r="218" spans="1:26" ht="15.5">
      <c r="B218" s="1014" t="s">
        <v>137</v>
      </c>
      <c r="C218" s="1015" t="s">
        <v>1915</v>
      </c>
      <c r="D218" s="112"/>
      <c r="G218" s="1014" t="s">
        <v>137</v>
      </c>
      <c r="H218" s="1015" t="s">
        <v>1915</v>
      </c>
      <c r="I218" s="112"/>
      <c r="L218" s="468"/>
    </row>
    <row r="219" spans="1:26" ht="15.5">
      <c r="L219" s="468"/>
    </row>
    <row r="220" spans="1:26">
      <c r="B220" s="1014" t="s">
        <v>1660</v>
      </c>
      <c r="C220" s="1015" t="s">
        <v>1922</v>
      </c>
      <c r="D220" s="1015" t="s">
        <v>1955</v>
      </c>
      <c r="E220" s="1015" t="s">
        <v>1923</v>
      </c>
      <c r="G220" s="1014" t="s">
        <v>1660</v>
      </c>
      <c r="H220" s="1015" t="s">
        <v>1922</v>
      </c>
      <c r="I220" s="1015" t="s">
        <v>1955</v>
      </c>
      <c r="J220" s="1015" t="s">
        <v>1923</v>
      </c>
      <c r="K220" s="1015" t="s">
        <v>2857</v>
      </c>
      <c r="L220" s="1015" t="s">
        <v>3269</v>
      </c>
    </row>
    <row r="221" spans="1:26">
      <c r="B221" s="1017" t="s">
        <v>39</v>
      </c>
      <c r="C221" s="1018">
        <v>19275.8</v>
      </c>
      <c r="D221" s="1019">
        <v>60703</v>
      </c>
      <c r="E221" s="1018">
        <v>10470.200000000001</v>
      </c>
      <c r="G221" s="1017" t="s">
        <v>711</v>
      </c>
      <c r="H221" s="1018">
        <v>1853</v>
      </c>
      <c r="I221" s="1019">
        <v>6770</v>
      </c>
      <c r="J221" s="1018">
        <v>860</v>
      </c>
      <c r="K221" s="1019">
        <v>1401</v>
      </c>
      <c r="L221" s="1019"/>
    </row>
    <row r="222" spans="1:26">
      <c r="B222" s="1017" t="s">
        <v>1662</v>
      </c>
      <c r="C222" s="1018">
        <v>19275.8</v>
      </c>
      <c r="D222" s="1019">
        <v>60703</v>
      </c>
      <c r="E222" s="1018">
        <v>10470.200000000001</v>
      </c>
      <c r="G222" s="1017" t="s">
        <v>1662</v>
      </c>
      <c r="H222" s="1018">
        <v>1853</v>
      </c>
      <c r="I222" s="1019">
        <v>6770</v>
      </c>
      <c r="J222" s="1018">
        <v>860</v>
      </c>
      <c r="K222" s="1019">
        <v>1401</v>
      </c>
      <c r="L222" s="1019"/>
    </row>
    <row r="223" spans="1:26" ht="15.5">
      <c r="B223"/>
      <c r="C223"/>
      <c r="D223"/>
      <c r="E223"/>
    </row>
    <row r="224" spans="1:26" ht="15.5">
      <c r="B224"/>
      <c r="C224"/>
      <c r="D224"/>
      <c r="E224"/>
      <c r="F224"/>
      <c r="G224"/>
      <c r="J224" s="123"/>
      <c r="K224" s="123"/>
    </row>
    <row r="225" spans="2:42" ht="15.5">
      <c r="C225" s="122" t="s">
        <v>39</v>
      </c>
      <c r="D225" s="108"/>
      <c r="E225"/>
      <c r="F225"/>
      <c r="H225" s="122" t="s">
        <v>1919</v>
      </c>
      <c r="Q225" s="114"/>
      <c r="R225" s="114"/>
    </row>
    <row r="226" spans="2:42">
      <c r="B226" s="120" t="s">
        <v>25</v>
      </c>
      <c r="C226" s="105">
        <f>GETPIVOTDATA("Sum of Total HH",$B$220,"State","Kachin")</f>
        <v>19275.8</v>
      </c>
      <c r="G226" s="120" t="s">
        <v>25</v>
      </c>
      <c r="I226" s="105">
        <f>GETPIVOTDATA("Sum of Total HH",$G$220,"State","Shan (North)")</f>
        <v>1853</v>
      </c>
    </row>
    <row r="228" spans="2:42">
      <c r="C228" s="122" t="s">
        <v>35</v>
      </c>
      <c r="D228" s="122" t="s">
        <v>1673</v>
      </c>
      <c r="H228" s="122" t="s">
        <v>35</v>
      </c>
      <c r="I228" s="122" t="s">
        <v>1673</v>
      </c>
    </row>
    <row r="229" spans="2:42">
      <c r="B229" s="120" t="s">
        <v>1924</v>
      </c>
      <c r="C229" s="123">
        <f>GETPIVOTDATA("Sum of # people reached by regular dedicated hygiene promotion_5",$B$220,"State","Kachin")/5</f>
        <v>12140.6</v>
      </c>
      <c r="D229" s="123">
        <f>$C$226-C229</f>
        <v>7135.1999999999989</v>
      </c>
      <c r="G229" s="120" t="s">
        <v>1924</v>
      </c>
      <c r="H229" s="114">
        <f>GETPIVOTDATA("Sum of # people reached by regular dedicated hygiene promotion_5",$G$220,"State","Shan (North)")/5</f>
        <v>1354</v>
      </c>
      <c r="I229" s="114">
        <f>$I$226-H229</f>
        <v>499</v>
      </c>
    </row>
    <row r="230" spans="2:42" ht="15.5">
      <c r="B230" s="120" t="s">
        <v>1656</v>
      </c>
      <c r="C230" s="123">
        <f>GETPIVOTDATA("Sum of #HH with access to Hand Washing Station",$B$220,"State","Kachin")</f>
        <v>10470.200000000001</v>
      </c>
      <c r="D230" s="123">
        <f>$C$226-C230</f>
        <v>8805.5999999999985</v>
      </c>
      <c r="G230" s="120" t="s">
        <v>1656</v>
      </c>
      <c r="H230" s="114">
        <f>GETPIVOTDATA("Sum of #HH with access to Hand Washing Station",$G$220,"State","Shan (North)")</f>
        <v>860</v>
      </c>
      <c r="I230" s="114">
        <f>$I$226-H230</f>
        <v>993</v>
      </c>
      <c r="K230" s="468"/>
      <c r="L230"/>
      <c r="M230" s="117"/>
    </row>
    <row r="231" spans="2:42" ht="15.5">
      <c r="G231" s="810" t="s">
        <v>3369</v>
      </c>
      <c r="H231" s="105">
        <f>GETPIVOTDATA("Sum of #_households that received standard amount of soap for this quarter",$G$220,"State","Shan (North)")</f>
        <v>1401</v>
      </c>
      <c r="I231" s="105">
        <f>I226-H231</f>
        <v>452</v>
      </c>
      <c r="J231" s="416"/>
      <c r="K231" s="475"/>
      <c r="L231" s="475"/>
      <c r="M231" s="433"/>
      <c r="N231" s="416"/>
      <c r="O231" s="416"/>
      <c r="P231" s="416"/>
      <c r="Q231" s="416"/>
      <c r="R231" s="416"/>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c r="AN231" s="416"/>
      <c r="AO231" s="416"/>
      <c r="AP231" s="416"/>
    </row>
    <row r="232" spans="2:42" ht="15.5">
      <c r="K232" s="475"/>
      <c r="L232" s="475"/>
      <c r="M232" s="433"/>
      <c r="N232" s="416"/>
      <c r="O232" s="416"/>
      <c r="P232" s="416"/>
      <c r="Q232" s="416"/>
      <c r="R232" s="416"/>
      <c r="S232" s="416"/>
      <c r="T232" s="416"/>
      <c r="U232" s="416"/>
      <c r="V232" s="416"/>
      <c r="W232" s="416"/>
      <c r="X232" s="416"/>
      <c r="Y232" s="416"/>
      <c r="Z232" s="416"/>
      <c r="AA232" s="416"/>
      <c r="AB232" s="416"/>
      <c r="AC232" s="416"/>
      <c r="AD232" s="416"/>
      <c r="AE232" s="416"/>
      <c r="AF232" s="416"/>
      <c r="AG232" s="416"/>
      <c r="AH232" s="416"/>
      <c r="AI232" s="416"/>
      <c r="AJ232" s="416"/>
      <c r="AK232" s="416"/>
      <c r="AL232" s="416"/>
      <c r="AM232" s="416"/>
      <c r="AN232" s="416"/>
      <c r="AO232" s="416"/>
      <c r="AP232" s="416"/>
    </row>
    <row r="233" spans="2:42" ht="15.5">
      <c r="K233" s="468"/>
      <c r="L233" s="396"/>
      <c r="M233" s="117"/>
    </row>
    <row r="234" spans="2:42" ht="15.5">
      <c r="K234" s="468"/>
      <c r="L234" s="468"/>
      <c r="M234" s="433"/>
      <c r="N234" s="416"/>
      <c r="R234" s="416"/>
      <c r="S234" s="416"/>
      <c r="T234" s="416"/>
      <c r="U234" s="416"/>
      <c r="V234" s="416"/>
      <c r="W234" s="416"/>
      <c r="X234" s="416"/>
      <c r="Y234" s="416"/>
      <c r="Z234" s="416"/>
      <c r="AA234" s="416"/>
      <c r="AB234" s="416"/>
      <c r="AC234" s="416"/>
      <c r="AD234" s="416"/>
      <c r="AE234" s="416"/>
      <c r="AF234" s="416"/>
      <c r="AG234" s="416"/>
      <c r="AH234" s="416"/>
      <c r="AI234" s="416"/>
      <c r="AJ234" s="416"/>
      <c r="AK234" s="416"/>
      <c r="AL234" s="416"/>
      <c r="AM234" s="416"/>
      <c r="AN234" s="416"/>
      <c r="AO234" s="416"/>
      <c r="AP234" s="416"/>
    </row>
    <row r="235" spans="2:42" ht="15.5">
      <c r="H235" s="468"/>
      <c r="I235" s="468"/>
      <c r="K235" s="468"/>
      <c r="L235" s="468"/>
      <c r="M235" s="433"/>
      <c r="N235" s="416"/>
      <c r="R235" s="416"/>
      <c r="S235" s="416"/>
      <c r="T235" s="416"/>
      <c r="U235" s="416"/>
      <c r="V235" s="416"/>
      <c r="W235" s="416"/>
      <c r="X235" s="416"/>
      <c r="Y235" s="416"/>
      <c r="Z235" s="416"/>
      <c r="AA235" s="416"/>
      <c r="AB235" s="416"/>
      <c r="AC235" s="416"/>
      <c r="AD235" s="416"/>
      <c r="AE235" s="416"/>
      <c r="AF235" s="416"/>
      <c r="AG235" s="416"/>
      <c r="AH235" s="416"/>
      <c r="AI235" s="416"/>
      <c r="AJ235" s="416"/>
      <c r="AK235" s="416"/>
      <c r="AL235" s="416"/>
      <c r="AM235" s="416"/>
      <c r="AN235" s="416"/>
      <c r="AO235" s="416"/>
      <c r="AP235" s="416"/>
    </row>
    <row r="236" spans="2:42" ht="15.5">
      <c r="H236" s="468"/>
      <c r="I236" s="468"/>
      <c r="K236" s="468"/>
      <c r="L236" s="468"/>
      <c r="M236" s="433"/>
      <c r="N236" s="416"/>
      <c r="R236" s="416"/>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c r="AN236" s="416"/>
      <c r="AO236" s="416"/>
      <c r="AP236" s="416"/>
    </row>
    <row r="237" spans="2:42" ht="15.5">
      <c r="H237" s="475"/>
      <c r="I237" s="468"/>
      <c r="K237" s="468"/>
      <c r="L237" s="468"/>
      <c r="M237" s="433"/>
      <c r="N237" s="416"/>
      <c r="R237" s="416"/>
      <c r="S237" s="416"/>
      <c r="T237" s="416"/>
      <c r="U237" s="416"/>
      <c r="V237" s="416"/>
      <c r="W237" s="416"/>
      <c r="X237" s="416"/>
      <c r="Y237" s="416"/>
      <c r="Z237" s="416"/>
      <c r="AA237" s="416"/>
      <c r="AB237" s="416"/>
      <c r="AC237" s="416"/>
      <c r="AD237" s="416"/>
      <c r="AE237" s="416"/>
      <c r="AF237" s="416"/>
      <c r="AG237" s="416"/>
      <c r="AH237" s="416"/>
      <c r="AI237" s="416"/>
      <c r="AJ237" s="416"/>
      <c r="AK237" s="416"/>
      <c r="AL237" s="416"/>
      <c r="AM237" s="416"/>
      <c r="AN237" s="416"/>
      <c r="AO237" s="416"/>
      <c r="AP237" s="416"/>
    </row>
    <row r="238" spans="2:42" ht="15.5">
      <c r="H238" s="468"/>
      <c r="I238" s="468"/>
      <c r="K238" s="468"/>
      <c r="L238" s="396"/>
      <c r="M238" s="117"/>
    </row>
    <row r="239" spans="2:42" ht="15.5">
      <c r="H239" s="468"/>
      <c r="I239" s="468"/>
      <c r="K239" s="468"/>
      <c r="L239" s="396"/>
      <c r="M239" s="117"/>
    </row>
    <row r="240" spans="2:42" ht="15.5">
      <c r="B240"/>
      <c r="C240"/>
      <c r="D240"/>
      <c r="E240"/>
      <c r="F240"/>
      <c r="G240"/>
      <c r="K240" s="468"/>
      <c r="L240" s="396"/>
      <c r="M240" s="117"/>
    </row>
    <row r="241" spans="2:42" ht="15.5">
      <c r="B241"/>
      <c r="C241"/>
      <c r="D241"/>
      <c r="E241"/>
      <c r="F241"/>
      <c r="G241"/>
      <c r="I241" s="468"/>
      <c r="J241" s="468"/>
      <c r="K241" s="468"/>
      <c r="L241" s="396"/>
      <c r="M241" s="117"/>
    </row>
    <row r="242" spans="2:42" ht="15.5">
      <c r="B242" s="1014" t="s">
        <v>20</v>
      </c>
      <c r="C242" s="1015" t="s">
        <v>3263</v>
      </c>
      <c r="D242" s="112"/>
      <c r="F242" s="396"/>
      <c r="J242" s="468"/>
      <c r="K242" s="468"/>
      <c r="L242" s="396"/>
      <c r="M242" s="117"/>
    </row>
    <row r="243" spans="2:42" ht="15.5">
      <c r="B243" s="1014" t="s">
        <v>35</v>
      </c>
      <c r="C243" s="1015" t="s">
        <v>35</v>
      </c>
      <c r="F243" s="396"/>
      <c r="J243" s="468"/>
      <c r="K243" s="786"/>
      <c r="L243" s="114"/>
      <c r="M243" s="785"/>
    </row>
    <row r="244" spans="2:42" ht="15.5">
      <c r="B244" s="1014" t="s">
        <v>137</v>
      </c>
      <c r="C244" s="1015" t="s">
        <v>1915</v>
      </c>
      <c r="D244" s="112"/>
      <c r="F244" s="396"/>
      <c r="G244" s="621" t="s">
        <v>3157</v>
      </c>
      <c r="H244" s="622" t="s">
        <v>3161</v>
      </c>
      <c r="I244" s="620" t="s">
        <v>3156</v>
      </c>
      <c r="K244" s="621" t="s">
        <v>3158</v>
      </c>
      <c r="L244" s="784" t="s">
        <v>3306</v>
      </c>
      <c r="M244" s="784" t="s">
        <v>3307</v>
      </c>
    </row>
    <row r="245" spans="2:42" ht="15.5">
      <c r="F245" s="468"/>
      <c r="G245" s="783" t="s">
        <v>3308</v>
      </c>
      <c r="H245" s="114">
        <f>GETPIVOTDATA("Sum of Total HH",$B$246,"State","Kachin","Ethnic or GCA/NGCA","GCA")*25%</f>
        <v>2678.45</v>
      </c>
      <c r="I245" s="105">
        <f>GETPIVOTDATA("Sum of Total HH",$B$246,"State","Kachin","Ethnic or GCA/NGCA","NGCA")</f>
        <v>8562</v>
      </c>
      <c r="K245" s="783" t="s">
        <v>3309</v>
      </c>
      <c r="L245" s="114">
        <f>GETPIVOTDATA("Sum of Total PoP ",$B$246,"State","Kachin","Ethnic or GCA/NGCA","GCA")*29%</f>
        <v>15861.839999999998</v>
      </c>
      <c r="M245" s="785">
        <f>GETPIVOTDATA("Sum of Total PoP ",$B$246,"State","Kachin","Ethnic or GCA/NGCA","NGCA")*29%</f>
        <v>12641.97</v>
      </c>
    </row>
    <row r="246" spans="2:42" ht="15.5">
      <c r="B246" s="1014" t="s">
        <v>1660</v>
      </c>
      <c r="C246" s="1015" t="s">
        <v>1922</v>
      </c>
      <c r="D246" s="1015" t="s">
        <v>3305</v>
      </c>
      <c r="E246"/>
      <c r="F246"/>
      <c r="G246"/>
      <c r="H246"/>
      <c r="J246" s="416"/>
      <c r="O246" s="416"/>
      <c r="P246" s="416"/>
      <c r="U246" s="416"/>
      <c r="V246" s="416"/>
      <c r="W246" s="416"/>
      <c r="X246" s="416"/>
      <c r="Y246" s="416"/>
      <c r="Z246" s="416"/>
      <c r="AA246" s="416"/>
      <c r="AB246" s="416"/>
      <c r="AC246" s="416"/>
      <c r="AD246" s="416"/>
      <c r="AE246" s="416"/>
      <c r="AF246" s="416"/>
      <c r="AG246" s="416"/>
      <c r="AH246" s="416"/>
      <c r="AI246" s="416"/>
      <c r="AJ246" s="416"/>
      <c r="AK246" s="416"/>
      <c r="AL246" s="416"/>
      <c r="AM246" s="416"/>
      <c r="AN246" s="416"/>
      <c r="AO246" s="416"/>
      <c r="AP246" s="416"/>
    </row>
    <row r="247" spans="2:42" ht="15.5">
      <c r="B247" s="1017" t="s">
        <v>39</v>
      </c>
      <c r="C247" s="1018"/>
      <c r="D247" s="1019"/>
      <c r="E247"/>
      <c r="F247"/>
      <c r="G247"/>
      <c r="H247" s="122" t="s">
        <v>35</v>
      </c>
      <c r="I247" s="122" t="s">
        <v>1673</v>
      </c>
      <c r="L247" s="122" t="s">
        <v>35</v>
      </c>
      <c r="M247" s="122" t="s">
        <v>1673</v>
      </c>
      <c r="O247" s="716" t="s">
        <v>3270</v>
      </c>
    </row>
    <row r="248" spans="2:42" ht="15.5">
      <c r="B248" s="1026" t="s">
        <v>46</v>
      </c>
      <c r="C248" s="1018">
        <v>10713.8</v>
      </c>
      <c r="D248" s="1019">
        <v>54696</v>
      </c>
      <c r="E248"/>
      <c r="F248"/>
      <c r="G248" s="784" t="s">
        <v>3310</v>
      </c>
      <c r="H248">
        <f>GETPIVOTDATA("Sum of #_households that received standard amount of soap for this quarter",$B$258,"State","Kachin","Ethnic or GCA/NGCA","GCA")</f>
        <v>1248</v>
      </c>
      <c r="I248" s="123">
        <f>H245-H248</f>
        <v>1430.4499999999998</v>
      </c>
      <c r="K248" s="784" t="s">
        <v>46</v>
      </c>
      <c r="L248" s="123">
        <f>GETPIVOTDATA("Sum of # of affected women and girls receiving a sufficient quantity of sanitary pads from direct distribution or from MHM room facilities",$B$258,"State","Kachin","Ethnic or GCA/NGCA","GCA")</f>
        <v>2268</v>
      </c>
      <c r="M248" s="123">
        <f>L245-L248</f>
        <v>13593.839999999998</v>
      </c>
    </row>
    <row r="249" spans="2:42" ht="15.5">
      <c r="B249" s="1026" t="s">
        <v>787</v>
      </c>
      <c r="C249" s="1018">
        <v>8562</v>
      </c>
      <c r="D249" s="1019">
        <v>43593</v>
      </c>
      <c r="E249"/>
      <c r="F249"/>
      <c r="G249" s="784" t="s">
        <v>3311</v>
      </c>
      <c r="H249">
        <f>GETPIVOTDATA("Sum of #_households that received standard amount of soap for this quarter",$B$258,"State","Kachin","Ethnic or GCA/NGCA","NGCA")</f>
        <v>3474</v>
      </c>
      <c r="I249" s="123">
        <f>I245-H249</f>
        <v>5088</v>
      </c>
      <c r="K249" s="784" t="s">
        <v>787</v>
      </c>
      <c r="L249" s="123">
        <f>GETPIVOTDATA("Sum of # of affected women and girls receiving a sufficient quantity of sanitary pads from direct distribution or from MHM room facilities",$B$258,"State","Kachin","Ethnic or GCA/NGCA","NGCA")</f>
        <v>2456</v>
      </c>
      <c r="M249" s="123">
        <f>M245-L249</f>
        <v>10185.969999999999</v>
      </c>
    </row>
    <row r="250" spans="2:42" ht="15.5">
      <c r="B250" s="1017" t="s">
        <v>1930</v>
      </c>
      <c r="C250" s="1018">
        <v>19275.8</v>
      </c>
      <c r="D250" s="1019">
        <v>98289</v>
      </c>
      <c r="E250"/>
      <c r="F250"/>
      <c r="G250"/>
      <c r="H250"/>
      <c r="K250" s="468"/>
      <c r="L250" s="468"/>
      <c r="M250" s="117"/>
    </row>
    <row r="251" spans="2:42" ht="15.5">
      <c r="B251" s="1017" t="s">
        <v>1662</v>
      </c>
      <c r="C251" s="1018">
        <v>19275.8</v>
      </c>
      <c r="D251" s="1019">
        <v>98289</v>
      </c>
      <c r="E251" s="619"/>
      <c r="F251" s="468"/>
      <c r="G251" s="468"/>
      <c r="K251" s="468"/>
      <c r="L251" s="468"/>
      <c r="M251" s="117"/>
    </row>
    <row r="252" spans="2:42" ht="15.5">
      <c r="B252"/>
      <c r="C252"/>
      <c r="D252"/>
      <c r="E252" s="619"/>
      <c r="F252" s="468"/>
      <c r="G252" s="468"/>
      <c r="K252" s="468"/>
      <c r="L252" s="468"/>
      <c r="M252" s="117"/>
    </row>
    <row r="253" spans="2:42" ht="15.5">
      <c r="B253"/>
      <c r="C253"/>
      <c r="D253"/>
      <c r="E253" s="619"/>
      <c r="F253" s="468"/>
      <c r="G253" s="468"/>
      <c r="K253" s="468"/>
      <c r="L253" s="468"/>
      <c r="M253" s="117"/>
    </row>
    <row r="254" spans="2:42" ht="15.5">
      <c r="B254" s="1014" t="s">
        <v>20</v>
      </c>
      <c r="C254" s="1015" t="s">
        <v>3262</v>
      </c>
      <c r="D254" s="112"/>
      <c r="E254" s="619"/>
      <c r="F254" s="468"/>
      <c r="G254" s="468"/>
      <c r="K254" s="468"/>
      <c r="L254" s="468"/>
      <c r="M254" s="117"/>
    </row>
    <row r="255" spans="2:42" ht="15.5">
      <c r="B255" s="1014" t="s">
        <v>35</v>
      </c>
      <c r="C255" s="1015" t="s">
        <v>35</v>
      </c>
      <c r="E255" s="619"/>
      <c r="F255" s="468"/>
      <c r="G255" s="468"/>
      <c r="K255" s="468"/>
      <c r="L255" s="468"/>
      <c r="M255" s="117"/>
    </row>
    <row r="256" spans="2:42" ht="15.5">
      <c r="B256" s="1014" t="s">
        <v>137</v>
      </c>
      <c r="C256" s="1015" t="s">
        <v>1915</v>
      </c>
      <c r="D256" s="112"/>
      <c r="E256" s="619"/>
      <c r="F256" s="468"/>
      <c r="K256" s="468"/>
      <c r="L256" s="468"/>
      <c r="M256" s="117"/>
    </row>
    <row r="257" spans="2:13" ht="15.5">
      <c r="E257" s="619"/>
      <c r="F257" s="468"/>
      <c r="K257" s="468"/>
      <c r="L257" s="468"/>
      <c r="M257" s="117"/>
    </row>
    <row r="258" spans="2:13" ht="15.5">
      <c r="B258" s="1014" t="s">
        <v>1660</v>
      </c>
      <c r="C258" s="1015" t="s">
        <v>2857</v>
      </c>
      <c r="D258" s="1015" t="s">
        <v>3269</v>
      </c>
      <c r="E258" s="619"/>
      <c r="F258" s="468"/>
      <c r="K258" s="468"/>
      <c r="L258" s="468"/>
      <c r="M258" s="117"/>
    </row>
    <row r="259" spans="2:13" ht="15.5">
      <c r="B259" s="1017" t="s">
        <v>39</v>
      </c>
      <c r="C259" s="1019"/>
      <c r="D259" s="1019"/>
      <c r="E259" s="619"/>
      <c r="F259" s="468"/>
      <c r="K259" s="468"/>
      <c r="L259" s="468"/>
      <c r="M259" s="117"/>
    </row>
    <row r="260" spans="2:13" ht="15.5">
      <c r="B260" s="1026" t="s">
        <v>46</v>
      </c>
      <c r="C260" s="1019">
        <v>1248</v>
      </c>
      <c r="D260" s="1019">
        <v>2268</v>
      </c>
      <c r="E260" s="619"/>
      <c r="F260" s="468"/>
      <c r="K260" s="468"/>
      <c r="L260" s="468"/>
      <c r="M260" s="117"/>
    </row>
    <row r="261" spans="2:13" ht="15.5">
      <c r="B261" s="1026" t="s">
        <v>787</v>
      </c>
      <c r="C261" s="1019">
        <v>3474</v>
      </c>
      <c r="D261" s="1019">
        <v>2456</v>
      </c>
      <c r="E261" s="619"/>
      <c r="F261" s="468"/>
      <c r="K261" s="468"/>
      <c r="L261" s="468"/>
      <c r="M261" s="117"/>
    </row>
    <row r="262" spans="2:13" ht="15.5">
      <c r="B262" s="1017" t="s">
        <v>1930</v>
      </c>
      <c r="C262" s="1019">
        <v>4722</v>
      </c>
      <c r="D262" s="1019">
        <v>4724</v>
      </c>
      <c r="E262" s="619"/>
      <c r="F262" s="468"/>
      <c r="G262" s="468"/>
      <c r="K262" s="468"/>
      <c r="L262" s="468"/>
      <c r="M262" s="117"/>
    </row>
    <row r="263" spans="2:13" ht="15.5">
      <c r="F263" s="468"/>
      <c r="G263" s="468"/>
      <c r="K263" s="468"/>
      <c r="L263" s="468"/>
      <c r="M263" s="117"/>
    </row>
    <row r="264" spans="2:13" ht="15.5">
      <c r="K264" s="468"/>
      <c r="L264" s="468"/>
      <c r="M264" s="117"/>
    </row>
    <row r="265" spans="2:13" ht="15.5">
      <c r="K265" s="468"/>
      <c r="L265" s="468"/>
      <c r="M265" s="117"/>
    </row>
    <row r="266" spans="2:13" ht="15.5">
      <c r="F266" s="396"/>
      <c r="G266" s="468"/>
      <c r="H266" s="468"/>
      <c r="I266" s="468"/>
      <c r="K266" s="468"/>
      <c r="L266" s="468"/>
      <c r="M266" s="117"/>
    </row>
    <row r="267" spans="2:13" ht="15.5">
      <c r="B267"/>
      <c r="C267"/>
      <c r="D267"/>
      <c r="K267" s="396"/>
      <c r="L267" s="396"/>
      <c r="M267" s="117"/>
    </row>
    <row r="268" spans="2:13" ht="15.5">
      <c r="B268"/>
      <c r="C268"/>
      <c r="D268"/>
      <c r="K268" s="396"/>
      <c r="L268" s="396"/>
      <c r="M268" s="117"/>
    </row>
    <row r="269" spans="2:13">
      <c r="K269" s="1014" t="s">
        <v>20</v>
      </c>
      <c r="L269" s="1015" t="s">
        <v>3262</v>
      </c>
    </row>
    <row r="270" spans="2:13">
      <c r="B270" s="1014" t="s">
        <v>20</v>
      </c>
      <c r="C270" s="1015" t="s">
        <v>3263</v>
      </c>
      <c r="D270" s="117"/>
      <c r="K270" s="1014" t="s">
        <v>35</v>
      </c>
      <c r="L270" s="1015" t="s">
        <v>35</v>
      </c>
      <c r="M270" s="112"/>
    </row>
    <row r="271" spans="2:13">
      <c r="B271" s="1014" t="s">
        <v>35</v>
      </c>
      <c r="C271" s="1015" t="s">
        <v>35</v>
      </c>
      <c r="D271" s="112"/>
      <c r="K271" s="1024" t="s">
        <v>22</v>
      </c>
      <c r="L271" s="1025" t="s">
        <v>711</v>
      </c>
      <c r="M271" s="112"/>
    </row>
    <row r="272" spans="2:13">
      <c r="B272" s="1024" t="s">
        <v>22</v>
      </c>
      <c r="C272" s="1025" t="s">
        <v>39</v>
      </c>
      <c r="D272" s="112"/>
      <c r="K272" s="1014" t="s">
        <v>137</v>
      </c>
      <c r="L272" s="1015" t="s">
        <v>1915</v>
      </c>
      <c r="M272" s="112"/>
    </row>
    <row r="273" spans="2:13">
      <c r="B273" s="1014" t="s">
        <v>137</v>
      </c>
      <c r="C273" s="1015" t="s">
        <v>1915</v>
      </c>
      <c r="D273" s="112"/>
      <c r="K273" s="420"/>
      <c r="L273" s="112"/>
      <c r="M273" s="112"/>
    </row>
    <row r="274" spans="2:13">
      <c r="B274" s="420"/>
      <c r="C274" s="112"/>
      <c r="D274" s="112"/>
      <c r="K274" s="1023" t="s">
        <v>22</v>
      </c>
      <c r="L274" s="1015" t="s">
        <v>2991</v>
      </c>
      <c r="M274" s="1015" t="s">
        <v>2986</v>
      </c>
    </row>
    <row r="275" spans="2:13">
      <c r="B275" s="1023" t="s">
        <v>22</v>
      </c>
      <c r="C275" s="1015" t="s">
        <v>2991</v>
      </c>
      <c r="D275" s="1015" t="s">
        <v>2986</v>
      </c>
      <c r="K275" s="1017" t="s">
        <v>730</v>
      </c>
      <c r="L275" s="1021">
        <v>1</v>
      </c>
      <c r="M275" s="1021">
        <v>0</v>
      </c>
    </row>
    <row r="276" spans="2:13">
      <c r="B276" s="1017" t="s">
        <v>198</v>
      </c>
      <c r="C276" s="1021">
        <v>0.72390951131108616</v>
      </c>
      <c r="D276" s="1021">
        <v>0.27609048868891384</v>
      </c>
      <c r="K276" s="1017" t="s">
        <v>715</v>
      </c>
      <c r="L276" s="1021">
        <v>0.91574451562803338</v>
      </c>
      <c r="M276" s="1021">
        <v>8.4255484371966616E-2</v>
      </c>
    </row>
    <row r="277" spans="2:13">
      <c r="B277" s="1017" t="s">
        <v>149</v>
      </c>
      <c r="C277" s="1021">
        <v>0.63287762587529173</v>
      </c>
      <c r="D277" s="1021">
        <v>0.36712237412470827</v>
      </c>
      <c r="K277" s="1017" t="s">
        <v>1267</v>
      </c>
      <c r="L277" s="1021">
        <v>1</v>
      </c>
      <c r="M277" s="1021">
        <v>0</v>
      </c>
    </row>
    <row r="278" spans="2:13">
      <c r="B278" s="1017" t="s">
        <v>151</v>
      </c>
      <c r="C278" s="1021">
        <v>0.99642857142857144</v>
      </c>
      <c r="D278" s="1021">
        <v>3.5714285714285587E-3</v>
      </c>
      <c r="K278" s="1017" t="s">
        <v>718</v>
      </c>
      <c r="L278" s="1021">
        <v>1</v>
      </c>
      <c r="M278" s="1021">
        <v>0</v>
      </c>
    </row>
    <row r="279" spans="2:13">
      <c r="B279" s="1017" t="s">
        <v>40</v>
      </c>
      <c r="C279" s="1021">
        <v>0.68577332210912989</v>
      </c>
      <c r="D279" s="1021">
        <v>0.31422667789087011</v>
      </c>
      <c r="K279" s="1017" t="s">
        <v>721</v>
      </c>
      <c r="L279" s="1021">
        <v>1</v>
      </c>
      <c r="M279" s="1021">
        <v>0</v>
      </c>
    </row>
    <row r="280" spans="2:13">
      <c r="B280" s="1017" t="s">
        <v>155</v>
      </c>
      <c r="C280" s="1021">
        <v>1</v>
      </c>
      <c r="D280" s="1021">
        <v>0</v>
      </c>
      <c r="K280" s="1017" t="s">
        <v>712</v>
      </c>
      <c r="L280" s="1021">
        <v>0.53448275862068961</v>
      </c>
      <c r="M280" s="1021">
        <v>0.46551724137931039</v>
      </c>
    </row>
    <row r="281" spans="2:13">
      <c r="B281" s="1017" t="s">
        <v>160</v>
      </c>
      <c r="C281" s="1021">
        <v>0.57692307692307687</v>
      </c>
      <c r="D281" s="1021">
        <v>0.42307692307692313</v>
      </c>
      <c r="K281" s="1017" t="s">
        <v>732</v>
      </c>
      <c r="L281" s="1021">
        <v>0.98835274542429286</v>
      </c>
      <c r="M281" s="1021">
        <v>1.1647254575707144E-2</v>
      </c>
    </row>
    <row r="282" spans="2:13">
      <c r="B282" s="1017" t="s">
        <v>208</v>
      </c>
      <c r="C282" s="1021">
        <v>0.68100252113302684</v>
      </c>
      <c r="D282" s="1021">
        <v>0.31899747886697316</v>
      </c>
      <c r="K282" s="1017" t="s">
        <v>1285</v>
      </c>
      <c r="L282" s="1021">
        <v>0</v>
      </c>
      <c r="M282" s="1021">
        <v>1</v>
      </c>
    </row>
    <row r="283" spans="2:13" ht="15.5">
      <c r="B283" s="1017" t="s">
        <v>162</v>
      </c>
      <c r="C283" s="1021">
        <v>0.77582864001477236</v>
      </c>
      <c r="D283" s="1021">
        <v>0.22417135998522764</v>
      </c>
      <c r="K283"/>
      <c r="L283"/>
      <c r="M283"/>
    </row>
    <row r="284" spans="2:13" ht="15.5">
      <c r="B284" s="1017" t="s">
        <v>176</v>
      </c>
      <c r="C284" s="1021">
        <v>1</v>
      </c>
      <c r="D284" s="1021">
        <v>0</v>
      </c>
      <c r="K284"/>
      <c r="L284"/>
      <c r="M284"/>
    </row>
    <row r="285" spans="2:13" ht="15.5">
      <c r="B285" s="1017" t="s">
        <v>217</v>
      </c>
      <c r="C285" s="1021">
        <v>0.17033927946834557</v>
      </c>
      <c r="D285" s="1021">
        <v>0.82966072053165441</v>
      </c>
      <c r="K285"/>
      <c r="L285"/>
      <c r="M285"/>
    </row>
    <row r="286" spans="2:13" ht="15.5">
      <c r="B286" s="1017" t="s">
        <v>187</v>
      </c>
      <c r="C286" s="1021">
        <v>1</v>
      </c>
      <c r="D286" s="1021">
        <v>0</v>
      </c>
      <c r="K286"/>
      <c r="L286"/>
      <c r="M286"/>
    </row>
    <row r="287" spans="2:13" ht="15.5">
      <c r="B287" s="1017" t="s">
        <v>1148</v>
      </c>
      <c r="C287" s="1021">
        <v>6.3157894736842107E-2</v>
      </c>
      <c r="D287" s="1021">
        <v>0.93684210526315792</v>
      </c>
      <c r="K287"/>
      <c r="L287"/>
      <c r="M287"/>
    </row>
    <row r="288" spans="2:13" ht="15.5">
      <c r="B288" s="1017" t="s">
        <v>145</v>
      </c>
      <c r="C288" s="1021">
        <v>0.77576509832822627</v>
      </c>
      <c r="D288" s="1021">
        <v>0.22423490167177373</v>
      </c>
      <c r="K288"/>
      <c r="L288"/>
      <c r="M288"/>
    </row>
    <row r="289" spans="1:26" ht="15.5">
      <c r="B289"/>
      <c r="C289"/>
      <c r="D289"/>
    </row>
    <row r="290" spans="1:26" ht="15.5">
      <c r="B290" s="112"/>
      <c r="C290" s="112"/>
      <c r="D290" s="112"/>
      <c r="K290"/>
      <c r="L290"/>
      <c r="M290"/>
      <c r="U290"/>
      <c r="V290"/>
      <c r="W290"/>
    </row>
    <row r="291" spans="1:26" ht="15.5">
      <c r="B291" s="112"/>
      <c r="C291" s="112"/>
      <c r="D291" s="112"/>
      <c r="K291"/>
      <c r="L291"/>
      <c r="M291"/>
      <c r="U291"/>
      <c r="V291"/>
      <c r="W291"/>
    </row>
    <row r="292" spans="1:26" ht="15.5">
      <c r="B292" s="112"/>
      <c r="C292" s="112"/>
      <c r="D292" s="112"/>
      <c r="K292" s="450"/>
      <c r="L292" s="451"/>
      <c r="M292" s="451"/>
      <c r="U292" s="396"/>
      <c r="V292" s="396"/>
      <c r="W292" s="396"/>
    </row>
    <row r="293" spans="1:26" ht="15.5">
      <c r="B293" s="112"/>
      <c r="C293" s="112"/>
      <c r="D293" s="112"/>
      <c r="K293" s="450"/>
      <c r="L293" s="451"/>
      <c r="M293" s="451"/>
      <c r="U293" s="396"/>
      <c r="V293" s="396"/>
      <c r="W293" s="396"/>
    </row>
    <row r="294" spans="1:26" ht="15.5">
      <c r="B294" s="112"/>
      <c r="C294" s="112"/>
      <c r="D294" s="112"/>
      <c r="K294" s="450"/>
      <c r="L294" s="451"/>
      <c r="M294" s="451"/>
      <c r="U294" s="396"/>
      <c r="V294" s="396"/>
      <c r="W294" s="396"/>
    </row>
    <row r="295" spans="1:26" ht="15.5">
      <c r="B295" s="112"/>
      <c r="C295" s="112"/>
      <c r="D295" s="112"/>
      <c r="K295" s="450"/>
      <c r="L295" s="451"/>
      <c r="M295" s="451"/>
      <c r="U295" s="396"/>
      <c r="V295" s="396"/>
      <c r="W295" s="396"/>
    </row>
    <row r="296" spans="1:26" ht="18.5">
      <c r="A296" s="159" t="s">
        <v>1672</v>
      </c>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c r="B297" s="112"/>
      <c r="C297" s="112"/>
      <c r="D297" s="112"/>
    </row>
    <row r="298" spans="1:26">
      <c r="B298" s="112"/>
      <c r="C298" s="112"/>
      <c r="D298" s="112"/>
    </row>
    <row r="299" spans="1:26">
      <c r="C299" s="1014" t="s">
        <v>20</v>
      </c>
      <c r="D299" s="1015" t="s">
        <v>3263</v>
      </c>
    </row>
    <row r="300" spans="1:26">
      <c r="C300" s="1025" t="s">
        <v>22</v>
      </c>
      <c r="D300" s="1015" t="s">
        <v>39</v>
      </c>
      <c r="H300" s="1014" t="s">
        <v>20</v>
      </c>
      <c r="I300" s="1015" t="s">
        <v>3263</v>
      </c>
    </row>
    <row r="301" spans="1:26">
      <c r="H301" s="1025" t="s">
        <v>22</v>
      </c>
      <c r="I301" s="1025" t="s">
        <v>711</v>
      </c>
    </row>
    <row r="302" spans="1:26">
      <c r="C302" s="1014" t="s">
        <v>1920</v>
      </c>
      <c r="D302" s="1014" t="s">
        <v>1917</v>
      </c>
      <c r="E302" s="1015"/>
    </row>
    <row r="303" spans="1:26">
      <c r="C303" s="1014" t="s">
        <v>1660</v>
      </c>
      <c r="D303" s="1015" t="s">
        <v>35</v>
      </c>
      <c r="E303" s="1015" t="s">
        <v>1673</v>
      </c>
      <c r="H303" s="1014" t="s">
        <v>1920</v>
      </c>
      <c r="I303" s="1014" t="s">
        <v>1917</v>
      </c>
      <c r="J303" s="1015"/>
    </row>
    <row r="304" spans="1:26">
      <c r="C304" s="1017" t="s">
        <v>45</v>
      </c>
      <c r="D304" s="1019"/>
      <c r="E304" s="1019"/>
      <c r="H304" s="1014" t="s">
        <v>1660</v>
      </c>
      <c r="I304" s="1015" t="s">
        <v>35</v>
      </c>
      <c r="J304" s="1015" t="s">
        <v>1673</v>
      </c>
    </row>
    <row r="305" spans="1:26">
      <c r="C305" s="1026" t="s">
        <v>1036</v>
      </c>
      <c r="D305" s="1019">
        <v>1</v>
      </c>
      <c r="E305" s="1019">
        <v>2</v>
      </c>
      <c r="H305" s="1017" t="s">
        <v>45</v>
      </c>
      <c r="I305" s="1019">
        <v>32</v>
      </c>
      <c r="J305" s="1019">
        <v>1</v>
      </c>
    </row>
    <row r="306" spans="1:26">
      <c r="C306" s="1026" t="s">
        <v>45</v>
      </c>
      <c r="D306" s="1019">
        <v>110</v>
      </c>
      <c r="E306" s="1019">
        <v>4</v>
      </c>
      <c r="H306" s="1017" t="s">
        <v>1476</v>
      </c>
      <c r="I306" s="1019">
        <v>2</v>
      </c>
      <c r="J306" s="1019"/>
    </row>
    <row r="307" spans="1:26" ht="15.5">
      <c r="C307" s="1026" t="s">
        <v>785</v>
      </c>
      <c r="D307" s="1019">
        <v>6</v>
      </c>
      <c r="E307" s="1019">
        <v>8</v>
      </c>
      <c r="H307"/>
      <c r="I307"/>
      <c r="J307"/>
    </row>
    <row r="308" spans="1:26" ht="15.5">
      <c r="C308" s="1026" t="s">
        <v>781</v>
      </c>
      <c r="D308" s="1019">
        <v>1</v>
      </c>
      <c r="E308" s="1019">
        <v>9</v>
      </c>
      <c r="H308"/>
      <c r="I308"/>
      <c r="J308"/>
    </row>
    <row r="309" spans="1:26" ht="15.5">
      <c r="C309" s="1017" t="s">
        <v>1476</v>
      </c>
      <c r="D309" s="1019"/>
      <c r="E309" s="1019"/>
      <c r="H309"/>
      <c r="I309"/>
      <c r="J309"/>
    </row>
    <row r="310" spans="1:26">
      <c r="C310" s="1026" t="s">
        <v>45</v>
      </c>
      <c r="D310" s="1019">
        <v>10</v>
      </c>
      <c r="E310" s="1019"/>
    </row>
    <row r="311" spans="1:26">
      <c r="C311" s="1026" t="s">
        <v>785</v>
      </c>
      <c r="D311" s="1019">
        <v>9</v>
      </c>
      <c r="E311" s="1019"/>
    </row>
    <row r="312" spans="1:26">
      <c r="C312" s="1026" t="s">
        <v>781</v>
      </c>
      <c r="D312" s="1019">
        <v>1</v>
      </c>
      <c r="E312" s="1019"/>
    </row>
    <row r="313" spans="1:26">
      <c r="C313" s="1026" t="s">
        <v>1108</v>
      </c>
      <c r="D313" s="1019">
        <v>3</v>
      </c>
      <c r="E313" s="1019"/>
    </row>
    <row r="314" spans="1:26" ht="15.5">
      <c r="C314"/>
      <c r="D314"/>
      <c r="E314"/>
    </row>
    <row r="315" spans="1:26" ht="15.5">
      <c r="C315"/>
      <c r="D315"/>
      <c r="E315"/>
    </row>
    <row r="316" spans="1:26" ht="15.5">
      <c r="C316"/>
      <c r="D316"/>
      <c r="E316"/>
    </row>
    <row r="317" spans="1:26" ht="15.5">
      <c r="C317"/>
      <c r="D317"/>
      <c r="E317"/>
    </row>
    <row r="320" spans="1:26" ht="18.5">
      <c r="A320" s="160" t="s">
        <v>2044</v>
      </c>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3" spans="3:12">
      <c r="C323" s="1014" t="s">
        <v>20</v>
      </c>
      <c r="D323" s="1015" t="s">
        <v>3263</v>
      </c>
    </row>
    <row r="324" spans="3:12">
      <c r="C324" s="1014" t="s">
        <v>35</v>
      </c>
      <c r="D324" s="1015" t="s">
        <v>1673</v>
      </c>
    </row>
    <row r="326" spans="3:12">
      <c r="C326" s="1014" t="s">
        <v>22</v>
      </c>
      <c r="D326" s="1014" t="s">
        <v>23</v>
      </c>
      <c r="E326" s="1014" t="s">
        <v>24</v>
      </c>
      <c r="F326" s="1014" t="s">
        <v>30</v>
      </c>
      <c r="G326" s="1015" t="s">
        <v>1920</v>
      </c>
      <c r="H326" s="1015" t="s">
        <v>1969</v>
      </c>
      <c r="I326" s="1015" t="s">
        <v>1970</v>
      </c>
      <c r="J326" s="1015" t="s">
        <v>1971</v>
      </c>
      <c r="K326" s="1015" t="s">
        <v>1972</v>
      </c>
      <c r="L326" s="1015" t="s">
        <v>1973</v>
      </c>
    </row>
    <row r="327" spans="3:12">
      <c r="C327" s="1015" t="s">
        <v>39</v>
      </c>
      <c r="D327" s="1015" t="s">
        <v>198</v>
      </c>
      <c r="E327" s="1015" t="s">
        <v>1018</v>
      </c>
      <c r="F327" s="1015" t="s">
        <v>781</v>
      </c>
      <c r="G327" s="1019">
        <v>1</v>
      </c>
      <c r="H327" s="1027">
        <v>190</v>
      </c>
      <c r="I327" s="1027">
        <v>928</v>
      </c>
      <c r="J327" s="1021">
        <v>1</v>
      </c>
      <c r="K327" s="1021">
        <v>1</v>
      </c>
      <c r="L327" s="1021">
        <v>1</v>
      </c>
    </row>
    <row r="328" spans="3:12">
      <c r="C328" s="1015"/>
      <c r="D328" s="1015" t="s">
        <v>151</v>
      </c>
      <c r="E328" s="1015" t="s">
        <v>233</v>
      </c>
      <c r="F328" s="1015" t="s">
        <v>45</v>
      </c>
      <c r="G328" s="1019">
        <v>1</v>
      </c>
      <c r="H328" s="1027">
        <v>70</v>
      </c>
      <c r="I328" s="1027">
        <v>350</v>
      </c>
      <c r="J328" s="1021">
        <v>1</v>
      </c>
      <c r="K328" s="1021">
        <v>1</v>
      </c>
      <c r="L328" s="1021">
        <v>1</v>
      </c>
    </row>
    <row r="329" spans="3:12">
      <c r="C329" s="1015"/>
      <c r="D329" s="1015"/>
      <c r="E329" s="1015" t="s">
        <v>260</v>
      </c>
      <c r="F329" s="1015" t="s">
        <v>785</v>
      </c>
      <c r="G329" s="1019">
        <v>1</v>
      </c>
      <c r="H329" s="1027">
        <v>3</v>
      </c>
      <c r="I329" s="1027">
        <v>15</v>
      </c>
      <c r="J329" s="1021">
        <v>0</v>
      </c>
      <c r="K329" s="1021">
        <v>1</v>
      </c>
      <c r="L329" s="1021">
        <v>1</v>
      </c>
    </row>
    <row r="330" spans="3:12">
      <c r="C330" s="1015"/>
      <c r="D330" s="1015"/>
      <c r="E330" s="1015" t="s">
        <v>193</v>
      </c>
      <c r="F330" s="1015" t="s">
        <v>45</v>
      </c>
      <c r="G330" s="1019">
        <v>1</v>
      </c>
      <c r="H330" s="1027">
        <v>10</v>
      </c>
      <c r="I330" s="1027">
        <v>18</v>
      </c>
      <c r="J330" s="1021">
        <v>1</v>
      </c>
      <c r="K330" s="1021">
        <v>1</v>
      </c>
      <c r="L330" s="1021">
        <v>1</v>
      </c>
    </row>
    <row r="331" spans="3:12">
      <c r="C331" s="1015"/>
      <c r="D331" s="1015"/>
      <c r="E331" s="1015" t="s">
        <v>192</v>
      </c>
      <c r="F331" s="1015" t="s">
        <v>785</v>
      </c>
      <c r="G331" s="1019">
        <v>1</v>
      </c>
      <c r="H331" s="1027">
        <v>4</v>
      </c>
      <c r="I331" s="1027">
        <v>11</v>
      </c>
      <c r="J331" s="1021">
        <v>1</v>
      </c>
      <c r="K331" s="1021">
        <v>1</v>
      </c>
      <c r="L331" s="1021">
        <v>1</v>
      </c>
    </row>
    <row r="332" spans="3:12">
      <c r="C332" s="1015"/>
      <c r="D332" s="1015" t="s">
        <v>40</v>
      </c>
      <c r="E332" s="1015" t="s">
        <v>1004</v>
      </c>
      <c r="F332" s="1015" t="s">
        <v>781</v>
      </c>
      <c r="G332" s="1019">
        <v>1</v>
      </c>
      <c r="H332" s="1027">
        <v>80</v>
      </c>
      <c r="I332" s="1027">
        <v>290</v>
      </c>
      <c r="J332" s="1021">
        <v>1</v>
      </c>
      <c r="K332" s="1021">
        <v>1</v>
      </c>
      <c r="L332" s="1021">
        <v>1</v>
      </c>
    </row>
    <row r="333" spans="3:12">
      <c r="C333" s="1015"/>
      <c r="D333" s="1015" t="s">
        <v>155</v>
      </c>
      <c r="E333" s="1015" t="s">
        <v>2004</v>
      </c>
      <c r="F333" s="1015" t="s">
        <v>785</v>
      </c>
      <c r="G333" s="1019">
        <v>1</v>
      </c>
      <c r="H333" s="1027">
        <v>6</v>
      </c>
      <c r="I333" s="1027">
        <v>32</v>
      </c>
      <c r="J333" s="1021">
        <v>1</v>
      </c>
      <c r="K333" s="1021">
        <v>1</v>
      </c>
      <c r="L333" s="1021">
        <v>1</v>
      </c>
    </row>
    <row r="334" spans="3:12">
      <c r="C334" s="1015"/>
      <c r="D334" s="1015" t="s">
        <v>160</v>
      </c>
      <c r="E334" s="1015" t="s">
        <v>1043</v>
      </c>
      <c r="F334" s="1015" t="s">
        <v>781</v>
      </c>
      <c r="G334" s="1019">
        <v>1</v>
      </c>
      <c r="H334" s="1027">
        <v>27</v>
      </c>
      <c r="I334" s="1027">
        <v>121</v>
      </c>
      <c r="J334" s="1021">
        <v>1</v>
      </c>
      <c r="K334" s="1021">
        <v>1</v>
      </c>
      <c r="L334" s="1021">
        <v>1</v>
      </c>
    </row>
    <row r="335" spans="3:12">
      <c r="C335" s="1015"/>
      <c r="D335" s="1015"/>
      <c r="E335" s="1015" t="s">
        <v>1039</v>
      </c>
      <c r="F335" s="1015" t="s">
        <v>781</v>
      </c>
      <c r="G335" s="1019">
        <v>1</v>
      </c>
      <c r="H335" s="1027">
        <v>14</v>
      </c>
      <c r="I335" s="1027">
        <v>63</v>
      </c>
      <c r="J335" s="1021">
        <v>1</v>
      </c>
      <c r="K335" s="1021">
        <v>1</v>
      </c>
      <c r="L335" s="1021">
        <v>1</v>
      </c>
    </row>
    <row r="336" spans="3:12">
      <c r="C336" s="1015"/>
      <c r="D336" s="1015" t="s">
        <v>208</v>
      </c>
      <c r="E336" s="1015" t="s">
        <v>1021</v>
      </c>
      <c r="F336" s="1015" t="s">
        <v>781</v>
      </c>
      <c r="G336" s="1019">
        <v>1</v>
      </c>
      <c r="H336" s="1027">
        <v>3</v>
      </c>
      <c r="I336" s="1027">
        <v>18</v>
      </c>
      <c r="J336" s="1021">
        <v>1</v>
      </c>
      <c r="K336" s="1021">
        <v>1</v>
      </c>
      <c r="L336" s="1021">
        <v>1</v>
      </c>
    </row>
    <row r="337" spans="3:12">
      <c r="C337" s="1015"/>
      <c r="D337" s="1015"/>
      <c r="E337" s="1015" t="s">
        <v>1013</v>
      </c>
      <c r="F337" s="1015" t="s">
        <v>781</v>
      </c>
      <c r="G337" s="1019">
        <v>1</v>
      </c>
      <c r="H337" s="1027">
        <v>223</v>
      </c>
      <c r="I337" s="1027">
        <v>1067</v>
      </c>
      <c r="J337" s="1021">
        <v>1</v>
      </c>
      <c r="K337" s="1021">
        <v>1</v>
      </c>
      <c r="L337" s="1021">
        <v>1</v>
      </c>
    </row>
    <row r="338" spans="3:12">
      <c r="C338" s="1015"/>
      <c r="D338" s="1015"/>
      <c r="E338" s="1015" t="s">
        <v>1023</v>
      </c>
      <c r="F338" s="1015" t="s">
        <v>781</v>
      </c>
      <c r="G338" s="1019">
        <v>1</v>
      </c>
      <c r="H338" s="1027">
        <v>47</v>
      </c>
      <c r="I338" s="1027">
        <v>153</v>
      </c>
      <c r="J338" s="1021">
        <v>1</v>
      </c>
      <c r="K338" s="1021">
        <v>1</v>
      </c>
      <c r="L338" s="1021">
        <v>1</v>
      </c>
    </row>
    <row r="339" spans="3:12">
      <c r="C339" s="1015"/>
      <c r="D339" s="1015"/>
      <c r="E339" s="1015" t="s">
        <v>3058</v>
      </c>
      <c r="F339" s="1015" t="s">
        <v>1036</v>
      </c>
      <c r="G339" s="1019">
        <v>1</v>
      </c>
      <c r="H339" s="1027"/>
      <c r="I339" s="1027">
        <v>26</v>
      </c>
      <c r="J339" s="1021">
        <v>1</v>
      </c>
      <c r="K339" s="1021">
        <v>1</v>
      </c>
      <c r="L339" s="1021">
        <v>1</v>
      </c>
    </row>
    <row r="340" spans="3:12">
      <c r="C340" s="1015"/>
      <c r="D340" s="1015"/>
      <c r="E340" s="1015" t="s">
        <v>3063</v>
      </c>
      <c r="F340" s="1015" t="s">
        <v>1036</v>
      </c>
      <c r="G340" s="1019">
        <v>1</v>
      </c>
      <c r="H340" s="1027"/>
      <c r="I340" s="1027">
        <v>31</v>
      </c>
      <c r="J340" s="1021">
        <v>1</v>
      </c>
      <c r="K340" s="1021">
        <v>1</v>
      </c>
      <c r="L340" s="1021">
        <v>1</v>
      </c>
    </row>
    <row r="341" spans="3:12">
      <c r="C341" s="1015"/>
      <c r="D341" s="1015" t="s">
        <v>162</v>
      </c>
      <c r="E341" s="1015" t="s">
        <v>3130</v>
      </c>
      <c r="F341" s="1015" t="s">
        <v>785</v>
      </c>
      <c r="G341" s="1019">
        <v>1</v>
      </c>
      <c r="H341" s="1027">
        <v>30</v>
      </c>
      <c r="I341" s="1027">
        <v>159</v>
      </c>
      <c r="J341" s="1021">
        <v>1</v>
      </c>
      <c r="K341" s="1021">
        <v>1</v>
      </c>
      <c r="L341" s="1021">
        <v>1</v>
      </c>
    </row>
    <row r="342" spans="3:12">
      <c r="C342" s="1015"/>
      <c r="D342" s="1015" t="s">
        <v>176</v>
      </c>
      <c r="E342" s="1015" t="s">
        <v>1083</v>
      </c>
      <c r="F342" s="1015" t="s">
        <v>781</v>
      </c>
      <c r="G342" s="1019">
        <v>1</v>
      </c>
      <c r="H342" s="1027">
        <v>10</v>
      </c>
      <c r="I342" s="1027">
        <v>56</v>
      </c>
      <c r="J342" s="1021">
        <v>1</v>
      </c>
      <c r="K342" s="1021">
        <v>1</v>
      </c>
      <c r="L342" s="1021">
        <v>1</v>
      </c>
    </row>
    <row r="343" spans="3:12">
      <c r="C343" s="1015"/>
      <c r="D343" s="1015"/>
      <c r="E343" s="1015" t="s">
        <v>1089</v>
      </c>
      <c r="F343" s="1015" t="s">
        <v>781</v>
      </c>
      <c r="G343" s="1019">
        <v>1</v>
      </c>
      <c r="H343" s="1027">
        <v>14</v>
      </c>
      <c r="I343" s="1027">
        <v>75</v>
      </c>
      <c r="J343" s="1021">
        <v>1</v>
      </c>
      <c r="K343" s="1021">
        <v>1</v>
      </c>
      <c r="L343" s="1021">
        <v>1</v>
      </c>
    </row>
    <row r="344" spans="3:12">
      <c r="C344" s="1015"/>
      <c r="D344" s="1015" t="s">
        <v>187</v>
      </c>
      <c r="E344" s="1015" t="s">
        <v>187</v>
      </c>
      <c r="F344" s="1015" t="s">
        <v>785</v>
      </c>
      <c r="G344" s="1019">
        <v>1</v>
      </c>
      <c r="H344" s="1027">
        <v>5</v>
      </c>
      <c r="I344" s="1027">
        <v>32</v>
      </c>
      <c r="J344" s="1021">
        <v>1</v>
      </c>
      <c r="K344" s="1021">
        <v>1</v>
      </c>
      <c r="L344" s="1021">
        <v>1</v>
      </c>
    </row>
    <row r="345" spans="3:12">
      <c r="C345" s="1015"/>
      <c r="D345" s="1015"/>
      <c r="E345" s="1015" t="s">
        <v>2852</v>
      </c>
      <c r="F345" s="1015" t="s">
        <v>785</v>
      </c>
      <c r="G345" s="1019">
        <v>1</v>
      </c>
      <c r="H345" s="1027">
        <v>29</v>
      </c>
      <c r="I345" s="1027">
        <v>140</v>
      </c>
      <c r="J345" s="1021">
        <v>1</v>
      </c>
      <c r="K345" s="1021">
        <v>1</v>
      </c>
      <c r="L345" s="1021">
        <v>1</v>
      </c>
    </row>
    <row r="346" spans="3:12">
      <c r="C346" s="1015"/>
      <c r="D346" s="1015" t="s">
        <v>1148</v>
      </c>
      <c r="E346" s="1015" t="s">
        <v>2177</v>
      </c>
      <c r="F346" s="1015" t="s">
        <v>45</v>
      </c>
      <c r="G346" s="1019">
        <v>1</v>
      </c>
      <c r="H346" s="1027">
        <v>127</v>
      </c>
      <c r="I346" s="1027">
        <v>450</v>
      </c>
      <c r="J346" s="1021">
        <v>1</v>
      </c>
      <c r="K346" s="1021">
        <v>1</v>
      </c>
      <c r="L346" s="1021">
        <v>1</v>
      </c>
    </row>
    <row r="347" spans="3:12">
      <c r="C347" s="1015"/>
      <c r="D347" s="1015" t="s">
        <v>145</v>
      </c>
      <c r="E347" s="1015" t="s">
        <v>1052</v>
      </c>
      <c r="F347" s="1015" t="s">
        <v>785</v>
      </c>
      <c r="G347" s="1019">
        <v>1</v>
      </c>
      <c r="H347" s="1027">
        <v>62</v>
      </c>
      <c r="I347" s="1027">
        <v>410</v>
      </c>
      <c r="J347" s="1021">
        <v>1</v>
      </c>
      <c r="K347" s="1021">
        <v>1</v>
      </c>
      <c r="L347" s="1021">
        <v>1</v>
      </c>
    </row>
    <row r="348" spans="3:12">
      <c r="C348" s="1015"/>
      <c r="D348" s="1015"/>
      <c r="E348" s="1015" t="s">
        <v>180</v>
      </c>
      <c r="F348" s="1015" t="s">
        <v>45</v>
      </c>
      <c r="G348" s="1019">
        <v>1</v>
      </c>
      <c r="H348" s="1027">
        <v>407</v>
      </c>
      <c r="I348" s="1027">
        <v>1801</v>
      </c>
      <c r="J348" s="1021">
        <v>0.77790116601887838</v>
      </c>
      <c r="K348" s="1021">
        <v>0</v>
      </c>
      <c r="L348" s="1021">
        <v>1</v>
      </c>
    </row>
    <row r="349" spans="3:12">
      <c r="C349" s="1015"/>
      <c r="D349" s="1015"/>
      <c r="E349" s="1015" t="s">
        <v>1059</v>
      </c>
      <c r="F349" s="1015" t="s">
        <v>785</v>
      </c>
      <c r="G349" s="1019">
        <v>1</v>
      </c>
      <c r="H349" s="1027">
        <v>80</v>
      </c>
      <c r="I349" s="1027">
        <v>449</v>
      </c>
      <c r="J349" s="1021">
        <v>1</v>
      </c>
      <c r="K349" s="1021">
        <v>1</v>
      </c>
      <c r="L349" s="1021">
        <v>1</v>
      </c>
    </row>
    <row r="350" spans="3:12">
      <c r="C350" s="1015" t="s">
        <v>1930</v>
      </c>
      <c r="D350" s="1015"/>
      <c r="E350" s="1015"/>
      <c r="F350" s="1015"/>
      <c r="G350" s="1019">
        <v>23</v>
      </c>
      <c r="H350" s="1027">
        <v>1441</v>
      </c>
      <c r="I350" s="1027">
        <v>6695</v>
      </c>
      <c r="J350" s="1021">
        <v>0.94686526808777738</v>
      </c>
      <c r="K350" s="1021">
        <v>0.95652173913043481</v>
      </c>
      <c r="L350" s="1021">
        <v>1</v>
      </c>
    </row>
    <row r="351" spans="3:12" ht="15.5">
      <c r="C351"/>
      <c r="D351"/>
      <c r="E351"/>
      <c r="F351"/>
      <c r="G351"/>
      <c r="H351"/>
      <c r="I351"/>
      <c r="J351"/>
      <c r="K351"/>
      <c r="L351"/>
    </row>
    <row r="352" spans="3:12" ht="15.5">
      <c r="C352"/>
      <c r="D352"/>
      <c r="E352"/>
      <c r="F352"/>
      <c r="G352"/>
      <c r="H352"/>
      <c r="I352"/>
      <c r="J352"/>
      <c r="K352"/>
      <c r="L352"/>
    </row>
    <row r="353" spans="3:12" ht="15.5">
      <c r="C353"/>
      <c r="D353"/>
      <c r="E353"/>
      <c r="F353"/>
      <c r="G353"/>
      <c r="H353"/>
      <c r="I353"/>
      <c r="J353"/>
      <c r="K353"/>
      <c r="L353"/>
    </row>
    <row r="354" spans="3:12" ht="15.5">
      <c r="C354"/>
      <c r="D354"/>
      <c r="E354"/>
      <c r="F354"/>
      <c r="G354"/>
      <c r="H354"/>
      <c r="I354"/>
      <c r="J354"/>
      <c r="K354"/>
      <c r="L354"/>
    </row>
    <row r="355" spans="3:12" ht="15.5">
      <c r="C355"/>
      <c r="D355"/>
      <c r="E355"/>
      <c r="F355"/>
      <c r="G355"/>
      <c r="H355"/>
      <c r="I355"/>
      <c r="J355"/>
      <c r="K355"/>
      <c r="L355"/>
    </row>
    <row r="356" spans="3:12" ht="15.5">
      <c r="C356"/>
      <c r="D356"/>
      <c r="E356"/>
      <c r="F356"/>
      <c r="G356"/>
      <c r="H356"/>
      <c r="I356"/>
      <c r="J356"/>
      <c r="K356"/>
      <c r="L356"/>
    </row>
    <row r="357" spans="3:12" ht="15.5">
      <c r="C357"/>
      <c r="D357"/>
      <c r="E357"/>
      <c r="F357"/>
      <c r="G357"/>
      <c r="H357"/>
      <c r="I357"/>
      <c r="J357"/>
      <c r="K357"/>
      <c r="L357"/>
    </row>
    <row r="358" spans="3:12" ht="15.5">
      <c r="C358"/>
      <c r="D358"/>
      <c r="E358"/>
      <c r="F358"/>
      <c r="G358"/>
      <c r="H358"/>
      <c r="I358"/>
      <c r="J358"/>
      <c r="K358"/>
      <c r="L358"/>
    </row>
    <row r="359" spans="3:12" ht="15.5">
      <c r="C359"/>
      <c r="D359"/>
      <c r="E359"/>
      <c r="F359"/>
      <c r="G359"/>
      <c r="H359"/>
      <c r="I359"/>
      <c r="J359"/>
      <c r="K359"/>
      <c r="L359"/>
    </row>
    <row r="360" spans="3:12" ht="15.5">
      <c r="C360"/>
      <c r="D360"/>
      <c r="E360"/>
      <c r="F360"/>
      <c r="G360"/>
      <c r="H360"/>
      <c r="I360"/>
      <c r="J360"/>
      <c r="K360"/>
      <c r="L360"/>
    </row>
    <row r="361" spans="3:12" ht="15.5">
      <c r="C361"/>
      <c r="D361"/>
      <c r="E361"/>
      <c r="F361"/>
      <c r="G361"/>
      <c r="H361"/>
      <c r="I361"/>
      <c r="J361"/>
      <c r="K361"/>
      <c r="L361"/>
    </row>
    <row r="362" spans="3:12" ht="15.5">
      <c r="C362"/>
      <c r="D362"/>
      <c r="E362"/>
      <c r="F362"/>
      <c r="G362"/>
      <c r="H362"/>
      <c r="I362"/>
      <c r="J362"/>
      <c r="K362"/>
      <c r="L362"/>
    </row>
    <row r="363" spans="3:12" ht="15.5">
      <c r="C363"/>
      <c r="D363"/>
      <c r="E363"/>
      <c r="F363"/>
      <c r="G363"/>
      <c r="H363"/>
      <c r="I363"/>
      <c r="J363"/>
      <c r="K363"/>
      <c r="L363"/>
    </row>
    <row r="364" spans="3:12" ht="15.5">
      <c r="C364"/>
      <c r="D364"/>
      <c r="E364"/>
      <c r="F364"/>
      <c r="G364"/>
      <c r="H364"/>
      <c r="I364"/>
      <c r="J364"/>
      <c r="K364"/>
      <c r="L364"/>
    </row>
    <row r="365" spans="3:12" ht="15.5">
      <c r="C365"/>
      <c r="D365"/>
      <c r="E365"/>
      <c r="F365"/>
      <c r="G365"/>
      <c r="H365"/>
      <c r="I365"/>
      <c r="J365"/>
      <c r="K365"/>
      <c r="L365"/>
    </row>
    <row r="366" spans="3:12" ht="15.5">
      <c r="C366"/>
      <c r="D366"/>
      <c r="E366"/>
      <c r="F366"/>
      <c r="G366"/>
      <c r="H366"/>
      <c r="I366"/>
      <c r="J366"/>
      <c r="K366"/>
      <c r="L366"/>
    </row>
    <row r="367" spans="3:12" ht="15.5">
      <c r="C367"/>
      <c r="D367"/>
      <c r="E367"/>
      <c r="F367"/>
      <c r="G367"/>
      <c r="H367"/>
      <c r="I367"/>
      <c r="J367"/>
      <c r="K367"/>
      <c r="L367"/>
    </row>
    <row r="368" spans="3:12" ht="15.5">
      <c r="C368"/>
      <c r="D368"/>
      <c r="E368"/>
      <c r="F368"/>
      <c r="G368"/>
      <c r="H368"/>
      <c r="I368"/>
      <c r="J368"/>
      <c r="K368"/>
      <c r="L368"/>
    </row>
    <row r="369" spans="1:25" ht="15.5">
      <c r="C369"/>
      <c r="D369"/>
      <c r="E369"/>
      <c r="F369"/>
      <c r="G369"/>
      <c r="H369"/>
      <c r="I369"/>
      <c r="J369"/>
      <c r="K369"/>
      <c r="L369"/>
    </row>
    <row r="370" spans="1:25" ht="15.5">
      <c r="C370"/>
      <c r="D370"/>
      <c r="E370"/>
      <c r="F370"/>
      <c r="G370"/>
      <c r="H370"/>
      <c r="I370"/>
      <c r="J370"/>
      <c r="K370"/>
      <c r="L370"/>
    </row>
    <row r="371" spans="1:25" ht="18.5">
      <c r="A371" s="161" t="s">
        <v>1974</v>
      </c>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row>
    <row r="372" spans="1:25">
      <c r="C372" s="112"/>
      <c r="D372" s="112"/>
      <c r="E372" s="112"/>
      <c r="F372" s="112"/>
      <c r="G372" s="112"/>
      <c r="H372" s="112"/>
      <c r="I372" s="112"/>
      <c r="J372" s="112"/>
      <c r="K372" s="112"/>
    </row>
    <row r="373" spans="1:25">
      <c r="C373" s="112"/>
      <c r="D373" s="112"/>
      <c r="E373" s="112"/>
      <c r="F373" s="112"/>
      <c r="G373" s="112"/>
      <c r="H373" s="112"/>
      <c r="I373" s="112"/>
      <c r="J373" s="112"/>
      <c r="K373" s="112"/>
    </row>
    <row r="374" spans="1:25">
      <c r="C374" s="112"/>
      <c r="D374" s="112"/>
      <c r="E374" s="112"/>
      <c r="F374" s="112"/>
      <c r="G374" s="112"/>
      <c r="H374" s="112"/>
      <c r="I374" s="112"/>
      <c r="J374" s="112"/>
      <c r="K374" s="112"/>
    </row>
    <row r="375" spans="1:25">
      <c r="C375" s="1014" t="s">
        <v>20</v>
      </c>
      <c r="D375" s="1015" t="s">
        <v>3263</v>
      </c>
      <c r="F375" s="112"/>
      <c r="G375" s="112"/>
      <c r="H375" s="112"/>
      <c r="I375" s="112"/>
      <c r="J375" s="112"/>
      <c r="K375" s="112"/>
    </row>
    <row r="376" spans="1:25">
      <c r="C376" s="1014" t="s">
        <v>35</v>
      </c>
      <c r="D376" s="1015" t="s">
        <v>35</v>
      </c>
      <c r="F376" s="112"/>
      <c r="G376" s="112"/>
      <c r="H376" s="112"/>
      <c r="I376" s="112"/>
      <c r="J376" s="112"/>
      <c r="K376" s="112"/>
    </row>
    <row r="377" spans="1:25">
      <c r="C377" s="452"/>
      <c r="F377" s="112"/>
      <c r="G377" s="112"/>
      <c r="H377" s="112"/>
      <c r="I377" s="112"/>
      <c r="J377" s="112"/>
      <c r="K377" s="112"/>
    </row>
    <row r="378" spans="1:25" s="110" customFormat="1" ht="72.5">
      <c r="C378" s="1030" t="s">
        <v>22</v>
      </c>
      <c r="D378" s="1015" t="s">
        <v>3300</v>
      </c>
      <c r="E378" s="1015" t="s">
        <v>3304</v>
      </c>
      <c r="F378" s="1015" t="s">
        <v>3301</v>
      </c>
      <c r="G378" s="1032" t="s">
        <v>2861</v>
      </c>
      <c r="H378" s="1031" t="s">
        <v>2862</v>
      </c>
      <c r="I378" s="1031" t="s">
        <v>2863</v>
      </c>
      <c r="J378" s="434"/>
      <c r="K378" s="434"/>
    </row>
    <row r="379" spans="1:25">
      <c r="C379" s="1017" t="s">
        <v>39</v>
      </c>
      <c r="D379" s="1027">
        <v>28</v>
      </c>
      <c r="E379" s="1027">
        <v>8</v>
      </c>
      <c r="F379" s="1027">
        <v>388</v>
      </c>
      <c r="G379" s="1027">
        <v>195</v>
      </c>
      <c r="H379" s="1027">
        <v>9</v>
      </c>
      <c r="I379" s="1027">
        <v>51</v>
      </c>
      <c r="J379" s="112"/>
      <c r="K379" s="112"/>
    </row>
    <row r="380" spans="1:25">
      <c r="C380" s="1017" t="s">
        <v>711</v>
      </c>
      <c r="D380" s="1027">
        <v>5</v>
      </c>
      <c r="E380" s="1027"/>
      <c r="F380" s="1027">
        <v>12</v>
      </c>
      <c r="G380" s="1027">
        <v>25</v>
      </c>
      <c r="H380" s="1027"/>
      <c r="I380" s="1027">
        <v>18</v>
      </c>
      <c r="J380" s="112"/>
      <c r="K380" s="112"/>
    </row>
    <row r="381" spans="1:25" ht="15.5">
      <c r="C381"/>
      <c r="D381"/>
      <c r="E381"/>
      <c r="F381"/>
      <c r="G381"/>
      <c r="H381"/>
      <c r="I381"/>
      <c r="J381" s="112"/>
      <c r="K381" s="112"/>
    </row>
    <row r="382" spans="1:25" ht="15.5">
      <c r="C382"/>
      <c r="D382"/>
      <c r="E382"/>
      <c r="F382"/>
      <c r="G382"/>
      <c r="H382"/>
      <c r="I382"/>
      <c r="J382" s="112"/>
      <c r="K382" s="112"/>
    </row>
    <row r="383" spans="1:25" ht="15" thickBot="1">
      <c r="C383" s="453"/>
      <c r="D383" s="112"/>
      <c r="E383" s="112"/>
      <c r="F383" s="112"/>
      <c r="G383" s="112"/>
      <c r="H383" s="112"/>
      <c r="I383" s="112"/>
      <c r="J383" s="112"/>
      <c r="K383" s="112"/>
    </row>
    <row r="384" spans="1:25" s="435" customFormat="1" ht="41.25" customHeight="1" thickBot="1">
      <c r="C384" s="436" t="s">
        <v>22</v>
      </c>
      <c r="D384" s="431" t="s">
        <v>3299</v>
      </c>
      <c r="E384" s="431" t="s">
        <v>1975</v>
      </c>
      <c r="F384" s="431" t="s">
        <v>2864</v>
      </c>
      <c r="G384" s="432" t="s">
        <v>3303</v>
      </c>
      <c r="H384" s="432" t="s">
        <v>3302</v>
      </c>
      <c r="I384" s="437"/>
      <c r="J384" s="437"/>
      <c r="K384" s="437"/>
    </row>
    <row r="385" spans="3:11">
      <c r="C385" s="126" t="s">
        <v>39</v>
      </c>
      <c r="D385" s="185">
        <f>GETPIVOTDATA(" # of hand washing stations with soap in TLS",$C$378,"State","Kachin")</f>
        <v>51</v>
      </c>
      <c r="E385" s="185">
        <f>GETPIVOTDATA(" #_Constructed/Existing hand washing stations at TLS",$C$378,"State","Kachin")</f>
        <v>195</v>
      </c>
      <c r="F385" s="185">
        <f>GETPIVOTDATA(" #_Hygiene Promotion activities (sessions) in TLS?",$C$378,"State","Kachin")</f>
        <v>9</v>
      </c>
      <c r="G385" s="185">
        <f>GETPIVOTDATA("Sum of # of functional latrines in TLS/CFS supported by WASH partners during the reporting period",$C$378,"State","Kachin")</f>
        <v>388</v>
      </c>
      <c r="H385" s="185">
        <f>GETPIVOTDATA("Sum of #_of water points in TLS/CFS /THF",$C$378,"State","Kachin")</f>
        <v>28</v>
      </c>
      <c r="I385" s="112"/>
      <c r="J385" s="112"/>
      <c r="K385" s="112"/>
    </row>
    <row r="386" spans="3:11">
      <c r="C386" s="126" t="s">
        <v>711</v>
      </c>
      <c r="D386" s="185">
        <f>GETPIVOTDATA(" # of hand washing stations with soap in TLS",$C$378,"State","Shan (North)")</f>
        <v>18</v>
      </c>
      <c r="E386" s="185">
        <f>GETPIVOTDATA(" #_Constructed/Existing hand washing stations at TLS",$C$378,"State","Shan (North)")</f>
        <v>25</v>
      </c>
      <c r="F386" s="185">
        <f>GETPIVOTDATA(" #_Hygiene Promotion activities (sessions) in TLS?",$C$378,"State","Shan (North)")</f>
        <v>0</v>
      </c>
      <c r="G386" s="185">
        <f>GETPIVOTDATA("Sum of # of functional latrines in TLS/CFS supported by WASH partners during the reporting period",$C$378,"State","Shan (North)")</f>
        <v>12</v>
      </c>
      <c r="H386" s="185">
        <f>GETPIVOTDATA("Sum of #_of water points in TLS/CFS /THF",$C$378,"State","Shan (North)")</f>
        <v>5</v>
      </c>
      <c r="I386" s="112"/>
      <c r="J386" s="112"/>
      <c r="K386" s="112"/>
    </row>
    <row r="387" spans="3:11">
      <c r="C387" s="112"/>
      <c r="D387" s="112"/>
      <c r="E387" s="112"/>
      <c r="F387" s="112"/>
      <c r="G387" s="112"/>
      <c r="H387" s="112"/>
      <c r="I387" s="112"/>
      <c r="J387" s="112"/>
      <c r="K387" s="112"/>
    </row>
    <row r="388" spans="3:11">
      <c r="C388" s="112"/>
      <c r="D388" s="112"/>
      <c r="E388" s="112"/>
      <c r="F388" s="112"/>
      <c r="G388" s="112"/>
      <c r="H388" s="112"/>
      <c r="I388" s="112"/>
      <c r="J388" s="112"/>
      <c r="K388" s="112"/>
    </row>
    <row r="389" spans="3:11">
      <c r="C389" s="112"/>
      <c r="D389" s="112"/>
      <c r="E389" s="112"/>
      <c r="F389" s="112"/>
      <c r="G389" s="112"/>
      <c r="H389" s="112"/>
      <c r="I389" s="112"/>
      <c r="J389" s="112"/>
      <c r="K389" s="112"/>
    </row>
    <row r="390" spans="3:11">
      <c r="C390" s="112"/>
      <c r="D390" s="112"/>
      <c r="E390" s="112"/>
      <c r="F390" s="112"/>
      <c r="G390" s="112"/>
      <c r="H390" s="112"/>
      <c r="I390" s="112"/>
      <c r="J390" s="112"/>
      <c r="K390" s="112"/>
    </row>
    <row r="391" spans="3:11">
      <c r="C391" s="112"/>
      <c r="D391" s="112"/>
      <c r="E391" s="112"/>
      <c r="F391" s="112"/>
      <c r="G391" s="112"/>
      <c r="H391" s="112"/>
      <c r="I391" s="112"/>
      <c r="J391" s="112"/>
      <c r="K391" s="112"/>
    </row>
    <row r="392" spans="3:11">
      <c r="C392" s="112"/>
      <c r="D392" s="112"/>
      <c r="E392" s="112"/>
      <c r="F392" s="112"/>
      <c r="G392" s="112"/>
      <c r="H392" s="112"/>
      <c r="I392" s="112"/>
      <c r="J392" s="112"/>
      <c r="K392" s="112"/>
    </row>
    <row r="393" spans="3:11">
      <c r="C393" s="112"/>
      <c r="D393" s="112"/>
      <c r="E393" s="112"/>
      <c r="F393" s="112"/>
      <c r="G393" s="112"/>
      <c r="H393" s="112"/>
      <c r="I393" s="112"/>
      <c r="J393" s="112"/>
      <c r="K393" s="112"/>
    </row>
    <row r="394" spans="3:11">
      <c r="C394" s="112"/>
      <c r="D394" s="112"/>
      <c r="E394" s="112"/>
      <c r="F394" s="112"/>
      <c r="G394" s="112"/>
      <c r="H394" s="112"/>
      <c r="I394" s="112"/>
      <c r="J394" s="112"/>
      <c r="K394" s="112"/>
    </row>
    <row r="395" spans="3:11">
      <c r="C395" s="112"/>
      <c r="D395" s="112"/>
      <c r="E395" s="112"/>
      <c r="F395" s="112"/>
      <c r="G395" s="112"/>
      <c r="H395" s="112"/>
      <c r="I395" s="112"/>
      <c r="J395" s="112"/>
      <c r="K395" s="112"/>
    </row>
    <row r="396" spans="3:11">
      <c r="C396" s="112"/>
      <c r="D396" s="112"/>
      <c r="E396" s="112"/>
      <c r="F396" s="112"/>
      <c r="G396" s="112"/>
      <c r="H396" s="112"/>
      <c r="I396" s="112"/>
      <c r="J396" s="112"/>
      <c r="K396" s="112"/>
    </row>
    <row r="397" spans="3:11">
      <c r="C397" s="112"/>
      <c r="D397" s="112"/>
      <c r="E397" s="112"/>
      <c r="F397" s="112"/>
      <c r="G397" s="112"/>
      <c r="H397" s="112"/>
      <c r="I397" s="112"/>
      <c r="J397" s="112"/>
      <c r="K397" s="112"/>
    </row>
    <row r="398" spans="3:11">
      <c r="C398" s="112"/>
      <c r="D398" s="112"/>
      <c r="E398" s="112"/>
      <c r="F398" s="112"/>
      <c r="G398" s="112"/>
      <c r="H398" s="112"/>
      <c r="I398" s="112"/>
      <c r="J398" s="112"/>
      <c r="K398" s="112"/>
    </row>
    <row r="399" spans="3:11">
      <c r="C399" s="112"/>
      <c r="D399" s="112"/>
      <c r="E399" s="112"/>
      <c r="F399" s="112"/>
      <c r="G399" s="112"/>
      <c r="H399" s="112"/>
      <c r="I399" s="112"/>
      <c r="J399" s="112"/>
      <c r="K399" s="112"/>
    </row>
    <row r="400" spans="3:11">
      <c r="C400" s="112"/>
      <c r="D400" s="112"/>
      <c r="E400" s="112"/>
      <c r="F400" s="112"/>
      <c r="G400" s="112"/>
      <c r="H400" s="112"/>
      <c r="I400" s="112"/>
      <c r="J400" s="112"/>
      <c r="K400" s="112"/>
    </row>
    <row r="401" spans="1:42">
      <c r="C401" s="112"/>
      <c r="D401" s="112"/>
      <c r="E401" s="112"/>
      <c r="F401" s="112"/>
      <c r="G401" s="112"/>
      <c r="H401" s="112"/>
      <c r="I401" s="112"/>
      <c r="J401" s="112"/>
      <c r="K401" s="112"/>
    </row>
    <row r="402" spans="1:42">
      <c r="C402" s="112"/>
      <c r="D402" s="112"/>
      <c r="E402" s="112"/>
      <c r="F402" s="112"/>
      <c r="G402" s="112"/>
      <c r="H402" s="112"/>
      <c r="I402" s="112"/>
      <c r="J402" s="112"/>
      <c r="K402" s="112"/>
    </row>
    <row r="403" spans="1:42">
      <c r="C403" s="112"/>
      <c r="D403" s="112"/>
      <c r="E403" s="112"/>
      <c r="F403" s="112"/>
      <c r="G403" s="112"/>
      <c r="H403" s="112"/>
      <c r="I403" s="112"/>
      <c r="J403" s="112"/>
      <c r="K403" s="112"/>
    </row>
    <row r="404" spans="1:42">
      <c r="C404" s="112"/>
      <c r="D404" s="112"/>
      <c r="E404" s="112"/>
      <c r="F404" s="112"/>
      <c r="G404" s="112"/>
      <c r="H404" s="112"/>
      <c r="I404" s="112"/>
      <c r="J404" s="112"/>
      <c r="K404" s="112"/>
    </row>
    <row r="405" spans="1:42">
      <c r="C405" s="112"/>
      <c r="D405" s="112"/>
      <c r="E405" s="112"/>
      <c r="F405" s="112"/>
      <c r="G405" s="112"/>
      <c r="H405" s="112"/>
      <c r="I405" s="112"/>
      <c r="J405" s="112"/>
      <c r="K405" s="112"/>
    </row>
    <row r="406" spans="1:42" s="580" customFormat="1" ht="18.5">
      <c r="A406" s="578" t="s">
        <v>3121</v>
      </c>
      <c r="B406" s="579"/>
      <c r="C406" s="579"/>
      <c r="D406" s="579"/>
      <c r="E406" s="579"/>
      <c r="F406" s="579"/>
      <c r="G406" s="579"/>
      <c r="H406" s="579"/>
      <c r="I406" s="579"/>
      <c r="J406" s="579"/>
      <c r="K406" s="579"/>
      <c r="L406" s="579"/>
      <c r="M406" s="579"/>
      <c r="N406" s="579"/>
      <c r="O406" s="579"/>
      <c r="P406" s="579"/>
      <c r="Q406" s="579"/>
      <c r="R406" s="579"/>
      <c r="S406" s="579"/>
      <c r="T406" s="579"/>
      <c r="U406" s="579"/>
      <c r="V406" s="579"/>
      <c r="W406" s="579"/>
      <c r="X406" s="579"/>
      <c r="Y406" s="579"/>
    </row>
    <row r="407" spans="1:42">
      <c r="C407" s="1014" t="s">
        <v>20</v>
      </c>
      <c r="D407" s="1015" t="s">
        <v>3263</v>
      </c>
      <c r="E407" s="112"/>
      <c r="F407" s="112"/>
      <c r="G407" s="112"/>
      <c r="H407" s="112"/>
      <c r="I407" s="112"/>
      <c r="J407" s="112"/>
      <c r="K407" s="112"/>
    </row>
    <row r="408" spans="1:42">
      <c r="C408" s="1014" t="s">
        <v>35</v>
      </c>
      <c r="D408" s="1015" t="s">
        <v>35</v>
      </c>
      <c r="E408" s="112"/>
      <c r="F408" s="112"/>
      <c r="G408" s="112"/>
      <c r="H408" s="112"/>
      <c r="I408" s="112"/>
      <c r="J408" s="112"/>
      <c r="K408" s="112"/>
    </row>
    <row r="409" spans="1:42">
      <c r="C409" s="1014" t="s">
        <v>137</v>
      </c>
      <c r="D409" s="1015" t="s">
        <v>1915</v>
      </c>
      <c r="F409" s="112"/>
      <c r="G409" s="112"/>
      <c r="H409" s="112"/>
      <c r="I409" s="112"/>
      <c r="J409" s="112"/>
      <c r="K409" s="112"/>
    </row>
    <row r="410" spans="1:42">
      <c r="C410" s="1014" t="s">
        <v>22</v>
      </c>
      <c r="D410" s="1015" t="s">
        <v>39</v>
      </c>
      <c r="F410" s="112"/>
      <c r="G410" s="112"/>
      <c r="H410" s="112"/>
      <c r="I410" s="112"/>
      <c r="J410" s="112"/>
      <c r="K410" s="112"/>
    </row>
    <row r="411" spans="1:42">
      <c r="F411" s="112"/>
      <c r="G411" s="112"/>
      <c r="H411" s="112"/>
      <c r="I411" s="112"/>
      <c r="J411" s="112"/>
      <c r="K411" s="112"/>
    </row>
    <row r="412" spans="1:42">
      <c r="C412" s="1015" t="s">
        <v>3122</v>
      </c>
      <c r="D412" s="1015" t="s">
        <v>3123</v>
      </c>
      <c r="E412" s="1015" t="s">
        <v>3124</v>
      </c>
      <c r="F412" s="1015" t="s">
        <v>3153</v>
      </c>
      <c r="G412" s="112"/>
      <c r="H412" s="112"/>
      <c r="I412" s="112"/>
      <c r="J412" s="112"/>
      <c r="K412" s="112"/>
    </row>
    <row r="413" spans="1:42">
      <c r="C413" s="1021">
        <v>0.34499999999999997</v>
      </c>
      <c r="D413" s="1021">
        <v>0.33499999999999991</v>
      </c>
      <c r="E413" s="1021">
        <v>0.10555555555555556</v>
      </c>
      <c r="F413" s="1021">
        <v>0.1859742408129505</v>
      </c>
      <c r="G413" s="581"/>
      <c r="H413" s="581"/>
      <c r="I413" s="581"/>
      <c r="J413" s="581"/>
      <c r="K413" s="581"/>
      <c r="L413" s="416"/>
      <c r="M413" s="416"/>
      <c r="N413" s="416"/>
      <c r="O413" s="416"/>
      <c r="P413" s="416"/>
      <c r="Q413" s="416"/>
      <c r="R413" s="416"/>
      <c r="S413" s="416"/>
      <c r="T413" s="416"/>
      <c r="U413" s="416"/>
      <c r="V413" s="416"/>
      <c r="W413" s="416"/>
      <c r="X413" s="416"/>
      <c r="Y413" s="416"/>
      <c r="Z413" s="416"/>
      <c r="AA413" s="416"/>
      <c r="AB413" s="416"/>
      <c r="AC413" s="416"/>
      <c r="AD413" s="416"/>
      <c r="AE413" s="416"/>
      <c r="AF413" s="416"/>
      <c r="AG413" s="416"/>
      <c r="AH413" s="416"/>
      <c r="AI413" s="416"/>
      <c r="AJ413" s="416"/>
      <c r="AK413" s="416"/>
      <c r="AL413" s="416"/>
      <c r="AM413" s="416"/>
      <c r="AN413" s="416"/>
      <c r="AO413" s="416"/>
      <c r="AP413" s="416"/>
    </row>
    <row r="414" spans="1:42" ht="15.5">
      <c r="C414"/>
      <c r="D414" s="614" t="s">
        <v>43</v>
      </c>
      <c r="E414" s="615" t="s">
        <v>139</v>
      </c>
      <c r="F414" s="112"/>
      <c r="G414" s="112"/>
      <c r="H414" s="112"/>
      <c r="I414" s="112"/>
      <c r="J414" s="112"/>
      <c r="K414" s="112"/>
    </row>
    <row r="415" spans="1:42">
      <c r="C415" s="582" t="s">
        <v>3125</v>
      </c>
      <c r="D415" s="585">
        <f>GETPIVOTDATA("Average of %_of_affected_people_surveyed_who_report_feeling_satistfied_with_the_latrine_design_and_sanitation_service",$C$412)</f>
        <v>0.34499999999999997</v>
      </c>
      <c r="E415" s="585">
        <f>1-D415</f>
        <v>0.65500000000000003</v>
      </c>
      <c r="F415" s="112"/>
      <c r="G415" s="112"/>
      <c r="H415" s="112"/>
      <c r="I415" s="112"/>
      <c r="J415" s="112"/>
      <c r="K415" s="112"/>
    </row>
    <row r="416" spans="1:42">
      <c r="C416" s="583" t="s">
        <v>3126</v>
      </c>
      <c r="D416" s="586">
        <f>GETPIVOTDATA("Average of %_of_affected_people_surveyed_who_report_feeling_satistfied_with_the_water_point_design_and_water_service",$C$412)</f>
        <v>0.33499999999999991</v>
      </c>
      <c r="E416" s="586">
        <f>1-D416</f>
        <v>0.66500000000000004</v>
      </c>
      <c r="F416" s="112"/>
      <c r="G416" s="112"/>
      <c r="H416" s="112"/>
      <c r="I416" s="112"/>
      <c r="J416" s="112"/>
      <c r="K416" s="112"/>
    </row>
    <row r="417" spans="3:11">
      <c r="C417" s="584" t="s">
        <v>3127</v>
      </c>
      <c r="D417" s="587">
        <f>GETPIVOTDATA("Average of %_of_complaints_received_that_result_in_timely_corrective_action_and_feedback_to_the_community",$C$412)</f>
        <v>0.10555555555555556</v>
      </c>
      <c r="E417" s="587">
        <f>1-D417</f>
        <v>0.89444444444444449</v>
      </c>
      <c r="F417" s="112"/>
      <c r="G417" s="112"/>
      <c r="H417" s="112"/>
      <c r="I417" s="112"/>
      <c r="J417" s="112"/>
      <c r="K417" s="112"/>
    </row>
    <row r="418" spans="3:11">
      <c r="C418" s="584" t="s">
        <v>3155</v>
      </c>
      <c r="D418" s="587">
        <f>GETPIVOTDATA("Average of %_of_affected_people_surveyed_who_report_feeling_informed_about_the_different_WASH_services_available_to_them2",$C$412)</f>
        <v>0.1859742408129505</v>
      </c>
      <c r="E418" s="587">
        <f>1-D418</f>
        <v>0.81402575918704945</v>
      </c>
      <c r="F418" s="112"/>
      <c r="G418" s="112"/>
      <c r="H418" s="112"/>
      <c r="I418" s="112"/>
      <c r="J418" s="112"/>
      <c r="K418" s="112"/>
    </row>
    <row r="419" spans="3:11">
      <c r="C419" s="112"/>
      <c r="D419" s="112"/>
      <c r="E419" s="112"/>
      <c r="F419" s="112"/>
      <c r="G419" s="112"/>
      <c r="H419" s="112"/>
      <c r="I419" s="112"/>
      <c r="J419" s="112"/>
      <c r="K419" s="112"/>
    </row>
    <row r="420" spans="3:11">
      <c r="C420" s="112"/>
      <c r="D420" s="112"/>
      <c r="E420" s="112"/>
      <c r="F420" s="112"/>
      <c r="G420" s="112"/>
      <c r="H420" s="112"/>
      <c r="I420" s="112"/>
      <c r="J420" s="112"/>
      <c r="K420" s="112"/>
    </row>
    <row r="421" spans="3:11">
      <c r="C421" s="112"/>
      <c r="D421" s="112"/>
      <c r="E421" s="112"/>
      <c r="F421" s="112"/>
      <c r="G421" s="112"/>
      <c r="H421" s="112"/>
      <c r="I421" s="112"/>
      <c r="J421" s="112"/>
      <c r="K421" s="112"/>
    </row>
    <row r="422" spans="3:11">
      <c r="C422" s="1014" t="s">
        <v>20</v>
      </c>
      <c r="D422" s="1015" t="s">
        <v>3263</v>
      </c>
      <c r="E422" s="112"/>
      <c r="F422" s="112"/>
      <c r="G422" s="112"/>
      <c r="H422" s="112"/>
      <c r="I422" s="112"/>
      <c r="J422" s="112"/>
      <c r="K422" s="112"/>
    </row>
    <row r="423" spans="3:11">
      <c r="C423" s="1014" t="s">
        <v>35</v>
      </c>
      <c r="D423" s="1015" t="s">
        <v>35</v>
      </c>
      <c r="E423" s="112"/>
      <c r="F423" s="112"/>
      <c r="G423" s="112"/>
      <c r="H423" s="112"/>
      <c r="I423" s="112"/>
      <c r="J423" s="112"/>
      <c r="K423" s="112"/>
    </row>
    <row r="424" spans="3:11">
      <c r="C424" s="1014" t="s">
        <v>137</v>
      </c>
      <c r="D424" s="1015" t="s">
        <v>1915</v>
      </c>
      <c r="F424" s="112"/>
      <c r="G424" s="112"/>
      <c r="H424" s="112"/>
      <c r="I424" s="112"/>
      <c r="J424" s="112"/>
      <c r="K424" s="112"/>
    </row>
    <row r="425" spans="3:11">
      <c r="C425" s="1014" t="s">
        <v>22</v>
      </c>
      <c r="D425" s="106" t="s">
        <v>711</v>
      </c>
      <c r="F425" s="112"/>
      <c r="G425" s="112"/>
      <c r="H425" s="112"/>
      <c r="I425" s="112"/>
      <c r="J425" s="112"/>
      <c r="K425" s="112"/>
    </row>
    <row r="426" spans="3:11">
      <c r="F426" s="112"/>
      <c r="G426" s="112"/>
      <c r="H426" s="112"/>
      <c r="I426" s="112"/>
      <c r="J426" s="112"/>
      <c r="K426" s="112"/>
    </row>
    <row r="427" spans="3:11">
      <c r="C427" s="1015" t="s">
        <v>3122</v>
      </c>
      <c r="D427" s="1015" t="s">
        <v>3123</v>
      </c>
      <c r="E427" s="1015" t="s">
        <v>3124</v>
      </c>
      <c r="F427" s="1015" t="s">
        <v>3153</v>
      </c>
      <c r="G427" s="581"/>
      <c r="H427" s="581"/>
      <c r="I427" s="581"/>
      <c r="J427" s="581"/>
      <c r="K427" s="581"/>
    </row>
    <row r="428" spans="3:11">
      <c r="C428" s="1021"/>
      <c r="D428" s="1021"/>
      <c r="E428" s="1021"/>
      <c r="F428" s="1021" t="e">
        <v>#DIV/0!</v>
      </c>
      <c r="G428" s="112"/>
      <c r="H428" s="112"/>
      <c r="I428" s="112"/>
      <c r="J428" s="112"/>
      <c r="K428" s="112"/>
    </row>
    <row r="429" spans="3:11" ht="15.5">
      <c r="C429" s="468"/>
      <c r="D429" s="614" t="s">
        <v>43</v>
      </c>
      <c r="E429" s="615" t="s">
        <v>139</v>
      </c>
      <c r="F429" s="112"/>
      <c r="G429" s="112"/>
      <c r="H429" s="112"/>
      <c r="I429" s="112"/>
      <c r="J429" s="112"/>
      <c r="K429" s="112"/>
    </row>
    <row r="430" spans="3:11">
      <c r="C430" s="582" t="s">
        <v>3125</v>
      </c>
      <c r="D430" s="585">
        <f>GETPIVOTDATA("Average of %_of_affected_people_surveyed_who_report_feeling_satistfied_with_the_latrine_design_and_sanitation_service",$C$427)</f>
        <v>0</v>
      </c>
      <c r="E430" s="585">
        <f>1-D430</f>
        <v>1</v>
      </c>
      <c r="F430" s="112"/>
      <c r="G430" s="112"/>
      <c r="H430" s="112"/>
      <c r="I430" s="112"/>
      <c r="J430" s="112"/>
      <c r="K430" s="112"/>
    </row>
    <row r="431" spans="3:11">
      <c r="C431" s="583" t="s">
        <v>3126</v>
      </c>
      <c r="D431" s="586">
        <f>GETPIVOTDATA("Average of %_of_affected_people_surveyed_who_report_feeling_satistfied_with_the_water_point_design_and_water_service",$C$427)</f>
        <v>0</v>
      </c>
      <c r="E431" s="586">
        <f>1-D431</f>
        <v>1</v>
      </c>
      <c r="F431" s="112"/>
      <c r="G431" s="112"/>
      <c r="H431" s="112"/>
      <c r="I431" s="112"/>
      <c r="J431" s="112"/>
      <c r="K431" s="112"/>
    </row>
    <row r="432" spans="3:11">
      <c r="C432" s="584" t="s">
        <v>3127</v>
      </c>
      <c r="D432" s="587">
        <f>GETPIVOTDATA("Average of %_of_complaints_received_that_result_in_timely_corrective_action_and_feedback_to_the_community",$C$427)</f>
        <v>0</v>
      </c>
      <c r="E432" s="587">
        <f>1-D432</f>
        <v>1</v>
      </c>
      <c r="F432" s="112"/>
      <c r="G432" s="112"/>
      <c r="H432" s="112"/>
      <c r="I432" s="112"/>
      <c r="J432" s="112"/>
      <c r="K432" s="112"/>
    </row>
    <row r="433" spans="3:11">
      <c r="C433" s="584" t="s">
        <v>3155</v>
      </c>
      <c r="D433" s="587">
        <v>0</v>
      </c>
      <c r="E433" s="587">
        <f>1-D433</f>
        <v>1</v>
      </c>
      <c r="F433" s="112"/>
      <c r="G433" s="112"/>
      <c r="H433" s="112"/>
      <c r="I433" s="112"/>
      <c r="J433" s="112"/>
      <c r="K433" s="112"/>
    </row>
    <row r="434" spans="3:11">
      <c r="C434" s="112"/>
      <c r="D434" s="112"/>
      <c r="E434" s="112"/>
      <c r="F434" s="112"/>
      <c r="G434" s="112"/>
      <c r="H434" s="112"/>
      <c r="I434" s="112"/>
      <c r="J434" s="112"/>
      <c r="K434" s="112"/>
    </row>
    <row r="435" spans="3:11">
      <c r="C435" s="112"/>
      <c r="D435" s="112"/>
      <c r="E435" s="112"/>
      <c r="F435" s="112"/>
      <c r="G435" s="112"/>
      <c r="H435" s="112"/>
      <c r="I435" s="112"/>
      <c r="J435" s="112"/>
      <c r="K435" s="112"/>
    </row>
    <row r="436" spans="3:11" ht="15.5">
      <c r="C436"/>
      <c r="D436"/>
      <c r="E436" s="112"/>
      <c r="F436" s="112"/>
      <c r="G436" s="112"/>
      <c r="H436" s="112"/>
      <c r="I436" s="112"/>
      <c r="J436" s="112"/>
      <c r="K436" s="112"/>
    </row>
    <row r="437" spans="3:11" ht="15.5">
      <c r="C437"/>
      <c r="D437"/>
      <c r="E437" s="112"/>
      <c r="F437" s="112"/>
      <c r="G437" s="112"/>
      <c r="H437" s="112"/>
      <c r="I437" s="112"/>
      <c r="J437" s="112"/>
      <c r="K437" s="112"/>
    </row>
    <row r="438" spans="3:11">
      <c r="C438" s="1014" t="s">
        <v>35</v>
      </c>
      <c r="D438" s="1015" t="s">
        <v>35</v>
      </c>
      <c r="F438" s="112"/>
      <c r="G438" s="112"/>
      <c r="H438" s="112"/>
      <c r="I438" s="112"/>
      <c r="J438" s="112"/>
      <c r="K438" s="112"/>
    </row>
    <row r="439" spans="3:11">
      <c r="C439" s="1014" t="s">
        <v>137</v>
      </c>
      <c r="D439" s="1015" t="s">
        <v>1915</v>
      </c>
      <c r="F439" s="112"/>
      <c r="G439" s="112"/>
      <c r="H439" s="112"/>
      <c r="I439" s="112"/>
      <c r="J439" s="112"/>
      <c r="K439" s="112"/>
    </row>
    <row r="440" spans="3:11">
      <c r="F440" s="112"/>
      <c r="G440" s="112"/>
      <c r="H440" s="112"/>
      <c r="I440" s="112"/>
      <c r="J440" s="112"/>
      <c r="K440" s="112"/>
    </row>
    <row r="441" spans="3:11" ht="15.5">
      <c r="C441" s="1015"/>
      <c r="D441" s="1015"/>
      <c r="E441" s="1014" t="s">
        <v>20</v>
      </c>
      <c r="F441" s="1015"/>
      <c r="G441"/>
      <c r="H441"/>
      <c r="I441" s="581"/>
      <c r="J441" s="581"/>
      <c r="K441" s="581"/>
    </row>
    <row r="442" spans="3:11" ht="15.5">
      <c r="C442" s="1014" t="s">
        <v>22</v>
      </c>
      <c r="D442" s="1014" t="s">
        <v>1918</v>
      </c>
      <c r="E442" s="1015" t="s">
        <v>3261</v>
      </c>
      <c r="F442" s="1015" t="s">
        <v>3262</v>
      </c>
      <c r="G442"/>
      <c r="H442"/>
      <c r="I442" s="112"/>
      <c r="J442" s="112"/>
      <c r="K442" s="112"/>
    </row>
    <row r="443" spans="3:11" ht="15.5">
      <c r="C443" s="1015" t="s">
        <v>39</v>
      </c>
      <c r="D443" s="1015" t="s">
        <v>3122</v>
      </c>
      <c r="E443" s="1021">
        <v>0.64722222222222214</v>
      </c>
      <c r="F443" s="1021">
        <v>0.875</v>
      </c>
      <c r="G443"/>
      <c r="H443"/>
      <c r="I443" s="112"/>
      <c r="J443" s="112"/>
      <c r="K443" s="112"/>
    </row>
    <row r="444" spans="3:11" ht="15.5">
      <c r="C444" s="1015"/>
      <c r="D444" s="1015" t="s">
        <v>3123</v>
      </c>
      <c r="E444" s="1021">
        <v>0.75344827586206897</v>
      </c>
      <c r="F444" s="1021">
        <v>0.89482758620689662</v>
      </c>
      <c r="G444"/>
      <c r="H444"/>
      <c r="I444" s="112"/>
      <c r="J444" s="112"/>
      <c r="K444" s="112"/>
    </row>
    <row r="445" spans="3:11" ht="15.5">
      <c r="C445" s="1015"/>
      <c r="D445" s="1015" t="s">
        <v>3124</v>
      </c>
      <c r="E445" s="1021">
        <v>0.6333333333333333</v>
      </c>
      <c r="F445" s="1021">
        <v>0.51428571428571423</v>
      </c>
      <c r="G445"/>
      <c r="H445"/>
      <c r="I445" s="112"/>
      <c r="J445" s="112"/>
      <c r="K445" s="112"/>
    </row>
    <row r="446" spans="3:11" ht="15.5">
      <c r="C446" s="1015"/>
      <c r="D446" s="1015" t="s">
        <v>3153</v>
      </c>
      <c r="E446" s="1021">
        <v>0.15260338850147775</v>
      </c>
      <c r="F446" s="1021">
        <v>0.95634920634920639</v>
      </c>
      <c r="G446"/>
      <c r="H446"/>
      <c r="I446" s="112"/>
      <c r="J446" s="112"/>
      <c r="K446" s="112"/>
    </row>
    <row r="447" spans="3:11" ht="15.5">
      <c r="C447" s="1015" t="s">
        <v>711</v>
      </c>
      <c r="D447" s="1015" t="s">
        <v>3122</v>
      </c>
      <c r="E447" s="1021"/>
      <c r="F447" s="1021"/>
      <c r="G447"/>
      <c r="H447"/>
      <c r="I447" s="112"/>
      <c r="J447" s="112"/>
      <c r="K447" s="112"/>
    </row>
    <row r="448" spans="3:11" ht="15.5">
      <c r="C448" s="1015"/>
      <c r="D448" s="1015" t="s">
        <v>3123</v>
      </c>
      <c r="E448" s="1021"/>
      <c r="F448" s="1021"/>
      <c r="G448"/>
      <c r="H448"/>
      <c r="I448" s="112"/>
      <c r="J448" s="112"/>
      <c r="K448" s="112"/>
    </row>
    <row r="449" spans="3:11" ht="15.5">
      <c r="C449" s="1015"/>
      <c r="D449" s="1015" t="s">
        <v>3124</v>
      </c>
      <c r="E449" s="1021"/>
      <c r="F449" s="1021"/>
      <c r="G449"/>
      <c r="H449"/>
      <c r="I449" s="112"/>
      <c r="J449" s="112"/>
      <c r="K449" s="112"/>
    </row>
    <row r="450" spans="3:11" ht="15.5">
      <c r="C450" s="1015"/>
      <c r="D450" s="1015" t="s">
        <v>3153</v>
      </c>
      <c r="E450" s="1021" t="e">
        <v>#DIV/0!</v>
      </c>
      <c r="F450" s="1021" t="e">
        <v>#DIV/0!</v>
      </c>
      <c r="G450"/>
      <c r="H450"/>
      <c r="I450" s="112"/>
      <c r="J450" s="112"/>
      <c r="K450" s="112"/>
    </row>
    <row r="451" spans="3:11" ht="15.5">
      <c r="C451"/>
      <c r="D451"/>
      <c r="E451"/>
      <c r="F451"/>
      <c r="G451"/>
      <c r="H451"/>
      <c r="I451" s="112"/>
      <c r="J451" s="112"/>
      <c r="K451" s="112"/>
    </row>
    <row r="452" spans="3:11" ht="15.5">
      <c r="C452"/>
      <c r="D452"/>
      <c r="E452"/>
      <c r="F452"/>
      <c r="G452"/>
      <c r="H452"/>
      <c r="I452" s="112"/>
      <c r="J452" s="112"/>
      <c r="K452" s="112"/>
    </row>
    <row r="453" spans="3:11" ht="15.5">
      <c r="C453"/>
      <c r="D453"/>
      <c r="E453"/>
      <c r="F453"/>
      <c r="G453"/>
      <c r="H453"/>
      <c r="I453" s="112"/>
      <c r="J453" s="112"/>
      <c r="K453" s="112"/>
    </row>
    <row r="454" spans="3:11" ht="15.5">
      <c r="C454"/>
      <c r="D454"/>
      <c r="E454"/>
      <c r="F454"/>
      <c r="G454"/>
      <c r="H454"/>
      <c r="I454" s="112"/>
      <c r="J454" s="112"/>
      <c r="K454" s="112"/>
    </row>
    <row r="455" spans="3:11" ht="15.5">
      <c r="C455"/>
      <c r="D455"/>
      <c r="E455"/>
      <c r="F455"/>
      <c r="G455"/>
      <c r="H455" s="112"/>
      <c r="I455" s="112"/>
      <c r="J455" s="112"/>
      <c r="K455" s="112"/>
    </row>
    <row r="456" spans="3:11" ht="15.5">
      <c r="C456"/>
      <c r="D456"/>
      <c r="E456"/>
      <c r="F456"/>
      <c r="G456"/>
      <c r="H456" s="112"/>
      <c r="I456" s="112"/>
      <c r="J456" s="112"/>
      <c r="K456" s="112"/>
    </row>
    <row r="457" spans="3:11" ht="15.5">
      <c r="C457"/>
      <c r="D457"/>
      <c r="E457"/>
      <c r="F457"/>
      <c r="G457"/>
      <c r="H457" s="112"/>
      <c r="I457" s="112"/>
      <c r="J457" s="112"/>
      <c r="K457" s="112"/>
    </row>
    <row r="458" spans="3:11">
      <c r="C458" s="112"/>
      <c r="D458" s="112"/>
      <c r="E458" s="112"/>
      <c r="F458" s="112"/>
      <c r="G458" s="112"/>
      <c r="H458" s="112"/>
      <c r="I458" s="112"/>
      <c r="J458" s="112"/>
      <c r="K458" s="112"/>
    </row>
    <row r="459" spans="3:11">
      <c r="C459" s="112"/>
      <c r="D459" s="112"/>
      <c r="E459" s="112"/>
      <c r="F459" s="112"/>
      <c r="G459" s="112"/>
      <c r="H459" s="112"/>
      <c r="I459" s="112"/>
      <c r="J459" s="112"/>
      <c r="K459" s="112"/>
    </row>
    <row r="460" spans="3:11">
      <c r="C460" s="112"/>
      <c r="D460" s="112"/>
      <c r="E460" s="112"/>
      <c r="F460" s="112"/>
      <c r="G460" s="112"/>
      <c r="H460" s="112"/>
      <c r="I460" s="112"/>
      <c r="J460" s="112"/>
      <c r="K460" s="112"/>
    </row>
    <row r="461" spans="3:11">
      <c r="C461" s="112"/>
      <c r="D461" s="112"/>
      <c r="E461" s="112"/>
      <c r="F461" s="112"/>
      <c r="G461" s="112"/>
      <c r="H461" s="112"/>
      <c r="I461" s="112"/>
      <c r="J461" s="112"/>
      <c r="K461" s="112"/>
    </row>
    <row r="462" spans="3:11">
      <c r="C462" s="112"/>
      <c r="D462" s="112"/>
      <c r="E462" s="112"/>
      <c r="F462" s="112"/>
      <c r="G462" s="112"/>
      <c r="H462" s="112"/>
      <c r="I462" s="112"/>
      <c r="J462" s="112"/>
      <c r="K462" s="112"/>
    </row>
    <row r="463" spans="3:11">
      <c r="C463" s="112"/>
      <c r="D463" s="112"/>
      <c r="E463" s="112"/>
      <c r="F463" s="112"/>
      <c r="G463" s="112"/>
      <c r="H463" s="112"/>
      <c r="I463" s="112"/>
      <c r="J463" s="112"/>
      <c r="K463" s="112"/>
    </row>
    <row r="464" spans="3:11">
      <c r="C464" s="112"/>
      <c r="D464" s="112"/>
      <c r="E464" s="112"/>
      <c r="F464" s="112"/>
      <c r="G464" s="112"/>
      <c r="H464" s="112"/>
      <c r="I464" s="112"/>
      <c r="J464" s="112"/>
      <c r="K464" s="112"/>
    </row>
    <row r="465" spans="3:11">
      <c r="C465" s="112"/>
      <c r="D465" s="112"/>
      <c r="E465" s="112"/>
      <c r="F465" s="112"/>
      <c r="G465" s="112"/>
      <c r="H465" s="112"/>
      <c r="I465" s="112"/>
      <c r="J465" s="112"/>
      <c r="K465" s="112"/>
    </row>
    <row r="466" spans="3:11">
      <c r="C466" s="112"/>
      <c r="D466" s="112"/>
      <c r="E466" s="112"/>
      <c r="F466" s="112"/>
      <c r="G466" s="112"/>
      <c r="H466" s="112"/>
      <c r="I466" s="112"/>
      <c r="J466" s="112"/>
      <c r="K466" s="112"/>
    </row>
    <row r="467" spans="3:11">
      <c r="C467" s="112"/>
      <c r="D467" s="112"/>
      <c r="E467" s="112"/>
      <c r="F467" s="112"/>
      <c r="G467" s="112"/>
      <c r="H467" s="112"/>
      <c r="I467" s="112"/>
      <c r="J467" s="112"/>
      <c r="K467" s="112"/>
    </row>
    <row r="468" spans="3:11">
      <c r="C468" s="112"/>
      <c r="D468" s="112"/>
      <c r="E468" s="112"/>
      <c r="F468" s="112"/>
      <c r="G468" s="112"/>
      <c r="H468" s="112"/>
      <c r="I468" s="112"/>
      <c r="J468" s="112"/>
      <c r="K468" s="112"/>
    </row>
    <row r="469" spans="3:11">
      <c r="C469" s="112"/>
      <c r="D469" s="112"/>
      <c r="E469" s="112"/>
      <c r="F469" s="112"/>
      <c r="G469" s="112"/>
      <c r="H469" s="112"/>
      <c r="I469" s="112"/>
      <c r="J469" s="112"/>
      <c r="K469" s="112"/>
    </row>
    <row r="470" spans="3:11">
      <c r="C470" s="112"/>
      <c r="D470" s="112"/>
      <c r="E470" s="112"/>
      <c r="F470" s="112"/>
      <c r="G470" s="112"/>
      <c r="H470" s="112"/>
      <c r="I470" s="112"/>
      <c r="J470" s="112"/>
      <c r="K470" s="112"/>
    </row>
    <row r="471" spans="3:11">
      <c r="C471" s="112"/>
      <c r="D471" s="112"/>
      <c r="E471" s="112"/>
      <c r="F471" s="112"/>
      <c r="G471" s="112"/>
      <c r="H471" s="112"/>
      <c r="I471" s="112"/>
      <c r="J471" s="112"/>
      <c r="K471" s="112"/>
    </row>
    <row r="472" spans="3:11">
      <c r="C472" s="112"/>
      <c r="D472" s="112"/>
      <c r="E472" s="112"/>
      <c r="F472" s="112"/>
      <c r="G472" s="112"/>
      <c r="H472" s="112"/>
      <c r="I472" s="112"/>
      <c r="J472" s="112"/>
      <c r="K472" s="112"/>
    </row>
    <row r="473" spans="3:11">
      <c r="C473" s="112"/>
      <c r="D473" s="112"/>
      <c r="E473" s="112"/>
      <c r="F473" s="112"/>
      <c r="G473" s="112"/>
      <c r="H473" s="112"/>
      <c r="I473" s="112"/>
      <c r="J473" s="112"/>
      <c r="K473" s="112"/>
    </row>
    <row r="474" spans="3:11">
      <c r="C474" s="112"/>
      <c r="D474" s="112"/>
      <c r="E474" s="112"/>
      <c r="F474" s="112"/>
      <c r="G474" s="112"/>
      <c r="H474" s="112"/>
      <c r="I474" s="112"/>
      <c r="J474" s="112"/>
      <c r="K474" s="112"/>
    </row>
    <row r="475" spans="3:11">
      <c r="C475" s="112"/>
      <c r="D475" s="112"/>
      <c r="E475" s="112"/>
      <c r="F475" s="112"/>
      <c r="G475" s="112"/>
      <c r="H475" s="112"/>
      <c r="I475" s="112"/>
      <c r="J475" s="112"/>
      <c r="K475" s="112"/>
    </row>
    <row r="476" spans="3:11">
      <c r="C476" s="112"/>
      <c r="D476" s="112"/>
      <c r="E476" s="112"/>
      <c r="F476" s="112"/>
      <c r="G476" s="112"/>
      <c r="H476" s="112"/>
      <c r="I476" s="112"/>
      <c r="J476" s="112"/>
      <c r="K476" s="112"/>
    </row>
    <row r="477" spans="3:11">
      <c r="C477" s="112"/>
      <c r="D477" s="112"/>
      <c r="E477" s="112"/>
      <c r="F477" s="112"/>
      <c r="G477" s="112"/>
      <c r="H477" s="112"/>
      <c r="I477" s="112"/>
      <c r="J477" s="112"/>
      <c r="K477" s="112"/>
    </row>
    <row r="478" spans="3:11">
      <c r="C478" s="112"/>
      <c r="D478" s="112"/>
      <c r="E478" s="112"/>
      <c r="F478" s="112"/>
      <c r="G478" s="112"/>
      <c r="H478" s="112"/>
      <c r="I478" s="112"/>
      <c r="J478" s="112"/>
      <c r="K478" s="112"/>
    </row>
    <row r="479" spans="3:11">
      <c r="C479" s="112"/>
      <c r="D479" s="112"/>
      <c r="E479" s="112"/>
      <c r="F479" s="112"/>
      <c r="G479" s="112"/>
      <c r="H479" s="112"/>
      <c r="I479" s="112"/>
      <c r="J479" s="112"/>
      <c r="K479" s="112"/>
    </row>
    <row r="480" spans="3:11">
      <c r="C480" s="112"/>
      <c r="D480" s="112"/>
      <c r="E480" s="112"/>
      <c r="F480" s="112"/>
      <c r="G480" s="112"/>
      <c r="H480" s="112"/>
      <c r="I480" s="112"/>
      <c r="J480" s="112"/>
      <c r="K480" s="112"/>
    </row>
    <row r="481" spans="3:11">
      <c r="C481" s="112"/>
      <c r="D481" s="112"/>
      <c r="E481" s="112"/>
      <c r="F481" s="112"/>
      <c r="G481" s="112"/>
      <c r="H481" s="112"/>
      <c r="I481" s="112"/>
      <c r="J481" s="112"/>
      <c r="K481" s="112"/>
    </row>
    <row r="482" spans="3:11">
      <c r="C482" s="112"/>
      <c r="D482" s="112"/>
      <c r="E482" s="112"/>
      <c r="F482" s="112"/>
      <c r="G482" s="112"/>
      <c r="H482" s="112"/>
      <c r="I482" s="112"/>
      <c r="J482" s="112"/>
      <c r="K482" s="112"/>
    </row>
    <row r="483" spans="3:11">
      <c r="C483" s="112"/>
      <c r="D483" s="112"/>
      <c r="E483" s="112"/>
      <c r="F483" s="112"/>
      <c r="G483" s="112"/>
      <c r="H483" s="112"/>
      <c r="I483" s="112"/>
      <c r="J483" s="112"/>
      <c r="K483" s="112"/>
    </row>
    <row r="484" spans="3:11">
      <c r="C484" s="112"/>
      <c r="D484" s="112"/>
      <c r="E484" s="112"/>
      <c r="F484" s="112"/>
      <c r="G484" s="112"/>
      <c r="H484" s="112"/>
      <c r="I484" s="112"/>
      <c r="J484" s="112"/>
      <c r="K484" s="112"/>
    </row>
    <row r="485" spans="3:11">
      <c r="C485" s="112"/>
      <c r="D485" s="112"/>
      <c r="E485" s="112"/>
      <c r="F485" s="112"/>
      <c r="G485" s="112"/>
      <c r="H485" s="112"/>
      <c r="I485" s="112"/>
      <c r="J485" s="112"/>
      <c r="K485" s="112"/>
    </row>
    <row r="486" spans="3:11">
      <c r="C486" s="112"/>
      <c r="D486" s="112"/>
      <c r="E486" s="112"/>
      <c r="F486" s="112"/>
      <c r="G486" s="112"/>
      <c r="H486" s="112"/>
      <c r="I486" s="112"/>
      <c r="J486" s="112"/>
      <c r="K486" s="112"/>
    </row>
    <row r="487" spans="3:11">
      <c r="C487" s="112"/>
      <c r="D487" s="112"/>
      <c r="E487" s="112"/>
      <c r="F487" s="112"/>
      <c r="G487" s="112"/>
      <c r="H487" s="112"/>
      <c r="I487" s="112"/>
      <c r="J487" s="112"/>
      <c r="K487" s="112"/>
    </row>
    <row r="488" spans="3:11">
      <c r="C488" s="112"/>
      <c r="D488" s="112"/>
      <c r="E488" s="112"/>
      <c r="F488" s="112"/>
      <c r="G488" s="112"/>
      <c r="H488" s="112"/>
      <c r="I488" s="112"/>
      <c r="J488" s="112"/>
      <c r="K488" s="112"/>
    </row>
    <row r="489" spans="3:11">
      <c r="C489" s="112"/>
      <c r="D489" s="112"/>
      <c r="E489" s="112"/>
      <c r="F489" s="112"/>
      <c r="G489" s="112"/>
      <c r="H489" s="112"/>
      <c r="I489" s="112"/>
      <c r="J489" s="112"/>
      <c r="K489" s="112"/>
    </row>
    <row r="490" spans="3:11">
      <c r="C490" s="112"/>
      <c r="D490" s="112"/>
      <c r="E490" s="112"/>
      <c r="F490" s="112"/>
      <c r="G490" s="112"/>
      <c r="H490" s="112"/>
      <c r="I490" s="112"/>
      <c r="J490" s="112"/>
      <c r="K490" s="112"/>
    </row>
    <row r="491" spans="3:11">
      <c r="C491" s="112"/>
      <c r="D491" s="112"/>
      <c r="E491" s="112"/>
      <c r="F491" s="112"/>
      <c r="G491" s="112"/>
      <c r="H491" s="112"/>
      <c r="I491" s="112"/>
      <c r="J491" s="112"/>
      <c r="K491" s="112"/>
    </row>
    <row r="492" spans="3:11">
      <c r="C492" s="112"/>
      <c r="D492" s="112"/>
      <c r="E492" s="112"/>
      <c r="F492" s="112"/>
      <c r="G492" s="112"/>
      <c r="H492" s="112"/>
      <c r="I492" s="112"/>
      <c r="J492" s="112"/>
      <c r="K492" s="112"/>
    </row>
    <row r="493" spans="3:11">
      <c r="C493" s="112"/>
      <c r="D493" s="112"/>
      <c r="E493" s="112"/>
      <c r="F493" s="112"/>
      <c r="G493" s="112"/>
      <c r="H493" s="112"/>
      <c r="I493" s="112"/>
      <c r="J493" s="112"/>
      <c r="K493" s="112"/>
    </row>
    <row r="494" spans="3:11">
      <c r="C494" s="112"/>
      <c r="D494" s="112"/>
      <c r="E494" s="112"/>
      <c r="F494" s="112"/>
      <c r="G494" s="112"/>
      <c r="H494" s="112"/>
      <c r="I494" s="112"/>
      <c r="J494" s="112"/>
      <c r="K494" s="112"/>
    </row>
    <row r="495" spans="3:11">
      <c r="C495" s="112"/>
      <c r="D495" s="112"/>
      <c r="E495" s="112"/>
      <c r="F495" s="112"/>
      <c r="G495" s="112"/>
      <c r="H495" s="112"/>
      <c r="I495" s="112"/>
      <c r="J495" s="112"/>
      <c r="K495" s="112"/>
    </row>
    <row r="496" spans="3:11">
      <c r="C496" s="112"/>
      <c r="D496" s="112"/>
      <c r="E496" s="112"/>
      <c r="F496" s="112"/>
      <c r="G496" s="112"/>
      <c r="H496" s="112"/>
      <c r="I496" s="112"/>
      <c r="J496" s="112"/>
      <c r="K496" s="112"/>
    </row>
    <row r="497" spans="3:11">
      <c r="C497" s="112"/>
      <c r="D497" s="112"/>
      <c r="E497" s="112"/>
      <c r="F497" s="112"/>
      <c r="G497" s="112"/>
      <c r="H497" s="112"/>
      <c r="I497" s="112"/>
      <c r="J497" s="112"/>
      <c r="K497" s="112"/>
    </row>
    <row r="498" spans="3:11">
      <c r="C498" s="112"/>
      <c r="D498" s="112"/>
      <c r="E498" s="112"/>
      <c r="F498" s="112"/>
      <c r="G498" s="112"/>
      <c r="H498" s="112"/>
      <c r="I498" s="112"/>
      <c r="J498" s="112"/>
      <c r="K498" s="112"/>
    </row>
    <row r="499" spans="3:11">
      <c r="C499" s="112"/>
      <c r="D499" s="112"/>
      <c r="E499" s="112"/>
      <c r="F499" s="112"/>
      <c r="G499" s="112"/>
      <c r="H499" s="112"/>
      <c r="I499" s="112"/>
      <c r="J499" s="112"/>
      <c r="K499" s="112"/>
    </row>
    <row r="500" spans="3:11">
      <c r="C500" s="112"/>
      <c r="D500" s="112"/>
      <c r="E500" s="112"/>
      <c r="F500" s="112"/>
      <c r="G500" s="112"/>
      <c r="H500" s="112"/>
      <c r="I500" s="112"/>
      <c r="J500" s="112"/>
      <c r="K500" s="112"/>
    </row>
    <row r="501" spans="3:11">
      <c r="C501" s="112"/>
      <c r="D501" s="112"/>
      <c r="E501" s="112"/>
      <c r="F501" s="112"/>
      <c r="G501" s="112"/>
      <c r="H501" s="112"/>
      <c r="I501" s="112"/>
      <c r="J501" s="112"/>
      <c r="K501" s="112"/>
    </row>
    <row r="502" spans="3:11">
      <c r="C502" s="112"/>
      <c r="D502" s="112"/>
      <c r="E502" s="112"/>
      <c r="F502" s="112"/>
      <c r="G502" s="112"/>
      <c r="H502" s="112"/>
      <c r="I502" s="112"/>
      <c r="J502" s="112"/>
      <c r="K502" s="112"/>
    </row>
    <row r="503" spans="3:11">
      <c r="C503" s="112"/>
      <c r="D503" s="112"/>
      <c r="E503" s="112"/>
      <c r="F503" s="112"/>
      <c r="G503" s="112"/>
      <c r="H503" s="112"/>
      <c r="I503" s="112"/>
      <c r="J503" s="112"/>
      <c r="K503" s="112"/>
    </row>
    <row r="504" spans="3:11">
      <c r="C504" s="112"/>
      <c r="D504" s="112"/>
      <c r="E504" s="112"/>
      <c r="F504" s="112"/>
      <c r="G504" s="112"/>
      <c r="H504" s="112"/>
      <c r="I504" s="112"/>
      <c r="J504" s="112"/>
      <c r="K504" s="112"/>
    </row>
    <row r="505" spans="3:11">
      <c r="C505" s="112"/>
      <c r="D505" s="112"/>
      <c r="E505" s="112"/>
      <c r="F505" s="112"/>
      <c r="G505" s="112"/>
      <c r="H505" s="112"/>
      <c r="I505" s="112"/>
      <c r="J505" s="112"/>
      <c r="K505" s="112"/>
    </row>
    <row r="506" spans="3:11">
      <c r="C506" s="112"/>
      <c r="D506" s="112"/>
      <c r="E506" s="112"/>
      <c r="F506" s="112"/>
      <c r="G506" s="112"/>
      <c r="H506" s="112"/>
      <c r="I506" s="112"/>
      <c r="J506" s="112"/>
      <c r="K506" s="112"/>
    </row>
    <row r="507" spans="3:11">
      <c r="C507" s="112"/>
      <c r="D507" s="112"/>
      <c r="E507" s="112"/>
      <c r="F507" s="112"/>
      <c r="G507" s="112"/>
      <c r="H507" s="112"/>
      <c r="I507" s="112"/>
      <c r="J507" s="112"/>
      <c r="K507" s="112"/>
    </row>
    <row r="508" spans="3:11">
      <c r="C508" s="112"/>
      <c r="D508" s="112"/>
      <c r="E508" s="112"/>
      <c r="F508" s="112"/>
      <c r="G508" s="112"/>
      <c r="H508" s="112"/>
      <c r="I508" s="112"/>
      <c r="J508" s="112"/>
      <c r="K508" s="112"/>
    </row>
    <row r="509" spans="3:11">
      <c r="C509" s="112"/>
      <c r="D509" s="112"/>
      <c r="E509" s="112"/>
      <c r="F509" s="112"/>
      <c r="G509" s="112"/>
      <c r="H509" s="112"/>
      <c r="I509" s="112"/>
      <c r="J509" s="112"/>
      <c r="K509" s="112"/>
    </row>
    <row r="510" spans="3:11">
      <c r="C510" s="112"/>
      <c r="D510" s="112"/>
      <c r="E510" s="112"/>
      <c r="F510" s="112"/>
      <c r="G510" s="112"/>
      <c r="H510" s="112"/>
      <c r="I510" s="112"/>
      <c r="J510" s="112"/>
      <c r="K510" s="112"/>
    </row>
    <row r="511" spans="3:11">
      <c r="C511" s="112"/>
      <c r="D511" s="112"/>
      <c r="E511" s="112"/>
      <c r="F511" s="112"/>
      <c r="G511" s="112"/>
      <c r="H511" s="112"/>
      <c r="I511" s="112"/>
      <c r="J511" s="112"/>
      <c r="K511" s="112"/>
    </row>
    <row r="512" spans="3:11">
      <c r="C512" s="112"/>
      <c r="D512" s="112"/>
      <c r="E512" s="112"/>
      <c r="F512" s="112"/>
      <c r="G512" s="112"/>
      <c r="H512" s="112"/>
      <c r="I512" s="112"/>
      <c r="J512" s="112"/>
      <c r="K512" s="112"/>
    </row>
    <row r="513" spans="3:11">
      <c r="C513" s="112"/>
      <c r="D513" s="112"/>
      <c r="E513" s="112"/>
      <c r="F513" s="112"/>
      <c r="G513" s="112"/>
      <c r="H513" s="112"/>
      <c r="I513" s="112"/>
      <c r="J513" s="112"/>
      <c r="K513" s="112"/>
    </row>
    <row r="514" spans="3:11">
      <c r="C514" s="112"/>
      <c r="D514" s="112"/>
      <c r="E514" s="112"/>
      <c r="F514" s="112"/>
      <c r="G514" s="112"/>
      <c r="H514" s="112"/>
      <c r="I514" s="112"/>
      <c r="J514" s="112"/>
      <c r="K514" s="112"/>
    </row>
    <row r="515" spans="3:11">
      <c r="C515" s="112"/>
      <c r="D515" s="112"/>
      <c r="E515" s="112"/>
      <c r="F515" s="112"/>
      <c r="G515" s="112"/>
      <c r="H515" s="112"/>
      <c r="I515" s="112"/>
      <c r="J515" s="112"/>
      <c r="K515" s="112"/>
    </row>
    <row r="516" spans="3:11">
      <c r="C516" s="112"/>
      <c r="D516" s="112"/>
      <c r="E516" s="112"/>
      <c r="F516" s="112"/>
      <c r="G516" s="112"/>
      <c r="H516" s="112"/>
      <c r="I516" s="112"/>
      <c r="J516" s="112"/>
      <c r="K516" s="112"/>
    </row>
    <row r="517" spans="3:11">
      <c r="C517" s="112"/>
      <c r="D517" s="112"/>
      <c r="E517" s="112"/>
      <c r="F517" s="112"/>
      <c r="G517" s="112"/>
      <c r="H517" s="112"/>
      <c r="I517" s="112"/>
      <c r="J517" s="112"/>
      <c r="K517" s="112"/>
    </row>
    <row r="518" spans="3:11">
      <c r="C518" s="112"/>
      <c r="D518" s="112"/>
      <c r="E518" s="112"/>
      <c r="F518" s="112"/>
      <c r="G518" s="112"/>
      <c r="H518" s="112"/>
      <c r="I518" s="112"/>
      <c r="J518" s="112"/>
      <c r="K518" s="112"/>
    </row>
    <row r="519" spans="3:11">
      <c r="C519" s="112"/>
      <c r="D519" s="112"/>
      <c r="E519" s="112"/>
      <c r="F519" s="112"/>
      <c r="G519" s="112"/>
      <c r="H519" s="112"/>
      <c r="I519" s="112"/>
      <c r="J519" s="112"/>
      <c r="K519" s="112"/>
    </row>
    <row r="520" spans="3:11">
      <c r="C520" s="112"/>
      <c r="D520" s="112"/>
      <c r="E520" s="112"/>
      <c r="F520" s="112"/>
      <c r="G520" s="112"/>
      <c r="H520" s="112"/>
      <c r="I520" s="112"/>
      <c r="J520" s="112"/>
      <c r="K520" s="112"/>
    </row>
    <row r="521" spans="3:11">
      <c r="C521" s="112"/>
      <c r="D521" s="112"/>
      <c r="E521" s="112"/>
      <c r="F521" s="112"/>
      <c r="G521" s="112"/>
      <c r="H521" s="112"/>
      <c r="I521" s="112"/>
      <c r="J521" s="112"/>
      <c r="K521" s="112"/>
    </row>
    <row r="522" spans="3:11">
      <c r="C522" s="112"/>
      <c r="D522" s="112"/>
      <c r="E522" s="112"/>
      <c r="F522" s="112"/>
      <c r="G522" s="112"/>
      <c r="H522" s="112"/>
      <c r="I522" s="112"/>
      <c r="J522" s="112"/>
      <c r="K522" s="112"/>
    </row>
    <row r="523" spans="3:11">
      <c r="C523" s="112"/>
      <c r="D523" s="112"/>
      <c r="E523" s="112"/>
      <c r="F523" s="112"/>
      <c r="G523" s="112"/>
      <c r="H523" s="112"/>
      <c r="I523" s="112"/>
      <c r="J523" s="112"/>
      <c r="K523" s="112"/>
    </row>
    <row r="524" spans="3:11">
      <c r="C524" s="112"/>
      <c r="D524" s="112"/>
      <c r="E524" s="112"/>
      <c r="F524" s="112"/>
      <c r="G524" s="112"/>
      <c r="H524" s="112"/>
      <c r="I524" s="112"/>
      <c r="J524" s="112"/>
      <c r="K524" s="112"/>
    </row>
    <row r="525" spans="3:11">
      <c r="C525" s="112"/>
      <c r="D525" s="112"/>
      <c r="E525" s="112"/>
      <c r="F525" s="112"/>
      <c r="G525" s="112"/>
      <c r="H525" s="112"/>
      <c r="I525" s="112"/>
      <c r="J525" s="112"/>
      <c r="K525" s="112"/>
    </row>
    <row r="526" spans="3:11">
      <c r="C526" s="112"/>
      <c r="D526" s="112"/>
      <c r="E526" s="112"/>
      <c r="F526" s="112"/>
      <c r="G526" s="112"/>
      <c r="H526" s="112"/>
      <c r="I526" s="112"/>
      <c r="J526" s="112"/>
      <c r="K526" s="112"/>
    </row>
    <row r="527" spans="3:11">
      <c r="C527" s="112"/>
      <c r="D527" s="112"/>
      <c r="E527" s="112"/>
      <c r="F527" s="112"/>
      <c r="G527" s="112"/>
      <c r="H527" s="112"/>
      <c r="I527" s="112"/>
      <c r="J527" s="112"/>
      <c r="K527" s="112"/>
    </row>
    <row r="528" spans="3:11">
      <c r="C528" s="112"/>
      <c r="D528" s="112"/>
      <c r="E528" s="112"/>
      <c r="F528" s="112"/>
      <c r="G528" s="112"/>
      <c r="H528" s="112"/>
      <c r="I528" s="112"/>
      <c r="J528" s="112"/>
      <c r="K528" s="112"/>
    </row>
    <row r="529" spans="3:11">
      <c r="C529" s="112"/>
      <c r="D529" s="112"/>
      <c r="E529" s="112"/>
      <c r="F529" s="112"/>
      <c r="G529" s="112"/>
      <c r="H529" s="112"/>
      <c r="I529" s="112"/>
      <c r="J529" s="112"/>
      <c r="K529" s="112"/>
    </row>
    <row r="530" spans="3:11">
      <c r="C530" s="112"/>
      <c r="D530" s="112"/>
      <c r="E530" s="112"/>
      <c r="F530" s="112"/>
      <c r="G530" s="112"/>
      <c r="H530" s="112"/>
      <c r="I530" s="112"/>
      <c r="J530" s="112"/>
      <c r="K530" s="112"/>
    </row>
    <row r="531" spans="3:11">
      <c r="C531" s="112"/>
      <c r="D531" s="112"/>
      <c r="E531" s="112"/>
      <c r="F531" s="112"/>
      <c r="G531" s="112"/>
      <c r="H531" s="112"/>
      <c r="I531" s="112"/>
      <c r="J531" s="112"/>
      <c r="K531" s="112"/>
    </row>
    <row r="532" spans="3:11">
      <c r="C532" s="112"/>
      <c r="D532" s="112"/>
      <c r="E532" s="112"/>
      <c r="F532" s="112"/>
      <c r="G532" s="112"/>
      <c r="H532" s="112"/>
      <c r="I532" s="112"/>
      <c r="J532" s="112"/>
      <c r="K532" s="112"/>
    </row>
    <row r="533" spans="3:11">
      <c r="C533" s="112"/>
      <c r="D533" s="112"/>
      <c r="E533" s="112"/>
      <c r="F533" s="112"/>
      <c r="G533" s="112"/>
      <c r="H533" s="112"/>
      <c r="I533" s="112"/>
      <c r="J533" s="112"/>
      <c r="K533" s="112"/>
    </row>
    <row r="534" spans="3:11">
      <c r="C534" s="112"/>
      <c r="D534" s="112"/>
      <c r="E534" s="112"/>
      <c r="F534" s="112"/>
      <c r="G534" s="112"/>
      <c r="H534" s="112"/>
      <c r="I534" s="112"/>
      <c r="J534" s="112"/>
      <c r="K534" s="112"/>
    </row>
    <row r="535" spans="3:11">
      <c r="C535" s="112"/>
      <c r="D535" s="112"/>
      <c r="E535" s="112"/>
      <c r="F535" s="112"/>
      <c r="G535" s="112"/>
      <c r="H535" s="112"/>
      <c r="I535" s="112"/>
      <c r="J535" s="112"/>
      <c r="K535" s="112"/>
    </row>
    <row r="536" spans="3:11">
      <c r="C536" s="112"/>
      <c r="D536" s="112"/>
      <c r="E536" s="112"/>
      <c r="F536" s="112"/>
      <c r="G536" s="112"/>
      <c r="H536" s="112"/>
      <c r="I536" s="112"/>
      <c r="J536" s="112"/>
      <c r="K536" s="112"/>
    </row>
    <row r="537" spans="3:11">
      <c r="C537" s="112"/>
      <c r="D537" s="112"/>
      <c r="E537" s="112"/>
      <c r="F537" s="112"/>
      <c r="G537" s="112"/>
      <c r="H537" s="112"/>
      <c r="I537" s="112"/>
      <c r="J537" s="112"/>
      <c r="K537" s="112"/>
    </row>
    <row r="538" spans="3:11">
      <c r="C538" s="112"/>
      <c r="D538" s="112"/>
      <c r="E538" s="112"/>
      <c r="F538" s="112"/>
      <c r="G538" s="112"/>
      <c r="H538" s="112"/>
      <c r="I538" s="112"/>
      <c r="J538" s="112"/>
      <c r="K538" s="112"/>
    </row>
    <row r="539" spans="3:11">
      <c r="C539" s="112"/>
      <c r="D539" s="112"/>
      <c r="E539" s="112"/>
      <c r="F539" s="112"/>
      <c r="G539" s="112"/>
      <c r="H539" s="112"/>
      <c r="I539" s="112"/>
      <c r="J539" s="112"/>
      <c r="K539" s="112"/>
    </row>
    <row r="540" spans="3:11">
      <c r="C540" s="112"/>
      <c r="D540" s="112"/>
      <c r="E540" s="112"/>
      <c r="F540" s="112"/>
      <c r="G540" s="112"/>
      <c r="H540" s="112"/>
      <c r="I540" s="112"/>
      <c r="J540" s="112"/>
      <c r="K540" s="112"/>
    </row>
    <row r="541" spans="3:11">
      <c r="C541" s="112"/>
      <c r="D541" s="112"/>
      <c r="E541" s="112"/>
      <c r="F541" s="112"/>
      <c r="G541" s="112"/>
      <c r="H541" s="112"/>
      <c r="I541" s="112"/>
      <c r="J541" s="112"/>
      <c r="K541" s="112"/>
    </row>
    <row r="542" spans="3:11">
      <c r="C542" s="112"/>
      <c r="D542" s="112"/>
      <c r="E542" s="112"/>
      <c r="F542" s="112"/>
      <c r="G542" s="112"/>
      <c r="H542" s="112"/>
      <c r="I542" s="112"/>
      <c r="J542" s="112"/>
      <c r="K542" s="112"/>
    </row>
    <row r="543" spans="3:11">
      <c r="C543" s="112"/>
      <c r="D543" s="112"/>
      <c r="E543" s="112"/>
      <c r="F543" s="112"/>
      <c r="G543" s="112"/>
      <c r="H543" s="112"/>
      <c r="I543" s="112"/>
      <c r="J543" s="112"/>
      <c r="K543" s="112"/>
    </row>
    <row r="544" spans="3:11">
      <c r="C544" s="112"/>
      <c r="D544" s="112"/>
      <c r="E544" s="112"/>
      <c r="F544" s="112"/>
      <c r="G544" s="112"/>
      <c r="H544" s="112"/>
      <c r="I544" s="112"/>
      <c r="J544" s="112"/>
      <c r="K544" s="112"/>
    </row>
    <row r="545" spans="3:11">
      <c r="C545" s="112"/>
      <c r="D545" s="112"/>
      <c r="E545" s="112"/>
      <c r="F545" s="112"/>
      <c r="G545" s="112"/>
      <c r="H545" s="112"/>
      <c r="I545" s="112"/>
      <c r="J545" s="112"/>
      <c r="K545" s="112"/>
    </row>
    <row r="546" spans="3:11">
      <c r="C546" s="112"/>
      <c r="D546" s="112"/>
      <c r="E546" s="112"/>
      <c r="F546" s="112"/>
      <c r="G546" s="112"/>
      <c r="H546" s="112"/>
      <c r="I546" s="112"/>
      <c r="J546" s="112"/>
      <c r="K546" s="112"/>
    </row>
    <row r="547" spans="3:11">
      <c r="C547" s="112"/>
      <c r="D547" s="112"/>
      <c r="E547" s="112"/>
      <c r="F547" s="112"/>
      <c r="G547" s="112"/>
      <c r="H547" s="112"/>
    </row>
    <row r="548" spans="3:11">
      <c r="C548" s="112"/>
      <c r="D548" s="112"/>
      <c r="E548" s="112"/>
      <c r="F548" s="112"/>
      <c r="G548" s="112"/>
      <c r="H548" s="112"/>
    </row>
    <row r="549" spans="3:11">
      <c r="C549" s="112"/>
      <c r="D549" s="112"/>
      <c r="E549" s="112"/>
      <c r="F549" s="112"/>
      <c r="G549" s="112"/>
      <c r="H549" s="112"/>
    </row>
    <row r="550" spans="3:11">
      <c r="C550" s="112"/>
      <c r="D550" s="112"/>
      <c r="E550" s="112"/>
      <c r="F550" s="112"/>
      <c r="G550" s="112"/>
      <c r="H550" s="112"/>
    </row>
    <row r="551" spans="3:11">
      <c r="C551" s="112"/>
      <c r="D551" s="112"/>
      <c r="E551" s="112"/>
      <c r="F551" s="112"/>
      <c r="G551" s="112"/>
      <c r="H551" s="112"/>
    </row>
    <row r="552" spans="3:11">
      <c r="C552" s="112"/>
      <c r="D552" s="112"/>
      <c r="E552" s="112"/>
      <c r="F552" s="112"/>
      <c r="G552" s="112"/>
      <c r="H552" s="112"/>
    </row>
    <row r="553" spans="3:11">
      <c r="C553" s="112"/>
      <c r="D553" s="112"/>
      <c r="E553" s="112"/>
      <c r="F553" s="112"/>
      <c r="G553" s="112"/>
      <c r="H553" s="112"/>
    </row>
    <row r="554" spans="3:11">
      <c r="C554" s="112"/>
      <c r="D554" s="112"/>
      <c r="E554" s="112"/>
      <c r="F554" s="112"/>
      <c r="G554" s="112"/>
      <c r="H554" s="112"/>
    </row>
    <row r="555" spans="3:11">
      <c r="C555" s="112"/>
      <c r="D555" s="112"/>
      <c r="E555" s="112"/>
      <c r="F555" s="112"/>
      <c r="G555" s="112"/>
      <c r="H555" s="112"/>
    </row>
    <row r="556" spans="3:11">
      <c r="C556" s="112"/>
      <c r="D556" s="112"/>
      <c r="E556" s="112"/>
      <c r="F556" s="112"/>
      <c r="G556" s="112"/>
      <c r="H556" s="112"/>
    </row>
    <row r="557" spans="3:11">
      <c r="C557" s="112"/>
      <c r="D557" s="112"/>
      <c r="E557" s="112"/>
      <c r="F557" s="112"/>
      <c r="G557" s="112"/>
      <c r="H557" s="112"/>
    </row>
    <row r="558" spans="3:11">
      <c r="C558" s="112"/>
      <c r="D558" s="112"/>
      <c r="E558" s="112"/>
      <c r="F558" s="112"/>
      <c r="G558" s="112"/>
      <c r="H558" s="112"/>
    </row>
    <row r="559" spans="3:11">
      <c r="C559" s="112"/>
      <c r="D559" s="112"/>
      <c r="E559" s="112"/>
      <c r="F559" s="112"/>
      <c r="G559" s="112"/>
      <c r="H559" s="112"/>
    </row>
    <row r="560" spans="3:11">
      <c r="C560" s="112"/>
      <c r="D560" s="112"/>
      <c r="E560" s="112"/>
      <c r="F560" s="112"/>
      <c r="G560" s="112"/>
      <c r="H560" s="112"/>
    </row>
    <row r="561" spans="3:8">
      <c r="C561" s="112"/>
      <c r="D561" s="112"/>
      <c r="E561" s="112"/>
      <c r="F561" s="112"/>
      <c r="G561" s="112"/>
      <c r="H561" s="112"/>
    </row>
    <row r="562" spans="3:8">
      <c r="C562" s="112"/>
      <c r="D562" s="112"/>
      <c r="E562" s="112"/>
      <c r="F562" s="112"/>
      <c r="G562" s="112"/>
      <c r="H562" s="112"/>
    </row>
    <row r="563" spans="3:8">
      <c r="C563" s="112"/>
      <c r="D563" s="112"/>
      <c r="E563" s="112"/>
      <c r="F563" s="112"/>
      <c r="G563" s="112"/>
      <c r="H563" s="112"/>
    </row>
    <row r="564" spans="3:8">
      <c r="C564" s="112"/>
      <c r="D564" s="112"/>
      <c r="E564" s="112"/>
      <c r="F564" s="112"/>
      <c r="G564" s="112"/>
      <c r="H564" s="112"/>
    </row>
    <row r="565" spans="3:8">
      <c r="C565" s="112"/>
      <c r="D565" s="112"/>
      <c r="E565" s="112"/>
      <c r="F565" s="112"/>
      <c r="G565" s="112"/>
      <c r="H565" s="112"/>
    </row>
    <row r="566" spans="3:8">
      <c r="C566" s="112"/>
      <c r="D566" s="112"/>
      <c r="E566" s="112"/>
      <c r="F566" s="112"/>
      <c r="G566" s="112"/>
      <c r="H566" s="112"/>
    </row>
    <row r="567" spans="3:8">
      <c r="C567" s="112"/>
      <c r="D567" s="112"/>
      <c r="E567" s="112"/>
      <c r="F567" s="112"/>
      <c r="G567" s="112"/>
      <c r="H567" s="112"/>
    </row>
    <row r="568" spans="3:8">
      <c r="C568" s="112"/>
      <c r="D568" s="112"/>
      <c r="E568" s="112"/>
      <c r="F568" s="112"/>
      <c r="G568" s="112"/>
      <c r="H568" s="112"/>
    </row>
    <row r="569" spans="3:8">
      <c r="C569" s="112"/>
      <c r="D569" s="112"/>
      <c r="E569" s="112"/>
      <c r="F569" s="112"/>
      <c r="G569" s="112"/>
      <c r="H569" s="112"/>
    </row>
    <row r="570" spans="3:8">
      <c r="C570" s="112"/>
      <c r="D570" s="112"/>
      <c r="E570" s="112"/>
      <c r="F570" s="112"/>
      <c r="G570" s="112"/>
      <c r="H570" s="112"/>
    </row>
    <row r="571" spans="3:8">
      <c r="C571" s="112"/>
      <c r="D571" s="112"/>
      <c r="E571" s="112"/>
      <c r="F571" s="112"/>
      <c r="G571" s="112"/>
      <c r="H571" s="112"/>
    </row>
    <row r="572" spans="3:8">
      <c r="C572" s="112"/>
      <c r="D572" s="112"/>
      <c r="E572" s="112"/>
      <c r="F572" s="112"/>
      <c r="G572" s="112"/>
      <c r="H572" s="112"/>
    </row>
    <row r="573" spans="3:8">
      <c r="C573" s="112"/>
      <c r="D573" s="112"/>
      <c r="E573" s="112"/>
      <c r="F573" s="112"/>
      <c r="G573" s="112"/>
      <c r="H573" s="112"/>
    </row>
    <row r="574" spans="3:8">
      <c r="C574" s="112"/>
      <c r="D574" s="112"/>
      <c r="E574" s="112"/>
      <c r="F574" s="112"/>
      <c r="G574" s="112"/>
      <c r="H574" s="112"/>
    </row>
    <row r="575" spans="3:8">
      <c r="C575" s="112"/>
      <c r="D575" s="112"/>
      <c r="E575" s="112"/>
      <c r="F575" s="112"/>
      <c r="G575" s="112"/>
      <c r="H575" s="112"/>
    </row>
    <row r="576" spans="3:8">
      <c r="C576" s="112"/>
      <c r="D576" s="112"/>
      <c r="E576" s="112"/>
      <c r="F576" s="112"/>
      <c r="G576" s="112"/>
      <c r="H576" s="112"/>
    </row>
    <row r="577" spans="3:8">
      <c r="C577" s="112"/>
      <c r="D577" s="112"/>
      <c r="E577" s="112"/>
      <c r="F577" s="112"/>
      <c r="G577" s="112"/>
      <c r="H577" s="112"/>
    </row>
    <row r="578" spans="3:8">
      <c r="C578" s="112"/>
      <c r="D578" s="112"/>
      <c r="E578" s="112"/>
      <c r="F578" s="112"/>
      <c r="G578" s="112"/>
      <c r="H578" s="112"/>
    </row>
    <row r="579" spans="3:8">
      <c r="C579" s="112"/>
      <c r="D579" s="112"/>
      <c r="E579" s="112"/>
      <c r="F579" s="112"/>
      <c r="G579" s="112"/>
      <c r="H579" s="112"/>
    </row>
    <row r="580" spans="3:8">
      <c r="C580" s="112"/>
      <c r="D580" s="112"/>
      <c r="E580" s="112"/>
      <c r="F580" s="112"/>
      <c r="G580" s="112"/>
      <c r="H580" s="112"/>
    </row>
    <row r="581" spans="3:8">
      <c r="C581" s="112"/>
      <c r="D581" s="112"/>
      <c r="E581" s="112"/>
      <c r="F581" s="112"/>
      <c r="G581" s="112"/>
      <c r="H581" s="112"/>
    </row>
    <row r="582" spans="3:8">
      <c r="C582" s="112"/>
      <c r="D582" s="112"/>
      <c r="E582" s="112"/>
      <c r="F582" s="112"/>
      <c r="G582" s="112"/>
      <c r="H582" s="112"/>
    </row>
    <row r="583" spans="3:8">
      <c r="C583" s="112"/>
      <c r="D583" s="112"/>
      <c r="E583" s="112"/>
      <c r="F583" s="112"/>
      <c r="G583" s="112"/>
      <c r="H583" s="112"/>
    </row>
    <row r="584" spans="3:8">
      <c r="C584" s="112"/>
      <c r="D584" s="112"/>
      <c r="E584" s="112"/>
      <c r="F584" s="112"/>
      <c r="G584" s="112"/>
      <c r="H584" s="112"/>
    </row>
    <row r="585" spans="3:8">
      <c r="C585" s="112"/>
      <c r="D585" s="112"/>
      <c r="E585" s="112"/>
      <c r="F585" s="112"/>
      <c r="G585" s="112"/>
      <c r="H585" s="112"/>
    </row>
    <row r="586" spans="3:8">
      <c r="C586" s="112"/>
      <c r="D586" s="112"/>
      <c r="E586" s="112"/>
      <c r="F586" s="112"/>
      <c r="G586" s="112"/>
      <c r="H586" s="112"/>
    </row>
    <row r="587" spans="3:8">
      <c r="C587" s="112"/>
      <c r="D587" s="112"/>
      <c r="E587" s="112"/>
      <c r="F587" s="112"/>
      <c r="G587" s="112"/>
      <c r="H587" s="112"/>
    </row>
    <row r="588" spans="3:8">
      <c r="C588" s="112"/>
      <c r="D588" s="112"/>
      <c r="E588" s="112"/>
      <c r="F588" s="112"/>
      <c r="G588" s="112"/>
      <c r="H588" s="112"/>
    </row>
    <row r="589" spans="3:8">
      <c r="C589" s="112"/>
      <c r="D589" s="112"/>
      <c r="E589" s="112"/>
      <c r="F589" s="112"/>
      <c r="G589" s="112"/>
      <c r="H589" s="112"/>
    </row>
    <row r="590" spans="3:8">
      <c r="C590" s="112"/>
      <c r="D590" s="112"/>
      <c r="E590" s="112"/>
      <c r="F590" s="112"/>
      <c r="G590" s="112"/>
      <c r="H590" s="112"/>
    </row>
    <row r="591" spans="3:8">
      <c r="C591" s="112"/>
      <c r="D591" s="112"/>
      <c r="E591" s="112"/>
      <c r="F591" s="112"/>
      <c r="G591" s="112"/>
      <c r="H591" s="112"/>
    </row>
    <row r="592" spans="3:8">
      <c r="C592" s="112"/>
      <c r="D592" s="112"/>
      <c r="E592" s="112"/>
      <c r="F592" s="112"/>
      <c r="G592" s="112"/>
      <c r="H592" s="112"/>
    </row>
    <row r="593" spans="3:8">
      <c r="C593" s="112"/>
      <c r="D593" s="112"/>
      <c r="E593" s="112"/>
      <c r="F593" s="112"/>
      <c r="G593" s="112"/>
      <c r="H593" s="112"/>
    </row>
    <row r="594" spans="3:8">
      <c r="C594" s="112"/>
      <c r="D594" s="112"/>
      <c r="E594" s="112"/>
      <c r="F594" s="112"/>
      <c r="G594" s="112"/>
      <c r="H594" s="112"/>
    </row>
    <row r="595" spans="3:8">
      <c r="C595" s="112"/>
      <c r="D595" s="112"/>
      <c r="E595" s="112"/>
      <c r="F595" s="112"/>
      <c r="G595" s="112"/>
      <c r="H595" s="112"/>
    </row>
    <row r="596" spans="3:8">
      <c r="C596" s="112"/>
      <c r="D596" s="112"/>
      <c r="E596" s="112"/>
      <c r="F596" s="112"/>
      <c r="G596" s="112"/>
      <c r="H596" s="112"/>
    </row>
    <row r="597" spans="3:8">
      <c r="C597" s="112"/>
      <c r="D597" s="112"/>
      <c r="E597" s="112"/>
      <c r="F597" s="112"/>
      <c r="G597" s="112"/>
      <c r="H597" s="112"/>
    </row>
    <row r="598" spans="3:8">
      <c r="C598" s="112"/>
      <c r="D598" s="112"/>
      <c r="E598" s="112"/>
      <c r="F598" s="112"/>
      <c r="G598" s="112"/>
      <c r="H598" s="112"/>
    </row>
    <row r="599" spans="3:8">
      <c r="C599" s="112"/>
      <c r="D599" s="112"/>
      <c r="E599" s="112"/>
      <c r="F599" s="112"/>
      <c r="G599" s="112"/>
      <c r="H599" s="112"/>
    </row>
    <row r="600" spans="3:8">
      <c r="C600" s="112"/>
      <c r="D600" s="112"/>
      <c r="E600" s="112"/>
      <c r="F600" s="112"/>
      <c r="G600" s="112"/>
      <c r="H600" s="112"/>
    </row>
    <row r="601" spans="3:8">
      <c r="C601" s="112"/>
      <c r="D601" s="112"/>
      <c r="E601" s="112"/>
      <c r="F601" s="112"/>
      <c r="G601" s="112"/>
      <c r="H601" s="112"/>
    </row>
    <row r="602" spans="3:8">
      <c r="C602" s="112"/>
      <c r="D602" s="112"/>
      <c r="E602" s="112"/>
      <c r="F602" s="112"/>
      <c r="G602" s="112"/>
      <c r="H602" s="112"/>
    </row>
    <row r="603" spans="3:8">
      <c r="C603" s="112"/>
      <c r="D603" s="112"/>
      <c r="E603" s="112"/>
      <c r="F603" s="112"/>
      <c r="G603" s="112"/>
      <c r="H603" s="112"/>
    </row>
    <row r="604" spans="3:8">
      <c r="C604" s="112"/>
      <c r="D604" s="112"/>
      <c r="E604" s="112"/>
      <c r="F604" s="112"/>
      <c r="G604" s="112"/>
      <c r="H604" s="112"/>
    </row>
    <row r="605" spans="3:8">
      <c r="C605" s="112"/>
      <c r="D605" s="112"/>
      <c r="E605" s="112"/>
      <c r="F605" s="112"/>
      <c r="G605" s="112"/>
      <c r="H605" s="112"/>
    </row>
    <row r="606" spans="3:8">
      <c r="C606" s="112"/>
      <c r="D606" s="112"/>
      <c r="E606" s="112"/>
      <c r="F606" s="112"/>
      <c r="G606" s="112"/>
      <c r="H606" s="112"/>
    </row>
    <row r="607" spans="3:8">
      <c r="C607" s="112"/>
      <c r="D607" s="112"/>
      <c r="E607" s="112"/>
      <c r="F607" s="112"/>
      <c r="G607" s="112"/>
      <c r="H607" s="112"/>
    </row>
    <row r="608" spans="3:8">
      <c r="C608" s="112"/>
      <c r="D608" s="112"/>
      <c r="E608" s="112"/>
      <c r="F608" s="112"/>
      <c r="G608" s="112"/>
      <c r="H608" s="112"/>
    </row>
    <row r="609" spans="3:8">
      <c r="C609" s="112"/>
      <c r="D609" s="112"/>
      <c r="E609" s="112"/>
      <c r="F609" s="112"/>
      <c r="G609" s="112"/>
      <c r="H609" s="112"/>
    </row>
    <row r="610" spans="3:8">
      <c r="C610" s="112"/>
      <c r="D610" s="112"/>
      <c r="E610" s="112"/>
      <c r="F610" s="112"/>
      <c r="G610" s="112"/>
      <c r="H610" s="112"/>
    </row>
    <row r="611" spans="3:8">
      <c r="C611" s="112"/>
      <c r="D611" s="112"/>
      <c r="E611" s="112"/>
      <c r="F611" s="112"/>
      <c r="G611" s="112"/>
      <c r="H611" s="112"/>
    </row>
    <row r="612" spans="3:8">
      <c r="C612" s="112"/>
      <c r="D612" s="112"/>
      <c r="E612" s="112"/>
      <c r="F612" s="112"/>
      <c r="G612" s="112"/>
      <c r="H612" s="112"/>
    </row>
    <row r="613" spans="3:8">
      <c r="C613" s="112"/>
      <c r="D613" s="112"/>
      <c r="E613" s="112"/>
      <c r="F613" s="112"/>
      <c r="G613" s="112"/>
      <c r="H613" s="112"/>
    </row>
    <row r="614" spans="3:8">
      <c r="C614" s="112"/>
      <c r="D614" s="112"/>
      <c r="E614" s="112"/>
      <c r="F614" s="112"/>
      <c r="G614" s="112"/>
      <c r="H614" s="112"/>
    </row>
    <row r="615" spans="3:8">
      <c r="C615" s="112"/>
      <c r="D615" s="112"/>
      <c r="E615" s="112"/>
      <c r="F615" s="112"/>
      <c r="G615" s="112"/>
      <c r="H615" s="112"/>
    </row>
    <row r="616" spans="3:8">
      <c r="C616" s="112"/>
      <c r="D616" s="112"/>
      <c r="E616" s="112"/>
      <c r="F616" s="112"/>
      <c r="G616" s="112"/>
      <c r="H616" s="112"/>
    </row>
    <row r="617" spans="3:8">
      <c r="C617" s="112"/>
      <c r="D617" s="112"/>
      <c r="E617" s="112"/>
      <c r="F617" s="112"/>
      <c r="G617" s="112"/>
      <c r="H617" s="112"/>
    </row>
    <row r="618" spans="3:8">
      <c r="C618" s="112"/>
      <c r="D618" s="112"/>
      <c r="E618" s="112"/>
      <c r="F618" s="112"/>
      <c r="G618" s="112"/>
      <c r="H618" s="112"/>
    </row>
    <row r="619" spans="3:8">
      <c r="C619" s="112"/>
      <c r="D619" s="112"/>
      <c r="E619" s="112"/>
      <c r="F619" s="112"/>
      <c r="G619" s="112"/>
      <c r="H619" s="112"/>
    </row>
    <row r="620" spans="3:8">
      <c r="C620" s="112"/>
      <c r="D620" s="112"/>
      <c r="E620" s="112"/>
      <c r="F620" s="112"/>
      <c r="G620" s="112"/>
      <c r="H620" s="112"/>
    </row>
    <row r="621" spans="3:8">
      <c r="C621" s="112"/>
      <c r="D621" s="112"/>
      <c r="E621" s="112"/>
      <c r="F621" s="112"/>
      <c r="G621" s="112"/>
      <c r="H621" s="112"/>
    </row>
    <row r="622" spans="3:8">
      <c r="C622" s="112"/>
      <c r="D622" s="112"/>
      <c r="E622" s="112"/>
      <c r="F622" s="112"/>
      <c r="G622" s="112"/>
      <c r="H622" s="112"/>
    </row>
    <row r="623" spans="3:8">
      <c r="C623" s="112"/>
      <c r="D623" s="112"/>
      <c r="E623" s="112"/>
      <c r="F623" s="112"/>
      <c r="G623" s="112"/>
      <c r="H623" s="112"/>
    </row>
    <row r="624" spans="3:8">
      <c r="C624" s="112"/>
      <c r="D624" s="112"/>
      <c r="E624" s="112"/>
      <c r="F624" s="112"/>
      <c r="G624" s="112"/>
      <c r="H624" s="112"/>
    </row>
    <row r="625" spans="3:8">
      <c r="C625" s="112"/>
      <c r="D625" s="112"/>
      <c r="E625" s="112"/>
      <c r="F625" s="112"/>
      <c r="G625" s="112"/>
      <c r="H625" s="112"/>
    </row>
    <row r="626" spans="3:8">
      <c r="C626" s="112"/>
      <c r="D626" s="112"/>
      <c r="E626" s="112"/>
      <c r="F626" s="112"/>
      <c r="G626" s="112"/>
      <c r="H626" s="112"/>
    </row>
    <row r="627" spans="3:8">
      <c r="C627" s="112"/>
      <c r="D627" s="112"/>
      <c r="E627" s="112"/>
      <c r="F627" s="112"/>
      <c r="G627" s="112"/>
      <c r="H627" s="112"/>
    </row>
    <row r="628" spans="3:8">
      <c r="C628" s="112"/>
      <c r="D628" s="112"/>
      <c r="E628" s="112"/>
      <c r="F628" s="112"/>
      <c r="G628" s="112"/>
      <c r="H628" s="112"/>
    </row>
    <row r="629" spans="3:8">
      <c r="C629" s="112"/>
      <c r="D629" s="112"/>
      <c r="E629" s="112"/>
      <c r="F629" s="112"/>
      <c r="G629" s="112"/>
      <c r="H629" s="112"/>
    </row>
    <row r="630" spans="3:8">
      <c r="C630" s="112"/>
      <c r="D630" s="112"/>
      <c r="E630" s="112"/>
      <c r="F630" s="112"/>
      <c r="G630" s="112"/>
      <c r="H630" s="112"/>
    </row>
    <row r="631" spans="3:8">
      <c r="C631" s="112"/>
      <c r="D631" s="112"/>
      <c r="E631" s="112"/>
      <c r="F631" s="112"/>
      <c r="G631" s="112"/>
      <c r="H631" s="112"/>
    </row>
    <row r="632" spans="3:8">
      <c r="C632" s="112"/>
      <c r="D632" s="112"/>
      <c r="E632" s="112"/>
      <c r="F632" s="112"/>
      <c r="G632" s="112"/>
      <c r="H632" s="112"/>
    </row>
    <row r="633" spans="3:8">
      <c r="C633" s="112"/>
      <c r="D633" s="112"/>
      <c r="E633" s="112"/>
      <c r="F633" s="112"/>
      <c r="G633" s="112"/>
      <c r="H633" s="112"/>
    </row>
    <row r="634" spans="3:8">
      <c r="C634" s="112"/>
      <c r="D634" s="112"/>
      <c r="E634" s="112"/>
      <c r="F634" s="112"/>
      <c r="G634" s="112"/>
      <c r="H634" s="112"/>
    </row>
    <row r="635" spans="3:8">
      <c r="C635" s="112"/>
      <c r="D635" s="112"/>
      <c r="E635" s="112"/>
      <c r="F635" s="112"/>
      <c r="G635" s="112"/>
      <c r="H635" s="112"/>
    </row>
    <row r="636" spans="3:8">
      <c r="C636" s="112"/>
      <c r="D636" s="112"/>
      <c r="E636" s="112"/>
      <c r="F636" s="112"/>
      <c r="G636" s="112"/>
      <c r="H636" s="112"/>
    </row>
    <row r="637" spans="3:8">
      <c r="C637" s="112"/>
      <c r="D637" s="112"/>
      <c r="E637" s="112"/>
      <c r="F637" s="112"/>
      <c r="G637" s="112"/>
      <c r="H637" s="112"/>
    </row>
    <row r="638" spans="3:8">
      <c r="C638" s="112"/>
      <c r="D638" s="112"/>
      <c r="E638" s="112"/>
      <c r="F638" s="112"/>
      <c r="G638" s="112"/>
      <c r="H638" s="112"/>
    </row>
    <row r="639" spans="3:8">
      <c r="C639" s="112"/>
      <c r="D639" s="112"/>
      <c r="E639" s="112"/>
      <c r="F639" s="112"/>
      <c r="G639" s="112"/>
      <c r="H639" s="112"/>
    </row>
    <row r="640" spans="3:8">
      <c r="C640" s="112"/>
      <c r="D640" s="112"/>
      <c r="E640" s="112"/>
      <c r="F640" s="112"/>
      <c r="G640" s="112"/>
      <c r="H640" s="112"/>
    </row>
    <row r="641" spans="3:8">
      <c r="C641" s="112"/>
      <c r="D641" s="112"/>
      <c r="E641" s="112"/>
      <c r="F641" s="112"/>
      <c r="G641" s="112"/>
      <c r="H641" s="112"/>
    </row>
    <row r="642" spans="3:8">
      <c r="C642" s="112"/>
      <c r="D642" s="112"/>
      <c r="E642" s="112"/>
      <c r="F642" s="112"/>
      <c r="G642" s="112"/>
      <c r="H642" s="112"/>
    </row>
    <row r="643" spans="3:8">
      <c r="C643" s="112"/>
      <c r="D643" s="112"/>
      <c r="E643" s="112"/>
      <c r="F643" s="112"/>
      <c r="G643" s="112"/>
      <c r="H643" s="112"/>
    </row>
    <row r="644" spans="3:8">
      <c r="C644" s="112"/>
      <c r="D644" s="112"/>
      <c r="E644" s="112"/>
      <c r="F644" s="112"/>
      <c r="G644" s="112"/>
      <c r="H644" s="112"/>
    </row>
    <row r="645" spans="3:8">
      <c r="C645" s="112"/>
      <c r="D645" s="112"/>
      <c r="E645" s="112"/>
      <c r="F645" s="112"/>
      <c r="G645" s="112"/>
      <c r="H645" s="112"/>
    </row>
    <row r="646" spans="3:8">
      <c r="C646" s="112"/>
      <c r="D646" s="112"/>
      <c r="E646" s="112"/>
      <c r="F646" s="112"/>
      <c r="G646" s="112"/>
      <c r="H646" s="112"/>
    </row>
    <row r="647" spans="3:8">
      <c r="C647" s="112"/>
      <c r="D647" s="112"/>
      <c r="E647" s="112"/>
      <c r="F647" s="112"/>
      <c r="G647" s="112"/>
      <c r="H647" s="112"/>
    </row>
    <row r="648" spans="3:8">
      <c r="C648" s="112"/>
      <c r="D648" s="112"/>
      <c r="E648" s="112"/>
      <c r="F648" s="112"/>
      <c r="G648" s="112"/>
      <c r="H648" s="112"/>
    </row>
    <row r="649" spans="3:8">
      <c r="C649" s="112"/>
      <c r="D649" s="112"/>
      <c r="E649" s="112"/>
      <c r="F649" s="112"/>
      <c r="G649" s="112"/>
      <c r="H649" s="112"/>
    </row>
    <row r="650" spans="3:8">
      <c r="C650" s="112"/>
      <c r="D650" s="112"/>
      <c r="E650" s="112"/>
      <c r="F650" s="112"/>
      <c r="G650" s="112"/>
      <c r="H650" s="112"/>
    </row>
    <row r="651" spans="3:8">
      <c r="C651" s="112"/>
      <c r="D651" s="112"/>
      <c r="E651" s="112"/>
      <c r="F651" s="112"/>
      <c r="G651" s="112"/>
      <c r="H651" s="112"/>
    </row>
    <row r="652" spans="3:8">
      <c r="C652" s="112"/>
      <c r="D652" s="112"/>
      <c r="E652" s="112"/>
      <c r="F652" s="112"/>
      <c r="G652" s="112"/>
      <c r="H652" s="112"/>
    </row>
    <row r="653" spans="3:8">
      <c r="C653" s="112"/>
      <c r="D653" s="112"/>
      <c r="E653" s="112"/>
      <c r="F653" s="112"/>
      <c r="G653" s="112"/>
      <c r="H653" s="112"/>
    </row>
    <row r="654" spans="3:8">
      <c r="C654" s="112"/>
      <c r="D654" s="112"/>
      <c r="E654" s="112"/>
      <c r="F654" s="112"/>
      <c r="G654" s="112"/>
      <c r="H654" s="112"/>
    </row>
    <row r="655" spans="3:8">
      <c r="C655" s="112"/>
      <c r="D655" s="112"/>
      <c r="E655" s="112"/>
      <c r="F655" s="112"/>
      <c r="G655" s="112"/>
      <c r="H655" s="112"/>
    </row>
    <row r="656" spans="3:8">
      <c r="C656" s="112"/>
      <c r="D656" s="112"/>
      <c r="E656" s="112"/>
      <c r="F656" s="112"/>
      <c r="G656" s="112"/>
      <c r="H656" s="112"/>
    </row>
    <row r="657" spans="3:8">
      <c r="C657" s="112"/>
      <c r="D657" s="112"/>
      <c r="E657" s="112"/>
      <c r="F657" s="112"/>
      <c r="G657" s="112"/>
      <c r="H657" s="112"/>
    </row>
    <row r="658" spans="3:8">
      <c r="C658" s="112"/>
      <c r="D658" s="112"/>
      <c r="E658" s="112"/>
      <c r="F658" s="112"/>
      <c r="G658" s="112"/>
      <c r="H658" s="112"/>
    </row>
    <row r="659" spans="3:8">
      <c r="C659" s="112"/>
      <c r="D659" s="112"/>
      <c r="E659" s="112"/>
      <c r="F659" s="112"/>
      <c r="G659" s="112"/>
      <c r="H659" s="112"/>
    </row>
    <row r="660" spans="3:8">
      <c r="C660" s="112"/>
      <c r="D660" s="112"/>
      <c r="E660" s="112"/>
      <c r="F660" s="112"/>
      <c r="G660" s="112"/>
      <c r="H660" s="112"/>
    </row>
    <row r="661" spans="3:8">
      <c r="C661" s="112"/>
      <c r="D661" s="112"/>
      <c r="E661" s="112"/>
      <c r="F661" s="112"/>
      <c r="G661" s="112"/>
      <c r="H661" s="112"/>
    </row>
    <row r="662" spans="3:8">
      <c r="C662" s="112"/>
      <c r="D662" s="112"/>
      <c r="E662" s="112"/>
      <c r="F662" s="112"/>
      <c r="G662" s="112"/>
      <c r="H662" s="112"/>
    </row>
    <row r="663" spans="3:8">
      <c r="C663" s="112"/>
      <c r="D663" s="112"/>
      <c r="E663" s="112"/>
      <c r="F663" s="112"/>
      <c r="G663" s="112"/>
      <c r="H663" s="112"/>
    </row>
    <row r="664" spans="3:8">
      <c r="C664" s="112"/>
      <c r="D664" s="112"/>
      <c r="E664" s="112"/>
      <c r="F664" s="112"/>
      <c r="G664" s="112"/>
      <c r="H664" s="112"/>
    </row>
    <row r="665" spans="3:8">
      <c r="C665" s="112"/>
      <c r="D665" s="112"/>
      <c r="E665" s="112"/>
      <c r="F665" s="112"/>
      <c r="G665" s="112"/>
      <c r="H665" s="112"/>
    </row>
    <row r="666" spans="3:8">
      <c r="C666" s="112"/>
      <c r="D666" s="112"/>
      <c r="E666" s="112"/>
      <c r="F666" s="112"/>
      <c r="G666" s="112"/>
      <c r="H666" s="112"/>
    </row>
    <row r="667" spans="3:8">
      <c r="C667" s="112"/>
      <c r="D667" s="112"/>
      <c r="E667" s="112"/>
      <c r="F667" s="112"/>
      <c r="G667" s="112"/>
      <c r="H667" s="112"/>
    </row>
    <row r="668" spans="3:8">
      <c r="C668" s="112"/>
      <c r="D668" s="112"/>
      <c r="E668" s="112"/>
      <c r="F668" s="112"/>
      <c r="G668" s="112"/>
      <c r="H668" s="112"/>
    </row>
    <row r="669" spans="3:8">
      <c r="C669" s="112"/>
      <c r="D669" s="112"/>
      <c r="E669" s="112"/>
      <c r="F669" s="112"/>
      <c r="G669" s="112"/>
      <c r="H669" s="112"/>
    </row>
    <row r="670" spans="3:8">
      <c r="C670" s="112"/>
      <c r="D670" s="112"/>
      <c r="E670" s="112"/>
      <c r="F670" s="112"/>
      <c r="G670" s="112"/>
      <c r="H670" s="112"/>
    </row>
    <row r="671" spans="3:8">
      <c r="C671" s="112"/>
      <c r="D671" s="112"/>
      <c r="E671" s="112"/>
      <c r="F671" s="112"/>
      <c r="G671" s="112"/>
      <c r="H671" s="112"/>
    </row>
    <row r="672" spans="3:8">
      <c r="C672" s="112"/>
      <c r="D672" s="112"/>
      <c r="E672" s="112"/>
      <c r="F672" s="112"/>
      <c r="G672" s="112"/>
      <c r="H672" s="112"/>
    </row>
    <row r="673" spans="3:8">
      <c r="C673" s="112"/>
      <c r="D673" s="112"/>
      <c r="E673" s="112"/>
      <c r="F673" s="112"/>
      <c r="G673" s="112"/>
      <c r="H673" s="112"/>
    </row>
    <row r="674" spans="3:8">
      <c r="C674" s="112"/>
      <c r="D674" s="112"/>
      <c r="E674" s="112"/>
      <c r="F674" s="112"/>
      <c r="G674" s="112"/>
      <c r="H674" s="112"/>
    </row>
    <row r="675" spans="3:8">
      <c r="C675" s="112"/>
      <c r="D675" s="112"/>
      <c r="E675" s="112"/>
      <c r="F675" s="112"/>
      <c r="G675" s="112"/>
      <c r="H675" s="112"/>
    </row>
    <row r="676" spans="3:8">
      <c r="C676" s="112"/>
      <c r="D676" s="112"/>
      <c r="E676" s="112"/>
      <c r="F676" s="112"/>
      <c r="G676" s="112"/>
      <c r="H676" s="112"/>
    </row>
    <row r="677" spans="3:8">
      <c r="C677" s="112"/>
      <c r="D677" s="112"/>
      <c r="E677" s="112"/>
      <c r="F677" s="112"/>
      <c r="G677" s="112"/>
      <c r="H677" s="112"/>
    </row>
    <row r="678" spans="3:8">
      <c r="C678" s="112"/>
      <c r="D678" s="112"/>
      <c r="E678" s="112"/>
      <c r="F678" s="112"/>
      <c r="G678" s="112"/>
      <c r="H678" s="112"/>
    </row>
    <row r="679" spans="3:8">
      <c r="C679" s="112"/>
      <c r="D679" s="112"/>
      <c r="E679" s="112"/>
      <c r="F679" s="112"/>
      <c r="G679" s="112"/>
      <c r="H679" s="112"/>
    </row>
    <row r="680" spans="3:8">
      <c r="C680" s="112"/>
      <c r="D680" s="112"/>
      <c r="E680" s="112"/>
      <c r="F680" s="112"/>
      <c r="G680" s="112"/>
      <c r="H680" s="112"/>
    </row>
    <row r="681" spans="3:8">
      <c r="C681" s="112"/>
      <c r="D681" s="112"/>
      <c r="E681" s="112"/>
      <c r="F681" s="112"/>
      <c r="G681" s="112"/>
      <c r="H681" s="112"/>
    </row>
    <row r="682" spans="3:8">
      <c r="C682" s="112"/>
      <c r="D682" s="112"/>
      <c r="E682" s="112"/>
      <c r="F682" s="112"/>
      <c r="G682" s="112"/>
      <c r="H682" s="112"/>
    </row>
    <row r="683" spans="3:8">
      <c r="C683" s="112"/>
      <c r="D683" s="112"/>
      <c r="E683" s="112"/>
      <c r="F683" s="112"/>
      <c r="G683" s="112"/>
      <c r="H683" s="112"/>
    </row>
    <row r="684" spans="3:8">
      <c r="C684" s="112"/>
      <c r="D684" s="112"/>
      <c r="E684" s="112"/>
      <c r="F684" s="112"/>
      <c r="G684" s="112"/>
      <c r="H684" s="112"/>
    </row>
    <row r="685" spans="3:8">
      <c r="C685" s="112"/>
      <c r="D685" s="112"/>
      <c r="E685" s="112"/>
      <c r="F685" s="112"/>
      <c r="G685" s="112"/>
      <c r="H685" s="112"/>
    </row>
    <row r="686" spans="3:8">
      <c r="C686" s="112"/>
      <c r="D686" s="112"/>
      <c r="E686" s="112"/>
      <c r="F686" s="112"/>
      <c r="G686" s="112"/>
      <c r="H686" s="112"/>
    </row>
    <row r="687" spans="3:8">
      <c r="C687" s="112"/>
      <c r="D687" s="112"/>
      <c r="E687" s="112"/>
      <c r="F687" s="112"/>
      <c r="G687" s="112"/>
      <c r="H687" s="112"/>
    </row>
    <row r="688" spans="3:8">
      <c r="C688" s="112"/>
      <c r="D688" s="112"/>
      <c r="E688" s="112"/>
      <c r="F688" s="112"/>
      <c r="G688" s="112"/>
      <c r="H688" s="112"/>
    </row>
    <row r="689" spans="3:8">
      <c r="C689" s="112"/>
      <c r="D689" s="112"/>
      <c r="E689" s="112"/>
      <c r="F689" s="112"/>
      <c r="G689" s="112"/>
      <c r="H689" s="112"/>
    </row>
    <row r="690" spans="3:8">
      <c r="C690" s="112"/>
      <c r="D690" s="112"/>
      <c r="E690" s="112"/>
      <c r="F690" s="112"/>
      <c r="G690" s="112"/>
      <c r="H690" s="112"/>
    </row>
    <row r="691" spans="3:8">
      <c r="C691" s="112"/>
      <c r="D691" s="112"/>
      <c r="E691" s="112"/>
      <c r="F691" s="112"/>
      <c r="G691" s="112"/>
      <c r="H691" s="112"/>
    </row>
    <row r="692" spans="3:8">
      <c r="C692" s="112"/>
      <c r="D692" s="112"/>
      <c r="E692" s="112"/>
      <c r="F692" s="112"/>
      <c r="G692" s="112"/>
      <c r="H692" s="112"/>
    </row>
    <row r="693" spans="3:8">
      <c r="C693" s="112"/>
      <c r="D693" s="112"/>
      <c r="E693" s="112"/>
      <c r="F693" s="112"/>
      <c r="G693" s="112"/>
      <c r="H693" s="112"/>
    </row>
    <row r="694" spans="3:8">
      <c r="C694" s="112"/>
      <c r="D694" s="112"/>
      <c r="E694" s="112"/>
      <c r="F694" s="112"/>
      <c r="G694" s="112"/>
      <c r="H694" s="112"/>
    </row>
    <row r="695" spans="3:8">
      <c r="C695" s="112"/>
      <c r="D695" s="112"/>
      <c r="E695" s="112"/>
      <c r="F695" s="112"/>
      <c r="G695" s="112"/>
      <c r="H695" s="112"/>
    </row>
    <row r="696" spans="3:8">
      <c r="C696" s="112"/>
      <c r="D696" s="112"/>
      <c r="E696" s="112"/>
      <c r="F696" s="112"/>
      <c r="G696" s="112"/>
      <c r="H696" s="112"/>
    </row>
    <row r="697" spans="3:8">
      <c r="C697" s="112"/>
      <c r="D697" s="112"/>
      <c r="E697" s="112"/>
      <c r="F697" s="112"/>
      <c r="G697" s="112"/>
      <c r="H697" s="112"/>
    </row>
    <row r="698" spans="3:8">
      <c r="C698" s="112"/>
      <c r="D698" s="112"/>
      <c r="E698" s="112"/>
      <c r="F698" s="112"/>
      <c r="G698" s="112"/>
      <c r="H698" s="112"/>
    </row>
    <row r="699" spans="3:8">
      <c r="C699" s="112"/>
      <c r="D699" s="112"/>
      <c r="E699" s="112"/>
      <c r="F699" s="112"/>
      <c r="G699" s="112"/>
      <c r="H699" s="112"/>
    </row>
    <row r="700" spans="3:8">
      <c r="C700" s="112"/>
      <c r="D700" s="112"/>
      <c r="E700" s="112"/>
      <c r="F700" s="112"/>
      <c r="G700" s="112"/>
      <c r="H700" s="112"/>
    </row>
    <row r="701" spans="3:8">
      <c r="C701" s="112"/>
      <c r="D701" s="112"/>
      <c r="E701" s="112"/>
      <c r="F701" s="112"/>
      <c r="G701" s="112"/>
      <c r="H701" s="112"/>
    </row>
    <row r="702" spans="3:8">
      <c r="C702" s="112"/>
      <c r="D702" s="112"/>
      <c r="E702" s="112"/>
      <c r="F702" s="112"/>
      <c r="G702" s="112"/>
      <c r="H702" s="112"/>
    </row>
    <row r="703" spans="3:8">
      <c r="C703" s="112"/>
      <c r="D703" s="112"/>
      <c r="E703" s="112"/>
      <c r="F703" s="112"/>
      <c r="G703" s="112"/>
      <c r="H703" s="112"/>
    </row>
    <row r="704" spans="3:8">
      <c r="C704" s="112"/>
      <c r="D704" s="112"/>
      <c r="E704" s="112"/>
      <c r="F704" s="112"/>
      <c r="G704" s="112"/>
      <c r="H704" s="112"/>
    </row>
    <row r="705" spans="3:8">
      <c r="C705" s="112"/>
      <c r="D705" s="112"/>
      <c r="E705" s="112"/>
      <c r="F705" s="112"/>
      <c r="G705" s="112"/>
      <c r="H705" s="112"/>
    </row>
    <row r="706" spans="3:8">
      <c r="C706" s="112"/>
      <c r="D706" s="112"/>
      <c r="E706" s="112"/>
      <c r="F706" s="112"/>
      <c r="G706" s="112"/>
      <c r="H706" s="112"/>
    </row>
    <row r="707" spans="3:8">
      <c r="C707" s="112"/>
      <c r="D707" s="112"/>
      <c r="E707" s="112"/>
      <c r="F707" s="112"/>
      <c r="G707" s="112"/>
      <c r="H707" s="112"/>
    </row>
    <row r="708" spans="3:8">
      <c r="C708" s="112"/>
      <c r="D708" s="112"/>
      <c r="E708" s="112"/>
      <c r="F708" s="112"/>
      <c r="G708" s="112"/>
      <c r="H708" s="112"/>
    </row>
    <row r="709" spans="3:8">
      <c r="C709" s="112"/>
      <c r="D709" s="112"/>
      <c r="E709" s="112"/>
      <c r="F709" s="112"/>
      <c r="G709" s="112"/>
      <c r="H709" s="112"/>
    </row>
    <row r="710" spans="3:8">
      <c r="C710" s="112"/>
      <c r="D710" s="112"/>
      <c r="E710" s="112"/>
      <c r="F710" s="112"/>
      <c r="G710" s="112"/>
      <c r="H710" s="112"/>
    </row>
    <row r="711" spans="3:8">
      <c r="C711" s="112"/>
      <c r="D711" s="112"/>
      <c r="E711" s="112"/>
      <c r="F711" s="112"/>
      <c r="G711" s="112"/>
      <c r="H711" s="112"/>
    </row>
    <row r="712" spans="3:8">
      <c r="C712" s="112"/>
      <c r="D712" s="112"/>
      <c r="E712" s="112"/>
      <c r="F712" s="112"/>
      <c r="G712" s="112"/>
      <c r="H712" s="112"/>
    </row>
    <row r="713" spans="3:8">
      <c r="C713" s="112"/>
      <c r="D713" s="112"/>
      <c r="E713" s="112"/>
      <c r="F713" s="112"/>
      <c r="G713" s="112"/>
      <c r="H713" s="112"/>
    </row>
    <row r="714" spans="3:8">
      <c r="C714" s="112"/>
      <c r="D714" s="112"/>
      <c r="E714" s="112"/>
      <c r="F714" s="112"/>
      <c r="G714" s="112"/>
      <c r="H714" s="112"/>
    </row>
    <row r="715" spans="3:8">
      <c r="C715" s="112"/>
      <c r="D715" s="112"/>
      <c r="E715" s="112"/>
      <c r="F715" s="112"/>
      <c r="G715" s="112"/>
      <c r="H715" s="112"/>
    </row>
    <row r="716" spans="3:8">
      <c r="C716" s="112"/>
      <c r="D716" s="112"/>
      <c r="E716" s="112"/>
      <c r="F716" s="112"/>
      <c r="G716" s="112"/>
      <c r="H716" s="112"/>
    </row>
    <row r="717" spans="3:8">
      <c r="C717" s="112"/>
      <c r="D717" s="112"/>
      <c r="E717" s="112"/>
      <c r="F717" s="112"/>
      <c r="G717" s="112"/>
      <c r="H717" s="112"/>
    </row>
    <row r="718" spans="3:8">
      <c r="C718" s="112"/>
      <c r="D718" s="112"/>
      <c r="E718" s="112"/>
      <c r="F718" s="112"/>
      <c r="G718" s="112"/>
      <c r="H718" s="112"/>
    </row>
    <row r="719" spans="3:8">
      <c r="C719" s="112"/>
      <c r="D719" s="112"/>
      <c r="E719" s="112"/>
      <c r="F719" s="112"/>
      <c r="G719" s="112"/>
      <c r="H719" s="112"/>
    </row>
    <row r="720" spans="3:8">
      <c r="C720" s="112"/>
      <c r="D720" s="112"/>
      <c r="E720" s="112"/>
      <c r="F720" s="112"/>
      <c r="G720" s="112"/>
      <c r="H720" s="112"/>
    </row>
    <row r="721" spans="3:8">
      <c r="C721" s="112"/>
      <c r="D721" s="112"/>
      <c r="E721" s="112"/>
      <c r="F721" s="112"/>
      <c r="G721" s="112"/>
      <c r="H721" s="112"/>
    </row>
    <row r="722" spans="3:8">
      <c r="C722" s="112"/>
      <c r="D722" s="112"/>
      <c r="E722" s="112"/>
      <c r="F722" s="112"/>
      <c r="G722" s="112"/>
      <c r="H722" s="112"/>
    </row>
    <row r="723" spans="3:8">
      <c r="C723" s="112"/>
      <c r="D723" s="112"/>
      <c r="E723" s="112"/>
      <c r="F723" s="112"/>
      <c r="G723" s="112"/>
      <c r="H723" s="112"/>
    </row>
    <row r="724" spans="3:8">
      <c r="C724" s="112"/>
      <c r="D724" s="112"/>
      <c r="E724" s="112"/>
      <c r="F724" s="112"/>
      <c r="G724" s="112"/>
      <c r="H724" s="112"/>
    </row>
    <row r="725" spans="3:8">
      <c r="C725" s="112"/>
      <c r="D725" s="112"/>
      <c r="E725" s="112"/>
      <c r="F725" s="112"/>
      <c r="G725" s="112"/>
      <c r="H725" s="112"/>
    </row>
    <row r="726" spans="3:8">
      <c r="C726" s="112"/>
      <c r="D726" s="112"/>
      <c r="E726" s="112"/>
      <c r="F726" s="112"/>
      <c r="G726" s="112"/>
      <c r="H726" s="112"/>
    </row>
    <row r="727" spans="3:8">
      <c r="C727" s="112"/>
      <c r="D727" s="112"/>
      <c r="E727" s="112"/>
      <c r="F727" s="112"/>
      <c r="G727" s="112"/>
      <c r="H727" s="112"/>
    </row>
    <row r="728" spans="3:8">
      <c r="C728" s="112"/>
      <c r="D728" s="112"/>
      <c r="E728" s="112"/>
      <c r="F728" s="112"/>
      <c r="G728" s="112"/>
      <c r="H728" s="112"/>
    </row>
    <row r="729" spans="3:8">
      <c r="C729" s="112"/>
      <c r="D729" s="112"/>
      <c r="E729" s="112"/>
      <c r="F729" s="112"/>
      <c r="G729" s="112"/>
      <c r="H729" s="112"/>
    </row>
    <row r="730" spans="3:8">
      <c r="C730" s="112"/>
      <c r="D730" s="112"/>
      <c r="E730" s="112"/>
      <c r="F730" s="112"/>
      <c r="G730" s="112"/>
      <c r="H730" s="112"/>
    </row>
    <row r="731" spans="3:8">
      <c r="C731" s="112"/>
      <c r="D731" s="112"/>
      <c r="E731" s="112"/>
      <c r="F731" s="112"/>
      <c r="G731" s="112"/>
      <c r="H731" s="112"/>
    </row>
    <row r="732" spans="3:8">
      <c r="C732" s="112"/>
      <c r="D732" s="112"/>
      <c r="E732" s="112"/>
      <c r="F732" s="112"/>
      <c r="G732" s="112"/>
      <c r="H732" s="112"/>
    </row>
    <row r="733" spans="3:8">
      <c r="C733" s="112"/>
      <c r="D733" s="112"/>
      <c r="E733" s="112"/>
      <c r="F733" s="112"/>
      <c r="G733" s="112"/>
      <c r="H733" s="112"/>
    </row>
    <row r="734" spans="3:8">
      <c r="C734" s="112"/>
      <c r="D734" s="112"/>
      <c r="E734" s="112"/>
      <c r="F734" s="112"/>
      <c r="G734" s="112"/>
      <c r="H734" s="112"/>
    </row>
    <row r="735" spans="3:8">
      <c r="C735" s="112"/>
      <c r="D735" s="112"/>
      <c r="E735" s="112"/>
      <c r="F735" s="112"/>
      <c r="G735" s="112"/>
      <c r="H735" s="112"/>
    </row>
    <row r="736" spans="3:8">
      <c r="C736" s="112"/>
      <c r="D736" s="112"/>
      <c r="E736" s="112"/>
      <c r="F736" s="112"/>
      <c r="G736" s="112"/>
      <c r="H736" s="112"/>
    </row>
    <row r="737" spans="3:8">
      <c r="C737" s="112"/>
      <c r="D737" s="112"/>
      <c r="E737" s="112"/>
      <c r="F737" s="112"/>
      <c r="G737" s="112"/>
      <c r="H737" s="112"/>
    </row>
    <row r="738" spans="3:8">
      <c r="C738" s="112"/>
      <c r="D738" s="112"/>
      <c r="E738" s="112"/>
      <c r="F738" s="112"/>
      <c r="G738" s="112"/>
      <c r="H738" s="112"/>
    </row>
    <row r="739" spans="3:8">
      <c r="C739" s="112"/>
      <c r="D739" s="112"/>
      <c r="E739" s="112"/>
      <c r="F739" s="112"/>
      <c r="G739" s="112"/>
      <c r="H739" s="112"/>
    </row>
    <row r="740" spans="3:8">
      <c r="C740" s="112"/>
      <c r="D740" s="112"/>
      <c r="E740" s="112"/>
      <c r="F740" s="112"/>
      <c r="G740" s="112"/>
      <c r="H740" s="112"/>
    </row>
    <row r="741" spans="3:8">
      <c r="C741" s="112"/>
      <c r="D741" s="112"/>
      <c r="E741" s="112"/>
      <c r="F741" s="112"/>
      <c r="G741" s="112"/>
      <c r="H741" s="112"/>
    </row>
    <row r="742" spans="3:8">
      <c r="C742" s="112"/>
      <c r="D742" s="112"/>
      <c r="E742" s="112"/>
      <c r="F742" s="112"/>
      <c r="G742" s="112"/>
      <c r="H742" s="112"/>
    </row>
    <row r="743" spans="3:8">
      <c r="C743" s="112"/>
      <c r="D743" s="112"/>
      <c r="E743" s="112"/>
      <c r="F743" s="112"/>
      <c r="G743" s="112"/>
      <c r="H743" s="112"/>
    </row>
    <row r="744" spans="3:8">
      <c r="C744" s="112"/>
      <c r="D744" s="112"/>
      <c r="E744" s="112"/>
      <c r="F744" s="112"/>
      <c r="G744" s="112"/>
      <c r="H744" s="112"/>
    </row>
    <row r="745" spans="3:8">
      <c r="C745" s="112"/>
      <c r="D745" s="112"/>
      <c r="E745" s="112"/>
      <c r="F745" s="112"/>
      <c r="G745" s="112"/>
      <c r="H745" s="112"/>
    </row>
    <row r="746" spans="3:8">
      <c r="C746" s="112"/>
      <c r="D746" s="112"/>
      <c r="E746" s="112"/>
      <c r="F746" s="112"/>
      <c r="G746" s="112"/>
      <c r="H746" s="112"/>
    </row>
    <row r="747" spans="3:8">
      <c r="C747" s="112"/>
      <c r="D747" s="112"/>
      <c r="E747" s="112"/>
      <c r="F747" s="112"/>
      <c r="G747" s="112"/>
      <c r="H747" s="112"/>
    </row>
    <row r="748" spans="3:8">
      <c r="C748" s="112"/>
      <c r="D748" s="112"/>
      <c r="E748" s="112"/>
      <c r="F748" s="112"/>
      <c r="G748" s="112"/>
      <c r="H748" s="112"/>
    </row>
    <row r="749" spans="3:8">
      <c r="C749" s="112"/>
      <c r="D749" s="112"/>
      <c r="E749" s="112"/>
      <c r="F749" s="112"/>
      <c r="G749" s="112"/>
      <c r="H749" s="112"/>
    </row>
    <row r="750" spans="3:8">
      <c r="C750" s="112"/>
      <c r="D750" s="112"/>
      <c r="E750" s="112"/>
      <c r="F750" s="112"/>
      <c r="G750" s="112"/>
      <c r="H750" s="112"/>
    </row>
    <row r="751" spans="3:8">
      <c r="C751" s="112"/>
      <c r="D751" s="112"/>
      <c r="E751" s="112"/>
      <c r="F751" s="112"/>
      <c r="G751" s="112"/>
      <c r="H751" s="112"/>
    </row>
    <row r="752" spans="3:8">
      <c r="C752" s="112"/>
      <c r="D752" s="112"/>
      <c r="E752" s="112"/>
      <c r="F752" s="112"/>
      <c r="G752" s="112"/>
      <c r="H752" s="112"/>
    </row>
    <row r="753" spans="3:8">
      <c r="C753" s="112"/>
      <c r="D753" s="112"/>
      <c r="E753" s="112"/>
      <c r="F753" s="112"/>
      <c r="G753" s="112"/>
      <c r="H753" s="112"/>
    </row>
    <row r="754" spans="3:8">
      <c r="C754" s="112"/>
      <c r="D754" s="112"/>
      <c r="E754" s="112"/>
      <c r="F754" s="112"/>
      <c r="G754" s="112"/>
      <c r="H754" s="112"/>
    </row>
    <row r="755" spans="3:8">
      <c r="C755" s="112"/>
      <c r="D755" s="112"/>
      <c r="E755" s="112"/>
      <c r="F755" s="112"/>
      <c r="G755" s="112"/>
      <c r="H755" s="112"/>
    </row>
    <row r="756" spans="3:8">
      <c r="C756" s="112"/>
      <c r="D756" s="112"/>
      <c r="E756" s="112"/>
      <c r="F756" s="112"/>
      <c r="G756" s="112"/>
      <c r="H756" s="112"/>
    </row>
    <row r="757" spans="3:8">
      <c r="C757" s="112"/>
      <c r="D757" s="112"/>
      <c r="E757" s="112"/>
      <c r="F757" s="112"/>
      <c r="G757" s="112"/>
      <c r="H757" s="112"/>
    </row>
    <row r="758" spans="3:8">
      <c r="C758" s="112"/>
      <c r="D758" s="112"/>
      <c r="E758" s="112"/>
      <c r="F758" s="112"/>
      <c r="G758" s="112"/>
      <c r="H758" s="112"/>
    </row>
    <row r="759" spans="3:8">
      <c r="C759" s="112"/>
      <c r="D759" s="112"/>
      <c r="E759" s="112"/>
      <c r="F759" s="112"/>
      <c r="G759" s="112"/>
      <c r="H759" s="112"/>
    </row>
    <row r="760" spans="3:8">
      <c r="C760" s="112"/>
      <c r="D760" s="112"/>
      <c r="E760" s="112"/>
      <c r="F760" s="112"/>
      <c r="G760" s="112"/>
      <c r="H760" s="112"/>
    </row>
    <row r="761" spans="3:8">
      <c r="C761" s="112"/>
      <c r="D761" s="112"/>
      <c r="E761" s="112"/>
      <c r="F761" s="112"/>
      <c r="G761" s="112"/>
      <c r="H761" s="112"/>
    </row>
    <row r="762" spans="3:8">
      <c r="C762" s="112"/>
      <c r="D762" s="112"/>
      <c r="E762" s="112"/>
      <c r="F762" s="112"/>
      <c r="G762" s="112"/>
      <c r="H762" s="112"/>
    </row>
    <row r="763" spans="3:8">
      <c r="C763" s="112"/>
      <c r="D763" s="112"/>
      <c r="E763" s="112"/>
      <c r="F763" s="112"/>
      <c r="G763" s="112"/>
      <c r="H763" s="112"/>
    </row>
    <row r="764" spans="3:8">
      <c r="C764" s="112"/>
      <c r="D764" s="112"/>
      <c r="E764" s="112"/>
      <c r="F764" s="112"/>
      <c r="G764" s="112"/>
      <c r="H764" s="112"/>
    </row>
    <row r="765" spans="3:8">
      <c r="C765" s="112"/>
      <c r="D765" s="112"/>
      <c r="E765" s="112"/>
      <c r="F765" s="112"/>
      <c r="G765" s="112"/>
      <c r="H765" s="112"/>
    </row>
    <row r="766" spans="3:8">
      <c r="C766" s="112"/>
      <c r="D766" s="112"/>
      <c r="E766" s="112"/>
      <c r="F766" s="112"/>
      <c r="G766" s="112"/>
      <c r="H766" s="112"/>
    </row>
    <row r="767" spans="3:8">
      <c r="C767" s="112"/>
      <c r="D767" s="112"/>
      <c r="E767" s="112"/>
      <c r="F767" s="112"/>
      <c r="G767" s="112"/>
      <c r="H767" s="112"/>
    </row>
    <row r="768" spans="3:8">
      <c r="C768" s="112"/>
      <c r="D768" s="112"/>
      <c r="E768" s="112"/>
      <c r="F768" s="112"/>
      <c r="G768" s="112"/>
      <c r="H768" s="112"/>
    </row>
    <row r="769" spans="3:8">
      <c r="C769" s="112"/>
      <c r="D769" s="112"/>
      <c r="E769" s="112"/>
      <c r="F769" s="112"/>
      <c r="G769" s="112"/>
      <c r="H769" s="112"/>
    </row>
    <row r="770" spans="3:8">
      <c r="C770" s="112"/>
      <c r="D770" s="112"/>
      <c r="E770" s="112"/>
      <c r="F770" s="112"/>
      <c r="G770" s="112"/>
      <c r="H770" s="112"/>
    </row>
    <row r="771" spans="3:8">
      <c r="C771" s="112"/>
      <c r="D771" s="112"/>
      <c r="E771" s="112"/>
      <c r="F771" s="112"/>
      <c r="G771" s="112"/>
      <c r="H771" s="112"/>
    </row>
    <row r="772" spans="3:8">
      <c r="C772" s="112"/>
      <c r="D772" s="112"/>
      <c r="E772" s="112"/>
      <c r="F772" s="112"/>
      <c r="G772" s="112"/>
      <c r="H772" s="112"/>
    </row>
    <row r="773" spans="3:8">
      <c r="C773" s="112"/>
      <c r="D773" s="112"/>
      <c r="E773" s="112"/>
      <c r="F773" s="112"/>
      <c r="G773" s="112"/>
      <c r="H773" s="112"/>
    </row>
    <row r="774" spans="3:8">
      <c r="C774" s="112"/>
      <c r="D774" s="112"/>
      <c r="E774" s="112"/>
      <c r="F774" s="112"/>
      <c r="G774" s="112"/>
      <c r="H774" s="112"/>
    </row>
    <row r="775" spans="3:8">
      <c r="C775" s="112"/>
      <c r="D775" s="112"/>
      <c r="E775" s="112"/>
      <c r="F775" s="112"/>
      <c r="G775" s="112"/>
      <c r="H775" s="112"/>
    </row>
    <row r="776" spans="3:8">
      <c r="C776" s="112"/>
      <c r="D776" s="112"/>
      <c r="E776" s="112"/>
      <c r="F776" s="112"/>
      <c r="G776" s="112"/>
      <c r="H776" s="112"/>
    </row>
    <row r="777" spans="3:8">
      <c r="C777" s="112"/>
      <c r="D777" s="112"/>
      <c r="E777" s="112"/>
      <c r="F777" s="112"/>
      <c r="G777" s="112"/>
      <c r="H777" s="112"/>
    </row>
    <row r="778" spans="3:8">
      <c r="C778" s="112"/>
      <c r="D778" s="112"/>
      <c r="E778" s="112"/>
      <c r="F778" s="112"/>
      <c r="G778" s="112"/>
      <c r="H778" s="112"/>
    </row>
    <row r="779" spans="3:8">
      <c r="C779" s="112"/>
      <c r="D779" s="112"/>
      <c r="E779" s="112"/>
      <c r="F779" s="112"/>
      <c r="G779" s="112"/>
      <c r="H779" s="112"/>
    </row>
    <row r="780" spans="3:8">
      <c r="C780" s="112"/>
      <c r="D780" s="112"/>
      <c r="E780" s="112"/>
      <c r="F780" s="112"/>
      <c r="G780" s="112"/>
      <c r="H780" s="112"/>
    </row>
    <row r="781" spans="3:8">
      <c r="C781" s="112"/>
      <c r="D781" s="112"/>
      <c r="E781" s="112"/>
      <c r="F781" s="112"/>
      <c r="G781" s="112"/>
      <c r="H781" s="112"/>
    </row>
    <row r="782" spans="3:8">
      <c r="C782" s="112"/>
      <c r="D782" s="112"/>
      <c r="E782" s="112"/>
      <c r="F782" s="112"/>
      <c r="G782" s="112"/>
      <c r="H782" s="112"/>
    </row>
    <row r="783" spans="3:8">
      <c r="C783" s="112"/>
      <c r="D783" s="112"/>
      <c r="E783" s="112"/>
      <c r="F783" s="112"/>
      <c r="G783" s="112"/>
      <c r="H783" s="112"/>
    </row>
    <row r="784" spans="3:8">
      <c r="C784" s="112"/>
      <c r="D784" s="112"/>
      <c r="E784" s="112"/>
      <c r="F784" s="112"/>
      <c r="G784" s="112"/>
      <c r="H784" s="112"/>
    </row>
    <row r="785" spans="3:8">
      <c r="C785" s="112"/>
      <c r="D785" s="112"/>
      <c r="E785" s="112"/>
      <c r="F785" s="112"/>
      <c r="G785" s="112"/>
      <c r="H785" s="112"/>
    </row>
    <row r="786" spans="3:8">
      <c r="C786" s="112"/>
      <c r="D786" s="112"/>
      <c r="E786" s="112"/>
      <c r="F786" s="112"/>
      <c r="G786" s="112"/>
      <c r="H786" s="112"/>
    </row>
    <row r="787" spans="3:8">
      <c r="C787" s="112"/>
      <c r="D787" s="112"/>
      <c r="E787" s="112"/>
      <c r="F787" s="112"/>
      <c r="G787" s="112"/>
      <c r="H787" s="112"/>
    </row>
    <row r="788" spans="3:8">
      <c r="C788" s="112"/>
      <c r="D788" s="112"/>
      <c r="E788" s="112"/>
      <c r="F788" s="112"/>
      <c r="G788" s="112"/>
      <c r="H788" s="112"/>
    </row>
    <row r="789" spans="3:8">
      <c r="C789" s="112"/>
      <c r="D789" s="112"/>
      <c r="E789" s="112"/>
      <c r="F789" s="112"/>
      <c r="G789" s="112"/>
      <c r="H789" s="112"/>
    </row>
    <row r="790" spans="3:8">
      <c r="C790" s="112"/>
      <c r="D790" s="112"/>
      <c r="E790" s="112"/>
      <c r="F790" s="112"/>
      <c r="G790" s="112"/>
      <c r="H790" s="112"/>
    </row>
    <row r="791" spans="3:8">
      <c r="C791" s="112"/>
      <c r="D791" s="112"/>
      <c r="E791" s="112"/>
      <c r="F791" s="112"/>
      <c r="G791" s="112"/>
      <c r="H791" s="112"/>
    </row>
    <row r="792" spans="3:8">
      <c r="C792" s="112"/>
      <c r="D792" s="112"/>
      <c r="E792" s="112"/>
      <c r="F792" s="112"/>
      <c r="G792" s="112"/>
      <c r="H792" s="112"/>
    </row>
    <row r="793" spans="3:8">
      <c r="C793" s="112"/>
      <c r="D793" s="112"/>
      <c r="E793" s="112"/>
      <c r="F793" s="112"/>
      <c r="G793" s="112"/>
      <c r="H793" s="112"/>
    </row>
    <row r="794" spans="3:8">
      <c r="C794" s="112"/>
      <c r="D794" s="112"/>
      <c r="E794" s="112"/>
      <c r="F794" s="112"/>
      <c r="G794" s="112"/>
      <c r="H794" s="112"/>
    </row>
    <row r="795" spans="3:8">
      <c r="C795" s="112"/>
      <c r="D795" s="112"/>
      <c r="E795" s="112"/>
      <c r="F795" s="112"/>
      <c r="G795" s="112"/>
      <c r="H795" s="112"/>
    </row>
    <row r="796" spans="3:8">
      <c r="C796" s="112"/>
      <c r="D796" s="112"/>
      <c r="E796" s="112"/>
      <c r="F796" s="112"/>
      <c r="G796" s="112"/>
      <c r="H796" s="112"/>
    </row>
    <row r="797" spans="3:8">
      <c r="C797" s="112"/>
      <c r="D797" s="112"/>
      <c r="E797" s="112"/>
      <c r="F797" s="112"/>
      <c r="G797" s="112"/>
      <c r="H797" s="112"/>
    </row>
    <row r="798" spans="3:8">
      <c r="C798" s="112"/>
      <c r="D798" s="112"/>
      <c r="E798" s="112"/>
      <c r="F798" s="112"/>
      <c r="G798" s="112"/>
      <c r="H798" s="112"/>
    </row>
    <row r="799" spans="3:8">
      <c r="C799" s="112"/>
      <c r="D799" s="112"/>
      <c r="E799" s="112"/>
      <c r="F799" s="112"/>
      <c r="G799" s="112"/>
      <c r="H799" s="112"/>
    </row>
    <row r="800" spans="3:8">
      <c r="C800" s="112"/>
      <c r="D800" s="112"/>
      <c r="E800" s="112"/>
      <c r="F800" s="112"/>
      <c r="G800" s="112"/>
      <c r="H800" s="112"/>
    </row>
    <row r="801" spans="3:8">
      <c r="C801" s="112"/>
      <c r="D801" s="112"/>
      <c r="E801" s="112"/>
      <c r="F801" s="112"/>
      <c r="G801" s="112"/>
      <c r="H801" s="112"/>
    </row>
    <row r="802" spans="3:8">
      <c r="C802" s="112"/>
      <c r="D802" s="112"/>
      <c r="E802" s="112"/>
      <c r="F802" s="112"/>
      <c r="G802" s="112"/>
      <c r="H802" s="112"/>
    </row>
    <row r="803" spans="3:8">
      <c r="C803" s="112"/>
      <c r="D803" s="112"/>
      <c r="E803" s="112"/>
      <c r="F803" s="112"/>
      <c r="G803" s="112"/>
      <c r="H803" s="112"/>
    </row>
    <row r="804" spans="3:8">
      <c r="C804" s="112"/>
      <c r="D804" s="112"/>
      <c r="E804" s="112"/>
      <c r="F804" s="112"/>
      <c r="G804" s="112"/>
      <c r="H804" s="112"/>
    </row>
    <row r="805" spans="3:8">
      <c r="C805" s="112"/>
      <c r="D805" s="112"/>
      <c r="E805" s="112"/>
      <c r="F805" s="112"/>
      <c r="G805" s="112"/>
      <c r="H805" s="112"/>
    </row>
    <row r="806" spans="3:8">
      <c r="C806" s="112"/>
      <c r="D806" s="112"/>
      <c r="E806" s="112"/>
      <c r="F806" s="112"/>
      <c r="G806" s="112"/>
      <c r="H806" s="112"/>
    </row>
    <row r="807" spans="3:8">
      <c r="C807" s="112"/>
      <c r="D807" s="112"/>
      <c r="E807" s="112"/>
      <c r="F807" s="112"/>
      <c r="G807" s="112"/>
      <c r="H807" s="112"/>
    </row>
    <row r="808" spans="3:8">
      <c r="C808" s="112"/>
      <c r="D808" s="112"/>
      <c r="E808" s="112"/>
      <c r="F808" s="112"/>
      <c r="G808" s="112"/>
      <c r="H808" s="112"/>
    </row>
    <row r="809" spans="3:8">
      <c r="C809" s="112"/>
      <c r="D809" s="112"/>
      <c r="E809" s="112"/>
      <c r="F809" s="112"/>
      <c r="G809" s="112"/>
      <c r="H809" s="112"/>
    </row>
    <row r="810" spans="3:8">
      <c r="C810" s="112"/>
      <c r="D810" s="112"/>
      <c r="E810" s="112"/>
      <c r="F810" s="112"/>
      <c r="G810" s="112"/>
      <c r="H810" s="112"/>
    </row>
    <row r="811" spans="3:8">
      <c r="C811" s="112"/>
      <c r="D811" s="112"/>
      <c r="E811" s="112"/>
      <c r="F811" s="112"/>
      <c r="G811" s="112"/>
      <c r="H811" s="112"/>
    </row>
    <row r="812" spans="3:8">
      <c r="C812" s="112"/>
      <c r="D812" s="112"/>
      <c r="E812" s="112"/>
      <c r="F812" s="112"/>
      <c r="G812" s="112"/>
      <c r="H812" s="112"/>
    </row>
    <row r="813" spans="3:8">
      <c r="C813" s="112"/>
      <c r="D813" s="112"/>
      <c r="E813" s="112"/>
      <c r="F813" s="112"/>
      <c r="G813" s="112"/>
      <c r="H813" s="112"/>
    </row>
    <row r="814" spans="3:8">
      <c r="C814" s="112"/>
      <c r="D814" s="112"/>
      <c r="E814" s="112"/>
      <c r="F814" s="112"/>
      <c r="G814" s="112"/>
      <c r="H814" s="112"/>
    </row>
    <row r="815" spans="3:8">
      <c r="C815" s="112"/>
      <c r="D815" s="112"/>
      <c r="E815" s="112"/>
      <c r="F815" s="112"/>
      <c r="G815" s="112"/>
      <c r="H815" s="112"/>
    </row>
    <row r="816" spans="3:8">
      <c r="C816" s="112"/>
      <c r="D816" s="112"/>
      <c r="E816" s="112"/>
      <c r="F816" s="112"/>
      <c r="G816" s="112"/>
      <c r="H816" s="112"/>
    </row>
    <row r="817" spans="3:8">
      <c r="C817" s="112"/>
      <c r="D817" s="112"/>
      <c r="E817" s="112"/>
      <c r="F817" s="112"/>
      <c r="G817" s="112"/>
      <c r="H817" s="112"/>
    </row>
    <row r="818" spans="3:8">
      <c r="C818" s="112"/>
      <c r="D818" s="112"/>
      <c r="E818" s="112"/>
      <c r="F818" s="112"/>
      <c r="G818" s="112"/>
      <c r="H818" s="112"/>
    </row>
    <row r="819" spans="3:8">
      <c r="C819" s="112"/>
      <c r="D819" s="112"/>
      <c r="E819" s="112"/>
      <c r="F819" s="112"/>
      <c r="G819" s="112"/>
      <c r="H819" s="112"/>
    </row>
    <row r="820" spans="3:8">
      <c r="C820" s="112"/>
      <c r="D820" s="112"/>
      <c r="E820" s="112"/>
      <c r="F820" s="112"/>
      <c r="G820" s="112"/>
      <c r="H820" s="112"/>
    </row>
    <row r="821" spans="3:8">
      <c r="C821" s="112"/>
      <c r="D821" s="112"/>
      <c r="E821" s="112"/>
      <c r="F821" s="112"/>
      <c r="G821" s="112"/>
      <c r="H821" s="112"/>
    </row>
    <row r="822" spans="3:8">
      <c r="C822" s="112"/>
      <c r="D822" s="112"/>
      <c r="E822" s="112"/>
      <c r="F822" s="112"/>
      <c r="G822" s="112"/>
      <c r="H822" s="112"/>
    </row>
    <row r="823" spans="3:8">
      <c r="C823" s="112"/>
      <c r="D823" s="112"/>
      <c r="E823" s="112"/>
      <c r="F823" s="112"/>
      <c r="G823" s="112"/>
      <c r="H823" s="112"/>
    </row>
    <row r="824" spans="3:8">
      <c r="C824" s="112"/>
      <c r="D824" s="112"/>
      <c r="E824" s="112"/>
      <c r="F824" s="112"/>
      <c r="G824" s="112"/>
      <c r="H824" s="112"/>
    </row>
    <row r="825" spans="3:8">
      <c r="C825" s="112"/>
      <c r="D825" s="112"/>
      <c r="E825" s="112"/>
      <c r="F825" s="112"/>
      <c r="G825" s="112"/>
      <c r="H825" s="112"/>
    </row>
    <row r="826" spans="3:8">
      <c r="C826" s="112"/>
      <c r="D826" s="112"/>
      <c r="E826" s="112"/>
      <c r="F826" s="112"/>
      <c r="G826" s="112"/>
      <c r="H826" s="112"/>
    </row>
    <row r="827" spans="3:8">
      <c r="C827" s="112"/>
      <c r="D827" s="112"/>
      <c r="E827" s="112"/>
      <c r="F827" s="112"/>
      <c r="G827" s="112"/>
      <c r="H827" s="112"/>
    </row>
    <row r="828" spans="3:8">
      <c r="C828" s="112"/>
      <c r="D828" s="112"/>
      <c r="E828" s="112"/>
      <c r="F828" s="112"/>
      <c r="G828" s="112"/>
      <c r="H828" s="112"/>
    </row>
    <row r="829" spans="3:8">
      <c r="C829" s="112"/>
      <c r="D829" s="112"/>
      <c r="E829" s="112"/>
      <c r="F829" s="112"/>
      <c r="G829" s="112"/>
      <c r="H829" s="112"/>
    </row>
    <row r="830" spans="3:8">
      <c r="C830" s="112"/>
      <c r="D830" s="112"/>
      <c r="E830" s="112"/>
      <c r="F830" s="112"/>
      <c r="G830" s="112"/>
      <c r="H830" s="112"/>
    </row>
    <row r="831" spans="3:8">
      <c r="C831" s="112"/>
      <c r="D831" s="112"/>
      <c r="E831" s="112"/>
      <c r="F831" s="112"/>
      <c r="G831" s="112"/>
      <c r="H831" s="112"/>
    </row>
    <row r="832" spans="3:8">
      <c r="C832" s="112"/>
      <c r="D832" s="112"/>
      <c r="E832" s="112"/>
      <c r="F832" s="112"/>
      <c r="G832" s="112"/>
      <c r="H832" s="112"/>
    </row>
    <row r="833" spans="3:8">
      <c r="C833" s="112"/>
      <c r="D833" s="112"/>
      <c r="E833" s="112"/>
      <c r="F833" s="112"/>
      <c r="G833" s="112"/>
      <c r="H833" s="112"/>
    </row>
    <row r="834" spans="3:8">
      <c r="C834" s="112"/>
      <c r="D834" s="112"/>
      <c r="E834" s="112"/>
      <c r="F834" s="112"/>
      <c r="G834" s="112"/>
      <c r="H834" s="112"/>
    </row>
    <row r="835" spans="3:8">
      <c r="C835" s="112"/>
      <c r="D835" s="112"/>
      <c r="E835" s="112"/>
      <c r="F835" s="112"/>
      <c r="G835" s="112"/>
      <c r="H835" s="112"/>
    </row>
    <row r="836" spans="3:8">
      <c r="C836" s="112"/>
      <c r="D836" s="112"/>
      <c r="E836" s="112"/>
      <c r="F836" s="112"/>
      <c r="G836" s="112"/>
      <c r="H836" s="112"/>
    </row>
    <row r="837" spans="3:8">
      <c r="C837" s="112"/>
      <c r="D837" s="112"/>
      <c r="E837" s="112"/>
      <c r="F837" s="112"/>
      <c r="G837" s="112"/>
      <c r="H837" s="112"/>
    </row>
    <row r="838" spans="3:8">
      <c r="C838" s="112"/>
      <c r="D838" s="112"/>
      <c r="E838" s="112"/>
      <c r="F838" s="112"/>
      <c r="G838" s="112"/>
      <c r="H838" s="112"/>
    </row>
    <row r="839" spans="3:8">
      <c r="C839" s="112"/>
      <c r="D839" s="112"/>
      <c r="E839" s="112"/>
      <c r="F839" s="112"/>
      <c r="G839" s="112"/>
      <c r="H839" s="112"/>
    </row>
    <row r="840" spans="3:8">
      <c r="C840" s="112"/>
      <c r="D840" s="112"/>
      <c r="E840" s="112"/>
      <c r="F840" s="112"/>
      <c r="G840" s="112"/>
      <c r="H840" s="112"/>
    </row>
    <row r="841" spans="3:8">
      <c r="C841" s="112"/>
      <c r="D841" s="112"/>
      <c r="E841" s="112"/>
      <c r="F841" s="112"/>
      <c r="G841" s="112"/>
      <c r="H841" s="112"/>
    </row>
    <row r="842" spans="3:8">
      <c r="C842" s="112"/>
      <c r="D842" s="112"/>
      <c r="E842" s="112"/>
      <c r="F842" s="112"/>
      <c r="G842" s="112"/>
      <c r="H842" s="112"/>
    </row>
    <row r="843" spans="3:8">
      <c r="C843" s="112"/>
      <c r="D843" s="112"/>
      <c r="E843" s="112"/>
      <c r="F843" s="112"/>
      <c r="G843" s="112"/>
      <c r="H843" s="112"/>
    </row>
    <row r="844" spans="3:8">
      <c r="C844" s="112"/>
      <c r="D844" s="112"/>
      <c r="E844" s="112"/>
      <c r="F844" s="112"/>
      <c r="G844" s="112"/>
      <c r="H844" s="112"/>
    </row>
    <row r="845" spans="3:8">
      <c r="C845" s="112"/>
      <c r="D845" s="112"/>
      <c r="E845" s="112"/>
      <c r="F845" s="112"/>
      <c r="G845" s="112"/>
      <c r="H845" s="112"/>
    </row>
    <row r="846" spans="3:8">
      <c r="C846" s="112"/>
      <c r="D846" s="112"/>
      <c r="E846" s="112"/>
      <c r="F846" s="112"/>
      <c r="G846" s="112"/>
      <c r="H846" s="112"/>
    </row>
    <row r="847" spans="3:8">
      <c r="C847" s="112"/>
      <c r="D847" s="112"/>
      <c r="E847" s="112"/>
      <c r="F847" s="112"/>
      <c r="G847" s="112"/>
      <c r="H847" s="112"/>
    </row>
    <row r="848" spans="3:8">
      <c r="C848" s="112"/>
      <c r="D848" s="112"/>
      <c r="E848" s="112"/>
      <c r="F848" s="112"/>
      <c r="G848" s="112"/>
      <c r="H848" s="112"/>
    </row>
    <row r="849" spans="3:8">
      <c r="C849" s="112"/>
      <c r="D849" s="112"/>
      <c r="E849" s="112"/>
      <c r="F849" s="112"/>
      <c r="G849" s="112"/>
      <c r="H849" s="112"/>
    </row>
    <row r="850" spans="3:8">
      <c r="C850" s="112"/>
      <c r="D850" s="112"/>
      <c r="E850" s="112"/>
      <c r="F850" s="112"/>
      <c r="G850" s="112"/>
      <c r="H850" s="112"/>
    </row>
    <row r="851" spans="3:8">
      <c r="C851" s="112"/>
      <c r="D851" s="112"/>
      <c r="E851" s="112"/>
      <c r="F851" s="112"/>
      <c r="G851" s="112"/>
      <c r="H851" s="112"/>
    </row>
    <row r="852" spans="3:8">
      <c r="C852" s="112"/>
      <c r="D852" s="112"/>
      <c r="E852" s="112"/>
      <c r="F852" s="112"/>
      <c r="G852" s="112"/>
      <c r="H852" s="112"/>
    </row>
    <row r="853" spans="3:8">
      <c r="C853" s="112"/>
      <c r="D853" s="112"/>
      <c r="E853" s="112"/>
      <c r="F853" s="112"/>
      <c r="G853" s="112"/>
      <c r="H853" s="112"/>
    </row>
    <row r="854" spans="3:8">
      <c r="C854" s="112"/>
      <c r="D854" s="112"/>
      <c r="E854" s="112"/>
      <c r="F854" s="112"/>
      <c r="G854" s="112"/>
      <c r="H854" s="112"/>
    </row>
    <row r="855" spans="3:8">
      <c r="C855" s="112"/>
      <c r="D855" s="112"/>
      <c r="E855" s="112"/>
      <c r="F855" s="112"/>
      <c r="G855" s="112"/>
      <c r="H855" s="112"/>
    </row>
    <row r="856" spans="3:8">
      <c r="C856" s="112"/>
      <c r="D856" s="112"/>
      <c r="E856" s="112"/>
      <c r="F856" s="112"/>
      <c r="G856" s="112"/>
      <c r="H856" s="112"/>
    </row>
    <row r="857" spans="3:8">
      <c r="C857" s="112"/>
      <c r="D857" s="112"/>
      <c r="E857" s="112"/>
      <c r="F857" s="112"/>
      <c r="G857" s="112"/>
      <c r="H857" s="112"/>
    </row>
    <row r="858" spans="3:8">
      <c r="C858" s="112"/>
      <c r="D858" s="112"/>
      <c r="E858" s="112"/>
      <c r="F858" s="112"/>
      <c r="G858" s="112"/>
      <c r="H858" s="112"/>
    </row>
    <row r="859" spans="3:8">
      <c r="C859" s="112"/>
      <c r="D859" s="112"/>
      <c r="E859" s="112"/>
      <c r="F859" s="112"/>
      <c r="G859" s="112"/>
      <c r="H859" s="112"/>
    </row>
    <row r="860" spans="3:8">
      <c r="C860" s="112"/>
      <c r="D860" s="112"/>
      <c r="E860" s="112"/>
      <c r="F860" s="112"/>
      <c r="G860" s="112"/>
      <c r="H860" s="112"/>
    </row>
    <row r="861" spans="3:8">
      <c r="C861" s="112"/>
      <c r="D861" s="112"/>
      <c r="E861" s="112"/>
      <c r="F861" s="112"/>
      <c r="G861" s="112"/>
      <c r="H861" s="112"/>
    </row>
    <row r="862" spans="3:8">
      <c r="C862" s="112"/>
      <c r="D862" s="112"/>
      <c r="E862" s="112"/>
      <c r="F862" s="112"/>
      <c r="G862" s="112"/>
      <c r="H862" s="112"/>
    </row>
    <row r="863" spans="3:8">
      <c r="C863" s="112"/>
      <c r="D863" s="112"/>
      <c r="E863" s="112"/>
      <c r="F863" s="112"/>
      <c r="G863" s="112"/>
      <c r="H863" s="112"/>
    </row>
    <row r="864" spans="3:8">
      <c r="C864" s="112"/>
      <c r="D864" s="112"/>
      <c r="E864" s="112"/>
      <c r="F864" s="112"/>
      <c r="G864" s="112"/>
      <c r="H864" s="112"/>
    </row>
    <row r="865" spans="3:8">
      <c r="C865" s="112"/>
      <c r="D865" s="112"/>
      <c r="E865" s="112"/>
      <c r="F865" s="112"/>
      <c r="G865" s="112"/>
      <c r="H865" s="112"/>
    </row>
    <row r="866" spans="3:8">
      <c r="C866" s="112"/>
      <c r="D866" s="112"/>
      <c r="E866" s="112"/>
      <c r="F866" s="112"/>
      <c r="G866" s="112"/>
      <c r="H866" s="112"/>
    </row>
    <row r="867" spans="3:8">
      <c r="C867" s="112"/>
      <c r="D867" s="112"/>
      <c r="E867" s="112"/>
      <c r="F867" s="112"/>
      <c r="G867" s="112"/>
      <c r="H867" s="112"/>
    </row>
    <row r="868" spans="3:8">
      <c r="C868" s="112"/>
      <c r="D868" s="112"/>
      <c r="E868" s="112"/>
      <c r="F868" s="112"/>
      <c r="G868" s="112"/>
      <c r="H868" s="112"/>
    </row>
    <row r="869" spans="3:8">
      <c r="C869" s="112"/>
      <c r="D869" s="112"/>
      <c r="E869" s="112"/>
      <c r="F869" s="112"/>
      <c r="G869" s="112"/>
      <c r="H869" s="112"/>
    </row>
    <row r="870" spans="3:8">
      <c r="C870" s="112"/>
      <c r="D870" s="112"/>
      <c r="E870" s="112"/>
      <c r="F870" s="112"/>
      <c r="G870" s="112"/>
      <c r="H870" s="112"/>
    </row>
    <row r="871" spans="3:8">
      <c r="C871" s="112"/>
      <c r="D871" s="112"/>
      <c r="E871" s="112"/>
      <c r="F871" s="112"/>
      <c r="G871" s="112"/>
      <c r="H871" s="112"/>
    </row>
    <row r="872" spans="3:8">
      <c r="C872" s="112"/>
      <c r="D872" s="112"/>
      <c r="E872" s="112"/>
      <c r="F872" s="112"/>
      <c r="G872" s="112"/>
      <c r="H872" s="112"/>
    </row>
    <row r="873" spans="3:8">
      <c r="C873" s="112"/>
      <c r="D873" s="112"/>
      <c r="E873" s="112"/>
      <c r="F873" s="112"/>
      <c r="G873" s="112"/>
      <c r="H873" s="112"/>
    </row>
    <row r="874" spans="3:8">
      <c r="C874" s="112"/>
      <c r="D874" s="112"/>
      <c r="E874" s="112"/>
      <c r="F874" s="112"/>
      <c r="G874" s="112"/>
      <c r="H874" s="112"/>
    </row>
    <row r="875" spans="3:8">
      <c r="C875" s="112"/>
      <c r="D875" s="112"/>
      <c r="E875" s="112"/>
      <c r="F875" s="112"/>
      <c r="G875" s="112"/>
      <c r="H875" s="112"/>
    </row>
    <row r="876" spans="3:8">
      <c r="C876" s="112"/>
      <c r="D876" s="112"/>
      <c r="E876" s="112"/>
      <c r="F876" s="112"/>
      <c r="G876" s="112"/>
      <c r="H876" s="112"/>
    </row>
    <row r="877" spans="3:8">
      <c r="C877" s="112"/>
      <c r="D877" s="112"/>
      <c r="E877" s="112"/>
      <c r="F877" s="112"/>
      <c r="G877" s="112"/>
      <c r="H877" s="112"/>
    </row>
    <row r="878" spans="3:8">
      <c r="C878" s="112"/>
      <c r="D878" s="112"/>
      <c r="E878" s="112"/>
      <c r="F878" s="112"/>
      <c r="G878" s="112"/>
      <c r="H878" s="112"/>
    </row>
    <row r="879" spans="3:8">
      <c r="C879" s="112"/>
      <c r="D879" s="112"/>
      <c r="E879" s="112"/>
      <c r="F879" s="112"/>
      <c r="G879" s="112"/>
      <c r="H879" s="112"/>
    </row>
    <row r="880" spans="3:8">
      <c r="C880" s="112"/>
      <c r="D880" s="112"/>
      <c r="E880" s="112"/>
      <c r="F880" s="112"/>
      <c r="G880" s="112"/>
      <c r="H880" s="112"/>
    </row>
    <row r="881" spans="3:8">
      <c r="C881" s="112"/>
      <c r="D881" s="112"/>
      <c r="E881" s="112"/>
      <c r="F881" s="112"/>
      <c r="G881" s="112"/>
      <c r="H881" s="112"/>
    </row>
    <row r="882" spans="3:8">
      <c r="C882" s="112"/>
      <c r="D882" s="112"/>
      <c r="E882" s="112"/>
      <c r="F882" s="112"/>
      <c r="G882" s="112"/>
      <c r="H882" s="112"/>
    </row>
    <row r="883" spans="3:8">
      <c r="C883" s="112"/>
      <c r="D883" s="112"/>
      <c r="E883" s="112"/>
      <c r="F883" s="112"/>
      <c r="G883" s="112"/>
      <c r="H883" s="112"/>
    </row>
    <row r="884" spans="3:8">
      <c r="C884" s="112"/>
      <c r="D884" s="112"/>
      <c r="E884" s="112"/>
      <c r="F884" s="112"/>
      <c r="G884" s="112"/>
      <c r="H884" s="112"/>
    </row>
    <row r="885" spans="3:8">
      <c r="C885" s="112"/>
      <c r="D885" s="112"/>
      <c r="E885" s="112"/>
      <c r="F885" s="112"/>
      <c r="G885" s="112"/>
      <c r="H885" s="112"/>
    </row>
    <row r="886" spans="3:8">
      <c r="C886" s="112"/>
      <c r="D886" s="112"/>
      <c r="E886" s="112"/>
      <c r="F886" s="112"/>
      <c r="G886" s="112"/>
      <c r="H886" s="112"/>
    </row>
    <row r="887" spans="3:8">
      <c r="C887" s="112"/>
      <c r="D887" s="112"/>
      <c r="E887" s="112"/>
      <c r="F887" s="112"/>
      <c r="G887" s="112"/>
      <c r="H887" s="112"/>
    </row>
    <row r="888" spans="3:8">
      <c r="C888" s="112"/>
      <c r="D888" s="112"/>
      <c r="E888" s="112"/>
      <c r="F888" s="112"/>
      <c r="G888" s="112"/>
      <c r="H888" s="112"/>
    </row>
    <row r="889" spans="3:8">
      <c r="C889" s="112"/>
      <c r="D889" s="112"/>
      <c r="E889" s="112"/>
      <c r="F889" s="112"/>
      <c r="G889" s="112"/>
      <c r="H889" s="112"/>
    </row>
    <row r="890" spans="3:8">
      <c r="C890" s="112"/>
      <c r="D890" s="112"/>
      <c r="E890" s="112"/>
      <c r="F890" s="112"/>
      <c r="G890" s="112"/>
      <c r="H890" s="112"/>
    </row>
    <row r="891" spans="3:8">
      <c r="C891" s="112"/>
      <c r="D891" s="112"/>
      <c r="E891" s="112"/>
      <c r="F891" s="112"/>
      <c r="G891" s="112"/>
      <c r="H891" s="112"/>
    </row>
    <row r="892" spans="3:8">
      <c r="C892" s="112"/>
      <c r="D892" s="112"/>
      <c r="E892" s="112"/>
      <c r="F892" s="112"/>
      <c r="G892" s="112"/>
      <c r="H892" s="112"/>
    </row>
    <row r="893" spans="3:8">
      <c r="C893" s="112"/>
      <c r="D893" s="112"/>
      <c r="E893" s="112"/>
      <c r="F893" s="112"/>
      <c r="G893" s="112"/>
      <c r="H893" s="112"/>
    </row>
    <row r="894" spans="3:8">
      <c r="C894" s="112"/>
      <c r="D894" s="112"/>
      <c r="E894" s="112"/>
      <c r="F894" s="112"/>
      <c r="G894" s="112"/>
      <c r="H894" s="112"/>
    </row>
    <row r="895" spans="3:8">
      <c r="C895" s="112"/>
      <c r="D895" s="112"/>
      <c r="E895" s="112"/>
      <c r="F895" s="112"/>
      <c r="G895" s="112"/>
      <c r="H895" s="112"/>
    </row>
    <row r="896" spans="3:8">
      <c r="C896" s="112"/>
      <c r="D896" s="112"/>
      <c r="E896" s="112"/>
      <c r="F896" s="112"/>
      <c r="G896" s="112"/>
      <c r="H896" s="112"/>
    </row>
    <row r="897" spans="3:8">
      <c r="C897" s="112"/>
      <c r="D897" s="112"/>
      <c r="E897" s="112"/>
      <c r="F897" s="112"/>
      <c r="G897" s="112"/>
      <c r="H897" s="112"/>
    </row>
    <row r="898" spans="3:8">
      <c r="C898" s="112"/>
      <c r="D898" s="112"/>
      <c r="E898" s="112"/>
      <c r="F898" s="112"/>
      <c r="G898" s="112"/>
      <c r="H898" s="112"/>
    </row>
    <row r="899" spans="3:8">
      <c r="C899" s="112"/>
      <c r="D899" s="112"/>
      <c r="E899" s="112"/>
      <c r="F899" s="112"/>
      <c r="G899" s="112"/>
      <c r="H899" s="112"/>
    </row>
    <row r="900" spans="3:8">
      <c r="C900" s="112"/>
      <c r="D900" s="112"/>
      <c r="E900" s="112"/>
      <c r="F900" s="112"/>
      <c r="G900" s="112"/>
      <c r="H900" s="112"/>
    </row>
    <row r="901" spans="3:8">
      <c r="C901" s="112"/>
      <c r="D901" s="112"/>
      <c r="E901" s="112"/>
      <c r="F901" s="112"/>
      <c r="G901" s="112"/>
      <c r="H901" s="112"/>
    </row>
    <row r="902" spans="3:8">
      <c r="C902" s="112"/>
      <c r="D902" s="112"/>
      <c r="E902" s="112"/>
      <c r="F902" s="112"/>
      <c r="G902" s="112"/>
      <c r="H902" s="112"/>
    </row>
    <row r="903" spans="3:8">
      <c r="C903" s="112"/>
      <c r="D903" s="112"/>
      <c r="E903" s="112"/>
      <c r="F903" s="112"/>
      <c r="G903" s="112"/>
      <c r="H903" s="112"/>
    </row>
    <row r="904" spans="3:8">
      <c r="C904" s="112"/>
      <c r="D904" s="112"/>
      <c r="E904" s="112"/>
      <c r="F904" s="112"/>
      <c r="G904" s="112"/>
      <c r="H904" s="112"/>
    </row>
    <row r="905" spans="3:8">
      <c r="C905" s="112"/>
      <c r="D905" s="112"/>
      <c r="E905" s="112"/>
      <c r="F905" s="112"/>
      <c r="G905" s="112"/>
      <c r="H905" s="112"/>
    </row>
    <row r="906" spans="3:8">
      <c r="C906" s="112"/>
      <c r="D906" s="112"/>
      <c r="E906" s="112"/>
      <c r="F906" s="112"/>
      <c r="G906" s="112"/>
      <c r="H906" s="112"/>
    </row>
    <row r="907" spans="3:8">
      <c r="C907" s="112"/>
      <c r="D907" s="112"/>
      <c r="E907" s="112"/>
      <c r="F907" s="112"/>
      <c r="G907" s="112"/>
      <c r="H907" s="112"/>
    </row>
    <row r="908" spans="3:8">
      <c r="C908" s="112"/>
      <c r="D908" s="112"/>
      <c r="E908" s="112"/>
      <c r="F908" s="112"/>
      <c r="G908" s="112"/>
      <c r="H908" s="112"/>
    </row>
    <row r="909" spans="3:8">
      <c r="C909" s="112"/>
      <c r="D909" s="112"/>
      <c r="E909" s="112"/>
      <c r="F909" s="112"/>
      <c r="G909" s="112"/>
      <c r="H909" s="112"/>
    </row>
    <row r="910" spans="3:8">
      <c r="C910" s="112"/>
      <c r="D910" s="112"/>
      <c r="E910" s="112"/>
      <c r="F910" s="112"/>
      <c r="G910" s="112"/>
      <c r="H910" s="112"/>
    </row>
    <row r="911" spans="3:8">
      <c r="C911" s="112"/>
      <c r="D911" s="112"/>
      <c r="E911" s="112"/>
      <c r="F911" s="112"/>
      <c r="G911" s="112"/>
      <c r="H911" s="112"/>
    </row>
    <row r="912" spans="3:8">
      <c r="C912" s="112"/>
      <c r="D912" s="112"/>
      <c r="E912" s="112"/>
      <c r="F912" s="112"/>
      <c r="G912" s="112"/>
      <c r="H912" s="112"/>
    </row>
    <row r="913" spans="3:8">
      <c r="C913" s="112"/>
      <c r="D913" s="112"/>
      <c r="E913" s="112"/>
      <c r="F913" s="112"/>
      <c r="G913" s="112"/>
      <c r="H913" s="112"/>
    </row>
    <row r="914" spans="3:8">
      <c r="C914" s="112"/>
      <c r="D914" s="112"/>
      <c r="E914" s="112"/>
      <c r="F914" s="112"/>
      <c r="G914" s="112"/>
      <c r="H914" s="112"/>
    </row>
    <row r="915" spans="3:8">
      <c r="C915" s="112"/>
      <c r="D915" s="112"/>
      <c r="E915" s="112"/>
      <c r="F915" s="112"/>
      <c r="G915" s="112"/>
      <c r="H915" s="112"/>
    </row>
    <row r="916" spans="3:8">
      <c r="C916" s="112"/>
      <c r="D916" s="112"/>
      <c r="E916" s="112"/>
      <c r="F916" s="112"/>
      <c r="G916" s="112"/>
      <c r="H916" s="112"/>
    </row>
    <row r="917" spans="3:8">
      <c r="C917" s="112"/>
      <c r="D917" s="112"/>
      <c r="E917" s="112"/>
      <c r="F917" s="112"/>
      <c r="G917" s="112"/>
      <c r="H917" s="112"/>
    </row>
    <row r="918" spans="3:8">
      <c r="C918" s="112"/>
      <c r="D918" s="112"/>
      <c r="E918" s="112"/>
      <c r="F918" s="112"/>
      <c r="G918" s="112"/>
      <c r="H918" s="112"/>
    </row>
    <row r="919" spans="3:8">
      <c r="C919" s="112"/>
      <c r="D919" s="112"/>
      <c r="E919" s="112"/>
      <c r="F919" s="112"/>
      <c r="G919" s="112"/>
      <c r="H919" s="112"/>
    </row>
    <row r="920" spans="3:8">
      <c r="C920" s="112"/>
      <c r="D920" s="112"/>
      <c r="E920" s="112"/>
      <c r="F920" s="112"/>
      <c r="G920" s="112"/>
      <c r="H920" s="112"/>
    </row>
    <row r="921" spans="3:8">
      <c r="C921" s="112"/>
      <c r="D921" s="112"/>
      <c r="E921" s="112"/>
      <c r="F921" s="112"/>
      <c r="G921" s="112"/>
      <c r="H921" s="112"/>
    </row>
    <row r="922" spans="3:8">
      <c r="C922" s="112"/>
      <c r="D922" s="112"/>
      <c r="E922" s="112"/>
      <c r="F922" s="112"/>
      <c r="G922" s="112"/>
      <c r="H922" s="112"/>
    </row>
    <row r="923" spans="3:8">
      <c r="C923" s="112"/>
      <c r="D923" s="112"/>
      <c r="E923" s="112"/>
      <c r="F923" s="112"/>
      <c r="G923" s="112"/>
      <c r="H923" s="112"/>
    </row>
    <row r="924" spans="3:8">
      <c r="C924" s="112"/>
      <c r="D924" s="112"/>
      <c r="E924" s="112"/>
      <c r="F924" s="112"/>
      <c r="G924" s="112"/>
      <c r="H924" s="112"/>
    </row>
    <row r="925" spans="3:8">
      <c r="C925" s="112"/>
      <c r="D925" s="112"/>
      <c r="E925" s="112"/>
      <c r="F925" s="112"/>
      <c r="G925" s="112"/>
      <c r="H925" s="112"/>
    </row>
    <row r="926" spans="3:8">
      <c r="C926" s="112"/>
      <c r="D926" s="112"/>
      <c r="E926" s="112"/>
      <c r="F926" s="112"/>
      <c r="G926" s="112"/>
      <c r="H926" s="112"/>
    </row>
    <row r="927" spans="3:8">
      <c r="C927" s="112"/>
      <c r="D927" s="112"/>
      <c r="E927" s="112"/>
      <c r="F927" s="112"/>
      <c r="G927" s="112"/>
      <c r="H927" s="112"/>
    </row>
    <row r="928" spans="3:8">
      <c r="C928" s="112"/>
      <c r="D928" s="112"/>
      <c r="E928" s="112"/>
      <c r="F928" s="112"/>
      <c r="G928" s="112"/>
      <c r="H928" s="112"/>
    </row>
    <row r="929" spans="3:8">
      <c r="C929" s="112"/>
      <c r="D929" s="112"/>
      <c r="E929" s="112"/>
      <c r="F929" s="112"/>
      <c r="G929" s="112"/>
      <c r="H929" s="112"/>
    </row>
    <row r="930" spans="3:8">
      <c r="C930" s="112"/>
      <c r="D930" s="112"/>
      <c r="E930" s="112"/>
      <c r="F930" s="112"/>
      <c r="G930" s="112"/>
      <c r="H930" s="112"/>
    </row>
    <row r="931" spans="3:8">
      <c r="C931" s="112"/>
      <c r="D931" s="112"/>
      <c r="E931" s="112"/>
      <c r="F931" s="112"/>
      <c r="G931" s="112"/>
      <c r="H931" s="112"/>
    </row>
    <row r="932" spans="3:8">
      <c r="C932" s="112"/>
      <c r="D932" s="112"/>
      <c r="E932" s="112"/>
      <c r="F932" s="112"/>
      <c r="G932" s="112"/>
      <c r="H932" s="112"/>
    </row>
    <row r="933" spans="3:8">
      <c r="C933" s="112"/>
      <c r="D933" s="112"/>
      <c r="E933" s="112"/>
      <c r="F933" s="112"/>
      <c r="G933" s="112"/>
      <c r="H933" s="112"/>
    </row>
    <row r="934" spans="3:8">
      <c r="C934" s="112"/>
      <c r="D934" s="112"/>
      <c r="E934" s="112"/>
      <c r="F934" s="112"/>
      <c r="G934" s="112"/>
      <c r="H934" s="112"/>
    </row>
    <row r="935" spans="3:8">
      <c r="C935" s="112"/>
      <c r="D935" s="112"/>
      <c r="E935" s="112"/>
      <c r="F935" s="112"/>
      <c r="G935" s="112"/>
      <c r="H935" s="112"/>
    </row>
    <row r="936" spans="3:8">
      <c r="C936" s="112"/>
      <c r="D936" s="112"/>
      <c r="E936" s="112"/>
      <c r="F936" s="112"/>
      <c r="G936" s="112"/>
      <c r="H936" s="112"/>
    </row>
    <row r="937" spans="3:8">
      <c r="C937" s="112"/>
      <c r="D937" s="112"/>
      <c r="E937" s="112"/>
      <c r="F937" s="112"/>
      <c r="G937" s="112"/>
      <c r="H937" s="112"/>
    </row>
    <row r="938" spans="3:8">
      <c r="C938" s="112"/>
      <c r="D938" s="112"/>
      <c r="E938" s="112"/>
      <c r="F938" s="112"/>
      <c r="G938" s="112"/>
      <c r="H938" s="112"/>
    </row>
    <row r="939" spans="3:8">
      <c r="C939" s="112"/>
      <c r="D939" s="112"/>
      <c r="E939" s="112"/>
      <c r="F939" s="112"/>
      <c r="G939" s="112"/>
      <c r="H939" s="112"/>
    </row>
    <row r="940" spans="3:8">
      <c r="C940" s="112"/>
      <c r="D940" s="112"/>
      <c r="E940" s="112"/>
      <c r="F940" s="112"/>
      <c r="G940" s="112"/>
      <c r="H940" s="112"/>
    </row>
    <row r="941" spans="3:8">
      <c r="C941" s="112"/>
      <c r="D941" s="112"/>
      <c r="E941" s="112"/>
      <c r="F941" s="112"/>
      <c r="G941" s="112"/>
      <c r="H941" s="112"/>
    </row>
    <row r="942" spans="3:8">
      <c r="C942" s="112"/>
      <c r="D942" s="112"/>
      <c r="E942" s="112"/>
      <c r="F942" s="112"/>
      <c r="G942" s="112"/>
      <c r="H942" s="112"/>
    </row>
    <row r="943" spans="3:8">
      <c r="C943" s="112"/>
      <c r="D943" s="112"/>
      <c r="E943" s="112"/>
      <c r="F943" s="112"/>
      <c r="G943" s="112"/>
      <c r="H943" s="112"/>
    </row>
    <row r="944" spans="3:8">
      <c r="C944" s="112"/>
      <c r="D944" s="112"/>
      <c r="E944" s="112"/>
      <c r="F944" s="112"/>
      <c r="G944" s="112"/>
      <c r="H944" s="112"/>
    </row>
    <row r="945" spans="3:8">
      <c r="C945" s="112"/>
      <c r="D945" s="112"/>
      <c r="E945" s="112"/>
      <c r="F945" s="112"/>
      <c r="G945" s="112"/>
      <c r="H945" s="112"/>
    </row>
    <row r="946" spans="3:8">
      <c r="C946" s="112"/>
      <c r="D946" s="112"/>
      <c r="E946" s="112"/>
      <c r="F946" s="112"/>
      <c r="G946" s="112"/>
      <c r="H946" s="112"/>
    </row>
    <row r="947" spans="3:8">
      <c r="C947" s="112"/>
      <c r="D947" s="112"/>
      <c r="E947" s="112"/>
      <c r="F947" s="112"/>
      <c r="G947" s="112"/>
      <c r="H947" s="112"/>
    </row>
    <row r="948" spans="3:8">
      <c r="C948" s="112"/>
      <c r="D948" s="112"/>
      <c r="E948" s="112"/>
      <c r="F948" s="112"/>
      <c r="G948" s="112"/>
      <c r="H948" s="112"/>
    </row>
    <row r="949" spans="3:8">
      <c r="C949" s="112"/>
      <c r="D949" s="112"/>
      <c r="E949" s="112"/>
      <c r="F949" s="112"/>
      <c r="G949" s="112"/>
      <c r="H949" s="112"/>
    </row>
    <row r="950" spans="3:8">
      <c r="C950" s="112"/>
      <c r="D950" s="112"/>
      <c r="E950" s="112"/>
      <c r="F950" s="112"/>
      <c r="G950" s="112"/>
      <c r="H950" s="112"/>
    </row>
    <row r="951" spans="3:8">
      <c r="C951" s="112"/>
      <c r="D951" s="112"/>
      <c r="E951" s="112"/>
      <c r="F951" s="112"/>
      <c r="G951" s="112"/>
      <c r="H951" s="112"/>
    </row>
    <row r="952" spans="3:8">
      <c r="C952" s="112"/>
      <c r="D952" s="112"/>
      <c r="E952" s="112"/>
      <c r="F952" s="112"/>
      <c r="G952" s="112"/>
      <c r="H952" s="112"/>
    </row>
    <row r="953" spans="3:8">
      <c r="C953" s="112"/>
      <c r="D953" s="112"/>
      <c r="E953" s="112"/>
      <c r="F953" s="112"/>
      <c r="G953" s="112"/>
      <c r="H953" s="112"/>
    </row>
    <row r="954" spans="3:8">
      <c r="C954" s="112"/>
      <c r="D954" s="112"/>
      <c r="E954" s="112"/>
      <c r="F954" s="112"/>
      <c r="G954" s="112"/>
      <c r="H954" s="112"/>
    </row>
    <row r="955" spans="3:8">
      <c r="C955" s="112"/>
      <c r="D955" s="112"/>
      <c r="E955" s="112"/>
      <c r="F955" s="112"/>
      <c r="G955" s="112"/>
      <c r="H955" s="112"/>
    </row>
    <row r="956" spans="3:8">
      <c r="C956" s="112"/>
      <c r="D956" s="112"/>
      <c r="E956" s="112"/>
      <c r="F956" s="112"/>
      <c r="G956" s="112"/>
      <c r="H956" s="112"/>
    </row>
    <row r="957" spans="3:8">
      <c r="C957" s="112"/>
      <c r="D957" s="112"/>
      <c r="E957" s="112"/>
      <c r="F957" s="112"/>
      <c r="G957" s="112"/>
      <c r="H957" s="112"/>
    </row>
    <row r="958" spans="3:8">
      <c r="C958" s="112"/>
      <c r="D958" s="112"/>
      <c r="E958" s="112"/>
      <c r="F958" s="112"/>
      <c r="G958" s="112"/>
      <c r="H958" s="112"/>
    </row>
    <row r="959" spans="3:8">
      <c r="C959" s="112"/>
      <c r="D959" s="112"/>
      <c r="E959" s="112"/>
      <c r="F959" s="112"/>
      <c r="G959" s="112"/>
      <c r="H959" s="112"/>
    </row>
    <row r="960" spans="3:8">
      <c r="C960" s="112"/>
      <c r="D960" s="112"/>
      <c r="E960" s="112"/>
      <c r="F960" s="112"/>
      <c r="G960" s="112"/>
      <c r="H960" s="112"/>
    </row>
    <row r="961" spans="3:8">
      <c r="C961" s="112"/>
      <c r="D961" s="112"/>
      <c r="E961" s="112"/>
      <c r="F961" s="112"/>
      <c r="G961" s="112"/>
      <c r="H961" s="112"/>
    </row>
    <row r="962" spans="3:8">
      <c r="C962" s="112"/>
      <c r="D962" s="112"/>
      <c r="E962" s="112"/>
      <c r="F962" s="112"/>
      <c r="G962" s="112"/>
      <c r="H962" s="112"/>
    </row>
    <row r="963" spans="3:8">
      <c r="C963" s="112"/>
      <c r="D963" s="112"/>
      <c r="E963" s="112"/>
      <c r="F963" s="112"/>
      <c r="G963" s="112"/>
      <c r="H963" s="112"/>
    </row>
    <row r="964" spans="3:8">
      <c r="C964" s="112"/>
      <c r="D964" s="112"/>
      <c r="E964" s="112"/>
      <c r="F964" s="112"/>
      <c r="G964" s="112"/>
      <c r="H964" s="112"/>
    </row>
    <row r="965" spans="3:8">
      <c r="C965" s="112"/>
      <c r="D965" s="112"/>
      <c r="E965" s="112"/>
      <c r="F965" s="112"/>
      <c r="G965" s="112"/>
      <c r="H965" s="112"/>
    </row>
    <row r="966" spans="3:8">
      <c r="C966" s="112"/>
      <c r="D966" s="112"/>
      <c r="E966" s="112"/>
      <c r="F966" s="112"/>
      <c r="G966" s="112"/>
      <c r="H966" s="112"/>
    </row>
    <row r="967" spans="3:8">
      <c r="C967" s="112"/>
      <c r="D967" s="112"/>
      <c r="E967" s="112"/>
      <c r="F967" s="112"/>
      <c r="G967" s="112"/>
      <c r="H967" s="112"/>
    </row>
    <row r="968" spans="3:8">
      <c r="C968" s="112"/>
      <c r="D968" s="112"/>
      <c r="E968" s="112"/>
      <c r="F968" s="112"/>
      <c r="G968" s="112"/>
      <c r="H968" s="112"/>
    </row>
    <row r="969" spans="3:8">
      <c r="C969" s="112"/>
      <c r="D969" s="112"/>
      <c r="E969" s="112"/>
      <c r="F969" s="112"/>
      <c r="G969" s="112"/>
      <c r="H969" s="112"/>
    </row>
    <row r="970" spans="3:8">
      <c r="C970" s="112"/>
      <c r="D970" s="112"/>
      <c r="E970" s="112"/>
      <c r="F970" s="112"/>
      <c r="G970" s="112"/>
      <c r="H970" s="112"/>
    </row>
    <row r="971" spans="3:8">
      <c r="C971" s="112"/>
      <c r="D971" s="112"/>
      <c r="E971" s="112"/>
      <c r="F971" s="112"/>
      <c r="G971" s="112"/>
      <c r="H971" s="112"/>
    </row>
    <row r="972" spans="3:8">
      <c r="C972" s="112"/>
      <c r="D972" s="112"/>
      <c r="E972" s="112"/>
      <c r="F972" s="112"/>
      <c r="G972" s="112"/>
      <c r="H972" s="112"/>
    </row>
    <row r="973" spans="3:8">
      <c r="C973" s="112"/>
      <c r="D973" s="112"/>
      <c r="E973" s="112"/>
      <c r="F973" s="112"/>
      <c r="G973" s="112"/>
      <c r="H973" s="112"/>
    </row>
    <row r="974" spans="3:8">
      <c r="C974" s="112"/>
      <c r="D974" s="112"/>
      <c r="E974" s="112"/>
      <c r="F974" s="112"/>
      <c r="G974" s="112"/>
      <c r="H974" s="112"/>
    </row>
    <row r="975" spans="3:8">
      <c r="C975" s="112"/>
      <c r="D975" s="112"/>
      <c r="E975" s="112"/>
      <c r="F975" s="112"/>
      <c r="G975" s="112"/>
      <c r="H975" s="112"/>
    </row>
    <row r="976" spans="3:8">
      <c r="C976" s="112"/>
      <c r="D976" s="112"/>
      <c r="E976" s="112"/>
      <c r="F976" s="112"/>
      <c r="G976" s="112"/>
      <c r="H976" s="112"/>
    </row>
    <row r="977" spans="3:8">
      <c r="C977" s="112"/>
      <c r="D977" s="112"/>
      <c r="E977" s="112"/>
      <c r="F977" s="112"/>
      <c r="G977" s="112"/>
      <c r="H977" s="112"/>
    </row>
    <row r="978" spans="3:8">
      <c r="C978" s="112"/>
      <c r="D978" s="112"/>
      <c r="E978" s="112"/>
      <c r="F978" s="112"/>
      <c r="G978" s="112"/>
      <c r="H978" s="112"/>
    </row>
    <row r="979" spans="3:8">
      <c r="C979" s="112"/>
      <c r="D979" s="112"/>
      <c r="E979" s="112"/>
      <c r="F979" s="112"/>
      <c r="G979" s="112"/>
      <c r="H979" s="112"/>
    </row>
    <row r="980" spans="3:8">
      <c r="C980" s="112"/>
      <c r="D980" s="112"/>
      <c r="E980" s="112"/>
      <c r="F980" s="112"/>
      <c r="G980" s="112"/>
      <c r="H980" s="112"/>
    </row>
    <row r="981" spans="3:8">
      <c r="C981" s="112"/>
      <c r="D981" s="112"/>
      <c r="E981" s="112"/>
      <c r="F981" s="112"/>
      <c r="G981" s="112"/>
      <c r="H981" s="112"/>
    </row>
    <row r="982" spans="3:8">
      <c r="C982" s="112"/>
      <c r="D982" s="112"/>
      <c r="E982" s="112"/>
      <c r="F982" s="112"/>
      <c r="G982" s="112"/>
      <c r="H982" s="112"/>
    </row>
    <row r="983" spans="3:8">
      <c r="C983" s="112"/>
      <c r="D983" s="112"/>
      <c r="E983" s="112"/>
      <c r="F983" s="112"/>
      <c r="G983" s="112"/>
      <c r="H983" s="112"/>
    </row>
    <row r="984" spans="3:8">
      <c r="C984" s="112"/>
      <c r="D984" s="112"/>
      <c r="E984" s="112"/>
      <c r="F984" s="112"/>
      <c r="G984" s="112"/>
      <c r="H984" s="112"/>
    </row>
    <row r="985" spans="3:8">
      <c r="C985" s="112"/>
      <c r="D985" s="112"/>
      <c r="E985" s="112"/>
      <c r="F985" s="112"/>
      <c r="G985" s="112"/>
      <c r="H985" s="112"/>
    </row>
    <row r="986" spans="3:8">
      <c r="C986" s="112"/>
      <c r="D986" s="112"/>
      <c r="E986" s="112"/>
      <c r="F986" s="112"/>
      <c r="G986" s="112"/>
      <c r="H986" s="112"/>
    </row>
    <row r="987" spans="3:8">
      <c r="C987" s="112"/>
      <c r="D987" s="112"/>
      <c r="E987" s="112"/>
      <c r="F987" s="112"/>
      <c r="G987" s="112"/>
      <c r="H987" s="112"/>
    </row>
    <row r="988" spans="3:8">
      <c r="C988" s="112"/>
      <c r="D988" s="112"/>
      <c r="E988" s="112"/>
      <c r="F988" s="112"/>
      <c r="G988" s="112"/>
      <c r="H988" s="112"/>
    </row>
    <row r="989" spans="3:8">
      <c r="C989" s="112"/>
      <c r="D989" s="112"/>
      <c r="E989" s="112"/>
      <c r="F989" s="112"/>
      <c r="G989" s="112"/>
      <c r="H989" s="112"/>
    </row>
    <row r="990" spans="3:8">
      <c r="C990" s="112"/>
      <c r="D990" s="112"/>
      <c r="E990" s="112"/>
      <c r="F990" s="112"/>
      <c r="G990" s="112"/>
      <c r="H990" s="112"/>
    </row>
    <row r="991" spans="3:8">
      <c r="C991" s="112"/>
      <c r="D991" s="112"/>
      <c r="E991" s="112"/>
      <c r="F991" s="112"/>
      <c r="G991" s="112"/>
      <c r="H991" s="112"/>
    </row>
    <row r="992" spans="3:8">
      <c r="C992" s="112"/>
      <c r="D992" s="112"/>
      <c r="E992" s="112"/>
      <c r="F992" s="112"/>
      <c r="G992" s="112"/>
      <c r="H992" s="112"/>
    </row>
    <row r="993" spans="3:8">
      <c r="C993" s="112"/>
      <c r="D993" s="112"/>
      <c r="E993" s="112"/>
      <c r="F993" s="112"/>
      <c r="G993" s="112"/>
      <c r="H993" s="112"/>
    </row>
    <row r="994" spans="3:8">
      <c r="C994" s="112"/>
      <c r="D994" s="112"/>
      <c r="E994" s="112"/>
      <c r="F994" s="112"/>
      <c r="G994" s="112"/>
      <c r="H994" s="112"/>
    </row>
    <row r="995" spans="3:8">
      <c r="C995" s="112"/>
      <c r="D995" s="112"/>
      <c r="E995" s="112"/>
      <c r="F995" s="112"/>
      <c r="G995" s="112"/>
      <c r="H995" s="112"/>
    </row>
    <row r="996" spans="3:8">
      <c r="C996" s="112"/>
      <c r="D996" s="112"/>
      <c r="E996" s="112"/>
      <c r="F996" s="112"/>
      <c r="G996" s="112"/>
      <c r="H996" s="112"/>
    </row>
    <row r="997" spans="3:8">
      <c r="C997" s="112"/>
      <c r="D997" s="112"/>
      <c r="E997" s="112"/>
      <c r="F997" s="112"/>
      <c r="G997" s="112"/>
      <c r="H997" s="112"/>
    </row>
    <row r="998" spans="3:8">
      <c r="C998" s="112"/>
      <c r="D998" s="112"/>
      <c r="E998" s="112"/>
      <c r="F998" s="112"/>
      <c r="G998" s="112"/>
      <c r="H998" s="112"/>
    </row>
    <row r="999" spans="3:8">
      <c r="C999" s="112"/>
      <c r="D999" s="112"/>
      <c r="E999" s="112"/>
      <c r="F999" s="112"/>
      <c r="G999" s="112"/>
      <c r="H999" s="112"/>
    </row>
    <row r="1000" spans="3:8">
      <c r="C1000" s="112"/>
      <c r="D1000" s="112"/>
      <c r="E1000" s="112"/>
      <c r="F1000" s="112"/>
      <c r="G1000" s="112"/>
      <c r="H1000" s="112"/>
    </row>
    <row r="1001" spans="3:8">
      <c r="C1001" s="112"/>
      <c r="D1001" s="112"/>
      <c r="E1001" s="112"/>
      <c r="F1001" s="112"/>
      <c r="G1001" s="112"/>
      <c r="H1001" s="112"/>
    </row>
    <row r="1002" spans="3:8">
      <c r="C1002" s="112"/>
      <c r="D1002" s="112"/>
      <c r="E1002" s="112"/>
      <c r="F1002" s="112"/>
      <c r="G1002" s="112"/>
      <c r="H1002" s="112"/>
    </row>
    <row r="1003" spans="3:8">
      <c r="C1003" s="112"/>
      <c r="D1003" s="112"/>
      <c r="E1003" s="112"/>
      <c r="F1003" s="112"/>
      <c r="G1003" s="112"/>
      <c r="H1003" s="112"/>
    </row>
    <row r="1004" spans="3:8">
      <c r="C1004" s="112"/>
      <c r="D1004" s="112"/>
      <c r="E1004" s="112"/>
      <c r="F1004" s="112"/>
      <c r="G1004" s="112"/>
      <c r="H1004" s="112"/>
    </row>
    <row r="1005" spans="3:8">
      <c r="C1005" s="112"/>
      <c r="D1005" s="112"/>
      <c r="E1005" s="112"/>
      <c r="F1005" s="112"/>
      <c r="G1005" s="112"/>
      <c r="H1005" s="112"/>
    </row>
    <row r="1006" spans="3:8">
      <c r="C1006" s="112"/>
      <c r="D1006" s="112"/>
      <c r="E1006" s="112"/>
      <c r="F1006" s="112"/>
      <c r="G1006" s="112"/>
      <c r="H1006" s="112"/>
    </row>
    <row r="1007" spans="3:8">
      <c r="C1007" s="112"/>
      <c r="D1007" s="112"/>
      <c r="E1007" s="112"/>
      <c r="F1007" s="112"/>
      <c r="G1007" s="112"/>
      <c r="H1007" s="112"/>
    </row>
    <row r="1008" spans="3:8">
      <c r="C1008" s="112"/>
      <c r="D1008" s="112"/>
      <c r="E1008" s="112"/>
      <c r="F1008" s="112"/>
      <c r="G1008" s="112"/>
      <c r="H1008" s="112"/>
    </row>
    <row r="1009" spans="3:8">
      <c r="C1009" s="112"/>
      <c r="D1009" s="112"/>
      <c r="E1009" s="112"/>
      <c r="F1009" s="112"/>
      <c r="G1009" s="112"/>
      <c r="H1009" s="112"/>
    </row>
    <row r="1010" spans="3:8">
      <c r="C1010" s="112"/>
      <c r="D1010" s="112"/>
      <c r="E1010" s="112"/>
      <c r="F1010" s="112"/>
      <c r="G1010" s="112"/>
      <c r="H1010" s="112"/>
    </row>
    <row r="1011" spans="3:8">
      <c r="C1011" s="112"/>
      <c r="D1011" s="112"/>
      <c r="E1011" s="112"/>
      <c r="F1011" s="112"/>
      <c r="G1011" s="112"/>
      <c r="H1011" s="112"/>
    </row>
    <row r="1012" spans="3:8">
      <c r="C1012" s="112"/>
      <c r="D1012" s="112"/>
      <c r="E1012" s="112"/>
      <c r="F1012" s="112"/>
      <c r="G1012" s="112"/>
      <c r="H1012" s="112"/>
    </row>
    <row r="1013" spans="3:8">
      <c r="C1013" s="112"/>
      <c r="D1013" s="112"/>
      <c r="E1013" s="112"/>
      <c r="F1013" s="112"/>
      <c r="G1013" s="112"/>
      <c r="H1013" s="112"/>
    </row>
    <row r="1014" spans="3:8">
      <c r="C1014" s="112"/>
      <c r="D1014" s="112"/>
      <c r="E1014" s="112"/>
      <c r="F1014" s="112"/>
      <c r="G1014" s="112"/>
      <c r="H1014" s="112"/>
    </row>
    <row r="1015" spans="3:8">
      <c r="C1015" s="112"/>
      <c r="D1015" s="112"/>
      <c r="E1015" s="112"/>
      <c r="F1015" s="112"/>
      <c r="G1015" s="112"/>
      <c r="H1015" s="112"/>
    </row>
    <row r="1016" spans="3:8">
      <c r="C1016" s="112"/>
      <c r="D1016" s="112"/>
      <c r="E1016" s="112"/>
      <c r="F1016" s="112"/>
      <c r="G1016" s="112"/>
      <c r="H1016" s="112"/>
    </row>
    <row r="1017" spans="3:8">
      <c r="C1017" s="112"/>
      <c r="D1017" s="112"/>
      <c r="E1017" s="112"/>
      <c r="F1017" s="112"/>
      <c r="G1017" s="112"/>
      <c r="H1017" s="112"/>
    </row>
    <row r="1018" spans="3:8">
      <c r="C1018" s="112"/>
      <c r="D1018" s="112"/>
      <c r="E1018" s="112"/>
      <c r="F1018" s="112"/>
      <c r="G1018" s="112"/>
      <c r="H1018" s="112"/>
    </row>
    <row r="1019" spans="3:8">
      <c r="C1019" s="112"/>
      <c r="D1019" s="112"/>
      <c r="E1019" s="112"/>
      <c r="F1019" s="112"/>
      <c r="G1019" s="112"/>
      <c r="H1019" s="112"/>
    </row>
    <row r="1020" spans="3:8">
      <c r="C1020" s="112"/>
      <c r="D1020" s="112"/>
      <c r="E1020" s="112"/>
      <c r="F1020" s="112"/>
      <c r="G1020" s="112"/>
      <c r="H1020" s="112"/>
    </row>
    <row r="1021" spans="3:8">
      <c r="C1021" s="112"/>
      <c r="D1021" s="112"/>
      <c r="E1021" s="112"/>
      <c r="F1021" s="112"/>
      <c r="G1021" s="112"/>
      <c r="H1021" s="112"/>
    </row>
    <row r="1022" spans="3:8">
      <c r="C1022" s="112"/>
      <c r="D1022" s="112"/>
      <c r="E1022" s="112"/>
      <c r="F1022" s="112"/>
      <c r="G1022" s="112"/>
      <c r="H1022" s="112"/>
    </row>
    <row r="1023" spans="3:8">
      <c r="C1023" s="112"/>
      <c r="D1023" s="112"/>
      <c r="E1023" s="112"/>
      <c r="F1023" s="112"/>
      <c r="G1023" s="112"/>
      <c r="H1023" s="112"/>
    </row>
    <row r="1024" spans="3:8">
      <c r="C1024" s="112"/>
      <c r="D1024" s="112"/>
      <c r="E1024" s="112"/>
      <c r="F1024" s="112"/>
      <c r="G1024" s="112"/>
      <c r="H1024" s="112"/>
    </row>
    <row r="1025" spans="3:8">
      <c r="C1025" s="112"/>
      <c r="D1025" s="112"/>
      <c r="E1025" s="112"/>
      <c r="F1025" s="112"/>
      <c r="G1025" s="112"/>
      <c r="H1025" s="112"/>
    </row>
    <row r="1026" spans="3:8">
      <c r="C1026" s="112"/>
      <c r="D1026" s="112"/>
      <c r="E1026" s="112"/>
      <c r="F1026" s="112"/>
      <c r="G1026" s="112"/>
      <c r="H1026" s="112"/>
    </row>
    <row r="1027" spans="3:8">
      <c r="C1027" s="112"/>
      <c r="D1027" s="112"/>
      <c r="E1027" s="112"/>
      <c r="F1027" s="112"/>
      <c r="G1027" s="112"/>
      <c r="H1027" s="112"/>
    </row>
    <row r="1028" spans="3:8">
      <c r="C1028" s="112"/>
      <c r="D1028" s="112"/>
      <c r="E1028" s="112"/>
      <c r="F1028" s="112"/>
      <c r="G1028" s="112"/>
      <c r="H1028" s="112"/>
    </row>
    <row r="1029" spans="3:8">
      <c r="C1029" s="112"/>
      <c r="D1029" s="112"/>
      <c r="E1029" s="112"/>
      <c r="F1029" s="112"/>
      <c r="G1029" s="112"/>
      <c r="H1029" s="112"/>
    </row>
    <row r="1030" spans="3:8">
      <c r="C1030" s="112"/>
      <c r="D1030" s="112"/>
      <c r="E1030" s="112"/>
      <c r="F1030" s="112"/>
      <c r="G1030" s="112"/>
      <c r="H1030" s="112"/>
    </row>
    <row r="1031" spans="3:8">
      <c r="C1031" s="112"/>
      <c r="D1031" s="112"/>
      <c r="E1031" s="112"/>
      <c r="F1031" s="112"/>
      <c r="G1031" s="112"/>
      <c r="H1031" s="112"/>
    </row>
    <row r="1032" spans="3:8">
      <c r="C1032" s="112"/>
      <c r="D1032" s="112"/>
      <c r="E1032" s="112"/>
      <c r="F1032" s="112"/>
      <c r="G1032" s="112"/>
      <c r="H1032" s="112"/>
    </row>
    <row r="1033" spans="3:8">
      <c r="C1033" s="112"/>
      <c r="D1033" s="112"/>
      <c r="E1033" s="112"/>
      <c r="F1033" s="112"/>
      <c r="G1033" s="112"/>
      <c r="H1033" s="112"/>
    </row>
    <row r="1034" spans="3:8">
      <c r="C1034" s="112"/>
      <c r="D1034" s="112"/>
      <c r="E1034" s="112"/>
      <c r="F1034" s="112"/>
      <c r="G1034" s="112"/>
      <c r="H1034" s="112"/>
    </row>
    <row r="1035" spans="3:8">
      <c r="C1035" s="112"/>
      <c r="D1035" s="112"/>
      <c r="E1035" s="112"/>
      <c r="F1035" s="112"/>
      <c r="G1035" s="112"/>
      <c r="H1035" s="112"/>
    </row>
    <row r="1036" spans="3:8">
      <c r="C1036" s="112"/>
      <c r="D1036" s="112"/>
      <c r="E1036" s="112"/>
      <c r="F1036" s="112"/>
      <c r="G1036" s="112"/>
      <c r="H1036" s="112"/>
    </row>
    <row r="1037" spans="3:8">
      <c r="C1037" s="112"/>
      <c r="D1037" s="112"/>
      <c r="E1037" s="112"/>
      <c r="F1037" s="112"/>
      <c r="G1037" s="112"/>
      <c r="H1037" s="112"/>
    </row>
    <row r="1038" spans="3:8">
      <c r="C1038" s="112"/>
      <c r="D1038" s="112"/>
      <c r="E1038" s="112"/>
      <c r="F1038" s="112"/>
      <c r="G1038" s="112"/>
      <c r="H1038" s="112"/>
    </row>
    <row r="1039" spans="3:8">
      <c r="C1039" s="112"/>
      <c r="D1039" s="112"/>
      <c r="E1039" s="112"/>
      <c r="F1039" s="112"/>
      <c r="G1039" s="112"/>
      <c r="H1039" s="112"/>
    </row>
    <row r="1040" spans="3:8">
      <c r="C1040" s="112"/>
      <c r="D1040" s="112"/>
      <c r="E1040" s="112"/>
      <c r="F1040" s="112"/>
      <c r="G1040" s="112"/>
      <c r="H1040" s="112"/>
    </row>
    <row r="1041" spans="3:8">
      <c r="C1041" s="112"/>
      <c r="D1041" s="112"/>
      <c r="E1041" s="112"/>
      <c r="F1041" s="112"/>
      <c r="G1041" s="112"/>
      <c r="H1041" s="112"/>
    </row>
    <row r="1042" spans="3:8">
      <c r="C1042" s="112"/>
      <c r="D1042" s="112"/>
      <c r="E1042" s="112"/>
      <c r="F1042" s="112"/>
      <c r="G1042" s="112"/>
      <c r="H1042" s="112"/>
    </row>
    <row r="1043" spans="3:8">
      <c r="C1043" s="112"/>
      <c r="D1043" s="112"/>
      <c r="E1043" s="112"/>
      <c r="F1043" s="112"/>
      <c r="G1043" s="112"/>
      <c r="H1043" s="112"/>
    </row>
    <row r="1044" spans="3:8">
      <c r="C1044" s="112"/>
      <c r="D1044" s="112"/>
      <c r="E1044" s="112"/>
      <c r="F1044" s="112"/>
      <c r="G1044" s="112"/>
      <c r="H1044" s="112"/>
    </row>
    <row r="1045" spans="3:8">
      <c r="C1045" s="112"/>
      <c r="D1045" s="112"/>
      <c r="E1045" s="112"/>
      <c r="F1045" s="112"/>
      <c r="G1045" s="112"/>
      <c r="H1045" s="112"/>
    </row>
    <row r="1046" spans="3:8">
      <c r="C1046" s="112"/>
      <c r="D1046" s="112"/>
      <c r="E1046" s="112"/>
      <c r="F1046" s="112"/>
      <c r="G1046" s="112"/>
      <c r="H1046" s="112"/>
    </row>
    <row r="1047" spans="3:8">
      <c r="C1047" s="112"/>
      <c r="D1047" s="112"/>
      <c r="E1047" s="112"/>
      <c r="F1047" s="112"/>
      <c r="G1047" s="112"/>
      <c r="H1047" s="112"/>
    </row>
    <row r="1048" spans="3:8">
      <c r="C1048" s="112"/>
      <c r="D1048" s="112"/>
      <c r="E1048" s="112"/>
      <c r="F1048" s="112"/>
      <c r="G1048" s="112"/>
      <c r="H1048" s="112"/>
    </row>
    <row r="1049" spans="3:8">
      <c r="C1049" s="112"/>
      <c r="D1049" s="112"/>
      <c r="E1049" s="112"/>
      <c r="F1049" s="112"/>
      <c r="G1049" s="112"/>
      <c r="H1049" s="112"/>
    </row>
    <row r="1050" spans="3:8">
      <c r="C1050" s="112"/>
      <c r="D1050" s="112"/>
      <c r="E1050" s="112"/>
      <c r="F1050" s="112"/>
      <c r="G1050" s="112"/>
      <c r="H1050" s="112"/>
    </row>
    <row r="1051" spans="3:8">
      <c r="C1051" s="112"/>
      <c r="D1051" s="112"/>
      <c r="E1051" s="112"/>
      <c r="F1051" s="112"/>
      <c r="G1051" s="112"/>
      <c r="H1051" s="112"/>
    </row>
    <row r="1052" spans="3:8">
      <c r="C1052" s="112"/>
      <c r="D1052" s="112"/>
      <c r="E1052" s="112"/>
      <c r="F1052" s="112"/>
      <c r="G1052" s="112"/>
      <c r="H1052" s="112"/>
    </row>
    <row r="1053" spans="3:8">
      <c r="C1053" s="112"/>
      <c r="D1053" s="112"/>
      <c r="E1053" s="112"/>
      <c r="F1053" s="112"/>
      <c r="G1053" s="112"/>
      <c r="H1053" s="112"/>
    </row>
    <row r="1054" spans="3:8">
      <c r="C1054" s="112"/>
      <c r="D1054" s="112"/>
      <c r="E1054" s="112"/>
      <c r="F1054" s="112"/>
      <c r="G1054" s="112"/>
      <c r="H1054" s="112"/>
    </row>
    <row r="1055" spans="3:8">
      <c r="C1055" s="112"/>
      <c r="D1055" s="112"/>
      <c r="E1055" s="112"/>
      <c r="F1055" s="112"/>
      <c r="G1055" s="112"/>
      <c r="H1055" s="112"/>
    </row>
    <row r="1056" spans="3:8">
      <c r="C1056" s="112"/>
      <c r="D1056" s="112"/>
      <c r="E1056" s="112"/>
      <c r="F1056" s="112"/>
      <c r="G1056" s="112"/>
      <c r="H1056" s="112"/>
    </row>
    <row r="1057" spans="3:8">
      <c r="C1057" s="112"/>
      <c r="D1057" s="112"/>
      <c r="E1057" s="112"/>
      <c r="F1057" s="112"/>
      <c r="G1057" s="112"/>
      <c r="H1057" s="112"/>
    </row>
    <row r="1058" spans="3:8">
      <c r="C1058" s="112"/>
      <c r="D1058" s="112"/>
      <c r="E1058" s="112"/>
      <c r="F1058" s="112"/>
      <c r="G1058" s="112"/>
      <c r="H1058" s="112"/>
    </row>
    <row r="1059" spans="3:8">
      <c r="C1059" s="112"/>
      <c r="D1059" s="112"/>
      <c r="E1059" s="112"/>
      <c r="F1059" s="112"/>
      <c r="G1059" s="112"/>
      <c r="H1059" s="112"/>
    </row>
    <row r="1060" spans="3:8">
      <c r="C1060" s="112"/>
      <c r="D1060" s="112"/>
      <c r="E1060" s="112"/>
      <c r="F1060" s="112"/>
      <c r="G1060" s="112"/>
      <c r="H1060" s="112"/>
    </row>
    <row r="1061" spans="3:8">
      <c r="C1061" s="112"/>
      <c r="D1061" s="112"/>
      <c r="E1061" s="112"/>
      <c r="F1061" s="112"/>
      <c r="G1061" s="112"/>
      <c r="H1061" s="112"/>
    </row>
    <row r="1062" spans="3:8">
      <c r="C1062" s="112"/>
      <c r="D1062" s="112"/>
      <c r="E1062" s="112"/>
      <c r="F1062" s="112"/>
      <c r="G1062" s="112"/>
      <c r="H1062" s="112"/>
    </row>
    <row r="1063" spans="3:8">
      <c r="C1063" s="112"/>
      <c r="D1063" s="112"/>
      <c r="E1063" s="112"/>
      <c r="F1063" s="112"/>
      <c r="G1063" s="112"/>
      <c r="H1063" s="112"/>
    </row>
    <row r="1064" spans="3:8">
      <c r="C1064" s="112"/>
      <c r="D1064" s="112"/>
      <c r="E1064" s="112"/>
      <c r="F1064" s="112"/>
      <c r="G1064" s="112"/>
      <c r="H1064" s="112"/>
    </row>
    <row r="1065" spans="3:8">
      <c r="C1065" s="112"/>
      <c r="D1065" s="112"/>
      <c r="E1065" s="112"/>
      <c r="F1065" s="112"/>
      <c r="G1065" s="112"/>
      <c r="H1065" s="112"/>
    </row>
    <row r="1066" spans="3:8">
      <c r="C1066" s="112"/>
      <c r="D1066" s="112"/>
      <c r="E1066" s="112"/>
      <c r="F1066" s="112"/>
      <c r="G1066" s="112"/>
      <c r="H1066" s="112"/>
    </row>
    <row r="1067" spans="3:8">
      <c r="C1067" s="112"/>
      <c r="D1067" s="112"/>
      <c r="E1067" s="112"/>
      <c r="F1067" s="112"/>
      <c r="G1067" s="112"/>
      <c r="H1067" s="112"/>
    </row>
    <row r="1068" spans="3:8">
      <c r="C1068" s="112"/>
      <c r="D1068" s="112"/>
      <c r="E1068" s="112"/>
      <c r="F1068" s="112"/>
      <c r="G1068" s="112"/>
      <c r="H1068" s="112"/>
    </row>
    <row r="1069" spans="3:8">
      <c r="C1069" s="112"/>
      <c r="D1069" s="112"/>
      <c r="E1069" s="112"/>
      <c r="F1069" s="112"/>
      <c r="G1069" s="112"/>
      <c r="H1069" s="112"/>
    </row>
    <row r="1070" spans="3:8">
      <c r="C1070" s="112"/>
      <c r="D1070" s="112"/>
      <c r="E1070" s="112"/>
      <c r="F1070" s="112"/>
      <c r="G1070" s="112"/>
      <c r="H1070" s="112"/>
    </row>
    <row r="1071" spans="3:8">
      <c r="C1071" s="112"/>
      <c r="D1071" s="112"/>
      <c r="E1071" s="112"/>
      <c r="F1071" s="112"/>
      <c r="G1071" s="112"/>
      <c r="H1071" s="112"/>
    </row>
    <row r="1072" spans="3:8">
      <c r="C1072" s="112"/>
      <c r="D1072" s="112"/>
      <c r="E1072" s="112"/>
      <c r="F1072" s="112"/>
      <c r="G1072" s="112"/>
      <c r="H1072" s="112"/>
    </row>
    <row r="1073" spans="3:8">
      <c r="C1073" s="112"/>
      <c r="D1073" s="112"/>
      <c r="E1073" s="112"/>
      <c r="F1073" s="112"/>
      <c r="G1073" s="112"/>
      <c r="H1073" s="112"/>
    </row>
    <row r="1074" spans="3:8">
      <c r="C1074" s="112"/>
      <c r="D1074" s="112"/>
      <c r="E1074" s="112"/>
      <c r="F1074" s="112"/>
      <c r="G1074" s="112"/>
      <c r="H1074" s="112"/>
    </row>
    <row r="1075" spans="3:8">
      <c r="C1075" s="112"/>
      <c r="D1075" s="112"/>
      <c r="E1075" s="112"/>
      <c r="F1075" s="112"/>
      <c r="G1075" s="112"/>
      <c r="H1075" s="112"/>
    </row>
    <row r="1076" spans="3:8">
      <c r="C1076" s="112"/>
      <c r="D1076" s="112"/>
      <c r="E1076" s="112"/>
      <c r="F1076" s="112"/>
      <c r="G1076" s="112"/>
      <c r="H1076" s="112"/>
    </row>
    <row r="1077" spans="3:8">
      <c r="C1077" s="112"/>
      <c r="D1077" s="112"/>
      <c r="E1077" s="112"/>
      <c r="F1077" s="112"/>
      <c r="G1077" s="112"/>
      <c r="H1077" s="112"/>
    </row>
    <row r="1078" spans="3:8">
      <c r="C1078" s="112"/>
      <c r="D1078" s="112"/>
      <c r="E1078" s="112"/>
      <c r="F1078" s="112"/>
      <c r="G1078" s="112"/>
      <c r="H1078" s="112"/>
    </row>
    <row r="1079" spans="3:8">
      <c r="C1079" s="112"/>
      <c r="D1079" s="112"/>
      <c r="E1079" s="112"/>
      <c r="F1079" s="112"/>
      <c r="G1079" s="112"/>
      <c r="H1079" s="112"/>
    </row>
    <row r="1080" spans="3:8">
      <c r="C1080" s="112"/>
      <c r="D1080" s="112"/>
      <c r="E1080" s="112"/>
      <c r="F1080" s="112"/>
      <c r="G1080" s="112"/>
      <c r="H1080" s="112"/>
    </row>
    <row r="1081" spans="3:8">
      <c r="C1081" s="112"/>
      <c r="D1081" s="112"/>
      <c r="E1081" s="112"/>
      <c r="F1081" s="112"/>
      <c r="G1081" s="112"/>
      <c r="H1081" s="112"/>
    </row>
    <row r="1082" spans="3:8">
      <c r="C1082" s="112"/>
      <c r="D1082" s="112"/>
      <c r="E1082" s="112"/>
      <c r="F1082" s="112"/>
      <c r="G1082" s="112"/>
      <c r="H1082" s="112"/>
    </row>
    <row r="1083" spans="3:8">
      <c r="C1083" s="112"/>
      <c r="D1083" s="112"/>
      <c r="E1083" s="112"/>
      <c r="F1083" s="112"/>
      <c r="G1083" s="112"/>
      <c r="H1083" s="112"/>
    </row>
    <row r="1084" spans="3:8">
      <c r="C1084" s="112"/>
      <c r="D1084" s="112"/>
      <c r="E1084" s="112"/>
      <c r="F1084" s="112"/>
      <c r="G1084" s="112"/>
      <c r="H1084" s="112"/>
    </row>
    <row r="1085" spans="3:8">
      <c r="C1085" s="112"/>
      <c r="D1085" s="112"/>
      <c r="E1085" s="112"/>
      <c r="F1085" s="112"/>
      <c r="G1085" s="112"/>
      <c r="H1085" s="112"/>
    </row>
    <row r="1086" spans="3:8">
      <c r="C1086" s="112"/>
      <c r="D1086" s="112"/>
      <c r="E1086" s="112"/>
      <c r="F1086" s="112"/>
      <c r="G1086" s="112"/>
      <c r="H1086" s="112"/>
    </row>
    <row r="1087" spans="3:8">
      <c r="C1087" s="112"/>
      <c r="D1087" s="112"/>
      <c r="E1087" s="112"/>
      <c r="F1087" s="112"/>
      <c r="G1087" s="112"/>
      <c r="H1087" s="112"/>
    </row>
    <row r="1088" spans="3:8">
      <c r="C1088" s="112"/>
      <c r="D1088" s="112"/>
      <c r="E1088" s="112"/>
      <c r="F1088" s="112"/>
      <c r="G1088" s="112"/>
      <c r="H1088" s="112"/>
    </row>
    <row r="1089" spans="3:8">
      <c r="C1089" s="112"/>
      <c r="D1089" s="112"/>
      <c r="E1089" s="112"/>
      <c r="F1089" s="112"/>
      <c r="G1089" s="112"/>
      <c r="H1089" s="112"/>
    </row>
    <row r="1090" spans="3:8">
      <c r="C1090" s="112"/>
      <c r="D1090" s="112"/>
      <c r="E1090" s="112"/>
      <c r="F1090" s="112"/>
      <c r="G1090" s="112"/>
      <c r="H1090" s="112"/>
    </row>
    <row r="1091" spans="3:8">
      <c r="C1091" s="112"/>
      <c r="D1091" s="112"/>
      <c r="E1091" s="112"/>
      <c r="F1091" s="112"/>
      <c r="G1091" s="112"/>
      <c r="H1091" s="112"/>
    </row>
    <row r="1092" spans="3:8">
      <c r="C1092" s="112"/>
      <c r="D1092" s="112"/>
      <c r="E1092" s="112"/>
      <c r="F1092" s="112"/>
      <c r="G1092" s="112"/>
      <c r="H1092" s="112"/>
    </row>
    <row r="1093" spans="3:8">
      <c r="C1093" s="112"/>
      <c r="D1093" s="112"/>
      <c r="E1093" s="112"/>
      <c r="F1093" s="112"/>
      <c r="G1093" s="112"/>
      <c r="H1093" s="112"/>
    </row>
    <row r="1094" spans="3:8">
      <c r="C1094" s="112"/>
      <c r="D1094" s="112"/>
      <c r="E1094" s="112"/>
      <c r="F1094" s="112"/>
      <c r="G1094" s="112"/>
      <c r="H1094" s="112"/>
    </row>
    <row r="1095" spans="3:8">
      <c r="C1095" s="112"/>
      <c r="D1095" s="112"/>
      <c r="E1095" s="112"/>
      <c r="F1095" s="112"/>
      <c r="G1095" s="112"/>
      <c r="H1095" s="112"/>
    </row>
    <row r="1096" spans="3:8">
      <c r="C1096" s="112"/>
      <c r="D1096" s="112"/>
      <c r="E1096" s="112"/>
      <c r="F1096" s="112"/>
      <c r="G1096" s="112"/>
      <c r="H1096" s="112"/>
    </row>
    <row r="1097" spans="3:8">
      <c r="C1097" s="112"/>
      <c r="D1097" s="112"/>
      <c r="E1097" s="112"/>
      <c r="F1097" s="112"/>
      <c r="G1097" s="112"/>
      <c r="H1097" s="112"/>
    </row>
    <row r="1098" spans="3:8">
      <c r="C1098" s="112"/>
      <c r="D1098" s="112"/>
      <c r="E1098" s="112"/>
      <c r="F1098" s="112"/>
      <c r="G1098" s="112"/>
      <c r="H1098" s="112"/>
    </row>
    <row r="1099" spans="3:8">
      <c r="C1099" s="112"/>
      <c r="D1099" s="112"/>
      <c r="E1099" s="112"/>
      <c r="F1099" s="112"/>
      <c r="G1099" s="112"/>
      <c r="H1099" s="112"/>
    </row>
    <row r="1100" spans="3:8">
      <c r="C1100" s="112"/>
      <c r="D1100" s="112"/>
      <c r="E1100" s="112"/>
      <c r="F1100" s="112"/>
      <c r="G1100" s="112"/>
      <c r="H1100" s="112"/>
    </row>
    <row r="1101" spans="3:8">
      <c r="C1101" s="112"/>
      <c r="D1101" s="112"/>
      <c r="E1101" s="112"/>
      <c r="F1101" s="112"/>
      <c r="G1101" s="112"/>
      <c r="H1101" s="112"/>
    </row>
    <row r="1102" spans="3:8">
      <c r="C1102" s="112"/>
      <c r="D1102" s="112"/>
      <c r="E1102" s="112"/>
      <c r="F1102" s="112"/>
      <c r="G1102" s="112"/>
      <c r="H1102" s="112"/>
    </row>
    <row r="1103" spans="3:8">
      <c r="C1103" s="112"/>
      <c r="D1103" s="112"/>
      <c r="E1103" s="112"/>
      <c r="F1103" s="112"/>
      <c r="G1103" s="112"/>
      <c r="H1103" s="112"/>
    </row>
    <row r="1104" spans="3:8">
      <c r="C1104" s="112"/>
      <c r="D1104" s="112"/>
      <c r="E1104" s="112"/>
      <c r="F1104" s="112"/>
      <c r="G1104" s="112"/>
      <c r="H1104" s="112"/>
    </row>
    <row r="1105" spans="3:8">
      <c r="C1105" s="112"/>
      <c r="D1105" s="112"/>
      <c r="E1105" s="112"/>
      <c r="F1105" s="112"/>
      <c r="G1105" s="112"/>
      <c r="H1105" s="112"/>
    </row>
    <row r="1106" spans="3:8">
      <c r="C1106" s="112"/>
      <c r="D1106" s="112"/>
      <c r="E1106" s="112"/>
      <c r="F1106" s="112"/>
      <c r="G1106" s="112"/>
      <c r="H1106" s="112"/>
    </row>
    <row r="1107" spans="3:8">
      <c r="C1107" s="112"/>
      <c r="D1107" s="112"/>
      <c r="E1107" s="112"/>
      <c r="F1107" s="112"/>
      <c r="G1107" s="112"/>
      <c r="H1107" s="112"/>
    </row>
    <row r="1108" spans="3:8">
      <c r="C1108" s="112"/>
      <c r="D1108" s="112"/>
      <c r="E1108" s="112"/>
      <c r="F1108" s="112"/>
      <c r="G1108" s="112"/>
      <c r="H1108" s="112"/>
    </row>
    <row r="1109" spans="3:8">
      <c r="C1109" s="112"/>
      <c r="D1109" s="112"/>
      <c r="E1109" s="112"/>
      <c r="F1109" s="112"/>
      <c r="G1109" s="112"/>
      <c r="H1109" s="112"/>
    </row>
    <row r="1110" spans="3:8">
      <c r="C1110" s="112"/>
      <c r="D1110" s="112"/>
      <c r="E1110" s="112"/>
      <c r="F1110" s="112"/>
      <c r="G1110" s="112"/>
      <c r="H1110" s="112"/>
    </row>
    <row r="1111" spans="3:8">
      <c r="C1111" s="112"/>
      <c r="D1111" s="112"/>
      <c r="E1111" s="112"/>
      <c r="F1111" s="112"/>
      <c r="G1111" s="112"/>
      <c r="H1111" s="112"/>
    </row>
    <row r="1112" spans="3:8">
      <c r="C1112" s="112"/>
      <c r="D1112" s="112"/>
      <c r="E1112" s="112"/>
      <c r="F1112" s="112"/>
      <c r="G1112" s="112"/>
      <c r="H1112" s="112"/>
    </row>
    <row r="1113" spans="3:8">
      <c r="C1113" s="112"/>
      <c r="D1113" s="112"/>
      <c r="E1113" s="112"/>
      <c r="F1113" s="112"/>
      <c r="G1113" s="112"/>
      <c r="H1113" s="112"/>
    </row>
    <row r="1114" spans="3:8">
      <c r="C1114" s="112"/>
      <c r="D1114" s="112"/>
      <c r="E1114" s="112"/>
      <c r="F1114" s="112"/>
      <c r="G1114" s="112"/>
      <c r="H1114" s="112"/>
    </row>
    <row r="1115" spans="3:8">
      <c r="C1115" s="112"/>
      <c r="D1115" s="112"/>
      <c r="E1115" s="112"/>
      <c r="F1115" s="112"/>
      <c r="G1115" s="112"/>
      <c r="H1115" s="112"/>
    </row>
    <row r="1116" spans="3:8">
      <c r="C1116" s="112"/>
      <c r="D1116" s="112"/>
      <c r="E1116" s="112"/>
      <c r="F1116" s="112"/>
      <c r="G1116" s="112"/>
      <c r="H1116" s="112"/>
    </row>
    <row r="1117" spans="3:8">
      <c r="C1117" s="112"/>
      <c r="D1117" s="112"/>
      <c r="E1117" s="112"/>
      <c r="F1117" s="112"/>
      <c r="G1117" s="112"/>
      <c r="H1117" s="112"/>
    </row>
    <row r="1118" spans="3:8">
      <c r="C1118" s="112"/>
      <c r="D1118" s="112"/>
      <c r="E1118" s="112"/>
      <c r="F1118" s="112"/>
      <c r="G1118" s="112"/>
      <c r="H1118" s="112"/>
    </row>
    <row r="1119" spans="3:8">
      <c r="C1119" s="112"/>
      <c r="D1119" s="112"/>
      <c r="E1119" s="112"/>
      <c r="F1119" s="112"/>
      <c r="G1119" s="112"/>
      <c r="H1119" s="112"/>
    </row>
    <row r="1120" spans="3:8">
      <c r="C1120" s="112"/>
      <c r="D1120" s="112"/>
      <c r="E1120" s="112"/>
      <c r="F1120" s="112"/>
      <c r="G1120" s="112"/>
      <c r="H1120" s="112"/>
    </row>
    <row r="1121" spans="3:8">
      <c r="C1121" s="112"/>
      <c r="D1121" s="112"/>
      <c r="E1121" s="112"/>
      <c r="F1121" s="112"/>
      <c r="G1121" s="112"/>
      <c r="H1121" s="112"/>
    </row>
    <row r="1122" spans="3:8">
      <c r="C1122" s="112"/>
      <c r="D1122" s="112"/>
      <c r="E1122" s="112"/>
      <c r="F1122" s="112"/>
      <c r="G1122" s="112"/>
      <c r="H1122" s="112"/>
    </row>
    <row r="1123" spans="3:8">
      <c r="C1123" s="112"/>
      <c r="D1123" s="112"/>
      <c r="E1123" s="112"/>
      <c r="F1123" s="112"/>
      <c r="G1123" s="112"/>
      <c r="H1123" s="112"/>
    </row>
    <row r="1124" spans="3:8">
      <c r="C1124" s="112"/>
      <c r="D1124" s="112"/>
      <c r="E1124" s="112"/>
      <c r="F1124" s="112"/>
      <c r="G1124" s="112"/>
      <c r="H1124" s="112"/>
    </row>
    <row r="1125" spans="3:8">
      <c r="C1125" s="112"/>
      <c r="D1125" s="112"/>
      <c r="E1125" s="112"/>
      <c r="F1125" s="112"/>
      <c r="G1125" s="112"/>
      <c r="H1125" s="112"/>
    </row>
    <row r="1126" spans="3:8">
      <c r="C1126" s="112"/>
      <c r="D1126" s="112"/>
      <c r="E1126" s="112"/>
      <c r="F1126" s="112"/>
      <c r="G1126" s="112"/>
      <c r="H1126" s="112"/>
    </row>
    <row r="1127" spans="3:8">
      <c r="C1127" s="112"/>
      <c r="D1127" s="112"/>
      <c r="E1127" s="112"/>
      <c r="F1127" s="112"/>
      <c r="G1127" s="112"/>
      <c r="H1127" s="112"/>
    </row>
    <row r="1128" spans="3:8">
      <c r="C1128" s="112"/>
      <c r="D1128" s="112"/>
      <c r="E1128" s="112"/>
      <c r="F1128" s="112"/>
      <c r="G1128" s="112"/>
      <c r="H1128" s="112"/>
    </row>
    <row r="1129" spans="3:8">
      <c r="C1129" s="112"/>
      <c r="D1129" s="112"/>
      <c r="E1129" s="112"/>
      <c r="F1129" s="112"/>
      <c r="G1129" s="112"/>
      <c r="H1129" s="112"/>
    </row>
    <row r="1130" spans="3:8">
      <c r="C1130" s="112"/>
      <c r="D1130" s="112"/>
      <c r="E1130" s="112"/>
      <c r="F1130" s="112"/>
      <c r="G1130" s="112"/>
      <c r="H1130" s="112"/>
    </row>
    <row r="1131" spans="3:8">
      <c r="C1131" s="112"/>
      <c r="D1131" s="112"/>
      <c r="E1131" s="112"/>
      <c r="F1131" s="112"/>
      <c r="G1131" s="112"/>
      <c r="H1131" s="112"/>
    </row>
    <row r="1132" spans="3:8">
      <c r="C1132" s="112"/>
      <c r="D1132" s="112"/>
      <c r="E1132" s="112"/>
      <c r="F1132" s="112"/>
      <c r="G1132" s="112"/>
      <c r="H1132" s="112"/>
    </row>
    <row r="1133" spans="3:8">
      <c r="C1133" s="112"/>
      <c r="D1133" s="112"/>
      <c r="E1133" s="112"/>
      <c r="F1133" s="112"/>
      <c r="G1133" s="112"/>
      <c r="H1133" s="112"/>
    </row>
    <row r="1134" spans="3:8">
      <c r="C1134" s="112"/>
      <c r="D1134" s="112"/>
      <c r="E1134" s="112"/>
      <c r="F1134" s="112"/>
      <c r="G1134" s="112"/>
      <c r="H1134" s="112"/>
    </row>
    <row r="1135" spans="3:8">
      <c r="C1135" s="112"/>
      <c r="D1135" s="112"/>
      <c r="E1135" s="112"/>
      <c r="F1135" s="112"/>
      <c r="G1135" s="112"/>
      <c r="H1135" s="112"/>
    </row>
    <row r="1136" spans="3:8">
      <c r="C1136" s="112"/>
      <c r="D1136" s="112"/>
      <c r="E1136" s="112"/>
      <c r="F1136" s="112"/>
      <c r="G1136" s="112"/>
      <c r="H1136" s="112"/>
    </row>
    <row r="1137" spans="3:8">
      <c r="C1137" s="112"/>
      <c r="D1137" s="112"/>
      <c r="E1137" s="112"/>
      <c r="F1137" s="112"/>
      <c r="G1137" s="112"/>
      <c r="H1137" s="112"/>
    </row>
    <row r="1138" spans="3:8">
      <c r="C1138" s="112"/>
      <c r="D1138" s="112"/>
      <c r="E1138" s="112"/>
      <c r="F1138" s="112"/>
      <c r="G1138" s="112"/>
      <c r="H1138" s="112"/>
    </row>
    <row r="1139" spans="3:8">
      <c r="C1139" s="112"/>
      <c r="D1139" s="112"/>
      <c r="E1139" s="112"/>
      <c r="F1139" s="112"/>
      <c r="G1139" s="112"/>
      <c r="H1139" s="112"/>
    </row>
    <row r="1140" spans="3:8">
      <c r="C1140" s="112"/>
      <c r="D1140" s="112"/>
      <c r="E1140" s="112"/>
      <c r="F1140" s="112"/>
      <c r="G1140" s="112"/>
      <c r="H1140" s="112"/>
    </row>
    <row r="1141" spans="3:8">
      <c r="C1141" s="112"/>
      <c r="D1141" s="112"/>
      <c r="E1141" s="112"/>
      <c r="F1141" s="112"/>
      <c r="G1141" s="112"/>
      <c r="H1141" s="112"/>
    </row>
    <row r="1142" spans="3:8">
      <c r="C1142" s="112"/>
      <c r="D1142" s="112"/>
      <c r="E1142" s="112"/>
      <c r="F1142" s="112"/>
      <c r="G1142" s="112"/>
      <c r="H1142" s="112"/>
    </row>
    <row r="1143" spans="3:8">
      <c r="C1143" s="112"/>
      <c r="D1143" s="112"/>
      <c r="E1143" s="112"/>
      <c r="F1143" s="112"/>
      <c r="G1143" s="112"/>
      <c r="H1143" s="112"/>
    </row>
    <row r="1144" spans="3:8">
      <c r="C1144" s="112"/>
      <c r="D1144" s="112"/>
      <c r="E1144" s="112"/>
      <c r="F1144" s="112"/>
      <c r="G1144" s="112"/>
      <c r="H1144" s="112"/>
    </row>
    <row r="1145" spans="3:8">
      <c r="C1145" s="112"/>
      <c r="D1145" s="112"/>
      <c r="E1145" s="112"/>
      <c r="F1145" s="112"/>
      <c r="G1145" s="112"/>
      <c r="H1145" s="112"/>
    </row>
    <row r="1146" spans="3:8">
      <c r="C1146" s="112"/>
      <c r="D1146" s="112"/>
      <c r="E1146" s="112"/>
      <c r="F1146" s="112"/>
      <c r="G1146" s="112"/>
      <c r="H1146" s="112"/>
    </row>
    <row r="1147" spans="3:8">
      <c r="C1147" s="112"/>
      <c r="D1147" s="112"/>
      <c r="E1147" s="112"/>
      <c r="F1147" s="112"/>
      <c r="G1147" s="112"/>
      <c r="H1147" s="112"/>
    </row>
    <row r="1148" spans="3:8">
      <c r="C1148" s="112"/>
      <c r="D1148" s="112"/>
      <c r="E1148" s="112"/>
      <c r="F1148" s="112"/>
      <c r="G1148" s="112"/>
      <c r="H1148" s="112"/>
    </row>
    <row r="1149" spans="3:8">
      <c r="C1149" s="112"/>
      <c r="D1149" s="112"/>
      <c r="E1149" s="112"/>
      <c r="F1149" s="112"/>
      <c r="G1149" s="112"/>
      <c r="H1149" s="112"/>
    </row>
    <row r="1150" spans="3:8">
      <c r="C1150" s="112"/>
      <c r="D1150" s="112"/>
      <c r="E1150" s="112"/>
      <c r="F1150" s="112"/>
      <c r="G1150" s="112"/>
      <c r="H1150" s="112"/>
    </row>
    <row r="1151" spans="3:8">
      <c r="C1151" s="112"/>
      <c r="D1151" s="112"/>
      <c r="E1151" s="112"/>
      <c r="F1151" s="112"/>
      <c r="G1151" s="112"/>
      <c r="H1151" s="112"/>
    </row>
    <row r="1152" spans="3:8">
      <c r="C1152" s="112"/>
      <c r="D1152" s="112"/>
      <c r="E1152" s="112"/>
      <c r="F1152" s="112"/>
      <c r="G1152" s="112"/>
      <c r="H1152" s="112"/>
    </row>
    <row r="1153" spans="3:8">
      <c r="C1153" s="112"/>
      <c r="D1153" s="112"/>
      <c r="E1153" s="112"/>
      <c r="F1153" s="112"/>
      <c r="G1153" s="112"/>
      <c r="H1153" s="112"/>
    </row>
    <row r="1154" spans="3:8">
      <c r="C1154" s="112"/>
      <c r="D1154" s="112"/>
      <c r="E1154" s="112"/>
      <c r="F1154" s="112"/>
      <c r="G1154" s="112"/>
      <c r="H1154" s="112"/>
    </row>
    <row r="1155" spans="3:8">
      <c r="C1155" s="112"/>
      <c r="D1155" s="112"/>
      <c r="E1155" s="112"/>
      <c r="F1155" s="112"/>
      <c r="G1155" s="112"/>
      <c r="H1155" s="112"/>
    </row>
    <row r="1156" spans="3:8">
      <c r="C1156" s="112"/>
      <c r="D1156" s="112"/>
      <c r="E1156" s="112"/>
      <c r="F1156" s="112"/>
      <c r="G1156" s="112"/>
      <c r="H1156" s="112"/>
    </row>
    <row r="1157" spans="3:8">
      <c r="C1157" s="112"/>
      <c r="D1157" s="112"/>
      <c r="E1157" s="112"/>
      <c r="F1157" s="112"/>
      <c r="G1157" s="112"/>
      <c r="H1157" s="112"/>
    </row>
    <row r="1158" spans="3:8">
      <c r="C1158" s="112"/>
      <c r="D1158" s="112"/>
      <c r="E1158" s="112"/>
      <c r="F1158" s="112"/>
      <c r="G1158" s="112"/>
      <c r="H1158" s="112"/>
    </row>
    <row r="1159" spans="3:8">
      <c r="C1159" s="112"/>
      <c r="D1159" s="112"/>
      <c r="E1159" s="112"/>
      <c r="F1159" s="112"/>
      <c r="G1159" s="112"/>
      <c r="H1159" s="112"/>
    </row>
    <row r="1160" spans="3:8">
      <c r="C1160" s="112"/>
      <c r="D1160" s="112"/>
      <c r="E1160" s="112"/>
      <c r="F1160" s="112"/>
      <c r="G1160" s="112"/>
      <c r="H1160" s="112"/>
    </row>
    <row r="1161" spans="3:8">
      <c r="C1161" s="112"/>
      <c r="D1161" s="112"/>
      <c r="E1161" s="112"/>
      <c r="F1161" s="112"/>
      <c r="G1161" s="112"/>
      <c r="H1161" s="112"/>
    </row>
    <row r="1162" spans="3:8">
      <c r="C1162" s="112"/>
      <c r="D1162" s="112"/>
      <c r="E1162" s="112"/>
      <c r="F1162" s="112"/>
      <c r="G1162" s="112"/>
      <c r="H1162" s="112"/>
    </row>
    <row r="1163" spans="3:8">
      <c r="C1163" s="112"/>
      <c r="D1163" s="112"/>
      <c r="E1163" s="112"/>
      <c r="F1163" s="112"/>
      <c r="G1163" s="112"/>
      <c r="H1163" s="112"/>
    </row>
    <row r="1164" spans="3:8">
      <c r="C1164" s="112"/>
      <c r="D1164" s="112"/>
      <c r="E1164" s="112"/>
      <c r="F1164" s="112"/>
      <c r="G1164" s="112"/>
      <c r="H1164" s="112"/>
    </row>
    <row r="1165" spans="3:8">
      <c r="C1165" s="112"/>
      <c r="D1165" s="112"/>
      <c r="E1165" s="112"/>
      <c r="F1165" s="112"/>
      <c r="G1165" s="112"/>
      <c r="H1165" s="112"/>
    </row>
    <row r="1166" spans="3:8">
      <c r="C1166" s="112"/>
      <c r="D1166" s="112"/>
      <c r="E1166" s="112"/>
      <c r="F1166" s="112"/>
      <c r="G1166" s="112"/>
      <c r="H1166" s="112"/>
    </row>
    <row r="1167" spans="3:8">
      <c r="C1167" s="112"/>
      <c r="D1167" s="112"/>
      <c r="E1167" s="112"/>
      <c r="F1167" s="112"/>
      <c r="G1167" s="112"/>
      <c r="H1167" s="112"/>
    </row>
    <row r="1168" spans="3:8">
      <c r="C1168" s="112"/>
      <c r="D1168" s="112"/>
      <c r="E1168" s="112"/>
      <c r="F1168" s="112"/>
      <c r="G1168" s="112"/>
      <c r="H1168" s="112"/>
    </row>
    <row r="1169" spans="3:8">
      <c r="C1169" s="112"/>
      <c r="D1169" s="112"/>
      <c r="E1169" s="112"/>
      <c r="F1169" s="112"/>
      <c r="G1169" s="112"/>
      <c r="H1169" s="112"/>
    </row>
    <row r="1170" spans="3:8">
      <c r="C1170" s="112"/>
      <c r="D1170" s="112"/>
      <c r="E1170" s="112"/>
      <c r="F1170" s="112"/>
      <c r="G1170" s="112"/>
      <c r="H1170" s="112"/>
    </row>
    <row r="1171" spans="3:8">
      <c r="C1171" s="112"/>
      <c r="D1171" s="112"/>
      <c r="E1171" s="112"/>
      <c r="F1171" s="112"/>
      <c r="G1171" s="112"/>
      <c r="H1171" s="112"/>
    </row>
    <row r="1172" spans="3:8">
      <c r="C1172" s="112"/>
      <c r="D1172" s="112"/>
      <c r="E1172" s="112"/>
      <c r="F1172" s="112"/>
      <c r="G1172" s="112"/>
      <c r="H1172" s="112"/>
    </row>
    <row r="1173" spans="3:8">
      <c r="C1173" s="112"/>
      <c r="D1173" s="112"/>
      <c r="E1173" s="112"/>
      <c r="F1173" s="112"/>
      <c r="G1173" s="112"/>
      <c r="H1173" s="112"/>
    </row>
    <row r="1174" spans="3:8">
      <c r="C1174" s="112"/>
      <c r="D1174" s="112"/>
      <c r="E1174" s="112"/>
      <c r="F1174" s="112"/>
      <c r="G1174" s="112"/>
      <c r="H1174" s="112"/>
    </row>
    <row r="1175" spans="3:8">
      <c r="C1175" s="112"/>
      <c r="D1175" s="112"/>
      <c r="E1175" s="112"/>
      <c r="F1175" s="112"/>
      <c r="G1175" s="112"/>
      <c r="H1175" s="112"/>
    </row>
    <row r="1176" spans="3:8">
      <c r="C1176" s="112"/>
      <c r="D1176" s="112"/>
      <c r="E1176" s="112"/>
      <c r="F1176" s="112"/>
      <c r="G1176" s="112"/>
      <c r="H1176" s="112"/>
    </row>
    <row r="1177" spans="3:8">
      <c r="C1177" s="112"/>
      <c r="D1177" s="112"/>
      <c r="E1177" s="112"/>
      <c r="F1177" s="112"/>
      <c r="G1177" s="112"/>
      <c r="H1177" s="112"/>
    </row>
    <row r="1178" spans="3:8">
      <c r="C1178" s="112"/>
      <c r="D1178" s="112"/>
      <c r="E1178" s="112"/>
      <c r="F1178" s="112"/>
      <c r="G1178" s="112"/>
      <c r="H1178" s="112"/>
    </row>
    <row r="1179" spans="3:8">
      <c r="C1179" s="112"/>
      <c r="D1179" s="112"/>
      <c r="E1179" s="112"/>
      <c r="F1179" s="112"/>
      <c r="G1179" s="112"/>
      <c r="H1179" s="112"/>
    </row>
    <row r="1180" spans="3:8">
      <c r="C1180" s="112"/>
      <c r="D1180" s="112"/>
      <c r="E1180" s="112"/>
      <c r="F1180" s="112"/>
      <c r="G1180" s="112"/>
      <c r="H1180" s="112"/>
    </row>
    <row r="1181" spans="3:8">
      <c r="C1181" s="112"/>
      <c r="D1181" s="112"/>
      <c r="E1181" s="112"/>
      <c r="F1181" s="112"/>
      <c r="G1181" s="112"/>
      <c r="H1181" s="112"/>
    </row>
    <row r="1182" spans="3:8">
      <c r="C1182" s="112"/>
      <c r="D1182" s="112"/>
      <c r="E1182" s="112"/>
      <c r="F1182" s="112"/>
      <c r="G1182" s="112"/>
      <c r="H1182" s="112"/>
    </row>
    <row r="1183" spans="3:8">
      <c r="C1183" s="112"/>
      <c r="D1183" s="112"/>
      <c r="E1183" s="112"/>
      <c r="F1183" s="112"/>
      <c r="G1183" s="112"/>
      <c r="H1183" s="112"/>
    </row>
    <row r="1184" spans="3:8">
      <c r="C1184" s="112"/>
      <c r="D1184" s="112"/>
      <c r="E1184" s="112"/>
      <c r="F1184" s="112"/>
      <c r="G1184" s="112"/>
      <c r="H1184" s="112"/>
    </row>
    <row r="1185" spans="3:8">
      <c r="C1185" s="112"/>
      <c r="D1185" s="112"/>
      <c r="E1185" s="112"/>
      <c r="F1185" s="112"/>
      <c r="G1185" s="112"/>
      <c r="H1185" s="112"/>
    </row>
    <row r="1186" spans="3:8">
      <c r="C1186" s="112"/>
      <c r="D1186" s="112"/>
      <c r="E1186" s="112"/>
      <c r="F1186" s="112"/>
      <c r="G1186" s="112"/>
      <c r="H1186" s="112"/>
    </row>
    <row r="1187" spans="3:8">
      <c r="C1187" s="112"/>
      <c r="D1187" s="112"/>
      <c r="E1187" s="112"/>
      <c r="F1187" s="112"/>
      <c r="G1187" s="112"/>
      <c r="H1187" s="112"/>
    </row>
    <row r="1188" spans="3:8">
      <c r="C1188" s="112"/>
      <c r="D1188" s="112"/>
      <c r="E1188" s="112"/>
      <c r="F1188" s="112"/>
      <c r="G1188" s="112"/>
      <c r="H1188" s="112"/>
    </row>
    <row r="1189" spans="3:8">
      <c r="C1189" s="112"/>
      <c r="D1189" s="112"/>
      <c r="E1189" s="112"/>
      <c r="F1189" s="112"/>
      <c r="G1189" s="112"/>
      <c r="H1189" s="112"/>
    </row>
    <row r="1190" spans="3:8">
      <c r="C1190" s="112"/>
      <c r="D1190" s="112"/>
      <c r="E1190" s="112"/>
      <c r="F1190" s="112"/>
      <c r="G1190" s="112"/>
      <c r="H1190" s="112"/>
    </row>
    <row r="1191" spans="3:8">
      <c r="C1191" s="112"/>
      <c r="D1191" s="112"/>
      <c r="E1191" s="112"/>
      <c r="F1191" s="112"/>
      <c r="G1191" s="112"/>
      <c r="H1191" s="112"/>
    </row>
    <row r="1192" spans="3:8">
      <c r="C1192" s="112"/>
      <c r="D1192" s="112"/>
      <c r="E1192" s="112"/>
      <c r="F1192" s="112"/>
      <c r="G1192" s="112"/>
      <c r="H1192" s="112"/>
    </row>
    <row r="1193" spans="3:8">
      <c r="C1193" s="112"/>
      <c r="D1193" s="112"/>
      <c r="E1193" s="112"/>
      <c r="F1193" s="112"/>
      <c r="G1193" s="112"/>
      <c r="H1193" s="112"/>
    </row>
    <row r="1194" spans="3:8">
      <c r="C1194" s="112"/>
      <c r="D1194" s="112"/>
      <c r="E1194" s="112"/>
      <c r="F1194" s="112"/>
      <c r="G1194" s="112"/>
      <c r="H1194" s="112"/>
    </row>
    <row r="1195" spans="3:8">
      <c r="C1195" s="112"/>
      <c r="D1195" s="112"/>
      <c r="E1195" s="112"/>
      <c r="F1195" s="112"/>
      <c r="G1195" s="112"/>
      <c r="H1195" s="112"/>
    </row>
    <row r="1196" spans="3:8">
      <c r="C1196" s="112"/>
      <c r="D1196" s="112"/>
      <c r="E1196" s="112"/>
      <c r="F1196" s="112"/>
      <c r="G1196" s="112"/>
      <c r="H1196" s="112"/>
    </row>
    <row r="1197" spans="3:8">
      <c r="C1197" s="112"/>
      <c r="D1197" s="112"/>
      <c r="E1197" s="112"/>
      <c r="F1197" s="112"/>
      <c r="G1197" s="112"/>
      <c r="H1197" s="112"/>
    </row>
    <row r="1198" spans="3:8">
      <c r="C1198" s="112"/>
      <c r="D1198" s="112"/>
      <c r="E1198" s="112"/>
      <c r="F1198" s="112"/>
      <c r="G1198" s="112"/>
      <c r="H1198" s="112"/>
    </row>
    <row r="1199" spans="3:8">
      <c r="C1199" s="112"/>
      <c r="D1199" s="112"/>
      <c r="E1199" s="112"/>
      <c r="F1199" s="112"/>
      <c r="G1199" s="112"/>
      <c r="H1199" s="112"/>
    </row>
    <row r="1200" spans="3:8">
      <c r="C1200" s="112"/>
      <c r="D1200" s="112"/>
      <c r="E1200" s="112"/>
      <c r="F1200" s="112"/>
      <c r="G1200" s="112"/>
      <c r="H1200" s="112"/>
    </row>
    <row r="1201" spans="3:8">
      <c r="C1201" s="112"/>
      <c r="D1201" s="112"/>
      <c r="E1201" s="112"/>
      <c r="F1201" s="112"/>
      <c r="G1201" s="112"/>
      <c r="H1201" s="112"/>
    </row>
    <row r="1202" spans="3:8">
      <c r="C1202" s="112"/>
      <c r="D1202" s="112"/>
      <c r="E1202" s="112"/>
      <c r="F1202" s="112"/>
      <c r="G1202" s="112"/>
      <c r="H1202" s="112"/>
    </row>
    <row r="1203" spans="3:8">
      <c r="C1203" s="112"/>
      <c r="D1203" s="112"/>
      <c r="E1203" s="112"/>
      <c r="F1203" s="112"/>
      <c r="G1203" s="112"/>
      <c r="H1203" s="112"/>
    </row>
    <row r="1204" spans="3:8">
      <c r="C1204" s="112"/>
      <c r="D1204" s="112"/>
      <c r="E1204" s="112"/>
      <c r="F1204" s="112"/>
      <c r="G1204" s="112"/>
      <c r="H1204" s="112"/>
    </row>
    <row r="1205" spans="3:8">
      <c r="C1205" s="112"/>
      <c r="D1205" s="112"/>
      <c r="E1205" s="112"/>
      <c r="F1205" s="112"/>
      <c r="G1205" s="112"/>
      <c r="H1205" s="112"/>
    </row>
    <row r="1206" spans="3:8">
      <c r="C1206" s="112"/>
      <c r="D1206" s="112"/>
      <c r="E1206" s="112"/>
      <c r="F1206" s="112"/>
      <c r="G1206" s="112"/>
      <c r="H1206" s="112"/>
    </row>
    <row r="1207" spans="3:8">
      <c r="C1207" s="112"/>
      <c r="D1207" s="112"/>
      <c r="E1207" s="112"/>
      <c r="F1207" s="112"/>
      <c r="G1207" s="112"/>
      <c r="H1207" s="112"/>
    </row>
    <row r="1208" spans="3:8">
      <c r="C1208" s="112"/>
      <c r="D1208" s="112"/>
      <c r="E1208" s="112"/>
      <c r="F1208" s="112"/>
      <c r="G1208" s="112"/>
      <c r="H1208" s="112"/>
    </row>
    <row r="1209" spans="3:8">
      <c r="C1209" s="112"/>
      <c r="D1209" s="112"/>
      <c r="E1209" s="112"/>
      <c r="F1209" s="112"/>
      <c r="G1209" s="112"/>
      <c r="H1209" s="112"/>
    </row>
    <row r="1210" spans="3:8">
      <c r="C1210" s="112"/>
      <c r="D1210" s="112"/>
      <c r="E1210" s="112"/>
      <c r="F1210" s="112"/>
      <c r="G1210" s="112"/>
      <c r="H1210" s="112"/>
    </row>
    <row r="1211" spans="3:8">
      <c r="C1211" s="112"/>
      <c r="D1211" s="112"/>
      <c r="E1211" s="112"/>
      <c r="F1211" s="112"/>
      <c r="G1211" s="112"/>
      <c r="H1211" s="112"/>
    </row>
    <row r="1212" spans="3:8">
      <c r="C1212" s="112"/>
      <c r="D1212" s="112"/>
      <c r="E1212" s="112"/>
      <c r="F1212" s="112"/>
      <c r="G1212" s="112"/>
      <c r="H1212" s="112"/>
    </row>
    <row r="1213" spans="3:8">
      <c r="C1213" s="112"/>
      <c r="D1213" s="112"/>
      <c r="E1213" s="112"/>
      <c r="F1213" s="112"/>
      <c r="G1213" s="112"/>
      <c r="H1213" s="112"/>
    </row>
    <row r="1214" spans="3:8">
      <c r="C1214" s="112"/>
      <c r="D1214" s="112"/>
      <c r="E1214" s="112"/>
      <c r="F1214" s="112"/>
      <c r="G1214" s="112"/>
      <c r="H1214" s="112"/>
    </row>
    <row r="1215" spans="3:8">
      <c r="C1215" s="112"/>
      <c r="D1215" s="112"/>
      <c r="E1215" s="112"/>
      <c r="F1215" s="112"/>
      <c r="G1215" s="112"/>
      <c r="H1215" s="112"/>
    </row>
    <row r="1216" spans="3:8">
      <c r="C1216" s="112"/>
      <c r="D1216" s="112"/>
      <c r="E1216" s="112"/>
      <c r="F1216" s="112"/>
      <c r="G1216" s="112"/>
      <c r="H1216" s="112"/>
    </row>
    <row r="1217" spans="3:8">
      <c r="C1217" s="112"/>
      <c r="D1217" s="112"/>
      <c r="E1217" s="112"/>
      <c r="F1217" s="112"/>
      <c r="G1217" s="112"/>
      <c r="H1217" s="112"/>
    </row>
    <row r="1218" spans="3:8">
      <c r="C1218" s="112"/>
      <c r="D1218" s="112"/>
      <c r="E1218" s="112"/>
      <c r="F1218" s="112"/>
      <c r="G1218" s="112"/>
      <c r="H1218" s="112"/>
    </row>
    <row r="1219" spans="3:8">
      <c r="C1219" s="112"/>
      <c r="D1219" s="112"/>
      <c r="E1219" s="112"/>
      <c r="F1219" s="112"/>
      <c r="G1219" s="112"/>
      <c r="H1219" s="112"/>
    </row>
    <row r="1220" spans="3:8">
      <c r="C1220" s="112"/>
      <c r="D1220" s="112"/>
      <c r="E1220" s="112"/>
      <c r="F1220" s="112"/>
      <c r="G1220" s="112"/>
      <c r="H1220" s="112"/>
    </row>
    <row r="1221" spans="3:8">
      <c r="C1221" s="112"/>
      <c r="D1221" s="112"/>
      <c r="E1221" s="112"/>
      <c r="F1221" s="112"/>
      <c r="G1221" s="112"/>
      <c r="H1221" s="112"/>
    </row>
    <row r="1222" spans="3:8">
      <c r="C1222" s="112"/>
      <c r="D1222" s="112"/>
      <c r="E1222" s="112"/>
      <c r="F1222" s="112"/>
      <c r="G1222" s="112"/>
      <c r="H1222" s="112"/>
    </row>
    <row r="1223" spans="3:8">
      <c r="C1223" s="112"/>
      <c r="D1223" s="112"/>
      <c r="E1223" s="112"/>
      <c r="F1223" s="112"/>
      <c r="G1223" s="112"/>
      <c r="H1223" s="112"/>
    </row>
    <row r="1224" spans="3:8">
      <c r="C1224" s="112"/>
      <c r="D1224" s="112"/>
      <c r="E1224" s="112"/>
      <c r="F1224" s="112"/>
      <c r="G1224" s="112"/>
      <c r="H1224" s="112"/>
    </row>
    <row r="1225" spans="3:8">
      <c r="C1225" s="112"/>
      <c r="D1225" s="112"/>
      <c r="E1225" s="112"/>
      <c r="F1225" s="112"/>
      <c r="G1225" s="112"/>
      <c r="H1225" s="112"/>
    </row>
    <row r="1226" spans="3:8">
      <c r="C1226" s="112"/>
      <c r="D1226" s="112"/>
      <c r="E1226" s="112"/>
      <c r="F1226" s="112"/>
      <c r="G1226" s="112"/>
      <c r="H1226" s="112"/>
    </row>
    <row r="1227" spans="3:8">
      <c r="C1227" s="112"/>
      <c r="D1227" s="112"/>
      <c r="E1227" s="112"/>
      <c r="F1227" s="112"/>
      <c r="G1227" s="112"/>
      <c r="H1227" s="112"/>
    </row>
    <row r="1228" spans="3:8">
      <c r="C1228" s="112"/>
      <c r="D1228" s="112"/>
      <c r="E1228" s="112"/>
      <c r="F1228" s="112"/>
      <c r="G1228" s="112"/>
      <c r="H1228" s="112"/>
    </row>
    <row r="1229" spans="3:8">
      <c r="C1229" s="112"/>
      <c r="D1229" s="112"/>
      <c r="E1229" s="112"/>
      <c r="F1229" s="112"/>
      <c r="G1229" s="112"/>
      <c r="H1229" s="112"/>
    </row>
    <row r="1230" spans="3:8">
      <c r="C1230" s="112"/>
      <c r="D1230" s="112"/>
      <c r="E1230" s="112"/>
      <c r="F1230" s="112"/>
      <c r="G1230" s="112"/>
      <c r="H1230" s="112"/>
    </row>
    <row r="1231" spans="3:8">
      <c r="C1231" s="112"/>
      <c r="D1231" s="112"/>
      <c r="E1231" s="112"/>
      <c r="F1231" s="112"/>
      <c r="G1231" s="112"/>
      <c r="H1231" s="112"/>
    </row>
    <row r="1232" spans="3:8">
      <c r="C1232" s="112"/>
      <c r="D1232" s="112"/>
      <c r="E1232" s="112"/>
      <c r="F1232" s="112"/>
      <c r="G1232" s="112"/>
      <c r="H1232" s="112"/>
    </row>
    <row r="1233" spans="3:8">
      <c r="C1233" s="112"/>
      <c r="D1233" s="112"/>
      <c r="E1233" s="112"/>
      <c r="F1233" s="112"/>
      <c r="G1233" s="112"/>
      <c r="H1233" s="112"/>
    </row>
    <row r="1234" spans="3:8">
      <c r="C1234" s="112"/>
      <c r="D1234" s="112"/>
      <c r="E1234" s="112"/>
      <c r="F1234" s="112"/>
      <c r="G1234" s="112"/>
      <c r="H1234" s="112"/>
    </row>
    <row r="1235" spans="3:8">
      <c r="C1235" s="112"/>
      <c r="D1235" s="112"/>
      <c r="E1235" s="112"/>
      <c r="F1235" s="112"/>
      <c r="G1235" s="112"/>
      <c r="H1235" s="112"/>
    </row>
    <row r="1236" spans="3:8">
      <c r="C1236" s="112"/>
      <c r="D1236" s="112"/>
      <c r="E1236" s="112"/>
      <c r="F1236" s="112"/>
      <c r="G1236" s="112"/>
      <c r="H1236" s="112"/>
    </row>
    <row r="1237" spans="3:8">
      <c r="C1237" s="112"/>
      <c r="D1237" s="112"/>
      <c r="E1237" s="112"/>
      <c r="F1237" s="112"/>
      <c r="G1237" s="112"/>
      <c r="H1237" s="112"/>
    </row>
    <row r="1238" spans="3:8">
      <c r="C1238" s="112"/>
      <c r="D1238" s="112"/>
      <c r="E1238" s="112"/>
      <c r="F1238" s="112"/>
      <c r="G1238" s="112"/>
      <c r="H1238" s="112"/>
    </row>
    <row r="1239" spans="3:8">
      <c r="C1239" s="112"/>
      <c r="D1239" s="112"/>
      <c r="E1239" s="112"/>
      <c r="F1239" s="112"/>
      <c r="G1239" s="112"/>
      <c r="H1239" s="112"/>
    </row>
    <row r="1240" spans="3:8">
      <c r="C1240" s="112"/>
      <c r="D1240" s="112"/>
      <c r="E1240" s="112"/>
      <c r="F1240" s="112"/>
      <c r="G1240" s="112"/>
      <c r="H1240" s="112"/>
    </row>
    <row r="1241" spans="3:8">
      <c r="C1241" s="112"/>
      <c r="D1241" s="112"/>
      <c r="E1241" s="112"/>
      <c r="F1241" s="112"/>
      <c r="G1241" s="112"/>
      <c r="H1241" s="112"/>
    </row>
    <row r="1242" spans="3:8">
      <c r="C1242" s="112"/>
      <c r="D1242" s="112"/>
      <c r="E1242" s="112"/>
      <c r="F1242" s="112"/>
      <c r="G1242" s="112"/>
      <c r="H1242" s="112"/>
    </row>
    <row r="1243" spans="3:8">
      <c r="C1243" s="112"/>
      <c r="D1243" s="112"/>
      <c r="E1243" s="112"/>
      <c r="F1243" s="112"/>
      <c r="G1243" s="112"/>
      <c r="H1243" s="112"/>
    </row>
    <row r="1244" spans="3:8">
      <c r="C1244" s="112"/>
      <c r="D1244" s="112"/>
      <c r="E1244" s="112"/>
      <c r="F1244" s="112"/>
      <c r="G1244" s="112"/>
      <c r="H1244" s="112"/>
    </row>
    <row r="1245" spans="3:8">
      <c r="C1245" s="112"/>
      <c r="D1245" s="112"/>
      <c r="E1245" s="112"/>
      <c r="F1245" s="112"/>
      <c r="G1245" s="112"/>
      <c r="H1245" s="112"/>
    </row>
    <row r="1246" spans="3:8">
      <c r="C1246" s="112"/>
      <c r="D1246" s="112"/>
      <c r="E1246" s="112"/>
      <c r="F1246" s="112"/>
      <c r="G1246" s="112"/>
      <c r="H1246" s="112"/>
    </row>
    <row r="1247" spans="3:8">
      <c r="C1247" s="112"/>
      <c r="D1247" s="112"/>
      <c r="E1247" s="112"/>
      <c r="F1247" s="112"/>
      <c r="G1247" s="112"/>
      <c r="H1247" s="112"/>
    </row>
    <row r="1248" spans="3:8">
      <c r="C1248" s="112"/>
      <c r="D1248" s="112"/>
      <c r="E1248" s="112"/>
      <c r="F1248" s="112"/>
      <c r="G1248" s="112"/>
      <c r="H1248" s="112"/>
    </row>
    <row r="1249" spans="3:8">
      <c r="C1249" s="112"/>
      <c r="D1249" s="112"/>
      <c r="E1249" s="112"/>
      <c r="F1249" s="112"/>
      <c r="G1249" s="112"/>
      <c r="H1249" s="112"/>
    </row>
    <row r="1250" spans="3:8">
      <c r="C1250" s="112"/>
      <c r="D1250" s="112"/>
      <c r="E1250" s="112"/>
      <c r="F1250" s="112"/>
      <c r="G1250" s="112"/>
      <c r="H1250" s="112"/>
    </row>
    <row r="1251" spans="3:8">
      <c r="C1251" s="112"/>
      <c r="D1251" s="112"/>
      <c r="E1251" s="112"/>
      <c r="F1251" s="112"/>
      <c r="G1251" s="112"/>
      <c r="H1251" s="112"/>
    </row>
    <row r="1252" spans="3:8">
      <c r="C1252" s="112"/>
      <c r="D1252" s="112"/>
      <c r="E1252" s="112"/>
      <c r="F1252" s="112"/>
      <c r="G1252" s="112"/>
      <c r="H1252" s="112"/>
    </row>
    <row r="1253" spans="3:8">
      <c r="C1253" s="112"/>
      <c r="D1253" s="112"/>
      <c r="E1253" s="112"/>
      <c r="F1253" s="112"/>
      <c r="G1253" s="112"/>
      <c r="H1253" s="112"/>
    </row>
    <row r="1254" spans="3:8">
      <c r="C1254" s="112"/>
      <c r="D1254" s="112"/>
      <c r="E1254" s="112"/>
      <c r="F1254" s="112"/>
      <c r="G1254" s="112"/>
      <c r="H1254" s="112"/>
    </row>
    <row r="1255" spans="3:8">
      <c r="C1255" s="112"/>
      <c r="D1255" s="112"/>
      <c r="E1255" s="112"/>
      <c r="F1255" s="112"/>
      <c r="G1255" s="112"/>
      <c r="H1255" s="112"/>
    </row>
    <row r="1256" spans="3:8">
      <c r="C1256" s="112"/>
      <c r="D1256" s="112"/>
      <c r="E1256" s="112"/>
      <c r="F1256" s="112"/>
      <c r="G1256" s="112"/>
      <c r="H1256" s="112"/>
    </row>
    <row r="1257" spans="3:8">
      <c r="C1257" s="112"/>
      <c r="D1257" s="112"/>
      <c r="E1257" s="112"/>
      <c r="F1257" s="112"/>
      <c r="G1257" s="112"/>
      <c r="H1257" s="112"/>
    </row>
    <row r="1258" spans="3:8">
      <c r="C1258" s="112"/>
      <c r="D1258" s="112"/>
      <c r="E1258" s="112"/>
      <c r="F1258" s="112"/>
      <c r="G1258" s="112"/>
      <c r="H1258" s="112"/>
    </row>
    <row r="1259" spans="3:8">
      <c r="C1259" s="112"/>
      <c r="D1259" s="112"/>
      <c r="E1259" s="112"/>
      <c r="F1259" s="112"/>
      <c r="G1259" s="112"/>
      <c r="H1259" s="112"/>
    </row>
    <row r="1260" spans="3:8">
      <c r="C1260" s="112"/>
      <c r="D1260" s="112"/>
      <c r="E1260" s="112"/>
      <c r="F1260" s="112"/>
      <c r="G1260" s="112"/>
      <c r="H1260" s="112"/>
    </row>
    <row r="1261" spans="3:8">
      <c r="C1261" s="112"/>
      <c r="D1261" s="112"/>
      <c r="E1261" s="112"/>
      <c r="F1261" s="112"/>
      <c r="G1261" s="112"/>
      <c r="H1261" s="112"/>
    </row>
    <row r="1262" spans="3:8">
      <c r="C1262" s="112"/>
      <c r="D1262" s="112"/>
      <c r="E1262" s="112"/>
      <c r="F1262" s="112"/>
      <c r="G1262" s="112"/>
      <c r="H1262" s="112"/>
    </row>
    <row r="1263" spans="3:8">
      <c r="C1263" s="112"/>
      <c r="D1263" s="112"/>
      <c r="E1263" s="112"/>
      <c r="F1263" s="112"/>
      <c r="G1263" s="112"/>
      <c r="H1263" s="112"/>
    </row>
    <row r="1264" spans="3:8">
      <c r="C1264" s="112"/>
      <c r="D1264" s="112"/>
      <c r="E1264" s="112"/>
      <c r="F1264" s="112"/>
      <c r="G1264" s="112"/>
      <c r="H1264" s="112"/>
    </row>
    <row r="1265" spans="3:8">
      <c r="C1265" s="112"/>
      <c r="D1265" s="112"/>
      <c r="E1265" s="112"/>
      <c r="F1265" s="112"/>
      <c r="G1265" s="112"/>
      <c r="H1265" s="112"/>
    </row>
    <row r="1266" spans="3:8">
      <c r="C1266" s="112"/>
      <c r="D1266" s="112"/>
      <c r="E1266" s="112"/>
      <c r="F1266" s="112"/>
      <c r="G1266" s="112"/>
      <c r="H1266" s="112"/>
    </row>
    <row r="1267" spans="3:8">
      <c r="C1267" s="112"/>
      <c r="D1267" s="112"/>
      <c r="E1267" s="112"/>
      <c r="F1267" s="112"/>
      <c r="G1267" s="112"/>
      <c r="H1267" s="112"/>
    </row>
    <row r="1268" spans="3:8">
      <c r="C1268" s="112"/>
      <c r="D1268" s="112"/>
      <c r="E1268" s="112"/>
      <c r="F1268" s="112"/>
      <c r="G1268" s="112"/>
      <c r="H1268" s="112"/>
    </row>
    <row r="1269" spans="3:8">
      <c r="C1269" s="112"/>
      <c r="D1269" s="112"/>
      <c r="E1269" s="112"/>
      <c r="F1269" s="112"/>
      <c r="G1269" s="112"/>
      <c r="H1269" s="112"/>
    </row>
    <row r="1270" spans="3:8">
      <c r="C1270" s="112"/>
      <c r="D1270" s="112"/>
      <c r="E1270" s="112"/>
      <c r="F1270" s="112"/>
      <c r="G1270" s="112"/>
      <c r="H1270" s="112"/>
    </row>
    <row r="1271" spans="3:8">
      <c r="C1271" s="112"/>
      <c r="D1271" s="112"/>
      <c r="E1271" s="112"/>
      <c r="F1271" s="112"/>
      <c r="G1271" s="112"/>
      <c r="H1271" s="112"/>
    </row>
    <row r="1272" spans="3:8">
      <c r="C1272" s="112"/>
      <c r="D1272" s="112"/>
      <c r="E1272" s="112"/>
      <c r="F1272" s="112"/>
      <c r="G1272" s="112"/>
      <c r="H1272" s="112"/>
    </row>
    <row r="1273" spans="3:8">
      <c r="C1273" s="112"/>
      <c r="D1273" s="112"/>
      <c r="E1273" s="112"/>
      <c r="F1273" s="112"/>
      <c r="G1273" s="112"/>
      <c r="H1273" s="112"/>
    </row>
    <row r="1274" spans="3:8">
      <c r="C1274" s="112"/>
      <c r="D1274" s="112"/>
      <c r="E1274" s="112"/>
      <c r="F1274" s="112"/>
      <c r="G1274" s="112"/>
      <c r="H1274" s="112"/>
    </row>
    <row r="1275" spans="3:8">
      <c r="C1275" s="112"/>
      <c r="D1275" s="112"/>
      <c r="E1275" s="112"/>
      <c r="F1275" s="112"/>
      <c r="G1275" s="112"/>
      <c r="H1275" s="112"/>
    </row>
    <row r="1276" spans="3:8">
      <c r="C1276" s="112"/>
      <c r="D1276" s="112"/>
      <c r="E1276" s="112"/>
      <c r="F1276" s="112"/>
      <c r="G1276" s="112"/>
      <c r="H1276" s="112"/>
    </row>
    <row r="1277" spans="3:8">
      <c r="C1277" s="112"/>
      <c r="D1277" s="112"/>
      <c r="E1277" s="112"/>
      <c r="F1277" s="112"/>
      <c r="G1277" s="112"/>
      <c r="H1277" s="112"/>
    </row>
    <row r="1278" spans="3:8">
      <c r="C1278" s="112"/>
      <c r="D1278" s="112"/>
      <c r="E1278" s="112"/>
      <c r="F1278" s="112"/>
      <c r="G1278" s="112"/>
      <c r="H1278" s="112"/>
    </row>
    <row r="1279" spans="3:8">
      <c r="C1279" s="112"/>
      <c r="D1279" s="112"/>
      <c r="E1279" s="112"/>
      <c r="F1279" s="112"/>
      <c r="G1279" s="112"/>
      <c r="H1279" s="112"/>
    </row>
    <row r="1280" spans="3:8">
      <c r="C1280" s="112"/>
      <c r="D1280" s="112"/>
      <c r="E1280" s="112"/>
      <c r="F1280" s="112"/>
      <c r="G1280" s="112"/>
      <c r="H1280" s="112"/>
    </row>
    <row r="1281" spans="3:8">
      <c r="C1281" s="112"/>
      <c r="D1281" s="112"/>
      <c r="E1281" s="112"/>
      <c r="F1281" s="112"/>
      <c r="G1281" s="112"/>
      <c r="H1281" s="112"/>
    </row>
    <row r="1282" spans="3:8">
      <c r="C1282" s="112"/>
      <c r="D1282" s="112"/>
      <c r="E1282" s="112"/>
      <c r="F1282" s="112"/>
      <c r="G1282" s="112"/>
      <c r="H1282" s="112"/>
    </row>
    <row r="1283" spans="3:8">
      <c r="C1283" s="112"/>
      <c r="D1283" s="112"/>
      <c r="E1283" s="112"/>
      <c r="F1283" s="112"/>
      <c r="G1283" s="112"/>
      <c r="H1283" s="112"/>
    </row>
    <row r="1284" spans="3:8">
      <c r="C1284" s="112"/>
      <c r="D1284" s="112"/>
      <c r="E1284" s="112"/>
      <c r="F1284" s="112"/>
      <c r="G1284" s="112"/>
      <c r="H1284" s="112"/>
    </row>
    <row r="1285" spans="3:8">
      <c r="C1285" s="112"/>
      <c r="D1285" s="112"/>
      <c r="E1285" s="112"/>
      <c r="F1285" s="112"/>
      <c r="G1285" s="112"/>
      <c r="H1285" s="112"/>
    </row>
    <row r="1286" spans="3:8">
      <c r="C1286" s="112"/>
      <c r="D1286" s="112"/>
      <c r="E1286" s="112"/>
      <c r="F1286" s="112"/>
      <c r="G1286" s="112"/>
      <c r="H1286" s="112"/>
    </row>
    <row r="1287" spans="3:8">
      <c r="C1287" s="112"/>
      <c r="D1287" s="112"/>
      <c r="E1287" s="112"/>
      <c r="F1287" s="112"/>
      <c r="G1287" s="112"/>
      <c r="H1287" s="112"/>
    </row>
    <row r="1288" spans="3:8">
      <c r="C1288" s="112"/>
      <c r="D1288" s="112"/>
      <c r="E1288" s="112"/>
      <c r="F1288" s="112"/>
      <c r="G1288" s="112"/>
      <c r="H1288" s="112"/>
    </row>
    <row r="1289" spans="3:8">
      <c r="C1289" s="112"/>
      <c r="D1289" s="112"/>
      <c r="E1289" s="112"/>
      <c r="F1289" s="112"/>
      <c r="G1289" s="112"/>
      <c r="H1289" s="112"/>
    </row>
    <row r="1290" spans="3:8">
      <c r="C1290" s="112"/>
      <c r="D1290" s="112"/>
      <c r="E1290" s="112"/>
      <c r="F1290" s="112"/>
      <c r="G1290" s="112"/>
      <c r="H1290" s="112"/>
    </row>
    <row r="1291" spans="3:8">
      <c r="C1291" s="112"/>
      <c r="D1291" s="112"/>
      <c r="E1291" s="112"/>
      <c r="F1291" s="112"/>
      <c r="G1291" s="112"/>
      <c r="H1291" s="112"/>
    </row>
    <row r="1292" spans="3:8">
      <c r="C1292" s="112"/>
      <c r="D1292" s="112"/>
      <c r="E1292" s="112"/>
      <c r="F1292" s="112"/>
      <c r="G1292" s="112"/>
      <c r="H1292" s="112"/>
    </row>
    <row r="1293" spans="3:8">
      <c r="C1293" s="112"/>
      <c r="D1293" s="112"/>
      <c r="E1293" s="112"/>
      <c r="F1293" s="112"/>
      <c r="G1293" s="112"/>
      <c r="H1293" s="112"/>
    </row>
    <row r="1294" spans="3:8">
      <c r="C1294" s="112"/>
      <c r="D1294" s="112"/>
      <c r="E1294" s="112"/>
      <c r="F1294" s="112"/>
      <c r="G1294" s="112"/>
      <c r="H1294" s="112"/>
    </row>
    <row r="1295" spans="3:8">
      <c r="C1295" s="112"/>
      <c r="D1295" s="112"/>
      <c r="E1295" s="112"/>
      <c r="F1295" s="112"/>
      <c r="G1295" s="112"/>
      <c r="H1295" s="112"/>
    </row>
    <row r="1296" spans="3:8">
      <c r="C1296" s="112"/>
      <c r="D1296" s="112"/>
      <c r="E1296" s="112"/>
      <c r="F1296" s="112"/>
      <c r="G1296" s="112"/>
      <c r="H1296" s="112"/>
    </row>
    <row r="1297" spans="3:8">
      <c r="C1297" s="112"/>
      <c r="D1297" s="112"/>
      <c r="E1297" s="112"/>
      <c r="F1297" s="112"/>
      <c r="G1297" s="112"/>
      <c r="H1297" s="112"/>
    </row>
    <row r="1298" spans="3:8">
      <c r="C1298" s="112"/>
      <c r="D1298" s="112"/>
      <c r="E1298" s="112"/>
      <c r="F1298" s="112"/>
      <c r="G1298" s="112"/>
      <c r="H1298" s="112"/>
    </row>
    <row r="1299" spans="3:8">
      <c r="C1299" s="112"/>
      <c r="D1299" s="112"/>
      <c r="E1299" s="112"/>
      <c r="F1299" s="112"/>
      <c r="G1299" s="112"/>
      <c r="H1299" s="112"/>
    </row>
    <row r="1300" spans="3:8">
      <c r="C1300" s="112"/>
      <c r="D1300" s="112"/>
      <c r="E1300" s="112"/>
      <c r="F1300" s="112"/>
      <c r="G1300" s="112"/>
      <c r="H1300" s="112"/>
    </row>
    <row r="1301" spans="3:8">
      <c r="C1301" s="112"/>
      <c r="D1301" s="112"/>
      <c r="E1301" s="112"/>
      <c r="F1301" s="112"/>
      <c r="G1301" s="112"/>
      <c r="H1301" s="112"/>
    </row>
    <row r="1302" spans="3:8">
      <c r="C1302" s="112"/>
      <c r="D1302" s="112"/>
      <c r="E1302" s="112"/>
      <c r="F1302" s="112"/>
      <c r="G1302" s="112"/>
      <c r="H1302" s="112"/>
    </row>
    <row r="1303" spans="3:8">
      <c r="C1303" s="112"/>
      <c r="D1303" s="112"/>
      <c r="E1303" s="112"/>
      <c r="F1303" s="112"/>
      <c r="G1303" s="112"/>
      <c r="H1303" s="112"/>
    </row>
    <row r="1304" spans="3:8">
      <c r="C1304" s="112"/>
      <c r="D1304" s="112"/>
      <c r="E1304" s="112"/>
      <c r="F1304" s="112"/>
      <c r="G1304" s="112"/>
      <c r="H1304" s="112"/>
    </row>
    <row r="1305" spans="3:8">
      <c r="C1305" s="112"/>
      <c r="D1305" s="112"/>
      <c r="E1305" s="112"/>
      <c r="F1305" s="112"/>
      <c r="G1305" s="112"/>
      <c r="H1305" s="112"/>
    </row>
    <row r="1306" spans="3:8">
      <c r="C1306" s="112"/>
      <c r="D1306" s="112"/>
      <c r="E1306" s="112"/>
      <c r="F1306" s="112"/>
      <c r="G1306" s="112"/>
      <c r="H1306" s="112"/>
    </row>
    <row r="1307" spans="3:8">
      <c r="C1307" s="112"/>
      <c r="D1307" s="112"/>
      <c r="E1307" s="112"/>
      <c r="F1307" s="112"/>
      <c r="G1307" s="112"/>
      <c r="H1307" s="112"/>
    </row>
    <row r="1308" spans="3:8">
      <c r="C1308" s="112"/>
      <c r="D1308" s="112"/>
      <c r="E1308" s="112"/>
      <c r="F1308" s="112"/>
      <c r="G1308" s="112"/>
      <c r="H1308" s="112"/>
    </row>
    <row r="1309" spans="3:8">
      <c r="C1309" s="112"/>
      <c r="D1309" s="112"/>
      <c r="E1309" s="112"/>
      <c r="F1309" s="112"/>
      <c r="G1309" s="112"/>
      <c r="H1309" s="112"/>
    </row>
    <row r="1310" spans="3:8">
      <c r="C1310" s="112"/>
      <c r="D1310" s="112"/>
      <c r="E1310" s="112"/>
      <c r="F1310" s="112"/>
      <c r="G1310" s="112"/>
      <c r="H1310" s="112"/>
    </row>
    <row r="1311" spans="3:8">
      <c r="C1311" s="112"/>
      <c r="D1311" s="112"/>
      <c r="E1311" s="112"/>
      <c r="F1311" s="112"/>
      <c r="G1311" s="112"/>
      <c r="H1311" s="112"/>
    </row>
    <row r="1312" spans="3:8">
      <c r="C1312" s="112"/>
      <c r="D1312" s="112"/>
      <c r="E1312" s="112"/>
      <c r="F1312" s="112"/>
      <c r="G1312" s="112"/>
      <c r="H1312" s="112"/>
    </row>
    <row r="1313" spans="3:8">
      <c r="C1313" s="112"/>
      <c r="D1313" s="112"/>
      <c r="E1313" s="112"/>
      <c r="F1313" s="112"/>
      <c r="G1313" s="112"/>
      <c r="H1313" s="112"/>
    </row>
    <row r="1314" spans="3:8">
      <c r="C1314" s="112"/>
      <c r="D1314" s="112"/>
      <c r="E1314" s="112"/>
      <c r="F1314" s="112"/>
      <c r="G1314" s="112"/>
      <c r="H1314" s="112"/>
    </row>
    <row r="1315" spans="3:8">
      <c r="C1315" s="112"/>
      <c r="D1315" s="112"/>
      <c r="E1315" s="112"/>
      <c r="F1315" s="112"/>
      <c r="G1315" s="112"/>
      <c r="H1315" s="112"/>
    </row>
    <row r="1316" spans="3:8">
      <c r="C1316" s="112"/>
      <c r="D1316" s="112"/>
      <c r="E1316" s="112"/>
      <c r="F1316" s="112"/>
      <c r="G1316" s="112"/>
      <c r="H1316" s="112"/>
    </row>
    <row r="1317" spans="3:8">
      <c r="C1317" s="112"/>
      <c r="D1317" s="112"/>
      <c r="E1317" s="112"/>
      <c r="F1317" s="112"/>
      <c r="G1317" s="112"/>
      <c r="H1317" s="112"/>
    </row>
    <row r="1318" spans="3:8">
      <c r="C1318" s="112"/>
      <c r="D1318" s="112"/>
      <c r="E1318" s="112"/>
      <c r="F1318" s="112"/>
      <c r="G1318" s="112"/>
      <c r="H1318" s="112"/>
    </row>
    <row r="1319" spans="3:8">
      <c r="C1319" s="112"/>
      <c r="D1319" s="112"/>
      <c r="E1319" s="112"/>
      <c r="F1319" s="112"/>
      <c r="G1319" s="112"/>
      <c r="H1319" s="112"/>
    </row>
    <row r="1320" spans="3:8">
      <c r="C1320" s="112"/>
      <c r="D1320" s="112"/>
      <c r="E1320" s="112"/>
      <c r="F1320" s="112"/>
      <c r="G1320" s="112"/>
      <c r="H1320" s="112"/>
    </row>
    <row r="1321" spans="3:8">
      <c r="C1321" s="112"/>
      <c r="D1321" s="112"/>
      <c r="E1321" s="112"/>
      <c r="F1321" s="112"/>
      <c r="G1321" s="112"/>
      <c r="H1321" s="112"/>
    </row>
    <row r="1322" spans="3:8">
      <c r="C1322" s="112"/>
      <c r="D1322" s="112"/>
      <c r="E1322" s="112"/>
      <c r="F1322" s="112"/>
      <c r="G1322" s="112"/>
      <c r="H1322" s="112"/>
    </row>
    <row r="1323" spans="3:8">
      <c r="C1323" s="112"/>
      <c r="D1323" s="112"/>
      <c r="E1323" s="112"/>
      <c r="F1323" s="112"/>
      <c r="G1323" s="112"/>
      <c r="H1323" s="112"/>
    </row>
    <row r="1324" spans="3:8">
      <c r="C1324" s="112"/>
      <c r="D1324" s="112"/>
      <c r="E1324" s="112"/>
      <c r="F1324" s="112"/>
      <c r="G1324" s="112"/>
      <c r="H1324" s="112"/>
    </row>
    <row r="1325" spans="3:8">
      <c r="C1325" s="112"/>
      <c r="D1325" s="112"/>
      <c r="E1325" s="112"/>
      <c r="F1325" s="112"/>
      <c r="G1325" s="112"/>
      <c r="H1325" s="112"/>
    </row>
    <row r="1326" spans="3:8">
      <c r="C1326" s="112"/>
      <c r="D1326" s="112"/>
      <c r="E1326" s="112"/>
      <c r="F1326" s="112"/>
      <c r="G1326" s="112"/>
      <c r="H1326" s="112"/>
    </row>
    <row r="1327" spans="3:8">
      <c r="C1327" s="112"/>
      <c r="D1327" s="112"/>
      <c r="E1327" s="112"/>
      <c r="F1327" s="112"/>
      <c r="G1327" s="112"/>
      <c r="H1327" s="112"/>
    </row>
    <row r="1328" spans="3:8">
      <c r="C1328" s="112"/>
      <c r="D1328" s="112"/>
      <c r="E1328" s="112"/>
      <c r="F1328" s="112"/>
      <c r="G1328" s="112"/>
      <c r="H1328" s="112"/>
    </row>
    <row r="1329" spans="3:8">
      <c r="C1329" s="112"/>
      <c r="D1329" s="112"/>
      <c r="E1329" s="112"/>
      <c r="F1329" s="112"/>
      <c r="G1329" s="112"/>
      <c r="H1329" s="112"/>
    </row>
    <row r="1330" spans="3:8">
      <c r="C1330" s="112"/>
      <c r="D1330" s="112"/>
      <c r="E1330" s="112"/>
      <c r="F1330" s="112"/>
      <c r="G1330" s="112"/>
      <c r="H1330" s="112"/>
    </row>
    <row r="1331" spans="3:8">
      <c r="C1331" s="112"/>
      <c r="D1331" s="112"/>
      <c r="E1331" s="112"/>
      <c r="F1331" s="112"/>
      <c r="G1331" s="112"/>
      <c r="H1331" s="112"/>
    </row>
    <row r="1332" spans="3:8">
      <c r="C1332" s="112"/>
      <c r="D1332" s="112"/>
      <c r="E1332" s="112"/>
      <c r="F1332" s="112"/>
      <c r="G1332" s="112"/>
      <c r="H1332" s="112"/>
    </row>
    <row r="1333" spans="3:8">
      <c r="C1333" s="112"/>
      <c r="D1333" s="112"/>
      <c r="E1333" s="112"/>
      <c r="F1333" s="112"/>
      <c r="G1333" s="112"/>
      <c r="H1333" s="112"/>
    </row>
    <row r="1334" spans="3:8">
      <c r="C1334" s="112"/>
      <c r="D1334" s="112"/>
      <c r="E1334" s="112"/>
      <c r="F1334" s="112"/>
      <c r="G1334" s="112"/>
      <c r="H1334" s="112"/>
    </row>
    <row r="1335" spans="3:8">
      <c r="C1335" s="112"/>
      <c r="D1335" s="112"/>
      <c r="E1335" s="112"/>
      <c r="F1335" s="112"/>
      <c r="G1335" s="112"/>
      <c r="H1335" s="112"/>
    </row>
    <row r="1336" spans="3:8">
      <c r="C1336" s="112"/>
      <c r="D1336" s="112"/>
      <c r="E1336" s="112"/>
      <c r="F1336" s="112"/>
      <c r="G1336" s="112"/>
      <c r="H1336" s="112"/>
    </row>
    <row r="1337" spans="3:8">
      <c r="C1337" s="112"/>
      <c r="D1337" s="112"/>
      <c r="E1337" s="112"/>
      <c r="F1337" s="112"/>
      <c r="G1337" s="112"/>
      <c r="H1337" s="112"/>
    </row>
    <row r="1338" spans="3:8">
      <c r="C1338" s="112"/>
      <c r="D1338" s="112"/>
      <c r="E1338" s="112"/>
      <c r="F1338" s="112"/>
      <c r="G1338" s="112"/>
      <c r="H1338" s="112"/>
    </row>
    <row r="1339" spans="3:8">
      <c r="C1339" s="112"/>
      <c r="D1339" s="112"/>
      <c r="E1339" s="112"/>
      <c r="F1339" s="112"/>
      <c r="G1339" s="112"/>
      <c r="H1339" s="112"/>
    </row>
    <row r="1340" spans="3:8">
      <c r="C1340" s="112"/>
      <c r="D1340" s="112"/>
      <c r="E1340" s="112"/>
      <c r="F1340" s="112"/>
      <c r="G1340" s="112"/>
      <c r="H1340" s="112"/>
    </row>
    <row r="1341" spans="3:8">
      <c r="C1341" s="112"/>
      <c r="D1341" s="112"/>
      <c r="E1341" s="112"/>
      <c r="F1341" s="112"/>
      <c r="G1341" s="112"/>
      <c r="H1341" s="112"/>
    </row>
    <row r="1342" spans="3:8">
      <c r="C1342" s="112"/>
      <c r="D1342" s="112"/>
      <c r="E1342" s="112"/>
      <c r="F1342" s="112"/>
      <c r="G1342" s="112"/>
      <c r="H1342" s="112"/>
    </row>
    <row r="1343" spans="3:8">
      <c r="C1343" s="112"/>
      <c r="D1343" s="112"/>
      <c r="E1343" s="112"/>
      <c r="F1343" s="112"/>
      <c r="G1343" s="112"/>
      <c r="H1343" s="112"/>
    </row>
    <row r="1344" spans="3:8">
      <c r="C1344" s="112"/>
      <c r="D1344" s="112"/>
      <c r="E1344" s="112"/>
      <c r="F1344" s="112"/>
      <c r="G1344" s="112"/>
      <c r="H1344" s="112"/>
    </row>
    <row r="1345" spans="3:8">
      <c r="C1345" s="112"/>
      <c r="D1345" s="112"/>
      <c r="E1345" s="112"/>
      <c r="F1345" s="112"/>
      <c r="G1345" s="112"/>
      <c r="H1345" s="112"/>
    </row>
    <row r="1346" spans="3:8">
      <c r="C1346" s="112"/>
      <c r="D1346" s="112"/>
      <c r="E1346" s="112"/>
      <c r="F1346" s="112"/>
      <c r="G1346" s="112"/>
      <c r="H1346" s="112"/>
    </row>
    <row r="1347" spans="3:8">
      <c r="C1347" s="112"/>
      <c r="D1347" s="112"/>
      <c r="E1347" s="112"/>
      <c r="F1347" s="112"/>
      <c r="G1347" s="112"/>
      <c r="H1347" s="112"/>
    </row>
    <row r="1348" spans="3:8">
      <c r="C1348" s="112"/>
      <c r="D1348" s="112"/>
      <c r="E1348" s="112"/>
      <c r="F1348" s="112"/>
      <c r="G1348" s="112"/>
      <c r="H1348" s="112"/>
    </row>
    <row r="1349" spans="3:8">
      <c r="C1349" s="112"/>
      <c r="D1349" s="112"/>
      <c r="E1349" s="112"/>
      <c r="F1349" s="112"/>
      <c r="G1349" s="112"/>
      <c r="H1349" s="112"/>
    </row>
    <row r="1350" spans="3:8">
      <c r="C1350" s="112"/>
      <c r="D1350" s="112"/>
      <c r="E1350" s="112"/>
      <c r="F1350" s="112"/>
      <c r="G1350" s="112"/>
      <c r="H1350" s="112"/>
    </row>
    <row r="1351" spans="3:8">
      <c r="C1351" s="112"/>
      <c r="D1351" s="112"/>
      <c r="E1351" s="112"/>
      <c r="F1351" s="112"/>
      <c r="G1351" s="112"/>
      <c r="H1351" s="112"/>
    </row>
    <row r="1352" spans="3:8">
      <c r="C1352" s="112"/>
      <c r="D1352" s="112"/>
      <c r="E1352" s="112"/>
      <c r="F1352" s="112"/>
      <c r="G1352" s="112"/>
      <c r="H1352" s="112"/>
    </row>
    <row r="1353" spans="3:8">
      <c r="C1353" s="112"/>
      <c r="D1353" s="112"/>
      <c r="E1353" s="112"/>
      <c r="F1353" s="112"/>
      <c r="G1353" s="112"/>
      <c r="H1353" s="112"/>
    </row>
    <row r="1354" spans="3:8">
      <c r="C1354" s="112"/>
      <c r="D1354" s="112"/>
      <c r="E1354" s="112"/>
      <c r="F1354" s="112"/>
      <c r="G1354" s="112"/>
      <c r="H1354" s="112"/>
    </row>
    <row r="1355" spans="3:8">
      <c r="C1355" s="112"/>
      <c r="D1355" s="112"/>
      <c r="E1355" s="112"/>
      <c r="F1355" s="112"/>
      <c r="G1355" s="112"/>
      <c r="H1355" s="112"/>
    </row>
    <row r="1356" spans="3:8">
      <c r="C1356" s="112"/>
      <c r="D1356" s="112"/>
      <c r="E1356" s="112"/>
      <c r="F1356" s="112"/>
      <c r="G1356" s="112"/>
      <c r="H1356" s="112"/>
    </row>
    <row r="1357" spans="3:8">
      <c r="C1357" s="112"/>
      <c r="D1357" s="112"/>
      <c r="E1357" s="112"/>
      <c r="F1357" s="112"/>
      <c r="G1357" s="112"/>
      <c r="H1357" s="112"/>
    </row>
    <row r="1358" spans="3:8">
      <c r="C1358" s="112"/>
      <c r="D1358" s="112"/>
      <c r="E1358" s="112"/>
      <c r="F1358" s="112"/>
      <c r="G1358" s="112"/>
      <c r="H1358" s="112"/>
    </row>
    <row r="1359" spans="3:8">
      <c r="C1359" s="112"/>
      <c r="D1359" s="112"/>
      <c r="E1359" s="112"/>
      <c r="F1359" s="112"/>
      <c r="G1359" s="112"/>
      <c r="H1359" s="112"/>
    </row>
    <row r="1360" spans="3:8">
      <c r="C1360" s="112"/>
      <c r="D1360" s="112"/>
      <c r="E1360" s="112"/>
      <c r="F1360" s="112"/>
      <c r="G1360" s="112"/>
      <c r="H1360" s="112"/>
    </row>
    <row r="1361" spans="3:8">
      <c r="C1361" s="112"/>
      <c r="D1361" s="112"/>
      <c r="E1361" s="112"/>
      <c r="F1361" s="112"/>
      <c r="G1361" s="112"/>
      <c r="H1361" s="112"/>
    </row>
    <row r="1362" spans="3:8">
      <c r="C1362" s="112"/>
      <c r="D1362" s="112"/>
      <c r="E1362" s="112"/>
      <c r="F1362" s="112"/>
      <c r="G1362" s="112"/>
      <c r="H1362" s="112"/>
    </row>
    <row r="1363" spans="3:8">
      <c r="C1363" s="112"/>
      <c r="D1363" s="112"/>
      <c r="E1363" s="112"/>
      <c r="F1363" s="112"/>
      <c r="G1363" s="112"/>
      <c r="H1363" s="112"/>
    </row>
    <row r="1364" spans="3:8">
      <c r="C1364" s="112"/>
      <c r="D1364" s="112"/>
      <c r="E1364" s="112"/>
      <c r="F1364" s="112"/>
      <c r="G1364" s="112"/>
      <c r="H1364" s="112"/>
    </row>
    <row r="1365" spans="3:8">
      <c r="C1365" s="112"/>
      <c r="D1365" s="112"/>
      <c r="E1365" s="112"/>
      <c r="F1365" s="112"/>
      <c r="G1365" s="112"/>
      <c r="H1365" s="112"/>
    </row>
    <row r="1366" spans="3:8">
      <c r="C1366" s="112"/>
      <c r="D1366" s="112"/>
      <c r="E1366" s="112"/>
      <c r="F1366" s="112"/>
      <c r="G1366" s="112"/>
      <c r="H1366" s="112"/>
    </row>
    <row r="1367" spans="3:8">
      <c r="C1367" s="112"/>
      <c r="D1367" s="112"/>
      <c r="E1367" s="112"/>
      <c r="F1367" s="112"/>
      <c r="G1367" s="112"/>
      <c r="H1367" s="112"/>
    </row>
    <row r="1368" spans="3:8">
      <c r="C1368" s="112"/>
      <c r="D1368" s="112"/>
      <c r="E1368" s="112"/>
      <c r="F1368" s="112"/>
      <c r="G1368" s="112"/>
      <c r="H1368" s="112"/>
    </row>
    <row r="1369" spans="3:8">
      <c r="C1369" s="112"/>
      <c r="D1369" s="112"/>
      <c r="E1369" s="112"/>
      <c r="F1369" s="112"/>
      <c r="G1369" s="112"/>
      <c r="H1369" s="112"/>
    </row>
    <row r="1370" spans="3:8">
      <c r="C1370" s="112"/>
      <c r="D1370" s="112"/>
      <c r="E1370" s="112"/>
      <c r="F1370" s="112"/>
      <c r="G1370" s="112"/>
      <c r="H1370" s="112"/>
    </row>
    <row r="1371" spans="3:8">
      <c r="C1371" s="112"/>
      <c r="D1371" s="112"/>
      <c r="E1371" s="112"/>
      <c r="F1371" s="112"/>
      <c r="G1371" s="112"/>
      <c r="H1371" s="112"/>
    </row>
    <row r="1372" spans="3:8">
      <c r="C1372" s="112"/>
      <c r="D1372" s="112"/>
      <c r="E1372" s="112"/>
      <c r="F1372" s="112"/>
      <c r="G1372" s="112"/>
      <c r="H1372" s="112"/>
    </row>
    <row r="1373" spans="3:8">
      <c r="C1373" s="112"/>
      <c r="D1373" s="112"/>
      <c r="E1373" s="112"/>
      <c r="F1373" s="112"/>
      <c r="G1373" s="112"/>
      <c r="H1373" s="112"/>
    </row>
    <row r="1374" spans="3:8">
      <c r="C1374" s="112"/>
      <c r="D1374" s="112"/>
      <c r="E1374" s="112"/>
      <c r="F1374" s="112"/>
      <c r="G1374" s="112"/>
      <c r="H1374" s="112"/>
    </row>
    <row r="1375" spans="3:8">
      <c r="C1375" s="112"/>
      <c r="D1375" s="112"/>
      <c r="E1375" s="112"/>
      <c r="F1375" s="112"/>
      <c r="G1375" s="112"/>
      <c r="H1375" s="112"/>
    </row>
    <row r="1376" spans="3:8">
      <c r="C1376" s="112"/>
      <c r="D1376" s="112"/>
      <c r="E1376" s="112"/>
      <c r="F1376" s="112"/>
      <c r="G1376" s="112"/>
      <c r="H1376" s="112"/>
    </row>
    <row r="1377" spans="3:8">
      <c r="C1377" s="112"/>
      <c r="D1377" s="112"/>
      <c r="E1377" s="112"/>
      <c r="F1377" s="112"/>
      <c r="G1377" s="112"/>
      <c r="H1377" s="112"/>
    </row>
    <row r="1378" spans="3:8">
      <c r="C1378" s="112"/>
      <c r="D1378" s="112"/>
      <c r="E1378" s="112"/>
      <c r="F1378" s="112"/>
      <c r="G1378" s="112"/>
      <c r="H1378" s="112"/>
    </row>
    <row r="1379" spans="3:8">
      <c r="C1379" s="112"/>
      <c r="D1379" s="112"/>
      <c r="E1379" s="112"/>
      <c r="F1379" s="112"/>
      <c r="G1379" s="112"/>
      <c r="H1379" s="112"/>
    </row>
    <row r="1380" spans="3:8">
      <c r="C1380" s="112"/>
      <c r="D1380" s="112"/>
      <c r="E1380" s="112"/>
      <c r="F1380" s="112"/>
      <c r="G1380" s="112"/>
      <c r="H1380" s="112"/>
    </row>
    <row r="1381" spans="3:8">
      <c r="C1381" s="112"/>
      <c r="D1381" s="112"/>
      <c r="E1381" s="112"/>
      <c r="F1381" s="112"/>
      <c r="G1381" s="112"/>
      <c r="H1381" s="112"/>
    </row>
    <row r="1382" spans="3:8">
      <c r="C1382" s="112"/>
      <c r="D1382" s="112"/>
      <c r="E1382" s="112"/>
      <c r="F1382" s="112"/>
      <c r="G1382" s="112"/>
      <c r="H1382" s="112"/>
    </row>
    <row r="1383" spans="3:8">
      <c r="C1383" s="112"/>
      <c r="D1383" s="112"/>
      <c r="E1383" s="112"/>
      <c r="F1383" s="112"/>
      <c r="G1383" s="112"/>
      <c r="H1383" s="112"/>
    </row>
    <row r="1384" spans="3:8">
      <c r="C1384" s="112"/>
      <c r="D1384" s="112"/>
      <c r="E1384" s="112"/>
      <c r="F1384" s="112"/>
      <c r="G1384" s="112"/>
      <c r="H1384" s="112"/>
    </row>
    <row r="1385" spans="3:8">
      <c r="C1385" s="112"/>
      <c r="D1385" s="112"/>
      <c r="E1385" s="112"/>
      <c r="F1385" s="112"/>
      <c r="G1385" s="112"/>
      <c r="H1385" s="112"/>
    </row>
    <row r="1386" spans="3:8">
      <c r="C1386" s="112"/>
      <c r="D1386" s="112"/>
      <c r="E1386" s="112"/>
      <c r="F1386" s="112"/>
      <c r="G1386" s="112"/>
      <c r="H1386" s="112"/>
    </row>
    <row r="1387" spans="3:8">
      <c r="C1387" s="112"/>
      <c r="D1387" s="112"/>
      <c r="E1387" s="112"/>
      <c r="F1387" s="112"/>
      <c r="G1387" s="112"/>
      <c r="H1387" s="112"/>
    </row>
    <row r="1388" spans="3:8">
      <c r="C1388" s="112"/>
      <c r="D1388" s="112"/>
      <c r="E1388" s="112"/>
      <c r="F1388" s="112"/>
      <c r="G1388" s="112"/>
      <c r="H1388" s="112"/>
    </row>
    <row r="1389" spans="3:8">
      <c r="C1389" s="112"/>
      <c r="D1389" s="112"/>
      <c r="E1389" s="112"/>
      <c r="F1389" s="112"/>
      <c r="G1389" s="112"/>
      <c r="H1389" s="112"/>
    </row>
    <row r="1390" spans="3:8">
      <c r="C1390" s="112"/>
      <c r="D1390" s="112"/>
      <c r="E1390" s="112"/>
      <c r="F1390" s="112"/>
      <c r="G1390" s="112"/>
      <c r="H1390" s="112"/>
    </row>
    <row r="1391" spans="3:8">
      <c r="C1391" s="112"/>
      <c r="D1391" s="112"/>
      <c r="E1391" s="112"/>
      <c r="F1391" s="112"/>
      <c r="G1391" s="112"/>
      <c r="H1391" s="112"/>
    </row>
    <row r="1392" spans="3:8">
      <c r="C1392" s="112"/>
      <c r="D1392" s="112"/>
      <c r="E1392" s="112"/>
      <c r="F1392" s="112"/>
      <c r="G1392" s="112"/>
      <c r="H1392" s="112"/>
    </row>
    <row r="1393" spans="3:8">
      <c r="C1393" s="112"/>
      <c r="D1393" s="112"/>
      <c r="E1393" s="112"/>
      <c r="F1393" s="112"/>
      <c r="G1393" s="112"/>
      <c r="H1393" s="112"/>
    </row>
    <row r="1394" spans="3:8">
      <c r="C1394" s="112"/>
      <c r="D1394" s="112"/>
      <c r="E1394" s="112"/>
      <c r="F1394" s="112"/>
      <c r="G1394" s="112"/>
      <c r="H1394" s="112"/>
    </row>
    <row r="1395" spans="3:8">
      <c r="C1395" s="112"/>
      <c r="D1395" s="112"/>
      <c r="E1395" s="112"/>
      <c r="F1395" s="112"/>
      <c r="G1395" s="112"/>
      <c r="H1395" s="112"/>
    </row>
    <row r="1396" spans="3:8">
      <c r="C1396" s="112"/>
      <c r="D1396" s="112"/>
      <c r="E1396" s="112"/>
      <c r="F1396" s="112"/>
      <c r="G1396" s="112"/>
      <c r="H1396" s="112"/>
    </row>
    <row r="1397" spans="3:8">
      <c r="C1397" s="112"/>
      <c r="D1397" s="112"/>
      <c r="E1397" s="112"/>
      <c r="F1397" s="112"/>
      <c r="G1397" s="112"/>
      <c r="H1397" s="112"/>
    </row>
    <row r="1398" spans="3:8">
      <c r="C1398" s="112"/>
      <c r="D1398" s="112"/>
      <c r="E1398" s="112"/>
      <c r="F1398" s="112"/>
      <c r="G1398" s="112"/>
      <c r="H1398" s="112"/>
    </row>
    <row r="1399" spans="3:8">
      <c r="C1399" s="112"/>
      <c r="D1399" s="112"/>
      <c r="E1399" s="112"/>
      <c r="F1399" s="112"/>
      <c r="G1399" s="112"/>
      <c r="H1399" s="112"/>
    </row>
    <row r="1400" spans="3:8">
      <c r="C1400" s="112"/>
      <c r="D1400" s="112"/>
      <c r="E1400" s="112"/>
      <c r="F1400" s="112"/>
      <c r="G1400" s="112"/>
      <c r="H1400" s="112"/>
    </row>
    <row r="1401" spans="3:8">
      <c r="C1401" s="112"/>
      <c r="D1401" s="112"/>
      <c r="E1401" s="112"/>
      <c r="F1401" s="112"/>
      <c r="G1401" s="112"/>
      <c r="H1401" s="112"/>
    </row>
    <row r="1402" spans="3:8">
      <c r="C1402" s="112"/>
      <c r="D1402" s="112"/>
      <c r="E1402" s="112"/>
      <c r="F1402" s="112"/>
      <c r="G1402" s="112"/>
      <c r="H1402" s="112"/>
    </row>
    <row r="1403" spans="3:8">
      <c r="C1403" s="112"/>
      <c r="D1403" s="112"/>
      <c r="E1403" s="112"/>
      <c r="F1403" s="112"/>
      <c r="G1403" s="112"/>
      <c r="H1403" s="112"/>
    </row>
    <row r="1404" spans="3:8">
      <c r="C1404" s="112"/>
      <c r="D1404" s="112"/>
      <c r="E1404" s="112"/>
      <c r="F1404" s="112"/>
      <c r="G1404" s="112"/>
      <c r="H1404" s="112"/>
    </row>
    <row r="1405" spans="3:8">
      <c r="C1405" s="112"/>
      <c r="D1405" s="112"/>
      <c r="E1405" s="112"/>
      <c r="F1405" s="112"/>
      <c r="G1405" s="112"/>
      <c r="H1405" s="112"/>
    </row>
    <row r="1406" spans="3:8">
      <c r="C1406" s="112"/>
      <c r="D1406" s="112"/>
      <c r="E1406" s="112"/>
      <c r="F1406" s="112"/>
      <c r="G1406" s="112"/>
      <c r="H1406" s="112"/>
    </row>
    <row r="1407" spans="3:8">
      <c r="C1407" s="112"/>
      <c r="D1407" s="112"/>
      <c r="E1407" s="112"/>
      <c r="F1407" s="112"/>
      <c r="G1407" s="112"/>
      <c r="H1407" s="112"/>
    </row>
    <row r="1408" spans="3:8">
      <c r="C1408" s="112"/>
      <c r="D1408" s="112"/>
      <c r="E1408" s="112"/>
      <c r="F1408" s="112"/>
      <c r="G1408" s="112"/>
      <c r="H1408" s="112"/>
    </row>
    <row r="1409" spans="3:8">
      <c r="C1409" s="112"/>
      <c r="D1409" s="112"/>
      <c r="E1409" s="112"/>
      <c r="F1409" s="112"/>
      <c r="G1409" s="112"/>
      <c r="H1409" s="112"/>
    </row>
    <row r="1410" spans="3:8">
      <c r="C1410" s="112"/>
      <c r="D1410" s="112"/>
      <c r="E1410" s="112"/>
      <c r="F1410" s="112"/>
      <c r="G1410" s="112"/>
      <c r="H1410" s="112"/>
    </row>
    <row r="1411" spans="3:8">
      <c r="C1411" s="112"/>
      <c r="D1411" s="112"/>
      <c r="E1411" s="112"/>
      <c r="F1411" s="112"/>
      <c r="G1411" s="112"/>
      <c r="H1411" s="112"/>
    </row>
    <row r="1412" spans="3:8">
      <c r="C1412" s="112"/>
      <c r="D1412" s="112"/>
      <c r="E1412" s="112"/>
      <c r="F1412" s="112"/>
      <c r="G1412" s="112"/>
      <c r="H1412" s="112"/>
    </row>
    <row r="1413" spans="3:8">
      <c r="C1413" s="112"/>
      <c r="D1413" s="112"/>
      <c r="E1413" s="112"/>
      <c r="F1413" s="112"/>
      <c r="G1413" s="112"/>
      <c r="H1413" s="112"/>
    </row>
    <row r="1414" spans="3:8">
      <c r="C1414" s="112"/>
      <c r="D1414" s="112"/>
      <c r="E1414" s="112"/>
      <c r="F1414" s="112"/>
      <c r="G1414" s="112"/>
      <c r="H1414" s="112"/>
    </row>
    <row r="1415" spans="3:8">
      <c r="C1415" s="112"/>
      <c r="D1415" s="112"/>
      <c r="E1415" s="112"/>
      <c r="F1415" s="112"/>
      <c r="G1415" s="112"/>
      <c r="H1415" s="112"/>
    </row>
    <row r="1416" spans="3:8">
      <c r="C1416" s="112"/>
      <c r="D1416" s="112"/>
      <c r="E1416" s="112"/>
      <c r="F1416" s="112"/>
      <c r="G1416" s="112"/>
      <c r="H1416" s="112"/>
    </row>
    <row r="1417" spans="3:8">
      <c r="C1417" s="112"/>
      <c r="D1417" s="112"/>
      <c r="E1417" s="112"/>
      <c r="F1417" s="112"/>
      <c r="G1417" s="112"/>
      <c r="H1417" s="112"/>
    </row>
    <row r="1418" spans="3:8">
      <c r="C1418" s="112"/>
      <c r="D1418" s="112"/>
      <c r="E1418" s="112"/>
      <c r="F1418" s="112"/>
      <c r="G1418" s="112"/>
      <c r="H1418" s="112"/>
    </row>
    <row r="1419" spans="3:8">
      <c r="C1419" s="112"/>
      <c r="D1419" s="112"/>
      <c r="E1419" s="112"/>
      <c r="F1419" s="112"/>
      <c r="G1419" s="112"/>
      <c r="H1419" s="112"/>
    </row>
    <row r="1420" spans="3:8">
      <c r="C1420" s="112"/>
      <c r="D1420" s="112"/>
      <c r="E1420" s="112"/>
      <c r="F1420" s="112"/>
      <c r="G1420" s="112"/>
      <c r="H1420" s="112"/>
    </row>
    <row r="1421" spans="3:8">
      <c r="C1421" s="112"/>
      <c r="D1421" s="112"/>
      <c r="E1421" s="112"/>
      <c r="F1421" s="112"/>
      <c r="G1421" s="112"/>
      <c r="H1421" s="112"/>
    </row>
    <row r="1422" spans="3:8">
      <c r="C1422" s="112"/>
      <c r="D1422" s="112"/>
      <c r="E1422" s="112"/>
      <c r="F1422" s="112"/>
      <c r="G1422" s="112"/>
      <c r="H1422" s="112"/>
    </row>
    <row r="1423" spans="3:8">
      <c r="C1423" s="112"/>
      <c r="D1423" s="112"/>
      <c r="E1423" s="112"/>
      <c r="F1423" s="112"/>
      <c r="G1423" s="112"/>
      <c r="H1423" s="112"/>
    </row>
    <row r="1424" spans="3:8">
      <c r="C1424" s="112"/>
      <c r="D1424" s="112"/>
      <c r="E1424" s="112"/>
      <c r="F1424" s="112"/>
      <c r="G1424" s="112"/>
      <c r="H1424" s="112"/>
    </row>
    <row r="1425" spans="3:8">
      <c r="C1425" s="112"/>
      <c r="D1425" s="112"/>
      <c r="E1425" s="112"/>
      <c r="F1425" s="112"/>
      <c r="G1425" s="112"/>
      <c r="H1425" s="112"/>
    </row>
    <row r="1426" spans="3:8">
      <c r="C1426" s="112"/>
      <c r="D1426" s="112"/>
      <c r="E1426" s="112"/>
      <c r="F1426" s="112"/>
      <c r="G1426" s="112"/>
      <c r="H1426" s="112"/>
    </row>
    <row r="1427" spans="3:8">
      <c r="C1427" s="112"/>
      <c r="D1427" s="112"/>
      <c r="E1427" s="112"/>
      <c r="F1427" s="112"/>
      <c r="G1427" s="112"/>
      <c r="H1427" s="112"/>
    </row>
    <row r="1428" spans="3:8">
      <c r="C1428" s="112"/>
      <c r="D1428" s="112"/>
      <c r="E1428" s="112"/>
      <c r="F1428" s="112"/>
      <c r="G1428" s="112"/>
      <c r="H1428" s="112"/>
    </row>
    <row r="1429" spans="3:8">
      <c r="C1429" s="112"/>
      <c r="D1429" s="112"/>
      <c r="E1429" s="112"/>
      <c r="F1429" s="112"/>
      <c r="G1429" s="112"/>
      <c r="H1429" s="112"/>
    </row>
    <row r="1430" spans="3:8">
      <c r="C1430" s="112"/>
      <c r="D1430" s="112"/>
      <c r="E1430" s="112"/>
      <c r="F1430" s="112"/>
      <c r="G1430" s="112"/>
      <c r="H1430" s="112"/>
    </row>
    <row r="1431" spans="3:8">
      <c r="C1431" s="112"/>
      <c r="D1431" s="112"/>
      <c r="E1431" s="112"/>
      <c r="F1431" s="112"/>
      <c r="G1431" s="112"/>
      <c r="H1431" s="112"/>
    </row>
    <row r="1432" spans="3:8">
      <c r="C1432" s="112"/>
      <c r="D1432" s="112"/>
      <c r="E1432" s="112"/>
      <c r="F1432" s="112"/>
      <c r="G1432" s="112"/>
      <c r="H1432" s="112"/>
    </row>
    <row r="1433" spans="3:8">
      <c r="C1433" s="112"/>
      <c r="D1433" s="112"/>
      <c r="E1433" s="112"/>
      <c r="F1433" s="112"/>
      <c r="G1433" s="112"/>
      <c r="H1433" s="112"/>
    </row>
    <row r="1434" spans="3:8">
      <c r="C1434" s="112"/>
      <c r="D1434" s="112"/>
      <c r="E1434" s="112"/>
      <c r="F1434" s="112"/>
      <c r="G1434" s="112"/>
      <c r="H1434" s="112"/>
    </row>
    <row r="1435" spans="3:8">
      <c r="C1435" s="112"/>
      <c r="D1435" s="112"/>
      <c r="E1435" s="112"/>
      <c r="F1435" s="112"/>
      <c r="G1435" s="112"/>
      <c r="H1435" s="112"/>
    </row>
    <row r="1436" spans="3:8">
      <c r="C1436" s="112"/>
      <c r="D1436" s="112"/>
      <c r="E1436" s="112"/>
      <c r="F1436" s="112"/>
      <c r="G1436" s="112"/>
      <c r="H1436" s="112"/>
    </row>
    <row r="1437" spans="3:8">
      <c r="C1437" s="112"/>
      <c r="D1437" s="112"/>
      <c r="E1437" s="112"/>
      <c r="F1437" s="112"/>
      <c r="G1437" s="112"/>
      <c r="H1437" s="112"/>
    </row>
    <row r="1438" spans="3:8">
      <c r="C1438" s="112"/>
      <c r="D1438" s="112"/>
      <c r="E1438" s="112"/>
      <c r="F1438" s="112"/>
      <c r="G1438" s="112"/>
      <c r="H1438" s="112"/>
    </row>
    <row r="1439" spans="3:8">
      <c r="C1439" s="112"/>
      <c r="D1439" s="112"/>
      <c r="E1439" s="112"/>
      <c r="F1439" s="112"/>
      <c r="G1439" s="112"/>
      <c r="H1439" s="112"/>
    </row>
    <row r="1440" spans="3:8">
      <c r="C1440" s="112"/>
      <c r="D1440" s="112"/>
      <c r="E1440" s="112"/>
      <c r="F1440" s="112"/>
      <c r="G1440" s="112"/>
      <c r="H1440" s="112"/>
    </row>
    <row r="1441" spans="3:8">
      <c r="C1441" s="112"/>
      <c r="D1441" s="112"/>
      <c r="E1441" s="112"/>
      <c r="F1441" s="112"/>
      <c r="G1441" s="112"/>
      <c r="H1441" s="112"/>
    </row>
    <row r="1442" spans="3:8">
      <c r="C1442" s="112"/>
      <c r="D1442" s="112"/>
      <c r="E1442" s="112"/>
      <c r="F1442" s="112"/>
      <c r="G1442" s="112"/>
      <c r="H1442" s="112"/>
    </row>
    <row r="1443" spans="3:8">
      <c r="C1443" s="112"/>
      <c r="D1443" s="112"/>
      <c r="E1443" s="112"/>
      <c r="F1443" s="112"/>
      <c r="G1443" s="112"/>
      <c r="H1443" s="112"/>
    </row>
    <row r="1444" spans="3:8">
      <c r="C1444" s="112"/>
      <c r="D1444" s="112"/>
      <c r="E1444" s="112"/>
      <c r="F1444" s="112"/>
      <c r="G1444" s="112"/>
      <c r="H1444" s="112"/>
    </row>
    <row r="1445" spans="3:8">
      <c r="C1445" s="112"/>
      <c r="D1445" s="112"/>
      <c r="E1445" s="112"/>
      <c r="F1445" s="112"/>
      <c r="G1445" s="112"/>
      <c r="H1445" s="112"/>
    </row>
    <row r="1446" spans="3:8">
      <c r="C1446" s="112"/>
      <c r="D1446" s="112"/>
      <c r="E1446" s="112"/>
      <c r="F1446" s="112"/>
      <c r="G1446" s="112"/>
      <c r="H1446" s="112"/>
    </row>
    <row r="1447" spans="3:8">
      <c r="C1447" s="112"/>
      <c r="D1447" s="112"/>
      <c r="E1447" s="112"/>
      <c r="F1447" s="112"/>
      <c r="G1447" s="112"/>
      <c r="H1447" s="112"/>
    </row>
    <row r="1448" spans="3:8">
      <c r="C1448" s="112"/>
      <c r="D1448" s="112"/>
      <c r="E1448" s="112"/>
      <c r="F1448" s="112"/>
      <c r="G1448" s="112"/>
      <c r="H1448" s="112"/>
    </row>
    <row r="1449" spans="3:8">
      <c r="C1449" s="112"/>
      <c r="D1449" s="112"/>
      <c r="E1449" s="112"/>
      <c r="F1449" s="112"/>
      <c r="G1449" s="112"/>
      <c r="H1449" s="112"/>
    </row>
    <row r="1450" spans="3:8">
      <c r="C1450" s="112"/>
      <c r="D1450" s="112"/>
      <c r="E1450" s="112"/>
      <c r="F1450" s="112"/>
      <c r="G1450" s="112"/>
      <c r="H1450" s="112"/>
    </row>
    <row r="1451" spans="3:8">
      <c r="C1451" s="112"/>
      <c r="D1451" s="112"/>
      <c r="E1451" s="112"/>
      <c r="F1451" s="112"/>
      <c r="G1451" s="112"/>
      <c r="H1451" s="112"/>
    </row>
    <row r="1452" spans="3:8">
      <c r="C1452" s="112"/>
      <c r="D1452" s="112"/>
      <c r="E1452" s="112"/>
      <c r="F1452" s="112"/>
      <c r="G1452" s="112"/>
      <c r="H1452" s="112"/>
    </row>
    <row r="1453" spans="3:8">
      <c r="C1453" s="112"/>
      <c r="D1453" s="112"/>
      <c r="E1453" s="112"/>
      <c r="F1453" s="112"/>
      <c r="G1453" s="112"/>
      <c r="H1453" s="112"/>
    </row>
    <row r="1454" spans="3:8">
      <c r="C1454" s="112"/>
      <c r="D1454" s="112"/>
      <c r="E1454" s="112"/>
      <c r="F1454" s="112"/>
      <c r="G1454" s="112"/>
      <c r="H1454" s="112"/>
    </row>
    <row r="1455" spans="3:8">
      <c r="C1455" s="112"/>
      <c r="D1455" s="112"/>
      <c r="E1455" s="112"/>
      <c r="F1455" s="112"/>
      <c r="G1455" s="112"/>
      <c r="H1455" s="112"/>
    </row>
    <row r="1456" spans="3:8">
      <c r="C1456" s="112"/>
      <c r="D1456" s="112"/>
      <c r="E1456" s="112"/>
      <c r="F1456" s="112"/>
      <c r="G1456" s="112"/>
      <c r="H1456" s="112"/>
    </row>
    <row r="1457" spans="3:8">
      <c r="C1457" s="112"/>
      <c r="D1457" s="112"/>
      <c r="E1457" s="112"/>
      <c r="F1457" s="112"/>
      <c r="G1457" s="112"/>
      <c r="H1457" s="112"/>
    </row>
    <row r="1458" spans="3:8">
      <c r="C1458" s="112"/>
      <c r="D1458" s="112"/>
      <c r="E1458" s="112"/>
      <c r="F1458" s="112"/>
      <c r="G1458" s="112"/>
      <c r="H1458" s="112"/>
    </row>
    <row r="1459" spans="3:8">
      <c r="C1459" s="112"/>
      <c r="D1459" s="112"/>
      <c r="E1459" s="112"/>
      <c r="F1459" s="112"/>
      <c r="G1459" s="112"/>
      <c r="H1459" s="112"/>
    </row>
    <row r="1460" spans="3:8">
      <c r="C1460" s="112"/>
      <c r="D1460" s="112"/>
      <c r="E1460" s="112"/>
      <c r="F1460" s="112"/>
      <c r="G1460" s="112"/>
      <c r="H1460" s="112"/>
    </row>
    <row r="1461" spans="3:8">
      <c r="C1461" s="112"/>
      <c r="D1461" s="112"/>
      <c r="E1461" s="112"/>
      <c r="F1461" s="112"/>
      <c r="G1461" s="112"/>
      <c r="H1461" s="112"/>
    </row>
    <row r="1462" spans="3:8">
      <c r="C1462" s="112"/>
      <c r="D1462" s="112"/>
      <c r="E1462" s="112"/>
      <c r="F1462" s="112"/>
      <c r="G1462" s="112"/>
      <c r="H1462" s="112"/>
    </row>
    <row r="1463" spans="3:8">
      <c r="C1463" s="112"/>
      <c r="D1463" s="112"/>
      <c r="E1463" s="112"/>
      <c r="F1463" s="112"/>
      <c r="G1463" s="112"/>
      <c r="H1463" s="112"/>
    </row>
    <row r="1464" spans="3:8">
      <c r="C1464" s="112"/>
      <c r="D1464" s="112"/>
      <c r="E1464" s="112"/>
      <c r="F1464" s="112"/>
      <c r="G1464" s="112"/>
      <c r="H1464" s="112"/>
    </row>
    <row r="1465" spans="3:8">
      <c r="C1465" s="112"/>
      <c r="D1465" s="112"/>
      <c r="E1465" s="112"/>
      <c r="F1465" s="112"/>
      <c r="G1465" s="112"/>
      <c r="H1465" s="112"/>
    </row>
    <row r="1466" spans="3:8">
      <c r="C1466" s="112"/>
      <c r="D1466" s="112"/>
      <c r="E1466" s="112"/>
      <c r="F1466" s="112"/>
      <c r="G1466" s="112"/>
      <c r="H1466" s="112"/>
    </row>
    <row r="1467" spans="3:8">
      <c r="C1467" s="112"/>
      <c r="D1467" s="112"/>
      <c r="E1467" s="112"/>
      <c r="F1467" s="112"/>
      <c r="G1467" s="112"/>
      <c r="H1467" s="112"/>
    </row>
    <row r="1468" spans="3:8">
      <c r="C1468" s="112"/>
      <c r="D1468" s="112"/>
      <c r="E1468" s="112"/>
      <c r="F1468" s="112"/>
      <c r="G1468" s="112"/>
      <c r="H1468" s="112"/>
    </row>
    <row r="1469" spans="3:8">
      <c r="C1469" s="112"/>
      <c r="D1469" s="112"/>
      <c r="E1469" s="112"/>
      <c r="F1469" s="112"/>
      <c r="G1469" s="112"/>
      <c r="H1469" s="112"/>
    </row>
    <row r="1470" spans="3:8">
      <c r="C1470" s="112"/>
      <c r="D1470" s="112"/>
      <c r="E1470" s="112"/>
      <c r="F1470" s="112"/>
      <c r="G1470" s="112"/>
      <c r="H1470" s="112"/>
    </row>
    <row r="1471" spans="3:8">
      <c r="C1471" s="112"/>
      <c r="D1471" s="112"/>
      <c r="E1471" s="112"/>
      <c r="F1471" s="112"/>
      <c r="G1471" s="112"/>
      <c r="H1471" s="112"/>
    </row>
    <row r="1472" spans="3:8">
      <c r="C1472" s="112"/>
      <c r="D1472" s="112"/>
      <c r="E1472" s="112"/>
      <c r="F1472" s="112"/>
      <c r="G1472" s="112"/>
      <c r="H1472" s="112"/>
    </row>
    <row r="1473" spans="3:8">
      <c r="C1473" s="112"/>
      <c r="D1473" s="112"/>
      <c r="E1473" s="112"/>
      <c r="F1473" s="112"/>
      <c r="G1473" s="112"/>
      <c r="H1473" s="112"/>
    </row>
    <row r="1474" spans="3:8">
      <c r="C1474" s="112"/>
      <c r="D1474" s="112"/>
      <c r="E1474" s="112"/>
      <c r="F1474" s="112"/>
      <c r="G1474" s="112"/>
      <c r="H1474" s="112"/>
    </row>
    <row r="1475" spans="3:8">
      <c r="C1475" s="112"/>
      <c r="D1475" s="112"/>
      <c r="E1475" s="112"/>
      <c r="F1475" s="112"/>
      <c r="G1475" s="112"/>
      <c r="H1475" s="112"/>
    </row>
    <row r="1476" spans="3:8">
      <c r="C1476" s="112"/>
      <c r="D1476" s="112"/>
      <c r="E1476" s="112"/>
      <c r="F1476" s="112"/>
      <c r="G1476" s="112"/>
      <c r="H1476" s="112"/>
    </row>
    <row r="1477" spans="3:8">
      <c r="C1477" s="112"/>
      <c r="D1477" s="112"/>
      <c r="E1477" s="112"/>
      <c r="F1477" s="112"/>
      <c r="G1477" s="112"/>
      <c r="H1477" s="112"/>
    </row>
    <row r="1478" spans="3:8">
      <c r="C1478" s="112"/>
      <c r="D1478" s="112"/>
      <c r="E1478" s="112"/>
      <c r="F1478" s="112"/>
      <c r="G1478" s="112"/>
      <c r="H1478" s="112"/>
    </row>
    <row r="1479" spans="3:8">
      <c r="C1479" s="112"/>
      <c r="D1479" s="112"/>
      <c r="E1479" s="112"/>
      <c r="F1479" s="112"/>
      <c r="G1479" s="112"/>
      <c r="H1479" s="112"/>
    </row>
    <row r="1480" spans="3:8">
      <c r="C1480" s="112"/>
      <c r="D1480" s="112"/>
      <c r="E1480" s="112"/>
      <c r="F1480" s="112"/>
      <c r="G1480" s="112"/>
      <c r="H1480" s="112"/>
    </row>
    <row r="1481" spans="3:8">
      <c r="C1481" s="112"/>
      <c r="D1481" s="112"/>
      <c r="E1481" s="112"/>
      <c r="F1481" s="112"/>
      <c r="G1481" s="112"/>
      <c r="H1481" s="112"/>
    </row>
    <row r="1482" spans="3:8">
      <c r="C1482" s="112"/>
      <c r="D1482" s="112"/>
      <c r="E1482" s="112"/>
      <c r="F1482" s="112"/>
      <c r="G1482" s="112"/>
      <c r="H1482" s="112"/>
    </row>
    <row r="1483" spans="3:8">
      <c r="C1483" s="112"/>
      <c r="D1483" s="112"/>
      <c r="E1483" s="112"/>
      <c r="F1483" s="112"/>
      <c r="G1483" s="112"/>
      <c r="H1483" s="112"/>
    </row>
    <row r="1484" spans="3:8">
      <c r="C1484" s="112"/>
      <c r="D1484" s="112"/>
      <c r="E1484" s="112"/>
      <c r="F1484" s="112"/>
      <c r="G1484" s="112"/>
      <c r="H1484" s="112"/>
    </row>
    <row r="1485" spans="3:8">
      <c r="C1485" s="112"/>
      <c r="D1485" s="112"/>
      <c r="E1485" s="112"/>
      <c r="F1485" s="112"/>
      <c r="G1485" s="112"/>
      <c r="H1485" s="112"/>
    </row>
    <row r="1486" spans="3:8">
      <c r="C1486" s="112"/>
      <c r="D1486" s="112"/>
      <c r="E1486" s="112"/>
      <c r="F1486" s="112"/>
      <c r="G1486" s="112"/>
      <c r="H1486" s="112"/>
    </row>
    <row r="1487" spans="3:8">
      <c r="C1487" s="112"/>
      <c r="D1487" s="112"/>
      <c r="E1487" s="112"/>
      <c r="F1487" s="112"/>
      <c r="G1487" s="112"/>
      <c r="H1487" s="112"/>
    </row>
    <row r="1488" spans="3:8">
      <c r="C1488" s="112"/>
      <c r="D1488" s="112"/>
      <c r="E1488" s="112"/>
      <c r="F1488" s="112"/>
      <c r="G1488" s="112"/>
      <c r="H1488" s="112"/>
    </row>
    <row r="1489" spans="3:8">
      <c r="C1489" s="112"/>
      <c r="D1489" s="112"/>
      <c r="E1489" s="112"/>
      <c r="F1489" s="112"/>
      <c r="G1489" s="112"/>
      <c r="H1489" s="112"/>
    </row>
    <row r="1490" spans="3:8">
      <c r="C1490" s="112"/>
      <c r="D1490" s="112"/>
      <c r="E1490" s="112"/>
      <c r="F1490" s="112"/>
      <c r="G1490" s="112"/>
      <c r="H1490" s="112"/>
    </row>
    <row r="1491" spans="3:8">
      <c r="C1491" s="112"/>
      <c r="D1491" s="112"/>
      <c r="E1491" s="112"/>
      <c r="F1491" s="112"/>
      <c r="G1491" s="112"/>
      <c r="H1491" s="112"/>
    </row>
    <row r="1492" spans="3:8">
      <c r="C1492" s="112"/>
      <c r="D1492" s="112"/>
      <c r="E1492" s="112"/>
      <c r="F1492" s="112"/>
      <c r="G1492" s="112"/>
      <c r="H1492" s="112"/>
    </row>
    <row r="1493" spans="3:8">
      <c r="C1493" s="112"/>
      <c r="D1493" s="112"/>
      <c r="E1493" s="112"/>
      <c r="F1493" s="112"/>
      <c r="G1493" s="112"/>
      <c r="H1493" s="112"/>
    </row>
    <row r="1494" spans="3:8">
      <c r="C1494" s="112"/>
      <c r="D1494" s="112"/>
      <c r="E1494" s="112"/>
      <c r="F1494" s="112"/>
      <c r="G1494" s="112"/>
      <c r="H1494" s="112"/>
    </row>
    <row r="1495" spans="3:8">
      <c r="C1495" s="112"/>
      <c r="D1495" s="112"/>
      <c r="E1495" s="112"/>
      <c r="F1495" s="112"/>
      <c r="G1495" s="112"/>
      <c r="H1495" s="112"/>
    </row>
    <row r="1496" spans="3:8">
      <c r="C1496" s="112"/>
      <c r="D1496" s="112"/>
      <c r="E1496" s="112"/>
      <c r="F1496" s="112"/>
      <c r="G1496" s="112"/>
      <c r="H1496" s="112"/>
    </row>
    <row r="1497" spans="3:8">
      <c r="C1497" s="112"/>
      <c r="D1497" s="112"/>
      <c r="E1497" s="112"/>
      <c r="F1497" s="112"/>
      <c r="G1497" s="112"/>
      <c r="H1497" s="112"/>
    </row>
    <row r="1498" spans="3:8">
      <c r="C1498" s="112"/>
      <c r="D1498" s="112"/>
      <c r="E1498" s="112"/>
      <c r="F1498" s="112"/>
      <c r="G1498" s="112"/>
      <c r="H1498" s="112"/>
    </row>
    <row r="1499" spans="3:8">
      <c r="C1499" s="112"/>
      <c r="D1499" s="112"/>
      <c r="E1499" s="112"/>
      <c r="F1499" s="112"/>
      <c r="G1499" s="112"/>
      <c r="H1499" s="112"/>
    </row>
    <row r="1500" spans="3:8">
      <c r="C1500" s="112"/>
      <c r="D1500" s="112"/>
      <c r="E1500" s="112"/>
      <c r="F1500" s="112"/>
      <c r="G1500" s="112"/>
      <c r="H1500" s="112"/>
    </row>
    <row r="1501" spans="3:8">
      <c r="C1501" s="112"/>
      <c r="D1501" s="112"/>
      <c r="E1501" s="112"/>
      <c r="F1501" s="112"/>
      <c r="G1501" s="112"/>
      <c r="H1501" s="112"/>
    </row>
    <row r="1502" spans="3:8">
      <c r="C1502" s="112"/>
      <c r="D1502" s="112"/>
      <c r="E1502" s="112"/>
      <c r="F1502" s="112"/>
      <c r="G1502" s="112"/>
      <c r="H1502" s="112"/>
    </row>
    <row r="1503" spans="3:8">
      <c r="C1503" s="112"/>
      <c r="D1503" s="112"/>
      <c r="E1503" s="112"/>
      <c r="F1503" s="112"/>
      <c r="G1503" s="112"/>
      <c r="H1503" s="112"/>
    </row>
    <row r="1504" spans="3:8">
      <c r="C1504" s="112"/>
      <c r="D1504" s="112"/>
      <c r="E1504" s="112"/>
      <c r="F1504" s="112"/>
      <c r="G1504" s="112"/>
      <c r="H1504" s="112"/>
    </row>
    <row r="1505" spans="3:8">
      <c r="C1505" s="112"/>
      <c r="D1505" s="112"/>
      <c r="E1505" s="112"/>
      <c r="F1505" s="112"/>
      <c r="G1505" s="112"/>
      <c r="H1505" s="112"/>
    </row>
    <row r="1506" spans="3:8">
      <c r="C1506" s="112"/>
      <c r="D1506" s="112"/>
      <c r="E1506" s="112"/>
      <c r="F1506" s="112"/>
      <c r="G1506" s="112"/>
      <c r="H1506" s="112"/>
    </row>
    <row r="1507" spans="3:8">
      <c r="C1507" s="112"/>
      <c r="D1507" s="112"/>
      <c r="E1507" s="112"/>
      <c r="F1507" s="112"/>
      <c r="G1507" s="112"/>
      <c r="H1507" s="112"/>
    </row>
    <row r="1508" spans="3:8">
      <c r="C1508" s="112"/>
      <c r="D1508" s="112"/>
      <c r="E1508" s="112"/>
      <c r="F1508" s="112"/>
      <c r="G1508" s="112"/>
      <c r="H1508" s="112"/>
    </row>
    <row r="1509" spans="3:8">
      <c r="C1509" s="112"/>
      <c r="D1509" s="112"/>
      <c r="E1509" s="112"/>
      <c r="F1509" s="112"/>
      <c r="G1509" s="112"/>
      <c r="H1509" s="112"/>
    </row>
    <row r="1510" spans="3:8">
      <c r="C1510" s="112"/>
      <c r="D1510" s="112"/>
      <c r="E1510" s="112"/>
      <c r="F1510" s="112"/>
      <c r="G1510" s="112"/>
      <c r="H1510" s="112"/>
    </row>
    <row r="1511" spans="3:8">
      <c r="C1511" s="112"/>
      <c r="D1511" s="112"/>
      <c r="E1511" s="112"/>
      <c r="F1511" s="112"/>
      <c r="G1511" s="112"/>
      <c r="H1511" s="112"/>
    </row>
    <row r="1512" spans="3:8">
      <c r="C1512" s="112"/>
      <c r="D1512" s="112"/>
      <c r="E1512" s="112"/>
      <c r="F1512" s="112"/>
      <c r="G1512" s="112"/>
      <c r="H1512" s="112"/>
    </row>
    <row r="1513" spans="3:8">
      <c r="C1513" s="112"/>
      <c r="D1513" s="112"/>
      <c r="E1513" s="112"/>
      <c r="F1513" s="112"/>
      <c r="G1513" s="112"/>
      <c r="H1513" s="112"/>
    </row>
    <row r="1514" spans="3:8">
      <c r="C1514" s="112"/>
      <c r="D1514" s="112"/>
      <c r="E1514" s="112"/>
      <c r="F1514" s="112"/>
      <c r="G1514" s="112"/>
      <c r="H1514" s="112"/>
    </row>
    <row r="1515" spans="3:8">
      <c r="C1515" s="112"/>
      <c r="D1515" s="112"/>
      <c r="E1515" s="112"/>
      <c r="F1515" s="112"/>
      <c r="G1515" s="112"/>
      <c r="H1515" s="112"/>
    </row>
    <row r="1516" spans="3:8">
      <c r="C1516" s="112"/>
      <c r="D1516" s="112"/>
      <c r="E1516" s="112"/>
      <c r="F1516" s="112"/>
      <c r="G1516" s="112"/>
      <c r="H1516" s="112"/>
    </row>
    <row r="1517" spans="3:8">
      <c r="C1517" s="112"/>
      <c r="D1517" s="112"/>
      <c r="E1517" s="112"/>
      <c r="F1517" s="112"/>
      <c r="G1517" s="112"/>
      <c r="H1517" s="112"/>
    </row>
    <row r="1518" spans="3:8">
      <c r="C1518" s="112"/>
      <c r="D1518" s="112"/>
      <c r="E1518" s="112"/>
      <c r="F1518" s="112"/>
      <c r="G1518" s="112"/>
      <c r="H1518" s="112"/>
    </row>
    <row r="1519" spans="3:8">
      <c r="C1519" s="112"/>
      <c r="D1519" s="112"/>
      <c r="E1519" s="112"/>
      <c r="F1519" s="112"/>
      <c r="G1519" s="112"/>
      <c r="H1519" s="112"/>
    </row>
    <row r="1520" spans="3:8">
      <c r="C1520" s="112"/>
      <c r="D1520" s="112"/>
      <c r="E1520" s="112"/>
      <c r="F1520" s="112"/>
      <c r="G1520" s="112"/>
      <c r="H1520" s="112"/>
    </row>
    <row r="1521" spans="3:8">
      <c r="C1521" s="112"/>
      <c r="D1521" s="112"/>
      <c r="E1521" s="112"/>
      <c r="F1521" s="112"/>
      <c r="G1521" s="112"/>
      <c r="H1521" s="112"/>
    </row>
    <row r="1522" spans="3:8">
      <c r="C1522" s="112"/>
      <c r="D1522" s="112"/>
      <c r="E1522" s="112"/>
      <c r="F1522" s="112"/>
      <c r="G1522" s="112"/>
      <c r="H1522" s="112"/>
    </row>
    <row r="1523" spans="3:8">
      <c r="C1523" s="112"/>
      <c r="D1523" s="112"/>
      <c r="E1523" s="112"/>
      <c r="F1523" s="112"/>
      <c r="G1523" s="112"/>
      <c r="H1523" s="112"/>
    </row>
    <row r="1524" spans="3:8">
      <c r="C1524" s="112"/>
      <c r="D1524" s="112"/>
      <c r="E1524" s="112"/>
      <c r="F1524" s="112"/>
      <c r="G1524" s="112"/>
      <c r="H1524" s="112"/>
    </row>
    <row r="1525" spans="3:8">
      <c r="C1525" s="112"/>
      <c r="D1525" s="112"/>
      <c r="E1525" s="112"/>
      <c r="F1525" s="112"/>
      <c r="G1525" s="112"/>
      <c r="H1525" s="112"/>
    </row>
    <row r="1526" spans="3:8">
      <c r="C1526" s="112"/>
      <c r="D1526" s="112"/>
      <c r="E1526" s="112"/>
      <c r="F1526" s="112"/>
      <c r="G1526" s="112"/>
      <c r="H1526" s="112"/>
    </row>
    <row r="1527" spans="3:8">
      <c r="C1527" s="112"/>
      <c r="D1527" s="112"/>
      <c r="E1527" s="112"/>
      <c r="F1527" s="112"/>
      <c r="G1527" s="112"/>
      <c r="H1527" s="112"/>
    </row>
    <row r="1528" spans="3:8">
      <c r="C1528" s="112"/>
      <c r="D1528" s="112"/>
      <c r="E1528" s="112"/>
      <c r="F1528" s="112"/>
      <c r="G1528" s="112"/>
      <c r="H1528" s="112"/>
    </row>
    <row r="1529" spans="3:8">
      <c r="C1529" s="112"/>
      <c r="D1529" s="112"/>
      <c r="E1529" s="112"/>
      <c r="F1529" s="112"/>
      <c r="G1529" s="112"/>
      <c r="H1529" s="112"/>
    </row>
    <row r="1530" spans="3:8">
      <c r="C1530" s="112"/>
      <c r="D1530" s="112"/>
      <c r="E1530" s="112"/>
      <c r="F1530" s="112"/>
      <c r="G1530" s="112"/>
      <c r="H1530" s="112"/>
    </row>
    <row r="1531" spans="3:8">
      <c r="C1531" s="112"/>
      <c r="D1531" s="112"/>
      <c r="E1531" s="112"/>
      <c r="F1531" s="112"/>
      <c r="G1531" s="112"/>
      <c r="H1531" s="112"/>
    </row>
    <row r="1532" spans="3:8">
      <c r="C1532" s="112"/>
      <c r="D1532" s="112"/>
      <c r="E1532" s="112"/>
      <c r="F1532" s="112"/>
      <c r="G1532" s="112"/>
      <c r="H1532" s="112"/>
    </row>
    <row r="1533" spans="3:8">
      <c r="C1533" s="112"/>
      <c r="D1533" s="112"/>
      <c r="E1533" s="112"/>
      <c r="F1533" s="112"/>
      <c r="G1533" s="112"/>
      <c r="H1533" s="112"/>
    </row>
    <row r="1534" spans="3:8">
      <c r="C1534" s="112"/>
      <c r="D1534" s="112"/>
      <c r="E1534" s="112"/>
      <c r="F1534" s="112"/>
      <c r="G1534" s="112"/>
      <c r="H1534" s="112"/>
    </row>
    <row r="1535" spans="3:8">
      <c r="C1535" s="112"/>
      <c r="D1535" s="112"/>
      <c r="E1535" s="112"/>
      <c r="F1535" s="112"/>
      <c r="G1535" s="112"/>
      <c r="H1535" s="112"/>
    </row>
    <row r="1536" spans="3:8">
      <c r="C1536" s="112"/>
      <c r="D1536" s="112"/>
      <c r="E1536" s="112"/>
      <c r="F1536" s="112"/>
      <c r="G1536" s="112"/>
      <c r="H1536" s="112"/>
    </row>
    <row r="1537" spans="3:8">
      <c r="C1537" s="112"/>
      <c r="D1537" s="112"/>
      <c r="E1537" s="112"/>
      <c r="F1537" s="112"/>
      <c r="G1537" s="112"/>
      <c r="H1537" s="112"/>
    </row>
    <row r="1538" spans="3:8">
      <c r="C1538" s="112"/>
      <c r="D1538" s="112"/>
      <c r="E1538" s="112"/>
      <c r="F1538" s="112"/>
      <c r="G1538" s="112"/>
      <c r="H1538" s="112"/>
    </row>
    <row r="1539" spans="3:8">
      <c r="C1539" s="112"/>
      <c r="D1539" s="112"/>
      <c r="E1539" s="112"/>
      <c r="F1539" s="112"/>
      <c r="G1539" s="112"/>
      <c r="H1539" s="112"/>
    </row>
    <row r="1540" spans="3:8">
      <c r="C1540" s="112"/>
      <c r="D1540" s="112"/>
      <c r="E1540" s="112"/>
      <c r="F1540" s="112"/>
      <c r="G1540" s="112"/>
      <c r="H1540" s="112"/>
    </row>
    <row r="1541" spans="3:8">
      <c r="C1541" s="112"/>
      <c r="D1541" s="112"/>
      <c r="E1541" s="112"/>
      <c r="F1541" s="112"/>
      <c r="G1541" s="112"/>
      <c r="H1541" s="112"/>
    </row>
    <row r="1542" spans="3:8">
      <c r="C1542" s="112"/>
      <c r="D1542" s="112"/>
      <c r="E1542" s="112"/>
      <c r="F1542" s="112"/>
      <c r="G1542" s="112"/>
      <c r="H1542" s="112"/>
    </row>
    <row r="1543" spans="3:8">
      <c r="C1543" s="112"/>
      <c r="D1543" s="112"/>
      <c r="E1543" s="112"/>
      <c r="F1543" s="112"/>
      <c r="G1543" s="112"/>
      <c r="H1543" s="112"/>
    </row>
    <row r="1544" spans="3:8">
      <c r="C1544" s="112"/>
      <c r="D1544" s="112"/>
      <c r="E1544" s="112"/>
      <c r="F1544" s="112"/>
      <c r="G1544" s="112"/>
      <c r="H1544" s="112"/>
    </row>
    <row r="1545" spans="3:8">
      <c r="C1545" s="112"/>
      <c r="D1545" s="112"/>
      <c r="E1545" s="112"/>
      <c r="F1545" s="112"/>
      <c r="G1545" s="112"/>
      <c r="H1545" s="112"/>
    </row>
    <row r="1546" spans="3:8">
      <c r="C1546" s="112"/>
      <c r="D1546" s="112"/>
      <c r="E1546" s="112"/>
      <c r="F1546" s="112"/>
      <c r="G1546" s="112"/>
      <c r="H1546" s="112"/>
    </row>
    <row r="1547" spans="3:8">
      <c r="C1547" s="112"/>
      <c r="D1547" s="112"/>
      <c r="E1547" s="112"/>
      <c r="F1547" s="112"/>
      <c r="G1547" s="112"/>
      <c r="H1547" s="112"/>
    </row>
    <row r="1548" spans="3:8">
      <c r="C1548" s="112"/>
      <c r="D1548" s="112"/>
      <c r="E1548" s="112"/>
      <c r="F1548" s="112"/>
      <c r="G1548" s="112"/>
      <c r="H1548" s="112"/>
    </row>
    <row r="1549" spans="3:8">
      <c r="C1549" s="112"/>
      <c r="D1549" s="112"/>
      <c r="E1549" s="112"/>
      <c r="F1549" s="112"/>
      <c r="G1549" s="112"/>
      <c r="H1549" s="112"/>
    </row>
    <row r="1550" spans="3:8">
      <c r="C1550" s="112"/>
      <c r="D1550" s="112"/>
      <c r="E1550" s="112"/>
      <c r="F1550" s="112"/>
      <c r="G1550" s="112"/>
      <c r="H1550" s="112"/>
    </row>
    <row r="1551" spans="3:8">
      <c r="C1551" s="112"/>
      <c r="D1551" s="112"/>
      <c r="E1551" s="112"/>
      <c r="F1551" s="112"/>
      <c r="G1551" s="112"/>
      <c r="H1551" s="112"/>
    </row>
    <row r="1552" spans="3:8">
      <c r="C1552" s="112"/>
      <c r="D1552" s="112"/>
      <c r="E1552" s="112"/>
      <c r="F1552" s="112"/>
      <c r="G1552" s="112"/>
      <c r="H1552" s="112"/>
    </row>
    <row r="1553" spans="3:8">
      <c r="C1553" s="112"/>
      <c r="D1553" s="112"/>
      <c r="E1553" s="112"/>
      <c r="F1553" s="112"/>
      <c r="G1553" s="112"/>
      <c r="H1553" s="112"/>
    </row>
    <row r="1554" spans="3:8">
      <c r="C1554" s="112"/>
      <c r="D1554" s="112"/>
      <c r="E1554" s="112"/>
      <c r="F1554" s="112"/>
      <c r="G1554" s="112"/>
      <c r="H1554" s="112"/>
    </row>
    <row r="1555" spans="3:8">
      <c r="C1555" s="112"/>
      <c r="D1555" s="112"/>
      <c r="E1555" s="112"/>
      <c r="F1555" s="112"/>
      <c r="G1555" s="112"/>
      <c r="H1555" s="112"/>
    </row>
    <row r="1556" spans="3:8">
      <c r="C1556" s="112"/>
      <c r="D1556" s="112"/>
      <c r="E1556" s="112"/>
      <c r="F1556" s="112"/>
      <c r="G1556" s="112"/>
      <c r="H1556" s="112"/>
    </row>
    <row r="1557" spans="3:8">
      <c r="C1557" s="112"/>
      <c r="D1557" s="112"/>
      <c r="E1557" s="112"/>
      <c r="F1557" s="112"/>
      <c r="G1557" s="112"/>
      <c r="H1557" s="112"/>
    </row>
    <row r="1558" spans="3:8">
      <c r="C1558" s="112"/>
      <c r="D1558" s="112"/>
      <c r="E1558" s="112"/>
      <c r="F1558" s="112"/>
      <c r="G1558" s="112"/>
      <c r="H1558" s="112"/>
    </row>
    <row r="1559" spans="3:8">
      <c r="C1559" s="112"/>
      <c r="D1559" s="112"/>
      <c r="E1559" s="112"/>
      <c r="F1559" s="112"/>
      <c r="G1559" s="112"/>
      <c r="H1559" s="112"/>
    </row>
    <row r="1560" spans="3:8">
      <c r="C1560" s="112"/>
      <c r="D1560" s="112"/>
      <c r="E1560" s="112"/>
      <c r="F1560" s="112"/>
      <c r="G1560" s="112"/>
      <c r="H1560" s="112"/>
    </row>
    <row r="1561" spans="3:8">
      <c r="C1561" s="112"/>
      <c r="D1561" s="112"/>
      <c r="E1561" s="112"/>
      <c r="F1561" s="112"/>
      <c r="G1561" s="112"/>
      <c r="H1561" s="112"/>
    </row>
    <row r="1562" spans="3:8">
      <c r="C1562" s="112"/>
      <c r="D1562" s="112"/>
      <c r="E1562" s="112"/>
      <c r="F1562" s="112"/>
      <c r="G1562" s="112"/>
      <c r="H1562" s="112"/>
    </row>
    <row r="1563" spans="3:8">
      <c r="C1563" s="112"/>
      <c r="D1563" s="112"/>
      <c r="E1563" s="112"/>
      <c r="F1563" s="112"/>
      <c r="G1563" s="112"/>
      <c r="H1563" s="112"/>
    </row>
    <row r="1564" spans="3:8">
      <c r="C1564" s="112"/>
      <c r="D1564" s="112"/>
      <c r="E1564" s="112"/>
      <c r="F1564" s="112"/>
      <c r="G1564" s="112"/>
      <c r="H1564" s="112"/>
    </row>
    <row r="1565" spans="3:8">
      <c r="C1565" s="112"/>
      <c r="D1565" s="112"/>
      <c r="E1565" s="112"/>
      <c r="F1565" s="112"/>
      <c r="G1565" s="112"/>
      <c r="H1565" s="112"/>
    </row>
    <row r="1566" spans="3:8">
      <c r="C1566" s="112"/>
      <c r="D1566" s="112"/>
      <c r="E1566" s="112"/>
      <c r="F1566" s="112"/>
      <c r="G1566" s="112"/>
      <c r="H1566" s="112"/>
    </row>
    <row r="1567" spans="3:8">
      <c r="C1567" s="112"/>
      <c r="D1567" s="112"/>
      <c r="E1567" s="112"/>
      <c r="F1567" s="112"/>
      <c r="G1567" s="112"/>
      <c r="H1567" s="112"/>
    </row>
    <row r="1568" spans="3:8">
      <c r="C1568" s="112"/>
      <c r="D1568" s="112"/>
      <c r="E1568" s="112"/>
      <c r="F1568" s="112"/>
      <c r="G1568" s="112"/>
      <c r="H1568" s="112"/>
    </row>
    <row r="1569" spans="3:8">
      <c r="C1569" s="112"/>
      <c r="D1569" s="112"/>
      <c r="E1569" s="112"/>
      <c r="F1569" s="112"/>
      <c r="G1569" s="112"/>
      <c r="H1569" s="112"/>
    </row>
    <row r="1570" spans="3:8">
      <c r="C1570" s="112"/>
      <c r="D1570" s="112"/>
      <c r="E1570" s="112"/>
      <c r="F1570" s="112"/>
      <c r="G1570" s="112"/>
      <c r="H1570" s="112"/>
    </row>
    <row r="1571" spans="3:8">
      <c r="C1571" s="112"/>
      <c r="D1571" s="112"/>
      <c r="E1571" s="112"/>
      <c r="F1571" s="112"/>
      <c r="G1571" s="112"/>
      <c r="H1571" s="112"/>
    </row>
    <row r="1572" spans="3:8">
      <c r="C1572" s="112"/>
      <c r="D1572" s="112"/>
      <c r="E1572" s="112"/>
      <c r="F1572" s="112"/>
      <c r="G1572" s="112"/>
      <c r="H1572" s="112"/>
    </row>
    <row r="1573" spans="3:8">
      <c r="C1573" s="112"/>
      <c r="D1573" s="112"/>
      <c r="E1573" s="112"/>
      <c r="F1573" s="112"/>
      <c r="G1573" s="112"/>
      <c r="H1573" s="112"/>
    </row>
    <row r="1574" spans="3:8">
      <c r="C1574" s="112"/>
      <c r="D1574" s="112"/>
      <c r="E1574" s="112"/>
      <c r="F1574" s="112"/>
      <c r="G1574" s="112"/>
      <c r="H1574" s="112"/>
    </row>
    <row r="1575" spans="3:8">
      <c r="C1575" s="112"/>
      <c r="D1575" s="112"/>
      <c r="E1575" s="112"/>
      <c r="F1575" s="112"/>
      <c r="G1575" s="112"/>
      <c r="H1575" s="112"/>
    </row>
    <row r="1576" spans="3:8">
      <c r="C1576" s="112"/>
      <c r="D1576" s="112"/>
      <c r="E1576" s="112"/>
      <c r="F1576" s="112"/>
      <c r="G1576" s="112"/>
      <c r="H1576" s="112"/>
    </row>
    <row r="1577" spans="3:8">
      <c r="C1577" s="112"/>
      <c r="D1577" s="112"/>
      <c r="E1577" s="112"/>
      <c r="F1577" s="112"/>
      <c r="G1577" s="112"/>
      <c r="H1577" s="112"/>
    </row>
    <row r="1578" spans="3:8">
      <c r="C1578" s="112"/>
      <c r="D1578" s="112"/>
      <c r="E1578" s="112"/>
      <c r="F1578" s="112"/>
      <c r="G1578" s="112"/>
      <c r="H1578" s="112"/>
    </row>
    <row r="1579" spans="3:8">
      <c r="C1579" s="112"/>
      <c r="D1579" s="112"/>
      <c r="E1579" s="112"/>
      <c r="F1579" s="112"/>
      <c r="G1579" s="112"/>
      <c r="H1579" s="112"/>
    </row>
    <row r="1580" spans="3:8">
      <c r="C1580" s="112"/>
      <c r="D1580" s="112"/>
      <c r="E1580" s="112"/>
      <c r="F1580" s="112"/>
      <c r="G1580" s="112"/>
      <c r="H1580" s="112"/>
    </row>
    <row r="1581" spans="3:8">
      <c r="C1581" s="112"/>
      <c r="D1581" s="112"/>
      <c r="E1581" s="112"/>
      <c r="F1581" s="112"/>
      <c r="G1581" s="112"/>
      <c r="H1581" s="112"/>
    </row>
    <row r="1582" spans="3:8">
      <c r="C1582" s="112"/>
      <c r="D1582" s="112"/>
      <c r="E1582" s="112"/>
      <c r="F1582" s="112"/>
      <c r="G1582" s="112"/>
      <c r="H1582" s="112"/>
    </row>
    <row r="1583" spans="3:8">
      <c r="C1583" s="112"/>
      <c r="D1583" s="112"/>
      <c r="E1583" s="112"/>
      <c r="F1583" s="112"/>
      <c r="G1583" s="112"/>
      <c r="H1583" s="112"/>
    </row>
    <row r="1584" spans="3:8">
      <c r="C1584" s="112"/>
      <c r="D1584" s="112"/>
      <c r="E1584" s="112"/>
      <c r="F1584" s="112"/>
      <c r="G1584" s="112"/>
      <c r="H1584" s="112"/>
    </row>
    <row r="1585" spans="3:8">
      <c r="C1585" s="112"/>
      <c r="D1585" s="112"/>
      <c r="E1585" s="112"/>
      <c r="F1585" s="112"/>
      <c r="G1585" s="112"/>
      <c r="H1585" s="112"/>
    </row>
    <row r="1586" spans="3:8">
      <c r="C1586" s="112"/>
      <c r="D1586" s="112"/>
      <c r="E1586" s="112"/>
      <c r="F1586" s="112"/>
      <c r="G1586" s="112"/>
      <c r="H1586" s="112"/>
    </row>
    <row r="1587" spans="3:8">
      <c r="C1587" s="112"/>
      <c r="D1587" s="112"/>
      <c r="E1587" s="112"/>
      <c r="F1587" s="112"/>
      <c r="G1587" s="112"/>
      <c r="H1587" s="112"/>
    </row>
    <row r="1588" spans="3:8">
      <c r="C1588" s="112"/>
      <c r="D1588" s="112"/>
      <c r="E1588" s="112"/>
      <c r="F1588" s="112"/>
      <c r="G1588" s="112"/>
      <c r="H1588" s="112"/>
    </row>
    <row r="1589" spans="3:8">
      <c r="C1589" s="112"/>
      <c r="D1589" s="112"/>
      <c r="E1589" s="112"/>
      <c r="F1589" s="112"/>
      <c r="G1589" s="112"/>
      <c r="H1589" s="112"/>
    </row>
    <row r="1590" spans="3:8">
      <c r="C1590" s="112"/>
      <c r="D1590" s="112"/>
      <c r="E1590" s="112"/>
      <c r="F1590" s="112"/>
      <c r="G1590" s="112"/>
      <c r="H1590" s="112"/>
    </row>
    <row r="1591" spans="3:8">
      <c r="C1591" s="112"/>
      <c r="D1591" s="112"/>
      <c r="E1591" s="112"/>
      <c r="F1591" s="112"/>
      <c r="G1591" s="112"/>
      <c r="H1591" s="112"/>
    </row>
    <row r="1592" spans="3:8">
      <c r="C1592" s="112"/>
      <c r="D1592" s="112"/>
      <c r="E1592" s="112"/>
      <c r="F1592" s="112"/>
      <c r="G1592" s="112"/>
      <c r="H1592" s="112"/>
    </row>
    <row r="1593" spans="3:8">
      <c r="C1593" s="112"/>
      <c r="D1593" s="112"/>
      <c r="E1593" s="112"/>
      <c r="F1593" s="112"/>
      <c r="G1593" s="112"/>
      <c r="H1593" s="112"/>
    </row>
    <row r="1594" spans="3:8">
      <c r="C1594" s="112"/>
      <c r="D1594" s="112"/>
      <c r="E1594" s="112"/>
      <c r="F1594" s="112"/>
      <c r="G1594" s="112"/>
      <c r="H1594" s="112"/>
    </row>
    <row r="1595" spans="3:8">
      <c r="C1595" s="112"/>
      <c r="D1595" s="112"/>
      <c r="E1595" s="112"/>
      <c r="F1595" s="112"/>
      <c r="G1595" s="112"/>
      <c r="H1595" s="112"/>
    </row>
    <row r="1596" spans="3:8">
      <c r="C1596" s="112"/>
      <c r="D1596" s="112"/>
      <c r="E1596" s="112"/>
      <c r="F1596" s="112"/>
      <c r="G1596" s="112"/>
      <c r="H1596" s="112"/>
    </row>
    <row r="1597" spans="3:8">
      <c r="C1597" s="112"/>
      <c r="D1597" s="112"/>
      <c r="E1597" s="112"/>
      <c r="F1597" s="112"/>
      <c r="G1597" s="112"/>
      <c r="H1597" s="112"/>
    </row>
    <row r="1598" spans="3:8">
      <c r="C1598" s="112"/>
      <c r="D1598" s="112"/>
      <c r="E1598" s="112"/>
      <c r="F1598" s="112"/>
      <c r="G1598" s="112"/>
      <c r="H1598" s="112"/>
    </row>
    <row r="1599" spans="3:8">
      <c r="C1599" s="112"/>
      <c r="D1599" s="112"/>
      <c r="E1599" s="112"/>
      <c r="F1599" s="112"/>
      <c r="G1599" s="112"/>
      <c r="H1599" s="112"/>
    </row>
    <row r="1600" spans="3:8">
      <c r="C1600" s="112"/>
      <c r="D1600" s="112"/>
      <c r="E1600" s="112"/>
      <c r="F1600" s="112"/>
      <c r="G1600" s="112"/>
      <c r="H1600" s="112"/>
    </row>
    <row r="1601" spans="3:8">
      <c r="C1601" s="112"/>
      <c r="D1601" s="112"/>
      <c r="E1601" s="112"/>
      <c r="F1601" s="112"/>
      <c r="G1601" s="112"/>
      <c r="H1601" s="112"/>
    </row>
    <row r="1602" spans="3:8">
      <c r="C1602" s="112"/>
      <c r="D1602" s="112"/>
      <c r="E1602" s="112"/>
      <c r="F1602" s="112"/>
      <c r="G1602" s="112"/>
      <c r="H1602" s="112"/>
    </row>
    <row r="1603" spans="3:8">
      <c r="C1603" s="112"/>
      <c r="D1603" s="112"/>
      <c r="E1603" s="112"/>
      <c r="F1603" s="112"/>
      <c r="G1603" s="112"/>
      <c r="H1603" s="112"/>
    </row>
    <row r="1604" spans="3:8">
      <c r="C1604" s="112"/>
      <c r="D1604" s="112"/>
      <c r="E1604" s="112"/>
      <c r="F1604" s="112"/>
      <c r="G1604" s="112"/>
      <c r="H1604" s="112"/>
    </row>
    <row r="1605" spans="3:8">
      <c r="C1605" s="112"/>
      <c r="D1605" s="112"/>
      <c r="E1605" s="112"/>
      <c r="F1605" s="112"/>
      <c r="G1605" s="112"/>
      <c r="H1605" s="112"/>
    </row>
    <row r="1606" spans="3:8">
      <c r="C1606" s="112"/>
      <c r="D1606" s="112"/>
      <c r="E1606" s="112"/>
      <c r="F1606" s="112"/>
      <c r="G1606" s="112"/>
      <c r="H1606" s="112"/>
    </row>
    <row r="1607" spans="3:8">
      <c r="C1607" s="112"/>
      <c r="D1607" s="112"/>
      <c r="E1607" s="112"/>
      <c r="F1607" s="112"/>
      <c r="G1607" s="112"/>
      <c r="H1607" s="112"/>
    </row>
    <row r="1608" spans="3:8">
      <c r="C1608" s="112"/>
      <c r="D1608" s="112"/>
      <c r="E1608" s="112"/>
      <c r="F1608" s="112"/>
      <c r="G1608" s="112"/>
      <c r="H1608" s="112"/>
    </row>
    <row r="1609" spans="3:8">
      <c r="C1609" s="112"/>
      <c r="D1609" s="112"/>
      <c r="E1609" s="112"/>
      <c r="F1609" s="112"/>
      <c r="G1609" s="112"/>
      <c r="H1609" s="112"/>
    </row>
    <row r="1610" spans="3:8">
      <c r="C1610" s="112"/>
      <c r="D1610" s="112"/>
      <c r="E1610" s="112"/>
      <c r="F1610" s="112"/>
      <c r="G1610" s="112"/>
      <c r="H1610" s="112"/>
    </row>
    <row r="1611" spans="3:8">
      <c r="C1611" s="112"/>
      <c r="D1611" s="112"/>
      <c r="E1611" s="112"/>
      <c r="F1611" s="112"/>
      <c r="G1611" s="112"/>
      <c r="H1611" s="112"/>
    </row>
    <row r="1612" spans="3:8">
      <c r="C1612" s="112"/>
      <c r="D1612" s="112"/>
      <c r="E1612" s="112"/>
      <c r="F1612" s="112"/>
      <c r="G1612" s="112"/>
      <c r="H1612" s="112"/>
    </row>
    <row r="1613" spans="3:8">
      <c r="C1613" s="112"/>
      <c r="D1613" s="112"/>
      <c r="E1613" s="112"/>
      <c r="F1613" s="112"/>
      <c r="G1613" s="112"/>
      <c r="H1613" s="112"/>
    </row>
    <row r="1614" spans="3:8">
      <c r="C1614" s="112"/>
      <c r="D1614" s="112"/>
      <c r="E1614" s="112"/>
      <c r="F1614" s="112"/>
      <c r="G1614" s="112"/>
      <c r="H1614" s="112"/>
    </row>
    <row r="1615" spans="3:8">
      <c r="C1615" s="112"/>
      <c r="D1615" s="112"/>
      <c r="E1615" s="112"/>
      <c r="F1615" s="112"/>
      <c r="G1615" s="112"/>
      <c r="H1615" s="112"/>
    </row>
    <row r="1616" spans="3:8">
      <c r="C1616" s="112"/>
      <c r="D1616" s="112"/>
      <c r="E1616" s="112"/>
      <c r="F1616" s="112"/>
      <c r="G1616" s="112"/>
      <c r="H1616" s="112"/>
    </row>
    <row r="1617" spans="3:8">
      <c r="C1617" s="112"/>
      <c r="D1617" s="112"/>
      <c r="E1617" s="112"/>
      <c r="F1617" s="112"/>
      <c r="G1617" s="112"/>
      <c r="H1617" s="112"/>
    </row>
    <row r="1618" spans="3:8">
      <c r="C1618" s="112"/>
      <c r="D1618" s="112"/>
      <c r="E1618" s="112"/>
      <c r="F1618" s="112"/>
      <c r="G1618" s="112"/>
      <c r="H1618" s="112"/>
    </row>
    <row r="1619" spans="3:8">
      <c r="C1619" s="112"/>
      <c r="D1619" s="112"/>
      <c r="E1619" s="112"/>
      <c r="F1619" s="112"/>
      <c r="G1619" s="112"/>
      <c r="H1619" s="112"/>
    </row>
    <row r="1620" spans="3:8">
      <c r="C1620" s="112"/>
      <c r="D1620" s="112"/>
      <c r="E1620" s="112"/>
      <c r="F1620" s="112"/>
      <c r="G1620" s="112"/>
      <c r="H1620" s="112"/>
    </row>
    <row r="1621" spans="3:8">
      <c r="C1621" s="112"/>
      <c r="D1621" s="112"/>
      <c r="E1621" s="112"/>
      <c r="F1621" s="112"/>
      <c r="G1621" s="112"/>
      <c r="H1621" s="112"/>
    </row>
    <row r="1622" spans="3:8">
      <c r="C1622" s="112"/>
      <c r="D1622" s="112"/>
      <c r="E1622" s="112"/>
      <c r="F1622" s="112"/>
      <c r="G1622" s="112"/>
      <c r="H1622" s="112"/>
    </row>
    <row r="1623" spans="3:8">
      <c r="C1623" s="112"/>
      <c r="D1623" s="112"/>
      <c r="E1623" s="112"/>
      <c r="F1623" s="112"/>
      <c r="G1623" s="112"/>
      <c r="H1623" s="112"/>
    </row>
    <row r="1624" spans="3:8">
      <c r="C1624" s="112"/>
      <c r="D1624" s="112"/>
      <c r="E1624" s="112"/>
      <c r="F1624" s="112"/>
      <c r="G1624" s="112"/>
      <c r="H1624" s="112"/>
    </row>
    <row r="1625" spans="3:8">
      <c r="C1625" s="112"/>
      <c r="D1625" s="112"/>
      <c r="E1625" s="112"/>
      <c r="F1625" s="112"/>
      <c r="G1625" s="112"/>
      <c r="H1625" s="112"/>
    </row>
    <row r="1626" spans="3:8">
      <c r="C1626" s="112"/>
      <c r="D1626" s="112"/>
      <c r="E1626" s="112"/>
      <c r="F1626" s="112"/>
      <c r="G1626" s="112"/>
      <c r="H1626" s="112"/>
    </row>
    <row r="1627" spans="3:8">
      <c r="C1627" s="112"/>
      <c r="D1627" s="112"/>
      <c r="E1627" s="112"/>
      <c r="F1627" s="112"/>
      <c r="G1627" s="112"/>
      <c r="H1627" s="112"/>
    </row>
    <row r="1628" spans="3:8">
      <c r="C1628" s="112"/>
      <c r="D1628" s="112"/>
      <c r="E1628" s="112"/>
      <c r="F1628" s="112"/>
      <c r="G1628" s="112"/>
      <c r="H1628" s="112"/>
    </row>
    <row r="1629" spans="3:8">
      <c r="C1629" s="112"/>
      <c r="D1629" s="112"/>
      <c r="E1629" s="112"/>
      <c r="F1629" s="112"/>
      <c r="G1629" s="112"/>
      <c r="H1629" s="112"/>
    </row>
    <row r="1630" spans="3:8">
      <c r="C1630" s="112"/>
      <c r="D1630" s="112"/>
      <c r="E1630" s="112"/>
      <c r="F1630" s="112"/>
      <c r="G1630" s="112"/>
      <c r="H1630" s="112"/>
    </row>
    <row r="1631" spans="3:8">
      <c r="C1631" s="112"/>
      <c r="D1631" s="112"/>
      <c r="E1631" s="112"/>
      <c r="F1631" s="112"/>
      <c r="G1631" s="112"/>
      <c r="H1631" s="112"/>
    </row>
    <row r="1632" spans="3:8">
      <c r="C1632" s="112"/>
      <c r="D1632" s="112"/>
      <c r="E1632" s="112"/>
      <c r="F1632" s="112"/>
      <c r="G1632" s="112"/>
      <c r="H1632" s="112"/>
    </row>
    <row r="1633" spans="3:8">
      <c r="C1633" s="112"/>
      <c r="D1633" s="112"/>
      <c r="E1633" s="112"/>
      <c r="F1633" s="112"/>
      <c r="G1633" s="112"/>
      <c r="H1633" s="112"/>
    </row>
    <row r="1634" spans="3:8">
      <c r="C1634" s="112"/>
      <c r="D1634" s="112"/>
      <c r="E1634" s="112"/>
      <c r="F1634" s="112"/>
      <c r="G1634" s="112"/>
      <c r="H1634" s="112"/>
    </row>
    <row r="1635" spans="3:8">
      <c r="C1635" s="112"/>
      <c r="D1635" s="112"/>
      <c r="E1635" s="112"/>
      <c r="F1635" s="112"/>
      <c r="G1635" s="112"/>
      <c r="H1635" s="112"/>
    </row>
    <row r="1636" spans="3:8">
      <c r="C1636" s="112"/>
      <c r="D1636" s="112"/>
      <c r="E1636" s="112"/>
      <c r="F1636" s="112"/>
      <c r="G1636" s="112"/>
      <c r="H1636" s="112"/>
    </row>
    <row r="1637" spans="3:8">
      <c r="C1637" s="112"/>
      <c r="D1637" s="112"/>
      <c r="E1637" s="112"/>
      <c r="F1637" s="112"/>
      <c r="G1637" s="112"/>
      <c r="H1637" s="112"/>
    </row>
    <row r="1638" spans="3:8">
      <c r="C1638" s="112"/>
      <c r="D1638" s="112"/>
      <c r="E1638" s="112"/>
      <c r="F1638" s="112"/>
      <c r="G1638" s="112"/>
      <c r="H1638" s="112"/>
    </row>
    <row r="1639" spans="3:8">
      <c r="C1639" s="112"/>
      <c r="D1639" s="112"/>
      <c r="E1639" s="112"/>
      <c r="F1639" s="112"/>
      <c r="G1639" s="112"/>
      <c r="H1639" s="112"/>
    </row>
    <row r="1640" spans="3:8">
      <c r="C1640" s="112"/>
      <c r="D1640" s="112"/>
      <c r="E1640" s="112"/>
      <c r="F1640" s="112"/>
      <c r="G1640" s="112"/>
      <c r="H1640" s="112"/>
    </row>
    <row r="1641" spans="3:8">
      <c r="C1641" s="112"/>
      <c r="D1641" s="112"/>
      <c r="E1641" s="112"/>
      <c r="F1641" s="112"/>
      <c r="G1641" s="112"/>
      <c r="H1641" s="112"/>
    </row>
    <row r="1642" spans="3:8">
      <c r="C1642" s="112"/>
      <c r="D1642" s="112"/>
      <c r="E1642" s="112"/>
      <c r="F1642" s="112"/>
      <c r="G1642" s="112"/>
      <c r="H1642" s="112"/>
    </row>
    <row r="1643" spans="3:8">
      <c r="C1643" s="112"/>
      <c r="D1643" s="112"/>
      <c r="E1643" s="112"/>
      <c r="F1643" s="112"/>
      <c r="G1643" s="112"/>
      <c r="H1643" s="112"/>
    </row>
    <row r="1644" spans="3:8">
      <c r="C1644" s="112"/>
      <c r="D1644" s="112"/>
      <c r="E1644" s="112"/>
      <c r="F1644" s="112"/>
      <c r="G1644" s="112"/>
      <c r="H1644" s="112"/>
    </row>
    <row r="1645" spans="3:8">
      <c r="C1645" s="112"/>
      <c r="D1645" s="112"/>
      <c r="E1645" s="112"/>
      <c r="F1645" s="112"/>
      <c r="G1645" s="112"/>
      <c r="H1645" s="112"/>
    </row>
    <row r="1646" spans="3:8">
      <c r="C1646" s="112"/>
      <c r="D1646" s="112"/>
      <c r="E1646" s="112"/>
      <c r="F1646" s="112"/>
      <c r="G1646" s="112"/>
      <c r="H1646" s="112"/>
    </row>
    <row r="1647" spans="3:8">
      <c r="C1647" s="112"/>
      <c r="D1647" s="112"/>
      <c r="E1647" s="112"/>
      <c r="F1647" s="112"/>
      <c r="G1647" s="112"/>
      <c r="H1647" s="112"/>
    </row>
    <row r="1648" spans="3:8">
      <c r="C1648" s="112"/>
      <c r="D1648" s="112"/>
      <c r="E1648" s="112"/>
      <c r="F1648" s="112"/>
      <c r="G1648" s="112"/>
      <c r="H1648" s="112"/>
    </row>
    <row r="1649" spans="3:8">
      <c r="C1649" s="112"/>
      <c r="D1649" s="112"/>
      <c r="E1649" s="112"/>
      <c r="F1649" s="112"/>
      <c r="G1649" s="112"/>
      <c r="H1649" s="112"/>
    </row>
    <row r="1650" spans="3:8">
      <c r="C1650" s="112"/>
      <c r="D1650" s="112"/>
      <c r="E1650" s="112"/>
      <c r="F1650" s="112"/>
      <c r="G1650" s="112"/>
      <c r="H1650" s="112"/>
    </row>
    <row r="1651" spans="3:8">
      <c r="C1651" s="112"/>
      <c r="D1651" s="112"/>
      <c r="E1651" s="112"/>
      <c r="F1651" s="112"/>
      <c r="G1651" s="112"/>
      <c r="H1651" s="112"/>
    </row>
    <row r="1652" spans="3:8">
      <c r="C1652" s="112"/>
      <c r="D1652" s="112"/>
      <c r="E1652" s="112"/>
      <c r="F1652" s="112"/>
      <c r="G1652" s="112"/>
      <c r="H1652" s="112"/>
    </row>
    <row r="1653" spans="3:8">
      <c r="C1653" s="112"/>
      <c r="D1653" s="112"/>
      <c r="E1653" s="112"/>
      <c r="F1653" s="112"/>
      <c r="G1653" s="112"/>
      <c r="H1653" s="112"/>
    </row>
    <row r="1654" spans="3:8">
      <c r="C1654" s="112"/>
      <c r="D1654" s="112"/>
      <c r="E1654" s="112"/>
      <c r="F1654" s="112"/>
      <c r="G1654" s="112"/>
      <c r="H1654" s="112"/>
    </row>
    <row r="1655" spans="3:8">
      <c r="C1655" s="112"/>
      <c r="D1655" s="112"/>
      <c r="E1655" s="112"/>
      <c r="F1655" s="112"/>
      <c r="G1655" s="112"/>
      <c r="H1655" s="112"/>
    </row>
    <row r="1656" spans="3:8">
      <c r="C1656" s="112"/>
      <c r="D1656" s="112"/>
      <c r="E1656" s="112"/>
      <c r="F1656" s="112"/>
      <c r="G1656" s="112"/>
      <c r="H1656" s="112"/>
    </row>
    <row r="1657" spans="3:8">
      <c r="C1657" s="112"/>
      <c r="D1657" s="112"/>
      <c r="E1657" s="112"/>
      <c r="F1657" s="112"/>
      <c r="G1657" s="112"/>
      <c r="H1657" s="112"/>
    </row>
    <row r="1658" spans="3:8">
      <c r="C1658" s="112"/>
      <c r="D1658" s="112"/>
      <c r="E1658" s="112"/>
      <c r="F1658" s="112"/>
      <c r="G1658" s="112"/>
      <c r="H1658" s="112"/>
    </row>
    <row r="1659" spans="3:8">
      <c r="C1659" s="112"/>
      <c r="D1659" s="112"/>
      <c r="E1659" s="112"/>
      <c r="F1659" s="112"/>
      <c r="G1659" s="112"/>
      <c r="H1659" s="112"/>
    </row>
    <row r="1660" spans="3:8">
      <c r="C1660" s="112"/>
      <c r="D1660" s="112"/>
      <c r="E1660" s="112"/>
      <c r="F1660" s="112"/>
      <c r="G1660" s="112"/>
      <c r="H1660" s="112"/>
    </row>
    <row r="1661" spans="3:8">
      <c r="C1661" s="112"/>
      <c r="D1661" s="112"/>
      <c r="E1661" s="112"/>
      <c r="F1661" s="112"/>
      <c r="G1661" s="112"/>
      <c r="H1661" s="112"/>
    </row>
    <row r="1662" spans="3:8">
      <c r="C1662" s="112"/>
      <c r="D1662" s="112"/>
      <c r="E1662" s="112"/>
      <c r="F1662" s="112"/>
      <c r="G1662" s="112"/>
      <c r="H1662" s="112"/>
    </row>
    <row r="1663" spans="3:8">
      <c r="C1663" s="112"/>
      <c r="D1663" s="112"/>
      <c r="E1663" s="112"/>
      <c r="F1663" s="112"/>
      <c r="G1663" s="112"/>
      <c r="H1663" s="112"/>
    </row>
    <row r="1664" spans="3:8">
      <c r="C1664" s="112"/>
      <c r="D1664" s="112"/>
      <c r="E1664" s="112"/>
      <c r="F1664" s="112"/>
      <c r="G1664" s="112"/>
      <c r="H1664" s="112"/>
    </row>
    <row r="1665" spans="3:8">
      <c r="C1665" s="112"/>
      <c r="D1665" s="112"/>
      <c r="E1665" s="112"/>
      <c r="F1665" s="112"/>
      <c r="G1665" s="112"/>
      <c r="H1665" s="112"/>
    </row>
    <row r="1666" spans="3:8">
      <c r="C1666" s="112"/>
      <c r="D1666" s="112"/>
      <c r="E1666" s="112"/>
      <c r="F1666" s="112"/>
      <c r="G1666" s="112"/>
      <c r="H1666" s="112"/>
    </row>
    <row r="1667" spans="3:8">
      <c r="C1667" s="112"/>
      <c r="D1667" s="112"/>
      <c r="E1667" s="112"/>
      <c r="F1667" s="112"/>
      <c r="G1667" s="112"/>
      <c r="H1667" s="112"/>
    </row>
    <row r="1668" spans="3:8">
      <c r="C1668" s="112"/>
      <c r="D1668" s="112"/>
      <c r="E1668" s="112"/>
      <c r="F1668" s="112"/>
      <c r="G1668" s="112"/>
      <c r="H1668" s="112"/>
    </row>
    <row r="1669" spans="3:8">
      <c r="C1669" s="112"/>
      <c r="D1669" s="112"/>
      <c r="E1669" s="112"/>
      <c r="F1669" s="112"/>
      <c r="G1669" s="112"/>
      <c r="H1669" s="112"/>
    </row>
    <row r="1670" spans="3:8">
      <c r="C1670" s="112"/>
      <c r="D1670" s="112"/>
      <c r="E1670" s="112"/>
      <c r="F1670" s="112"/>
      <c r="G1670" s="112"/>
      <c r="H1670" s="112"/>
    </row>
    <row r="1671" spans="3:8">
      <c r="C1671" s="112"/>
      <c r="D1671" s="112"/>
      <c r="E1671" s="112"/>
      <c r="F1671" s="112"/>
      <c r="G1671" s="112"/>
      <c r="H1671" s="112"/>
    </row>
    <row r="1672" spans="3:8">
      <c r="C1672" s="112"/>
      <c r="D1672" s="112"/>
      <c r="E1672" s="112"/>
      <c r="F1672" s="112"/>
      <c r="G1672" s="112"/>
      <c r="H1672" s="112"/>
    </row>
    <row r="1673" spans="3:8">
      <c r="C1673" s="112"/>
      <c r="D1673" s="112"/>
      <c r="E1673" s="112"/>
      <c r="F1673" s="112"/>
      <c r="G1673" s="112"/>
      <c r="H1673" s="112"/>
    </row>
    <row r="1674" spans="3:8">
      <c r="C1674" s="112"/>
      <c r="D1674" s="112"/>
      <c r="E1674" s="112"/>
      <c r="F1674" s="112"/>
      <c r="G1674" s="112"/>
      <c r="H1674" s="112"/>
    </row>
    <row r="1675" spans="3:8">
      <c r="C1675" s="112"/>
      <c r="D1675" s="112"/>
      <c r="E1675" s="112"/>
      <c r="F1675" s="112"/>
      <c r="G1675" s="112"/>
      <c r="H1675" s="112"/>
    </row>
    <row r="1676" spans="3:8">
      <c r="C1676" s="112"/>
      <c r="D1676" s="112"/>
      <c r="E1676" s="112"/>
      <c r="F1676" s="112"/>
      <c r="G1676" s="112"/>
      <c r="H1676" s="112"/>
    </row>
    <row r="1677" spans="3:8">
      <c r="C1677" s="112"/>
      <c r="D1677" s="112"/>
      <c r="E1677" s="112"/>
      <c r="F1677" s="112"/>
      <c r="G1677" s="112"/>
      <c r="H1677" s="112"/>
    </row>
    <row r="1678" spans="3:8">
      <c r="C1678" s="112"/>
      <c r="D1678" s="112"/>
      <c r="E1678" s="112"/>
      <c r="F1678" s="112"/>
      <c r="G1678" s="112"/>
      <c r="H1678" s="112"/>
    </row>
    <row r="1679" spans="3:8">
      <c r="C1679" s="112"/>
      <c r="D1679" s="112"/>
      <c r="E1679" s="112"/>
      <c r="F1679" s="112"/>
      <c r="G1679" s="112"/>
      <c r="H1679" s="112"/>
    </row>
    <row r="1680" spans="3:8">
      <c r="C1680" s="112"/>
      <c r="D1680" s="112"/>
      <c r="E1680" s="112"/>
      <c r="F1680" s="112"/>
      <c r="G1680" s="112"/>
      <c r="H1680" s="112"/>
    </row>
    <row r="1681" spans="3:8">
      <c r="C1681" s="112"/>
      <c r="D1681" s="112"/>
      <c r="E1681" s="112"/>
      <c r="F1681" s="112"/>
      <c r="G1681" s="112"/>
      <c r="H1681" s="112"/>
    </row>
    <row r="1682" spans="3:8">
      <c r="C1682" s="112"/>
      <c r="D1682" s="112"/>
      <c r="E1682" s="112"/>
      <c r="F1682" s="112"/>
      <c r="G1682" s="112"/>
      <c r="H1682" s="112"/>
    </row>
    <row r="1683" spans="3:8">
      <c r="C1683" s="112"/>
      <c r="D1683" s="112"/>
      <c r="E1683" s="112"/>
      <c r="F1683" s="112"/>
      <c r="G1683" s="112"/>
      <c r="H1683" s="112"/>
    </row>
    <row r="1684" spans="3:8">
      <c r="C1684" s="112"/>
      <c r="D1684" s="112"/>
      <c r="E1684" s="112"/>
      <c r="F1684" s="112"/>
      <c r="G1684" s="112"/>
      <c r="H1684" s="112"/>
    </row>
    <row r="1685" spans="3:8">
      <c r="C1685" s="112"/>
      <c r="D1685" s="112"/>
      <c r="E1685" s="112"/>
      <c r="F1685" s="112"/>
      <c r="G1685" s="112"/>
      <c r="H1685" s="112"/>
    </row>
    <row r="1686" spans="3:8">
      <c r="C1686" s="112"/>
      <c r="D1686" s="112"/>
      <c r="E1686" s="112"/>
      <c r="F1686" s="112"/>
      <c r="G1686" s="112"/>
      <c r="H1686" s="112"/>
    </row>
    <row r="1687" spans="3:8">
      <c r="C1687" s="112"/>
      <c r="D1687" s="112"/>
      <c r="E1687" s="112"/>
      <c r="F1687" s="112"/>
      <c r="G1687" s="112"/>
      <c r="H1687" s="112"/>
    </row>
    <row r="1688" spans="3:8">
      <c r="C1688" s="112"/>
      <c r="D1688" s="112"/>
      <c r="E1688" s="112"/>
      <c r="F1688" s="112"/>
      <c r="G1688" s="112"/>
      <c r="H1688" s="112"/>
    </row>
    <row r="1689" spans="3:8">
      <c r="C1689" s="112"/>
      <c r="D1689" s="112"/>
      <c r="E1689" s="112"/>
      <c r="F1689" s="112"/>
      <c r="G1689" s="112"/>
      <c r="H1689" s="112"/>
    </row>
    <row r="1690" spans="3:8">
      <c r="C1690" s="112"/>
      <c r="D1690" s="112"/>
      <c r="E1690" s="112"/>
      <c r="F1690" s="112"/>
      <c r="G1690" s="112"/>
      <c r="H1690" s="112"/>
    </row>
    <row r="1691" spans="3:8">
      <c r="C1691" s="112"/>
      <c r="D1691" s="112"/>
      <c r="E1691" s="112"/>
      <c r="F1691" s="112"/>
      <c r="G1691" s="112"/>
      <c r="H1691" s="112"/>
    </row>
    <row r="1692" spans="3:8">
      <c r="C1692" s="112"/>
      <c r="D1692" s="112"/>
      <c r="E1692" s="112"/>
      <c r="F1692" s="112"/>
      <c r="G1692" s="112"/>
      <c r="H1692" s="112"/>
    </row>
    <row r="1693" spans="3:8">
      <c r="C1693" s="112"/>
      <c r="D1693" s="112"/>
      <c r="E1693" s="112"/>
      <c r="F1693" s="112"/>
      <c r="G1693" s="112"/>
      <c r="H1693" s="112"/>
    </row>
    <row r="1694" spans="3:8">
      <c r="C1694" s="112"/>
      <c r="D1694" s="112"/>
      <c r="E1694" s="112"/>
      <c r="F1694" s="112"/>
      <c r="G1694" s="112"/>
      <c r="H1694" s="112"/>
    </row>
    <row r="1695" spans="3:8">
      <c r="C1695" s="112"/>
      <c r="D1695" s="112"/>
      <c r="E1695" s="112"/>
      <c r="F1695" s="112"/>
      <c r="G1695" s="112"/>
      <c r="H1695" s="112"/>
    </row>
    <row r="1696" spans="3:8">
      <c r="C1696" s="112"/>
      <c r="D1696" s="112"/>
      <c r="E1696" s="112"/>
      <c r="F1696" s="112"/>
      <c r="G1696" s="112"/>
      <c r="H1696" s="112"/>
    </row>
    <row r="1697" spans="3:8">
      <c r="C1697" s="112"/>
      <c r="D1697" s="112"/>
      <c r="E1697" s="112"/>
      <c r="F1697" s="112"/>
      <c r="G1697" s="112"/>
      <c r="H1697" s="112"/>
    </row>
    <row r="1698" spans="3:8">
      <c r="C1698" s="112"/>
      <c r="D1698" s="112"/>
      <c r="E1698" s="112"/>
      <c r="F1698" s="112"/>
      <c r="G1698" s="112"/>
      <c r="H1698" s="112"/>
    </row>
    <row r="1699" spans="3:8">
      <c r="C1699" s="112"/>
      <c r="D1699" s="112"/>
      <c r="E1699" s="112"/>
      <c r="F1699" s="112"/>
      <c r="G1699" s="112"/>
      <c r="H1699" s="112"/>
    </row>
    <row r="1700" spans="3:8">
      <c r="C1700" s="112"/>
      <c r="D1700" s="112"/>
      <c r="E1700" s="112"/>
      <c r="F1700" s="112"/>
      <c r="G1700" s="112"/>
      <c r="H1700" s="112"/>
    </row>
    <row r="1701" spans="3:8">
      <c r="C1701" s="112"/>
      <c r="D1701" s="112"/>
      <c r="E1701" s="112"/>
      <c r="F1701" s="112"/>
      <c r="G1701" s="112"/>
      <c r="H1701" s="112"/>
    </row>
    <row r="1702" spans="3:8">
      <c r="C1702" s="112"/>
      <c r="D1702" s="112"/>
      <c r="E1702" s="112"/>
      <c r="F1702" s="112"/>
      <c r="G1702" s="112"/>
      <c r="H1702" s="112"/>
    </row>
    <row r="1703" spans="3:8">
      <c r="C1703" s="112"/>
      <c r="D1703" s="112"/>
      <c r="E1703" s="112"/>
      <c r="F1703" s="112"/>
      <c r="G1703" s="112"/>
      <c r="H1703" s="112"/>
    </row>
    <row r="1704" spans="3:8">
      <c r="C1704" s="112"/>
      <c r="D1704" s="112"/>
      <c r="E1704" s="112"/>
      <c r="F1704" s="112"/>
      <c r="G1704" s="112"/>
      <c r="H1704" s="112"/>
    </row>
    <row r="1705" spans="3:8">
      <c r="C1705" s="112"/>
      <c r="D1705" s="112"/>
      <c r="E1705" s="112"/>
      <c r="F1705" s="112"/>
      <c r="G1705" s="112"/>
      <c r="H1705" s="112"/>
    </row>
    <row r="1706" spans="3:8">
      <c r="C1706" s="112"/>
      <c r="D1706" s="112"/>
      <c r="E1706" s="112"/>
      <c r="F1706" s="112"/>
      <c r="G1706" s="112"/>
      <c r="H1706" s="112"/>
    </row>
    <row r="1707" spans="3:8">
      <c r="C1707" s="112"/>
      <c r="D1707" s="112"/>
      <c r="E1707" s="112"/>
      <c r="F1707" s="112"/>
      <c r="G1707" s="112"/>
      <c r="H1707" s="112"/>
    </row>
    <row r="1708" spans="3:8">
      <c r="C1708" s="112"/>
      <c r="D1708" s="112"/>
      <c r="E1708" s="112"/>
      <c r="F1708" s="112"/>
      <c r="G1708" s="112"/>
      <c r="H1708" s="112"/>
    </row>
    <row r="1709" spans="3:8">
      <c r="C1709" s="112"/>
      <c r="D1709" s="112"/>
      <c r="E1709" s="112"/>
      <c r="F1709" s="112"/>
      <c r="G1709" s="112"/>
      <c r="H1709" s="112"/>
    </row>
    <row r="1710" spans="3:8">
      <c r="C1710" s="112"/>
      <c r="D1710" s="112"/>
      <c r="E1710" s="112"/>
      <c r="F1710" s="112"/>
      <c r="G1710" s="112"/>
      <c r="H1710" s="112"/>
    </row>
    <row r="1711" spans="3:8">
      <c r="C1711" s="112"/>
      <c r="D1711" s="112"/>
      <c r="E1711" s="112"/>
      <c r="F1711" s="112"/>
      <c r="G1711" s="112"/>
      <c r="H1711" s="112"/>
    </row>
    <row r="1712" spans="3:8">
      <c r="C1712" s="112"/>
      <c r="D1712" s="112"/>
      <c r="E1712" s="112"/>
      <c r="F1712" s="112"/>
      <c r="G1712" s="112"/>
      <c r="H1712" s="112"/>
    </row>
    <row r="1713" spans="3:8">
      <c r="C1713" s="112"/>
      <c r="D1713" s="112"/>
      <c r="E1713" s="112"/>
      <c r="F1713" s="112"/>
      <c r="G1713" s="112"/>
      <c r="H1713" s="112"/>
    </row>
    <row r="1714" spans="3:8">
      <c r="C1714" s="112"/>
      <c r="D1714" s="112"/>
      <c r="E1714" s="112"/>
      <c r="F1714" s="112"/>
      <c r="G1714" s="112"/>
      <c r="H1714" s="112"/>
    </row>
    <row r="1715" spans="3:8">
      <c r="C1715" s="112"/>
      <c r="D1715" s="112"/>
      <c r="E1715" s="112"/>
      <c r="F1715" s="112"/>
      <c r="G1715" s="112"/>
      <c r="H1715" s="112"/>
    </row>
    <row r="1716" spans="3:8">
      <c r="C1716" s="112"/>
      <c r="D1716" s="112"/>
      <c r="E1716" s="112"/>
      <c r="F1716" s="112"/>
      <c r="G1716" s="112"/>
      <c r="H1716" s="112"/>
    </row>
    <row r="1717" spans="3:8">
      <c r="C1717" s="112"/>
      <c r="D1717" s="112"/>
      <c r="E1717" s="112"/>
      <c r="F1717" s="112"/>
      <c r="G1717" s="112"/>
      <c r="H1717" s="112"/>
    </row>
    <row r="1718" spans="3:8">
      <c r="C1718" s="112"/>
      <c r="D1718" s="112"/>
      <c r="E1718" s="112"/>
      <c r="F1718" s="112"/>
      <c r="G1718" s="112"/>
      <c r="H1718" s="112"/>
    </row>
    <row r="1719" spans="3:8">
      <c r="C1719" s="112"/>
      <c r="D1719" s="112"/>
      <c r="E1719" s="112"/>
      <c r="F1719" s="112"/>
      <c r="G1719" s="112"/>
      <c r="H1719" s="112"/>
    </row>
    <row r="1720" spans="3:8">
      <c r="C1720" s="112"/>
      <c r="D1720" s="112"/>
      <c r="E1720" s="112"/>
      <c r="F1720" s="112"/>
      <c r="G1720" s="112"/>
      <c r="H1720" s="112"/>
    </row>
    <row r="1721" spans="3:8">
      <c r="C1721" s="112"/>
      <c r="D1721" s="112"/>
      <c r="E1721" s="112"/>
      <c r="F1721" s="112"/>
      <c r="G1721" s="112"/>
      <c r="H1721" s="112"/>
    </row>
    <row r="1722" spans="3:8">
      <c r="C1722" s="112"/>
      <c r="D1722" s="112"/>
      <c r="E1722" s="112"/>
      <c r="F1722" s="112"/>
      <c r="G1722" s="112"/>
      <c r="H1722" s="112"/>
    </row>
    <row r="1723" spans="3:8">
      <c r="C1723" s="112"/>
      <c r="D1723" s="112"/>
      <c r="E1723" s="112"/>
      <c r="F1723" s="112"/>
      <c r="G1723" s="112"/>
      <c r="H1723" s="112"/>
    </row>
    <row r="1724" spans="3:8">
      <c r="C1724" s="112"/>
      <c r="D1724" s="112"/>
      <c r="E1724" s="112"/>
      <c r="F1724" s="112"/>
      <c r="G1724" s="112"/>
      <c r="H1724" s="112"/>
    </row>
    <row r="1725" spans="3:8">
      <c r="C1725" s="112"/>
      <c r="D1725" s="112"/>
      <c r="E1725" s="112"/>
      <c r="F1725" s="112"/>
      <c r="G1725" s="112"/>
      <c r="H1725" s="112"/>
    </row>
    <row r="1726" spans="3:8">
      <c r="C1726" s="112"/>
      <c r="D1726" s="112"/>
      <c r="E1726" s="112"/>
      <c r="F1726" s="112"/>
      <c r="G1726" s="112"/>
      <c r="H1726" s="112"/>
    </row>
    <row r="1727" spans="3:8">
      <c r="C1727" s="112"/>
      <c r="D1727" s="112"/>
      <c r="E1727" s="112"/>
      <c r="F1727" s="112"/>
      <c r="G1727" s="112"/>
      <c r="H1727" s="112"/>
    </row>
    <row r="1728" spans="3:8">
      <c r="C1728" s="112"/>
      <c r="D1728" s="112"/>
      <c r="E1728" s="112"/>
      <c r="F1728" s="112"/>
      <c r="G1728" s="112"/>
      <c r="H1728" s="112"/>
    </row>
    <row r="1729" spans="3:8">
      <c r="C1729" s="112"/>
      <c r="D1729" s="112"/>
      <c r="E1729" s="112"/>
      <c r="F1729" s="112"/>
      <c r="G1729" s="112"/>
      <c r="H1729" s="112"/>
    </row>
    <row r="1730" spans="3:8">
      <c r="C1730" s="112"/>
      <c r="D1730" s="112"/>
      <c r="E1730" s="112"/>
      <c r="F1730" s="112"/>
      <c r="G1730" s="112"/>
      <c r="H1730" s="112"/>
    </row>
    <row r="1731" spans="3:8">
      <c r="C1731" s="112"/>
      <c r="D1731" s="112"/>
      <c r="E1731" s="112"/>
      <c r="F1731" s="112"/>
      <c r="G1731" s="112"/>
      <c r="H1731" s="112"/>
    </row>
    <row r="1732" spans="3:8">
      <c r="C1732" s="112"/>
      <c r="D1732" s="112"/>
      <c r="E1732" s="112"/>
      <c r="F1732" s="112"/>
      <c r="G1732" s="112"/>
      <c r="H1732" s="112"/>
    </row>
    <row r="1733" spans="3:8">
      <c r="C1733" s="112"/>
      <c r="D1733" s="112"/>
      <c r="E1733" s="112"/>
      <c r="F1733" s="112"/>
      <c r="G1733" s="112"/>
      <c r="H1733" s="112"/>
    </row>
    <row r="1734" spans="3:8">
      <c r="C1734" s="112"/>
      <c r="D1734" s="112"/>
      <c r="E1734" s="112"/>
      <c r="F1734" s="112"/>
      <c r="G1734" s="112"/>
      <c r="H1734" s="112"/>
    </row>
    <row r="1735" spans="3:8">
      <c r="C1735" s="112"/>
      <c r="D1735" s="112"/>
      <c r="E1735" s="112"/>
      <c r="F1735" s="112"/>
      <c r="G1735" s="112"/>
      <c r="H1735" s="112"/>
    </row>
    <row r="1736" spans="3:8">
      <c r="C1736" s="112"/>
      <c r="D1736" s="112"/>
      <c r="E1736" s="112"/>
      <c r="F1736" s="112"/>
      <c r="G1736" s="112"/>
      <c r="H1736" s="112"/>
    </row>
    <row r="1737" spans="3:8">
      <c r="C1737" s="112"/>
      <c r="D1737" s="112"/>
      <c r="E1737" s="112"/>
      <c r="F1737" s="112"/>
      <c r="G1737" s="112"/>
      <c r="H1737" s="112"/>
    </row>
    <row r="1738" spans="3:8">
      <c r="C1738" s="112"/>
      <c r="D1738" s="112"/>
      <c r="E1738" s="112"/>
      <c r="F1738" s="112"/>
      <c r="G1738" s="112"/>
      <c r="H1738" s="112"/>
    </row>
    <row r="1739" spans="3:8">
      <c r="C1739" s="112"/>
      <c r="D1739" s="112"/>
      <c r="E1739" s="112"/>
      <c r="F1739" s="112"/>
      <c r="G1739" s="112"/>
      <c r="H1739" s="112"/>
    </row>
    <row r="1740" spans="3:8">
      <c r="C1740" s="112"/>
      <c r="D1740" s="112"/>
      <c r="E1740" s="112"/>
      <c r="F1740" s="112"/>
      <c r="G1740" s="112"/>
      <c r="H1740" s="112"/>
    </row>
    <row r="1741" spans="3:8">
      <c r="C1741" s="112"/>
      <c r="D1741" s="112"/>
      <c r="E1741" s="112"/>
      <c r="F1741" s="112"/>
      <c r="G1741" s="112"/>
      <c r="H1741" s="112"/>
    </row>
    <row r="1742" spans="3:8">
      <c r="C1742" s="112"/>
      <c r="D1742" s="112"/>
      <c r="E1742" s="112"/>
      <c r="F1742" s="112"/>
      <c r="G1742" s="112"/>
      <c r="H1742" s="112"/>
    </row>
    <row r="1743" spans="3:8">
      <c r="C1743" s="112"/>
      <c r="D1743" s="112"/>
      <c r="E1743" s="112"/>
      <c r="F1743" s="112"/>
      <c r="G1743" s="112"/>
      <c r="H1743" s="112"/>
    </row>
    <row r="1744" spans="3:8">
      <c r="C1744" s="112"/>
      <c r="D1744" s="112"/>
      <c r="E1744" s="112"/>
      <c r="F1744" s="112"/>
      <c r="G1744" s="112"/>
      <c r="H1744" s="112"/>
    </row>
    <row r="1745" spans="3:8">
      <c r="C1745" s="112"/>
      <c r="D1745" s="112"/>
      <c r="E1745" s="112"/>
      <c r="F1745" s="112"/>
      <c r="G1745" s="112"/>
      <c r="H1745" s="112"/>
    </row>
    <row r="1746" spans="3:8">
      <c r="C1746" s="112"/>
      <c r="D1746" s="112"/>
      <c r="E1746" s="112"/>
      <c r="F1746" s="112"/>
      <c r="G1746" s="112"/>
      <c r="H1746" s="112"/>
    </row>
    <row r="1747" spans="3:8">
      <c r="C1747" s="112"/>
      <c r="D1747" s="112"/>
    </row>
    <row r="1748" spans="3:8">
      <c r="C1748" s="112"/>
      <c r="D1748" s="112"/>
    </row>
    <row r="1749" spans="3:8">
      <c r="C1749" s="112"/>
      <c r="D1749" s="112"/>
    </row>
    <row r="1750" spans="3:8">
      <c r="C1750" s="112"/>
      <c r="D1750" s="112"/>
    </row>
    <row r="1751" spans="3:8">
      <c r="C1751" s="112"/>
      <c r="D1751" s="112"/>
    </row>
    <row r="1752" spans="3:8">
      <c r="C1752" s="112"/>
      <c r="D1752" s="112"/>
    </row>
    <row r="1753" spans="3:8">
      <c r="C1753" s="112"/>
      <c r="D1753" s="112"/>
    </row>
    <row r="1754" spans="3:8">
      <c r="C1754" s="112"/>
      <c r="D1754" s="112"/>
    </row>
    <row r="1755" spans="3:8">
      <c r="C1755" s="112"/>
      <c r="D1755" s="112"/>
    </row>
    <row r="1756" spans="3:8">
      <c r="C1756" s="112"/>
      <c r="D1756" s="112"/>
    </row>
    <row r="1757" spans="3:8">
      <c r="C1757" s="112"/>
      <c r="D1757" s="112"/>
    </row>
    <row r="1758" spans="3:8">
      <c r="C1758" s="112"/>
      <c r="D1758" s="112"/>
    </row>
    <row r="1759" spans="3:8">
      <c r="C1759" s="112"/>
      <c r="D1759" s="112"/>
    </row>
    <row r="1760" spans="3:8">
      <c r="C1760" s="112"/>
      <c r="D1760" s="112"/>
    </row>
    <row r="1761" spans="3:4">
      <c r="C1761" s="112"/>
      <c r="D1761" s="112"/>
    </row>
    <row r="1762" spans="3:4">
      <c r="C1762" s="112"/>
      <c r="D1762" s="112"/>
    </row>
    <row r="1763" spans="3:4">
      <c r="C1763" s="112"/>
      <c r="D1763" s="112"/>
    </row>
    <row r="1764" spans="3:4">
      <c r="C1764" s="112"/>
      <c r="D1764" s="112"/>
    </row>
    <row r="1765" spans="3:4">
      <c r="C1765" s="112"/>
      <c r="D1765" s="112"/>
    </row>
    <row r="1766" spans="3:4">
      <c r="C1766" s="112"/>
      <c r="D1766" s="112"/>
    </row>
    <row r="1767" spans="3:4">
      <c r="C1767" s="112"/>
      <c r="D1767" s="112"/>
    </row>
    <row r="1768" spans="3:4">
      <c r="C1768" s="112"/>
      <c r="D1768" s="112"/>
    </row>
    <row r="1769" spans="3:4">
      <c r="C1769" s="112"/>
      <c r="D1769" s="112"/>
    </row>
    <row r="1770" spans="3:4">
      <c r="C1770" s="112"/>
      <c r="D1770" s="112"/>
    </row>
    <row r="1771" spans="3:4">
      <c r="C1771" s="112"/>
      <c r="D1771" s="112"/>
    </row>
    <row r="1772" spans="3:4">
      <c r="C1772" s="112"/>
      <c r="D1772" s="112"/>
    </row>
    <row r="1773" spans="3:4">
      <c r="C1773" s="112"/>
      <c r="D1773" s="112"/>
    </row>
    <row r="1774" spans="3:4">
      <c r="C1774" s="112"/>
      <c r="D1774" s="112"/>
    </row>
    <row r="1775" spans="3:4">
      <c r="C1775" s="112"/>
      <c r="D1775" s="112"/>
    </row>
    <row r="1776" spans="3:4">
      <c r="C1776" s="112"/>
      <c r="D1776" s="112"/>
    </row>
    <row r="1777" spans="3:4">
      <c r="C1777" s="112"/>
      <c r="D1777" s="112"/>
    </row>
    <row r="1778" spans="3:4">
      <c r="C1778" s="112"/>
      <c r="D1778" s="112"/>
    </row>
    <row r="1779" spans="3:4">
      <c r="C1779" s="112"/>
      <c r="D1779" s="112"/>
    </row>
    <row r="1780" spans="3:4">
      <c r="C1780" s="112"/>
      <c r="D1780" s="112"/>
    </row>
    <row r="1781" spans="3:4">
      <c r="C1781" s="112"/>
      <c r="D1781" s="112"/>
    </row>
    <row r="1782" spans="3:4">
      <c r="C1782" s="112"/>
      <c r="D1782" s="112"/>
    </row>
    <row r="1783" spans="3:4">
      <c r="C1783" s="112"/>
      <c r="D1783" s="112"/>
    </row>
    <row r="1784" spans="3:4">
      <c r="C1784" s="112"/>
      <c r="D1784" s="112"/>
    </row>
    <row r="1785" spans="3:4">
      <c r="C1785" s="112"/>
      <c r="D1785" s="112"/>
    </row>
    <row r="1786" spans="3:4">
      <c r="C1786" s="112"/>
      <c r="D1786" s="112"/>
    </row>
    <row r="1787" spans="3:4">
      <c r="C1787" s="112"/>
      <c r="D1787" s="112"/>
    </row>
    <row r="1788" spans="3:4">
      <c r="C1788" s="112"/>
      <c r="D1788" s="112"/>
    </row>
    <row r="1789" spans="3:4">
      <c r="C1789" s="112"/>
      <c r="D1789" s="112"/>
    </row>
    <row r="1790" spans="3:4">
      <c r="C1790" s="112"/>
      <c r="D1790" s="112"/>
    </row>
    <row r="1791" spans="3:4">
      <c r="C1791" s="112"/>
      <c r="D1791" s="112"/>
    </row>
    <row r="1792" spans="3:4">
      <c r="C1792" s="112"/>
      <c r="D1792" s="112"/>
    </row>
    <row r="1793" spans="3:4">
      <c r="C1793" s="112"/>
      <c r="D1793" s="112"/>
    </row>
    <row r="1794" spans="3:4">
      <c r="C1794" s="112"/>
      <c r="D1794" s="112"/>
    </row>
    <row r="1795" spans="3:4">
      <c r="C1795" s="112"/>
      <c r="D1795" s="112"/>
    </row>
    <row r="1796" spans="3:4">
      <c r="C1796" s="112"/>
      <c r="D1796" s="112"/>
    </row>
    <row r="1797" spans="3:4">
      <c r="C1797" s="112"/>
      <c r="D1797" s="112"/>
    </row>
    <row r="1798" spans="3:4">
      <c r="C1798" s="112"/>
      <c r="D1798" s="112"/>
    </row>
    <row r="1799" spans="3:4">
      <c r="C1799" s="112"/>
      <c r="D1799" s="112"/>
    </row>
    <row r="1800" spans="3:4">
      <c r="C1800" s="112"/>
      <c r="D1800" s="112"/>
    </row>
    <row r="1801" spans="3:4">
      <c r="C1801" s="112"/>
      <c r="D1801" s="112"/>
    </row>
    <row r="1802" spans="3:4">
      <c r="C1802" s="112"/>
      <c r="D1802" s="112"/>
    </row>
    <row r="1803" spans="3:4">
      <c r="C1803" s="112"/>
      <c r="D1803" s="112"/>
    </row>
    <row r="1804" spans="3:4">
      <c r="C1804" s="112"/>
      <c r="D1804" s="112"/>
    </row>
    <row r="1805" spans="3:4">
      <c r="C1805" s="112"/>
      <c r="D1805" s="112"/>
    </row>
    <row r="1806" spans="3:4">
      <c r="C1806" s="112"/>
      <c r="D1806" s="112"/>
    </row>
    <row r="1807" spans="3:4">
      <c r="C1807" s="112"/>
      <c r="D1807" s="112"/>
    </row>
    <row r="1808" spans="3:4">
      <c r="C1808" s="112"/>
      <c r="D1808" s="112"/>
    </row>
    <row r="1809" spans="3:4">
      <c r="C1809" s="112"/>
      <c r="D1809" s="112"/>
    </row>
    <row r="1810" spans="3:4">
      <c r="C1810" s="112"/>
      <c r="D1810" s="112"/>
    </row>
    <row r="1811" spans="3:4">
      <c r="C1811" s="112"/>
      <c r="D1811" s="112"/>
    </row>
    <row r="1812" spans="3:4">
      <c r="C1812" s="112"/>
      <c r="D1812" s="112"/>
    </row>
    <row r="1813" spans="3:4">
      <c r="C1813" s="112"/>
      <c r="D1813" s="112"/>
    </row>
    <row r="1814" spans="3:4">
      <c r="C1814" s="112"/>
      <c r="D1814" s="112"/>
    </row>
    <row r="1815" spans="3:4">
      <c r="C1815" s="112"/>
      <c r="D1815" s="112"/>
    </row>
    <row r="1816" spans="3:4">
      <c r="C1816" s="112"/>
      <c r="D1816" s="112"/>
    </row>
    <row r="1817" spans="3:4">
      <c r="C1817" s="112"/>
      <c r="D1817" s="112"/>
    </row>
    <row r="1818" spans="3:4">
      <c r="C1818" s="112"/>
      <c r="D1818" s="112"/>
    </row>
    <row r="1819" spans="3:4">
      <c r="C1819" s="112"/>
      <c r="D1819" s="112"/>
    </row>
    <row r="1820" spans="3:4">
      <c r="C1820" s="112"/>
      <c r="D1820" s="112"/>
    </row>
    <row r="1821" spans="3:4">
      <c r="C1821" s="112"/>
      <c r="D1821" s="112"/>
    </row>
    <row r="1822" spans="3:4">
      <c r="C1822" s="112"/>
      <c r="D1822" s="112"/>
    </row>
    <row r="1823" spans="3:4">
      <c r="C1823" s="112"/>
      <c r="D1823" s="112"/>
    </row>
    <row r="1824" spans="3:4">
      <c r="C1824" s="112"/>
      <c r="D1824" s="112"/>
    </row>
    <row r="1825" spans="3:4">
      <c r="C1825" s="112"/>
      <c r="D1825" s="112"/>
    </row>
    <row r="1826" spans="3:4">
      <c r="C1826" s="112"/>
      <c r="D1826" s="112"/>
    </row>
    <row r="1827" spans="3:4">
      <c r="C1827" s="112"/>
      <c r="D1827" s="112"/>
    </row>
    <row r="1828" spans="3:4">
      <c r="C1828" s="112"/>
      <c r="D1828" s="112"/>
    </row>
    <row r="1829" spans="3:4">
      <c r="C1829" s="112"/>
      <c r="D1829" s="112"/>
    </row>
    <row r="1830" spans="3:4">
      <c r="C1830" s="112"/>
      <c r="D1830" s="112"/>
    </row>
    <row r="1831" spans="3:4">
      <c r="C1831" s="112"/>
      <c r="D1831" s="112"/>
    </row>
    <row r="1832" spans="3:4">
      <c r="C1832" s="112"/>
      <c r="D1832" s="112"/>
    </row>
    <row r="1833" spans="3:4">
      <c r="C1833" s="112"/>
      <c r="D1833" s="112"/>
    </row>
    <row r="1834" spans="3:4">
      <c r="C1834" s="112"/>
      <c r="D1834" s="112"/>
    </row>
    <row r="1835" spans="3:4">
      <c r="C1835" s="112"/>
      <c r="D1835" s="112"/>
    </row>
    <row r="1836" spans="3:4">
      <c r="C1836" s="112"/>
      <c r="D1836" s="112"/>
    </row>
    <row r="1837" spans="3:4">
      <c r="C1837" s="112"/>
      <c r="D1837" s="112"/>
    </row>
    <row r="1838" spans="3:4">
      <c r="C1838" s="112"/>
      <c r="D1838" s="112"/>
    </row>
    <row r="1839" spans="3:4">
      <c r="C1839" s="112"/>
      <c r="D1839" s="112"/>
    </row>
    <row r="1840" spans="3:4">
      <c r="C1840" s="112"/>
      <c r="D1840" s="112"/>
    </row>
    <row r="1841" spans="3:4">
      <c r="C1841" s="112"/>
      <c r="D1841" s="112"/>
    </row>
    <row r="1842" spans="3:4">
      <c r="C1842" s="112"/>
      <c r="D1842" s="112"/>
    </row>
    <row r="1843" spans="3:4">
      <c r="C1843" s="112"/>
      <c r="D1843" s="112"/>
    </row>
    <row r="1844" spans="3:4">
      <c r="C1844" s="112"/>
      <c r="D1844" s="112"/>
    </row>
    <row r="1845" spans="3:4">
      <c r="C1845" s="112"/>
      <c r="D1845" s="112"/>
    </row>
    <row r="1846" spans="3:4">
      <c r="C1846" s="112"/>
      <c r="D1846" s="112"/>
    </row>
    <row r="1847" spans="3:4">
      <c r="C1847" s="112"/>
      <c r="D1847" s="112"/>
    </row>
    <row r="1848" spans="3:4">
      <c r="C1848" s="112"/>
      <c r="D1848" s="112"/>
    </row>
    <row r="1849" spans="3:4">
      <c r="C1849" s="112"/>
      <c r="D1849" s="112"/>
    </row>
    <row r="1850" spans="3:4">
      <c r="C1850" s="112"/>
      <c r="D1850" s="112"/>
    </row>
    <row r="1851" spans="3:4">
      <c r="C1851" s="112"/>
      <c r="D1851" s="112"/>
    </row>
    <row r="1852" spans="3:4">
      <c r="C1852" s="112"/>
      <c r="D1852" s="112"/>
    </row>
    <row r="1853" spans="3:4">
      <c r="C1853" s="112"/>
      <c r="D1853" s="112"/>
    </row>
    <row r="1854" spans="3:4">
      <c r="C1854" s="112"/>
      <c r="D1854" s="112"/>
    </row>
    <row r="1855" spans="3:4">
      <c r="C1855" s="112"/>
      <c r="D1855" s="112"/>
    </row>
    <row r="1856" spans="3:4">
      <c r="C1856" s="112"/>
      <c r="D1856" s="112"/>
    </row>
    <row r="1857" spans="3:4">
      <c r="C1857" s="112"/>
      <c r="D1857" s="112"/>
    </row>
    <row r="1858" spans="3:4">
      <c r="C1858" s="112"/>
      <c r="D1858" s="112"/>
    </row>
    <row r="1859" spans="3:4">
      <c r="C1859" s="112"/>
      <c r="D1859" s="112"/>
    </row>
    <row r="1860" spans="3:4">
      <c r="C1860" s="112"/>
      <c r="D1860" s="112"/>
    </row>
    <row r="1861" spans="3:4">
      <c r="C1861" s="112"/>
      <c r="D1861" s="112"/>
    </row>
    <row r="1862" spans="3:4">
      <c r="C1862" s="112"/>
      <c r="D1862" s="112"/>
    </row>
    <row r="1863" spans="3:4">
      <c r="C1863" s="112"/>
      <c r="D1863" s="112"/>
    </row>
    <row r="1864" spans="3:4">
      <c r="C1864" s="112"/>
      <c r="D1864" s="112"/>
    </row>
    <row r="1865" spans="3:4">
      <c r="C1865" s="112"/>
      <c r="D1865" s="112"/>
    </row>
    <row r="1866" spans="3:4">
      <c r="C1866" s="112"/>
      <c r="D1866" s="112"/>
    </row>
    <row r="1867" spans="3:4">
      <c r="C1867" s="112"/>
      <c r="D1867" s="112"/>
    </row>
    <row r="1868" spans="3:4">
      <c r="C1868" s="112"/>
      <c r="D1868" s="112"/>
    </row>
    <row r="1869" spans="3:4">
      <c r="C1869" s="112"/>
      <c r="D1869" s="112"/>
    </row>
    <row r="1870" spans="3:4">
      <c r="C1870" s="112"/>
      <c r="D1870" s="112"/>
    </row>
    <row r="1871" spans="3:4">
      <c r="C1871" s="112"/>
      <c r="D1871" s="112"/>
    </row>
    <row r="1872" spans="3:4">
      <c r="C1872" s="112"/>
      <c r="D1872" s="112"/>
    </row>
    <row r="1873" spans="3:4">
      <c r="C1873" s="112"/>
      <c r="D1873" s="112"/>
    </row>
    <row r="1874" spans="3:4">
      <c r="C1874" s="112"/>
      <c r="D1874" s="112"/>
    </row>
    <row r="1875" spans="3:4">
      <c r="C1875" s="112"/>
      <c r="D1875" s="112"/>
    </row>
    <row r="1876" spans="3:4">
      <c r="C1876" s="112"/>
      <c r="D1876" s="112"/>
    </row>
    <row r="1877" spans="3:4">
      <c r="C1877" s="112"/>
      <c r="D1877" s="112"/>
    </row>
    <row r="1878" spans="3:4">
      <c r="C1878" s="112"/>
      <c r="D1878" s="112"/>
    </row>
    <row r="1879" spans="3:4">
      <c r="C1879" s="112"/>
      <c r="D1879" s="112"/>
    </row>
    <row r="1880" spans="3:4">
      <c r="C1880" s="112"/>
      <c r="D1880" s="112"/>
    </row>
    <row r="1881" spans="3:4">
      <c r="C1881" s="112"/>
      <c r="D1881" s="112"/>
    </row>
    <row r="1882" spans="3:4">
      <c r="C1882" s="112"/>
      <c r="D1882" s="112"/>
    </row>
    <row r="1883" spans="3:4">
      <c r="C1883" s="112"/>
      <c r="D1883" s="112"/>
    </row>
    <row r="1884" spans="3:4">
      <c r="C1884" s="112"/>
      <c r="D1884" s="112"/>
    </row>
    <row r="1885" spans="3:4">
      <c r="C1885" s="112"/>
      <c r="D1885" s="112"/>
    </row>
    <row r="1886" spans="3:4">
      <c r="C1886" s="112"/>
      <c r="D1886" s="112"/>
    </row>
    <row r="1887" spans="3:4">
      <c r="C1887" s="112"/>
      <c r="D1887" s="112"/>
    </row>
    <row r="1888" spans="3:4">
      <c r="C1888" s="112"/>
      <c r="D1888" s="112"/>
    </row>
    <row r="1889" spans="3:4">
      <c r="C1889" s="112"/>
      <c r="D1889" s="112"/>
    </row>
    <row r="1890" spans="3:4">
      <c r="C1890" s="112"/>
      <c r="D1890" s="112"/>
    </row>
    <row r="1891" spans="3:4">
      <c r="C1891" s="112"/>
      <c r="D1891" s="112"/>
    </row>
    <row r="1892" spans="3:4">
      <c r="C1892" s="112"/>
      <c r="D1892" s="112"/>
    </row>
    <row r="1893" spans="3:4">
      <c r="C1893" s="112"/>
      <c r="D1893" s="112"/>
    </row>
    <row r="1894" spans="3:4">
      <c r="C1894" s="112"/>
      <c r="D1894" s="112"/>
    </row>
    <row r="1895" spans="3:4">
      <c r="C1895" s="112"/>
      <c r="D1895" s="112"/>
    </row>
    <row r="1896" spans="3:4">
      <c r="C1896" s="112"/>
      <c r="D1896" s="112"/>
    </row>
    <row r="1897" spans="3:4">
      <c r="C1897" s="112"/>
      <c r="D1897" s="112"/>
    </row>
    <row r="1898" spans="3:4">
      <c r="C1898" s="112"/>
      <c r="D1898" s="112"/>
    </row>
    <row r="1899" spans="3:4">
      <c r="C1899" s="112"/>
      <c r="D1899" s="112"/>
    </row>
    <row r="1900" spans="3:4">
      <c r="C1900" s="112"/>
      <c r="D1900" s="112"/>
    </row>
    <row r="1901" spans="3:4">
      <c r="C1901" s="112"/>
      <c r="D1901" s="112"/>
    </row>
    <row r="1902" spans="3:4">
      <c r="C1902" s="112"/>
      <c r="D1902" s="112"/>
    </row>
    <row r="1903" spans="3:4">
      <c r="C1903" s="112"/>
      <c r="D1903" s="112"/>
    </row>
    <row r="1904" spans="3:4">
      <c r="C1904" s="112"/>
      <c r="D1904" s="112"/>
    </row>
    <row r="1905" spans="3:4">
      <c r="C1905" s="112"/>
      <c r="D1905" s="112"/>
    </row>
    <row r="1906" spans="3:4">
      <c r="C1906" s="112"/>
      <c r="D1906" s="112"/>
    </row>
    <row r="1907" spans="3:4">
      <c r="C1907" s="112"/>
      <c r="D1907" s="112"/>
    </row>
    <row r="1908" spans="3:4">
      <c r="C1908" s="112"/>
      <c r="D1908" s="112"/>
    </row>
    <row r="1909" spans="3:4">
      <c r="C1909" s="112"/>
      <c r="D1909" s="112"/>
    </row>
    <row r="1910" spans="3:4">
      <c r="C1910" s="112"/>
      <c r="D1910" s="112"/>
    </row>
    <row r="1911" spans="3:4">
      <c r="C1911" s="112"/>
      <c r="D1911" s="112"/>
    </row>
    <row r="1912" spans="3:4">
      <c r="C1912" s="112"/>
      <c r="D1912" s="112"/>
    </row>
    <row r="1913" spans="3:4">
      <c r="C1913" s="112"/>
      <c r="D1913" s="112"/>
    </row>
    <row r="1914" spans="3:4">
      <c r="C1914" s="112"/>
      <c r="D1914" s="112"/>
    </row>
    <row r="1915" spans="3:4">
      <c r="C1915" s="112"/>
      <c r="D1915" s="112"/>
    </row>
    <row r="1916" spans="3:4">
      <c r="C1916" s="112"/>
      <c r="D1916" s="112"/>
    </row>
    <row r="1917" spans="3:4">
      <c r="C1917" s="112"/>
      <c r="D1917" s="112"/>
    </row>
    <row r="1918" spans="3:4">
      <c r="C1918" s="112"/>
      <c r="D1918" s="112"/>
    </row>
    <row r="1919" spans="3:4">
      <c r="C1919" s="112"/>
      <c r="D1919" s="112"/>
    </row>
    <row r="1920" spans="3:4">
      <c r="C1920" s="112"/>
      <c r="D1920" s="112"/>
    </row>
    <row r="1921" spans="3:4">
      <c r="C1921" s="112"/>
      <c r="D1921" s="112"/>
    </row>
    <row r="1922" spans="3:4">
      <c r="C1922" s="112"/>
      <c r="D1922" s="112"/>
    </row>
    <row r="1923" spans="3:4">
      <c r="C1923" s="112"/>
      <c r="D1923" s="112"/>
    </row>
    <row r="1924" spans="3:4">
      <c r="C1924" s="112"/>
      <c r="D1924" s="112"/>
    </row>
    <row r="1925" spans="3:4">
      <c r="C1925" s="112"/>
      <c r="D1925" s="112"/>
    </row>
    <row r="1926" spans="3:4">
      <c r="C1926" s="112"/>
      <c r="D1926" s="112"/>
    </row>
    <row r="1927" spans="3:4">
      <c r="C1927" s="112"/>
      <c r="D1927" s="112"/>
    </row>
    <row r="1928" spans="3:4">
      <c r="C1928" s="112"/>
      <c r="D1928" s="112"/>
    </row>
    <row r="1929" spans="3:4">
      <c r="C1929" s="112"/>
      <c r="D1929" s="112"/>
    </row>
    <row r="1930" spans="3:4">
      <c r="C1930" s="112"/>
      <c r="D1930" s="112"/>
    </row>
    <row r="1931" spans="3:4">
      <c r="C1931" s="112"/>
      <c r="D1931" s="112"/>
    </row>
    <row r="1932" spans="3:4">
      <c r="C1932" s="112"/>
      <c r="D1932" s="112"/>
    </row>
    <row r="1933" spans="3:4">
      <c r="C1933" s="112"/>
      <c r="D1933" s="112"/>
    </row>
    <row r="1934" spans="3:4">
      <c r="C1934" s="112"/>
      <c r="D1934" s="112"/>
    </row>
    <row r="1935" spans="3:4">
      <c r="C1935" s="112"/>
      <c r="D1935" s="112"/>
    </row>
    <row r="1936" spans="3:4">
      <c r="C1936" s="112"/>
      <c r="D1936" s="112"/>
    </row>
    <row r="1937" spans="3:4">
      <c r="C1937" s="112"/>
      <c r="D1937" s="112"/>
    </row>
    <row r="1938" spans="3:4">
      <c r="C1938" s="112"/>
      <c r="D1938" s="112"/>
    </row>
    <row r="1939" spans="3:4">
      <c r="C1939" s="112"/>
      <c r="D1939" s="112"/>
    </row>
    <row r="1940" spans="3:4">
      <c r="C1940" s="112"/>
      <c r="D1940" s="112"/>
    </row>
    <row r="1941" spans="3:4">
      <c r="C1941" s="112"/>
      <c r="D1941" s="112"/>
    </row>
    <row r="1942" spans="3:4">
      <c r="C1942" s="112"/>
      <c r="D1942" s="112"/>
    </row>
    <row r="1943" spans="3:4">
      <c r="C1943" s="112"/>
      <c r="D1943" s="112"/>
    </row>
    <row r="1944" spans="3:4">
      <c r="C1944" s="112"/>
      <c r="D1944" s="112"/>
    </row>
    <row r="1945" spans="3:4">
      <c r="C1945" s="112"/>
      <c r="D1945" s="112"/>
    </row>
    <row r="1946" spans="3:4">
      <c r="C1946" s="112"/>
      <c r="D1946" s="112"/>
    </row>
    <row r="1947" spans="3:4">
      <c r="C1947" s="112"/>
      <c r="D1947" s="112"/>
    </row>
    <row r="1948" spans="3:4">
      <c r="C1948" s="112"/>
      <c r="D1948" s="112"/>
    </row>
    <row r="1949" spans="3:4">
      <c r="C1949" s="112"/>
      <c r="D1949" s="112"/>
    </row>
    <row r="1950" spans="3:4">
      <c r="C1950" s="112"/>
      <c r="D1950" s="112"/>
    </row>
    <row r="1951" spans="3:4">
      <c r="C1951" s="112"/>
      <c r="D1951" s="112"/>
    </row>
    <row r="1952" spans="3:4">
      <c r="C1952" s="112"/>
      <c r="D1952" s="112"/>
    </row>
    <row r="1953" spans="3:4">
      <c r="C1953" s="112"/>
      <c r="D1953" s="112"/>
    </row>
    <row r="1954" spans="3:4">
      <c r="C1954" s="112"/>
      <c r="D1954" s="112"/>
    </row>
    <row r="1955" spans="3:4">
      <c r="C1955" s="112"/>
      <c r="D1955" s="112"/>
    </row>
    <row r="1956" spans="3:4">
      <c r="C1956" s="112"/>
      <c r="D1956" s="112"/>
    </row>
    <row r="1957" spans="3:4">
      <c r="C1957" s="112"/>
      <c r="D1957" s="112"/>
    </row>
    <row r="1958" spans="3:4">
      <c r="C1958" s="112"/>
      <c r="D1958" s="112"/>
    </row>
    <row r="1959" spans="3:4">
      <c r="C1959" s="112"/>
      <c r="D1959" s="112"/>
    </row>
    <row r="1960" spans="3:4">
      <c r="C1960" s="112"/>
      <c r="D1960" s="112"/>
    </row>
    <row r="1961" spans="3:4">
      <c r="C1961" s="112"/>
      <c r="D1961" s="112"/>
    </row>
    <row r="1962" spans="3:4">
      <c r="C1962" s="112"/>
      <c r="D1962" s="112"/>
    </row>
    <row r="1963" spans="3:4">
      <c r="C1963" s="112"/>
      <c r="D1963" s="112"/>
    </row>
    <row r="1964" spans="3:4">
      <c r="C1964" s="112"/>
      <c r="D1964" s="112"/>
    </row>
    <row r="1965" spans="3:4">
      <c r="C1965" s="112"/>
      <c r="D1965" s="112"/>
    </row>
    <row r="1966" spans="3:4">
      <c r="C1966" s="112"/>
      <c r="D1966" s="112"/>
    </row>
    <row r="1967" spans="3:4">
      <c r="C1967" s="112"/>
      <c r="D1967" s="112"/>
    </row>
    <row r="1968" spans="3:4">
      <c r="C1968" s="112"/>
      <c r="D1968" s="112"/>
    </row>
    <row r="1969" spans="3:4">
      <c r="C1969" s="112"/>
      <c r="D1969" s="112"/>
    </row>
    <row r="1970" spans="3:4">
      <c r="C1970" s="112"/>
      <c r="D1970" s="112"/>
    </row>
    <row r="1971" spans="3:4">
      <c r="C1971" s="112"/>
      <c r="D1971" s="112"/>
    </row>
    <row r="1972" spans="3:4">
      <c r="C1972" s="112"/>
      <c r="D1972" s="112"/>
    </row>
    <row r="1973" spans="3:4">
      <c r="C1973" s="112"/>
      <c r="D1973" s="112"/>
    </row>
    <row r="1974" spans="3:4">
      <c r="C1974" s="112"/>
      <c r="D1974" s="112"/>
    </row>
    <row r="1975" spans="3:4">
      <c r="C1975" s="112"/>
      <c r="D1975" s="112"/>
    </row>
    <row r="1976" spans="3:4">
      <c r="C1976" s="112"/>
      <c r="D1976" s="112"/>
    </row>
    <row r="1977" spans="3:4">
      <c r="C1977" s="112"/>
      <c r="D1977" s="112"/>
    </row>
    <row r="1978" spans="3:4">
      <c r="C1978" s="112"/>
      <c r="D1978" s="112"/>
    </row>
    <row r="1979" spans="3:4">
      <c r="C1979" s="112"/>
      <c r="D1979" s="112"/>
    </row>
    <row r="1980" spans="3:4">
      <c r="C1980" s="112"/>
      <c r="D1980" s="112"/>
    </row>
    <row r="1981" spans="3:4">
      <c r="C1981" s="112"/>
      <c r="D1981" s="112"/>
    </row>
    <row r="1982" spans="3:4">
      <c r="C1982" s="112"/>
      <c r="D1982" s="112"/>
    </row>
    <row r="1983" spans="3:4">
      <c r="C1983" s="112"/>
      <c r="D1983" s="112"/>
    </row>
    <row r="1984" spans="3:4">
      <c r="C1984" s="112"/>
      <c r="D1984" s="112"/>
    </row>
    <row r="1985" spans="3:4">
      <c r="C1985" s="112"/>
      <c r="D1985" s="112"/>
    </row>
    <row r="1986" spans="3:4">
      <c r="C1986" s="112"/>
      <c r="D1986" s="112"/>
    </row>
    <row r="1987" spans="3:4">
      <c r="C1987" s="112"/>
      <c r="D1987" s="112"/>
    </row>
    <row r="1988" spans="3:4">
      <c r="C1988" s="112"/>
      <c r="D1988" s="112"/>
    </row>
    <row r="1989" spans="3:4">
      <c r="C1989" s="112"/>
      <c r="D1989" s="112"/>
    </row>
    <row r="1990" spans="3:4">
      <c r="C1990" s="112"/>
      <c r="D1990" s="112"/>
    </row>
    <row r="1991" spans="3:4">
      <c r="C1991" s="112"/>
      <c r="D1991" s="112"/>
    </row>
    <row r="1992" spans="3:4">
      <c r="C1992" s="112"/>
      <c r="D1992" s="112"/>
    </row>
    <row r="1993" spans="3:4">
      <c r="C1993" s="112"/>
      <c r="D1993" s="112"/>
    </row>
    <row r="1994" spans="3:4">
      <c r="C1994" s="112"/>
      <c r="D1994" s="112"/>
    </row>
    <row r="1995" spans="3:4">
      <c r="C1995" s="112"/>
      <c r="D1995" s="112"/>
    </row>
    <row r="1996" spans="3:4">
      <c r="C1996" s="112"/>
      <c r="D1996" s="112"/>
    </row>
    <row r="1997" spans="3:4">
      <c r="C1997" s="112"/>
      <c r="D1997" s="112"/>
    </row>
    <row r="1998" spans="3:4">
      <c r="C1998" s="112"/>
      <c r="D1998" s="112"/>
    </row>
    <row r="1999" spans="3:4">
      <c r="C1999" s="112"/>
      <c r="D1999" s="112"/>
    </row>
    <row r="2000" spans="3:4">
      <c r="C2000" s="112"/>
      <c r="D2000" s="112"/>
    </row>
    <row r="2001" spans="3:4">
      <c r="C2001" s="112"/>
      <c r="D2001" s="112"/>
    </row>
    <row r="2002" spans="3:4">
      <c r="C2002" s="112"/>
      <c r="D2002" s="112"/>
    </row>
    <row r="2003" spans="3:4">
      <c r="C2003" s="112"/>
      <c r="D2003" s="112"/>
    </row>
    <row r="2004" spans="3:4">
      <c r="C2004" s="112"/>
      <c r="D2004" s="112"/>
    </row>
    <row r="2005" spans="3:4">
      <c r="C2005" s="112"/>
      <c r="D2005" s="112"/>
    </row>
    <row r="2006" spans="3:4">
      <c r="C2006" s="112"/>
      <c r="D2006" s="112"/>
    </row>
    <row r="2007" spans="3:4">
      <c r="C2007" s="112"/>
      <c r="D2007" s="112"/>
    </row>
    <row r="2008" spans="3:4">
      <c r="C2008" s="112"/>
      <c r="D2008" s="112"/>
    </row>
    <row r="2009" spans="3:4">
      <c r="C2009" s="112"/>
      <c r="D2009" s="112"/>
    </row>
    <row r="2010" spans="3:4">
      <c r="C2010" s="112"/>
      <c r="D2010" s="112"/>
    </row>
    <row r="2011" spans="3:4">
      <c r="C2011" s="112"/>
      <c r="D2011" s="112"/>
    </row>
    <row r="2012" spans="3:4">
      <c r="C2012" s="112"/>
      <c r="D2012" s="112"/>
    </row>
    <row r="2013" spans="3:4">
      <c r="C2013" s="112"/>
      <c r="D2013" s="112"/>
    </row>
    <row r="2014" spans="3:4">
      <c r="C2014" s="112"/>
      <c r="D2014" s="112"/>
    </row>
    <row r="2015" spans="3:4">
      <c r="C2015" s="112"/>
      <c r="D2015" s="112"/>
    </row>
    <row r="2016" spans="3:4">
      <c r="C2016" s="112"/>
      <c r="D2016" s="112"/>
    </row>
    <row r="2017" spans="3:4">
      <c r="C2017" s="112"/>
      <c r="D2017" s="112"/>
    </row>
    <row r="2018" spans="3:4">
      <c r="C2018" s="112"/>
      <c r="D2018" s="112"/>
    </row>
    <row r="2019" spans="3:4">
      <c r="C2019" s="112"/>
      <c r="D2019" s="112"/>
    </row>
    <row r="2020" spans="3:4">
      <c r="C2020" s="112"/>
      <c r="D2020" s="112"/>
    </row>
    <row r="2021" spans="3:4">
      <c r="C2021" s="112"/>
      <c r="D2021" s="112"/>
    </row>
    <row r="2022" spans="3:4">
      <c r="C2022" s="112"/>
      <c r="D2022" s="112"/>
    </row>
    <row r="2023" spans="3:4">
      <c r="C2023" s="112"/>
      <c r="D2023" s="112"/>
    </row>
    <row r="2024" spans="3:4">
      <c r="C2024" s="112"/>
      <c r="D2024" s="112"/>
    </row>
    <row r="2025" spans="3:4">
      <c r="C2025" s="112"/>
      <c r="D2025" s="112"/>
    </row>
    <row r="2026" spans="3:4">
      <c r="C2026" s="112"/>
      <c r="D2026" s="112"/>
    </row>
    <row r="2027" spans="3:4">
      <c r="C2027" s="112"/>
      <c r="D2027" s="112"/>
    </row>
    <row r="2028" spans="3:4">
      <c r="C2028" s="112"/>
      <c r="D2028" s="112"/>
    </row>
    <row r="2029" spans="3:4">
      <c r="C2029" s="112"/>
      <c r="D2029" s="112"/>
    </row>
    <row r="2030" spans="3:4">
      <c r="C2030" s="112"/>
      <c r="D2030" s="112"/>
    </row>
    <row r="2031" spans="3:4">
      <c r="C2031" s="112"/>
      <c r="D2031" s="112"/>
    </row>
    <row r="2032" spans="3:4">
      <c r="C2032" s="112"/>
      <c r="D2032" s="112"/>
    </row>
    <row r="2033" spans="3:4">
      <c r="C2033" s="112"/>
      <c r="D2033" s="112"/>
    </row>
    <row r="2034" spans="3:4">
      <c r="C2034" s="112"/>
      <c r="D2034" s="112"/>
    </row>
    <row r="2035" spans="3:4">
      <c r="C2035" s="112"/>
      <c r="D2035" s="112"/>
    </row>
    <row r="2036" spans="3:4">
      <c r="C2036" s="112"/>
      <c r="D2036" s="112"/>
    </row>
    <row r="2037" spans="3:4">
      <c r="C2037" s="112"/>
      <c r="D2037" s="112"/>
    </row>
    <row r="2038" spans="3:4">
      <c r="C2038" s="112"/>
      <c r="D2038" s="112"/>
    </row>
    <row r="2039" spans="3:4">
      <c r="C2039" s="112"/>
      <c r="D2039" s="112"/>
    </row>
    <row r="2040" spans="3:4">
      <c r="C2040" s="112"/>
      <c r="D2040" s="112"/>
    </row>
    <row r="2041" spans="3:4">
      <c r="C2041" s="112"/>
      <c r="D2041" s="112"/>
    </row>
    <row r="2042" spans="3:4">
      <c r="C2042" s="112"/>
      <c r="D2042" s="112"/>
    </row>
    <row r="2043" spans="3:4">
      <c r="C2043" s="112"/>
      <c r="D2043" s="112"/>
    </row>
    <row r="2044" spans="3:4">
      <c r="C2044" s="112"/>
      <c r="D2044" s="112"/>
    </row>
    <row r="2045" spans="3:4">
      <c r="C2045" s="112"/>
      <c r="D2045" s="112"/>
    </row>
    <row r="2046" spans="3:4">
      <c r="C2046" s="112"/>
      <c r="D2046" s="112"/>
    </row>
    <row r="2047" spans="3:4">
      <c r="C2047" s="112"/>
      <c r="D2047" s="112"/>
    </row>
    <row r="2048" spans="3:4">
      <c r="C2048" s="112"/>
      <c r="D2048" s="112"/>
    </row>
    <row r="2049" spans="3:4">
      <c r="C2049" s="112"/>
      <c r="D2049" s="112"/>
    </row>
    <row r="2050" spans="3:4">
      <c r="C2050" s="112"/>
      <c r="D2050" s="112"/>
    </row>
    <row r="2051" spans="3:4">
      <c r="C2051" s="112"/>
      <c r="D2051" s="112"/>
    </row>
    <row r="2052" spans="3:4">
      <c r="C2052" s="112"/>
      <c r="D2052" s="112"/>
    </row>
    <row r="2053" spans="3:4">
      <c r="C2053" s="112"/>
      <c r="D2053" s="112"/>
    </row>
    <row r="2054" spans="3:4">
      <c r="C2054" s="112"/>
      <c r="D2054" s="112"/>
    </row>
    <row r="2055" spans="3:4">
      <c r="C2055" s="112"/>
      <c r="D2055" s="112"/>
    </row>
    <row r="2056" spans="3:4">
      <c r="C2056" s="112"/>
      <c r="D2056" s="112"/>
    </row>
    <row r="2057" spans="3:4">
      <c r="C2057" s="112"/>
      <c r="D2057" s="112"/>
    </row>
    <row r="2058" spans="3:4">
      <c r="C2058" s="112"/>
      <c r="D2058" s="112"/>
    </row>
    <row r="2059" spans="3:4">
      <c r="C2059" s="112"/>
      <c r="D2059" s="112"/>
    </row>
    <row r="2060" spans="3:4">
      <c r="C2060" s="112"/>
      <c r="D2060" s="112"/>
    </row>
    <row r="2061" spans="3:4">
      <c r="C2061" s="112"/>
      <c r="D2061" s="112"/>
    </row>
    <row r="2062" spans="3:4">
      <c r="C2062" s="112"/>
      <c r="D2062" s="112"/>
    </row>
    <row r="2063" spans="3:4">
      <c r="C2063" s="112"/>
      <c r="D2063" s="112"/>
    </row>
    <row r="2064" spans="3:4">
      <c r="C2064" s="112"/>
      <c r="D2064" s="112"/>
    </row>
    <row r="2065" spans="3:4">
      <c r="C2065" s="112"/>
      <c r="D2065" s="112"/>
    </row>
    <row r="2066" spans="3:4">
      <c r="C2066" s="112"/>
      <c r="D2066" s="112"/>
    </row>
    <row r="2067" spans="3:4">
      <c r="C2067" s="112"/>
      <c r="D2067" s="112"/>
    </row>
    <row r="2068" spans="3:4">
      <c r="C2068" s="112"/>
      <c r="D2068" s="112"/>
    </row>
    <row r="2069" spans="3:4">
      <c r="C2069" s="112"/>
      <c r="D2069" s="112"/>
    </row>
    <row r="2070" spans="3:4">
      <c r="C2070" s="112"/>
      <c r="D2070" s="112"/>
    </row>
    <row r="2071" spans="3:4">
      <c r="C2071" s="112"/>
      <c r="D2071" s="112"/>
    </row>
    <row r="2072" spans="3:4">
      <c r="C2072" s="112"/>
      <c r="D2072" s="112"/>
    </row>
    <row r="2073" spans="3:4">
      <c r="C2073" s="112"/>
      <c r="D2073" s="112"/>
    </row>
    <row r="2074" spans="3:4">
      <c r="C2074" s="112"/>
      <c r="D2074" s="112"/>
    </row>
    <row r="2075" spans="3:4">
      <c r="C2075" s="112"/>
      <c r="D2075" s="112"/>
    </row>
    <row r="2076" spans="3:4">
      <c r="C2076" s="112"/>
      <c r="D2076" s="112"/>
    </row>
    <row r="2077" spans="3:4">
      <c r="C2077" s="112"/>
      <c r="D2077" s="112"/>
    </row>
    <row r="2078" spans="3:4">
      <c r="C2078" s="112"/>
      <c r="D2078" s="112"/>
    </row>
    <row r="2079" spans="3:4">
      <c r="C2079" s="112"/>
      <c r="D2079" s="112"/>
    </row>
    <row r="2080" spans="3:4">
      <c r="C2080" s="112"/>
      <c r="D2080" s="112"/>
    </row>
    <row r="2081" spans="3:4">
      <c r="C2081" s="112"/>
      <c r="D2081" s="112"/>
    </row>
    <row r="2082" spans="3:4">
      <c r="C2082" s="112"/>
      <c r="D2082" s="112"/>
    </row>
    <row r="2083" spans="3:4">
      <c r="C2083" s="112"/>
      <c r="D2083" s="112"/>
    </row>
    <row r="2084" spans="3:4">
      <c r="C2084" s="112"/>
      <c r="D2084" s="112"/>
    </row>
    <row r="2085" spans="3:4">
      <c r="C2085" s="112"/>
      <c r="D2085" s="112"/>
    </row>
    <row r="2086" spans="3:4">
      <c r="C2086" s="112"/>
      <c r="D2086" s="112"/>
    </row>
    <row r="2087" spans="3:4">
      <c r="C2087" s="112"/>
      <c r="D2087" s="112"/>
    </row>
    <row r="2088" spans="3:4">
      <c r="C2088" s="112"/>
      <c r="D2088" s="112"/>
    </row>
    <row r="2089" spans="3:4">
      <c r="C2089" s="112"/>
      <c r="D2089" s="112"/>
    </row>
    <row r="2090" spans="3:4">
      <c r="C2090" s="112"/>
      <c r="D2090" s="112"/>
    </row>
    <row r="2091" spans="3:4">
      <c r="C2091" s="112"/>
      <c r="D2091" s="112"/>
    </row>
    <row r="2092" spans="3:4">
      <c r="C2092" s="112"/>
      <c r="D2092" s="112"/>
    </row>
    <row r="2093" spans="3:4">
      <c r="C2093" s="112"/>
      <c r="D2093" s="112"/>
    </row>
    <row r="2094" spans="3:4">
      <c r="C2094" s="112"/>
      <c r="D2094" s="112"/>
    </row>
    <row r="2095" spans="3:4">
      <c r="C2095" s="112"/>
      <c r="D2095" s="112"/>
    </row>
    <row r="2096" spans="3:4">
      <c r="C2096" s="112"/>
      <c r="D2096" s="112"/>
    </row>
    <row r="2097" spans="3:4">
      <c r="C2097" s="112"/>
      <c r="D2097" s="112"/>
    </row>
    <row r="2098" spans="3:4">
      <c r="C2098" s="112"/>
      <c r="D2098" s="112"/>
    </row>
    <row r="2099" spans="3:4">
      <c r="C2099" s="112"/>
      <c r="D2099" s="112"/>
    </row>
    <row r="2100" spans="3:4">
      <c r="C2100" s="112"/>
      <c r="D2100" s="112"/>
    </row>
    <row r="2101" spans="3:4">
      <c r="C2101" s="112"/>
      <c r="D2101" s="112"/>
    </row>
    <row r="2102" spans="3:4">
      <c r="C2102" s="112"/>
      <c r="D2102" s="112"/>
    </row>
    <row r="2103" spans="3:4">
      <c r="C2103" s="112"/>
      <c r="D2103" s="112"/>
    </row>
    <row r="2104" spans="3:4">
      <c r="C2104" s="112"/>
      <c r="D2104" s="112"/>
    </row>
    <row r="2105" spans="3:4">
      <c r="C2105" s="112"/>
      <c r="D2105" s="112"/>
    </row>
    <row r="2106" spans="3:4">
      <c r="C2106" s="112"/>
      <c r="D2106" s="112"/>
    </row>
    <row r="2107" spans="3:4">
      <c r="C2107" s="112"/>
      <c r="D2107" s="112"/>
    </row>
    <row r="2108" spans="3:4">
      <c r="C2108" s="112"/>
      <c r="D2108" s="112"/>
    </row>
    <row r="2109" spans="3:4">
      <c r="C2109" s="112"/>
      <c r="D2109" s="112"/>
    </row>
    <row r="2110" spans="3:4">
      <c r="C2110" s="112"/>
      <c r="D2110" s="112"/>
    </row>
    <row r="2111" spans="3:4">
      <c r="C2111" s="112"/>
      <c r="D2111" s="112"/>
    </row>
    <row r="2112" spans="3:4">
      <c r="C2112" s="112"/>
      <c r="D2112" s="112"/>
    </row>
    <row r="2113" spans="3:4">
      <c r="C2113" s="112"/>
      <c r="D2113" s="112"/>
    </row>
    <row r="2114" spans="3:4">
      <c r="C2114" s="112"/>
      <c r="D2114" s="112"/>
    </row>
    <row r="2115" spans="3:4">
      <c r="C2115" s="112"/>
      <c r="D2115" s="112"/>
    </row>
    <row r="2116" spans="3:4">
      <c r="C2116" s="112"/>
      <c r="D2116" s="112"/>
    </row>
    <row r="2117" spans="3:4">
      <c r="C2117" s="112"/>
      <c r="D2117" s="112"/>
    </row>
    <row r="2118" spans="3:4">
      <c r="C2118" s="112"/>
      <c r="D2118" s="112"/>
    </row>
    <row r="2119" spans="3:4">
      <c r="C2119" s="112"/>
      <c r="D2119" s="112"/>
    </row>
    <row r="2120" spans="3:4">
      <c r="C2120" s="112"/>
      <c r="D2120" s="112"/>
    </row>
    <row r="2121" spans="3:4">
      <c r="C2121" s="112"/>
      <c r="D2121" s="112"/>
    </row>
    <row r="2122" spans="3:4">
      <c r="C2122" s="112"/>
      <c r="D2122" s="112"/>
    </row>
    <row r="2123" spans="3:4">
      <c r="C2123" s="112"/>
      <c r="D2123" s="112"/>
    </row>
    <row r="2124" spans="3:4">
      <c r="C2124" s="112"/>
      <c r="D2124" s="112"/>
    </row>
    <row r="2125" spans="3:4">
      <c r="C2125" s="112"/>
      <c r="D2125" s="112"/>
    </row>
    <row r="2126" spans="3:4">
      <c r="C2126" s="112"/>
      <c r="D2126" s="112"/>
    </row>
    <row r="2127" spans="3:4">
      <c r="C2127" s="112"/>
      <c r="D2127" s="112"/>
    </row>
    <row r="2128" spans="3:4">
      <c r="C2128" s="112"/>
      <c r="D2128" s="112"/>
    </row>
    <row r="2129" spans="3:4">
      <c r="C2129" s="112"/>
      <c r="D2129" s="112"/>
    </row>
    <row r="2130" spans="3:4">
      <c r="C2130" s="112"/>
      <c r="D2130" s="112"/>
    </row>
    <row r="2131" spans="3:4">
      <c r="C2131" s="112"/>
      <c r="D2131" s="112"/>
    </row>
    <row r="2132" spans="3:4">
      <c r="C2132" s="112"/>
      <c r="D2132" s="112"/>
    </row>
    <row r="2133" spans="3:4">
      <c r="C2133" s="112"/>
      <c r="D2133" s="112"/>
    </row>
    <row r="2134" spans="3:4">
      <c r="C2134" s="112"/>
      <c r="D2134" s="112"/>
    </row>
    <row r="2135" spans="3:4">
      <c r="C2135" s="112"/>
      <c r="D2135" s="112"/>
    </row>
    <row r="2136" spans="3:4">
      <c r="C2136" s="112"/>
      <c r="D2136" s="112"/>
    </row>
    <row r="2137" spans="3:4">
      <c r="C2137" s="112"/>
      <c r="D2137" s="112"/>
    </row>
    <row r="2138" spans="3:4">
      <c r="C2138" s="112"/>
      <c r="D2138" s="112"/>
    </row>
    <row r="2139" spans="3:4">
      <c r="C2139" s="112"/>
      <c r="D2139" s="112"/>
    </row>
    <row r="2140" spans="3:4">
      <c r="C2140" s="112"/>
      <c r="D2140" s="112"/>
    </row>
    <row r="2141" spans="3:4">
      <c r="C2141" s="112"/>
      <c r="D2141" s="112"/>
    </row>
    <row r="2142" spans="3:4">
      <c r="C2142" s="112"/>
      <c r="D2142" s="112"/>
    </row>
    <row r="2143" spans="3:4">
      <c r="C2143" s="112"/>
      <c r="D2143" s="112"/>
    </row>
    <row r="2144" spans="3:4">
      <c r="C2144" s="112"/>
      <c r="D2144" s="112"/>
    </row>
    <row r="2145" spans="3:4">
      <c r="C2145" s="112"/>
      <c r="D2145" s="112"/>
    </row>
    <row r="2146" spans="3:4">
      <c r="C2146" s="112"/>
      <c r="D2146" s="112"/>
    </row>
    <row r="2147" spans="3:4">
      <c r="C2147" s="112"/>
      <c r="D2147" s="112"/>
    </row>
    <row r="2148" spans="3:4">
      <c r="C2148" s="112"/>
      <c r="D2148" s="112"/>
    </row>
    <row r="2149" spans="3:4">
      <c r="C2149" s="112"/>
      <c r="D2149" s="112"/>
    </row>
    <row r="2150" spans="3:4">
      <c r="C2150" s="112"/>
      <c r="D2150" s="112"/>
    </row>
    <row r="2151" spans="3:4">
      <c r="C2151" s="112"/>
      <c r="D2151" s="112"/>
    </row>
    <row r="2152" spans="3:4">
      <c r="C2152" s="112"/>
      <c r="D2152" s="112"/>
    </row>
    <row r="2153" spans="3:4">
      <c r="C2153" s="112"/>
      <c r="D2153" s="112"/>
    </row>
    <row r="2154" spans="3:4">
      <c r="C2154" s="112"/>
      <c r="D2154" s="112"/>
    </row>
    <row r="2155" spans="3:4">
      <c r="C2155" s="112"/>
      <c r="D2155" s="112"/>
    </row>
    <row r="2156" spans="3:4">
      <c r="C2156" s="112"/>
      <c r="D2156" s="112"/>
    </row>
    <row r="2157" spans="3:4">
      <c r="C2157" s="112"/>
      <c r="D2157" s="112"/>
    </row>
    <row r="2158" spans="3:4">
      <c r="C2158" s="112"/>
      <c r="D2158" s="112"/>
    </row>
    <row r="2159" spans="3:4">
      <c r="C2159" s="112"/>
      <c r="D2159" s="112"/>
    </row>
    <row r="2160" spans="3:4">
      <c r="C2160" s="112"/>
      <c r="D2160" s="112"/>
    </row>
    <row r="2161" spans="3:4">
      <c r="C2161" s="112"/>
      <c r="D2161" s="112"/>
    </row>
    <row r="2162" spans="3:4">
      <c r="C2162" s="112"/>
      <c r="D2162" s="112"/>
    </row>
    <row r="2163" spans="3:4">
      <c r="C2163" s="112"/>
      <c r="D2163" s="112"/>
    </row>
    <row r="2164" spans="3:4">
      <c r="C2164" s="112"/>
      <c r="D2164" s="112"/>
    </row>
    <row r="2165" spans="3:4">
      <c r="C2165" s="112"/>
      <c r="D2165" s="112"/>
    </row>
    <row r="2166" spans="3:4">
      <c r="C2166" s="112"/>
      <c r="D2166" s="112"/>
    </row>
    <row r="2167" spans="3:4">
      <c r="C2167" s="112"/>
      <c r="D2167" s="112"/>
    </row>
    <row r="2168" spans="3:4">
      <c r="C2168" s="112"/>
      <c r="D2168" s="112"/>
    </row>
    <row r="2169" spans="3:4">
      <c r="C2169" s="112"/>
      <c r="D2169" s="112"/>
    </row>
    <row r="2170" spans="3:4">
      <c r="C2170" s="112"/>
      <c r="D2170" s="112"/>
    </row>
    <row r="2171" spans="3:4">
      <c r="C2171" s="112"/>
      <c r="D2171" s="112"/>
    </row>
    <row r="2172" spans="3:4">
      <c r="C2172" s="112"/>
      <c r="D2172" s="112"/>
    </row>
    <row r="2173" spans="3:4">
      <c r="C2173" s="112"/>
      <c r="D2173" s="112"/>
    </row>
    <row r="2174" spans="3:4">
      <c r="C2174" s="112"/>
      <c r="D2174" s="112"/>
    </row>
    <row r="2175" spans="3:4">
      <c r="C2175" s="112"/>
      <c r="D2175" s="112"/>
    </row>
    <row r="2176" spans="3:4">
      <c r="C2176" s="112"/>
      <c r="D2176" s="112"/>
    </row>
    <row r="2177" spans="3:4">
      <c r="C2177" s="112"/>
      <c r="D2177" s="112"/>
    </row>
    <row r="2178" spans="3:4">
      <c r="C2178" s="112"/>
      <c r="D2178" s="112"/>
    </row>
    <row r="2179" spans="3:4">
      <c r="C2179" s="112"/>
      <c r="D2179" s="112"/>
    </row>
    <row r="2180" spans="3:4">
      <c r="C2180" s="112"/>
      <c r="D2180" s="112"/>
    </row>
    <row r="2181" spans="3:4">
      <c r="C2181" s="112"/>
      <c r="D2181" s="112"/>
    </row>
    <row r="2182" spans="3:4">
      <c r="C2182" s="112"/>
      <c r="D2182" s="112"/>
    </row>
    <row r="2183" spans="3:4">
      <c r="C2183" s="112"/>
      <c r="D2183" s="112"/>
    </row>
    <row r="2184" spans="3:4">
      <c r="C2184" s="112"/>
      <c r="D2184" s="112"/>
    </row>
    <row r="2185" spans="3:4">
      <c r="C2185" s="112"/>
      <c r="D2185" s="112"/>
    </row>
    <row r="2186" spans="3:4">
      <c r="C2186" s="112"/>
      <c r="D2186" s="112"/>
    </row>
    <row r="2187" spans="3:4">
      <c r="C2187" s="112"/>
      <c r="D2187" s="112"/>
    </row>
    <row r="2188" spans="3:4">
      <c r="C2188" s="112"/>
      <c r="D2188" s="112"/>
    </row>
    <row r="2189" spans="3:4">
      <c r="C2189" s="112"/>
      <c r="D2189" s="112"/>
    </row>
    <row r="2190" spans="3:4">
      <c r="C2190" s="112"/>
      <c r="D2190" s="112"/>
    </row>
    <row r="2191" spans="3:4">
      <c r="C2191" s="112"/>
      <c r="D2191" s="112"/>
    </row>
    <row r="2192" spans="3:4">
      <c r="C2192" s="112"/>
      <c r="D2192" s="112"/>
    </row>
    <row r="2193" spans="3:4">
      <c r="C2193" s="112"/>
      <c r="D2193" s="112"/>
    </row>
    <row r="2194" spans="3:4">
      <c r="C2194" s="112"/>
      <c r="D2194" s="112"/>
    </row>
    <row r="2195" spans="3:4">
      <c r="C2195" s="112"/>
      <c r="D2195" s="112"/>
    </row>
    <row r="2196" spans="3:4">
      <c r="C2196" s="112"/>
      <c r="D2196" s="112"/>
    </row>
    <row r="2197" spans="3:4">
      <c r="C2197" s="112"/>
      <c r="D2197" s="112"/>
    </row>
    <row r="2198" spans="3:4">
      <c r="C2198" s="112"/>
      <c r="D2198" s="112"/>
    </row>
    <row r="2199" spans="3:4">
      <c r="C2199" s="112"/>
      <c r="D2199" s="112"/>
    </row>
    <row r="2200" spans="3:4">
      <c r="C2200" s="112"/>
      <c r="D2200" s="112"/>
    </row>
    <row r="2201" spans="3:4">
      <c r="C2201" s="112"/>
      <c r="D2201" s="112"/>
    </row>
    <row r="2202" spans="3:4">
      <c r="C2202" s="112"/>
      <c r="D2202" s="112"/>
    </row>
    <row r="2203" spans="3:4">
      <c r="C2203" s="112"/>
      <c r="D2203" s="112"/>
    </row>
    <row r="2204" spans="3:4">
      <c r="C2204" s="112"/>
      <c r="D2204" s="112"/>
    </row>
    <row r="2205" spans="3:4">
      <c r="C2205" s="112"/>
      <c r="D2205" s="112"/>
    </row>
    <row r="2206" spans="3:4">
      <c r="C2206" s="112"/>
      <c r="D2206" s="112"/>
    </row>
    <row r="2207" spans="3:4">
      <c r="C2207" s="112"/>
      <c r="D2207" s="112"/>
    </row>
    <row r="2208" spans="3:4">
      <c r="C2208" s="112"/>
      <c r="D2208" s="112"/>
    </row>
    <row r="2209" spans="3:4">
      <c r="C2209" s="112"/>
      <c r="D2209" s="112"/>
    </row>
    <row r="2210" spans="3:4">
      <c r="C2210" s="112"/>
      <c r="D2210" s="112"/>
    </row>
    <row r="2211" spans="3:4">
      <c r="C2211" s="112"/>
      <c r="D2211" s="112"/>
    </row>
    <row r="2212" spans="3:4">
      <c r="C2212" s="112"/>
      <c r="D2212" s="112"/>
    </row>
    <row r="2213" spans="3:4">
      <c r="C2213" s="112"/>
      <c r="D2213" s="112"/>
    </row>
    <row r="2214" spans="3:4">
      <c r="C2214" s="112"/>
      <c r="D2214" s="112"/>
    </row>
    <row r="2215" spans="3:4">
      <c r="C2215" s="112"/>
      <c r="D2215" s="112"/>
    </row>
    <row r="2216" spans="3:4">
      <c r="C2216" s="112"/>
      <c r="D2216" s="112"/>
    </row>
    <row r="2217" spans="3:4">
      <c r="C2217" s="112"/>
      <c r="D2217" s="112"/>
    </row>
    <row r="2218" spans="3:4">
      <c r="C2218" s="112"/>
      <c r="D2218" s="112"/>
    </row>
    <row r="2219" spans="3:4">
      <c r="C2219" s="112"/>
      <c r="D2219" s="112"/>
    </row>
    <row r="2220" spans="3:4">
      <c r="C2220" s="112"/>
      <c r="D2220" s="112"/>
    </row>
    <row r="2221" spans="3:4">
      <c r="C2221" s="112"/>
      <c r="D2221" s="112"/>
    </row>
    <row r="2222" spans="3:4">
      <c r="C2222" s="112"/>
      <c r="D2222" s="112"/>
    </row>
    <row r="2223" spans="3:4">
      <c r="C2223" s="112"/>
      <c r="D2223" s="112"/>
    </row>
    <row r="2224" spans="3:4">
      <c r="C2224" s="112"/>
      <c r="D2224" s="112"/>
    </row>
    <row r="2225" spans="3:4">
      <c r="C2225" s="112"/>
      <c r="D2225" s="112"/>
    </row>
    <row r="2226" spans="3:4">
      <c r="C2226" s="112"/>
      <c r="D2226" s="112"/>
    </row>
    <row r="2227" spans="3:4">
      <c r="C2227" s="112"/>
      <c r="D2227" s="112"/>
    </row>
    <row r="2228" spans="3:4">
      <c r="C2228" s="112"/>
      <c r="D2228" s="112"/>
    </row>
    <row r="2229" spans="3:4">
      <c r="C2229" s="112"/>
      <c r="D2229" s="112"/>
    </row>
    <row r="2230" spans="3:4">
      <c r="C2230" s="112"/>
      <c r="D2230" s="112"/>
    </row>
    <row r="2231" spans="3:4">
      <c r="C2231" s="112"/>
      <c r="D2231" s="112"/>
    </row>
    <row r="2232" spans="3:4">
      <c r="C2232" s="112"/>
      <c r="D2232" s="112"/>
    </row>
    <row r="2233" spans="3:4">
      <c r="C2233" s="112"/>
      <c r="D2233" s="112"/>
    </row>
    <row r="2234" spans="3:4">
      <c r="C2234" s="112"/>
      <c r="D2234" s="112"/>
    </row>
    <row r="2235" spans="3:4">
      <c r="C2235" s="112"/>
      <c r="D2235" s="112"/>
    </row>
    <row r="2236" spans="3:4">
      <c r="C2236" s="112"/>
      <c r="D2236" s="112"/>
    </row>
    <row r="2237" spans="3:4">
      <c r="C2237" s="112"/>
      <c r="D2237" s="112"/>
    </row>
    <row r="2238" spans="3:4">
      <c r="C2238" s="112"/>
      <c r="D2238" s="112"/>
    </row>
    <row r="2239" spans="3:4">
      <c r="C2239" s="112"/>
      <c r="D2239" s="112"/>
    </row>
    <row r="2240" spans="3:4">
      <c r="C2240" s="112"/>
      <c r="D2240" s="112"/>
    </row>
    <row r="2241" spans="3:4">
      <c r="C2241" s="112"/>
      <c r="D2241" s="112"/>
    </row>
    <row r="2242" spans="3:4">
      <c r="C2242" s="112"/>
      <c r="D2242" s="112"/>
    </row>
    <row r="2243" spans="3:4">
      <c r="C2243" s="112"/>
      <c r="D2243" s="112"/>
    </row>
    <row r="2244" spans="3:4">
      <c r="C2244" s="112"/>
      <c r="D2244" s="112"/>
    </row>
    <row r="2245" spans="3:4">
      <c r="C2245" s="112"/>
      <c r="D2245" s="112"/>
    </row>
    <row r="2246" spans="3:4">
      <c r="C2246" s="112"/>
      <c r="D2246" s="112"/>
    </row>
    <row r="2247" spans="3:4">
      <c r="C2247" s="112"/>
      <c r="D2247" s="112"/>
    </row>
    <row r="2248" spans="3:4">
      <c r="C2248" s="112"/>
      <c r="D2248" s="112"/>
    </row>
    <row r="2249" spans="3:4">
      <c r="C2249" s="112"/>
      <c r="D2249" s="112"/>
    </row>
    <row r="2250" spans="3:4">
      <c r="C2250" s="112"/>
      <c r="D2250" s="112"/>
    </row>
    <row r="2251" spans="3:4">
      <c r="C2251" s="112"/>
      <c r="D2251" s="112"/>
    </row>
    <row r="2252" spans="3:4">
      <c r="C2252" s="112"/>
      <c r="D2252" s="112"/>
    </row>
    <row r="2253" spans="3:4">
      <c r="C2253" s="112"/>
      <c r="D2253" s="112"/>
    </row>
    <row r="2254" spans="3:4">
      <c r="C2254" s="112"/>
      <c r="D2254" s="112"/>
    </row>
    <row r="2255" spans="3:4">
      <c r="C2255" s="112"/>
      <c r="D2255" s="112"/>
    </row>
    <row r="2256" spans="3:4">
      <c r="C2256" s="112"/>
      <c r="D2256" s="112"/>
    </row>
    <row r="2257" spans="3:4">
      <c r="C2257" s="112"/>
      <c r="D2257" s="112"/>
    </row>
    <row r="2258" spans="3:4">
      <c r="C2258" s="112"/>
      <c r="D2258" s="112"/>
    </row>
    <row r="2259" spans="3:4">
      <c r="C2259" s="112"/>
      <c r="D2259" s="112"/>
    </row>
    <row r="2260" spans="3:4">
      <c r="C2260" s="112"/>
      <c r="D2260" s="112"/>
    </row>
    <row r="2261" spans="3:4">
      <c r="C2261" s="112"/>
      <c r="D2261" s="112"/>
    </row>
    <row r="2262" spans="3:4">
      <c r="C2262" s="112"/>
      <c r="D2262" s="112"/>
    </row>
    <row r="2263" spans="3:4">
      <c r="C2263" s="112"/>
      <c r="D2263" s="112"/>
    </row>
    <row r="2264" spans="3:4">
      <c r="C2264" s="112"/>
      <c r="D2264" s="112"/>
    </row>
    <row r="2265" spans="3:4">
      <c r="C2265" s="112"/>
      <c r="D2265" s="112"/>
    </row>
    <row r="2266" spans="3:4">
      <c r="C2266" s="112"/>
      <c r="D2266" s="112"/>
    </row>
    <row r="2267" spans="3:4">
      <c r="C2267" s="112"/>
      <c r="D2267" s="112"/>
    </row>
    <row r="2268" spans="3:4">
      <c r="C2268" s="112"/>
      <c r="D2268" s="112"/>
    </row>
    <row r="2269" spans="3:4">
      <c r="C2269" s="112"/>
      <c r="D2269" s="112"/>
    </row>
    <row r="2270" spans="3:4">
      <c r="C2270" s="112"/>
      <c r="D2270" s="112"/>
    </row>
    <row r="2271" spans="3:4">
      <c r="C2271" s="112"/>
      <c r="D2271" s="112"/>
    </row>
    <row r="2272" spans="3:4">
      <c r="C2272" s="112"/>
      <c r="D2272" s="112"/>
    </row>
    <row r="2273" spans="3:4">
      <c r="C2273" s="112"/>
      <c r="D2273" s="112"/>
    </row>
    <row r="2274" spans="3:4">
      <c r="C2274" s="112"/>
      <c r="D2274" s="112"/>
    </row>
    <row r="2275" spans="3:4">
      <c r="C2275" s="112"/>
      <c r="D2275" s="112"/>
    </row>
    <row r="2276" spans="3:4">
      <c r="C2276" s="112"/>
      <c r="D2276" s="112"/>
    </row>
    <row r="2277" spans="3:4">
      <c r="C2277" s="112"/>
      <c r="D2277" s="112"/>
    </row>
    <row r="2278" spans="3:4">
      <c r="C2278" s="112"/>
      <c r="D2278" s="112"/>
    </row>
    <row r="2279" spans="3:4">
      <c r="C2279" s="112"/>
      <c r="D2279" s="112"/>
    </row>
    <row r="2280" spans="3:4">
      <c r="C2280" s="112"/>
      <c r="D2280" s="112"/>
    </row>
    <row r="2281" spans="3:4">
      <c r="C2281" s="112"/>
      <c r="D2281" s="112"/>
    </row>
    <row r="2282" spans="3:4">
      <c r="C2282" s="112"/>
      <c r="D2282" s="112"/>
    </row>
    <row r="2283" spans="3:4">
      <c r="C2283" s="112"/>
      <c r="D2283" s="112"/>
    </row>
    <row r="2284" spans="3:4">
      <c r="C2284" s="112"/>
      <c r="D2284" s="112"/>
    </row>
    <row r="2285" spans="3:4">
      <c r="C2285" s="112"/>
      <c r="D2285" s="112"/>
    </row>
    <row r="2286" spans="3:4">
      <c r="C2286" s="112"/>
      <c r="D2286" s="112"/>
    </row>
    <row r="2287" spans="3:4">
      <c r="C2287" s="112"/>
      <c r="D2287" s="112"/>
    </row>
    <row r="2288" spans="3:4">
      <c r="C2288" s="112"/>
      <c r="D2288" s="112"/>
    </row>
    <row r="2289" spans="3:4">
      <c r="C2289" s="112"/>
      <c r="D2289" s="112"/>
    </row>
    <row r="2290" spans="3:4">
      <c r="C2290" s="112"/>
      <c r="D2290" s="112"/>
    </row>
    <row r="2291" spans="3:4">
      <c r="C2291" s="112"/>
      <c r="D2291" s="112"/>
    </row>
    <row r="2292" spans="3:4">
      <c r="C2292" s="112"/>
      <c r="D2292" s="112"/>
    </row>
    <row r="2293" spans="3:4">
      <c r="C2293" s="112"/>
      <c r="D2293" s="112"/>
    </row>
    <row r="2294" spans="3:4">
      <c r="C2294" s="112"/>
      <c r="D2294" s="112"/>
    </row>
    <row r="2295" spans="3:4">
      <c r="C2295" s="112"/>
      <c r="D2295" s="112"/>
    </row>
    <row r="2296" spans="3:4">
      <c r="C2296" s="112"/>
      <c r="D2296" s="112"/>
    </row>
    <row r="2297" spans="3:4">
      <c r="C2297" s="112"/>
      <c r="D2297" s="112"/>
    </row>
    <row r="2298" spans="3:4">
      <c r="C2298" s="112"/>
      <c r="D2298" s="112"/>
    </row>
    <row r="2299" spans="3:4">
      <c r="C2299" s="112"/>
      <c r="D2299" s="112"/>
    </row>
    <row r="2300" spans="3:4">
      <c r="C2300" s="112"/>
      <c r="D2300" s="112"/>
    </row>
    <row r="2301" spans="3:4">
      <c r="C2301" s="112"/>
      <c r="D2301" s="112"/>
    </row>
    <row r="2302" spans="3:4">
      <c r="C2302" s="112"/>
      <c r="D2302" s="112"/>
    </row>
    <row r="2303" spans="3:4">
      <c r="C2303" s="112"/>
      <c r="D2303" s="112"/>
    </row>
    <row r="2304" spans="3:4">
      <c r="C2304" s="112"/>
      <c r="D2304" s="112"/>
    </row>
    <row r="2305" spans="3:4">
      <c r="C2305" s="112"/>
      <c r="D2305" s="112"/>
    </row>
    <row r="2306" spans="3:4">
      <c r="C2306" s="112"/>
      <c r="D2306" s="112"/>
    </row>
    <row r="2307" spans="3:4">
      <c r="C2307" s="112"/>
      <c r="D2307" s="112"/>
    </row>
    <row r="2308" spans="3:4">
      <c r="C2308" s="112"/>
      <c r="D2308" s="112"/>
    </row>
    <row r="2309" spans="3:4">
      <c r="C2309" s="112"/>
      <c r="D2309" s="112"/>
    </row>
    <row r="2310" spans="3:4">
      <c r="C2310" s="112"/>
      <c r="D2310" s="112"/>
    </row>
    <row r="2311" spans="3:4">
      <c r="C2311" s="112"/>
      <c r="D2311" s="112"/>
    </row>
    <row r="2312" spans="3:4">
      <c r="C2312" s="112"/>
      <c r="D2312" s="112"/>
    </row>
    <row r="2313" spans="3:4">
      <c r="C2313" s="112"/>
      <c r="D2313" s="112"/>
    </row>
    <row r="2314" spans="3:4">
      <c r="C2314" s="112"/>
      <c r="D2314" s="112"/>
    </row>
    <row r="2315" spans="3:4">
      <c r="C2315" s="112"/>
      <c r="D2315" s="112"/>
    </row>
    <row r="2316" spans="3:4">
      <c r="C2316" s="112"/>
      <c r="D2316" s="112"/>
    </row>
    <row r="2317" spans="3:4">
      <c r="C2317" s="112"/>
      <c r="D2317" s="112"/>
    </row>
    <row r="2318" spans="3:4">
      <c r="C2318" s="112"/>
      <c r="D2318" s="112"/>
    </row>
    <row r="2319" spans="3:4">
      <c r="C2319" s="112"/>
      <c r="D2319" s="112"/>
    </row>
    <row r="2320" spans="3:4">
      <c r="C2320" s="112"/>
      <c r="D2320" s="112"/>
    </row>
    <row r="2321" spans="3:4">
      <c r="C2321" s="112"/>
      <c r="D2321" s="112"/>
    </row>
    <row r="2322" spans="3:4">
      <c r="C2322" s="112"/>
      <c r="D2322" s="112"/>
    </row>
    <row r="2323" spans="3:4">
      <c r="C2323" s="112"/>
      <c r="D2323" s="112"/>
    </row>
    <row r="2324" spans="3:4">
      <c r="C2324" s="112"/>
      <c r="D2324" s="112"/>
    </row>
    <row r="2325" spans="3:4">
      <c r="C2325" s="112"/>
      <c r="D2325" s="112"/>
    </row>
    <row r="2326" spans="3:4">
      <c r="C2326" s="112"/>
      <c r="D2326" s="112"/>
    </row>
    <row r="2327" spans="3:4">
      <c r="C2327" s="112"/>
      <c r="D2327" s="112"/>
    </row>
    <row r="2328" spans="3:4">
      <c r="C2328" s="112"/>
      <c r="D2328" s="112"/>
    </row>
    <row r="2329" spans="3:4">
      <c r="C2329" s="112"/>
      <c r="D2329" s="112"/>
    </row>
    <row r="2330" spans="3:4">
      <c r="C2330" s="112"/>
      <c r="D2330" s="112"/>
    </row>
    <row r="2331" spans="3:4">
      <c r="C2331" s="112"/>
      <c r="D2331" s="112"/>
    </row>
    <row r="2332" spans="3:4">
      <c r="C2332" s="112"/>
      <c r="D2332" s="112"/>
    </row>
    <row r="2333" spans="3:4">
      <c r="C2333" s="112"/>
      <c r="D2333" s="112"/>
    </row>
    <row r="2334" spans="3:4">
      <c r="C2334" s="112"/>
      <c r="D2334" s="112"/>
    </row>
    <row r="2335" spans="3:4">
      <c r="C2335" s="112"/>
      <c r="D2335" s="112"/>
    </row>
    <row r="2336" spans="3:4">
      <c r="C2336" s="112"/>
      <c r="D2336" s="112"/>
    </row>
    <row r="2337" spans="3:4">
      <c r="C2337" s="112"/>
      <c r="D2337" s="112"/>
    </row>
    <row r="2338" spans="3:4">
      <c r="C2338" s="112"/>
      <c r="D2338" s="112"/>
    </row>
    <row r="2339" spans="3:4">
      <c r="C2339" s="112"/>
      <c r="D2339" s="112"/>
    </row>
    <row r="2340" spans="3:4">
      <c r="C2340" s="112"/>
      <c r="D2340" s="112"/>
    </row>
    <row r="2341" spans="3:4">
      <c r="C2341" s="112"/>
      <c r="D2341" s="112"/>
    </row>
    <row r="2342" spans="3:4">
      <c r="C2342" s="112"/>
      <c r="D2342" s="112"/>
    </row>
    <row r="2343" spans="3:4">
      <c r="C2343" s="112"/>
      <c r="D2343" s="112"/>
    </row>
    <row r="2344" spans="3:4">
      <c r="C2344" s="112"/>
      <c r="D2344" s="112"/>
    </row>
    <row r="2345" spans="3:4">
      <c r="C2345" s="112"/>
      <c r="D2345" s="112"/>
    </row>
    <row r="2346" spans="3:4">
      <c r="C2346" s="112"/>
      <c r="D2346" s="112"/>
    </row>
    <row r="2347" spans="3:4">
      <c r="C2347" s="112"/>
      <c r="D2347" s="112"/>
    </row>
    <row r="2348" spans="3:4">
      <c r="C2348" s="112"/>
      <c r="D2348" s="112"/>
    </row>
    <row r="2349" spans="3:4">
      <c r="C2349" s="112"/>
      <c r="D2349" s="112"/>
    </row>
    <row r="2350" spans="3:4">
      <c r="C2350" s="112"/>
      <c r="D2350" s="112"/>
    </row>
    <row r="2351" spans="3:4">
      <c r="C2351" s="112"/>
      <c r="D2351" s="112"/>
    </row>
    <row r="2352" spans="3:4">
      <c r="C2352" s="112"/>
      <c r="D2352" s="112"/>
    </row>
    <row r="2353" spans="3:4">
      <c r="C2353" s="112"/>
      <c r="D2353" s="112"/>
    </row>
    <row r="2354" spans="3:4">
      <c r="C2354" s="112"/>
      <c r="D2354" s="112"/>
    </row>
    <row r="2355" spans="3:4">
      <c r="C2355" s="112"/>
      <c r="D2355" s="112"/>
    </row>
    <row r="2356" spans="3:4">
      <c r="C2356" s="112"/>
      <c r="D2356" s="112"/>
    </row>
    <row r="2357" spans="3:4">
      <c r="C2357" s="112"/>
      <c r="D2357" s="112"/>
    </row>
    <row r="2358" spans="3:4">
      <c r="C2358" s="112"/>
      <c r="D2358" s="112"/>
    </row>
    <row r="2359" spans="3:4">
      <c r="C2359" s="112"/>
      <c r="D2359" s="112"/>
    </row>
    <row r="2360" spans="3:4">
      <c r="C2360" s="112"/>
      <c r="D2360" s="112"/>
    </row>
    <row r="2361" spans="3:4">
      <c r="C2361" s="112"/>
      <c r="D2361" s="112"/>
    </row>
    <row r="2362" spans="3:4">
      <c r="C2362" s="112"/>
      <c r="D2362" s="112"/>
    </row>
    <row r="2363" spans="3:4">
      <c r="C2363" s="112"/>
      <c r="D2363" s="112"/>
    </row>
    <row r="2364" spans="3:4">
      <c r="C2364" s="112"/>
      <c r="D2364" s="112"/>
    </row>
    <row r="2365" spans="3:4">
      <c r="C2365" s="112"/>
      <c r="D2365" s="112"/>
    </row>
    <row r="2366" spans="3:4">
      <c r="C2366" s="112"/>
      <c r="D2366" s="112"/>
    </row>
    <row r="2367" spans="3:4">
      <c r="C2367" s="112"/>
      <c r="D2367" s="112"/>
    </row>
    <row r="2368" spans="3:4">
      <c r="C2368" s="112"/>
      <c r="D2368" s="112"/>
    </row>
    <row r="2369" spans="3:4">
      <c r="C2369" s="112"/>
      <c r="D2369" s="112"/>
    </row>
    <row r="2370" spans="3:4">
      <c r="C2370" s="112"/>
      <c r="D2370" s="112"/>
    </row>
    <row r="2371" spans="3:4">
      <c r="C2371" s="112"/>
      <c r="D2371" s="112"/>
    </row>
    <row r="2372" spans="3:4">
      <c r="C2372" s="112"/>
      <c r="D2372" s="112"/>
    </row>
    <row r="2373" spans="3:4">
      <c r="C2373" s="112"/>
      <c r="D2373" s="112"/>
    </row>
    <row r="2374" spans="3:4">
      <c r="C2374" s="112"/>
      <c r="D2374" s="112"/>
    </row>
    <row r="2375" spans="3:4">
      <c r="C2375" s="112"/>
      <c r="D2375" s="112"/>
    </row>
    <row r="2376" spans="3:4">
      <c r="C2376" s="112"/>
      <c r="D2376" s="112"/>
    </row>
    <row r="2377" spans="3:4">
      <c r="C2377" s="112"/>
      <c r="D2377" s="112"/>
    </row>
    <row r="2378" spans="3:4">
      <c r="C2378" s="112"/>
      <c r="D2378" s="112"/>
    </row>
    <row r="2379" spans="3:4">
      <c r="C2379" s="112"/>
      <c r="D2379" s="112"/>
    </row>
    <row r="2380" spans="3:4">
      <c r="C2380" s="112"/>
      <c r="D2380" s="112"/>
    </row>
    <row r="2381" spans="3:4">
      <c r="C2381" s="112"/>
      <c r="D2381" s="112"/>
    </row>
    <row r="2382" spans="3:4">
      <c r="C2382" s="112"/>
      <c r="D2382" s="112"/>
    </row>
    <row r="2383" spans="3:4">
      <c r="C2383" s="112"/>
      <c r="D2383" s="112"/>
    </row>
    <row r="2384" spans="3:4">
      <c r="C2384" s="112"/>
      <c r="D2384" s="112"/>
    </row>
    <row r="2385" spans="3:4">
      <c r="C2385" s="112"/>
      <c r="D2385" s="112"/>
    </row>
    <row r="2386" spans="3:4">
      <c r="C2386" s="112"/>
      <c r="D2386" s="112"/>
    </row>
    <row r="2387" spans="3:4">
      <c r="C2387" s="112"/>
      <c r="D2387" s="112"/>
    </row>
    <row r="2388" spans="3:4">
      <c r="C2388" s="112"/>
      <c r="D2388" s="112"/>
    </row>
    <row r="2389" spans="3:4">
      <c r="C2389" s="112"/>
      <c r="D2389" s="112"/>
    </row>
    <row r="2390" spans="3:4">
      <c r="C2390" s="112"/>
      <c r="D2390" s="112"/>
    </row>
    <row r="2391" spans="3:4">
      <c r="C2391" s="112"/>
      <c r="D2391" s="112"/>
    </row>
    <row r="2392" spans="3:4">
      <c r="C2392" s="112"/>
      <c r="D2392" s="112"/>
    </row>
    <row r="2393" spans="3:4">
      <c r="C2393" s="112"/>
      <c r="D2393" s="112"/>
    </row>
    <row r="2394" spans="3:4">
      <c r="C2394" s="112"/>
      <c r="D2394" s="112"/>
    </row>
    <row r="2395" spans="3:4">
      <c r="C2395" s="112"/>
      <c r="D2395" s="112"/>
    </row>
    <row r="2396" spans="3:4">
      <c r="C2396" s="112"/>
      <c r="D2396" s="112"/>
    </row>
    <row r="2397" spans="3:4">
      <c r="C2397" s="112"/>
      <c r="D2397" s="112"/>
    </row>
    <row r="2398" spans="3:4">
      <c r="C2398" s="112"/>
      <c r="D2398" s="112"/>
    </row>
    <row r="2399" spans="3:4">
      <c r="C2399" s="112"/>
      <c r="D2399" s="112"/>
    </row>
    <row r="2400" spans="3:4">
      <c r="C2400" s="112"/>
      <c r="D2400" s="112"/>
    </row>
    <row r="2401" spans="3:4">
      <c r="C2401" s="112"/>
      <c r="D2401" s="112"/>
    </row>
    <row r="2402" spans="3:4">
      <c r="C2402" s="112"/>
      <c r="D2402" s="112"/>
    </row>
    <row r="2403" spans="3:4">
      <c r="C2403" s="112"/>
      <c r="D2403" s="112"/>
    </row>
    <row r="2404" spans="3:4">
      <c r="C2404" s="112"/>
      <c r="D2404" s="112"/>
    </row>
    <row r="2405" spans="3:4">
      <c r="C2405" s="112"/>
      <c r="D2405" s="112"/>
    </row>
    <row r="2406" spans="3:4">
      <c r="C2406" s="112"/>
      <c r="D2406" s="112"/>
    </row>
    <row r="2407" spans="3:4">
      <c r="C2407" s="112"/>
      <c r="D2407" s="112"/>
    </row>
    <row r="2408" spans="3:4">
      <c r="C2408" s="112"/>
      <c r="D2408" s="112"/>
    </row>
    <row r="2409" spans="3:4">
      <c r="C2409" s="112"/>
      <c r="D2409" s="112"/>
    </row>
    <row r="2410" spans="3:4">
      <c r="C2410" s="112"/>
      <c r="D2410" s="112"/>
    </row>
    <row r="2411" spans="3:4">
      <c r="C2411" s="112"/>
      <c r="D2411" s="112"/>
    </row>
    <row r="2412" spans="3:4">
      <c r="C2412" s="112"/>
      <c r="D2412" s="112"/>
    </row>
    <row r="2413" spans="3:4">
      <c r="C2413" s="112"/>
      <c r="D2413" s="112"/>
    </row>
    <row r="2414" spans="3:4">
      <c r="C2414" s="112"/>
      <c r="D2414" s="112"/>
    </row>
    <row r="2415" spans="3:4">
      <c r="C2415" s="112"/>
      <c r="D2415" s="112"/>
    </row>
    <row r="2416" spans="3:4">
      <c r="C2416" s="112"/>
      <c r="D2416" s="112"/>
    </row>
    <row r="2417" spans="3:4">
      <c r="C2417" s="112"/>
      <c r="D2417" s="112"/>
    </row>
    <row r="2418" spans="3:4">
      <c r="C2418" s="112"/>
      <c r="D2418" s="112"/>
    </row>
    <row r="2419" spans="3:4">
      <c r="C2419" s="112"/>
      <c r="D2419" s="112"/>
    </row>
    <row r="2420" spans="3:4">
      <c r="C2420" s="112"/>
      <c r="D2420" s="112"/>
    </row>
    <row r="2421" spans="3:4">
      <c r="C2421" s="112"/>
      <c r="D2421" s="112"/>
    </row>
    <row r="2422" spans="3:4">
      <c r="C2422" s="112"/>
      <c r="D2422" s="112"/>
    </row>
    <row r="2423" spans="3:4">
      <c r="C2423" s="112"/>
      <c r="D2423" s="112"/>
    </row>
    <row r="2424" spans="3:4">
      <c r="C2424" s="112"/>
      <c r="D2424" s="112"/>
    </row>
    <row r="2425" spans="3:4">
      <c r="C2425" s="112"/>
      <c r="D2425" s="112"/>
    </row>
    <row r="2426" spans="3:4">
      <c r="C2426" s="112"/>
      <c r="D2426" s="112"/>
    </row>
    <row r="2427" spans="3:4">
      <c r="C2427" s="112"/>
      <c r="D2427" s="112"/>
    </row>
    <row r="2428" spans="3:4">
      <c r="C2428" s="112"/>
      <c r="D2428" s="112"/>
    </row>
    <row r="2429" spans="3:4">
      <c r="C2429" s="112"/>
      <c r="D2429" s="112"/>
    </row>
    <row r="2430" spans="3:4">
      <c r="C2430" s="112"/>
      <c r="D2430" s="112"/>
    </row>
    <row r="2431" spans="3:4">
      <c r="C2431" s="112"/>
      <c r="D2431" s="112"/>
    </row>
    <row r="2432" spans="3:4">
      <c r="C2432" s="112"/>
      <c r="D2432" s="112"/>
    </row>
    <row r="2433" spans="3:4">
      <c r="C2433" s="112"/>
      <c r="D2433" s="112"/>
    </row>
    <row r="2434" spans="3:4">
      <c r="C2434" s="112"/>
      <c r="D2434" s="112"/>
    </row>
    <row r="2435" spans="3:4">
      <c r="C2435" s="112"/>
      <c r="D2435" s="112"/>
    </row>
    <row r="2436" spans="3:4">
      <c r="C2436" s="112"/>
      <c r="D2436" s="112"/>
    </row>
    <row r="2437" spans="3:4">
      <c r="C2437" s="112"/>
      <c r="D2437" s="112"/>
    </row>
    <row r="2438" spans="3:4">
      <c r="C2438" s="112"/>
      <c r="D2438" s="112"/>
    </row>
    <row r="2439" spans="3:4">
      <c r="C2439" s="112"/>
      <c r="D2439" s="112"/>
    </row>
    <row r="2440" spans="3:4">
      <c r="C2440" s="112"/>
      <c r="D2440" s="112"/>
    </row>
    <row r="2441" spans="3:4">
      <c r="C2441" s="112"/>
      <c r="D2441" s="112"/>
    </row>
    <row r="2442" spans="3:4">
      <c r="C2442" s="112"/>
      <c r="D2442" s="112"/>
    </row>
    <row r="2443" spans="3:4">
      <c r="C2443" s="112"/>
      <c r="D2443" s="112"/>
    </row>
    <row r="2444" spans="3:4">
      <c r="C2444" s="112"/>
      <c r="D2444" s="112"/>
    </row>
    <row r="2445" spans="3:4">
      <c r="C2445" s="112"/>
      <c r="D2445" s="112"/>
    </row>
    <row r="2446" spans="3:4">
      <c r="C2446" s="112"/>
      <c r="D2446" s="112"/>
    </row>
    <row r="2447" spans="3:4">
      <c r="C2447" s="112"/>
      <c r="D2447" s="112"/>
    </row>
    <row r="2448" spans="3:4">
      <c r="C2448" s="112"/>
      <c r="D2448" s="112"/>
    </row>
    <row r="2449" spans="3:4">
      <c r="C2449" s="112"/>
      <c r="D2449" s="112"/>
    </row>
    <row r="2450" spans="3:4">
      <c r="C2450" s="112"/>
      <c r="D2450" s="112"/>
    </row>
    <row r="2451" spans="3:4">
      <c r="C2451" s="112"/>
      <c r="D2451" s="112"/>
    </row>
    <row r="2452" spans="3:4">
      <c r="C2452" s="112"/>
      <c r="D2452" s="112"/>
    </row>
    <row r="2453" spans="3:4">
      <c r="C2453" s="112"/>
      <c r="D2453" s="112"/>
    </row>
    <row r="2454" spans="3:4">
      <c r="C2454" s="112"/>
      <c r="D2454" s="112"/>
    </row>
    <row r="2455" spans="3:4">
      <c r="C2455" s="112"/>
      <c r="D2455" s="112"/>
    </row>
    <row r="2456" spans="3:4">
      <c r="C2456" s="112"/>
      <c r="D2456" s="112"/>
    </row>
    <row r="2457" spans="3:4">
      <c r="C2457" s="112"/>
      <c r="D2457" s="112"/>
    </row>
    <row r="2458" spans="3:4">
      <c r="C2458" s="112"/>
      <c r="D2458" s="112"/>
    </row>
    <row r="2459" spans="3:4">
      <c r="C2459" s="112"/>
      <c r="D2459" s="112"/>
    </row>
    <row r="2460" spans="3:4">
      <c r="C2460" s="112"/>
      <c r="D2460" s="112"/>
    </row>
    <row r="2461" spans="3:4">
      <c r="C2461" s="112"/>
      <c r="D2461" s="112"/>
    </row>
    <row r="2462" spans="3:4">
      <c r="C2462" s="112"/>
      <c r="D2462" s="112"/>
    </row>
    <row r="2463" spans="3:4">
      <c r="C2463" s="112"/>
      <c r="D2463" s="112"/>
    </row>
    <row r="2464" spans="3:4">
      <c r="C2464" s="112"/>
      <c r="D2464" s="112"/>
    </row>
    <row r="2465" spans="3:4">
      <c r="C2465" s="112"/>
      <c r="D2465" s="112"/>
    </row>
    <row r="2466" spans="3:4">
      <c r="C2466" s="112"/>
      <c r="D2466" s="112"/>
    </row>
    <row r="2467" spans="3:4">
      <c r="C2467" s="112"/>
      <c r="D2467" s="112"/>
    </row>
    <row r="2468" spans="3:4">
      <c r="C2468" s="112"/>
      <c r="D2468" s="112"/>
    </row>
    <row r="2469" spans="3:4">
      <c r="C2469" s="112"/>
      <c r="D2469" s="112"/>
    </row>
    <row r="2470" spans="3:4">
      <c r="C2470" s="112"/>
      <c r="D2470" s="112"/>
    </row>
    <row r="2471" spans="3:4">
      <c r="C2471" s="112"/>
      <c r="D2471" s="112"/>
    </row>
    <row r="2472" spans="3:4">
      <c r="C2472" s="112"/>
      <c r="D2472" s="112"/>
    </row>
    <row r="2473" spans="3:4">
      <c r="C2473" s="112"/>
      <c r="D2473" s="112"/>
    </row>
    <row r="2474" spans="3:4">
      <c r="C2474" s="112"/>
      <c r="D2474" s="112"/>
    </row>
    <row r="2475" spans="3:4">
      <c r="C2475" s="112"/>
      <c r="D2475" s="112"/>
    </row>
    <row r="2476" spans="3:4">
      <c r="C2476" s="112"/>
      <c r="D2476" s="112"/>
    </row>
    <row r="2477" spans="3:4">
      <c r="C2477" s="112"/>
      <c r="D2477" s="112"/>
    </row>
    <row r="2478" spans="3:4">
      <c r="C2478" s="112"/>
      <c r="D2478" s="112"/>
    </row>
    <row r="2479" spans="3:4">
      <c r="C2479" s="112"/>
      <c r="D2479" s="112"/>
    </row>
    <row r="2480" spans="3:4">
      <c r="C2480" s="112"/>
      <c r="D2480" s="112"/>
    </row>
    <row r="2481" spans="3:4">
      <c r="C2481" s="112"/>
      <c r="D2481" s="112"/>
    </row>
    <row r="2482" spans="3:4">
      <c r="C2482" s="112"/>
      <c r="D2482" s="112"/>
    </row>
    <row r="2483" spans="3:4">
      <c r="C2483" s="112"/>
      <c r="D2483" s="112"/>
    </row>
    <row r="2484" spans="3:4">
      <c r="C2484" s="112"/>
      <c r="D2484" s="112"/>
    </row>
    <row r="2485" spans="3:4">
      <c r="C2485" s="112"/>
      <c r="D2485" s="112"/>
    </row>
    <row r="2486" spans="3:4">
      <c r="C2486" s="112"/>
      <c r="D2486" s="112"/>
    </row>
    <row r="2487" spans="3:4">
      <c r="C2487" s="112"/>
      <c r="D2487" s="112"/>
    </row>
    <row r="2488" spans="3:4">
      <c r="C2488" s="112"/>
      <c r="D2488" s="112"/>
    </row>
    <row r="2489" spans="3:4">
      <c r="C2489" s="112"/>
      <c r="D2489" s="112"/>
    </row>
    <row r="2490" spans="3:4">
      <c r="C2490" s="112"/>
      <c r="D2490" s="112"/>
    </row>
    <row r="2491" spans="3:4">
      <c r="C2491" s="112"/>
      <c r="D2491" s="112"/>
    </row>
    <row r="2492" spans="3:4">
      <c r="C2492" s="112"/>
      <c r="D2492" s="112"/>
    </row>
    <row r="2493" spans="3:4">
      <c r="C2493" s="112"/>
      <c r="D2493" s="112"/>
    </row>
    <row r="2494" spans="3:4">
      <c r="C2494" s="112"/>
      <c r="D2494" s="112"/>
    </row>
    <row r="2495" spans="3:4">
      <c r="C2495" s="112"/>
      <c r="D2495" s="112"/>
    </row>
    <row r="2496" spans="3:4">
      <c r="C2496" s="112"/>
      <c r="D2496" s="112"/>
    </row>
    <row r="2497" spans="3:4">
      <c r="C2497" s="112"/>
      <c r="D2497" s="112"/>
    </row>
    <row r="2498" spans="3:4">
      <c r="C2498" s="112"/>
      <c r="D2498" s="112"/>
    </row>
    <row r="2499" spans="3:4">
      <c r="C2499" s="112"/>
      <c r="D2499" s="112"/>
    </row>
    <row r="2500" spans="3:4">
      <c r="C2500" s="112"/>
      <c r="D2500" s="112"/>
    </row>
    <row r="2501" spans="3:4">
      <c r="C2501" s="112"/>
      <c r="D2501" s="112"/>
    </row>
    <row r="2502" spans="3:4">
      <c r="C2502" s="112"/>
      <c r="D2502" s="112"/>
    </row>
    <row r="2503" spans="3:4">
      <c r="C2503" s="112"/>
      <c r="D2503" s="112"/>
    </row>
    <row r="2504" spans="3:4">
      <c r="C2504" s="112"/>
      <c r="D2504" s="112"/>
    </row>
    <row r="2505" spans="3:4">
      <c r="C2505" s="112"/>
      <c r="D2505" s="112"/>
    </row>
    <row r="2506" spans="3:4">
      <c r="C2506" s="112"/>
      <c r="D2506" s="112"/>
    </row>
    <row r="2507" spans="3:4">
      <c r="C2507" s="112"/>
      <c r="D2507" s="112"/>
    </row>
    <row r="2508" spans="3:4">
      <c r="C2508" s="112"/>
      <c r="D2508" s="112"/>
    </row>
    <row r="2509" spans="3:4">
      <c r="C2509" s="112"/>
      <c r="D2509" s="112"/>
    </row>
    <row r="2510" spans="3:4">
      <c r="C2510" s="112"/>
      <c r="D2510" s="112"/>
    </row>
    <row r="2511" spans="3:4">
      <c r="C2511" s="112"/>
      <c r="D2511" s="112"/>
    </row>
    <row r="2512" spans="3:4">
      <c r="C2512" s="112"/>
      <c r="D2512" s="112"/>
    </row>
    <row r="2513" spans="3:4">
      <c r="C2513" s="112"/>
      <c r="D2513" s="112"/>
    </row>
    <row r="2514" spans="3:4">
      <c r="C2514" s="112"/>
      <c r="D2514" s="112"/>
    </row>
    <row r="2515" spans="3:4">
      <c r="C2515" s="112"/>
      <c r="D2515" s="112"/>
    </row>
    <row r="2516" spans="3:4">
      <c r="C2516" s="112"/>
      <c r="D2516" s="112"/>
    </row>
    <row r="2517" spans="3:4">
      <c r="C2517" s="112"/>
      <c r="D2517" s="112"/>
    </row>
    <row r="2518" spans="3:4">
      <c r="C2518" s="112"/>
      <c r="D2518" s="112"/>
    </row>
    <row r="2519" spans="3:4">
      <c r="C2519" s="112"/>
      <c r="D2519" s="112"/>
    </row>
    <row r="2520" spans="3:4">
      <c r="C2520" s="112"/>
      <c r="D2520" s="112"/>
    </row>
    <row r="2521" spans="3:4">
      <c r="C2521" s="112"/>
      <c r="D2521" s="112"/>
    </row>
    <row r="2522" spans="3:4">
      <c r="C2522" s="112"/>
      <c r="D2522" s="112"/>
    </row>
    <row r="2523" spans="3:4">
      <c r="C2523" s="112"/>
      <c r="D2523" s="112"/>
    </row>
    <row r="2524" spans="3:4">
      <c r="C2524" s="112"/>
      <c r="D2524" s="112"/>
    </row>
    <row r="2525" spans="3:4">
      <c r="C2525" s="112"/>
      <c r="D2525" s="112"/>
    </row>
    <row r="2526" spans="3:4">
      <c r="C2526" s="112"/>
      <c r="D2526" s="112"/>
    </row>
    <row r="2527" spans="3:4">
      <c r="C2527" s="112"/>
      <c r="D2527" s="112"/>
    </row>
    <row r="2528" spans="3:4">
      <c r="C2528" s="112"/>
      <c r="D2528" s="112"/>
    </row>
    <row r="2529" spans="3:4">
      <c r="C2529" s="112"/>
      <c r="D2529" s="112"/>
    </row>
    <row r="2530" spans="3:4">
      <c r="C2530" s="112"/>
      <c r="D2530" s="112"/>
    </row>
    <row r="2531" spans="3:4">
      <c r="C2531" s="112"/>
      <c r="D2531" s="112"/>
    </row>
    <row r="2532" spans="3:4">
      <c r="C2532" s="112"/>
      <c r="D2532" s="112"/>
    </row>
    <row r="2533" spans="3:4">
      <c r="C2533" s="112"/>
      <c r="D2533" s="112"/>
    </row>
    <row r="2534" spans="3:4">
      <c r="C2534" s="112"/>
      <c r="D2534" s="112"/>
    </row>
    <row r="2535" spans="3:4">
      <c r="C2535" s="112"/>
      <c r="D2535" s="112"/>
    </row>
    <row r="2536" spans="3:4">
      <c r="C2536" s="112"/>
      <c r="D2536" s="112"/>
    </row>
    <row r="2537" spans="3:4">
      <c r="C2537" s="112"/>
      <c r="D2537" s="112"/>
    </row>
    <row r="2538" spans="3:4">
      <c r="C2538" s="112"/>
      <c r="D2538" s="112"/>
    </row>
    <row r="2539" spans="3:4">
      <c r="C2539" s="112"/>
      <c r="D2539" s="112"/>
    </row>
    <row r="2540" spans="3:4">
      <c r="C2540" s="112"/>
      <c r="D2540" s="112"/>
    </row>
    <row r="2541" spans="3:4">
      <c r="C2541" s="112"/>
      <c r="D2541" s="112"/>
    </row>
    <row r="2542" spans="3:4">
      <c r="C2542" s="112"/>
      <c r="D2542" s="112"/>
    </row>
    <row r="2543" spans="3:4">
      <c r="C2543" s="112"/>
      <c r="D2543" s="112"/>
    </row>
    <row r="2544" spans="3:4">
      <c r="C2544" s="112"/>
      <c r="D2544" s="112"/>
    </row>
    <row r="2545" spans="3:4">
      <c r="C2545" s="112"/>
      <c r="D2545" s="112"/>
    </row>
    <row r="2546" spans="3:4">
      <c r="C2546" s="112"/>
      <c r="D2546" s="112"/>
    </row>
    <row r="2547" spans="3:4">
      <c r="C2547" s="112"/>
      <c r="D2547" s="112"/>
    </row>
    <row r="2548" spans="3:4">
      <c r="C2548" s="112"/>
      <c r="D2548" s="112"/>
    </row>
    <row r="2549" spans="3:4">
      <c r="C2549" s="112"/>
      <c r="D2549" s="112"/>
    </row>
    <row r="2550" spans="3:4">
      <c r="C2550" s="112"/>
      <c r="D2550" s="112"/>
    </row>
    <row r="2551" spans="3:4">
      <c r="C2551" s="112"/>
      <c r="D2551" s="112"/>
    </row>
    <row r="2552" spans="3:4">
      <c r="C2552" s="112"/>
      <c r="D2552" s="112"/>
    </row>
    <row r="2553" spans="3:4">
      <c r="C2553" s="112"/>
      <c r="D2553" s="112"/>
    </row>
    <row r="2554" spans="3:4">
      <c r="C2554" s="112"/>
      <c r="D2554" s="112"/>
    </row>
    <row r="2555" spans="3:4">
      <c r="C2555" s="112"/>
      <c r="D2555" s="112"/>
    </row>
    <row r="2556" spans="3:4">
      <c r="C2556" s="112"/>
      <c r="D2556" s="112"/>
    </row>
    <row r="2557" spans="3:4">
      <c r="C2557" s="112"/>
      <c r="D2557" s="112"/>
    </row>
    <row r="2558" spans="3:4">
      <c r="C2558" s="112"/>
      <c r="D2558" s="112"/>
    </row>
    <row r="2559" spans="3:4">
      <c r="C2559" s="112"/>
      <c r="D2559" s="112"/>
    </row>
    <row r="2560" spans="3:4">
      <c r="C2560" s="112"/>
      <c r="D2560" s="112"/>
    </row>
    <row r="2561" spans="3:4">
      <c r="C2561" s="112"/>
      <c r="D2561" s="112"/>
    </row>
    <row r="2562" spans="3:4">
      <c r="C2562" s="112"/>
      <c r="D2562" s="112"/>
    </row>
    <row r="2563" spans="3:4">
      <c r="C2563" s="112"/>
      <c r="D2563" s="112"/>
    </row>
    <row r="2564" spans="3:4">
      <c r="C2564" s="112"/>
      <c r="D2564" s="112"/>
    </row>
    <row r="2565" spans="3:4">
      <c r="C2565" s="112"/>
      <c r="D2565" s="112"/>
    </row>
    <row r="2566" spans="3:4">
      <c r="C2566" s="112"/>
      <c r="D2566" s="112"/>
    </row>
    <row r="2567" spans="3:4">
      <c r="C2567" s="112"/>
      <c r="D2567" s="112"/>
    </row>
    <row r="2568" spans="3:4">
      <c r="C2568" s="112"/>
      <c r="D2568" s="112"/>
    </row>
    <row r="2569" spans="3:4">
      <c r="C2569" s="112"/>
      <c r="D2569" s="112"/>
    </row>
    <row r="2570" spans="3:4">
      <c r="C2570" s="112"/>
      <c r="D2570" s="112"/>
    </row>
    <row r="2571" spans="3:4">
      <c r="C2571" s="112"/>
      <c r="D2571" s="112"/>
    </row>
    <row r="2572" spans="3:4">
      <c r="C2572" s="112"/>
      <c r="D2572" s="112"/>
    </row>
    <row r="2573" spans="3:4">
      <c r="C2573" s="112"/>
      <c r="D2573" s="112"/>
    </row>
    <row r="2574" spans="3:4">
      <c r="C2574" s="112"/>
      <c r="D2574" s="112"/>
    </row>
    <row r="2575" spans="3:4">
      <c r="C2575" s="112"/>
      <c r="D2575" s="112"/>
    </row>
    <row r="2576" spans="3:4">
      <c r="C2576" s="112"/>
      <c r="D2576" s="112"/>
    </row>
    <row r="2577" spans="3:4">
      <c r="C2577" s="112"/>
      <c r="D2577" s="112"/>
    </row>
    <row r="2578" spans="3:4">
      <c r="C2578" s="112"/>
      <c r="D2578" s="112"/>
    </row>
    <row r="2579" spans="3:4">
      <c r="C2579" s="112"/>
      <c r="D2579" s="112"/>
    </row>
    <row r="2580" spans="3:4">
      <c r="C2580" s="112"/>
      <c r="D2580" s="112"/>
    </row>
    <row r="2581" spans="3:4">
      <c r="C2581" s="112"/>
      <c r="D2581" s="112"/>
    </row>
    <row r="2582" spans="3:4">
      <c r="C2582" s="112"/>
      <c r="D2582" s="112"/>
    </row>
    <row r="2583" spans="3:4">
      <c r="C2583" s="112"/>
      <c r="D2583" s="112"/>
    </row>
    <row r="2584" spans="3:4">
      <c r="C2584" s="112"/>
      <c r="D2584" s="112"/>
    </row>
    <row r="2585" spans="3:4">
      <c r="C2585" s="112"/>
      <c r="D2585" s="112"/>
    </row>
    <row r="2586" spans="3:4">
      <c r="C2586" s="112"/>
      <c r="D2586" s="112"/>
    </row>
    <row r="2587" spans="3:4">
      <c r="C2587" s="112"/>
      <c r="D2587" s="112"/>
    </row>
    <row r="2588" spans="3:4">
      <c r="C2588" s="112"/>
      <c r="D2588" s="112"/>
    </row>
    <row r="2589" spans="3:4">
      <c r="C2589" s="112"/>
      <c r="D2589" s="112"/>
    </row>
    <row r="2590" spans="3:4">
      <c r="C2590" s="112"/>
      <c r="D2590" s="112"/>
    </row>
  </sheetData>
  <mergeCells count="2">
    <mergeCell ref="S59:T59"/>
    <mergeCell ref="W59:X59"/>
  </mergeCells>
  <conditionalFormatting pivot="1" sqref="E11:G24">
    <cfRule type="iconSet" priority="17">
      <iconSet reverse="1">
        <cfvo type="percent" val="0"/>
        <cfvo type="percent" val="0" gte="0"/>
        <cfvo type="percent" val="30"/>
      </iconSet>
    </cfRule>
  </conditionalFormatting>
  <conditionalFormatting pivot="1" sqref="L11:N19">
    <cfRule type="iconSet" priority="13">
      <iconSet reverse="1">
        <cfvo type="percent" val="0"/>
        <cfvo type="percent" val="0" gte="0"/>
        <cfvo type="percent" val="30"/>
      </iconSet>
    </cfRule>
  </conditionalFormatting>
  <conditionalFormatting pivot="1" sqref="E32:G32">
    <cfRule type="iconSet" priority="10">
      <iconSet reverse="1">
        <cfvo type="percent" val="0"/>
        <cfvo type="percent" val="0" gte="0"/>
        <cfvo type="percent" val="30"/>
      </iconSet>
    </cfRule>
  </conditionalFormatting>
  <conditionalFormatting pivot="1" sqref="D89:D101">
    <cfRule type="iconSet" priority="8">
      <iconSet reverse="1">
        <cfvo type="percent" val="0"/>
        <cfvo type="num" val="0" gte="0"/>
        <cfvo type="num" val="0.3"/>
      </iconSet>
    </cfRule>
  </conditionalFormatting>
  <conditionalFormatting pivot="1" sqref="D110:D117">
    <cfRule type="iconSet" priority="7">
      <iconSet reverse="1">
        <cfvo type="percent" val="0"/>
        <cfvo type="num" val="0" gte="0"/>
        <cfvo type="num" val="0.3"/>
      </iconSet>
    </cfRule>
  </conditionalFormatting>
  <conditionalFormatting pivot="1" sqref="D196:D208">
    <cfRule type="iconSet" priority="6">
      <iconSet>
        <cfvo type="percent" val="0"/>
        <cfvo type="num" val="0" gte="0"/>
        <cfvo type="num" val="0.3"/>
      </iconSet>
    </cfRule>
  </conditionalFormatting>
  <conditionalFormatting pivot="1" sqref="N197:N204">
    <cfRule type="iconSet" priority="5">
      <iconSet reverse="1">
        <cfvo type="percent" val="0"/>
        <cfvo type="num" val="0" gte="0"/>
        <cfvo type="num" val="0.3"/>
      </iconSet>
    </cfRule>
  </conditionalFormatting>
  <conditionalFormatting pivot="1" sqref="D276:D288">
    <cfRule type="iconSet" priority="4">
      <iconSet reverse="1">
        <cfvo type="percent" val="0"/>
        <cfvo type="num" val="0" gte="0"/>
        <cfvo type="num" val="0.3"/>
      </iconSet>
    </cfRule>
  </conditionalFormatting>
  <conditionalFormatting pivot="1" sqref="M275:M282">
    <cfRule type="iconSet" priority="3">
      <iconSet reverse="1">
        <cfvo type="percent" val="0"/>
        <cfvo type="num" val="0" gte="0"/>
        <cfvo type="num" val="0.3"/>
      </iconSet>
    </cfRule>
  </conditionalFormatting>
  <pageMargins left="0.7" right="0.7" top="0.75" bottom="0.75" header="0.3" footer="0.3"/>
  <pageSetup orientation="portrait" r:id="rId32"/>
  <drawing r:id="rId33"/>
  <extLst>
    <ext xmlns:x14="http://schemas.microsoft.com/office/spreadsheetml/2009/9/main" uri="{78C0D931-6437-407d-A8EE-F0AAD7539E65}">
      <x14:conditionalFormattings>
        <x14:conditionalFormatting xmlns:xm="http://schemas.microsoft.com/office/excel/2006/main">
          <x14:cfRule type="iconSet" priority="12229"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L26:N28</xm:sqref>
        </x14:conditionalFormatting>
      </x14:conditionalFormattings>
    </ext>
    <ext xmlns:x14="http://schemas.microsoft.com/office/spreadsheetml/2009/9/main" uri="{A8765BA9-456A-4dab-B4F3-ACF838C121DE}">
      <x14:slicerList>
        <x14:slicer r:id="rId3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23" sqref="B23"/>
    </sheetView>
  </sheetViews>
  <sheetFormatPr defaultColWidth="9" defaultRowHeight="15.5"/>
  <cols>
    <col min="1" max="1" width="31.6640625" style="59" bestFit="1" customWidth="1"/>
    <col min="2" max="2" width="14.08203125" style="59" bestFit="1" customWidth="1"/>
    <col min="3" max="3" width="9.9140625" style="59" bestFit="1" customWidth="1"/>
    <col min="4" max="4" width="65.6640625" style="59" hidden="1" customWidth="1"/>
    <col min="5" max="5" width="73.6640625" style="59" hidden="1" customWidth="1"/>
    <col min="6" max="6" width="86" style="59" hidden="1" customWidth="1"/>
    <col min="7" max="7" width="11" style="59" customWidth="1"/>
    <col min="8" max="16384" width="9" style="59"/>
  </cols>
  <sheetData>
    <row r="27" spans="1:7" hidden="1">
      <c r="A27" s="991" t="s">
        <v>20</v>
      </c>
      <c r="B27" s="992" t="s">
        <v>1915</v>
      </c>
    </row>
    <row r="28" spans="1:7" hidden="1"/>
    <row r="29" spans="1:7" s="99" customFormat="1" ht="31" hidden="1">
      <c r="A29" s="1034" t="s">
        <v>22</v>
      </c>
      <c r="B29" s="1034" t="s">
        <v>23</v>
      </c>
      <c r="C29" s="999" t="s">
        <v>1985</v>
      </c>
      <c r="D29" s="992" t="s">
        <v>2867</v>
      </c>
      <c r="E29" s="992" t="s">
        <v>2866</v>
      </c>
      <c r="F29" s="992" t="s">
        <v>2865</v>
      </c>
      <c r="G29"/>
    </row>
    <row r="30" spans="1:7" hidden="1">
      <c r="A30" s="992" t="s">
        <v>39</v>
      </c>
      <c r="B30" s="992" t="s">
        <v>198</v>
      </c>
      <c r="C30" s="993">
        <v>27171</v>
      </c>
      <c r="D30" s="993">
        <v>16420</v>
      </c>
      <c r="E30" s="993">
        <v>15746</v>
      </c>
      <c r="F30" s="993">
        <v>23966</v>
      </c>
      <c r="G30"/>
    </row>
    <row r="31" spans="1:7" hidden="1">
      <c r="A31" s="992"/>
      <c r="B31" s="992" t="s">
        <v>149</v>
      </c>
      <c r="C31" s="993">
        <v>8958</v>
      </c>
      <c r="D31" s="993">
        <v>5655</v>
      </c>
      <c r="E31" s="993">
        <v>8087</v>
      </c>
      <c r="F31" s="993">
        <v>799.99999999999989</v>
      </c>
      <c r="G31"/>
    </row>
    <row r="32" spans="1:7" hidden="1">
      <c r="A32" s="992"/>
      <c r="B32" s="992" t="s">
        <v>151</v>
      </c>
      <c r="C32" s="993">
        <v>12942</v>
      </c>
      <c r="D32" s="993">
        <v>11718</v>
      </c>
      <c r="E32" s="993">
        <v>11278</v>
      </c>
      <c r="F32" s="993">
        <v>8940.6681481481482</v>
      </c>
      <c r="G32"/>
    </row>
    <row r="33" spans="1:7" hidden="1">
      <c r="A33" s="992"/>
      <c r="B33" s="992" t="s">
        <v>40</v>
      </c>
      <c r="C33" s="993">
        <v>39861</v>
      </c>
      <c r="D33" s="993">
        <v>25364</v>
      </c>
      <c r="E33" s="993">
        <v>24862</v>
      </c>
      <c r="F33" s="993">
        <v>21591</v>
      </c>
      <c r="G33"/>
    </row>
    <row r="34" spans="1:7" hidden="1">
      <c r="A34" s="992"/>
      <c r="B34" s="992" t="s">
        <v>155</v>
      </c>
      <c r="C34" s="993">
        <v>4482</v>
      </c>
      <c r="D34" s="993">
        <v>4386</v>
      </c>
      <c r="E34" s="993">
        <v>3127</v>
      </c>
      <c r="F34" s="993">
        <v>4164</v>
      </c>
      <c r="G34"/>
    </row>
    <row r="35" spans="1:7" hidden="1">
      <c r="A35" s="992"/>
      <c r="B35" s="992" t="s">
        <v>160</v>
      </c>
      <c r="C35" s="993">
        <v>1410</v>
      </c>
      <c r="D35" s="993">
        <v>495</v>
      </c>
      <c r="E35" s="993">
        <v>577</v>
      </c>
      <c r="F35" s="993">
        <v>495</v>
      </c>
      <c r="G35"/>
    </row>
    <row r="36" spans="1:7" hidden="1">
      <c r="A36" s="992"/>
      <c r="B36" s="992" t="s">
        <v>208</v>
      </c>
      <c r="C36" s="993">
        <v>86004</v>
      </c>
      <c r="D36" s="993">
        <v>51128</v>
      </c>
      <c r="E36" s="993">
        <v>41865</v>
      </c>
      <c r="F36" s="993">
        <v>38651.866666666661</v>
      </c>
      <c r="G36"/>
    </row>
    <row r="37" spans="1:7" hidden="1">
      <c r="A37" s="992"/>
      <c r="B37" s="992" t="s">
        <v>162</v>
      </c>
      <c r="C37" s="993">
        <v>32840</v>
      </c>
      <c r="D37" s="993">
        <v>25188</v>
      </c>
      <c r="E37" s="993">
        <v>23450</v>
      </c>
      <c r="F37" s="993">
        <v>28175.222222222223</v>
      </c>
      <c r="G37"/>
    </row>
    <row r="38" spans="1:7" hidden="1">
      <c r="A38" s="992"/>
      <c r="B38" s="992" t="s">
        <v>176</v>
      </c>
      <c r="C38" s="993">
        <v>1260</v>
      </c>
      <c r="D38" s="993">
        <v>867</v>
      </c>
      <c r="E38" s="993">
        <v>720</v>
      </c>
      <c r="F38" s="993">
        <v>867</v>
      </c>
      <c r="G38"/>
    </row>
    <row r="39" spans="1:7" hidden="1">
      <c r="A39" s="992"/>
      <c r="B39" s="992" t="s">
        <v>217</v>
      </c>
      <c r="C39" s="993">
        <v>8182</v>
      </c>
      <c r="D39" s="993">
        <v>974</v>
      </c>
      <c r="E39" s="993">
        <v>1780</v>
      </c>
      <c r="F39" s="993">
        <v>5257</v>
      </c>
      <c r="G39"/>
    </row>
    <row r="40" spans="1:7" hidden="1">
      <c r="A40" s="992"/>
      <c r="B40" s="992" t="s">
        <v>187</v>
      </c>
      <c r="C40" s="993">
        <v>3132</v>
      </c>
      <c r="D40" s="993">
        <v>2616</v>
      </c>
      <c r="E40" s="993">
        <v>2616</v>
      </c>
      <c r="F40" s="993">
        <v>266.66666666666669</v>
      </c>
      <c r="G40"/>
    </row>
    <row r="41" spans="1:7" hidden="1">
      <c r="A41" s="992"/>
      <c r="B41" s="992" t="s">
        <v>1148</v>
      </c>
      <c r="C41" s="993">
        <v>3531</v>
      </c>
      <c r="D41" s="993">
        <v>120</v>
      </c>
      <c r="E41" s="993">
        <v>880</v>
      </c>
      <c r="F41" s="993">
        <v>1483.3333333333333</v>
      </c>
      <c r="G41"/>
    </row>
    <row r="42" spans="1:7" hidden="1">
      <c r="A42" s="992"/>
      <c r="B42" s="992" t="s">
        <v>145</v>
      </c>
      <c r="C42" s="993">
        <v>83129</v>
      </c>
      <c r="D42" s="993">
        <v>48345</v>
      </c>
      <c r="E42" s="993">
        <v>57109</v>
      </c>
      <c r="F42" s="993">
        <v>33149.600000000006</v>
      </c>
      <c r="G42"/>
    </row>
    <row r="43" spans="1:7" hidden="1">
      <c r="A43" s="992" t="s">
        <v>1930</v>
      </c>
      <c r="B43" s="992"/>
      <c r="C43" s="993">
        <v>312902</v>
      </c>
      <c r="D43" s="993">
        <v>193276</v>
      </c>
      <c r="E43" s="993">
        <v>192097</v>
      </c>
      <c r="F43" s="993">
        <v>167807.35703703703</v>
      </c>
      <c r="G43"/>
    </row>
    <row r="44" spans="1:7" hidden="1">
      <c r="A44" s="992" t="s">
        <v>711</v>
      </c>
      <c r="B44" s="992" t="s">
        <v>730</v>
      </c>
      <c r="C44" s="993">
        <v>1095</v>
      </c>
      <c r="D44" s="993">
        <v>1095</v>
      </c>
      <c r="E44" s="993">
        <v>1095</v>
      </c>
      <c r="F44" s="993">
        <v>1095</v>
      </c>
      <c r="G44"/>
    </row>
    <row r="45" spans="1:7" hidden="1">
      <c r="A45" s="992"/>
      <c r="B45" s="992" t="s">
        <v>752</v>
      </c>
      <c r="C45" s="993">
        <v>360</v>
      </c>
      <c r="D45" s="993">
        <v>0</v>
      </c>
      <c r="E45" s="993">
        <v>0</v>
      </c>
      <c r="F45" s="993">
        <v>0</v>
      </c>
      <c r="G45"/>
    </row>
    <row r="46" spans="1:7" hidden="1">
      <c r="A46" s="992"/>
      <c r="B46" s="992" t="s">
        <v>715</v>
      </c>
      <c r="C46" s="993">
        <v>15453</v>
      </c>
      <c r="D46" s="993">
        <v>13554</v>
      </c>
      <c r="E46" s="993">
        <v>13130</v>
      </c>
      <c r="F46" s="993">
        <v>10680.666666666666</v>
      </c>
      <c r="G46"/>
    </row>
    <row r="47" spans="1:7" hidden="1">
      <c r="A47" s="992"/>
      <c r="B47" s="992" t="s">
        <v>1267</v>
      </c>
      <c r="C47" s="993">
        <v>285</v>
      </c>
      <c r="D47" s="993">
        <v>190</v>
      </c>
      <c r="E47" s="993">
        <v>285</v>
      </c>
      <c r="F47" s="993">
        <v>95</v>
      </c>
      <c r="G47"/>
    </row>
    <row r="48" spans="1:7" hidden="1">
      <c r="A48" s="992"/>
      <c r="B48" s="992" t="s">
        <v>718</v>
      </c>
      <c r="C48" s="993">
        <v>1044</v>
      </c>
      <c r="D48" s="993">
        <v>1044</v>
      </c>
      <c r="E48" s="993">
        <v>894</v>
      </c>
      <c r="F48" s="993">
        <v>1044</v>
      </c>
      <c r="G48"/>
    </row>
    <row r="49" spans="1:7" hidden="1">
      <c r="A49" s="992"/>
      <c r="B49" s="992" t="s">
        <v>721</v>
      </c>
      <c r="C49" s="993">
        <v>2001</v>
      </c>
      <c r="D49" s="993">
        <v>2001</v>
      </c>
      <c r="E49" s="993">
        <v>2001</v>
      </c>
      <c r="F49" s="993">
        <v>1448</v>
      </c>
      <c r="G49"/>
    </row>
    <row r="50" spans="1:7" hidden="1">
      <c r="A50" s="992"/>
      <c r="B50" s="992" t="s">
        <v>712</v>
      </c>
      <c r="C50" s="993">
        <v>5979</v>
      </c>
      <c r="D50" s="993">
        <v>3225</v>
      </c>
      <c r="E50" s="993">
        <v>3976</v>
      </c>
      <c r="F50" s="993">
        <v>4080.333333333333</v>
      </c>
      <c r="G50"/>
    </row>
    <row r="51" spans="1:7" hidden="1">
      <c r="A51" s="992"/>
      <c r="B51" s="992" t="s">
        <v>732</v>
      </c>
      <c r="C51" s="993">
        <v>1785</v>
      </c>
      <c r="D51" s="993">
        <v>1751</v>
      </c>
      <c r="E51" s="993">
        <v>1782</v>
      </c>
      <c r="F51" s="993">
        <v>1636.6666666666667</v>
      </c>
      <c r="G51"/>
    </row>
    <row r="52" spans="1:7" hidden="1">
      <c r="A52" s="992"/>
      <c r="B52" s="992" t="s">
        <v>1285</v>
      </c>
      <c r="C52" s="993">
        <v>159</v>
      </c>
      <c r="D52" s="993">
        <v>53</v>
      </c>
      <c r="E52" s="993">
        <v>0</v>
      </c>
      <c r="F52" s="993">
        <v>0</v>
      </c>
      <c r="G52"/>
    </row>
    <row r="53" spans="1:7" hidden="1">
      <c r="A53" s="992" t="s">
        <v>2819</v>
      </c>
      <c r="B53" s="992"/>
      <c r="C53" s="993">
        <v>28161</v>
      </c>
      <c r="D53" s="993">
        <v>22913</v>
      </c>
      <c r="E53" s="993">
        <v>23163</v>
      </c>
      <c r="F53" s="993">
        <v>20079.666666666668</v>
      </c>
      <c r="G53"/>
    </row>
    <row r="54" spans="1:7" hidden="1">
      <c r="A54" s="992" t="s">
        <v>1662</v>
      </c>
      <c r="B54" s="992"/>
      <c r="C54" s="993">
        <v>341063</v>
      </c>
      <c r="D54" s="993">
        <v>216189</v>
      </c>
      <c r="E54" s="993">
        <v>215260</v>
      </c>
      <c r="F54" s="993">
        <v>187887.02370370369</v>
      </c>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72"/>
  <sheetViews>
    <sheetView showGridLines="0" tabSelected="1" view="pageBreakPreview" zoomScale="80" zoomScaleNormal="60" zoomScaleSheetLayoutView="80" workbookViewId="0">
      <selection activeCell="B1" sqref="B1:T1"/>
    </sheetView>
  </sheetViews>
  <sheetFormatPr defaultColWidth="9" defaultRowHeight="13"/>
  <cols>
    <col min="1" max="1" width="1.1640625" style="17" customWidth="1"/>
    <col min="2" max="2" width="14.83203125" style="17" customWidth="1"/>
    <col min="3" max="3" width="20.6640625" style="17" customWidth="1"/>
    <col min="4" max="4" width="9.08203125" style="17" customWidth="1"/>
    <col min="5" max="5" width="13.08203125" style="17" customWidth="1"/>
    <col min="6" max="6" width="11.33203125" style="17" customWidth="1"/>
    <col min="7" max="7" width="12.08203125" style="17" customWidth="1"/>
    <col min="8" max="8" width="12.16406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124" t="s">
        <v>3661</v>
      </c>
      <c r="C1" s="1124"/>
      <c r="D1" s="1124"/>
      <c r="E1" s="1124"/>
      <c r="F1" s="1124"/>
      <c r="G1" s="1124"/>
      <c r="H1" s="1124"/>
      <c r="I1" s="1124"/>
      <c r="J1" s="1124"/>
      <c r="K1" s="1124"/>
      <c r="L1" s="1124"/>
      <c r="M1" s="1124"/>
      <c r="N1" s="1124"/>
      <c r="O1" s="1124"/>
      <c r="P1" s="1124"/>
      <c r="Q1" s="1124"/>
      <c r="R1" s="1124"/>
      <c r="S1" s="1124"/>
      <c r="T1" s="1124"/>
      <c r="U1" s="180"/>
      <c r="V1" s="180"/>
      <c r="W1" s="180"/>
      <c r="X1" s="180"/>
      <c r="Y1" s="180"/>
      <c r="Z1" s="180"/>
      <c r="AA1" s="180"/>
      <c r="AB1" s="180"/>
      <c r="AC1" s="180"/>
      <c r="AD1" s="180"/>
      <c r="AE1" s="180"/>
      <c r="AF1" s="180"/>
    </row>
    <row r="26" ht="20.25" customHeight="1"/>
    <row r="29" ht="20.25" customHeight="1"/>
    <row r="31" ht="29.25" customHeight="1"/>
    <row r="44" spans="2:25" ht="15.75" customHeight="1"/>
    <row r="45" spans="2:25" ht="18" customHeight="1"/>
    <row r="46" spans="2:25" ht="15.5">
      <c r="V46" s="468"/>
      <c r="W46" s="468"/>
      <c r="X46" s="468"/>
      <c r="Y46" s="468"/>
    </row>
    <row r="47" spans="2:25" ht="15.5">
      <c r="V47" s="468"/>
      <c r="W47" s="468"/>
      <c r="X47" s="468"/>
      <c r="Y47" s="468"/>
    </row>
    <row r="48" spans="2:25" ht="39" customHeight="1">
      <c r="B48" s="189" t="s">
        <v>3294</v>
      </c>
      <c r="C48" s="189" t="s">
        <v>1951</v>
      </c>
      <c r="D48" s="962" t="s">
        <v>3655</v>
      </c>
      <c r="E48" s="956" t="s">
        <v>1928</v>
      </c>
      <c r="F48" s="956" t="s">
        <v>1952</v>
      </c>
      <c r="G48" s="956" t="s">
        <v>1953</v>
      </c>
      <c r="H48" s="956" t="s">
        <v>1954</v>
      </c>
      <c r="X48" s="468"/>
      <c r="Y48" s="468"/>
    </row>
    <row r="49" spans="1:27" ht="18.75" customHeight="1">
      <c r="A49" s="847"/>
      <c r="B49" s="164" t="s">
        <v>198</v>
      </c>
      <c r="C49" s="163" t="s">
        <v>3116</v>
      </c>
      <c r="D49" s="963">
        <v>11</v>
      </c>
      <c r="E49" s="957">
        <v>8001</v>
      </c>
      <c r="F49" s="958">
        <v>1.6372953380827449E-2</v>
      </c>
      <c r="G49" s="958">
        <v>0.36095488063991998</v>
      </c>
      <c r="H49" s="959">
        <v>0.27609048868891384</v>
      </c>
      <c r="Y49" s="468"/>
    </row>
    <row r="50" spans="1:27" ht="18.75" customHeight="1">
      <c r="A50" s="848"/>
      <c r="B50" s="196" t="s">
        <v>149</v>
      </c>
      <c r="C50" s="197" t="s">
        <v>3117</v>
      </c>
      <c r="D50" s="963">
        <v>5</v>
      </c>
      <c r="E50" s="957">
        <v>2999</v>
      </c>
      <c r="F50" s="958">
        <v>0.91108147160164499</v>
      </c>
      <c r="G50" s="958">
        <v>6.5688562854284815E-2</v>
      </c>
      <c r="H50" s="960">
        <v>0.36712237412470827</v>
      </c>
      <c r="Y50" s="468"/>
    </row>
    <row r="51" spans="1:27" ht="18.75" customHeight="1">
      <c r="A51" s="847"/>
      <c r="B51" s="196" t="s">
        <v>151</v>
      </c>
      <c r="C51" s="197" t="s">
        <v>3117</v>
      </c>
      <c r="D51" s="963">
        <v>21</v>
      </c>
      <c r="E51" s="957">
        <v>3920</v>
      </c>
      <c r="F51" s="958">
        <v>0.23069727891156455</v>
      </c>
      <c r="G51" s="958">
        <v>2.9081632653061185E-2</v>
      </c>
      <c r="H51" s="960">
        <v>3.5714285714285587E-3</v>
      </c>
      <c r="Y51" s="468"/>
    </row>
    <row r="52" spans="1:27" ht="27.75" customHeight="1">
      <c r="A52" s="848"/>
      <c r="B52" s="196" t="s">
        <v>40</v>
      </c>
      <c r="C52" s="853" t="s">
        <v>3600</v>
      </c>
      <c r="D52" s="963">
        <v>10</v>
      </c>
      <c r="E52" s="957">
        <v>13067</v>
      </c>
      <c r="F52" s="958">
        <v>0.45511594091987451</v>
      </c>
      <c r="G52" s="958">
        <v>0.36014387388076829</v>
      </c>
      <c r="H52" s="960">
        <v>0.31422667789087011</v>
      </c>
      <c r="Y52" s="468"/>
    </row>
    <row r="53" spans="1:27" ht="18.75" customHeight="1">
      <c r="A53" s="847"/>
      <c r="B53" s="196" t="s">
        <v>155</v>
      </c>
      <c r="C53" s="197" t="s">
        <v>2163</v>
      </c>
      <c r="D53" s="963">
        <v>8</v>
      </c>
      <c r="E53" s="957">
        <v>1462</v>
      </c>
      <c r="F53" s="958">
        <v>5.0615595075239384E-2</v>
      </c>
      <c r="G53" s="958">
        <v>0.22435020519835847</v>
      </c>
      <c r="H53" s="960">
        <v>0</v>
      </c>
      <c r="Y53" s="468"/>
    </row>
    <row r="54" spans="1:27" ht="18.75" customHeight="1">
      <c r="A54" s="848"/>
      <c r="B54" s="196" t="s">
        <v>160</v>
      </c>
      <c r="C54" s="197" t="s">
        <v>2163</v>
      </c>
      <c r="D54" s="963">
        <v>3</v>
      </c>
      <c r="E54" s="957">
        <v>286</v>
      </c>
      <c r="F54" s="958">
        <v>0.42307692307692313</v>
      </c>
      <c r="G54" s="958">
        <v>0.46853146853146854</v>
      </c>
      <c r="H54" s="960">
        <v>0.42307692307692313</v>
      </c>
      <c r="Y54" s="468"/>
    </row>
    <row r="55" spans="1:27" ht="18.75" customHeight="1">
      <c r="A55" s="847"/>
      <c r="B55" s="196" t="s">
        <v>208</v>
      </c>
      <c r="C55" s="197" t="s">
        <v>3050</v>
      </c>
      <c r="D55" s="963">
        <v>19</v>
      </c>
      <c r="E55" s="957">
        <v>26972</v>
      </c>
      <c r="F55" s="958">
        <v>0.54019229818577286</v>
      </c>
      <c r="G55" s="958">
        <v>0.4961070740026694</v>
      </c>
      <c r="H55" s="960">
        <v>0.31899747886697316</v>
      </c>
      <c r="Y55" s="468"/>
    </row>
    <row r="56" spans="1:27" ht="18.75" customHeight="1">
      <c r="A56" s="848"/>
      <c r="B56" s="196" t="s">
        <v>162</v>
      </c>
      <c r="C56" s="574" t="s">
        <v>3117</v>
      </c>
      <c r="D56" s="963">
        <v>28</v>
      </c>
      <c r="E56" s="957">
        <v>10831</v>
      </c>
      <c r="F56" s="958">
        <v>7.8109131197488635E-2</v>
      </c>
      <c r="G56" s="958">
        <v>0.21604653309943678</v>
      </c>
      <c r="H56" s="960">
        <v>0.22417135998522764</v>
      </c>
      <c r="Y56" s="468"/>
    </row>
    <row r="57" spans="1:27" ht="18.75" customHeight="1">
      <c r="A57" s="847"/>
      <c r="B57" s="196" t="s">
        <v>176</v>
      </c>
      <c r="C57" s="197" t="s">
        <v>3154</v>
      </c>
      <c r="D57" s="963">
        <v>1</v>
      </c>
      <c r="E57" s="957">
        <v>289</v>
      </c>
      <c r="F57" s="958">
        <v>0</v>
      </c>
      <c r="G57" s="958">
        <v>0.16955017301038067</v>
      </c>
      <c r="H57" s="960">
        <v>0</v>
      </c>
      <c r="Y57" s="468"/>
    </row>
    <row r="58" spans="1:27" ht="18.75" customHeight="1">
      <c r="A58" s="848"/>
      <c r="B58" s="196" t="s">
        <v>217</v>
      </c>
      <c r="C58" s="197" t="s">
        <v>1961</v>
      </c>
      <c r="D58" s="963">
        <v>6</v>
      </c>
      <c r="E58" s="957">
        <v>2859</v>
      </c>
      <c r="F58" s="958">
        <v>0.3410283315844701</v>
      </c>
      <c r="G58" s="958">
        <v>0.8111227701993704</v>
      </c>
      <c r="H58" s="960">
        <v>0.82966072053165441</v>
      </c>
      <c r="Y58" s="468"/>
    </row>
    <row r="59" spans="1:27" ht="18.75" customHeight="1">
      <c r="A59" s="847"/>
      <c r="B59" s="196" t="s">
        <v>187</v>
      </c>
      <c r="C59" s="197" t="s">
        <v>3154</v>
      </c>
      <c r="D59" s="963">
        <v>2</v>
      </c>
      <c r="E59" s="957">
        <v>872</v>
      </c>
      <c r="F59" s="958">
        <v>0.84709480122324154</v>
      </c>
      <c r="G59" s="958">
        <v>0</v>
      </c>
      <c r="H59" s="960">
        <v>0</v>
      </c>
      <c r="Y59" s="468"/>
    </row>
    <row r="60" spans="1:27" ht="18.75" customHeight="1">
      <c r="A60" s="849"/>
      <c r="B60" s="850" t="s">
        <v>1148</v>
      </c>
      <c r="C60" s="197" t="s">
        <v>38</v>
      </c>
      <c r="D60" s="963">
        <v>2</v>
      </c>
      <c r="E60" s="957">
        <v>950</v>
      </c>
      <c r="F60" s="958">
        <v>0.2192982456140351</v>
      </c>
      <c r="G60" s="958">
        <v>0.5368421052631579</v>
      </c>
      <c r="H60" s="959">
        <v>0.93684210526315792</v>
      </c>
      <c r="Y60" s="468"/>
    </row>
    <row r="61" spans="1:27" ht="18.75" customHeight="1" thickBot="1">
      <c r="A61" s="848"/>
      <c r="B61" s="196" t="s">
        <v>145</v>
      </c>
      <c r="C61" s="197" t="s">
        <v>2164</v>
      </c>
      <c r="D61" s="963">
        <v>25</v>
      </c>
      <c r="E61" s="957">
        <v>25781</v>
      </c>
      <c r="F61" s="958">
        <v>0.53997618113827728</v>
      </c>
      <c r="G61" s="958">
        <v>0.28330941390946818</v>
      </c>
      <c r="H61" s="960">
        <v>0.22423490167177373</v>
      </c>
      <c r="Y61" s="468"/>
    </row>
    <row r="62" spans="1:27" ht="18.75" customHeight="1" thickTop="1">
      <c r="A62" s="847"/>
      <c r="B62" s="191" t="s">
        <v>1929</v>
      </c>
      <c r="C62" s="195" t="s">
        <v>1960</v>
      </c>
      <c r="D62" s="198">
        <v>141</v>
      </c>
      <c r="E62" s="198">
        <v>98289</v>
      </c>
      <c r="F62" s="192">
        <v>0.41885520515275643</v>
      </c>
      <c r="G62" s="192">
        <v>0.34866566960697531</v>
      </c>
      <c r="H62" s="961">
        <v>0.28106909216697695</v>
      </c>
      <c r="Y62" s="468"/>
    </row>
    <row r="63" spans="1:27" ht="11" customHeight="1">
      <c r="V63" s="468"/>
      <c r="W63" s="468"/>
      <c r="X63" s="468"/>
      <c r="Y63" s="468"/>
    </row>
    <row r="64" spans="1:27" ht="39.5" thickBot="1">
      <c r="B64" s="929" t="s">
        <v>3296</v>
      </c>
      <c r="C64" s="930" t="s">
        <v>1951</v>
      </c>
      <c r="D64" s="964" t="s">
        <v>3656</v>
      </c>
      <c r="E64" s="966" t="s">
        <v>1928</v>
      </c>
      <c r="F64" s="966" t="s">
        <v>1952</v>
      </c>
      <c r="G64" s="966" t="s">
        <v>1953</v>
      </c>
      <c r="H64" s="966" t="s">
        <v>1954</v>
      </c>
      <c r="Y64"/>
      <c r="Z64"/>
      <c r="AA64"/>
    </row>
    <row r="65" spans="2:27" ht="15.5">
      <c r="B65" s="934" t="s">
        <v>784</v>
      </c>
      <c r="C65" s="931" t="s">
        <v>3388</v>
      </c>
      <c r="D65" s="965">
        <v>13</v>
      </c>
      <c r="E65" s="965">
        <v>3464</v>
      </c>
      <c r="F65" s="967">
        <v>0.12846420323325636</v>
      </c>
      <c r="G65" s="967">
        <v>0.76847575057736717</v>
      </c>
      <c r="H65" s="935">
        <v>0.78637413394919164</v>
      </c>
      <c r="Y65"/>
      <c r="Z65"/>
      <c r="AA65"/>
    </row>
    <row r="66" spans="2:27" ht="15.5">
      <c r="B66" s="934" t="s">
        <v>162</v>
      </c>
      <c r="C66" s="931" t="s">
        <v>3021</v>
      </c>
      <c r="D66" s="932">
        <v>1</v>
      </c>
      <c r="E66" s="932">
        <v>482</v>
      </c>
      <c r="F66" s="933">
        <v>0</v>
      </c>
      <c r="G66" s="933">
        <v>0.37759336099585061</v>
      </c>
      <c r="H66" s="935">
        <v>0.94398340248962653</v>
      </c>
      <c r="Y66"/>
      <c r="Z66"/>
      <c r="AA66"/>
    </row>
    <row r="67" spans="2:27" ht="15.5">
      <c r="B67" s="934" t="s">
        <v>187</v>
      </c>
      <c r="C67" s="931" t="s">
        <v>3388</v>
      </c>
      <c r="D67" s="932">
        <v>14</v>
      </c>
      <c r="E67" s="932">
        <v>2467</v>
      </c>
      <c r="F67" s="933">
        <v>9.6068098905553345E-2</v>
      </c>
      <c r="G67" s="933">
        <v>0.85326307255776246</v>
      </c>
      <c r="H67" s="935">
        <v>0.66112687474665588</v>
      </c>
      <c r="Y67" s="468"/>
      <c r="Z67" s="468"/>
      <c r="AA67" s="468"/>
    </row>
    <row r="68" spans="2:27" ht="16" thickBot="1">
      <c r="B68" s="936" t="s">
        <v>145</v>
      </c>
      <c r="C68" s="937" t="s">
        <v>3021</v>
      </c>
      <c r="D68" s="938">
        <v>20</v>
      </c>
      <c r="E68" s="938">
        <v>5042</v>
      </c>
      <c r="F68" s="939">
        <v>0.55156683855612854</v>
      </c>
      <c r="G68" s="939">
        <v>0.61840539468464895</v>
      </c>
      <c r="H68" s="940">
        <v>0.93970646568821892</v>
      </c>
      <c r="Y68" s="468"/>
      <c r="Z68" s="468"/>
      <c r="AA68" s="468"/>
    </row>
    <row r="69" spans="2:27" ht="16" thickTop="1">
      <c r="B69" s="968" t="s">
        <v>1929</v>
      </c>
      <c r="C69" s="969"/>
      <c r="D69" s="970">
        <v>48</v>
      </c>
      <c r="E69" s="970">
        <v>11455</v>
      </c>
      <c r="F69" s="971">
        <v>0.30231340026189435</v>
      </c>
      <c r="G69" s="971">
        <v>0.70423395896988217</v>
      </c>
      <c r="H69" s="972">
        <v>0.83352247926669576</v>
      </c>
      <c r="Y69"/>
      <c r="Z69"/>
      <c r="AA69"/>
    </row>
    <row r="70" spans="2:27" ht="15.5">
      <c r="B70"/>
      <c r="C70"/>
      <c r="Y70"/>
      <c r="Z70"/>
      <c r="AA70"/>
    </row>
    <row r="71" spans="2:27" ht="15.5">
      <c r="B71"/>
      <c r="C71"/>
      <c r="Y71"/>
      <c r="Z71"/>
      <c r="AA71"/>
    </row>
    <row r="72" spans="2:27" ht="15.5">
      <c r="B72"/>
      <c r="C72"/>
      <c r="Y72"/>
      <c r="Z72"/>
      <c r="AA72"/>
    </row>
    <row r="73" spans="2:27" ht="15.5">
      <c r="B73"/>
      <c r="C73"/>
      <c r="Y73"/>
      <c r="Z73"/>
      <c r="AA73"/>
    </row>
    <row r="74" spans="2:27" ht="15.5">
      <c r="B74"/>
      <c r="C74"/>
      <c r="Y74"/>
      <c r="Z74"/>
      <c r="AA74"/>
    </row>
    <row r="75" spans="2:27" ht="15.5">
      <c r="B75"/>
      <c r="C75"/>
      <c r="Y75"/>
      <c r="Z75"/>
      <c r="AA75"/>
    </row>
    <row r="76" spans="2:27" ht="15.5">
      <c r="B76"/>
      <c r="C76"/>
      <c r="Y76"/>
      <c r="Z76"/>
      <c r="AA76"/>
    </row>
    <row r="77" spans="2:27" ht="15.5">
      <c r="B77"/>
      <c r="C77"/>
      <c r="Y77"/>
      <c r="Z77"/>
      <c r="AA77"/>
    </row>
    <row r="78" spans="2:27" ht="15.5">
      <c r="B78"/>
      <c r="C78"/>
      <c r="Y78"/>
      <c r="Z78"/>
      <c r="AA78"/>
    </row>
    <row r="79" spans="2:27" ht="15.5">
      <c r="Y79"/>
      <c r="Z79"/>
      <c r="AA79"/>
    </row>
    <row r="80" spans="2:27" ht="15.5">
      <c r="Y80"/>
      <c r="Z80"/>
      <c r="AA80"/>
    </row>
    <row r="81" spans="25:27" ht="15.5">
      <c r="Y81"/>
      <c r="Z81"/>
      <c r="AA81"/>
    </row>
    <row r="82" spans="25:27" ht="15.5">
      <c r="Y82"/>
      <c r="Z82"/>
      <c r="AA82"/>
    </row>
    <row r="83" spans="25:27" ht="15.5">
      <c r="Y83"/>
      <c r="Z83"/>
      <c r="AA83"/>
    </row>
    <row r="84" spans="25:27" ht="15.5">
      <c r="Y84"/>
      <c r="Z84"/>
      <c r="AA84"/>
    </row>
    <row r="85" spans="25:27" ht="15.5">
      <c r="Y85"/>
      <c r="Z85"/>
      <c r="AA85"/>
    </row>
    <row r="86" spans="25:27" ht="15.5">
      <c r="Y86"/>
      <c r="Z86"/>
      <c r="AA86"/>
    </row>
    <row r="87" spans="25:27" ht="15.5">
      <c r="Y87"/>
      <c r="Z87"/>
      <c r="AA87"/>
    </row>
    <row r="88" spans="25:27" ht="15.5">
      <c r="Y88"/>
      <c r="Z88"/>
      <c r="AA88"/>
    </row>
    <row r="89" spans="25:27" ht="15.5">
      <c r="Y89"/>
      <c r="Z89"/>
      <c r="AA89"/>
    </row>
    <row r="90" spans="25:27" ht="15.5">
      <c r="Y90"/>
      <c r="Z90"/>
      <c r="AA90"/>
    </row>
    <row r="91" spans="25:27" ht="15.5">
      <c r="Y91"/>
      <c r="Z91"/>
      <c r="AA91"/>
    </row>
    <row r="92" spans="25:27" ht="15.5">
      <c r="Y92"/>
      <c r="Z92"/>
      <c r="AA92"/>
    </row>
    <row r="93" spans="25:27" ht="15.5">
      <c r="Y93"/>
      <c r="Z93"/>
      <c r="AA93"/>
    </row>
    <row r="94" spans="25:27" ht="15.5">
      <c r="Y94"/>
      <c r="Z94"/>
      <c r="AA94"/>
    </row>
    <row r="95" spans="25:27" ht="15.5">
      <c r="Y95"/>
      <c r="Z95"/>
      <c r="AA95"/>
    </row>
    <row r="96" spans="25:27" ht="15.5">
      <c r="Y96"/>
      <c r="Z96"/>
      <c r="AA96"/>
    </row>
    <row r="97" spans="25:27" ht="15.5">
      <c r="Y97"/>
      <c r="Z97"/>
      <c r="AA97"/>
    </row>
    <row r="98" spans="25:27" ht="15.5">
      <c r="Y98"/>
      <c r="Z98"/>
      <c r="AA98"/>
    </row>
    <row r="99" spans="25:27" ht="15.5">
      <c r="Y99"/>
      <c r="Z99"/>
      <c r="AA99"/>
    </row>
    <row r="100" spans="25:27" ht="15.5">
      <c r="Y100"/>
      <c r="Z100"/>
      <c r="AA100"/>
    </row>
    <row r="101" spans="25:27" ht="15.5">
      <c r="Y101"/>
      <c r="Z101"/>
      <c r="AA101"/>
    </row>
    <row r="102" spans="25:27" ht="15.5">
      <c r="Y102"/>
      <c r="Z102"/>
      <c r="AA102"/>
    </row>
    <row r="103" spans="25:27" ht="15.5">
      <c r="Y103"/>
      <c r="Z103"/>
      <c r="AA103"/>
    </row>
    <row r="104" spans="25:27" ht="15.5">
      <c r="Y104"/>
      <c r="Z104"/>
      <c r="AA104"/>
    </row>
    <row r="105" spans="25:27" ht="15.5">
      <c r="Y105"/>
      <c r="Z105"/>
      <c r="AA105"/>
    </row>
    <row r="106" spans="25:27" ht="15.5">
      <c r="Y106"/>
      <c r="Z106"/>
      <c r="AA106"/>
    </row>
    <row r="107" spans="25:27" ht="15.5">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c r="AA131"/>
    </row>
    <row r="132" spans="25:27" ht="15.5">
      <c r="Y132"/>
      <c r="Z132"/>
      <c r="AA132"/>
    </row>
    <row r="133" spans="25:27" ht="15.5">
      <c r="Y133"/>
      <c r="Z133"/>
      <c r="AA133"/>
    </row>
    <row r="134" spans="25:27" ht="15.5">
      <c r="Y134"/>
      <c r="Z134"/>
      <c r="AA134"/>
    </row>
    <row r="135" spans="25:27" ht="15.5">
      <c r="Y135"/>
      <c r="Z135"/>
      <c r="AA135"/>
    </row>
    <row r="136" spans="25:27" ht="15.5">
      <c r="Y136"/>
      <c r="Z136"/>
      <c r="AA136"/>
    </row>
    <row r="137" spans="25:27" ht="15.5">
      <c r="Y137"/>
      <c r="Z137"/>
      <c r="AA137"/>
    </row>
    <row r="138" spans="25:27" ht="15.5">
      <c r="Y138"/>
      <c r="Z138"/>
    </row>
    <row r="139" spans="25:27" ht="15.5">
      <c r="Y139"/>
      <c r="Z139"/>
    </row>
    <row r="140" spans="25:27" ht="15.5">
      <c r="Y140"/>
      <c r="Z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row r="166" spans="25:26" ht="15.5">
      <c r="Y166"/>
      <c r="Z166"/>
    </row>
    <row r="167" spans="25:26" ht="15.5">
      <c r="Y167"/>
      <c r="Z167"/>
    </row>
    <row r="168" spans="25:26" ht="15.5">
      <c r="Y168"/>
      <c r="Z168"/>
    </row>
    <row r="169" spans="25:26" ht="15.5">
      <c r="Y169"/>
      <c r="Z169"/>
    </row>
    <row r="170" spans="25:26" ht="15.5">
      <c r="Y170"/>
      <c r="Z170"/>
    </row>
    <row r="171" spans="25:26" ht="15.5">
      <c r="Y171"/>
      <c r="Z171"/>
    </row>
    <row r="172" spans="25:26" ht="15.5">
      <c r="Y172"/>
      <c r="Z172"/>
    </row>
  </sheetData>
  <mergeCells count="1">
    <mergeCell ref="B1:T1"/>
  </mergeCells>
  <conditionalFormatting sqref="F65:H69">
    <cfRule type="iconSet" priority="12343">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colBreaks count="2" manualBreakCount="2">
    <brk id="13" max="107" man="1"/>
    <brk id="17" max="107" man="1"/>
  </col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342"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F49:H62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3"/>
  <sheetViews>
    <sheetView showGridLines="0" view="pageBreakPreview" zoomScale="88" zoomScaleNormal="87" zoomScaleSheetLayoutView="88" workbookViewId="0">
      <selection activeCell="B1" sqref="B1:S1"/>
    </sheetView>
  </sheetViews>
  <sheetFormatPr defaultColWidth="9" defaultRowHeight="13"/>
  <cols>
    <col min="1" max="1" width="1.08203125" style="17" customWidth="1"/>
    <col min="2" max="2" width="18.33203125" style="17" customWidth="1"/>
    <col min="3" max="3" width="20.1640625" style="17" customWidth="1"/>
    <col min="4" max="4" width="8.4140625" style="17" customWidth="1"/>
    <col min="5" max="5" width="11.5" style="17" customWidth="1"/>
    <col min="6" max="6" width="13" style="17" customWidth="1"/>
    <col min="7" max="8" width="11"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124" t="s">
        <v>3660</v>
      </c>
      <c r="C1" s="1124"/>
      <c r="D1" s="1124"/>
      <c r="E1" s="1124"/>
      <c r="F1" s="1124"/>
      <c r="G1" s="1124"/>
      <c r="H1" s="1124"/>
      <c r="I1" s="1124"/>
      <c r="J1" s="1124"/>
      <c r="K1" s="1124"/>
      <c r="L1" s="1124"/>
      <c r="M1" s="1124"/>
      <c r="N1" s="1124"/>
      <c r="O1" s="1124"/>
      <c r="P1" s="1124"/>
      <c r="Q1" s="1124"/>
      <c r="R1" s="1124"/>
      <c r="S1" s="1124"/>
      <c r="T1" s="180"/>
      <c r="U1" s="180"/>
      <c r="V1" s="180"/>
      <c r="W1" s="180"/>
      <c r="X1" s="180"/>
      <c r="Y1" s="180"/>
      <c r="Z1" s="180"/>
      <c r="AA1" s="180"/>
      <c r="AB1" s="180"/>
      <c r="AC1" s="180"/>
      <c r="AD1" s="180"/>
      <c r="AE1" s="180"/>
      <c r="AF1" s="180"/>
    </row>
    <row r="9" spans="2:32" ht="18" customHeight="1"/>
    <row r="10" spans="2:32" ht="20.25" customHeight="1"/>
    <row r="27" ht="18" customHeight="1"/>
    <row r="28" ht="21.75" customHeight="1"/>
    <row r="29" ht="33" customHeight="1"/>
    <row r="30" ht="18" customHeight="1"/>
    <row r="31" ht="40.5" customHeight="1"/>
    <row r="32" ht="18.75" customHeight="1"/>
    <row r="33" spans="1:25" ht="18.75" customHeight="1">
      <c r="A33" s="85"/>
      <c r="D33" s="86"/>
    </row>
    <row r="34" spans="1:25" ht="18.75" customHeight="1">
      <c r="A34" s="85"/>
      <c r="D34" s="86"/>
    </row>
    <row r="35" spans="1:25" ht="18.75" customHeight="1">
      <c r="A35" s="85"/>
      <c r="D35" s="86"/>
    </row>
    <row r="36" spans="1:25" ht="36" customHeight="1">
      <c r="A36" s="85"/>
    </row>
    <row r="37" spans="1:25" ht="38.25" customHeight="1">
      <c r="A37" s="85"/>
      <c r="M37" s="85"/>
    </row>
    <row r="38" spans="1:25" ht="26.25" customHeight="1"/>
    <row r="39" spans="1:25" ht="26.25" customHeight="1"/>
    <row r="40" spans="1:25" ht="20.25" customHeight="1"/>
    <row r="41" spans="1:25" ht="15" customHeight="1"/>
    <row r="44" spans="1:25" ht="13.5" customHeight="1"/>
    <row r="45" spans="1:25" ht="31.5" customHeight="1"/>
    <row r="46" spans="1:25" ht="13.5" customHeight="1"/>
    <row r="47" spans="1:25" ht="36.75" customHeight="1">
      <c r="B47" s="857" t="s">
        <v>3294</v>
      </c>
      <c r="C47" s="858" t="s">
        <v>1951</v>
      </c>
      <c r="D47" s="962" t="s">
        <v>3655</v>
      </c>
      <c r="E47" s="962" t="s">
        <v>1928</v>
      </c>
      <c r="F47" s="962" t="s">
        <v>1952</v>
      </c>
      <c r="G47" s="962" t="s">
        <v>1953</v>
      </c>
      <c r="H47" s="962" t="s">
        <v>1954</v>
      </c>
      <c r="U47" s="190"/>
      <c r="V47"/>
      <c r="W47"/>
      <c r="X47"/>
      <c r="Y47"/>
    </row>
    <row r="48" spans="1:25" ht="21.75" customHeight="1">
      <c r="B48" s="854" t="s">
        <v>730</v>
      </c>
      <c r="C48" s="855" t="s">
        <v>195</v>
      </c>
      <c r="D48" s="973">
        <v>2</v>
      </c>
      <c r="E48" s="990">
        <v>365</v>
      </c>
      <c r="F48" s="974">
        <v>0</v>
      </c>
      <c r="G48" s="974">
        <v>0</v>
      </c>
      <c r="H48" s="975">
        <v>0</v>
      </c>
      <c r="U48" s="182"/>
      <c r="V48" s="468"/>
      <c r="W48" s="468"/>
      <c r="X48"/>
      <c r="Y48"/>
    </row>
    <row r="49" spans="2:25" ht="15.5">
      <c r="B49" s="854" t="s">
        <v>715</v>
      </c>
      <c r="C49" s="855" t="s">
        <v>195</v>
      </c>
      <c r="D49" s="973">
        <v>16</v>
      </c>
      <c r="E49" s="990">
        <v>5151</v>
      </c>
      <c r="F49" s="974">
        <v>0.61133760434867013</v>
      </c>
      <c r="G49" s="974">
        <v>8.0955154338963276E-2</v>
      </c>
      <c r="H49" s="975">
        <v>1.4560279557367495E-2</v>
      </c>
      <c r="U49" s="182"/>
      <c r="V49" s="468"/>
      <c r="W49" s="468"/>
      <c r="X49"/>
      <c r="Y49"/>
    </row>
    <row r="50" spans="2:25" ht="15.5">
      <c r="B50" s="854" t="s">
        <v>1267</v>
      </c>
      <c r="C50" s="855" t="s">
        <v>195</v>
      </c>
      <c r="D50" s="973">
        <v>1</v>
      </c>
      <c r="E50" s="990">
        <v>95</v>
      </c>
      <c r="F50" s="974">
        <v>0</v>
      </c>
      <c r="G50" s="974">
        <v>0</v>
      </c>
      <c r="H50" s="975">
        <v>0</v>
      </c>
      <c r="U50" s="182"/>
      <c r="V50" s="468"/>
      <c r="W50" s="468"/>
      <c r="X50"/>
      <c r="Y50"/>
    </row>
    <row r="51" spans="2:25" ht="15.5">
      <c r="B51" s="854" t="s">
        <v>718</v>
      </c>
      <c r="C51" s="855" t="s">
        <v>3293</v>
      </c>
      <c r="D51" s="973">
        <v>2</v>
      </c>
      <c r="E51" s="990">
        <v>304</v>
      </c>
      <c r="F51" s="974">
        <v>0</v>
      </c>
      <c r="G51" s="974">
        <v>0</v>
      </c>
      <c r="H51" s="975">
        <v>0</v>
      </c>
      <c r="U51" s="182"/>
      <c r="V51" s="468"/>
      <c r="W51" s="468"/>
      <c r="X51" s="468"/>
      <c r="Y51" s="468"/>
    </row>
    <row r="52" spans="2:25" ht="15.5">
      <c r="B52" s="854" t="s">
        <v>721</v>
      </c>
      <c r="C52" s="855" t="s">
        <v>195</v>
      </c>
      <c r="D52" s="973">
        <v>2</v>
      </c>
      <c r="E52" s="990">
        <v>667</v>
      </c>
      <c r="F52" s="974">
        <v>0.82908545727136429</v>
      </c>
      <c r="G52" s="974">
        <v>0</v>
      </c>
      <c r="H52" s="975">
        <v>0</v>
      </c>
      <c r="U52" s="182"/>
      <c r="V52" s="468"/>
      <c r="W52" s="468"/>
      <c r="X52" s="468"/>
      <c r="Y52" s="468"/>
    </row>
    <row r="53" spans="2:25" ht="15.5">
      <c r="B53" s="854" t="s">
        <v>712</v>
      </c>
      <c r="C53" s="855" t="s">
        <v>3293</v>
      </c>
      <c r="D53" s="973">
        <v>6</v>
      </c>
      <c r="E53" s="990">
        <v>2035</v>
      </c>
      <c r="F53" s="974">
        <v>0.44029484029484034</v>
      </c>
      <c r="G53" s="974">
        <v>0.34545454545454546</v>
      </c>
      <c r="H53" s="975">
        <v>0.45110565110565115</v>
      </c>
      <c r="U53" s="182"/>
      <c r="V53" s="468"/>
      <c r="W53" s="468"/>
      <c r="X53" s="468"/>
      <c r="Y53" s="468"/>
    </row>
    <row r="54" spans="2:25" ht="15.5">
      <c r="B54" s="854" t="s">
        <v>732</v>
      </c>
      <c r="C54" s="855" t="s">
        <v>195</v>
      </c>
      <c r="D54" s="973">
        <v>4</v>
      </c>
      <c r="E54" s="990">
        <v>583</v>
      </c>
      <c r="F54" s="974">
        <v>0.16180674671240702</v>
      </c>
      <c r="G54" s="974">
        <v>1.7152658662092923E-3</v>
      </c>
      <c r="H54" s="975">
        <v>0</v>
      </c>
      <c r="U54" s="182"/>
      <c r="V54" s="468"/>
      <c r="W54" s="468"/>
      <c r="X54"/>
      <c r="Y54"/>
    </row>
    <row r="55" spans="2:25" ht="16" thickBot="1">
      <c r="B55" s="854" t="s">
        <v>1285</v>
      </c>
      <c r="C55" s="855" t="s">
        <v>195</v>
      </c>
      <c r="D55" s="973">
        <v>1</v>
      </c>
      <c r="E55" s="990">
        <v>53</v>
      </c>
      <c r="F55" s="974">
        <v>1</v>
      </c>
      <c r="G55" s="974">
        <v>1</v>
      </c>
      <c r="H55" s="975">
        <v>0</v>
      </c>
      <c r="U55" s="182"/>
      <c r="V55" s="468"/>
      <c r="W55" s="468"/>
      <c r="X55" s="468"/>
      <c r="Y55" s="468"/>
    </row>
    <row r="56" spans="2:25" ht="29.25" customHeight="1" thickTop="1">
      <c r="B56" s="191" t="s">
        <v>1929</v>
      </c>
      <c r="C56" s="856" t="s">
        <v>1960</v>
      </c>
      <c r="D56" s="976">
        <v>34</v>
      </c>
      <c r="E56" s="194">
        <v>9253</v>
      </c>
      <c r="F56" s="192">
        <v>0.51284268165279734</v>
      </c>
      <c r="G56" s="192">
        <v>0.12687776937209549</v>
      </c>
      <c r="H56" s="193">
        <v>0.10731654598508589</v>
      </c>
      <c r="U56" s="182"/>
      <c r="V56" s="468"/>
      <c r="W56" s="468"/>
    </row>
    <row r="57" spans="2:25" ht="6.65" customHeight="1" thickBot="1">
      <c r="U57" s="182"/>
      <c r="V57" s="468"/>
      <c r="W57" s="468"/>
    </row>
    <row r="58" spans="2:25" ht="39.5" thickBot="1">
      <c r="B58" s="925" t="s">
        <v>3296</v>
      </c>
      <c r="C58" s="926" t="s">
        <v>1951</v>
      </c>
      <c r="D58" s="927" t="s">
        <v>3656</v>
      </c>
      <c r="E58" s="927" t="s">
        <v>1925</v>
      </c>
      <c r="F58" s="927" t="s">
        <v>3659</v>
      </c>
      <c r="G58" s="928" t="s">
        <v>3658</v>
      </c>
      <c r="H58" s="978" t="s">
        <v>3657</v>
      </c>
      <c r="U58" s="182"/>
      <c r="V58" s="468"/>
      <c r="W58"/>
      <c r="X58"/>
    </row>
    <row r="59" spans="2:25" ht="15.5">
      <c r="B59" s="941" t="s">
        <v>730</v>
      </c>
      <c r="C59" s="942" t="s">
        <v>3388</v>
      </c>
      <c r="D59" s="943">
        <v>3</v>
      </c>
      <c r="E59" s="986">
        <v>413</v>
      </c>
      <c r="F59" s="944">
        <v>0.58837772397094423</v>
      </c>
      <c r="G59" s="945">
        <v>0.22518159806295401</v>
      </c>
      <c r="H59" s="977">
        <v>0.44794188861985473</v>
      </c>
      <c r="U59" s="182"/>
      <c r="V59" s="468"/>
      <c r="W59"/>
      <c r="X59"/>
    </row>
    <row r="60" spans="2:25" ht="15.5">
      <c r="B60" s="946" t="s">
        <v>1267</v>
      </c>
      <c r="C60" s="947" t="s">
        <v>3654</v>
      </c>
      <c r="D60" s="948">
        <v>36</v>
      </c>
      <c r="E60" s="987">
        <v>9347</v>
      </c>
      <c r="F60" s="949">
        <v>0.97218358831710705</v>
      </c>
      <c r="G60" s="950">
        <v>0.86498341713918903</v>
      </c>
      <c r="H60" s="949">
        <v>0.91269926179522842</v>
      </c>
      <c r="U60" s="182"/>
      <c r="V60" s="468"/>
      <c r="W60"/>
      <c r="X60"/>
    </row>
    <row r="61" spans="2:25" ht="15.5">
      <c r="B61" s="946" t="s">
        <v>1269</v>
      </c>
      <c r="C61" s="947" t="s">
        <v>3038</v>
      </c>
      <c r="D61" s="948">
        <v>8</v>
      </c>
      <c r="E61" s="987">
        <v>5893</v>
      </c>
      <c r="F61" s="949">
        <v>0.55472594603767189</v>
      </c>
      <c r="G61" s="950">
        <v>0.8622094009842185</v>
      </c>
      <c r="H61" s="949">
        <v>1</v>
      </c>
      <c r="U61" s="182"/>
      <c r="V61" s="468"/>
      <c r="W61" s="468"/>
      <c r="X61" s="468"/>
    </row>
    <row r="62" spans="2:25" ht="15.5">
      <c r="B62" s="946" t="s">
        <v>718</v>
      </c>
      <c r="C62" s="947" t="s">
        <v>3653</v>
      </c>
      <c r="D62" s="948">
        <v>6</v>
      </c>
      <c r="E62" s="987">
        <v>2002</v>
      </c>
      <c r="F62" s="949">
        <v>1</v>
      </c>
      <c r="G62" s="950">
        <v>1</v>
      </c>
      <c r="H62" s="949">
        <v>1</v>
      </c>
      <c r="U62" s="182"/>
      <c r="V62" s="468"/>
      <c r="W62" s="468"/>
      <c r="X62" s="468"/>
    </row>
    <row r="63" spans="2:25" ht="16" thickBot="1">
      <c r="B63" s="951" t="s">
        <v>732</v>
      </c>
      <c r="C63" s="952" t="s">
        <v>3653</v>
      </c>
      <c r="D63" s="953">
        <v>9</v>
      </c>
      <c r="E63" s="988">
        <v>4373</v>
      </c>
      <c r="F63" s="954">
        <v>1</v>
      </c>
      <c r="G63" s="955">
        <v>1</v>
      </c>
      <c r="H63" s="949">
        <v>1</v>
      </c>
      <c r="V63"/>
      <c r="W63"/>
      <c r="X63"/>
    </row>
    <row r="64" spans="2:25" s="985" customFormat="1" ht="16" thickTop="1">
      <c r="B64" s="979" t="s">
        <v>1929</v>
      </c>
      <c r="C64" s="980"/>
      <c r="D64" s="981">
        <v>62</v>
      </c>
      <c r="E64" s="989">
        <v>22028</v>
      </c>
      <c r="F64" s="982">
        <v>0.86135827129108411</v>
      </c>
      <c r="G64" s="983">
        <v>0.89132013800617393</v>
      </c>
      <c r="H64" s="984">
        <v>0.95260577446885786</v>
      </c>
      <c r="V64" s="182"/>
      <c r="W64" s="182"/>
      <c r="X64" s="182"/>
    </row>
    <row r="65" spans="22:24" ht="15.5">
      <c r="V65"/>
      <c r="W65"/>
      <c r="X65"/>
    </row>
    <row r="66" spans="22:24" ht="15.5">
      <c r="V66"/>
      <c r="W66"/>
      <c r="X66"/>
    </row>
    <row r="67" spans="22:24" ht="15.5">
      <c r="V67"/>
      <c r="W67"/>
      <c r="X67"/>
    </row>
    <row r="68" spans="22:24" ht="15.5">
      <c r="V68"/>
      <c r="W68"/>
      <c r="X68"/>
    </row>
    <row r="69" spans="22:24" ht="15.5">
      <c r="V69"/>
      <c r="W69"/>
      <c r="X69"/>
    </row>
    <row r="70" spans="22:24" ht="15.5">
      <c r="V70"/>
      <c r="W70"/>
      <c r="X70"/>
    </row>
    <row r="71" spans="22:24" ht="15.5">
      <c r="V71"/>
      <c r="W71"/>
      <c r="X71"/>
    </row>
    <row r="72" spans="22:24" ht="15.5">
      <c r="V72"/>
      <c r="W72"/>
      <c r="X72"/>
    </row>
    <row r="73" spans="22:24" ht="15.5">
      <c r="V73"/>
      <c r="W73"/>
      <c r="X73"/>
    </row>
    <row r="74" spans="22:24" ht="15.5">
      <c r="V74"/>
      <c r="W74"/>
      <c r="X74"/>
    </row>
    <row r="75" spans="22:24" ht="15.5">
      <c r="V75"/>
      <c r="W75"/>
      <c r="X75"/>
    </row>
    <row r="76" spans="22:24" ht="15.5">
      <c r="V76"/>
      <c r="W76"/>
      <c r="X76"/>
    </row>
    <row r="77" spans="22:24" ht="15.5">
      <c r="V77"/>
      <c r="W77"/>
      <c r="X77"/>
    </row>
    <row r="78" spans="22:24" ht="15.5">
      <c r="V78"/>
      <c r="W78"/>
      <c r="X78"/>
    </row>
    <row r="79" spans="22:24" ht="15.5">
      <c r="V79"/>
      <c r="W79"/>
      <c r="X79"/>
    </row>
    <row r="80" spans="22: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c r="X119"/>
    </row>
    <row r="120" spans="22:24" ht="15.5">
      <c r="V120"/>
      <c r="W120"/>
      <c r="X120"/>
    </row>
    <row r="121" spans="22:24" ht="15.5">
      <c r="V121"/>
      <c r="W121"/>
      <c r="X121"/>
    </row>
    <row r="122" spans="22:24" ht="15.5">
      <c r="V122"/>
      <c r="W122"/>
      <c r="X122"/>
    </row>
    <row r="123" spans="22:24" ht="15.5">
      <c r="V123"/>
      <c r="W123"/>
      <c r="X123"/>
    </row>
    <row r="124" spans="22:24" ht="15.5">
      <c r="V124"/>
      <c r="W124"/>
      <c r="X124"/>
    </row>
    <row r="125" spans="22:24" ht="15.5">
      <c r="V125"/>
      <c r="W125"/>
      <c r="X125"/>
    </row>
    <row r="126" spans="22:24" ht="15.5">
      <c r="V126"/>
      <c r="W126"/>
      <c r="X126"/>
    </row>
    <row r="127" spans="22:24" ht="15.5">
      <c r="V127"/>
      <c r="W127"/>
      <c r="X127"/>
    </row>
    <row r="128" spans="22:24" ht="15.5">
      <c r="V128"/>
      <c r="W128"/>
      <c r="X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row r="154" spans="22:23" ht="15.5">
      <c r="V154"/>
      <c r="W154"/>
    </row>
    <row r="155" spans="22:23" ht="15.5">
      <c r="V155"/>
      <c r="W155"/>
    </row>
    <row r="156" spans="22:23" ht="15.5">
      <c r="V156"/>
      <c r="W156"/>
    </row>
    <row r="157" spans="22:23" ht="15.5">
      <c r="V157"/>
      <c r="W157"/>
    </row>
    <row r="158" spans="22:23" ht="15.5">
      <c r="V158"/>
      <c r="W158"/>
    </row>
    <row r="159" spans="22:23" ht="15.5">
      <c r="V159"/>
      <c r="W159"/>
    </row>
    <row r="160" spans="22:23" ht="15.5">
      <c r="V160"/>
      <c r="W160"/>
    </row>
    <row r="161" spans="22:23" ht="15.5">
      <c r="V161"/>
      <c r="W161"/>
    </row>
    <row r="162" spans="22:23" ht="15.5">
      <c r="V162"/>
      <c r="W162"/>
    </row>
    <row r="163" spans="22:23" ht="15.5">
      <c r="V163"/>
      <c r="W163"/>
    </row>
  </sheetData>
  <mergeCells count="1">
    <mergeCell ref="B1:S1"/>
  </mergeCells>
  <conditionalFormatting sqref="E61:H62">
    <cfRule type="iconSet" priority="1">
      <iconSet reverse="1">
        <cfvo type="percent" val="0"/>
        <cfvo type="num" val="0" gte="0"/>
        <cfvo type="num" val="0.3"/>
      </iconSet>
    </cfRule>
  </conditionalFormatting>
  <conditionalFormatting sqref="E59:H60 E63:H64">
    <cfRule type="iconSet" priority="12345">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22"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2344"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F48:H56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546" customWidth="1"/>
    <col min="2" max="2" width="114" style="546" customWidth="1"/>
    <col min="3" max="16384" width="9" style="546"/>
  </cols>
  <sheetData>
    <row r="2" spans="1:2" ht="18.5">
      <c r="A2" s="1125" t="s">
        <v>3312</v>
      </c>
      <c r="B2" s="1125"/>
    </row>
    <row r="3" spans="1:2">
      <c r="A3" s="552" t="s">
        <v>22</v>
      </c>
      <c r="B3" s="553" t="s">
        <v>3052</v>
      </c>
    </row>
    <row r="4" spans="1:2">
      <c r="A4" s="612" t="s">
        <v>39</v>
      </c>
      <c r="B4" s="554" t="s">
        <v>3313</v>
      </c>
    </row>
    <row r="5" spans="1:2" ht="31">
      <c r="A5" s="790"/>
      <c r="B5" s="554" t="s">
        <v>3314</v>
      </c>
    </row>
    <row r="6" spans="1:2">
      <c r="A6" s="790"/>
      <c r="B6" s="554" t="s">
        <v>3315</v>
      </c>
    </row>
    <row r="7" spans="1:2" ht="31">
      <c r="A7" s="790"/>
      <c r="B7" s="554" t="s">
        <v>3316</v>
      </c>
    </row>
    <row r="8" spans="1:2">
      <c r="A8" s="790"/>
      <c r="B8" s="554" t="s">
        <v>3317</v>
      </c>
    </row>
    <row r="9" spans="1:2">
      <c r="A9" s="790"/>
      <c r="B9" s="554" t="s">
        <v>3318</v>
      </c>
    </row>
    <row r="10" spans="1:2" ht="31">
      <c r="A10" s="790"/>
      <c r="B10" s="554" t="s">
        <v>3319</v>
      </c>
    </row>
    <row r="11" spans="1:2" ht="31">
      <c r="A11" s="790"/>
      <c r="B11" s="554" t="s">
        <v>3320</v>
      </c>
    </row>
    <row r="12" spans="1:2">
      <c r="A12" s="790"/>
      <c r="B12" s="554" t="s">
        <v>3321</v>
      </c>
    </row>
    <row r="13" spans="1:2" ht="31">
      <c r="A13" s="790"/>
      <c r="B13" s="554" t="s">
        <v>3322</v>
      </c>
    </row>
    <row r="14" spans="1:2">
      <c r="A14" s="790"/>
      <c r="B14" s="554" t="s">
        <v>3323</v>
      </c>
    </row>
    <row r="15" spans="1:2">
      <c r="A15" s="790"/>
      <c r="B15" s="554" t="s">
        <v>3324</v>
      </c>
    </row>
    <row r="16" spans="1:2" ht="46.5">
      <c r="A16" s="613"/>
      <c r="B16" s="554" t="s">
        <v>3325</v>
      </c>
    </row>
    <row r="17" spans="1:2" ht="31">
      <c r="A17" s="613"/>
      <c r="B17" s="554" t="s">
        <v>3326</v>
      </c>
    </row>
    <row r="18" spans="1:2" ht="31">
      <c r="A18" s="613"/>
      <c r="B18" s="554" t="s">
        <v>3327</v>
      </c>
    </row>
    <row r="19" spans="1:2" ht="46.5">
      <c r="A19" s="613"/>
      <c r="B19" s="554" t="s">
        <v>3328</v>
      </c>
    </row>
    <row r="20" spans="1:2" ht="31">
      <c r="A20" s="613"/>
      <c r="B20" s="554" t="s">
        <v>3329</v>
      </c>
    </row>
    <row r="21" spans="1:2">
      <c r="A21" s="590" t="s">
        <v>3053</v>
      </c>
      <c r="B21" s="555" t="s">
        <v>3054</v>
      </c>
    </row>
    <row r="22" spans="1:2">
      <c r="A22" s="588" t="s">
        <v>39</v>
      </c>
      <c r="B22" s="556" t="s">
        <v>3330</v>
      </c>
    </row>
    <row r="23" spans="1:2" ht="31">
      <c r="A23" s="791"/>
      <c r="B23" s="556" t="s">
        <v>3331</v>
      </c>
    </row>
    <row r="24" spans="1:2" ht="31">
      <c r="A24" s="791"/>
      <c r="B24" s="556" t="s">
        <v>3332</v>
      </c>
    </row>
    <row r="25" spans="1:2">
      <c r="A25" s="791"/>
      <c r="B25" s="556" t="s">
        <v>3333</v>
      </c>
    </row>
    <row r="26" spans="1:2">
      <c r="A26" s="791"/>
      <c r="B26" s="556" t="s">
        <v>3334</v>
      </c>
    </row>
    <row r="27" spans="1:2">
      <c r="A27" s="791"/>
      <c r="B27" s="556" t="s">
        <v>3335</v>
      </c>
    </row>
    <row r="28" spans="1:2" ht="31">
      <c r="A28" s="791"/>
      <c r="B28" s="556" t="s">
        <v>3336</v>
      </c>
    </row>
    <row r="29" spans="1:2">
      <c r="A29" s="791"/>
      <c r="B29" s="556" t="s">
        <v>3337</v>
      </c>
    </row>
    <row r="30" spans="1:2">
      <c r="A30" s="791"/>
      <c r="B30" s="556" t="s">
        <v>3338</v>
      </c>
    </row>
    <row r="31" spans="1:2">
      <c r="A31" s="791"/>
      <c r="B31" s="556" t="s">
        <v>3339</v>
      </c>
    </row>
    <row r="32" spans="1:2">
      <c r="A32" s="791"/>
      <c r="B32" s="556" t="s">
        <v>3340</v>
      </c>
    </row>
    <row r="33" spans="1:2">
      <c r="A33" s="589"/>
      <c r="B33" s="556" t="s">
        <v>3341</v>
      </c>
    </row>
    <row r="34" spans="1:2">
      <c r="A34" s="589"/>
      <c r="B34" s="556" t="s">
        <v>3342</v>
      </c>
    </row>
    <row r="35" spans="1:2">
      <c r="A35" s="589"/>
      <c r="B35" s="556" t="s">
        <v>3343</v>
      </c>
    </row>
    <row r="36" spans="1:2">
      <c r="A36" s="589"/>
      <c r="B36" s="556" t="s">
        <v>3344</v>
      </c>
    </row>
    <row r="37" spans="1:2" ht="31">
      <c r="A37" s="589"/>
      <c r="B37" s="556" t="s">
        <v>3345</v>
      </c>
    </row>
    <row r="38" spans="1:2">
      <c r="A38" s="589"/>
      <c r="B38" s="556" t="s">
        <v>3346</v>
      </c>
    </row>
    <row r="39" spans="1:2">
      <c r="A39" s="557" t="s">
        <v>3053</v>
      </c>
      <c r="B39" s="557" t="s">
        <v>3055</v>
      </c>
    </row>
    <row r="40" spans="1:2" ht="31">
      <c r="A40" s="558" t="s">
        <v>39</v>
      </c>
      <c r="B40" s="559" t="s">
        <v>3347</v>
      </c>
    </row>
    <row r="41" spans="1:2">
      <c r="A41" s="558"/>
      <c r="B41" s="559" t="s">
        <v>3348</v>
      </c>
    </row>
    <row r="42" spans="1:2">
      <c r="A42" s="558"/>
      <c r="B42" s="559" t="s">
        <v>3349</v>
      </c>
    </row>
    <row r="43" spans="1:2">
      <c r="A43" s="558"/>
      <c r="B43" s="559" t="s">
        <v>3350</v>
      </c>
    </row>
    <row r="44" spans="1:2">
      <c r="A44" s="558"/>
      <c r="B44" s="559" t="s">
        <v>3351</v>
      </c>
    </row>
    <row r="45" spans="1:2">
      <c r="A45" s="558"/>
      <c r="B45" s="559" t="s">
        <v>3352</v>
      </c>
    </row>
    <row r="46" spans="1:2">
      <c r="A46" s="558"/>
      <c r="B46" s="559" t="s">
        <v>3353</v>
      </c>
    </row>
    <row r="47" spans="1:2">
      <c r="A47" s="558"/>
      <c r="B47" s="559" t="s">
        <v>3354</v>
      </c>
    </row>
    <row r="48" spans="1:2">
      <c r="A48" s="558"/>
      <c r="B48" s="559" t="s">
        <v>3355</v>
      </c>
    </row>
    <row r="49" spans="1:2">
      <c r="A49" s="558"/>
      <c r="B49" s="559" t="s">
        <v>3356</v>
      </c>
    </row>
    <row r="50" spans="1:2">
      <c r="A50" s="558"/>
      <c r="B50" s="559" t="s">
        <v>3357</v>
      </c>
    </row>
    <row r="51" spans="1:2">
      <c r="A51" s="558"/>
      <c r="B51" s="559" t="s">
        <v>3358</v>
      </c>
    </row>
    <row r="52" spans="1:2" ht="31">
      <c r="A52" s="558"/>
      <c r="B52" s="559" t="s">
        <v>3359</v>
      </c>
    </row>
    <row r="53" spans="1:2" ht="31">
      <c r="A53" s="558"/>
      <c r="B53" s="559" t="s">
        <v>3360</v>
      </c>
    </row>
    <row r="54" spans="1:2">
      <c r="A54" s="558"/>
      <c r="B54" s="559" t="s">
        <v>3361</v>
      </c>
    </row>
    <row r="55" spans="1:2">
      <c r="A55" s="558"/>
      <c r="B55" s="559" t="s">
        <v>3362</v>
      </c>
    </row>
    <row r="56" spans="1:2">
      <c r="A56" s="558"/>
      <c r="B56" s="559" t="s">
        <v>3363</v>
      </c>
    </row>
  </sheetData>
  <mergeCells count="1">
    <mergeCell ref="A2:B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O37" sqref="O37"/>
    </sheetView>
  </sheetViews>
  <sheetFormatPr defaultColWidth="9" defaultRowHeight="15.5"/>
  <cols>
    <col min="1" max="1" width="44.25" style="59" hidden="1" customWidth="1"/>
    <col min="2" max="2" width="14.58203125" style="59" hidden="1" customWidth="1"/>
    <col min="3" max="3" width="57.75" style="59" hidden="1" customWidth="1"/>
    <col min="4" max="4" width="45.83203125" style="59" hidden="1" customWidth="1"/>
    <col min="5" max="5" width="72.9140625" style="59" hidden="1" customWidth="1"/>
    <col min="6" max="6" width="37.1640625" style="59" hidden="1" customWidth="1"/>
    <col min="7" max="7" width="59.1640625" style="59" hidden="1" customWidth="1"/>
    <col min="8" max="8" width="9" style="59" customWidth="1"/>
    <col min="9" max="16384" width="9" style="59"/>
  </cols>
  <sheetData>
    <row r="1" spans="1:20" ht="26">
      <c r="A1" s="1126" t="s">
        <v>3625</v>
      </c>
      <c r="B1" s="1126"/>
      <c r="C1" s="1126"/>
      <c r="D1" s="1126"/>
      <c r="E1" s="1126"/>
      <c r="F1" s="1126"/>
      <c r="G1" s="1126"/>
      <c r="H1" s="1126"/>
      <c r="I1" s="1126"/>
      <c r="J1" s="1126"/>
      <c r="K1" s="1126"/>
      <c r="L1" s="1126"/>
      <c r="M1" s="1126"/>
      <c r="N1" s="1126"/>
      <c r="O1" s="1126"/>
      <c r="P1" s="1126"/>
      <c r="Q1" s="1126"/>
      <c r="R1" s="1126"/>
      <c r="S1" s="1126"/>
      <c r="T1" s="1126"/>
    </row>
    <row r="33" spans="1:7">
      <c r="A33"/>
      <c r="B33"/>
    </row>
    <row r="34" spans="1:7">
      <c r="A34" s="991" t="s">
        <v>20</v>
      </c>
      <c r="B34" s="992" t="s">
        <v>3263</v>
      </c>
    </row>
    <row r="35" spans="1:7">
      <c r="A35" s="1034" t="s">
        <v>23</v>
      </c>
      <c r="B35" s="992" t="s">
        <v>1915</v>
      </c>
    </row>
    <row r="36" spans="1:7">
      <c r="A36" s="1034" t="s">
        <v>22</v>
      </c>
      <c r="B36" s="992" t="s">
        <v>1915</v>
      </c>
    </row>
    <row r="37" spans="1:7">
      <c r="C37" s="188"/>
      <c r="D37" s="188"/>
      <c r="E37" s="188"/>
    </row>
    <row r="38" spans="1:7" s="99" customFormat="1">
      <c r="A38" s="991" t="s">
        <v>24</v>
      </c>
      <c r="B38" s="999" t="s">
        <v>1985</v>
      </c>
      <c r="C38" s="992" t="s">
        <v>2910</v>
      </c>
      <c r="D38" s="992" t="s">
        <v>2911</v>
      </c>
      <c r="E38" s="992" t="s">
        <v>2912</v>
      </c>
      <c r="F38"/>
      <c r="G38"/>
    </row>
    <row r="39" spans="1:7">
      <c r="A39" s="992" t="s">
        <v>233</v>
      </c>
      <c r="B39" s="993">
        <v>350</v>
      </c>
      <c r="C39" s="993">
        <v>0</v>
      </c>
      <c r="D39" s="993">
        <v>0</v>
      </c>
      <c r="E39" s="993">
        <v>0</v>
      </c>
      <c r="F39"/>
      <c r="G39"/>
    </row>
    <row r="40" spans="1:7">
      <c r="A40" s="992" t="s">
        <v>1095</v>
      </c>
      <c r="B40" s="993">
        <v>167</v>
      </c>
      <c r="C40" s="993">
        <v>167</v>
      </c>
      <c r="D40" s="993">
        <v>167</v>
      </c>
      <c r="E40" s="993">
        <v>167</v>
      </c>
      <c r="F40"/>
      <c r="G40"/>
    </row>
    <row r="41" spans="1:7">
      <c r="A41" s="992" t="s">
        <v>280</v>
      </c>
      <c r="B41" s="993">
        <v>723</v>
      </c>
      <c r="C41" s="993">
        <v>723</v>
      </c>
      <c r="D41" s="993">
        <v>723</v>
      </c>
      <c r="E41" s="993">
        <v>723</v>
      </c>
      <c r="F41"/>
      <c r="G41"/>
    </row>
    <row r="42" spans="1:7">
      <c r="A42" s="992" t="s">
        <v>251</v>
      </c>
      <c r="B42" s="993">
        <v>371</v>
      </c>
      <c r="C42" s="993">
        <v>371</v>
      </c>
      <c r="D42" s="993">
        <v>371</v>
      </c>
      <c r="E42" s="993">
        <v>371</v>
      </c>
      <c r="F42"/>
      <c r="G42"/>
    </row>
    <row r="43" spans="1:7">
      <c r="A43" s="992" t="s">
        <v>252</v>
      </c>
      <c r="B43" s="993">
        <v>83</v>
      </c>
      <c r="C43" s="993">
        <v>83</v>
      </c>
      <c r="D43" s="993">
        <v>83</v>
      </c>
      <c r="E43" s="993">
        <v>83</v>
      </c>
      <c r="F43"/>
      <c r="G43"/>
    </row>
    <row r="44" spans="1:7">
      <c r="A44" s="992" t="s">
        <v>209</v>
      </c>
      <c r="B44" s="993">
        <v>571</v>
      </c>
      <c r="C44" s="993">
        <v>571</v>
      </c>
      <c r="D44" s="993">
        <v>560</v>
      </c>
      <c r="E44" s="993">
        <v>571</v>
      </c>
      <c r="F44"/>
      <c r="G44"/>
    </row>
    <row r="45" spans="1:7">
      <c r="A45" s="992" t="s">
        <v>199</v>
      </c>
      <c r="B45" s="993">
        <v>55</v>
      </c>
      <c r="C45" s="993">
        <v>55</v>
      </c>
      <c r="D45" s="993">
        <v>40</v>
      </c>
      <c r="E45" s="993">
        <v>55</v>
      </c>
      <c r="F45"/>
      <c r="G45"/>
    </row>
    <row r="46" spans="1:7">
      <c r="A46" s="992" t="s">
        <v>253</v>
      </c>
      <c r="B46" s="993">
        <v>228</v>
      </c>
      <c r="C46" s="993">
        <v>228</v>
      </c>
      <c r="D46" s="993">
        <v>200</v>
      </c>
      <c r="E46" s="993">
        <v>228</v>
      </c>
      <c r="F46"/>
      <c r="G46"/>
    </row>
    <row r="47" spans="1:7">
      <c r="A47" s="992" t="s">
        <v>1018</v>
      </c>
      <c r="B47" s="993">
        <v>928</v>
      </c>
      <c r="C47" s="993">
        <v>0</v>
      </c>
      <c r="D47" s="993">
        <v>0</v>
      </c>
      <c r="E47" s="993">
        <v>0</v>
      </c>
      <c r="F47"/>
      <c r="G47"/>
    </row>
    <row r="48" spans="1:7">
      <c r="A48" s="992" t="s">
        <v>239</v>
      </c>
      <c r="B48" s="993">
        <v>458</v>
      </c>
      <c r="C48" s="993">
        <v>458</v>
      </c>
      <c r="D48" s="993">
        <v>458</v>
      </c>
      <c r="E48" s="993">
        <v>66.666666666666671</v>
      </c>
      <c r="F48"/>
      <c r="G48"/>
    </row>
    <row r="49" spans="1:7">
      <c r="A49" s="992" t="s">
        <v>1931</v>
      </c>
      <c r="B49" s="993">
        <v>1887</v>
      </c>
      <c r="C49" s="993">
        <v>1887</v>
      </c>
      <c r="D49" s="993">
        <v>1887</v>
      </c>
      <c r="E49" s="993">
        <v>1887</v>
      </c>
      <c r="F49"/>
      <c r="G49"/>
    </row>
    <row r="50" spans="1:7">
      <c r="A50" s="992" t="s">
        <v>254</v>
      </c>
      <c r="B50" s="993">
        <v>31</v>
      </c>
      <c r="C50" s="993">
        <v>31</v>
      </c>
      <c r="D50" s="993">
        <v>31</v>
      </c>
      <c r="E50" s="993">
        <v>0</v>
      </c>
      <c r="F50"/>
      <c r="G50"/>
    </row>
    <row r="51" spans="1:7">
      <c r="A51" s="992" t="s">
        <v>248</v>
      </c>
      <c r="B51" s="993">
        <v>830</v>
      </c>
      <c r="C51" s="993">
        <v>830</v>
      </c>
      <c r="D51" s="993">
        <v>830</v>
      </c>
      <c r="E51" s="993">
        <v>66.666666666666671</v>
      </c>
      <c r="F51"/>
      <c r="G51"/>
    </row>
    <row r="52" spans="1:7">
      <c r="A52" s="992" t="s">
        <v>255</v>
      </c>
      <c r="B52" s="993">
        <v>377</v>
      </c>
      <c r="C52" s="993">
        <v>377</v>
      </c>
      <c r="D52" s="993">
        <v>377</v>
      </c>
      <c r="E52" s="993">
        <v>0</v>
      </c>
      <c r="F52"/>
      <c r="G52"/>
    </row>
    <row r="53" spans="1:7">
      <c r="A53" s="992" t="s">
        <v>163</v>
      </c>
      <c r="B53" s="993">
        <v>197</v>
      </c>
      <c r="C53" s="993">
        <v>197</v>
      </c>
      <c r="D53" s="993">
        <v>140</v>
      </c>
      <c r="E53" s="993">
        <v>197</v>
      </c>
      <c r="F53"/>
      <c r="G53"/>
    </row>
    <row r="54" spans="1:7">
      <c r="A54" s="992" t="s">
        <v>235</v>
      </c>
      <c r="B54" s="993">
        <v>458</v>
      </c>
      <c r="C54" s="993">
        <v>458</v>
      </c>
      <c r="D54" s="993">
        <v>458</v>
      </c>
      <c r="E54" s="993">
        <v>66.666666666666671</v>
      </c>
      <c r="F54"/>
      <c r="G54"/>
    </row>
    <row r="55" spans="1:7">
      <c r="A55" s="992" t="s">
        <v>1052</v>
      </c>
      <c r="B55" s="993">
        <v>410</v>
      </c>
      <c r="C55" s="993">
        <v>0</v>
      </c>
      <c r="D55" s="993">
        <v>0</v>
      </c>
      <c r="E55" s="993">
        <v>0</v>
      </c>
      <c r="F55"/>
      <c r="G55"/>
    </row>
    <row r="56" spans="1:7">
      <c r="A56" s="992" t="s">
        <v>271</v>
      </c>
      <c r="B56" s="993">
        <v>448</v>
      </c>
      <c r="C56" s="993">
        <v>0</v>
      </c>
      <c r="D56" s="993">
        <v>448</v>
      </c>
      <c r="E56" s="993">
        <v>448</v>
      </c>
      <c r="F56"/>
      <c r="G56"/>
    </row>
    <row r="57" spans="1:7">
      <c r="A57" s="992" t="s">
        <v>178</v>
      </c>
      <c r="B57" s="993">
        <v>875</v>
      </c>
      <c r="C57" s="993">
        <v>875</v>
      </c>
      <c r="D57" s="993">
        <v>875</v>
      </c>
      <c r="E57" s="993">
        <v>66.666666666666671</v>
      </c>
      <c r="F57"/>
      <c r="G57"/>
    </row>
    <row r="58" spans="1:7">
      <c r="A58" s="992" t="s">
        <v>152</v>
      </c>
      <c r="B58" s="993">
        <v>132</v>
      </c>
      <c r="C58" s="993">
        <v>132</v>
      </c>
      <c r="D58" s="993">
        <v>132</v>
      </c>
      <c r="E58" s="993">
        <v>132</v>
      </c>
      <c r="F58"/>
      <c r="G58"/>
    </row>
    <row r="59" spans="1:7">
      <c r="A59" s="992" t="s">
        <v>256</v>
      </c>
      <c r="B59" s="993">
        <v>14</v>
      </c>
      <c r="C59" s="993">
        <v>0</v>
      </c>
      <c r="D59" s="993">
        <v>0</v>
      </c>
      <c r="E59" s="993">
        <v>0</v>
      </c>
      <c r="F59"/>
      <c r="G59"/>
    </row>
    <row r="60" spans="1:7">
      <c r="A60" s="992" t="s">
        <v>1043</v>
      </c>
      <c r="B60" s="993">
        <v>121</v>
      </c>
      <c r="C60" s="993">
        <v>0</v>
      </c>
      <c r="D60" s="993">
        <v>0</v>
      </c>
      <c r="E60" s="993">
        <v>0</v>
      </c>
      <c r="F60"/>
      <c r="G60"/>
    </row>
    <row r="61" spans="1:7">
      <c r="A61" s="992" t="s">
        <v>751</v>
      </c>
      <c r="B61" s="993">
        <v>553</v>
      </c>
      <c r="C61" s="993">
        <v>553</v>
      </c>
      <c r="D61" s="993">
        <v>553</v>
      </c>
      <c r="E61" s="993">
        <v>0</v>
      </c>
      <c r="F61"/>
      <c r="G61"/>
    </row>
    <row r="62" spans="1:7">
      <c r="A62" s="992" t="s">
        <v>257</v>
      </c>
      <c r="B62" s="993">
        <v>519</v>
      </c>
      <c r="C62" s="993">
        <v>519</v>
      </c>
      <c r="D62" s="993">
        <v>519</v>
      </c>
      <c r="E62" s="993">
        <v>519</v>
      </c>
      <c r="F62"/>
      <c r="G62"/>
    </row>
    <row r="63" spans="1:7">
      <c r="A63" s="992" t="s">
        <v>150</v>
      </c>
      <c r="B63" s="993">
        <v>837</v>
      </c>
      <c r="C63" s="993">
        <v>0</v>
      </c>
      <c r="D63" s="993">
        <v>640</v>
      </c>
      <c r="E63" s="993">
        <v>66.666666666666671</v>
      </c>
      <c r="F63"/>
      <c r="G63"/>
    </row>
    <row r="64" spans="1:7">
      <c r="A64" s="992" t="s">
        <v>220</v>
      </c>
      <c r="B64" s="993">
        <v>3659</v>
      </c>
      <c r="C64" s="993">
        <v>3659</v>
      </c>
      <c r="D64" s="993">
        <v>3659</v>
      </c>
      <c r="E64" s="993">
        <v>1617.6</v>
      </c>
      <c r="F64"/>
      <c r="G64"/>
    </row>
    <row r="65" spans="1:7">
      <c r="A65" s="992" t="s">
        <v>201</v>
      </c>
      <c r="B65" s="993">
        <v>291</v>
      </c>
      <c r="C65" s="993">
        <v>291</v>
      </c>
      <c r="D65" s="993">
        <v>140</v>
      </c>
      <c r="E65" s="993">
        <v>291</v>
      </c>
      <c r="F65"/>
      <c r="G65"/>
    </row>
    <row r="66" spans="1:7">
      <c r="A66" s="992" t="s">
        <v>227</v>
      </c>
      <c r="B66" s="993">
        <v>680</v>
      </c>
      <c r="C66" s="993">
        <v>680</v>
      </c>
      <c r="D66" s="993">
        <v>680</v>
      </c>
      <c r="E66" s="993">
        <v>169.06666666666666</v>
      </c>
      <c r="F66"/>
      <c r="G66"/>
    </row>
    <row r="67" spans="1:7">
      <c r="A67" s="992" t="s">
        <v>1083</v>
      </c>
      <c r="B67" s="993">
        <v>56</v>
      </c>
      <c r="C67" s="993">
        <v>0</v>
      </c>
      <c r="D67" s="993">
        <v>0</v>
      </c>
      <c r="E67" s="993">
        <v>0</v>
      </c>
      <c r="F67"/>
      <c r="G67"/>
    </row>
    <row r="68" spans="1:7">
      <c r="A68" s="992" t="s">
        <v>164</v>
      </c>
      <c r="B68" s="993">
        <v>1050</v>
      </c>
      <c r="C68" s="993">
        <v>1050</v>
      </c>
      <c r="D68" s="993">
        <v>860</v>
      </c>
      <c r="E68" s="993">
        <v>1050</v>
      </c>
      <c r="F68"/>
      <c r="G68"/>
    </row>
    <row r="69" spans="1:7">
      <c r="A69" s="992" t="s">
        <v>236</v>
      </c>
      <c r="B69" s="993">
        <v>430</v>
      </c>
      <c r="C69" s="993">
        <v>430</v>
      </c>
      <c r="D69" s="993">
        <v>430</v>
      </c>
      <c r="E69" s="993">
        <v>400</v>
      </c>
      <c r="F69"/>
      <c r="G69"/>
    </row>
    <row r="70" spans="1:7">
      <c r="A70" s="992" t="s">
        <v>293</v>
      </c>
      <c r="B70" s="993">
        <v>8486</v>
      </c>
      <c r="C70" s="993">
        <v>4500</v>
      </c>
      <c r="D70" s="993">
        <v>640</v>
      </c>
      <c r="E70" s="993">
        <v>400</v>
      </c>
      <c r="F70"/>
      <c r="G70"/>
    </row>
    <row r="71" spans="1:7">
      <c r="A71" s="992" t="s">
        <v>210</v>
      </c>
      <c r="B71" s="993">
        <v>106</v>
      </c>
      <c r="C71" s="993">
        <v>106</v>
      </c>
      <c r="D71" s="993">
        <v>80</v>
      </c>
      <c r="E71" s="993">
        <v>106</v>
      </c>
      <c r="F71"/>
      <c r="G71"/>
    </row>
    <row r="72" spans="1:7">
      <c r="A72" s="992" t="s">
        <v>212</v>
      </c>
      <c r="B72" s="993">
        <v>94</v>
      </c>
      <c r="C72" s="993">
        <v>94</v>
      </c>
      <c r="D72" s="993">
        <v>94</v>
      </c>
      <c r="E72" s="993">
        <v>94</v>
      </c>
      <c r="F72"/>
      <c r="G72"/>
    </row>
    <row r="73" spans="1:7">
      <c r="A73" s="992" t="s">
        <v>1021</v>
      </c>
      <c r="B73" s="993">
        <v>18</v>
      </c>
      <c r="C73" s="993">
        <v>0</v>
      </c>
      <c r="D73" s="993">
        <v>0</v>
      </c>
      <c r="E73" s="993">
        <v>0</v>
      </c>
      <c r="F73"/>
      <c r="G73"/>
    </row>
    <row r="74" spans="1:7">
      <c r="A74" s="992" t="s">
        <v>737</v>
      </c>
      <c r="B74" s="993">
        <v>259</v>
      </c>
      <c r="C74" s="993">
        <v>259</v>
      </c>
      <c r="D74" s="993">
        <v>240</v>
      </c>
      <c r="E74" s="993">
        <v>259</v>
      </c>
      <c r="F74"/>
      <c r="G74"/>
    </row>
    <row r="75" spans="1:7">
      <c r="A75" s="992" t="s">
        <v>742</v>
      </c>
      <c r="B75" s="993">
        <v>156</v>
      </c>
      <c r="C75" s="993">
        <v>156</v>
      </c>
      <c r="D75" s="993">
        <v>156</v>
      </c>
      <c r="E75" s="993">
        <v>156</v>
      </c>
      <c r="F75"/>
      <c r="G75"/>
    </row>
    <row r="76" spans="1:7">
      <c r="A76" s="992" t="s">
        <v>716</v>
      </c>
      <c r="B76" s="993">
        <v>138</v>
      </c>
      <c r="C76" s="993">
        <v>138</v>
      </c>
      <c r="D76" s="993">
        <v>138</v>
      </c>
      <c r="E76" s="993">
        <v>0</v>
      </c>
      <c r="F76"/>
      <c r="G76"/>
    </row>
    <row r="77" spans="1:7">
      <c r="A77" s="992" t="s">
        <v>739</v>
      </c>
      <c r="B77" s="993">
        <v>249</v>
      </c>
      <c r="C77" s="993">
        <v>249</v>
      </c>
      <c r="D77" s="993">
        <v>249</v>
      </c>
      <c r="E77" s="993">
        <v>249</v>
      </c>
      <c r="F77"/>
      <c r="G77"/>
    </row>
    <row r="78" spans="1:7">
      <c r="A78" s="992" t="s">
        <v>156</v>
      </c>
      <c r="B78" s="993">
        <v>66</v>
      </c>
      <c r="C78" s="993">
        <v>66</v>
      </c>
      <c r="D78" s="993">
        <v>66</v>
      </c>
      <c r="E78" s="993">
        <v>66</v>
      </c>
      <c r="F78"/>
      <c r="G78"/>
    </row>
    <row r="79" spans="1:7">
      <c r="A79" s="992" t="s">
        <v>292</v>
      </c>
      <c r="B79" s="993">
        <v>2199</v>
      </c>
      <c r="C79" s="993">
        <v>0</v>
      </c>
      <c r="D79" s="993">
        <v>0</v>
      </c>
      <c r="E79" s="993">
        <v>500</v>
      </c>
      <c r="F79"/>
      <c r="G79"/>
    </row>
    <row r="80" spans="1:7">
      <c r="A80" s="992" t="s">
        <v>297</v>
      </c>
      <c r="B80" s="993">
        <v>2691</v>
      </c>
      <c r="C80" s="993">
        <v>2691</v>
      </c>
      <c r="D80" s="993">
        <v>2691</v>
      </c>
      <c r="E80" s="993">
        <v>1850</v>
      </c>
      <c r="F80"/>
      <c r="G80"/>
    </row>
    <row r="81" spans="1:7">
      <c r="A81" s="992" t="s">
        <v>246</v>
      </c>
      <c r="B81" s="993">
        <v>672</v>
      </c>
      <c r="C81" s="993">
        <v>672</v>
      </c>
      <c r="D81" s="993">
        <v>672</v>
      </c>
      <c r="E81" s="993">
        <v>316.66666666666669</v>
      </c>
      <c r="F81"/>
      <c r="G81"/>
    </row>
    <row r="82" spans="1:7">
      <c r="A82" s="992" t="s">
        <v>166</v>
      </c>
      <c r="B82" s="993">
        <v>547</v>
      </c>
      <c r="C82" s="993">
        <v>500</v>
      </c>
      <c r="D82" s="993">
        <v>160</v>
      </c>
      <c r="E82" s="993">
        <v>547</v>
      </c>
      <c r="F82"/>
      <c r="G82"/>
    </row>
    <row r="83" spans="1:7">
      <c r="A83" s="992" t="s">
        <v>167</v>
      </c>
      <c r="B83" s="993">
        <v>676</v>
      </c>
      <c r="C83" s="993">
        <v>500</v>
      </c>
      <c r="D83" s="993">
        <v>640</v>
      </c>
      <c r="E83" s="993">
        <v>676</v>
      </c>
      <c r="F83"/>
      <c r="G83"/>
    </row>
    <row r="84" spans="1:7">
      <c r="A84" s="992" t="s">
        <v>250</v>
      </c>
      <c r="B84" s="993">
        <v>895</v>
      </c>
      <c r="C84" s="993">
        <v>895</v>
      </c>
      <c r="D84" s="993">
        <v>895</v>
      </c>
      <c r="E84" s="993">
        <v>66.666666666666671</v>
      </c>
      <c r="F84"/>
      <c r="G84"/>
    </row>
    <row r="85" spans="1:7">
      <c r="A85" s="992" t="s">
        <v>258</v>
      </c>
      <c r="B85" s="993">
        <v>103</v>
      </c>
      <c r="C85" s="993">
        <v>103</v>
      </c>
      <c r="D85" s="993">
        <v>80</v>
      </c>
      <c r="E85" s="993">
        <v>103</v>
      </c>
      <c r="F85"/>
      <c r="G85"/>
    </row>
    <row r="86" spans="1:7">
      <c r="A86" s="992" t="s">
        <v>259</v>
      </c>
      <c r="B86" s="993">
        <v>60</v>
      </c>
      <c r="C86" s="993">
        <v>60</v>
      </c>
      <c r="D86" s="993">
        <v>40</v>
      </c>
      <c r="E86" s="993">
        <v>0</v>
      </c>
      <c r="F86"/>
      <c r="G86"/>
    </row>
    <row r="87" spans="1:7">
      <c r="A87" s="992" t="s">
        <v>203</v>
      </c>
      <c r="B87" s="993">
        <v>800</v>
      </c>
      <c r="C87" s="993">
        <v>800</v>
      </c>
      <c r="D87" s="993">
        <v>420</v>
      </c>
      <c r="E87" s="993">
        <v>800</v>
      </c>
      <c r="F87"/>
      <c r="G87"/>
    </row>
    <row r="88" spans="1:7">
      <c r="A88" s="992" t="s">
        <v>740</v>
      </c>
      <c r="B88" s="993">
        <v>146</v>
      </c>
      <c r="C88" s="993">
        <v>146</v>
      </c>
      <c r="D88" s="993">
        <v>146</v>
      </c>
      <c r="E88" s="993">
        <v>146</v>
      </c>
      <c r="F88"/>
      <c r="G88"/>
    </row>
    <row r="89" spans="1:7">
      <c r="A89" s="992" t="s">
        <v>284</v>
      </c>
      <c r="B89" s="993">
        <v>209</v>
      </c>
      <c r="C89" s="993">
        <v>209</v>
      </c>
      <c r="D89" s="993">
        <v>180</v>
      </c>
      <c r="E89" s="993">
        <v>209</v>
      </c>
      <c r="F89"/>
      <c r="G89"/>
    </row>
    <row r="90" spans="1:7">
      <c r="A90" s="992" t="s">
        <v>285</v>
      </c>
      <c r="B90" s="993">
        <v>310</v>
      </c>
      <c r="C90" s="993">
        <v>310</v>
      </c>
      <c r="D90" s="993">
        <v>120</v>
      </c>
      <c r="E90" s="993">
        <v>310</v>
      </c>
      <c r="F90"/>
      <c r="G90"/>
    </row>
    <row r="91" spans="1:7">
      <c r="A91" s="992" t="s">
        <v>286</v>
      </c>
      <c r="B91" s="993">
        <v>1267</v>
      </c>
      <c r="C91" s="993">
        <v>1267</v>
      </c>
      <c r="D91" s="993">
        <v>760</v>
      </c>
      <c r="E91" s="993">
        <v>1267</v>
      </c>
      <c r="F91"/>
      <c r="G91"/>
    </row>
    <row r="92" spans="1:7">
      <c r="A92" s="992" t="s">
        <v>177</v>
      </c>
      <c r="B92" s="993">
        <v>289</v>
      </c>
      <c r="C92" s="993">
        <v>289</v>
      </c>
      <c r="D92" s="993">
        <v>240</v>
      </c>
      <c r="E92" s="993">
        <v>289</v>
      </c>
      <c r="F92"/>
      <c r="G92"/>
    </row>
    <row r="93" spans="1:7">
      <c r="A93" s="992" t="s">
        <v>291</v>
      </c>
      <c r="B93" s="993">
        <v>2419</v>
      </c>
      <c r="C93" s="993">
        <v>0</v>
      </c>
      <c r="D93" s="993">
        <v>140</v>
      </c>
      <c r="E93" s="993">
        <v>1300</v>
      </c>
      <c r="F93"/>
      <c r="G93"/>
    </row>
    <row r="94" spans="1:7">
      <c r="A94" s="992" t="s">
        <v>179</v>
      </c>
      <c r="B94" s="993">
        <v>159</v>
      </c>
      <c r="C94" s="993">
        <v>159</v>
      </c>
      <c r="D94" s="993">
        <v>120</v>
      </c>
      <c r="E94" s="993">
        <v>159</v>
      </c>
      <c r="F94"/>
      <c r="G94"/>
    </row>
    <row r="95" spans="1:7">
      <c r="A95" s="992" t="s">
        <v>180</v>
      </c>
      <c r="B95" s="993">
        <v>1801</v>
      </c>
      <c r="C95" s="993">
        <v>0</v>
      </c>
      <c r="D95" s="993">
        <v>1801</v>
      </c>
      <c r="E95" s="993">
        <v>400</v>
      </c>
      <c r="F95"/>
      <c r="G95"/>
    </row>
    <row r="96" spans="1:7">
      <c r="A96" s="992" t="s">
        <v>272</v>
      </c>
      <c r="B96" s="993">
        <v>2065</v>
      </c>
      <c r="C96" s="993">
        <v>0</v>
      </c>
      <c r="D96" s="993">
        <v>600</v>
      </c>
      <c r="E96" s="993">
        <v>2065</v>
      </c>
      <c r="F96"/>
      <c r="G96"/>
    </row>
    <row r="97" spans="1:7">
      <c r="A97" s="992" t="s">
        <v>240</v>
      </c>
      <c r="B97" s="993">
        <v>1481</v>
      </c>
      <c r="C97" s="993">
        <v>1481</v>
      </c>
      <c r="D97" s="993">
        <v>1481</v>
      </c>
      <c r="E97" s="993">
        <v>1481</v>
      </c>
      <c r="F97"/>
      <c r="G97"/>
    </row>
    <row r="98" spans="1:7">
      <c r="A98" s="992" t="s">
        <v>181</v>
      </c>
      <c r="B98" s="993">
        <v>2500</v>
      </c>
      <c r="C98" s="993">
        <v>2500</v>
      </c>
      <c r="D98" s="993">
        <v>2500</v>
      </c>
      <c r="E98" s="993">
        <v>2500</v>
      </c>
      <c r="F98"/>
      <c r="G98"/>
    </row>
    <row r="99" spans="1:7">
      <c r="A99" s="992" t="s">
        <v>182</v>
      </c>
      <c r="B99" s="993">
        <v>191</v>
      </c>
      <c r="C99" s="993">
        <v>191</v>
      </c>
      <c r="D99" s="993">
        <v>191</v>
      </c>
      <c r="E99" s="993">
        <v>191</v>
      </c>
      <c r="F99"/>
      <c r="G99"/>
    </row>
    <row r="100" spans="1:7">
      <c r="A100" s="992" t="s">
        <v>186</v>
      </c>
      <c r="B100" s="993">
        <v>1900</v>
      </c>
      <c r="C100" s="993">
        <v>1900</v>
      </c>
      <c r="D100" s="993">
        <v>1900</v>
      </c>
      <c r="E100" s="993">
        <v>1900</v>
      </c>
      <c r="F100"/>
      <c r="G100"/>
    </row>
    <row r="101" spans="1:7">
      <c r="A101" s="992" t="s">
        <v>41</v>
      </c>
      <c r="B101" s="993">
        <v>694</v>
      </c>
      <c r="C101" s="993">
        <v>694</v>
      </c>
      <c r="D101" s="993">
        <v>694</v>
      </c>
      <c r="E101" s="993">
        <v>694</v>
      </c>
      <c r="F101"/>
      <c r="G101"/>
    </row>
    <row r="102" spans="1:7">
      <c r="A102" s="992" t="s">
        <v>168</v>
      </c>
      <c r="B102" s="993">
        <v>290</v>
      </c>
      <c r="C102" s="993">
        <v>290</v>
      </c>
      <c r="D102" s="993">
        <v>140</v>
      </c>
      <c r="E102" s="993">
        <v>290</v>
      </c>
      <c r="F102"/>
      <c r="G102"/>
    </row>
    <row r="103" spans="1:7">
      <c r="A103" s="992" t="s">
        <v>213</v>
      </c>
      <c r="B103" s="993">
        <v>741</v>
      </c>
      <c r="C103" s="993">
        <v>741</v>
      </c>
      <c r="D103" s="993">
        <v>741</v>
      </c>
      <c r="E103" s="993">
        <v>741</v>
      </c>
      <c r="F103"/>
      <c r="G103"/>
    </row>
    <row r="104" spans="1:7">
      <c r="A104" s="992" t="s">
        <v>290</v>
      </c>
      <c r="B104" s="993">
        <v>607</v>
      </c>
      <c r="C104" s="993">
        <v>607</v>
      </c>
      <c r="D104" s="993">
        <v>560</v>
      </c>
      <c r="E104" s="993">
        <v>607</v>
      </c>
      <c r="F104"/>
      <c r="G104"/>
    </row>
    <row r="105" spans="1:7">
      <c r="A105" s="992" t="s">
        <v>169</v>
      </c>
      <c r="B105" s="993">
        <v>547</v>
      </c>
      <c r="C105" s="993">
        <v>547</v>
      </c>
      <c r="D105" s="993">
        <v>547</v>
      </c>
      <c r="E105" s="993">
        <v>547</v>
      </c>
      <c r="F105"/>
      <c r="G105"/>
    </row>
    <row r="106" spans="1:7">
      <c r="A106" s="992" t="s">
        <v>753</v>
      </c>
      <c r="B106" s="993">
        <v>120</v>
      </c>
      <c r="C106" s="993">
        <v>0</v>
      </c>
      <c r="D106" s="993">
        <v>0</v>
      </c>
      <c r="E106" s="993">
        <v>0</v>
      </c>
      <c r="F106"/>
      <c r="G106"/>
    </row>
    <row r="107" spans="1:7">
      <c r="A107" s="992" t="s">
        <v>750</v>
      </c>
      <c r="B107" s="993">
        <v>85</v>
      </c>
      <c r="C107" s="993">
        <v>10</v>
      </c>
      <c r="D107" s="993">
        <v>80</v>
      </c>
      <c r="E107" s="993">
        <v>85</v>
      </c>
      <c r="F107"/>
      <c r="G107"/>
    </row>
    <row r="108" spans="1:7">
      <c r="A108" s="992" t="s">
        <v>301</v>
      </c>
      <c r="B108" s="993">
        <v>529</v>
      </c>
      <c r="C108" s="993">
        <v>500</v>
      </c>
      <c r="D108" s="993">
        <v>160</v>
      </c>
      <c r="E108" s="993">
        <v>0</v>
      </c>
      <c r="F108"/>
      <c r="G108"/>
    </row>
    <row r="109" spans="1:7">
      <c r="A109" s="992" t="s">
        <v>303</v>
      </c>
      <c r="B109" s="993">
        <v>535</v>
      </c>
      <c r="C109" s="993">
        <v>0</v>
      </c>
      <c r="D109" s="993">
        <v>240</v>
      </c>
      <c r="E109" s="993">
        <v>0</v>
      </c>
      <c r="F109"/>
      <c r="G109"/>
    </row>
    <row r="110" spans="1:7">
      <c r="A110" s="992" t="s">
        <v>304</v>
      </c>
      <c r="B110" s="993">
        <v>2306</v>
      </c>
      <c r="C110" s="993">
        <v>500</v>
      </c>
      <c r="D110" s="993">
        <v>0</v>
      </c>
      <c r="E110" s="993">
        <v>0</v>
      </c>
      <c r="F110"/>
      <c r="G110"/>
    </row>
    <row r="111" spans="1:7">
      <c r="A111" s="992" t="s">
        <v>305</v>
      </c>
      <c r="B111" s="993">
        <v>631</v>
      </c>
      <c r="C111" s="993">
        <v>0</v>
      </c>
      <c r="D111" s="993">
        <v>0</v>
      </c>
      <c r="E111" s="993">
        <v>0</v>
      </c>
      <c r="F111"/>
      <c r="G111"/>
    </row>
    <row r="112" spans="1:7">
      <c r="A112" s="992" t="s">
        <v>986</v>
      </c>
      <c r="B112" s="993">
        <v>1105</v>
      </c>
      <c r="C112" s="993">
        <v>0</v>
      </c>
      <c r="D112" s="993">
        <v>0</v>
      </c>
      <c r="E112" s="993">
        <v>0</v>
      </c>
      <c r="F112"/>
      <c r="G112"/>
    </row>
    <row r="113" spans="1:7">
      <c r="A113" s="992" t="s">
        <v>744</v>
      </c>
      <c r="B113" s="993">
        <v>148</v>
      </c>
      <c r="C113" s="993">
        <v>148</v>
      </c>
      <c r="D113" s="993">
        <v>148</v>
      </c>
      <c r="E113" s="993">
        <v>148</v>
      </c>
      <c r="F113"/>
      <c r="G113"/>
    </row>
    <row r="114" spans="1:7">
      <c r="A114" s="992" t="s">
        <v>719</v>
      </c>
      <c r="B114" s="993">
        <v>156</v>
      </c>
      <c r="C114" s="993">
        <v>156</v>
      </c>
      <c r="D114" s="993">
        <v>156</v>
      </c>
      <c r="E114" s="993">
        <v>156</v>
      </c>
      <c r="F114"/>
      <c r="G114"/>
    </row>
    <row r="115" spans="1:7">
      <c r="A115" s="992" t="s">
        <v>196</v>
      </c>
      <c r="B115" s="993">
        <v>789</v>
      </c>
      <c r="C115" s="993">
        <v>789</v>
      </c>
      <c r="D115" s="993">
        <v>789</v>
      </c>
      <c r="E115" s="993">
        <v>789</v>
      </c>
      <c r="F115"/>
      <c r="G115"/>
    </row>
    <row r="116" spans="1:7">
      <c r="A116" s="992" t="s">
        <v>1004</v>
      </c>
      <c r="B116" s="993">
        <v>290</v>
      </c>
      <c r="C116" s="993">
        <v>0</v>
      </c>
      <c r="D116" s="993">
        <v>0</v>
      </c>
      <c r="E116" s="993">
        <v>0</v>
      </c>
      <c r="F116"/>
      <c r="G116"/>
    </row>
    <row r="117" spans="1:7">
      <c r="A117" s="992" t="s">
        <v>266</v>
      </c>
      <c r="B117" s="993">
        <v>92</v>
      </c>
      <c r="C117" s="993">
        <v>0</v>
      </c>
      <c r="D117" s="993">
        <v>92</v>
      </c>
      <c r="E117" s="993">
        <v>92</v>
      </c>
      <c r="F117"/>
      <c r="G117"/>
    </row>
    <row r="118" spans="1:7">
      <c r="A118" s="992" t="s">
        <v>267</v>
      </c>
      <c r="B118" s="993">
        <v>123</v>
      </c>
      <c r="C118" s="993">
        <v>123</v>
      </c>
      <c r="D118" s="993">
        <v>123</v>
      </c>
      <c r="E118" s="993">
        <v>123</v>
      </c>
      <c r="F118"/>
      <c r="G118"/>
    </row>
    <row r="119" spans="1:7">
      <c r="A119" s="992" t="s">
        <v>260</v>
      </c>
      <c r="B119" s="993">
        <v>15</v>
      </c>
      <c r="C119" s="993">
        <v>0</v>
      </c>
      <c r="D119" s="993">
        <v>0</v>
      </c>
      <c r="E119" s="993">
        <v>15</v>
      </c>
      <c r="F119"/>
      <c r="G119"/>
    </row>
    <row r="120" spans="1:7">
      <c r="A120" s="992" t="s">
        <v>1039</v>
      </c>
      <c r="B120" s="993">
        <v>63</v>
      </c>
      <c r="C120" s="993">
        <v>0</v>
      </c>
      <c r="D120" s="993">
        <v>0</v>
      </c>
      <c r="E120" s="993">
        <v>0</v>
      </c>
      <c r="F120"/>
      <c r="G120"/>
    </row>
    <row r="121" spans="1:7">
      <c r="A121" s="992" t="s">
        <v>216</v>
      </c>
      <c r="B121" s="993">
        <v>527</v>
      </c>
      <c r="C121" s="993">
        <v>527</v>
      </c>
      <c r="D121" s="993">
        <v>280</v>
      </c>
      <c r="E121" s="993">
        <v>527</v>
      </c>
      <c r="F121"/>
      <c r="G121"/>
    </row>
    <row r="122" spans="1:7">
      <c r="A122" s="992" t="s">
        <v>1013</v>
      </c>
      <c r="B122" s="993">
        <v>1067</v>
      </c>
      <c r="C122" s="993">
        <v>0</v>
      </c>
      <c r="D122" s="993">
        <v>0</v>
      </c>
      <c r="E122" s="993">
        <v>0</v>
      </c>
      <c r="F122"/>
      <c r="G122"/>
    </row>
    <row r="123" spans="1:7">
      <c r="A123" s="992" t="s">
        <v>757</v>
      </c>
      <c r="B123" s="993">
        <v>328</v>
      </c>
      <c r="C123" s="993">
        <v>328</v>
      </c>
      <c r="D123" s="993">
        <v>200</v>
      </c>
      <c r="E123" s="993">
        <v>0</v>
      </c>
      <c r="F123"/>
      <c r="G123"/>
    </row>
    <row r="124" spans="1:7">
      <c r="A124" s="992" t="s">
        <v>741</v>
      </c>
      <c r="B124" s="993">
        <v>180</v>
      </c>
      <c r="C124" s="993">
        <v>180</v>
      </c>
      <c r="D124" s="993">
        <v>180</v>
      </c>
      <c r="E124" s="993">
        <v>0</v>
      </c>
      <c r="F124"/>
      <c r="G124"/>
    </row>
    <row r="125" spans="1:7">
      <c r="A125" s="992" t="s">
        <v>724</v>
      </c>
      <c r="B125" s="993">
        <v>264</v>
      </c>
      <c r="C125" s="993">
        <v>264</v>
      </c>
      <c r="D125" s="993">
        <v>30</v>
      </c>
      <c r="E125" s="993">
        <v>0</v>
      </c>
      <c r="F125"/>
      <c r="G125"/>
    </row>
    <row r="126" spans="1:7">
      <c r="A126" s="992" t="s">
        <v>720</v>
      </c>
      <c r="B126" s="993">
        <v>111</v>
      </c>
      <c r="C126" s="993">
        <v>111</v>
      </c>
      <c r="D126" s="993">
        <v>111</v>
      </c>
      <c r="E126" s="993">
        <v>111</v>
      </c>
      <c r="F126"/>
      <c r="G126"/>
    </row>
    <row r="127" spans="1:7">
      <c r="A127" s="992" t="s">
        <v>722</v>
      </c>
      <c r="B127" s="993">
        <v>114</v>
      </c>
      <c r="C127" s="993">
        <v>114</v>
      </c>
      <c r="D127" s="993">
        <v>114</v>
      </c>
      <c r="E127" s="993">
        <v>114</v>
      </c>
      <c r="F127"/>
      <c r="G127"/>
    </row>
    <row r="128" spans="1:7">
      <c r="A128" s="992" t="s">
        <v>204</v>
      </c>
      <c r="B128" s="993">
        <v>45</v>
      </c>
      <c r="C128" s="993">
        <v>45</v>
      </c>
      <c r="D128" s="993">
        <v>45</v>
      </c>
      <c r="E128" s="993">
        <v>45</v>
      </c>
      <c r="F128"/>
      <c r="G128"/>
    </row>
    <row r="129" spans="1:7">
      <c r="A129" s="992" t="s">
        <v>193</v>
      </c>
      <c r="B129" s="993">
        <v>18</v>
      </c>
      <c r="C129" s="993">
        <v>0</v>
      </c>
      <c r="D129" s="993">
        <v>0</v>
      </c>
      <c r="E129" s="993">
        <v>0</v>
      </c>
      <c r="F129"/>
      <c r="G129"/>
    </row>
    <row r="130" spans="1:7">
      <c r="A130" s="992" t="s">
        <v>1023</v>
      </c>
      <c r="B130" s="993">
        <v>153</v>
      </c>
      <c r="C130" s="993">
        <v>0</v>
      </c>
      <c r="D130" s="993">
        <v>0</v>
      </c>
      <c r="E130" s="993">
        <v>0</v>
      </c>
      <c r="F130"/>
      <c r="G130"/>
    </row>
    <row r="131" spans="1:7">
      <c r="A131" s="992" t="s">
        <v>723</v>
      </c>
      <c r="B131" s="993">
        <v>401</v>
      </c>
      <c r="C131" s="993">
        <v>401</v>
      </c>
      <c r="D131" s="993">
        <v>400</v>
      </c>
      <c r="E131" s="993">
        <v>401</v>
      </c>
      <c r="F131"/>
      <c r="G131"/>
    </row>
    <row r="132" spans="1:7">
      <c r="A132" s="992" t="s">
        <v>759</v>
      </c>
      <c r="B132" s="993">
        <v>350</v>
      </c>
      <c r="C132" s="993">
        <v>0</v>
      </c>
      <c r="D132" s="993">
        <v>200</v>
      </c>
      <c r="E132" s="993">
        <v>350</v>
      </c>
      <c r="F132"/>
      <c r="G132"/>
    </row>
    <row r="133" spans="1:7">
      <c r="A133" s="992" t="s">
        <v>747</v>
      </c>
      <c r="B133" s="993">
        <v>176</v>
      </c>
      <c r="C133" s="993">
        <v>176</v>
      </c>
      <c r="D133" s="993">
        <v>0</v>
      </c>
      <c r="E133" s="993">
        <v>176</v>
      </c>
      <c r="F133"/>
      <c r="G133"/>
    </row>
    <row r="134" spans="1:7">
      <c r="A134" s="992" t="s">
        <v>713</v>
      </c>
      <c r="B134" s="993">
        <v>212</v>
      </c>
      <c r="C134" s="993">
        <v>212</v>
      </c>
      <c r="D134" s="993">
        <v>212</v>
      </c>
      <c r="E134" s="993">
        <v>212</v>
      </c>
      <c r="F134"/>
      <c r="G134"/>
    </row>
    <row r="135" spans="1:7">
      <c r="A135" s="992" t="s">
        <v>727</v>
      </c>
      <c r="B135" s="993">
        <v>263</v>
      </c>
      <c r="C135" s="993">
        <v>263</v>
      </c>
      <c r="D135" s="993">
        <v>263</v>
      </c>
      <c r="E135" s="993">
        <v>66.666666666666671</v>
      </c>
      <c r="F135"/>
      <c r="G135"/>
    </row>
    <row r="136" spans="1:7">
      <c r="A136" s="992" t="s">
        <v>261</v>
      </c>
      <c r="B136" s="993">
        <v>42</v>
      </c>
      <c r="C136" s="993">
        <v>42</v>
      </c>
      <c r="D136" s="993">
        <v>42</v>
      </c>
      <c r="E136" s="993">
        <v>42</v>
      </c>
      <c r="F136"/>
      <c r="G136"/>
    </row>
    <row r="137" spans="1:7">
      <c r="A137" s="992" t="s">
        <v>731</v>
      </c>
      <c r="B137" s="993">
        <v>182</v>
      </c>
      <c r="C137" s="993">
        <v>182</v>
      </c>
      <c r="D137" s="993">
        <v>182</v>
      </c>
      <c r="E137" s="993">
        <v>182</v>
      </c>
      <c r="F137"/>
      <c r="G137"/>
    </row>
    <row r="138" spans="1:7">
      <c r="A138" s="992" t="s">
        <v>743</v>
      </c>
      <c r="B138" s="993">
        <v>161</v>
      </c>
      <c r="C138" s="993">
        <v>161</v>
      </c>
      <c r="D138" s="993">
        <v>160</v>
      </c>
      <c r="E138" s="993">
        <v>66.666666666666671</v>
      </c>
      <c r="F138"/>
      <c r="G138"/>
    </row>
    <row r="139" spans="1:7">
      <c r="A139" s="992" t="s">
        <v>749</v>
      </c>
      <c r="B139" s="993">
        <v>568</v>
      </c>
      <c r="C139" s="993">
        <v>0</v>
      </c>
      <c r="D139" s="993">
        <v>320</v>
      </c>
      <c r="E139" s="993">
        <v>0</v>
      </c>
      <c r="F139"/>
      <c r="G139"/>
    </row>
    <row r="140" spans="1:7">
      <c r="A140" s="992" t="s">
        <v>237</v>
      </c>
      <c r="B140" s="993">
        <v>309</v>
      </c>
      <c r="C140" s="993">
        <v>309</v>
      </c>
      <c r="D140" s="993">
        <v>309</v>
      </c>
      <c r="E140" s="993">
        <v>309</v>
      </c>
      <c r="F140"/>
      <c r="G140"/>
    </row>
    <row r="141" spans="1:7">
      <c r="A141" s="992" t="s">
        <v>234</v>
      </c>
      <c r="B141" s="993">
        <v>218</v>
      </c>
      <c r="C141" s="993">
        <v>218</v>
      </c>
      <c r="D141" s="993">
        <v>218</v>
      </c>
      <c r="E141" s="993">
        <v>218</v>
      </c>
      <c r="F141"/>
      <c r="G141"/>
    </row>
    <row r="142" spans="1:7">
      <c r="A142" s="992" t="s">
        <v>158</v>
      </c>
      <c r="B142" s="993">
        <v>41</v>
      </c>
      <c r="C142" s="993">
        <v>41</v>
      </c>
      <c r="D142" s="993">
        <v>41</v>
      </c>
      <c r="E142" s="993">
        <v>41</v>
      </c>
      <c r="F142"/>
      <c r="G142"/>
    </row>
    <row r="143" spans="1:7">
      <c r="A143" s="992" t="s">
        <v>273</v>
      </c>
      <c r="B143" s="993">
        <v>82</v>
      </c>
      <c r="C143" s="993">
        <v>0</v>
      </c>
      <c r="D143" s="993">
        <v>82</v>
      </c>
      <c r="E143" s="993">
        <v>82</v>
      </c>
      <c r="F143"/>
      <c r="G143"/>
    </row>
    <row r="144" spans="1:7">
      <c r="A144" s="992" t="s">
        <v>161</v>
      </c>
      <c r="B144" s="993">
        <v>113</v>
      </c>
      <c r="C144" s="993">
        <v>113</v>
      </c>
      <c r="D144" s="993">
        <v>100</v>
      </c>
      <c r="E144" s="993">
        <v>113</v>
      </c>
      <c r="F144"/>
      <c r="G144"/>
    </row>
    <row r="145" spans="1:7">
      <c r="A145" s="992" t="s">
        <v>188</v>
      </c>
      <c r="B145" s="993">
        <v>547</v>
      </c>
      <c r="C145" s="993">
        <v>547</v>
      </c>
      <c r="D145" s="993">
        <v>547</v>
      </c>
      <c r="E145" s="993">
        <v>66.666666666666671</v>
      </c>
      <c r="F145"/>
      <c r="G145"/>
    </row>
    <row r="146" spans="1:7">
      <c r="A146" s="992" t="s">
        <v>738</v>
      </c>
      <c r="B146" s="993">
        <v>632</v>
      </c>
      <c r="C146" s="993">
        <v>632</v>
      </c>
      <c r="D146" s="993">
        <v>525</v>
      </c>
      <c r="E146" s="993">
        <v>0</v>
      </c>
      <c r="F146"/>
      <c r="G146"/>
    </row>
    <row r="147" spans="1:7">
      <c r="A147" s="992" t="s">
        <v>298</v>
      </c>
      <c r="B147" s="993">
        <v>1675</v>
      </c>
      <c r="C147" s="993">
        <v>1675</v>
      </c>
      <c r="D147" s="993">
        <v>1675</v>
      </c>
      <c r="E147" s="993">
        <v>1500</v>
      </c>
      <c r="F147"/>
      <c r="G147"/>
    </row>
    <row r="148" spans="1:7">
      <c r="A148" s="992" t="s">
        <v>170</v>
      </c>
      <c r="B148" s="993">
        <v>281</v>
      </c>
      <c r="C148" s="993">
        <v>281</v>
      </c>
      <c r="D148" s="993">
        <v>281</v>
      </c>
      <c r="E148" s="993">
        <v>281</v>
      </c>
      <c r="F148"/>
      <c r="G148"/>
    </row>
    <row r="149" spans="1:7">
      <c r="A149" s="992" t="s">
        <v>287</v>
      </c>
      <c r="B149" s="993">
        <v>294</v>
      </c>
      <c r="C149" s="993">
        <v>294</v>
      </c>
      <c r="D149" s="993">
        <v>294</v>
      </c>
      <c r="E149" s="993">
        <v>294</v>
      </c>
      <c r="F149"/>
      <c r="G149"/>
    </row>
    <row r="150" spans="1:7">
      <c r="A150" s="992" t="s">
        <v>238</v>
      </c>
      <c r="B150" s="993">
        <v>882</v>
      </c>
      <c r="C150" s="993">
        <v>882</v>
      </c>
      <c r="D150" s="993">
        <v>882</v>
      </c>
      <c r="E150" s="993">
        <v>882</v>
      </c>
      <c r="F150"/>
      <c r="G150"/>
    </row>
    <row r="151" spans="1:7">
      <c r="A151" s="992" t="s">
        <v>299</v>
      </c>
      <c r="B151" s="993">
        <v>2975</v>
      </c>
      <c r="C151" s="993">
        <v>2975</v>
      </c>
      <c r="D151" s="993">
        <v>2975</v>
      </c>
      <c r="E151" s="993">
        <v>1916.6666666666667</v>
      </c>
      <c r="F151"/>
      <c r="G151"/>
    </row>
    <row r="152" spans="1:7">
      <c r="A152" s="992" t="s">
        <v>183</v>
      </c>
      <c r="B152" s="993">
        <v>846</v>
      </c>
      <c r="C152" s="993">
        <v>846</v>
      </c>
      <c r="D152" s="993">
        <v>750</v>
      </c>
      <c r="E152" s="993">
        <v>200</v>
      </c>
      <c r="F152"/>
      <c r="G152"/>
    </row>
    <row r="153" spans="1:7">
      <c r="A153" s="992" t="s">
        <v>758</v>
      </c>
      <c r="B153" s="993">
        <v>196</v>
      </c>
      <c r="C153" s="993">
        <v>196</v>
      </c>
      <c r="D153" s="993">
        <v>196</v>
      </c>
      <c r="E153" s="993">
        <v>66.666666666666671</v>
      </c>
      <c r="F153"/>
      <c r="G153"/>
    </row>
    <row r="154" spans="1:7">
      <c r="A154" s="992" t="s">
        <v>733</v>
      </c>
      <c r="B154" s="993">
        <v>27</v>
      </c>
      <c r="C154" s="993">
        <v>27</v>
      </c>
      <c r="D154" s="993">
        <v>27</v>
      </c>
      <c r="E154" s="993">
        <v>27</v>
      </c>
      <c r="F154"/>
      <c r="G154"/>
    </row>
    <row r="155" spans="1:7">
      <c r="A155" s="992" t="s">
        <v>228</v>
      </c>
      <c r="B155" s="993">
        <v>264</v>
      </c>
      <c r="C155" s="993">
        <v>0</v>
      </c>
      <c r="D155" s="993">
        <v>264</v>
      </c>
      <c r="E155" s="993">
        <v>66.666666666666671</v>
      </c>
      <c r="F155"/>
      <c r="G155"/>
    </row>
    <row r="156" spans="1:7">
      <c r="A156" s="992" t="s">
        <v>282</v>
      </c>
      <c r="B156" s="993">
        <v>514</v>
      </c>
      <c r="C156" s="993">
        <v>514</v>
      </c>
      <c r="D156" s="993">
        <v>514</v>
      </c>
      <c r="E156" s="993">
        <v>514</v>
      </c>
      <c r="F156"/>
      <c r="G156"/>
    </row>
    <row r="157" spans="1:7">
      <c r="A157" s="992" t="s">
        <v>241</v>
      </c>
      <c r="B157" s="993">
        <v>612</v>
      </c>
      <c r="C157" s="993">
        <v>612</v>
      </c>
      <c r="D157" s="993">
        <v>612</v>
      </c>
      <c r="E157" s="993">
        <v>612</v>
      </c>
      <c r="F157"/>
      <c r="G157"/>
    </row>
    <row r="158" spans="1:7">
      <c r="A158" s="992" t="s">
        <v>274</v>
      </c>
      <c r="B158" s="993">
        <v>493</v>
      </c>
      <c r="C158" s="993">
        <v>0</v>
      </c>
      <c r="D158" s="993">
        <v>493</v>
      </c>
      <c r="E158" s="993">
        <v>493</v>
      </c>
      <c r="F158"/>
      <c r="G158"/>
    </row>
    <row r="159" spans="1:7">
      <c r="A159" s="992" t="s">
        <v>184</v>
      </c>
      <c r="B159" s="993">
        <v>307</v>
      </c>
      <c r="C159" s="993">
        <v>307</v>
      </c>
      <c r="D159" s="993">
        <v>280</v>
      </c>
      <c r="E159" s="993">
        <v>307</v>
      </c>
      <c r="F159"/>
      <c r="G159"/>
    </row>
    <row r="160" spans="1:7">
      <c r="A160" s="992" t="s">
        <v>275</v>
      </c>
      <c r="B160" s="993">
        <v>189</v>
      </c>
      <c r="C160" s="993">
        <v>0</v>
      </c>
      <c r="D160" s="993">
        <v>189</v>
      </c>
      <c r="E160" s="993">
        <v>189</v>
      </c>
      <c r="F160"/>
      <c r="G160"/>
    </row>
    <row r="161" spans="1:7">
      <c r="A161" s="992" t="s">
        <v>262</v>
      </c>
      <c r="B161" s="993">
        <v>38</v>
      </c>
      <c r="C161" s="993">
        <v>38</v>
      </c>
      <c r="D161" s="993">
        <v>38</v>
      </c>
      <c r="E161" s="993">
        <v>38</v>
      </c>
      <c r="F161"/>
      <c r="G161"/>
    </row>
    <row r="162" spans="1:7">
      <c r="A162" s="992" t="s">
        <v>283</v>
      </c>
      <c r="B162" s="993">
        <v>3859</v>
      </c>
      <c r="C162" s="993">
        <v>3000</v>
      </c>
      <c r="D162" s="993">
        <v>2920</v>
      </c>
      <c r="E162" s="993">
        <v>3859</v>
      </c>
      <c r="F162"/>
      <c r="G162"/>
    </row>
    <row r="163" spans="1:7">
      <c r="A163" s="992" t="s">
        <v>190</v>
      </c>
      <c r="B163" s="993">
        <v>325</v>
      </c>
      <c r="C163" s="993">
        <v>325</v>
      </c>
      <c r="D163" s="993">
        <v>325</v>
      </c>
      <c r="E163" s="993">
        <v>66.666666666666671</v>
      </c>
      <c r="F163"/>
      <c r="G163"/>
    </row>
    <row r="164" spans="1:7">
      <c r="A164" s="992" t="s">
        <v>159</v>
      </c>
      <c r="B164" s="993">
        <v>136</v>
      </c>
      <c r="C164" s="993">
        <v>136</v>
      </c>
      <c r="D164" s="993">
        <v>136</v>
      </c>
      <c r="E164" s="993">
        <v>136</v>
      </c>
      <c r="F164"/>
      <c r="G164"/>
    </row>
    <row r="165" spans="1:7">
      <c r="A165" s="992" t="s">
        <v>230</v>
      </c>
      <c r="B165" s="993">
        <v>173</v>
      </c>
      <c r="C165" s="993">
        <v>173</v>
      </c>
      <c r="D165" s="993">
        <v>173</v>
      </c>
      <c r="E165" s="993">
        <v>0</v>
      </c>
      <c r="F165"/>
      <c r="G165"/>
    </row>
    <row r="166" spans="1:7">
      <c r="A166" s="992" t="s">
        <v>289</v>
      </c>
      <c r="B166" s="993">
        <v>255</v>
      </c>
      <c r="C166" s="993">
        <v>255</v>
      </c>
      <c r="D166" s="993">
        <v>255</v>
      </c>
      <c r="E166" s="993">
        <v>255</v>
      </c>
      <c r="F166"/>
      <c r="G166"/>
    </row>
    <row r="167" spans="1:7">
      <c r="A167" s="992" t="s">
        <v>146</v>
      </c>
      <c r="B167" s="993">
        <v>1775</v>
      </c>
      <c r="C167" s="993">
        <v>1775</v>
      </c>
      <c r="D167" s="993">
        <v>1775</v>
      </c>
      <c r="E167" s="993">
        <v>266.66666666666669</v>
      </c>
      <c r="F167"/>
      <c r="G167"/>
    </row>
    <row r="168" spans="1:7">
      <c r="A168" s="992" t="s">
        <v>191</v>
      </c>
      <c r="B168" s="993">
        <v>103</v>
      </c>
      <c r="C168" s="993">
        <v>103</v>
      </c>
      <c r="D168" s="993">
        <v>103</v>
      </c>
      <c r="E168" s="993">
        <v>103</v>
      </c>
      <c r="F168"/>
      <c r="G168"/>
    </row>
    <row r="169" spans="1:7">
      <c r="A169" s="992" t="s">
        <v>192</v>
      </c>
      <c r="B169" s="993">
        <v>11</v>
      </c>
      <c r="C169" s="993">
        <v>0</v>
      </c>
      <c r="D169" s="993">
        <v>0</v>
      </c>
      <c r="E169" s="993">
        <v>0</v>
      </c>
      <c r="F169"/>
      <c r="G169"/>
    </row>
    <row r="170" spans="1:7">
      <c r="A170" s="992" t="s">
        <v>194</v>
      </c>
      <c r="B170" s="993">
        <v>80</v>
      </c>
      <c r="C170" s="993">
        <v>80</v>
      </c>
      <c r="D170" s="993">
        <v>80</v>
      </c>
      <c r="E170" s="993">
        <v>80</v>
      </c>
      <c r="F170"/>
      <c r="G170"/>
    </row>
    <row r="171" spans="1:7">
      <c r="A171" s="992" t="s">
        <v>171</v>
      </c>
      <c r="B171" s="993">
        <v>534</v>
      </c>
      <c r="C171" s="993">
        <v>534</v>
      </c>
      <c r="D171" s="993">
        <v>260</v>
      </c>
      <c r="E171" s="993">
        <v>534</v>
      </c>
      <c r="F171"/>
      <c r="G171"/>
    </row>
    <row r="172" spans="1:7">
      <c r="A172" s="992" t="s">
        <v>268</v>
      </c>
      <c r="B172" s="993">
        <v>111</v>
      </c>
      <c r="C172" s="993">
        <v>0</v>
      </c>
      <c r="D172" s="993">
        <v>111</v>
      </c>
      <c r="E172" s="993">
        <v>111</v>
      </c>
    </row>
    <row r="173" spans="1:7">
      <c r="A173" s="992" t="s">
        <v>185</v>
      </c>
      <c r="B173" s="993">
        <v>958</v>
      </c>
      <c r="C173" s="993">
        <v>0</v>
      </c>
      <c r="D173" s="993">
        <v>958</v>
      </c>
      <c r="E173" s="993">
        <v>66.666666666666671</v>
      </c>
    </row>
    <row r="174" spans="1:7">
      <c r="A174" s="992" t="s">
        <v>218</v>
      </c>
      <c r="B174" s="993">
        <v>298</v>
      </c>
      <c r="C174" s="993">
        <v>298</v>
      </c>
      <c r="D174" s="993">
        <v>260</v>
      </c>
      <c r="E174" s="993">
        <v>298</v>
      </c>
    </row>
    <row r="175" spans="1:7">
      <c r="A175" s="992" t="s">
        <v>219</v>
      </c>
      <c r="B175" s="993">
        <v>189</v>
      </c>
      <c r="C175" s="993">
        <v>189</v>
      </c>
      <c r="D175" s="993">
        <v>180</v>
      </c>
      <c r="E175" s="993">
        <v>189</v>
      </c>
    </row>
    <row r="176" spans="1:7">
      <c r="A176" s="992" t="s">
        <v>172</v>
      </c>
      <c r="B176" s="993">
        <v>499</v>
      </c>
      <c r="C176" s="993">
        <v>499</v>
      </c>
      <c r="D176" s="993">
        <v>340</v>
      </c>
      <c r="E176" s="993">
        <v>499</v>
      </c>
    </row>
    <row r="177" spans="1:5">
      <c r="A177" s="992" t="s">
        <v>242</v>
      </c>
      <c r="B177" s="993">
        <v>52</v>
      </c>
      <c r="C177" s="993">
        <v>52</v>
      </c>
      <c r="D177" s="993">
        <v>52</v>
      </c>
      <c r="E177" s="993">
        <v>52</v>
      </c>
    </row>
    <row r="178" spans="1:5">
      <c r="A178" s="992" t="s">
        <v>187</v>
      </c>
      <c r="B178" s="993">
        <v>32</v>
      </c>
      <c r="C178" s="993">
        <v>0</v>
      </c>
      <c r="D178" s="993">
        <v>0</v>
      </c>
      <c r="E178" s="993">
        <v>0</v>
      </c>
    </row>
    <row r="179" spans="1:5">
      <c r="A179" s="992" t="s">
        <v>1150</v>
      </c>
      <c r="B179" s="993">
        <v>175</v>
      </c>
      <c r="C179" s="993">
        <v>30</v>
      </c>
      <c r="D179" s="993">
        <v>80</v>
      </c>
      <c r="E179" s="993">
        <v>175</v>
      </c>
    </row>
    <row r="180" spans="1:5">
      <c r="A180" s="992" t="s">
        <v>173</v>
      </c>
      <c r="B180" s="993">
        <v>351</v>
      </c>
      <c r="C180" s="993">
        <v>351</v>
      </c>
      <c r="D180" s="993">
        <v>220</v>
      </c>
      <c r="E180" s="993">
        <v>351</v>
      </c>
    </row>
    <row r="181" spans="1:5">
      <c r="A181" s="992" t="s">
        <v>269</v>
      </c>
      <c r="B181" s="993">
        <v>253</v>
      </c>
      <c r="C181" s="993">
        <v>253</v>
      </c>
      <c r="D181" s="993">
        <v>253</v>
      </c>
      <c r="E181" s="993">
        <v>253</v>
      </c>
    </row>
    <row r="182" spans="1:5">
      <c r="A182" s="992" t="s">
        <v>270</v>
      </c>
      <c r="B182" s="993">
        <v>77</v>
      </c>
      <c r="C182" s="993">
        <v>0</v>
      </c>
      <c r="D182" s="993">
        <v>77</v>
      </c>
      <c r="E182" s="993">
        <v>77</v>
      </c>
    </row>
    <row r="183" spans="1:5">
      <c r="A183" s="992" t="s">
        <v>174</v>
      </c>
      <c r="B183" s="993">
        <v>165</v>
      </c>
      <c r="C183" s="993">
        <v>165</v>
      </c>
      <c r="D183" s="993">
        <v>100</v>
      </c>
      <c r="E183" s="993">
        <v>165</v>
      </c>
    </row>
    <row r="184" spans="1:5">
      <c r="A184" s="992" t="s">
        <v>175</v>
      </c>
      <c r="B184" s="993">
        <v>219</v>
      </c>
      <c r="C184" s="993">
        <v>219</v>
      </c>
      <c r="D184" s="993">
        <v>219</v>
      </c>
      <c r="E184" s="993">
        <v>219</v>
      </c>
    </row>
    <row r="185" spans="1:5">
      <c r="A185" s="992" t="s">
        <v>277</v>
      </c>
      <c r="B185" s="993">
        <v>186</v>
      </c>
      <c r="C185" s="993">
        <v>0</v>
      </c>
      <c r="D185" s="993">
        <v>140</v>
      </c>
      <c r="E185" s="993">
        <v>186</v>
      </c>
    </row>
    <row r="186" spans="1:5">
      <c r="A186" s="992" t="s">
        <v>1089</v>
      </c>
      <c r="B186" s="993">
        <v>75</v>
      </c>
      <c r="C186" s="993">
        <v>0</v>
      </c>
      <c r="D186" s="993">
        <v>0</v>
      </c>
      <c r="E186" s="993">
        <v>0</v>
      </c>
    </row>
    <row r="187" spans="1:5">
      <c r="A187" s="992" t="s">
        <v>760</v>
      </c>
      <c r="B187" s="993">
        <v>183</v>
      </c>
      <c r="C187" s="993">
        <v>183</v>
      </c>
      <c r="D187" s="993">
        <v>183</v>
      </c>
      <c r="E187" s="993">
        <v>183</v>
      </c>
    </row>
    <row r="188" spans="1:5">
      <c r="A188" s="992" t="s">
        <v>278</v>
      </c>
      <c r="B188" s="993">
        <v>263</v>
      </c>
      <c r="C188" s="993">
        <v>0</v>
      </c>
      <c r="D188" s="993">
        <v>200</v>
      </c>
      <c r="E188" s="993">
        <v>263</v>
      </c>
    </row>
    <row r="189" spans="1:5">
      <c r="A189" s="992" t="s">
        <v>264</v>
      </c>
      <c r="B189" s="993">
        <v>172</v>
      </c>
      <c r="C189" s="993">
        <v>172</v>
      </c>
      <c r="D189" s="993">
        <v>172</v>
      </c>
      <c r="E189" s="993">
        <v>172</v>
      </c>
    </row>
    <row r="190" spans="1:5">
      <c r="A190" s="992" t="s">
        <v>224</v>
      </c>
      <c r="B190" s="993">
        <v>6501</v>
      </c>
      <c r="C190" s="993">
        <v>6501</v>
      </c>
      <c r="D190" s="993">
        <v>4700</v>
      </c>
      <c r="E190" s="993">
        <v>595.14074074074074</v>
      </c>
    </row>
    <row r="191" spans="1:5">
      <c r="A191" s="992" t="s">
        <v>226</v>
      </c>
      <c r="B191" s="993">
        <v>709</v>
      </c>
      <c r="C191" s="993">
        <v>709</v>
      </c>
      <c r="D191" s="993">
        <v>0</v>
      </c>
      <c r="E191" s="993">
        <v>0</v>
      </c>
    </row>
    <row r="192" spans="1:5">
      <c r="A192" s="992" t="s">
        <v>225</v>
      </c>
      <c r="B192" s="993">
        <v>2550</v>
      </c>
      <c r="C192" s="993">
        <v>2550</v>
      </c>
      <c r="D192" s="993">
        <v>0</v>
      </c>
      <c r="E192" s="993">
        <v>0</v>
      </c>
    </row>
    <row r="193" spans="1:5">
      <c r="A193" s="992" t="s">
        <v>265</v>
      </c>
      <c r="B193" s="993">
        <v>67</v>
      </c>
      <c r="C193" s="993">
        <v>67</v>
      </c>
      <c r="D193" s="993">
        <v>67</v>
      </c>
      <c r="E193" s="993">
        <v>0</v>
      </c>
    </row>
    <row r="194" spans="1:5">
      <c r="A194" s="992" t="s">
        <v>734</v>
      </c>
      <c r="B194" s="993">
        <v>1077</v>
      </c>
      <c r="C194" s="993">
        <v>1077</v>
      </c>
      <c r="D194" s="993">
        <v>1025</v>
      </c>
      <c r="E194" s="993">
        <v>1077</v>
      </c>
    </row>
    <row r="195" spans="1:5">
      <c r="A195" s="992" t="s">
        <v>2002</v>
      </c>
      <c r="B195" s="993">
        <v>235</v>
      </c>
      <c r="C195" s="993">
        <v>235</v>
      </c>
      <c r="D195" s="993">
        <v>235</v>
      </c>
      <c r="E195" s="993">
        <v>235</v>
      </c>
    </row>
    <row r="196" spans="1:5">
      <c r="A196" s="992" t="s">
        <v>2003</v>
      </c>
      <c r="B196" s="993">
        <v>396</v>
      </c>
      <c r="C196" s="993">
        <v>396</v>
      </c>
      <c r="D196" s="993">
        <v>320</v>
      </c>
      <c r="E196" s="993">
        <v>396</v>
      </c>
    </row>
    <row r="197" spans="1:5">
      <c r="A197" s="992" t="s">
        <v>2004</v>
      </c>
      <c r="B197" s="993">
        <v>32</v>
      </c>
      <c r="C197" s="993">
        <v>0</v>
      </c>
      <c r="D197" s="993">
        <v>0</v>
      </c>
      <c r="E197" s="993">
        <v>0</v>
      </c>
    </row>
    <row r="198" spans="1:5">
      <c r="A198" s="992" t="s">
        <v>2006</v>
      </c>
      <c r="B198" s="993">
        <v>87</v>
      </c>
      <c r="C198" s="993">
        <v>0</v>
      </c>
      <c r="D198" s="993">
        <v>87</v>
      </c>
      <c r="E198" s="993">
        <v>66.666666666666671</v>
      </c>
    </row>
    <row r="199" spans="1:5">
      <c r="A199" s="992" t="s">
        <v>1059</v>
      </c>
      <c r="B199" s="993">
        <v>449</v>
      </c>
      <c r="C199" s="993">
        <v>0</v>
      </c>
      <c r="D199" s="993">
        <v>0</v>
      </c>
      <c r="E199" s="993">
        <v>0</v>
      </c>
    </row>
    <row r="200" spans="1:5">
      <c r="A200" s="992" t="s">
        <v>2019</v>
      </c>
      <c r="B200" s="993">
        <v>218</v>
      </c>
      <c r="C200" s="993">
        <v>218</v>
      </c>
      <c r="D200" s="993">
        <v>218</v>
      </c>
      <c r="E200" s="993">
        <v>218</v>
      </c>
    </row>
    <row r="201" spans="1:5">
      <c r="A201" s="992" t="s">
        <v>2021</v>
      </c>
      <c r="B201" s="993">
        <v>63</v>
      </c>
      <c r="C201" s="993">
        <v>63</v>
      </c>
      <c r="D201" s="993">
        <v>63</v>
      </c>
      <c r="E201" s="993">
        <v>63</v>
      </c>
    </row>
    <row r="202" spans="1:5">
      <c r="A202" s="992" t="s">
        <v>1111</v>
      </c>
      <c r="B202" s="993">
        <v>39</v>
      </c>
      <c r="C202" s="993">
        <v>30</v>
      </c>
      <c r="D202" s="993">
        <v>0</v>
      </c>
      <c r="E202" s="993">
        <v>39</v>
      </c>
    </row>
    <row r="203" spans="1:5">
      <c r="A203" s="992" t="s">
        <v>2070</v>
      </c>
      <c r="B203" s="993">
        <v>1397</v>
      </c>
      <c r="C203" s="993">
        <v>0</v>
      </c>
      <c r="D203" s="993">
        <v>100</v>
      </c>
      <c r="E203" s="993">
        <v>1397</v>
      </c>
    </row>
    <row r="204" spans="1:5">
      <c r="A204" s="992" t="s">
        <v>2071</v>
      </c>
      <c r="B204" s="993">
        <v>329</v>
      </c>
      <c r="C204" s="993">
        <v>329</v>
      </c>
      <c r="D204" s="993">
        <v>300</v>
      </c>
      <c r="E204" s="993">
        <v>329</v>
      </c>
    </row>
    <row r="205" spans="1:5">
      <c r="A205" s="992" t="s">
        <v>2075</v>
      </c>
      <c r="B205" s="993">
        <v>324</v>
      </c>
      <c r="C205" s="993">
        <v>0</v>
      </c>
      <c r="D205" s="993">
        <v>0</v>
      </c>
      <c r="E205" s="993">
        <v>0</v>
      </c>
    </row>
    <row r="206" spans="1:5">
      <c r="A206" s="992" t="s">
        <v>2080</v>
      </c>
      <c r="B206" s="993">
        <v>252</v>
      </c>
      <c r="C206" s="993">
        <v>0</v>
      </c>
      <c r="D206" s="993">
        <v>0</v>
      </c>
      <c r="E206" s="993">
        <v>0</v>
      </c>
    </row>
    <row r="207" spans="1:5">
      <c r="A207" s="992" t="s">
        <v>2076</v>
      </c>
      <c r="B207" s="993">
        <v>103</v>
      </c>
      <c r="C207" s="993">
        <v>0</v>
      </c>
      <c r="D207" s="993">
        <v>0</v>
      </c>
      <c r="E207" s="993">
        <v>0</v>
      </c>
    </row>
    <row r="208" spans="1:5">
      <c r="A208" s="992" t="s">
        <v>2077</v>
      </c>
      <c r="B208" s="993">
        <v>270</v>
      </c>
      <c r="C208" s="993">
        <v>0</v>
      </c>
      <c r="D208" s="993">
        <v>0</v>
      </c>
      <c r="E208" s="993">
        <v>0</v>
      </c>
    </row>
    <row r="209" spans="1:5">
      <c r="A209" s="992" t="s">
        <v>2078</v>
      </c>
      <c r="B209" s="993">
        <v>381</v>
      </c>
      <c r="C209" s="993">
        <v>0</v>
      </c>
      <c r="D209" s="993">
        <v>0</v>
      </c>
      <c r="E209" s="993">
        <v>0</v>
      </c>
    </row>
    <row r="210" spans="1:5">
      <c r="A210" s="992" t="s">
        <v>2079</v>
      </c>
      <c r="B210" s="993">
        <v>121</v>
      </c>
      <c r="C210" s="993">
        <v>0</v>
      </c>
      <c r="D210" s="993">
        <v>0</v>
      </c>
      <c r="E210" s="993">
        <v>0</v>
      </c>
    </row>
    <row r="211" spans="1:5">
      <c r="A211" s="992" t="s">
        <v>2073</v>
      </c>
      <c r="B211" s="993">
        <v>36</v>
      </c>
      <c r="C211" s="993">
        <v>36</v>
      </c>
      <c r="D211" s="993">
        <v>36</v>
      </c>
      <c r="E211" s="993">
        <v>36</v>
      </c>
    </row>
    <row r="212" spans="1:5">
      <c r="A212" s="992" t="s">
        <v>2175</v>
      </c>
      <c r="B212" s="993">
        <v>78</v>
      </c>
      <c r="C212" s="993">
        <v>78</v>
      </c>
      <c r="D212" s="993">
        <v>40</v>
      </c>
      <c r="E212" s="993">
        <v>78</v>
      </c>
    </row>
    <row r="213" spans="1:5">
      <c r="A213" s="992" t="s">
        <v>2177</v>
      </c>
      <c r="B213" s="993">
        <v>450</v>
      </c>
      <c r="C213" s="993">
        <v>0</v>
      </c>
      <c r="D213" s="993">
        <v>0</v>
      </c>
      <c r="E213" s="993">
        <v>0</v>
      </c>
    </row>
    <row r="214" spans="1:5">
      <c r="A214" s="992" t="s">
        <v>2180</v>
      </c>
      <c r="B214" s="993">
        <v>114</v>
      </c>
      <c r="C214" s="993">
        <v>114</v>
      </c>
      <c r="D214" s="993">
        <v>114</v>
      </c>
      <c r="E214" s="993">
        <v>114</v>
      </c>
    </row>
    <row r="215" spans="1:5">
      <c r="A215" s="992" t="s">
        <v>2178</v>
      </c>
      <c r="B215" s="993">
        <v>721</v>
      </c>
      <c r="C215" s="993">
        <v>721</v>
      </c>
      <c r="D215" s="993">
        <v>721</v>
      </c>
      <c r="E215" s="993">
        <v>0</v>
      </c>
    </row>
    <row r="216" spans="1:5">
      <c r="A216" s="992" t="s">
        <v>2179</v>
      </c>
      <c r="B216" s="993">
        <v>305</v>
      </c>
      <c r="C216" s="993">
        <v>305</v>
      </c>
      <c r="D216" s="993">
        <v>305</v>
      </c>
      <c r="E216" s="993">
        <v>66.666666666666671</v>
      </c>
    </row>
    <row r="217" spans="1:5">
      <c r="A217" s="992" t="s">
        <v>2174</v>
      </c>
      <c r="B217" s="993">
        <v>474</v>
      </c>
      <c r="C217" s="993">
        <v>474</v>
      </c>
      <c r="D217" s="993">
        <v>260</v>
      </c>
      <c r="E217" s="993">
        <v>400</v>
      </c>
    </row>
    <row r="218" spans="1:5">
      <c r="A218" s="992" t="s">
        <v>2176</v>
      </c>
      <c r="B218" s="993">
        <v>724</v>
      </c>
      <c r="C218" s="993">
        <v>724</v>
      </c>
      <c r="D218" s="993">
        <v>560</v>
      </c>
      <c r="E218" s="993">
        <v>724</v>
      </c>
    </row>
    <row r="219" spans="1:5">
      <c r="A219" s="992" t="s">
        <v>2166</v>
      </c>
      <c r="B219" s="993">
        <v>489</v>
      </c>
      <c r="C219" s="993">
        <v>489</v>
      </c>
      <c r="D219" s="993">
        <v>320</v>
      </c>
      <c r="E219" s="993">
        <v>489</v>
      </c>
    </row>
    <row r="220" spans="1:5">
      <c r="A220" s="992" t="s">
        <v>2173</v>
      </c>
      <c r="B220" s="993">
        <v>356</v>
      </c>
      <c r="C220" s="993">
        <v>356</v>
      </c>
      <c r="D220" s="993">
        <v>160</v>
      </c>
      <c r="E220" s="993">
        <v>356</v>
      </c>
    </row>
    <row r="221" spans="1:5">
      <c r="A221" s="992" t="s">
        <v>2167</v>
      </c>
      <c r="B221" s="993">
        <v>1374</v>
      </c>
      <c r="C221" s="993">
        <v>0</v>
      </c>
      <c r="D221" s="993">
        <v>1260</v>
      </c>
      <c r="E221" s="993">
        <v>933.33333333333337</v>
      </c>
    </row>
    <row r="222" spans="1:5">
      <c r="A222" s="992" t="s">
        <v>2294</v>
      </c>
      <c r="B222" s="993">
        <v>53</v>
      </c>
      <c r="C222" s="993">
        <v>53</v>
      </c>
      <c r="D222" s="993">
        <v>0</v>
      </c>
      <c r="E222" s="993">
        <v>0</v>
      </c>
    </row>
    <row r="223" spans="1:5">
      <c r="A223" s="992" t="s">
        <v>2296</v>
      </c>
      <c r="B223" s="993">
        <v>775</v>
      </c>
      <c r="C223" s="993">
        <v>30</v>
      </c>
      <c r="D223" s="993">
        <v>360</v>
      </c>
      <c r="E223" s="993">
        <v>566.66666666666663</v>
      </c>
    </row>
    <row r="224" spans="1:5">
      <c r="A224" s="992" t="s">
        <v>2299</v>
      </c>
      <c r="B224" s="993">
        <v>496</v>
      </c>
      <c r="C224" s="993">
        <v>496</v>
      </c>
      <c r="D224" s="993">
        <v>496</v>
      </c>
      <c r="E224" s="993">
        <v>0</v>
      </c>
    </row>
    <row r="225" spans="1:5">
      <c r="A225" s="992" t="s">
        <v>2305</v>
      </c>
      <c r="B225" s="993">
        <v>154</v>
      </c>
      <c r="C225" s="993">
        <v>154</v>
      </c>
      <c r="D225" s="993">
        <v>154</v>
      </c>
      <c r="E225" s="993">
        <v>0</v>
      </c>
    </row>
    <row r="226" spans="1:5">
      <c r="A226" s="992" t="s">
        <v>2852</v>
      </c>
      <c r="B226" s="993">
        <v>140</v>
      </c>
      <c r="C226" s="993">
        <v>0</v>
      </c>
      <c r="D226" s="993">
        <v>0</v>
      </c>
      <c r="E226" s="993">
        <v>0</v>
      </c>
    </row>
    <row r="227" spans="1:5">
      <c r="A227" s="992" t="s">
        <v>3036</v>
      </c>
      <c r="B227" s="993">
        <v>120</v>
      </c>
      <c r="C227" s="993">
        <v>120</v>
      </c>
      <c r="D227" s="993">
        <v>120</v>
      </c>
      <c r="E227" s="993">
        <v>120</v>
      </c>
    </row>
    <row r="228" spans="1:5">
      <c r="A228" s="992" t="s">
        <v>3034</v>
      </c>
      <c r="B228" s="993">
        <v>95</v>
      </c>
      <c r="C228" s="993">
        <v>95</v>
      </c>
      <c r="D228" s="993">
        <v>95</v>
      </c>
      <c r="E228" s="993">
        <v>95</v>
      </c>
    </row>
    <row r="229" spans="1:5">
      <c r="A229" s="992" t="s">
        <v>3058</v>
      </c>
      <c r="B229" s="993">
        <v>26</v>
      </c>
      <c r="C229" s="993">
        <v>0</v>
      </c>
      <c r="D229" s="993">
        <v>0</v>
      </c>
      <c r="E229" s="993">
        <v>0</v>
      </c>
    </row>
    <row r="230" spans="1:5">
      <c r="A230" s="992" t="s">
        <v>3063</v>
      </c>
      <c r="B230" s="993">
        <v>31</v>
      </c>
      <c r="C230" s="993">
        <v>0</v>
      </c>
      <c r="D230" s="993">
        <v>0</v>
      </c>
      <c r="E230" s="993">
        <v>0</v>
      </c>
    </row>
    <row r="231" spans="1:5">
      <c r="A231" s="992" t="s">
        <v>3089</v>
      </c>
      <c r="B231" s="993">
        <v>131</v>
      </c>
      <c r="C231" s="993">
        <v>0</v>
      </c>
      <c r="D231" s="993">
        <v>0</v>
      </c>
      <c r="E231" s="993">
        <v>0</v>
      </c>
    </row>
    <row r="232" spans="1:5">
      <c r="A232" s="992" t="s">
        <v>3088</v>
      </c>
      <c r="B232" s="993">
        <v>1219</v>
      </c>
      <c r="C232" s="993">
        <v>0</v>
      </c>
      <c r="D232" s="993">
        <v>0</v>
      </c>
      <c r="E232" s="993">
        <v>1219</v>
      </c>
    </row>
    <row r="233" spans="1:5">
      <c r="A233" s="992" t="s">
        <v>3091</v>
      </c>
      <c r="B233" s="993">
        <v>130</v>
      </c>
      <c r="C233" s="993">
        <v>30</v>
      </c>
      <c r="D233" s="993">
        <v>80</v>
      </c>
      <c r="E233" s="993">
        <v>130</v>
      </c>
    </row>
    <row r="234" spans="1:5">
      <c r="A234" s="992" t="s">
        <v>3128</v>
      </c>
      <c r="B234" s="993">
        <v>197</v>
      </c>
      <c r="C234" s="993">
        <v>197</v>
      </c>
      <c r="D234" s="993">
        <v>144</v>
      </c>
      <c r="E234" s="993">
        <v>197</v>
      </c>
    </row>
    <row r="235" spans="1:5">
      <c r="A235" s="992" t="s">
        <v>3130</v>
      </c>
      <c r="B235" s="993">
        <v>159</v>
      </c>
      <c r="C235" s="993">
        <v>0</v>
      </c>
      <c r="D235" s="993">
        <v>0</v>
      </c>
      <c r="E235" s="993">
        <v>0</v>
      </c>
    </row>
    <row r="236" spans="1:5">
      <c r="A236" s="992" t="s">
        <v>3639</v>
      </c>
      <c r="B236" s="993">
        <v>412</v>
      </c>
      <c r="C236" s="993">
        <v>0</v>
      </c>
      <c r="D236" s="993">
        <v>100</v>
      </c>
      <c r="E236" s="993">
        <v>412</v>
      </c>
    </row>
    <row r="237" spans="1:5">
      <c r="A237" s="992" t="s">
        <v>3641</v>
      </c>
      <c r="B237" s="993">
        <v>685</v>
      </c>
      <c r="C237" s="993">
        <v>0</v>
      </c>
      <c r="D237" s="993">
        <v>685</v>
      </c>
      <c r="E237" s="993">
        <v>685</v>
      </c>
    </row>
    <row r="238" spans="1:5">
      <c r="A238" s="992" t="s">
        <v>1662</v>
      </c>
      <c r="B238" s="993">
        <v>114357</v>
      </c>
      <c r="C238" s="993">
        <v>78923</v>
      </c>
      <c r="D238" s="993">
        <v>73899</v>
      </c>
      <c r="E238" s="993">
        <v>62042.807407407374</v>
      </c>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04"/>
  <sheetViews>
    <sheetView showGridLines="0" workbookViewId="0">
      <selection activeCell="I21" sqref="I21"/>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75" t="s">
        <v>35</v>
      </c>
      <c r="M2" s="468" t="s">
        <v>1915</v>
      </c>
    </row>
    <row r="3" spans="12:16">
      <c r="N3" s="396"/>
      <c r="O3" s="396"/>
      <c r="P3" s="396"/>
    </row>
    <row r="4" spans="12:16">
      <c r="L4" s="475" t="s">
        <v>24</v>
      </c>
      <c r="M4" s="475" t="s">
        <v>20</v>
      </c>
      <c r="N4" s="468" t="s">
        <v>2910</v>
      </c>
      <c r="O4" s="468" t="s">
        <v>2911</v>
      </c>
      <c r="P4" s="468" t="s">
        <v>2912</v>
      </c>
    </row>
    <row r="5" spans="12:16">
      <c r="L5" s="468" t="s">
        <v>233</v>
      </c>
      <c r="M5" s="468" t="s">
        <v>3261</v>
      </c>
      <c r="N5" s="467">
        <v>0</v>
      </c>
      <c r="O5" s="467">
        <v>0</v>
      </c>
      <c r="P5" s="467">
        <v>0</v>
      </c>
    </row>
    <row r="6" spans="12:16">
      <c r="M6" s="468" t="s">
        <v>3262</v>
      </c>
      <c r="N6" s="467">
        <v>0</v>
      </c>
      <c r="O6" s="467">
        <v>0</v>
      </c>
      <c r="P6" s="467">
        <v>0</v>
      </c>
    </row>
    <row r="7" spans="12:16">
      <c r="M7" s="468" t="s">
        <v>3263</v>
      </c>
      <c r="N7" s="467">
        <v>0</v>
      </c>
      <c r="O7" s="467">
        <v>0</v>
      </c>
      <c r="P7" s="467">
        <v>0</v>
      </c>
    </row>
    <row r="8" spans="12:16">
      <c r="L8" s="468" t="s">
        <v>3438</v>
      </c>
      <c r="M8" s="468"/>
      <c r="N8" s="467">
        <v>0</v>
      </c>
      <c r="O8" s="467">
        <v>0</v>
      </c>
      <c r="P8" s="467">
        <v>0</v>
      </c>
    </row>
    <row r="9" spans="12:16">
      <c r="L9" s="468" t="s">
        <v>1095</v>
      </c>
      <c r="M9" s="468" t="s">
        <v>3261</v>
      </c>
      <c r="N9" s="467">
        <v>276</v>
      </c>
      <c r="O9" s="467">
        <v>261</v>
      </c>
      <c r="P9" s="467">
        <v>276</v>
      </c>
    </row>
    <row r="10" spans="12:16">
      <c r="M10" s="468" t="s">
        <v>3262</v>
      </c>
      <c r="N10" s="467">
        <v>167</v>
      </c>
      <c r="O10" s="467">
        <v>167</v>
      </c>
      <c r="P10" s="467">
        <v>167</v>
      </c>
    </row>
    <row r="11" spans="12:16">
      <c r="M11" s="468" t="s">
        <v>3263</v>
      </c>
      <c r="N11" s="467">
        <v>167</v>
      </c>
      <c r="O11" s="467">
        <v>167</v>
      </c>
      <c r="P11" s="467">
        <v>167</v>
      </c>
    </row>
    <row r="12" spans="12:16">
      <c r="L12" s="468" t="s">
        <v>3439</v>
      </c>
      <c r="M12" s="468"/>
      <c r="N12" s="467">
        <v>610</v>
      </c>
      <c r="O12" s="467">
        <v>595</v>
      </c>
      <c r="P12" s="467">
        <v>610</v>
      </c>
    </row>
    <row r="13" spans="12:16">
      <c r="L13" s="468" t="s">
        <v>280</v>
      </c>
      <c r="M13" s="468" t="s">
        <v>3261</v>
      </c>
      <c r="N13" s="467">
        <v>745</v>
      </c>
      <c r="O13" s="467">
        <v>745</v>
      </c>
      <c r="P13" s="467">
        <v>745</v>
      </c>
    </row>
    <row r="14" spans="12:16">
      <c r="M14" s="468" t="s">
        <v>3262</v>
      </c>
      <c r="N14" s="467">
        <v>723</v>
      </c>
      <c r="O14" s="467">
        <v>723</v>
      </c>
      <c r="P14" s="467">
        <v>723</v>
      </c>
    </row>
    <row r="15" spans="12:16">
      <c r="M15" s="468" t="s">
        <v>3263</v>
      </c>
      <c r="N15" s="467">
        <v>723</v>
      </c>
      <c r="O15" s="467">
        <v>723</v>
      </c>
      <c r="P15" s="467">
        <v>723</v>
      </c>
    </row>
    <row r="16" spans="12:16">
      <c r="L16" s="468" t="s">
        <v>3440</v>
      </c>
      <c r="M16" s="468"/>
      <c r="N16" s="467">
        <v>2191</v>
      </c>
      <c r="O16" s="467">
        <v>2191</v>
      </c>
      <c r="P16" s="467">
        <v>2191</v>
      </c>
    </row>
    <row r="17" spans="12:16">
      <c r="L17" s="468" t="s">
        <v>251</v>
      </c>
      <c r="M17" s="468" t="s">
        <v>3261</v>
      </c>
      <c r="N17" s="467">
        <v>371</v>
      </c>
      <c r="O17" s="467">
        <v>371</v>
      </c>
      <c r="P17" s="467">
        <v>371</v>
      </c>
    </row>
    <row r="18" spans="12:16">
      <c r="M18" s="468" t="s">
        <v>3262</v>
      </c>
      <c r="N18" s="467">
        <v>371</v>
      </c>
      <c r="O18" s="467">
        <v>371</v>
      </c>
      <c r="P18" s="467">
        <v>371</v>
      </c>
    </row>
    <row r="19" spans="12:16">
      <c r="M19" s="468" t="s">
        <v>3263</v>
      </c>
      <c r="N19" s="467">
        <v>371</v>
      </c>
      <c r="O19" s="467">
        <v>371</v>
      </c>
      <c r="P19" s="467">
        <v>371</v>
      </c>
    </row>
    <row r="20" spans="12:16">
      <c r="L20" s="468" t="s">
        <v>3441</v>
      </c>
      <c r="M20" s="468"/>
      <c r="N20" s="467">
        <v>1113</v>
      </c>
      <c r="O20" s="467">
        <v>1113</v>
      </c>
      <c r="P20" s="467">
        <v>1113</v>
      </c>
    </row>
    <row r="21" spans="12:16">
      <c r="L21" s="468" t="s">
        <v>252</v>
      </c>
      <c r="M21" s="468" t="s">
        <v>3261</v>
      </c>
      <c r="N21" s="467">
        <v>83</v>
      </c>
      <c r="O21" s="467">
        <v>83</v>
      </c>
      <c r="P21" s="467">
        <v>83</v>
      </c>
    </row>
    <row r="22" spans="12:16">
      <c r="M22" s="468" t="s">
        <v>3262</v>
      </c>
      <c r="N22" s="467">
        <v>83</v>
      </c>
      <c r="O22" s="467">
        <v>83</v>
      </c>
      <c r="P22" s="467">
        <v>83</v>
      </c>
    </row>
    <row r="23" spans="12:16">
      <c r="M23" s="468" t="s">
        <v>3263</v>
      </c>
      <c r="N23" s="467">
        <v>83</v>
      </c>
      <c r="O23" s="467">
        <v>83</v>
      </c>
      <c r="P23" s="467">
        <v>83</v>
      </c>
    </row>
    <row r="24" spans="12:16">
      <c r="L24" s="468" t="s">
        <v>3442</v>
      </c>
      <c r="M24" s="468"/>
      <c r="N24" s="467">
        <v>249</v>
      </c>
      <c r="O24" s="467">
        <v>249</v>
      </c>
      <c r="P24" s="467">
        <v>249</v>
      </c>
    </row>
    <row r="25" spans="12:16">
      <c r="L25" s="468" t="s">
        <v>209</v>
      </c>
      <c r="M25" s="468" t="s">
        <v>3261</v>
      </c>
      <c r="N25" s="467">
        <v>0</v>
      </c>
      <c r="O25" s="467">
        <v>560</v>
      </c>
      <c r="P25" s="467">
        <v>665</v>
      </c>
    </row>
    <row r="26" spans="12:16">
      <c r="M26" s="468" t="s">
        <v>3262</v>
      </c>
      <c r="N26" s="467">
        <v>571</v>
      </c>
      <c r="O26" s="467">
        <v>560</v>
      </c>
      <c r="P26" s="467">
        <v>571</v>
      </c>
    </row>
    <row r="27" spans="12:16">
      <c r="M27" s="468" t="s">
        <v>3263</v>
      </c>
      <c r="N27" s="467">
        <v>571</v>
      </c>
      <c r="O27" s="467">
        <v>560</v>
      </c>
      <c r="P27" s="467">
        <v>571</v>
      </c>
    </row>
    <row r="28" spans="12:16">
      <c r="L28" s="468" t="s">
        <v>3443</v>
      </c>
      <c r="M28" s="468"/>
      <c r="N28" s="467">
        <v>1142</v>
      </c>
      <c r="O28" s="467">
        <v>1680</v>
      </c>
      <c r="P28" s="467">
        <v>1807</v>
      </c>
    </row>
    <row r="29" spans="12:16">
      <c r="L29" s="468" t="s">
        <v>199</v>
      </c>
      <c r="M29" s="468" t="s">
        <v>3261</v>
      </c>
      <c r="N29" s="467">
        <v>0</v>
      </c>
      <c r="O29" s="467">
        <v>40</v>
      </c>
      <c r="P29" s="467">
        <v>55</v>
      </c>
    </row>
    <row r="30" spans="12:16">
      <c r="M30" s="468" t="s">
        <v>3262</v>
      </c>
      <c r="N30" s="467">
        <v>55</v>
      </c>
      <c r="O30" s="467">
        <v>40</v>
      </c>
      <c r="P30" s="467">
        <v>55</v>
      </c>
    </row>
    <row r="31" spans="12:16">
      <c r="M31" s="468" t="s">
        <v>3263</v>
      </c>
      <c r="N31" s="467">
        <v>55</v>
      </c>
      <c r="O31" s="467">
        <v>40</v>
      </c>
      <c r="P31" s="467">
        <v>55</v>
      </c>
    </row>
    <row r="32" spans="12:16">
      <c r="L32" s="468" t="s">
        <v>3444</v>
      </c>
      <c r="M32" s="468"/>
      <c r="N32" s="467">
        <v>110</v>
      </c>
      <c r="O32" s="467">
        <v>120</v>
      </c>
      <c r="P32" s="467">
        <v>165</v>
      </c>
    </row>
    <row r="33" spans="12:16">
      <c r="L33" s="468" t="s">
        <v>2076</v>
      </c>
      <c r="M33" s="468" t="s">
        <v>3261</v>
      </c>
      <c r="N33" s="467">
        <v>0</v>
      </c>
      <c r="O33" s="467">
        <v>0</v>
      </c>
      <c r="P33" s="467">
        <v>0</v>
      </c>
    </row>
    <row r="34" spans="12:16">
      <c r="M34" s="468" t="s">
        <v>3262</v>
      </c>
      <c r="N34" s="467">
        <v>0</v>
      </c>
      <c r="O34" s="467">
        <v>0</v>
      </c>
      <c r="P34" s="467">
        <v>0</v>
      </c>
    </row>
    <row r="35" spans="12:16">
      <c r="M35" s="468" t="s">
        <v>3263</v>
      </c>
      <c r="N35" s="467">
        <v>0</v>
      </c>
      <c r="O35" s="467">
        <v>0</v>
      </c>
      <c r="P35" s="467">
        <v>0</v>
      </c>
    </row>
    <row r="36" spans="12:16">
      <c r="L36" s="468" t="s">
        <v>3391</v>
      </c>
      <c r="M36" s="468"/>
      <c r="N36" s="467">
        <v>0</v>
      </c>
      <c r="O36" s="467">
        <v>0</v>
      </c>
      <c r="P36" s="467">
        <v>0</v>
      </c>
    </row>
    <row r="37" spans="12:16">
      <c r="L37" s="468" t="s">
        <v>253</v>
      </c>
      <c r="M37" s="468" t="s">
        <v>3261</v>
      </c>
      <c r="N37" s="467">
        <v>228</v>
      </c>
      <c r="O37" s="467">
        <v>200</v>
      </c>
      <c r="P37" s="467">
        <v>228</v>
      </c>
    </row>
    <row r="38" spans="12:16">
      <c r="M38" s="468" t="s">
        <v>3262</v>
      </c>
      <c r="N38" s="467">
        <v>228</v>
      </c>
      <c r="O38" s="467">
        <v>200</v>
      </c>
      <c r="P38" s="467">
        <v>228</v>
      </c>
    </row>
    <row r="39" spans="12:16">
      <c r="M39" s="468" t="s">
        <v>3263</v>
      </c>
      <c r="N39" s="467">
        <v>228</v>
      </c>
      <c r="O39" s="467">
        <v>200</v>
      </c>
      <c r="P39" s="467">
        <v>228</v>
      </c>
    </row>
    <row r="40" spans="12:16">
      <c r="L40" s="468" t="s">
        <v>3445</v>
      </c>
      <c r="M40" s="468"/>
      <c r="N40" s="467">
        <v>684</v>
      </c>
      <c r="O40" s="467">
        <v>600</v>
      </c>
      <c r="P40" s="467">
        <v>684</v>
      </c>
    </row>
    <row r="41" spans="12:16">
      <c r="L41" s="468" t="s">
        <v>1018</v>
      </c>
      <c r="M41" s="468" t="s">
        <v>3261</v>
      </c>
      <c r="N41" s="467">
        <v>0</v>
      </c>
      <c r="O41" s="467">
        <v>0</v>
      </c>
      <c r="P41" s="467">
        <v>0</v>
      </c>
    </row>
    <row r="42" spans="12:16">
      <c r="M42" s="468" t="s">
        <v>3262</v>
      </c>
      <c r="N42" s="467">
        <v>0</v>
      </c>
      <c r="O42" s="467">
        <v>0</v>
      </c>
      <c r="P42" s="467">
        <v>0</v>
      </c>
    </row>
    <row r="43" spans="12:16">
      <c r="M43" s="468" t="s">
        <v>3263</v>
      </c>
      <c r="N43" s="467">
        <v>0</v>
      </c>
      <c r="O43" s="467">
        <v>0</v>
      </c>
      <c r="P43" s="467">
        <v>0</v>
      </c>
    </row>
    <row r="44" spans="12:16">
      <c r="L44" s="468" t="s">
        <v>3446</v>
      </c>
      <c r="M44" s="468"/>
      <c r="N44" s="467">
        <v>0</v>
      </c>
      <c r="O44" s="467">
        <v>0</v>
      </c>
      <c r="P44" s="467">
        <v>0</v>
      </c>
    </row>
    <row r="45" spans="12:16">
      <c r="L45" s="468" t="s">
        <v>239</v>
      </c>
      <c r="M45" s="468" t="s">
        <v>3261</v>
      </c>
      <c r="N45" s="467">
        <v>458</v>
      </c>
      <c r="O45" s="467">
        <v>458</v>
      </c>
      <c r="P45" s="467">
        <v>66.666666666666671</v>
      </c>
    </row>
    <row r="46" spans="12:16">
      <c r="M46" s="468" t="s">
        <v>3262</v>
      </c>
      <c r="N46" s="467">
        <v>458</v>
      </c>
      <c r="O46" s="467">
        <v>458</v>
      </c>
      <c r="P46" s="467">
        <v>66.666666666666671</v>
      </c>
    </row>
    <row r="47" spans="12:16">
      <c r="M47" s="468" t="s">
        <v>3263</v>
      </c>
      <c r="N47" s="467">
        <v>458</v>
      </c>
      <c r="O47" s="467">
        <v>458</v>
      </c>
      <c r="P47" s="467">
        <v>66.666666666666671</v>
      </c>
    </row>
    <row r="48" spans="12:16">
      <c r="L48" s="468" t="s">
        <v>3447</v>
      </c>
      <c r="M48" s="468"/>
      <c r="N48" s="467">
        <v>1374</v>
      </c>
      <c r="O48" s="467">
        <v>1374</v>
      </c>
      <c r="P48" s="467">
        <v>200</v>
      </c>
    </row>
    <row r="49" spans="12:16">
      <c r="L49" s="468" t="s">
        <v>1931</v>
      </c>
      <c r="M49" s="468" t="s">
        <v>3261</v>
      </c>
      <c r="N49" s="467">
        <v>1816</v>
      </c>
      <c r="O49" s="467">
        <v>1816</v>
      </c>
      <c r="P49" s="467">
        <v>1816</v>
      </c>
    </row>
    <row r="50" spans="12:16">
      <c r="M50" s="468" t="s">
        <v>3262</v>
      </c>
      <c r="N50" s="467">
        <v>1887</v>
      </c>
      <c r="O50" s="467">
        <v>1887</v>
      </c>
      <c r="P50" s="467">
        <v>1887</v>
      </c>
    </row>
    <row r="51" spans="12:16">
      <c r="M51" s="468" t="s">
        <v>3263</v>
      </c>
      <c r="N51" s="467">
        <v>1887</v>
      </c>
      <c r="O51" s="467">
        <v>1887</v>
      </c>
      <c r="P51" s="467">
        <v>1887</v>
      </c>
    </row>
    <row r="52" spans="12:16">
      <c r="L52" s="468" t="s">
        <v>3448</v>
      </c>
      <c r="M52" s="468"/>
      <c r="N52" s="467">
        <v>5590</v>
      </c>
      <c r="O52" s="467">
        <v>5590</v>
      </c>
      <c r="P52" s="467">
        <v>5590</v>
      </c>
    </row>
    <row r="53" spans="12:16">
      <c r="L53" s="468" t="s">
        <v>254</v>
      </c>
      <c r="M53" s="468" t="s">
        <v>3261</v>
      </c>
      <c r="N53" s="467">
        <v>31</v>
      </c>
      <c r="O53" s="467">
        <v>31</v>
      </c>
      <c r="P53" s="467">
        <v>0</v>
      </c>
    </row>
    <row r="54" spans="12:16">
      <c r="M54" s="468" t="s">
        <v>3262</v>
      </c>
      <c r="N54" s="467">
        <v>31</v>
      </c>
      <c r="O54" s="467">
        <v>31</v>
      </c>
      <c r="P54" s="467">
        <v>0</v>
      </c>
    </row>
    <row r="55" spans="12:16">
      <c r="M55" s="468" t="s">
        <v>3263</v>
      </c>
      <c r="N55" s="467">
        <v>31</v>
      </c>
      <c r="O55" s="467">
        <v>31</v>
      </c>
      <c r="P55" s="467">
        <v>0</v>
      </c>
    </row>
    <row r="56" spans="12:16">
      <c r="L56" s="468" t="s">
        <v>3449</v>
      </c>
      <c r="M56" s="468"/>
      <c r="N56" s="467">
        <v>93</v>
      </c>
      <c r="O56" s="467">
        <v>93</v>
      </c>
      <c r="P56" s="467">
        <v>0</v>
      </c>
    </row>
    <row r="57" spans="12:16">
      <c r="L57" s="468" t="s">
        <v>248</v>
      </c>
      <c r="M57" s="468" t="s">
        <v>3261</v>
      </c>
      <c r="N57" s="467">
        <v>830</v>
      </c>
      <c r="O57" s="467">
        <v>830</v>
      </c>
      <c r="P57" s="467">
        <v>66.666666666666671</v>
      </c>
    </row>
    <row r="58" spans="12:16">
      <c r="M58" s="468" t="s">
        <v>3262</v>
      </c>
      <c r="N58" s="467">
        <v>830</v>
      </c>
      <c r="O58" s="467">
        <v>830</v>
      </c>
      <c r="P58" s="467">
        <v>66.666666666666671</v>
      </c>
    </row>
    <row r="59" spans="12:16">
      <c r="M59" s="468" t="s">
        <v>3263</v>
      </c>
      <c r="N59" s="467">
        <v>830</v>
      </c>
      <c r="O59" s="467">
        <v>830</v>
      </c>
      <c r="P59" s="467">
        <v>66.666666666666671</v>
      </c>
    </row>
    <row r="60" spans="12:16">
      <c r="L60" s="468" t="s">
        <v>3450</v>
      </c>
      <c r="M60" s="468"/>
      <c r="N60" s="467">
        <v>2490</v>
      </c>
      <c r="O60" s="467">
        <v>2490</v>
      </c>
      <c r="P60" s="467">
        <v>200</v>
      </c>
    </row>
    <row r="61" spans="12:16">
      <c r="L61" s="468" t="s">
        <v>2078</v>
      </c>
      <c r="M61" s="468" t="s">
        <v>3261</v>
      </c>
      <c r="N61" s="467">
        <v>0</v>
      </c>
      <c r="O61" s="467">
        <v>260</v>
      </c>
      <c r="P61" s="467">
        <v>0</v>
      </c>
    </row>
    <row r="62" spans="12:16">
      <c r="M62" s="468" t="s">
        <v>3262</v>
      </c>
      <c r="N62" s="467">
        <v>0</v>
      </c>
      <c r="O62" s="467">
        <v>0</v>
      </c>
      <c r="P62" s="467">
        <v>0</v>
      </c>
    </row>
    <row r="63" spans="12:16">
      <c r="M63" s="468" t="s">
        <v>3263</v>
      </c>
      <c r="N63" s="467">
        <v>0</v>
      </c>
      <c r="O63" s="467">
        <v>0</v>
      </c>
      <c r="P63" s="467">
        <v>0</v>
      </c>
    </row>
    <row r="64" spans="12:16">
      <c r="L64" s="468" t="s">
        <v>3392</v>
      </c>
      <c r="M64" s="468"/>
      <c r="N64" s="467">
        <v>0</v>
      </c>
      <c r="O64" s="467">
        <v>260</v>
      </c>
      <c r="P64" s="467">
        <v>0</v>
      </c>
    </row>
    <row r="65" spans="12:16">
      <c r="L65" s="468" t="s">
        <v>255</v>
      </c>
      <c r="M65" s="468" t="s">
        <v>3261</v>
      </c>
      <c r="N65" s="467">
        <v>377</v>
      </c>
      <c r="O65" s="467">
        <v>377</v>
      </c>
      <c r="P65" s="467">
        <v>0</v>
      </c>
    </row>
    <row r="66" spans="12:16">
      <c r="M66" s="468" t="s">
        <v>3262</v>
      </c>
      <c r="N66" s="467">
        <v>377</v>
      </c>
      <c r="O66" s="467">
        <v>377</v>
      </c>
      <c r="P66" s="467">
        <v>0</v>
      </c>
    </row>
    <row r="67" spans="12:16">
      <c r="M67" s="468" t="s">
        <v>3263</v>
      </c>
      <c r="N67" s="467">
        <v>377</v>
      </c>
      <c r="O67" s="467">
        <v>377</v>
      </c>
      <c r="P67" s="467">
        <v>0</v>
      </c>
    </row>
    <row r="68" spans="12:16">
      <c r="L68" s="468" t="s">
        <v>3451</v>
      </c>
      <c r="M68" s="468"/>
      <c r="N68" s="467">
        <v>1131</v>
      </c>
      <c r="O68" s="467">
        <v>1131</v>
      </c>
      <c r="P68" s="467">
        <v>0</v>
      </c>
    </row>
    <row r="69" spans="12:16">
      <c r="L69" s="468" t="s">
        <v>163</v>
      </c>
      <c r="M69" s="468" t="s">
        <v>3261</v>
      </c>
      <c r="N69" s="467">
        <v>197</v>
      </c>
      <c r="O69" s="467">
        <v>197</v>
      </c>
      <c r="P69" s="467">
        <v>197</v>
      </c>
    </row>
    <row r="70" spans="12:16">
      <c r="M70" s="468" t="s">
        <v>3262</v>
      </c>
      <c r="N70" s="467">
        <v>197</v>
      </c>
      <c r="O70" s="467">
        <v>140</v>
      </c>
      <c r="P70" s="467">
        <v>197</v>
      </c>
    </row>
    <row r="71" spans="12:16">
      <c r="M71" s="468" t="s">
        <v>3263</v>
      </c>
      <c r="N71" s="467">
        <v>197</v>
      </c>
      <c r="O71" s="467">
        <v>140</v>
      </c>
      <c r="P71" s="467">
        <v>197</v>
      </c>
    </row>
    <row r="72" spans="12:16">
      <c r="L72" s="468" t="s">
        <v>3393</v>
      </c>
      <c r="M72" s="468"/>
      <c r="N72" s="467">
        <v>591</v>
      </c>
      <c r="O72" s="467">
        <v>477</v>
      </c>
      <c r="P72" s="467">
        <v>591</v>
      </c>
    </row>
    <row r="73" spans="12:16">
      <c r="L73" s="468" t="s">
        <v>235</v>
      </c>
      <c r="M73" s="468" t="s">
        <v>3261</v>
      </c>
      <c r="N73" s="467">
        <v>458</v>
      </c>
      <c r="O73" s="467">
        <v>458</v>
      </c>
      <c r="P73" s="467">
        <v>66.666666666666671</v>
      </c>
    </row>
    <row r="74" spans="12:16">
      <c r="M74" s="468" t="s">
        <v>3262</v>
      </c>
      <c r="N74" s="467">
        <v>458</v>
      </c>
      <c r="O74" s="467">
        <v>458</v>
      </c>
      <c r="P74" s="467">
        <v>66.666666666666671</v>
      </c>
    </row>
    <row r="75" spans="12:16">
      <c r="M75" s="468" t="s">
        <v>3263</v>
      </c>
      <c r="N75" s="467">
        <v>458</v>
      </c>
      <c r="O75" s="467">
        <v>458</v>
      </c>
      <c r="P75" s="467">
        <v>66.666666666666671</v>
      </c>
    </row>
    <row r="76" spans="12:16">
      <c r="L76" s="468" t="s">
        <v>3452</v>
      </c>
      <c r="M76" s="468"/>
      <c r="N76" s="467">
        <v>1374</v>
      </c>
      <c r="O76" s="467">
        <v>1374</v>
      </c>
      <c r="P76" s="467">
        <v>200</v>
      </c>
    </row>
    <row r="77" spans="12:16">
      <c r="L77" s="468" t="s">
        <v>2004</v>
      </c>
      <c r="M77" s="468" t="s">
        <v>3261</v>
      </c>
      <c r="N77" s="467">
        <v>0</v>
      </c>
      <c r="O77" s="467">
        <v>0</v>
      </c>
      <c r="P77" s="467">
        <v>0</v>
      </c>
    </row>
    <row r="78" spans="12:16">
      <c r="M78" s="468" t="s">
        <v>3262</v>
      </c>
      <c r="N78" s="467">
        <v>0</v>
      </c>
      <c r="O78" s="467">
        <v>0</v>
      </c>
      <c r="P78" s="467">
        <v>0</v>
      </c>
    </row>
    <row r="79" spans="12:16">
      <c r="M79" s="468" t="s">
        <v>3263</v>
      </c>
      <c r="N79" s="467">
        <v>0</v>
      </c>
      <c r="O79" s="467">
        <v>0</v>
      </c>
      <c r="P79" s="467">
        <v>0</v>
      </c>
    </row>
    <row r="80" spans="12:16">
      <c r="L80" s="468" t="s">
        <v>3453</v>
      </c>
      <c r="M80" s="468"/>
      <c r="N80" s="467">
        <v>0</v>
      </c>
      <c r="O80" s="467">
        <v>0</v>
      </c>
      <c r="P80" s="467">
        <v>0</v>
      </c>
    </row>
    <row r="81" spans="12:16">
      <c r="L81" s="468" t="s">
        <v>2299</v>
      </c>
      <c r="M81" s="468" t="s">
        <v>3261</v>
      </c>
      <c r="N81" s="467">
        <v>496</v>
      </c>
      <c r="O81" s="467">
        <v>0</v>
      </c>
      <c r="P81" s="467">
        <v>0</v>
      </c>
    </row>
    <row r="82" spans="12:16">
      <c r="M82" s="468" t="s">
        <v>3262</v>
      </c>
      <c r="N82" s="467">
        <v>496</v>
      </c>
      <c r="O82" s="467">
        <v>0</v>
      </c>
      <c r="P82" s="467">
        <v>0</v>
      </c>
    </row>
    <row r="83" spans="12:16">
      <c r="M83" s="468" t="s">
        <v>3263</v>
      </c>
      <c r="N83" s="467">
        <v>496</v>
      </c>
      <c r="O83" s="467">
        <v>496</v>
      </c>
      <c r="P83" s="467">
        <v>0</v>
      </c>
    </row>
    <row r="84" spans="12:16">
      <c r="L84" s="468" t="s">
        <v>3454</v>
      </c>
      <c r="M84" s="468"/>
      <c r="N84" s="467">
        <v>1488</v>
      </c>
      <c r="O84" s="467">
        <v>496</v>
      </c>
      <c r="P84" s="467">
        <v>0</v>
      </c>
    </row>
    <row r="85" spans="12:16">
      <c r="L85" s="468" t="s">
        <v>1052</v>
      </c>
      <c r="M85" s="468" t="s">
        <v>3261</v>
      </c>
      <c r="N85" s="467">
        <v>0</v>
      </c>
      <c r="O85" s="467">
        <v>0</v>
      </c>
      <c r="P85" s="467">
        <v>0</v>
      </c>
    </row>
    <row r="86" spans="12:16">
      <c r="M86" s="468" t="s">
        <v>3262</v>
      </c>
      <c r="N86" s="467">
        <v>0</v>
      </c>
      <c r="O86" s="467">
        <v>0</v>
      </c>
      <c r="P86" s="467">
        <v>0</v>
      </c>
    </row>
    <row r="87" spans="12:16">
      <c r="M87" s="468" t="s">
        <v>3263</v>
      </c>
      <c r="N87" s="467">
        <v>0</v>
      </c>
      <c r="O87" s="467">
        <v>0</v>
      </c>
      <c r="P87" s="467">
        <v>0</v>
      </c>
    </row>
    <row r="88" spans="12:16">
      <c r="L88" s="468" t="s">
        <v>3455</v>
      </c>
      <c r="M88" s="468"/>
      <c r="N88" s="467">
        <v>0</v>
      </c>
      <c r="O88" s="467">
        <v>0</v>
      </c>
      <c r="P88" s="467">
        <v>0</v>
      </c>
    </row>
    <row r="89" spans="12:16">
      <c r="L89" s="468" t="s">
        <v>271</v>
      </c>
      <c r="M89" s="468" t="s">
        <v>3261</v>
      </c>
      <c r="N89" s="467">
        <v>0</v>
      </c>
      <c r="O89" s="467">
        <v>448</v>
      </c>
      <c r="P89" s="467">
        <v>448</v>
      </c>
    </row>
    <row r="90" spans="12:16">
      <c r="M90" s="468" t="s">
        <v>3262</v>
      </c>
      <c r="N90" s="467">
        <v>0</v>
      </c>
      <c r="O90" s="467">
        <v>448</v>
      </c>
      <c r="P90" s="467">
        <v>448</v>
      </c>
    </row>
    <row r="91" spans="12:16">
      <c r="M91" s="468" t="s">
        <v>3263</v>
      </c>
      <c r="N91" s="467">
        <v>0</v>
      </c>
      <c r="O91" s="467">
        <v>448</v>
      </c>
      <c r="P91" s="467">
        <v>448</v>
      </c>
    </row>
    <row r="92" spans="12:16">
      <c r="L92" s="468" t="s">
        <v>3456</v>
      </c>
      <c r="M92" s="468"/>
      <c r="N92" s="467">
        <v>0</v>
      </c>
      <c r="O92" s="467">
        <v>1344</v>
      </c>
      <c r="P92" s="467">
        <v>1344</v>
      </c>
    </row>
    <row r="93" spans="12:16">
      <c r="L93" s="468" t="s">
        <v>178</v>
      </c>
      <c r="M93" s="468" t="s">
        <v>3261</v>
      </c>
      <c r="N93" s="467">
        <v>875</v>
      </c>
      <c r="O93" s="467">
        <v>20</v>
      </c>
      <c r="P93" s="467">
        <v>66.666666666666671</v>
      </c>
    </row>
    <row r="94" spans="12:16">
      <c r="M94" s="468" t="s">
        <v>3262</v>
      </c>
      <c r="N94" s="467">
        <v>875</v>
      </c>
      <c r="O94" s="467">
        <v>875</v>
      </c>
      <c r="P94" s="467">
        <v>66.666666666666671</v>
      </c>
    </row>
    <row r="95" spans="12:16">
      <c r="M95" s="468" t="s">
        <v>3263</v>
      </c>
      <c r="N95" s="467">
        <v>875</v>
      </c>
      <c r="O95" s="467">
        <v>875</v>
      </c>
      <c r="P95" s="467">
        <v>66.666666666666671</v>
      </c>
    </row>
    <row r="96" spans="12:16">
      <c r="L96" s="468" t="s">
        <v>3394</v>
      </c>
      <c r="M96" s="468"/>
      <c r="N96" s="467">
        <v>2625</v>
      </c>
      <c r="O96" s="467">
        <v>1770</v>
      </c>
      <c r="P96" s="467">
        <v>200</v>
      </c>
    </row>
    <row r="97" spans="12:16">
      <c r="L97" s="468" t="s">
        <v>152</v>
      </c>
      <c r="M97" s="468" t="s">
        <v>3261</v>
      </c>
      <c r="N97" s="467">
        <v>132</v>
      </c>
      <c r="O97" s="467">
        <v>132</v>
      </c>
      <c r="P97" s="467">
        <v>132</v>
      </c>
    </row>
    <row r="98" spans="12:16">
      <c r="M98" s="468" t="s">
        <v>3262</v>
      </c>
      <c r="N98" s="467">
        <v>132</v>
      </c>
      <c r="O98" s="467">
        <v>132</v>
      </c>
      <c r="P98" s="467">
        <v>132</v>
      </c>
    </row>
    <row r="99" spans="12:16">
      <c r="M99" s="468" t="s">
        <v>3263</v>
      </c>
      <c r="N99" s="467">
        <v>132</v>
      </c>
      <c r="O99" s="467">
        <v>132</v>
      </c>
      <c r="P99" s="467">
        <v>132</v>
      </c>
    </row>
    <row r="100" spans="12:16">
      <c r="L100" s="468" t="s">
        <v>3395</v>
      </c>
      <c r="M100" s="468"/>
      <c r="N100" s="467">
        <v>396</v>
      </c>
      <c r="O100" s="467">
        <v>396</v>
      </c>
      <c r="P100" s="467">
        <v>396</v>
      </c>
    </row>
    <row r="101" spans="12:16">
      <c r="L101" s="468" t="s">
        <v>256</v>
      </c>
      <c r="M101" s="468" t="s">
        <v>3261</v>
      </c>
      <c r="N101" s="467">
        <v>0</v>
      </c>
      <c r="O101" s="467">
        <v>0</v>
      </c>
      <c r="P101" s="467">
        <v>0</v>
      </c>
    </row>
    <row r="102" spans="12:16">
      <c r="M102" s="468" t="s">
        <v>3262</v>
      </c>
      <c r="N102" s="467">
        <v>0</v>
      </c>
      <c r="O102" s="467">
        <v>0</v>
      </c>
      <c r="P102" s="467">
        <v>0</v>
      </c>
    </row>
    <row r="103" spans="12:16">
      <c r="M103" s="468" t="s">
        <v>3263</v>
      </c>
      <c r="N103" s="467">
        <v>0</v>
      </c>
      <c r="O103" s="467">
        <v>0</v>
      </c>
      <c r="P103" s="467">
        <v>0</v>
      </c>
    </row>
    <row r="104" spans="12:16">
      <c r="L104" s="468" t="s">
        <v>3457</v>
      </c>
      <c r="M104" s="468"/>
      <c r="N104" s="467">
        <v>0</v>
      </c>
      <c r="O104" s="467">
        <v>0</v>
      </c>
      <c r="P104" s="467">
        <v>0</v>
      </c>
    </row>
    <row r="105" spans="12:16">
      <c r="L105" s="468" t="s">
        <v>1043</v>
      </c>
      <c r="M105" s="468" t="s">
        <v>3261</v>
      </c>
      <c r="N105" s="467">
        <v>0</v>
      </c>
      <c r="O105" s="467">
        <v>0</v>
      </c>
      <c r="P105" s="467">
        <v>0</v>
      </c>
    </row>
    <row r="106" spans="12:16">
      <c r="M106" s="468" t="s">
        <v>3262</v>
      </c>
      <c r="N106" s="467">
        <v>0</v>
      </c>
      <c r="O106" s="467">
        <v>0</v>
      </c>
      <c r="P106" s="467">
        <v>0</v>
      </c>
    </row>
    <row r="107" spans="12:16">
      <c r="M107" s="468" t="s">
        <v>3263</v>
      </c>
      <c r="N107" s="467">
        <v>0</v>
      </c>
      <c r="O107" s="467">
        <v>0</v>
      </c>
      <c r="P107" s="467">
        <v>0</v>
      </c>
    </row>
    <row r="108" spans="12:16">
      <c r="L108" s="468" t="s">
        <v>3458</v>
      </c>
      <c r="M108" s="468"/>
      <c r="N108" s="467">
        <v>0</v>
      </c>
      <c r="O108" s="467">
        <v>0</v>
      </c>
      <c r="P108" s="467">
        <v>0</v>
      </c>
    </row>
    <row r="109" spans="12:16">
      <c r="L109" s="468" t="s">
        <v>751</v>
      </c>
      <c r="M109" s="468" t="s">
        <v>3261</v>
      </c>
      <c r="N109" s="467">
        <v>553</v>
      </c>
      <c r="O109" s="467">
        <v>553</v>
      </c>
      <c r="P109" s="467">
        <v>553</v>
      </c>
    </row>
    <row r="110" spans="12:16">
      <c r="M110" s="468" t="s">
        <v>3262</v>
      </c>
      <c r="N110" s="467">
        <v>553</v>
      </c>
      <c r="O110" s="467">
        <v>553</v>
      </c>
      <c r="P110" s="467">
        <v>553</v>
      </c>
    </row>
    <row r="111" spans="12:16">
      <c r="M111" s="468" t="s">
        <v>3263</v>
      </c>
      <c r="N111" s="467">
        <v>553</v>
      </c>
      <c r="O111" s="467">
        <v>553</v>
      </c>
      <c r="P111" s="467">
        <v>0</v>
      </c>
    </row>
    <row r="112" spans="12:16">
      <c r="L112" s="468" t="s">
        <v>3459</v>
      </c>
      <c r="M112" s="468"/>
      <c r="N112" s="467">
        <v>1659</v>
      </c>
      <c r="O112" s="467">
        <v>1659</v>
      </c>
      <c r="P112" s="467">
        <v>1106</v>
      </c>
    </row>
    <row r="113" spans="12:16">
      <c r="L113" s="468" t="s">
        <v>257</v>
      </c>
      <c r="M113" s="468" t="s">
        <v>3261</v>
      </c>
      <c r="N113" s="467">
        <v>519</v>
      </c>
      <c r="O113" s="467">
        <v>519</v>
      </c>
      <c r="P113" s="467">
        <v>519</v>
      </c>
    </row>
    <row r="114" spans="12:16">
      <c r="M114" s="468" t="s">
        <v>3262</v>
      </c>
      <c r="N114" s="467">
        <v>519</v>
      </c>
      <c r="O114" s="467">
        <v>519</v>
      </c>
      <c r="P114" s="467">
        <v>519</v>
      </c>
    </row>
    <row r="115" spans="12:16">
      <c r="M115" s="468" t="s">
        <v>3263</v>
      </c>
      <c r="N115" s="467">
        <v>519</v>
      </c>
      <c r="O115" s="467">
        <v>519</v>
      </c>
      <c r="P115" s="467">
        <v>519</v>
      </c>
    </row>
    <row r="116" spans="12:16">
      <c r="L116" s="468" t="s">
        <v>3460</v>
      </c>
      <c r="M116" s="468"/>
      <c r="N116" s="467">
        <v>1557</v>
      </c>
      <c r="O116" s="467">
        <v>1557</v>
      </c>
      <c r="P116" s="467">
        <v>1557</v>
      </c>
    </row>
    <row r="117" spans="12:16">
      <c r="L117" s="468" t="s">
        <v>150</v>
      </c>
      <c r="M117" s="468" t="s">
        <v>3261</v>
      </c>
      <c r="N117" s="467">
        <v>0</v>
      </c>
      <c r="O117" s="467">
        <v>360</v>
      </c>
      <c r="P117" s="467">
        <v>66.666666666666671</v>
      </c>
    </row>
    <row r="118" spans="12:16">
      <c r="M118" s="468" t="s">
        <v>3262</v>
      </c>
      <c r="N118" s="467">
        <v>0</v>
      </c>
      <c r="O118" s="467">
        <v>640</v>
      </c>
      <c r="P118" s="467">
        <v>66.666666666666671</v>
      </c>
    </row>
    <row r="119" spans="12:16">
      <c r="M119" s="468" t="s">
        <v>3263</v>
      </c>
      <c r="N119" s="467">
        <v>0</v>
      </c>
      <c r="O119" s="467">
        <v>640</v>
      </c>
      <c r="P119" s="467">
        <v>66.666666666666671</v>
      </c>
    </row>
    <row r="120" spans="12:16">
      <c r="L120" s="468" t="s">
        <v>3396</v>
      </c>
      <c r="M120" s="468"/>
      <c r="N120" s="467">
        <v>0</v>
      </c>
      <c r="O120" s="467">
        <v>1640</v>
      </c>
      <c r="P120" s="467">
        <v>200</v>
      </c>
    </row>
    <row r="121" spans="12:16">
      <c r="L121" s="468" t="s">
        <v>220</v>
      </c>
      <c r="M121" s="468" t="s">
        <v>3261</v>
      </c>
      <c r="N121" s="467">
        <v>1500</v>
      </c>
      <c r="O121" s="467">
        <v>3659</v>
      </c>
      <c r="P121" s="467">
        <v>1400</v>
      </c>
    </row>
    <row r="122" spans="12:16">
      <c r="M122" s="468" t="s">
        <v>3262</v>
      </c>
      <c r="N122" s="467">
        <v>3425</v>
      </c>
      <c r="O122" s="467">
        <v>3659</v>
      </c>
      <c r="P122" s="467">
        <v>1617.6</v>
      </c>
    </row>
    <row r="123" spans="12:16">
      <c r="M123" s="468" t="s">
        <v>3263</v>
      </c>
      <c r="N123" s="467">
        <v>3659</v>
      </c>
      <c r="O123" s="467">
        <v>3659</v>
      </c>
      <c r="P123" s="467">
        <v>1617.6</v>
      </c>
    </row>
    <row r="124" spans="12:16">
      <c r="L124" s="468" t="s">
        <v>3461</v>
      </c>
      <c r="M124" s="468"/>
      <c r="N124" s="467">
        <v>8584</v>
      </c>
      <c r="O124" s="467">
        <v>10977</v>
      </c>
      <c r="P124" s="467">
        <v>4635.2</v>
      </c>
    </row>
    <row r="125" spans="12:16">
      <c r="L125" s="468" t="s">
        <v>2079</v>
      </c>
      <c r="M125" s="468" t="s">
        <v>3261</v>
      </c>
      <c r="N125" s="467">
        <v>0</v>
      </c>
      <c r="O125" s="467">
        <v>121</v>
      </c>
      <c r="P125" s="467">
        <v>0</v>
      </c>
    </row>
    <row r="126" spans="12:16">
      <c r="M126" s="468" t="s">
        <v>3262</v>
      </c>
      <c r="N126" s="467">
        <v>0</v>
      </c>
      <c r="O126" s="467">
        <v>0</v>
      </c>
      <c r="P126" s="467">
        <v>0</v>
      </c>
    </row>
    <row r="127" spans="12:16">
      <c r="M127" s="468" t="s">
        <v>3263</v>
      </c>
      <c r="N127" s="467">
        <v>0</v>
      </c>
      <c r="O127" s="467">
        <v>0</v>
      </c>
      <c r="P127" s="467">
        <v>0</v>
      </c>
    </row>
    <row r="128" spans="12:16">
      <c r="L128" s="468" t="s">
        <v>3397</v>
      </c>
      <c r="M128" s="468"/>
      <c r="N128" s="467">
        <v>0</v>
      </c>
      <c r="O128" s="467">
        <v>121</v>
      </c>
      <c r="P128" s="467">
        <v>0</v>
      </c>
    </row>
    <row r="129" spans="12:16">
      <c r="L129" s="468" t="s">
        <v>201</v>
      </c>
      <c r="M129" s="468" t="s">
        <v>3261</v>
      </c>
      <c r="N129" s="467">
        <v>0</v>
      </c>
      <c r="O129" s="467">
        <v>140</v>
      </c>
      <c r="P129" s="467">
        <v>235</v>
      </c>
    </row>
    <row r="130" spans="12:16">
      <c r="M130" s="468" t="s">
        <v>3262</v>
      </c>
      <c r="N130" s="467">
        <v>291</v>
      </c>
      <c r="O130" s="467">
        <v>140</v>
      </c>
      <c r="P130" s="467">
        <v>291</v>
      </c>
    </row>
    <row r="131" spans="12:16">
      <c r="M131" s="468" t="s">
        <v>3263</v>
      </c>
      <c r="N131" s="467">
        <v>291</v>
      </c>
      <c r="O131" s="467">
        <v>140</v>
      </c>
      <c r="P131" s="467">
        <v>291</v>
      </c>
    </row>
    <row r="132" spans="12:16">
      <c r="L132" s="468" t="s">
        <v>3462</v>
      </c>
      <c r="M132" s="468"/>
      <c r="N132" s="467">
        <v>582</v>
      </c>
      <c r="O132" s="467">
        <v>420</v>
      </c>
      <c r="P132" s="467">
        <v>817</v>
      </c>
    </row>
    <row r="133" spans="12:16">
      <c r="L133" s="468" t="s">
        <v>2305</v>
      </c>
      <c r="M133" s="468" t="s">
        <v>3261</v>
      </c>
      <c r="N133" s="467">
        <v>154</v>
      </c>
      <c r="O133" s="467">
        <v>154</v>
      </c>
      <c r="P133" s="467">
        <v>154</v>
      </c>
    </row>
    <row r="134" spans="12:16">
      <c r="M134" s="468" t="s">
        <v>3262</v>
      </c>
      <c r="N134" s="467">
        <v>154</v>
      </c>
      <c r="O134" s="467">
        <v>154</v>
      </c>
      <c r="P134" s="467">
        <v>154</v>
      </c>
    </row>
    <row r="135" spans="12:16">
      <c r="M135" s="468" t="s">
        <v>3263</v>
      </c>
      <c r="N135" s="467">
        <v>154</v>
      </c>
      <c r="O135" s="467">
        <v>154</v>
      </c>
      <c r="P135" s="467">
        <v>0</v>
      </c>
    </row>
    <row r="136" spans="12:16">
      <c r="L136" s="468" t="s">
        <v>3463</v>
      </c>
      <c r="M136" s="468"/>
      <c r="N136" s="467">
        <v>462</v>
      </c>
      <c r="O136" s="467">
        <v>462</v>
      </c>
      <c r="P136" s="467">
        <v>308</v>
      </c>
    </row>
    <row r="137" spans="12:16">
      <c r="L137" s="468" t="s">
        <v>227</v>
      </c>
      <c r="M137" s="468" t="s">
        <v>3261</v>
      </c>
      <c r="N137" s="467">
        <v>0</v>
      </c>
      <c r="O137" s="467">
        <v>0</v>
      </c>
      <c r="P137" s="467">
        <v>20.148148148148149</v>
      </c>
    </row>
    <row r="138" spans="12:16">
      <c r="M138" s="468" t="s">
        <v>3262</v>
      </c>
      <c r="N138" s="467">
        <v>0</v>
      </c>
      <c r="O138" s="467">
        <v>680</v>
      </c>
      <c r="P138" s="467">
        <v>169.06666666666666</v>
      </c>
    </row>
    <row r="139" spans="12:16">
      <c r="M139" s="468" t="s">
        <v>3263</v>
      </c>
      <c r="N139" s="467">
        <v>680</v>
      </c>
      <c r="O139" s="467">
        <v>680</v>
      </c>
      <c r="P139" s="467">
        <v>169.06666666666666</v>
      </c>
    </row>
    <row r="140" spans="12:16">
      <c r="L140" s="468" t="s">
        <v>3464</v>
      </c>
      <c r="M140" s="468"/>
      <c r="N140" s="467">
        <v>680</v>
      </c>
      <c r="O140" s="467">
        <v>1360</v>
      </c>
      <c r="P140" s="467">
        <v>358.28148148148148</v>
      </c>
    </row>
    <row r="141" spans="12:16">
      <c r="L141" s="468" t="s">
        <v>1083</v>
      </c>
      <c r="M141" s="468" t="s">
        <v>3261</v>
      </c>
      <c r="N141" s="467">
        <v>0</v>
      </c>
      <c r="O141" s="467">
        <v>0</v>
      </c>
      <c r="P141" s="467">
        <v>0</v>
      </c>
    </row>
    <row r="142" spans="12:16">
      <c r="M142" s="468" t="s">
        <v>3262</v>
      </c>
      <c r="N142" s="467">
        <v>0</v>
      </c>
      <c r="O142" s="467">
        <v>0</v>
      </c>
      <c r="P142" s="467">
        <v>0</v>
      </c>
    </row>
    <row r="143" spans="12:16">
      <c r="M143" s="468" t="s">
        <v>3263</v>
      </c>
      <c r="N143" s="467">
        <v>0</v>
      </c>
      <c r="O143" s="467">
        <v>0</v>
      </c>
      <c r="P143" s="467">
        <v>0</v>
      </c>
    </row>
    <row r="144" spans="12:16">
      <c r="L144" s="468" t="s">
        <v>3465</v>
      </c>
      <c r="M144" s="468"/>
      <c r="N144" s="467">
        <v>0</v>
      </c>
      <c r="O144" s="467">
        <v>0</v>
      </c>
      <c r="P144" s="467">
        <v>0</v>
      </c>
    </row>
    <row r="145" spans="12:16">
      <c r="L145" s="468" t="s">
        <v>164</v>
      </c>
      <c r="M145" s="468" t="s">
        <v>3261</v>
      </c>
      <c r="N145" s="467">
        <v>1050</v>
      </c>
      <c r="O145" s="467">
        <v>140</v>
      </c>
      <c r="P145" s="467">
        <v>1050</v>
      </c>
    </row>
    <row r="146" spans="12:16">
      <c r="M146" s="468" t="s">
        <v>3262</v>
      </c>
      <c r="N146" s="467">
        <v>1050</v>
      </c>
      <c r="O146" s="467">
        <v>860</v>
      </c>
      <c r="P146" s="467">
        <v>1050</v>
      </c>
    </row>
    <row r="147" spans="12:16">
      <c r="M147" s="468" t="s">
        <v>3263</v>
      </c>
      <c r="N147" s="467">
        <v>1050</v>
      </c>
      <c r="O147" s="467">
        <v>860</v>
      </c>
      <c r="P147" s="467">
        <v>1050</v>
      </c>
    </row>
    <row r="148" spans="12:16">
      <c r="L148" s="468" t="s">
        <v>3398</v>
      </c>
      <c r="M148" s="468"/>
      <c r="N148" s="467">
        <v>3150</v>
      </c>
      <c r="O148" s="467">
        <v>1860</v>
      </c>
      <c r="P148" s="467">
        <v>3150</v>
      </c>
    </row>
    <row r="149" spans="12:16">
      <c r="L149" s="468" t="s">
        <v>236</v>
      </c>
      <c r="M149" s="468" t="s">
        <v>3261</v>
      </c>
      <c r="N149" s="467">
        <v>430</v>
      </c>
      <c r="O149" s="467">
        <v>430</v>
      </c>
      <c r="P149" s="467">
        <v>400</v>
      </c>
    </row>
    <row r="150" spans="12:16">
      <c r="M150" s="468" t="s">
        <v>3262</v>
      </c>
      <c r="N150" s="467">
        <v>430</v>
      </c>
      <c r="O150" s="467">
        <v>430</v>
      </c>
      <c r="P150" s="467">
        <v>400</v>
      </c>
    </row>
    <row r="151" spans="12:16">
      <c r="M151" s="468" t="s">
        <v>3263</v>
      </c>
      <c r="N151" s="467">
        <v>430</v>
      </c>
      <c r="O151" s="467">
        <v>430</v>
      </c>
      <c r="P151" s="467">
        <v>400</v>
      </c>
    </row>
    <row r="152" spans="12:16">
      <c r="L152" s="468" t="s">
        <v>3466</v>
      </c>
      <c r="M152" s="468"/>
      <c r="N152" s="467">
        <v>1290</v>
      </c>
      <c r="O152" s="467">
        <v>1290</v>
      </c>
      <c r="P152" s="467">
        <v>1200</v>
      </c>
    </row>
    <row r="153" spans="12:16">
      <c r="L153" s="468" t="s">
        <v>2166</v>
      </c>
      <c r="M153" s="468" t="s">
        <v>3261</v>
      </c>
      <c r="N153" s="467">
        <v>489</v>
      </c>
      <c r="O153" s="467">
        <v>489</v>
      </c>
      <c r="P153" s="467">
        <v>489</v>
      </c>
    </row>
    <row r="154" spans="12:16">
      <c r="M154" s="468" t="s">
        <v>3262</v>
      </c>
      <c r="N154" s="467">
        <v>489</v>
      </c>
      <c r="O154" s="467">
        <v>320</v>
      </c>
      <c r="P154" s="467">
        <v>489</v>
      </c>
    </row>
    <row r="155" spans="12:16">
      <c r="M155" s="468" t="s">
        <v>3263</v>
      </c>
      <c r="N155" s="467">
        <v>489</v>
      </c>
      <c r="O155" s="467">
        <v>320</v>
      </c>
      <c r="P155" s="467">
        <v>489</v>
      </c>
    </row>
    <row r="156" spans="12:16">
      <c r="L156" s="468" t="s">
        <v>3399</v>
      </c>
      <c r="M156" s="468"/>
      <c r="N156" s="467">
        <v>1467</v>
      </c>
      <c r="O156" s="467">
        <v>1129</v>
      </c>
      <c r="P156" s="467">
        <v>1467</v>
      </c>
    </row>
    <row r="157" spans="12:16">
      <c r="L157" s="468" t="s">
        <v>293</v>
      </c>
      <c r="M157" s="468" t="s">
        <v>3261</v>
      </c>
      <c r="N157" s="467">
        <v>1000</v>
      </c>
      <c r="O157" s="467">
        <v>560</v>
      </c>
      <c r="P157" s="467">
        <v>400</v>
      </c>
    </row>
    <row r="158" spans="12:16">
      <c r="M158" s="468" t="s">
        <v>3262</v>
      </c>
      <c r="N158" s="467">
        <v>8786</v>
      </c>
      <c r="O158" s="467">
        <v>640</v>
      </c>
      <c r="P158" s="467">
        <v>1666.6666666666667</v>
      </c>
    </row>
    <row r="159" spans="12:16">
      <c r="M159" s="468" t="s">
        <v>3263</v>
      </c>
      <c r="N159" s="467">
        <v>4500</v>
      </c>
      <c r="O159" s="467">
        <v>640</v>
      </c>
      <c r="P159" s="467">
        <v>400</v>
      </c>
    </row>
    <row r="160" spans="12:16">
      <c r="L160" s="468" t="s">
        <v>3467</v>
      </c>
      <c r="M160" s="468"/>
      <c r="N160" s="467">
        <v>14286</v>
      </c>
      <c r="O160" s="467">
        <v>1840</v>
      </c>
      <c r="P160" s="467">
        <v>2466.666666666667</v>
      </c>
    </row>
    <row r="161" spans="12:16">
      <c r="L161" s="468" t="s">
        <v>1111</v>
      </c>
      <c r="M161" s="468" t="s">
        <v>3261</v>
      </c>
      <c r="N161" s="467">
        <v>39</v>
      </c>
      <c r="O161" s="467">
        <v>39</v>
      </c>
      <c r="P161" s="467">
        <v>39</v>
      </c>
    </row>
    <row r="162" spans="12:16">
      <c r="M162" s="468" t="s">
        <v>3262</v>
      </c>
      <c r="N162" s="467">
        <v>30</v>
      </c>
      <c r="O162" s="467">
        <v>0</v>
      </c>
      <c r="P162" s="467">
        <v>39</v>
      </c>
    </row>
    <row r="163" spans="12:16">
      <c r="M163" s="468" t="s">
        <v>3263</v>
      </c>
      <c r="N163" s="467">
        <v>30</v>
      </c>
      <c r="O163" s="467">
        <v>0</v>
      </c>
      <c r="P163" s="467">
        <v>39</v>
      </c>
    </row>
    <row r="164" spans="12:16">
      <c r="L164" s="468" t="s">
        <v>3468</v>
      </c>
      <c r="M164" s="468"/>
      <c r="N164" s="467">
        <v>99</v>
      </c>
      <c r="O164" s="467">
        <v>39</v>
      </c>
      <c r="P164" s="467">
        <v>117</v>
      </c>
    </row>
    <row r="165" spans="12:16">
      <c r="L165" s="468" t="s">
        <v>210</v>
      </c>
      <c r="M165" s="468" t="s">
        <v>3261</v>
      </c>
      <c r="N165" s="467">
        <v>0</v>
      </c>
      <c r="O165" s="467">
        <v>80</v>
      </c>
      <c r="P165" s="467">
        <v>106</v>
      </c>
    </row>
    <row r="166" spans="12:16">
      <c r="M166" s="468" t="s">
        <v>3262</v>
      </c>
      <c r="N166" s="467">
        <v>106</v>
      </c>
      <c r="O166" s="467">
        <v>80</v>
      </c>
      <c r="P166" s="467">
        <v>106</v>
      </c>
    </row>
    <row r="167" spans="12:16">
      <c r="M167" s="468" t="s">
        <v>3263</v>
      </c>
      <c r="N167" s="467">
        <v>106</v>
      </c>
      <c r="O167" s="467">
        <v>80</v>
      </c>
      <c r="P167" s="467">
        <v>106</v>
      </c>
    </row>
    <row r="168" spans="12:16">
      <c r="L168" s="468" t="s">
        <v>3469</v>
      </c>
      <c r="M168" s="468"/>
      <c r="N168" s="467">
        <v>212</v>
      </c>
      <c r="O168" s="467">
        <v>240</v>
      </c>
      <c r="P168" s="467">
        <v>318</v>
      </c>
    </row>
    <row r="169" spans="12:16">
      <c r="L169" s="468" t="s">
        <v>2021</v>
      </c>
      <c r="M169" s="468" t="s">
        <v>3261</v>
      </c>
      <c r="N169" s="467">
        <v>63</v>
      </c>
      <c r="O169" s="467">
        <v>63</v>
      </c>
      <c r="P169" s="467">
        <v>63</v>
      </c>
    </row>
    <row r="170" spans="12:16">
      <c r="M170" s="468" t="s">
        <v>3262</v>
      </c>
      <c r="N170" s="467">
        <v>63</v>
      </c>
      <c r="O170" s="467">
        <v>63</v>
      </c>
      <c r="P170" s="467">
        <v>63</v>
      </c>
    </row>
    <row r="171" spans="12:16">
      <c r="M171" s="468" t="s">
        <v>3263</v>
      </c>
      <c r="N171" s="467">
        <v>63</v>
      </c>
      <c r="O171" s="467">
        <v>63</v>
      </c>
      <c r="P171" s="467">
        <v>63</v>
      </c>
    </row>
    <row r="172" spans="12:16">
      <c r="L172" s="468" t="s">
        <v>3470</v>
      </c>
      <c r="M172" s="468"/>
      <c r="N172" s="467">
        <v>189</v>
      </c>
      <c r="O172" s="467">
        <v>189</v>
      </c>
      <c r="P172" s="467">
        <v>189</v>
      </c>
    </row>
    <row r="173" spans="12:16">
      <c r="L173" s="468" t="s">
        <v>212</v>
      </c>
      <c r="M173" s="468" t="s">
        <v>3261</v>
      </c>
      <c r="N173" s="467">
        <v>0</v>
      </c>
      <c r="O173" s="467">
        <v>94</v>
      </c>
      <c r="P173" s="467">
        <v>94</v>
      </c>
    </row>
    <row r="174" spans="12:16">
      <c r="M174" s="468" t="s">
        <v>3262</v>
      </c>
      <c r="N174" s="467">
        <v>94</v>
      </c>
      <c r="O174" s="467">
        <v>94</v>
      </c>
      <c r="P174" s="467">
        <v>94</v>
      </c>
    </row>
    <row r="175" spans="12:16">
      <c r="M175" s="468" t="s">
        <v>3263</v>
      </c>
      <c r="N175" s="467">
        <v>94</v>
      </c>
      <c r="O175" s="467">
        <v>94</v>
      </c>
      <c r="P175" s="467">
        <v>94</v>
      </c>
    </row>
    <row r="176" spans="12:16">
      <c r="L176" s="468" t="s">
        <v>3471</v>
      </c>
      <c r="M176" s="468"/>
      <c r="N176" s="467">
        <v>188</v>
      </c>
      <c r="O176" s="467">
        <v>282</v>
      </c>
      <c r="P176" s="467">
        <v>282</v>
      </c>
    </row>
    <row r="177" spans="12:16">
      <c r="L177" s="468" t="s">
        <v>1021</v>
      </c>
      <c r="M177" s="468" t="s">
        <v>3261</v>
      </c>
      <c r="N177" s="467">
        <v>0</v>
      </c>
      <c r="O177" s="467">
        <v>0</v>
      </c>
      <c r="P177" s="467">
        <v>0</v>
      </c>
    </row>
    <row r="178" spans="12:16">
      <c r="M178" s="468" t="s">
        <v>3262</v>
      </c>
      <c r="N178" s="467">
        <v>0</v>
      </c>
      <c r="O178" s="467">
        <v>0</v>
      </c>
      <c r="P178" s="467">
        <v>0</v>
      </c>
    </row>
    <row r="179" spans="12:16">
      <c r="M179" s="468" t="s">
        <v>3263</v>
      </c>
      <c r="N179" s="467">
        <v>0</v>
      </c>
      <c r="O179" s="467">
        <v>0</v>
      </c>
      <c r="P179" s="467">
        <v>0</v>
      </c>
    </row>
    <row r="180" spans="12:16">
      <c r="L180" s="468" t="s">
        <v>3472</v>
      </c>
      <c r="M180" s="468"/>
      <c r="N180" s="467">
        <v>0</v>
      </c>
      <c r="O180" s="467">
        <v>0</v>
      </c>
      <c r="P180" s="467">
        <v>0</v>
      </c>
    </row>
    <row r="181" spans="12:16">
      <c r="L181" s="468" t="s">
        <v>737</v>
      </c>
      <c r="M181" s="468" t="s">
        <v>3261</v>
      </c>
      <c r="N181" s="467">
        <v>259</v>
      </c>
      <c r="O181" s="467">
        <v>240</v>
      </c>
      <c r="P181" s="467">
        <v>259</v>
      </c>
    </row>
    <row r="182" spans="12:16">
      <c r="M182" s="468" t="s">
        <v>3262</v>
      </c>
      <c r="N182" s="467">
        <v>259</v>
      </c>
      <c r="O182" s="467">
        <v>240</v>
      </c>
      <c r="P182" s="467">
        <v>259</v>
      </c>
    </row>
    <row r="183" spans="12:16">
      <c r="M183" s="468" t="s">
        <v>3263</v>
      </c>
      <c r="N183" s="467">
        <v>259</v>
      </c>
      <c r="O183" s="467">
        <v>240</v>
      </c>
      <c r="P183" s="467">
        <v>259</v>
      </c>
    </row>
    <row r="184" spans="12:16">
      <c r="L184" s="468" t="s">
        <v>3473</v>
      </c>
      <c r="M184" s="468"/>
      <c r="N184" s="467">
        <v>777</v>
      </c>
      <c r="O184" s="467">
        <v>720</v>
      </c>
      <c r="P184" s="467">
        <v>777</v>
      </c>
    </row>
    <row r="185" spans="12:16">
      <c r="L185" s="468" t="s">
        <v>742</v>
      </c>
      <c r="M185" s="468" t="s">
        <v>3261</v>
      </c>
      <c r="N185" s="467">
        <v>156</v>
      </c>
      <c r="O185" s="467">
        <v>156</v>
      </c>
      <c r="P185" s="467">
        <v>156</v>
      </c>
    </row>
    <row r="186" spans="12:16">
      <c r="M186" s="468" t="s">
        <v>3262</v>
      </c>
      <c r="N186" s="467">
        <v>156</v>
      </c>
      <c r="O186" s="467">
        <v>156</v>
      </c>
      <c r="P186" s="467">
        <v>156</v>
      </c>
    </row>
    <row r="187" spans="12:16">
      <c r="M187" s="468" t="s">
        <v>3263</v>
      </c>
      <c r="N187" s="467">
        <v>156</v>
      </c>
      <c r="O187" s="467">
        <v>156</v>
      </c>
      <c r="P187" s="467">
        <v>156</v>
      </c>
    </row>
    <row r="188" spans="12:16">
      <c r="L188" s="468" t="s">
        <v>3474</v>
      </c>
      <c r="M188" s="468"/>
      <c r="N188" s="467">
        <v>468</v>
      </c>
      <c r="O188" s="467">
        <v>468</v>
      </c>
      <c r="P188" s="467">
        <v>468</v>
      </c>
    </row>
    <row r="189" spans="12:16">
      <c r="L189" s="468" t="s">
        <v>716</v>
      </c>
      <c r="M189" s="468" t="s">
        <v>3261</v>
      </c>
      <c r="N189" s="467">
        <v>138</v>
      </c>
      <c r="O189" s="467">
        <v>138</v>
      </c>
      <c r="P189" s="467">
        <v>138</v>
      </c>
    </row>
    <row r="190" spans="12:16">
      <c r="M190" s="468" t="s">
        <v>3262</v>
      </c>
      <c r="N190" s="467">
        <v>138</v>
      </c>
      <c r="O190" s="467">
        <v>138</v>
      </c>
      <c r="P190" s="467">
        <v>138</v>
      </c>
    </row>
    <row r="191" spans="12:16">
      <c r="M191" s="468" t="s">
        <v>3263</v>
      </c>
      <c r="N191" s="467">
        <v>138</v>
      </c>
      <c r="O191" s="467">
        <v>138</v>
      </c>
      <c r="P191" s="467">
        <v>0</v>
      </c>
    </row>
    <row r="192" spans="12:16">
      <c r="L192" s="468" t="s">
        <v>3475</v>
      </c>
      <c r="M192" s="468"/>
      <c r="N192" s="467">
        <v>414</v>
      </c>
      <c r="O192" s="467">
        <v>414</v>
      </c>
      <c r="P192" s="467">
        <v>276</v>
      </c>
    </row>
    <row r="193" spans="12:16">
      <c r="L193" s="468" t="s">
        <v>739</v>
      </c>
      <c r="M193" s="468" t="s">
        <v>3261</v>
      </c>
      <c r="N193" s="467">
        <v>267</v>
      </c>
      <c r="O193" s="467">
        <v>267</v>
      </c>
      <c r="P193" s="467">
        <v>267</v>
      </c>
    </row>
    <row r="194" spans="12:16">
      <c r="M194" s="468" t="s">
        <v>3262</v>
      </c>
      <c r="N194" s="467">
        <v>267</v>
      </c>
      <c r="O194" s="467">
        <v>267</v>
      </c>
      <c r="P194" s="467">
        <v>267</v>
      </c>
    </row>
    <row r="195" spans="12:16">
      <c r="M195" s="468" t="s">
        <v>3263</v>
      </c>
      <c r="N195" s="467">
        <v>249</v>
      </c>
      <c r="O195" s="467">
        <v>249</v>
      </c>
      <c r="P195" s="467">
        <v>249</v>
      </c>
    </row>
    <row r="196" spans="12:16">
      <c r="L196" s="468" t="s">
        <v>3476</v>
      </c>
      <c r="M196" s="468"/>
      <c r="N196" s="467">
        <v>783</v>
      </c>
      <c r="O196" s="467">
        <v>783</v>
      </c>
      <c r="P196" s="467">
        <v>783</v>
      </c>
    </row>
    <row r="197" spans="12:16">
      <c r="L197" s="468" t="s">
        <v>156</v>
      </c>
      <c r="M197" s="468" t="s">
        <v>3261</v>
      </c>
      <c r="N197" s="467">
        <v>66</v>
      </c>
      <c r="O197" s="467">
        <v>66</v>
      </c>
      <c r="P197" s="467">
        <v>66</v>
      </c>
    </row>
    <row r="198" spans="12:16">
      <c r="M198" s="468" t="s">
        <v>3262</v>
      </c>
      <c r="N198" s="467">
        <v>66</v>
      </c>
      <c r="O198" s="467">
        <v>66</v>
      </c>
      <c r="P198" s="467">
        <v>66</v>
      </c>
    </row>
    <row r="199" spans="12:16">
      <c r="M199" s="468" t="s">
        <v>3263</v>
      </c>
      <c r="N199" s="467">
        <v>66</v>
      </c>
      <c r="O199" s="467">
        <v>66</v>
      </c>
      <c r="P199" s="467">
        <v>66</v>
      </c>
    </row>
    <row r="200" spans="12:16">
      <c r="L200" s="468" t="s">
        <v>3400</v>
      </c>
      <c r="M200" s="468"/>
      <c r="N200" s="467">
        <v>198</v>
      </c>
      <c r="O200" s="467">
        <v>198</v>
      </c>
      <c r="P200" s="467">
        <v>198</v>
      </c>
    </row>
    <row r="201" spans="12:16">
      <c r="L201" s="468" t="s">
        <v>292</v>
      </c>
      <c r="M201" s="468" t="s">
        <v>3261</v>
      </c>
      <c r="N201" s="467">
        <v>0</v>
      </c>
      <c r="O201" s="467">
        <v>960</v>
      </c>
      <c r="P201" s="467">
        <v>500</v>
      </c>
    </row>
    <row r="202" spans="12:16">
      <c r="M202" s="468" t="s">
        <v>3262</v>
      </c>
      <c r="N202" s="467">
        <v>0</v>
      </c>
      <c r="O202" s="467">
        <v>0</v>
      </c>
      <c r="P202" s="467">
        <v>500</v>
      </c>
    </row>
    <row r="203" spans="12:16">
      <c r="M203" s="468" t="s">
        <v>3263</v>
      </c>
      <c r="N203" s="467">
        <v>0</v>
      </c>
      <c r="O203" s="467">
        <v>0</v>
      </c>
      <c r="P203" s="467">
        <v>500</v>
      </c>
    </row>
    <row r="204" spans="12:16">
      <c r="L204" s="468" t="s">
        <v>3401</v>
      </c>
      <c r="M204" s="468"/>
      <c r="N204" s="467">
        <v>0</v>
      </c>
      <c r="O204" s="467">
        <v>960</v>
      </c>
      <c r="P204" s="467">
        <v>1500</v>
      </c>
    </row>
    <row r="205" spans="12:16">
      <c r="L205" s="468" t="s">
        <v>2003</v>
      </c>
      <c r="M205" s="468" t="s">
        <v>3261</v>
      </c>
      <c r="N205" s="467">
        <v>396</v>
      </c>
      <c r="O205" s="467">
        <v>120</v>
      </c>
      <c r="P205" s="467">
        <v>396</v>
      </c>
    </row>
    <row r="206" spans="12:16">
      <c r="M206" s="468" t="s">
        <v>3262</v>
      </c>
      <c r="N206" s="467">
        <v>396</v>
      </c>
      <c r="O206" s="467">
        <v>320</v>
      </c>
      <c r="P206" s="467">
        <v>396</v>
      </c>
    </row>
    <row r="207" spans="12:16">
      <c r="M207" s="468" t="s">
        <v>3263</v>
      </c>
      <c r="N207" s="467">
        <v>396</v>
      </c>
      <c r="O207" s="467">
        <v>320</v>
      </c>
      <c r="P207" s="467">
        <v>396</v>
      </c>
    </row>
    <row r="208" spans="12:16">
      <c r="L208" s="468" t="s">
        <v>3477</v>
      </c>
      <c r="M208" s="468"/>
      <c r="N208" s="467">
        <v>1188</v>
      </c>
      <c r="O208" s="467">
        <v>760</v>
      </c>
      <c r="P208" s="467">
        <v>1188</v>
      </c>
    </row>
    <row r="209" spans="12:16">
      <c r="L209" s="468" t="s">
        <v>297</v>
      </c>
      <c r="M209" s="468" t="s">
        <v>3261</v>
      </c>
      <c r="N209" s="467">
        <v>2455</v>
      </c>
      <c r="O209" s="467">
        <v>2455</v>
      </c>
      <c r="P209" s="467">
        <v>2455</v>
      </c>
    </row>
    <row r="210" spans="12:16">
      <c r="M210" s="468" t="s">
        <v>3262</v>
      </c>
      <c r="N210" s="467">
        <v>2691</v>
      </c>
      <c r="O210" s="467">
        <v>2691</v>
      </c>
      <c r="P210" s="467">
        <v>1850</v>
      </c>
    </row>
    <row r="211" spans="12:16">
      <c r="M211" s="468" t="s">
        <v>3263</v>
      </c>
      <c r="N211" s="467">
        <v>2691</v>
      </c>
      <c r="O211" s="467">
        <v>2691</v>
      </c>
      <c r="P211" s="467">
        <v>1850</v>
      </c>
    </row>
    <row r="212" spans="12:16">
      <c r="L212" s="468" t="s">
        <v>3478</v>
      </c>
      <c r="M212" s="468"/>
      <c r="N212" s="467">
        <v>7837</v>
      </c>
      <c r="O212" s="467">
        <v>7837</v>
      </c>
      <c r="P212" s="467">
        <v>6155</v>
      </c>
    </row>
    <row r="213" spans="12:16">
      <c r="L213" s="468" t="s">
        <v>2019</v>
      </c>
      <c r="M213" s="468" t="s">
        <v>3261</v>
      </c>
      <c r="N213" s="467">
        <v>218</v>
      </c>
      <c r="O213" s="467">
        <v>218</v>
      </c>
      <c r="P213" s="467">
        <v>66.666666666666671</v>
      </c>
    </row>
    <row r="214" spans="12:16">
      <c r="M214" s="468" t="s">
        <v>3262</v>
      </c>
      <c r="N214" s="467">
        <v>218</v>
      </c>
      <c r="O214" s="467">
        <v>218</v>
      </c>
      <c r="P214" s="467">
        <v>218</v>
      </c>
    </row>
    <row r="215" spans="12:16">
      <c r="M215" s="468" t="s">
        <v>3263</v>
      </c>
      <c r="N215" s="467">
        <v>218</v>
      </c>
      <c r="O215" s="467">
        <v>218</v>
      </c>
      <c r="P215" s="467">
        <v>218</v>
      </c>
    </row>
    <row r="216" spans="12:16">
      <c r="L216" s="468" t="s">
        <v>3479</v>
      </c>
      <c r="M216" s="468"/>
      <c r="N216" s="467">
        <v>654</v>
      </c>
      <c r="O216" s="467">
        <v>654</v>
      </c>
      <c r="P216" s="467">
        <v>502.66666666666669</v>
      </c>
    </row>
    <row r="217" spans="12:16">
      <c r="L217" s="468" t="s">
        <v>246</v>
      </c>
      <c r="M217" s="468" t="s">
        <v>3261</v>
      </c>
      <c r="N217" s="467">
        <v>672</v>
      </c>
      <c r="O217" s="467">
        <v>672</v>
      </c>
      <c r="P217" s="467">
        <v>316.66740740740738</v>
      </c>
    </row>
    <row r="218" spans="12:16">
      <c r="M218" s="468" t="s">
        <v>3262</v>
      </c>
      <c r="N218" s="467">
        <v>672</v>
      </c>
      <c r="O218" s="467">
        <v>672</v>
      </c>
      <c r="P218" s="467">
        <v>316.66666666666669</v>
      </c>
    </row>
    <row r="219" spans="12:16">
      <c r="M219" s="468" t="s">
        <v>3263</v>
      </c>
      <c r="N219" s="467">
        <v>672</v>
      </c>
      <c r="O219" s="467">
        <v>672</v>
      </c>
      <c r="P219" s="467">
        <v>316.66666666666669</v>
      </c>
    </row>
    <row r="220" spans="12:16">
      <c r="L220" s="468" t="s">
        <v>3480</v>
      </c>
      <c r="M220" s="468"/>
      <c r="N220" s="467">
        <v>2016</v>
      </c>
      <c r="O220" s="467">
        <v>2016</v>
      </c>
      <c r="P220" s="467">
        <v>950.00074074074087</v>
      </c>
    </row>
    <row r="221" spans="12:16">
      <c r="L221" s="468" t="s">
        <v>2080</v>
      </c>
      <c r="M221" s="468" t="s">
        <v>3261</v>
      </c>
      <c r="N221" s="467">
        <v>0</v>
      </c>
      <c r="O221" s="467">
        <v>252</v>
      </c>
      <c r="P221" s="467">
        <v>0</v>
      </c>
    </row>
    <row r="222" spans="12:16">
      <c r="M222" s="468" t="s">
        <v>3262</v>
      </c>
      <c r="N222" s="467">
        <v>0</v>
      </c>
      <c r="O222" s="467">
        <v>0</v>
      </c>
      <c r="P222" s="467">
        <v>0</v>
      </c>
    </row>
    <row r="223" spans="12:16">
      <c r="M223" s="468" t="s">
        <v>3263</v>
      </c>
      <c r="N223" s="467">
        <v>0</v>
      </c>
      <c r="O223" s="467">
        <v>0</v>
      </c>
      <c r="P223" s="467">
        <v>0</v>
      </c>
    </row>
    <row r="224" spans="12:16">
      <c r="L224" s="468" t="s">
        <v>3402</v>
      </c>
      <c r="M224" s="468"/>
      <c r="N224" s="467">
        <v>0</v>
      </c>
      <c r="O224" s="467">
        <v>252</v>
      </c>
      <c r="P224" s="467">
        <v>0</v>
      </c>
    </row>
    <row r="225" spans="12:16">
      <c r="L225" s="468" t="s">
        <v>166</v>
      </c>
      <c r="M225" s="468" t="s">
        <v>3261</v>
      </c>
      <c r="N225" s="467">
        <v>500</v>
      </c>
      <c r="O225" s="467">
        <v>0</v>
      </c>
      <c r="P225" s="467">
        <v>547</v>
      </c>
    </row>
    <row r="226" spans="12:16">
      <c r="M226" s="468" t="s">
        <v>3262</v>
      </c>
      <c r="N226" s="467">
        <v>500</v>
      </c>
      <c r="O226" s="467">
        <v>160</v>
      </c>
      <c r="P226" s="467">
        <v>547</v>
      </c>
    </row>
    <row r="227" spans="12:16">
      <c r="M227" s="468" t="s">
        <v>3263</v>
      </c>
      <c r="N227" s="467">
        <v>500</v>
      </c>
      <c r="O227" s="467">
        <v>160</v>
      </c>
      <c r="P227" s="467">
        <v>547</v>
      </c>
    </row>
    <row r="228" spans="12:16">
      <c r="L228" s="468" t="s">
        <v>3403</v>
      </c>
      <c r="M228" s="468"/>
      <c r="N228" s="467">
        <v>1500</v>
      </c>
      <c r="O228" s="467">
        <v>320</v>
      </c>
      <c r="P228" s="467">
        <v>1641</v>
      </c>
    </row>
    <row r="229" spans="12:16">
      <c r="L229" s="468" t="s">
        <v>167</v>
      </c>
      <c r="M229" s="468" t="s">
        <v>3261</v>
      </c>
      <c r="N229" s="467">
        <v>500</v>
      </c>
      <c r="O229" s="467">
        <v>320</v>
      </c>
      <c r="P229" s="467">
        <v>676</v>
      </c>
    </row>
    <row r="230" spans="12:16">
      <c r="M230" s="468" t="s">
        <v>3262</v>
      </c>
      <c r="N230" s="467">
        <v>500</v>
      </c>
      <c r="O230" s="467">
        <v>640</v>
      </c>
      <c r="P230" s="467">
        <v>676</v>
      </c>
    </row>
    <row r="231" spans="12:16">
      <c r="M231" s="468" t="s">
        <v>3263</v>
      </c>
      <c r="N231" s="467">
        <v>500</v>
      </c>
      <c r="O231" s="467">
        <v>640</v>
      </c>
      <c r="P231" s="467">
        <v>676</v>
      </c>
    </row>
    <row r="232" spans="12:16">
      <c r="L232" s="468" t="s">
        <v>3404</v>
      </c>
      <c r="M232" s="468"/>
      <c r="N232" s="467">
        <v>1500</v>
      </c>
      <c r="O232" s="467">
        <v>1600</v>
      </c>
      <c r="P232" s="467">
        <v>2028</v>
      </c>
    </row>
    <row r="233" spans="12:16">
      <c r="L233" s="468" t="s">
        <v>250</v>
      </c>
      <c r="M233" s="468" t="s">
        <v>3261</v>
      </c>
      <c r="N233" s="467">
        <v>856</v>
      </c>
      <c r="O233" s="467">
        <v>856</v>
      </c>
      <c r="P233" s="467">
        <v>66.666666666666671</v>
      </c>
    </row>
    <row r="234" spans="12:16">
      <c r="M234" s="468" t="s">
        <v>3262</v>
      </c>
      <c r="N234" s="467">
        <v>895</v>
      </c>
      <c r="O234" s="467">
        <v>895</v>
      </c>
      <c r="P234" s="467">
        <v>66.666666666666671</v>
      </c>
    </row>
    <row r="235" spans="12:16">
      <c r="M235" s="468" t="s">
        <v>3263</v>
      </c>
      <c r="N235" s="467">
        <v>895</v>
      </c>
      <c r="O235" s="467">
        <v>895</v>
      </c>
      <c r="P235" s="467">
        <v>66.666666666666671</v>
      </c>
    </row>
    <row r="236" spans="12:16">
      <c r="L236" s="468" t="s">
        <v>3481</v>
      </c>
      <c r="M236" s="468"/>
      <c r="N236" s="467">
        <v>2646</v>
      </c>
      <c r="O236" s="467">
        <v>2646</v>
      </c>
      <c r="P236" s="467">
        <v>200</v>
      </c>
    </row>
    <row r="237" spans="12:16">
      <c r="L237" s="468" t="s">
        <v>258</v>
      </c>
      <c r="M237" s="468" t="s">
        <v>3261</v>
      </c>
      <c r="N237" s="467">
        <v>103</v>
      </c>
      <c r="O237" s="467">
        <v>80</v>
      </c>
      <c r="P237" s="467">
        <v>103</v>
      </c>
    </row>
    <row r="238" spans="12:16">
      <c r="M238" s="468" t="s">
        <v>3262</v>
      </c>
      <c r="N238" s="467">
        <v>103</v>
      </c>
      <c r="O238" s="467">
        <v>80</v>
      </c>
      <c r="P238" s="467">
        <v>103</v>
      </c>
    </row>
    <row r="239" spans="12:16">
      <c r="M239" s="468" t="s">
        <v>3263</v>
      </c>
      <c r="N239" s="467">
        <v>103</v>
      </c>
      <c r="O239" s="467">
        <v>80</v>
      </c>
      <c r="P239" s="467">
        <v>103</v>
      </c>
    </row>
    <row r="240" spans="12:16">
      <c r="L240" s="468" t="s">
        <v>3482</v>
      </c>
      <c r="M240" s="468"/>
      <c r="N240" s="467">
        <v>309</v>
      </c>
      <c r="O240" s="467">
        <v>240</v>
      </c>
      <c r="P240" s="467">
        <v>309</v>
      </c>
    </row>
    <row r="241" spans="12:16">
      <c r="L241" s="468" t="s">
        <v>259</v>
      </c>
      <c r="M241" s="468" t="s">
        <v>3261</v>
      </c>
      <c r="N241" s="467">
        <v>60</v>
      </c>
      <c r="O241" s="467">
        <v>40</v>
      </c>
      <c r="P241" s="467">
        <v>7.4074074074074081E-4</v>
      </c>
    </row>
    <row r="242" spans="12:16">
      <c r="M242" s="468" t="s">
        <v>3262</v>
      </c>
      <c r="N242" s="467">
        <v>60</v>
      </c>
      <c r="O242" s="467">
        <v>40</v>
      </c>
      <c r="P242" s="467">
        <v>0</v>
      </c>
    </row>
    <row r="243" spans="12:16">
      <c r="M243" s="468" t="s">
        <v>3263</v>
      </c>
      <c r="N243" s="467">
        <v>60</v>
      </c>
      <c r="O243" s="467">
        <v>40</v>
      </c>
      <c r="P243" s="467">
        <v>0</v>
      </c>
    </row>
    <row r="244" spans="12:16">
      <c r="L244" s="468" t="s">
        <v>3483</v>
      </c>
      <c r="M244" s="468"/>
      <c r="N244" s="467">
        <v>180</v>
      </c>
      <c r="O244" s="467">
        <v>120</v>
      </c>
      <c r="P244" s="467">
        <v>7.4074074074074081E-4</v>
      </c>
    </row>
    <row r="245" spans="12:16">
      <c r="L245" s="468" t="s">
        <v>203</v>
      </c>
      <c r="M245" s="468" t="s">
        <v>3261</v>
      </c>
      <c r="N245" s="467">
        <v>0</v>
      </c>
      <c r="O245" s="467">
        <v>420</v>
      </c>
      <c r="P245" s="467">
        <v>800</v>
      </c>
    </row>
    <row r="246" spans="12:16">
      <c r="M246" s="468" t="s">
        <v>3262</v>
      </c>
      <c r="N246" s="467">
        <v>800</v>
      </c>
      <c r="O246" s="467">
        <v>420</v>
      </c>
      <c r="P246" s="467">
        <v>800</v>
      </c>
    </row>
    <row r="247" spans="12:16">
      <c r="M247" s="468" t="s">
        <v>3263</v>
      </c>
      <c r="N247" s="467">
        <v>800</v>
      </c>
      <c r="O247" s="467">
        <v>420</v>
      </c>
      <c r="P247" s="467">
        <v>800</v>
      </c>
    </row>
    <row r="248" spans="12:16">
      <c r="L248" s="468" t="s">
        <v>3484</v>
      </c>
      <c r="M248" s="468"/>
      <c r="N248" s="467">
        <v>1600</v>
      </c>
      <c r="O248" s="467">
        <v>1260</v>
      </c>
      <c r="P248" s="467">
        <v>2400</v>
      </c>
    </row>
    <row r="249" spans="12:16">
      <c r="L249" s="468" t="s">
        <v>740</v>
      </c>
      <c r="M249" s="468" t="s">
        <v>3261</v>
      </c>
      <c r="N249" s="467">
        <v>146</v>
      </c>
      <c r="O249" s="467">
        <v>146</v>
      </c>
      <c r="P249" s="467">
        <v>146</v>
      </c>
    </row>
    <row r="250" spans="12:16">
      <c r="M250" s="468" t="s">
        <v>3262</v>
      </c>
      <c r="N250" s="467">
        <v>146</v>
      </c>
      <c r="O250" s="467">
        <v>146</v>
      </c>
      <c r="P250" s="467">
        <v>146</v>
      </c>
    </row>
    <row r="251" spans="12:16">
      <c r="M251" s="468" t="s">
        <v>3263</v>
      </c>
      <c r="N251" s="467">
        <v>146</v>
      </c>
      <c r="O251" s="467">
        <v>146</v>
      </c>
      <c r="P251" s="467">
        <v>146</v>
      </c>
    </row>
    <row r="252" spans="12:16">
      <c r="L252" s="468" t="s">
        <v>3485</v>
      </c>
      <c r="M252" s="468"/>
      <c r="N252" s="467">
        <v>438</v>
      </c>
      <c r="O252" s="467">
        <v>438</v>
      </c>
      <c r="P252" s="467">
        <v>438</v>
      </c>
    </row>
    <row r="253" spans="12:16">
      <c r="L253" s="468" t="s">
        <v>284</v>
      </c>
      <c r="M253" s="468" t="s">
        <v>3261</v>
      </c>
      <c r="N253" s="467">
        <v>241</v>
      </c>
      <c r="O253" s="467">
        <v>180</v>
      </c>
      <c r="P253" s="467">
        <v>241</v>
      </c>
    </row>
    <row r="254" spans="12:16">
      <c r="M254" s="468" t="s">
        <v>3262</v>
      </c>
      <c r="N254" s="467">
        <v>209</v>
      </c>
      <c r="O254" s="467">
        <v>180</v>
      </c>
      <c r="P254" s="467">
        <v>209</v>
      </c>
    </row>
    <row r="255" spans="12:16">
      <c r="M255" s="468" t="s">
        <v>3263</v>
      </c>
      <c r="N255" s="467">
        <v>209</v>
      </c>
      <c r="O255" s="467">
        <v>180</v>
      </c>
      <c r="P255" s="467">
        <v>209</v>
      </c>
    </row>
    <row r="256" spans="12:16">
      <c r="L256" s="468" t="s">
        <v>3486</v>
      </c>
      <c r="M256" s="468"/>
      <c r="N256" s="467">
        <v>659</v>
      </c>
      <c r="O256" s="467">
        <v>540</v>
      </c>
      <c r="P256" s="467">
        <v>659</v>
      </c>
    </row>
    <row r="257" spans="12:16">
      <c r="L257" s="468" t="s">
        <v>285</v>
      </c>
      <c r="M257" s="468" t="s">
        <v>3261</v>
      </c>
      <c r="N257" s="467">
        <v>289</v>
      </c>
      <c r="O257" s="467">
        <v>289</v>
      </c>
      <c r="P257" s="467">
        <v>289</v>
      </c>
    </row>
    <row r="258" spans="12:16">
      <c r="M258" s="468" t="s">
        <v>3262</v>
      </c>
      <c r="N258" s="467">
        <v>291</v>
      </c>
      <c r="O258" s="467">
        <v>291</v>
      </c>
      <c r="P258" s="467">
        <v>291</v>
      </c>
    </row>
    <row r="259" spans="12:16">
      <c r="M259" s="468" t="s">
        <v>3263</v>
      </c>
      <c r="N259" s="467">
        <v>310</v>
      </c>
      <c r="O259" s="467">
        <v>120</v>
      </c>
      <c r="P259" s="467">
        <v>310</v>
      </c>
    </row>
    <row r="260" spans="12:16">
      <c r="L260" s="468" t="s">
        <v>3487</v>
      </c>
      <c r="M260" s="468"/>
      <c r="N260" s="467">
        <v>890</v>
      </c>
      <c r="O260" s="467">
        <v>700</v>
      </c>
      <c r="P260" s="467">
        <v>890</v>
      </c>
    </row>
    <row r="261" spans="12:16">
      <c r="L261" s="468" t="s">
        <v>286</v>
      </c>
      <c r="M261" s="468" t="s">
        <v>3261</v>
      </c>
      <c r="N261" s="467">
        <v>1138</v>
      </c>
      <c r="O261" s="467">
        <v>760</v>
      </c>
      <c r="P261" s="467">
        <v>1138</v>
      </c>
    </row>
    <row r="262" spans="12:16">
      <c r="M262" s="468" t="s">
        <v>3262</v>
      </c>
      <c r="N262" s="467">
        <v>1267</v>
      </c>
      <c r="O262" s="467">
        <v>760</v>
      </c>
      <c r="P262" s="467">
        <v>1267</v>
      </c>
    </row>
    <row r="263" spans="12:16">
      <c r="M263" s="468" t="s">
        <v>3263</v>
      </c>
      <c r="N263" s="467">
        <v>1267</v>
      </c>
      <c r="O263" s="467">
        <v>760</v>
      </c>
      <c r="P263" s="467">
        <v>1267</v>
      </c>
    </row>
    <row r="264" spans="12:16">
      <c r="L264" s="468" t="s">
        <v>3488</v>
      </c>
      <c r="M264" s="468"/>
      <c r="N264" s="467">
        <v>3672</v>
      </c>
      <c r="O264" s="467">
        <v>2280</v>
      </c>
      <c r="P264" s="467">
        <v>3672</v>
      </c>
    </row>
    <row r="265" spans="12:16">
      <c r="L265" s="468" t="s">
        <v>2071</v>
      </c>
      <c r="M265" s="468" t="s">
        <v>3261</v>
      </c>
      <c r="N265" s="467">
        <v>329</v>
      </c>
      <c r="O265" s="467">
        <v>160</v>
      </c>
      <c r="P265" s="467">
        <v>329</v>
      </c>
    </row>
    <row r="266" spans="12:16">
      <c r="M266" s="468" t="s">
        <v>3262</v>
      </c>
      <c r="N266" s="467">
        <v>329</v>
      </c>
      <c r="O266" s="467">
        <v>300</v>
      </c>
      <c r="P266" s="467">
        <v>329</v>
      </c>
    </row>
    <row r="267" spans="12:16">
      <c r="M267" s="468" t="s">
        <v>3263</v>
      </c>
      <c r="N267" s="467">
        <v>329</v>
      </c>
      <c r="O267" s="467">
        <v>300</v>
      </c>
      <c r="P267" s="467">
        <v>329</v>
      </c>
    </row>
    <row r="268" spans="12:16">
      <c r="L268" s="468" t="s">
        <v>3489</v>
      </c>
      <c r="M268" s="468"/>
      <c r="N268" s="467">
        <v>987</v>
      </c>
      <c r="O268" s="467">
        <v>760</v>
      </c>
      <c r="P268" s="467">
        <v>987</v>
      </c>
    </row>
    <row r="269" spans="12:16">
      <c r="L269" s="468" t="s">
        <v>177</v>
      </c>
      <c r="M269" s="468" t="s">
        <v>3261</v>
      </c>
      <c r="N269" s="467">
        <v>289</v>
      </c>
      <c r="O269" s="467">
        <v>240</v>
      </c>
      <c r="P269" s="467">
        <v>289</v>
      </c>
    </row>
    <row r="270" spans="12:16">
      <c r="M270" s="468" t="s">
        <v>3262</v>
      </c>
      <c r="N270" s="467">
        <v>289</v>
      </c>
      <c r="O270" s="467">
        <v>240</v>
      </c>
      <c r="P270" s="467">
        <v>289</v>
      </c>
    </row>
    <row r="271" spans="12:16">
      <c r="M271" s="468" t="s">
        <v>3263</v>
      </c>
      <c r="N271" s="467">
        <v>289</v>
      </c>
      <c r="O271" s="467">
        <v>240</v>
      </c>
      <c r="P271" s="467">
        <v>289</v>
      </c>
    </row>
    <row r="272" spans="12:16">
      <c r="L272" s="468" t="s">
        <v>3405</v>
      </c>
      <c r="M272" s="468"/>
      <c r="N272" s="467">
        <v>867</v>
      </c>
      <c r="O272" s="467">
        <v>720</v>
      </c>
      <c r="P272" s="467">
        <v>867</v>
      </c>
    </row>
    <row r="273" spans="12:16">
      <c r="L273" s="468" t="s">
        <v>291</v>
      </c>
      <c r="M273" s="468" t="s">
        <v>3261</v>
      </c>
      <c r="N273" s="467">
        <v>0</v>
      </c>
      <c r="O273" s="467">
        <v>140</v>
      </c>
      <c r="P273" s="467">
        <v>1300</v>
      </c>
    </row>
    <row r="274" spans="12:16">
      <c r="M274" s="468" t="s">
        <v>3262</v>
      </c>
      <c r="N274" s="467">
        <v>0</v>
      </c>
      <c r="O274" s="467">
        <v>140</v>
      </c>
      <c r="P274" s="467">
        <v>1300</v>
      </c>
    </row>
    <row r="275" spans="12:16">
      <c r="M275" s="468" t="s">
        <v>3263</v>
      </c>
      <c r="N275" s="467">
        <v>0</v>
      </c>
      <c r="O275" s="467">
        <v>140</v>
      </c>
      <c r="P275" s="467">
        <v>1300</v>
      </c>
    </row>
    <row r="276" spans="12:16">
      <c r="L276" s="468" t="s">
        <v>3490</v>
      </c>
      <c r="M276" s="468"/>
      <c r="N276" s="467">
        <v>0</v>
      </c>
      <c r="O276" s="467">
        <v>420</v>
      </c>
      <c r="P276" s="467">
        <v>3900</v>
      </c>
    </row>
    <row r="277" spans="12:16">
      <c r="L277" s="468" t="s">
        <v>2175</v>
      </c>
      <c r="M277" s="468" t="s">
        <v>3261</v>
      </c>
      <c r="N277" s="467">
        <v>78</v>
      </c>
      <c r="O277" s="467">
        <v>40</v>
      </c>
      <c r="P277" s="467">
        <v>78</v>
      </c>
    </row>
    <row r="278" spans="12:16">
      <c r="M278" s="468" t="s">
        <v>3262</v>
      </c>
      <c r="N278" s="467">
        <v>78</v>
      </c>
      <c r="O278" s="467">
        <v>40</v>
      </c>
      <c r="P278" s="467">
        <v>78</v>
      </c>
    </row>
    <row r="279" spans="12:16">
      <c r="M279" s="468" t="s">
        <v>3263</v>
      </c>
      <c r="N279" s="467">
        <v>78</v>
      </c>
      <c r="O279" s="467">
        <v>40</v>
      </c>
      <c r="P279" s="467">
        <v>78</v>
      </c>
    </row>
    <row r="280" spans="12:16">
      <c r="L280" s="468" t="s">
        <v>3406</v>
      </c>
      <c r="M280" s="468"/>
      <c r="N280" s="467">
        <v>234</v>
      </c>
      <c r="O280" s="467">
        <v>120</v>
      </c>
      <c r="P280" s="467">
        <v>234</v>
      </c>
    </row>
    <row r="281" spans="12:16">
      <c r="L281" s="468" t="s">
        <v>179</v>
      </c>
      <c r="M281" s="468" t="s">
        <v>3261</v>
      </c>
      <c r="N281" s="467">
        <v>159</v>
      </c>
      <c r="O281" s="467">
        <v>120</v>
      </c>
      <c r="P281" s="467">
        <v>159</v>
      </c>
    </row>
    <row r="282" spans="12:16">
      <c r="M282" s="468" t="s">
        <v>3262</v>
      </c>
      <c r="N282" s="467">
        <v>159</v>
      </c>
      <c r="O282" s="467">
        <v>120</v>
      </c>
      <c r="P282" s="467">
        <v>159</v>
      </c>
    </row>
    <row r="283" spans="12:16">
      <c r="M283" s="468" t="s">
        <v>3263</v>
      </c>
      <c r="N283" s="467">
        <v>159</v>
      </c>
      <c r="O283" s="467">
        <v>120</v>
      </c>
      <c r="P283" s="467">
        <v>159</v>
      </c>
    </row>
    <row r="284" spans="12:16">
      <c r="L284" s="468" t="s">
        <v>3407</v>
      </c>
      <c r="M284" s="468"/>
      <c r="N284" s="467">
        <v>477</v>
      </c>
      <c r="O284" s="467">
        <v>360</v>
      </c>
      <c r="P284" s="467">
        <v>477</v>
      </c>
    </row>
    <row r="285" spans="12:16">
      <c r="L285" s="468" t="s">
        <v>180</v>
      </c>
      <c r="M285" s="468" t="s">
        <v>3261</v>
      </c>
      <c r="N285" s="467">
        <v>0</v>
      </c>
      <c r="O285" s="467">
        <v>1801</v>
      </c>
      <c r="P285" s="467">
        <v>400</v>
      </c>
    </row>
    <row r="286" spans="12:16">
      <c r="M286" s="468" t="s">
        <v>3262</v>
      </c>
      <c r="N286" s="467">
        <v>0</v>
      </c>
      <c r="O286" s="467">
        <v>1801</v>
      </c>
      <c r="P286" s="467">
        <v>400</v>
      </c>
    </row>
    <row r="287" spans="12:16">
      <c r="M287" s="468" t="s">
        <v>3263</v>
      </c>
      <c r="N287" s="467">
        <v>0</v>
      </c>
      <c r="O287" s="467">
        <v>1801</v>
      </c>
      <c r="P287" s="467">
        <v>400</v>
      </c>
    </row>
    <row r="288" spans="12:16">
      <c r="L288" s="468" t="s">
        <v>3491</v>
      </c>
      <c r="M288" s="468"/>
      <c r="N288" s="467">
        <v>0</v>
      </c>
      <c r="O288" s="467">
        <v>5403</v>
      </c>
      <c r="P288" s="467">
        <v>1200</v>
      </c>
    </row>
    <row r="289" spans="12:16">
      <c r="L289" s="468" t="s">
        <v>2178</v>
      </c>
      <c r="M289" s="468" t="s">
        <v>3261</v>
      </c>
      <c r="N289" s="467">
        <v>500</v>
      </c>
      <c r="O289" s="467">
        <v>721</v>
      </c>
      <c r="P289" s="467">
        <v>721</v>
      </c>
    </row>
    <row r="290" spans="12:16">
      <c r="M290" s="468" t="s">
        <v>3262</v>
      </c>
      <c r="N290" s="467">
        <v>500</v>
      </c>
      <c r="O290" s="467">
        <v>721</v>
      </c>
      <c r="P290" s="467">
        <v>721</v>
      </c>
    </row>
    <row r="291" spans="12:16">
      <c r="M291" s="468" t="s">
        <v>3263</v>
      </c>
      <c r="N291" s="467">
        <v>721</v>
      </c>
      <c r="O291" s="467">
        <v>721</v>
      </c>
      <c r="P291" s="467">
        <v>0</v>
      </c>
    </row>
    <row r="292" spans="12:16">
      <c r="L292" s="468" t="s">
        <v>3492</v>
      </c>
      <c r="M292" s="468"/>
      <c r="N292" s="467">
        <v>1721</v>
      </c>
      <c r="O292" s="467">
        <v>2163</v>
      </c>
      <c r="P292" s="467">
        <v>1442</v>
      </c>
    </row>
    <row r="293" spans="12:16">
      <c r="L293" s="468" t="s">
        <v>272</v>
      </c>
      <c r="M293" s="468" t="s">
        <v>3261</v>
      </c>
      <c r="N293" s="467">
        <v>0</v>
      </c>
      <c r="O293" s="467">
        <v>600</v>
      </c>
      <c r="P293" s="467">
        <v>2065</v>
      </c>
    </row>
    <row r="294" spans="12:16">
      <c r="M294" s="468" t="s">
        <v>3262</v>
      </c>
      <c r="N294" s="467">
        <v>0</v>
      </c>
      <c r="O294" s="467">
        <v>600</v>
      </c>
      <c r="P294" s="467">
        <v>2065</v>
      </c>
    </row>
    <row r="295" spans="12:16">
      <c r="M295" s="468" t="s">
        <v>3263</v>
      </c>
      <c r="N295" s="467">
        <v>0</v>
      </c>
      <c r="O295" s="467">
        <v>600</v>
      </c>
      <c r="P295" s="467">
        <v>2065</v>
      </c>
    </row>
    <row r="296" spans="12:16">
      <c r="L296" s="468" t="s">
        <v>3493</v>
      </c>
      <c r="M296" s="468"/>
      <c r="N296" s="467">
        <v>0</v>
      </c>
      <c r="O296" s="467">
        <v>1800</v>
      </c>
      <c r="P296" s="467">
        <v>6195</v>
      </c>
    </row>
    <row r="297" spans="12:16">
      <c r="L297" s="468" t="s">
        <v>240</v>
      </c>
      <c r="M297" s="468" t="s">
        <v>3261</v>
      </c>
      <c r="N297" s="467">
        <v>1481</v>
      </c>
      <c r="O297" s="467">
        <v>1481</v>
      </c>
      <c r="P297" s="467">
        <v>1481</v>
      </c>
    </row>
    <row r="298" spans="12:16">
      <c r="M298" s="468" t="s">
        <v>3262</v>
      </c>
      <c r="N298" s="467">
        <v>1481</v>
      </c>
      <c r="O298" s="467">
        <v>1481</v>
      </c>
      <c r="P298" s="467">
        <v>1481</v>
      </c>
    </row>
    <row r="299" spans="12:16">
      <c r="M299" s="468" t="s">
        <v>3263</v>
      </c>
      <c r="N299" s="467">
        <v>1481</v>
      </c>
      <c r="O299" s="467">
        <v>1481</v>
      </c>
      <c r="P299" s="467">
        <v>1481</v>
      </c>
    </row>
    <row r="300" spans="12:16">
      <c r="L300" s="468" t="s">
        <v>3494</v>
      </c>
      <c r="M300" s="468"/>
      <c r="N300" s="467">
        <v>4443</v>
      </c>
      <c r="O300" s="467">
        <v>4443</v>
      </c>
      <c r="P300" s="467">
        <v>4443</v>
      </c>
    </row>
    <row r="301" spans="12:16">
      <c r="L301" s="468" t="s">
        <v>181</v>
      </c>
      <c r="M301" s="468" t="s">
        <v>3261</v>
      </c>
      <c r="N301" s="467">
        <v>2500</v>
      </c>
      <c r="O301" s="467">
        <v>2500</v>
      </c>
      <c r="P301" s="467">
        <v>2500</v>
      </c>
    </row>
    <row r="302" spans="12:16">
      <c r="M302" s="468" t="s">
        <v>3262</v>
      </c>
      <c r="N302" s="467">
        <v>2500</v>
      </c>
      <c r="O302" s="467">
        <v>2500</v>
      </c>
      <c r="P302" s="467">
        <v>2500</v>
      </c>
    </row>
    <row r="303" spans="12:16">
      <c r="M303" s="468" t="s">
        <v>3263</v>
      </c>
      <c r="N303" s="467">
        <v>2500</v>
      </c>
      <c r="O303" s="467">
        <v>2500</v>
      </c>
      <c r="P303" s="467">
        <v>2500</v>
      </c>
    </row>
    <row r="304" spans="12:16">
      <c r="L304" s="468" t="s">
        <v>3408</v>
      </c>
      <c r="M304" s="468"/>
      <c r="N304" s="467">
        <v>7500</v>
      </c>
      <c r="O304" s="467">
        <v>7500</v>
      </c>
      <c r="P304" s="467">
        <v>7500</v>
      </c>
    </row>
    <row r="305" spans="12:16">
      <c r="L305" s="468" t="s">
        <v>182</v>
      </c>
      <c r="M305" s="468" t="s">
        <v>3261</v>
      </c>
      <c r="N305" s="467">
        <v>191</v>
      </c>
      <c r="O305" s="467">
        <v>191</v>
      </c>
      <c r="P305" s="467">
        <v>191</v>
      </c>
    </row>
    <row r="306" spans="12:16">
      <c r="M306" s="468" t="s">
        <v>3262</v>
      </c>
      <c r="N306" s="467">
        <v>191</v>
      </c>
      <c r="O306" s="467">
        <v>191</v>
      </c>
      <c r="P306" s="467">
        <v>191</v>
      </c>
    </row>
    <row r="307" spans="12:16">
      <c r="M307" s="468" t="s">
        <v>3263</v>
      </c>
      <c r="N307" s="467">
        <v>191</v>
      </c>
      <c r="O307" s="467">
        <v>191</v>
      </c>
      <c r="P307" s="467">
        <v>191</v>
      </c>
    </row>
    <row r="308" spans="12:16">
      <c r="L308" s="468" t="s">
        <v>3409</v>
      </c>
      <c r="M308" s="468"/>
      <c r="N308" s="467">
        <v>573</v>
      </c>
      <c r="O308" s="467">
        <v>573</v>
      </c>
      <c r="P308" s="467">
        <v>573</v>
      </c>
    </row>
    <row r="309" spans="12:16">
      <c r="L309" s="468" t="s">
        <v>186</v>
      </c>
      <c r="M309" s="468" t="s">
        <v>3261</v>
      </c>
      <c r="N309" s="467">
        <v>1855</v>
      </c>
      <c r="O309" s="467">
        <v>1855</v>
      </c>
      <c r="P309" s="467">
        <v>1855</v>
      </c>
    </row>
    <row r="310" spans="12:16">
      <c r="M310" s="468" t="s">
        <v>3262</v>
      </c>
      <c r="N310" s="467">
        <v>1900</v>
      </c>
      <c r="O310" s="467">
        <v>1900</v>
      </c>
      <c r="P310" s="467">
        <v>1500</v>
      </c>
    </row>
    <row r="311" spans="12:16">
      <c r="M311" s="468" t="s">
        <v>3263</v>
      </c>
      <c r="N311" s="467">
        <v>1900</v>
      </c>
      <c r="O311" s="467">
        <v>1900</v>
      </c>
      <c r="P311" s="467">
        <v>1900</v>
      </c>
    </row>
    <row r="312" spans="12:16">
      <c r="L312" s="468" t="s">
        <v>3410</v>
      </c>
      <c r="M312" s="468"/>
      <c r="N312" s="467">
        <v>5655</v>
      </c>
      <c r="O312" s="467">
        <v>5655</v>
      </c>
      <c r="P312" s="467">
        <v>5255</v>
      </c>
    </row>
    <row r="313" spans="12:16">
      <c r="L313" s="468" t="s">
        <v>41</v>
      </c>
      <c r="M313" s="468" t="s">
        <v>3261</v>
      </c>
      <c r="N313" s="467">
        <v>694</v>
      </c>
      <c r="O313" s="467">
        <v>694</v>
      </c>
      <c r="P313" s="467">
        <v>694</v>
      </c>
    </row>
    <row r="314" spans="12:16">
      <c r="M314" s="468" t="s">
        <v>3262</v>
      </c>
      <c r="N314" s="467">
        <v>694</v>
      </c>
      <c r="O314" s="467">
        <v>694</v>
      </c>
      <c r="P314" s="467">
        <v>694</v>
      </c>
    </row>
    <row r="315" spans="12:16">
      <c r="M315" s="468" t="s">
        <v>3263</v>
      </c>
      <c r="N315" s="467">
        <v>694</v>
      </c>
      <c r="O315" s="467">
        <v>694</v>
      </c>
      <c r="P315" s="467">
        <v>694</v>
      </c>
    </row>
    <row r="316" spans="12:16">
      <c r="L316" s="468" t="s">
        <v>3495</v>
      </c>
      <c r="M316" s="468"/>
      <c r="N316" s="467">
        <v>2082</v>
      </c>
      <c r="O316" s="467">
        <v>2082</v>
      </c>
      <c r="P316" s="467">
        <v>2082</v>
      </c>
    </row>
    <row r="317" spans="12:16">
      <c r="L317" s="468" t="s">
        <v>168</v>
      </c>
      <c r="M317" s="468" t="s">
        <v>3261</v>
      </c>
      <c r="N317" s="467">
        <v>290</v>
      </c>
      <c r="O317" s="467">
        <v>140</v>
      </c>
      <c r="P317" s="467">
        <v>290</v>
      </c>
    </row>
    <row r="318" spans="12:16">
      <c r="M318" s="468" t="s">
        <v>3262</v>
      </c>
      <c r="N318" s="467">
        <v>290</v>
      </c>
      <c r="O318" s="467">
        <v>140</v>
      </c>
      <c r="P318" s="467">
        <v>290</v>
      </c>
    </row>
    <row r="319" spans="12:16">
      <c r="M319" s="468" t="s">
        <v>3263</v>
      </c>
      <c r="N319" s="467">
        <v>290</v>
      </c>
      <c r="O319" s="467">
        <v>140</v>
      </c>
      <c r="P319" s="467">
        <v>290</v>
      </c>
    </row>
    <row r="320" spans="12:16">
      <c r="L320" s="468" t="s">
        <v>3411</v>
      </c>
      <c r="M320" s="468"/>
      <c r="N320" s="467">
        <v>870</v>
      </c>
      <c r="O320" s="467">
        <v>420</v>
      </c>
      <c r="P320" s="467">
        <v>870</v>
      </c>
    </row>
    <row r="321" spans="12:16">
      <c r="L321" s="468" t="s">
        <v>213</v>
      </c>
      <c r="M321" s="468" t="s">
        <v>3261</v>
      </c>
      <c r="N321" s="467">
        <v>0</v>
      </c>
      <c r="O321" s="467">
        <v>741</v>
      </c>
      <c r="P321" s="467">
        <v>741</v>
      </c>
    </row>
    <row r="322" spans="12:16">
      <c r="M322" s="468" t="s">
        <v>3262</v>
      </c>
      <c r="N322" s="467">
        <v>500</v>
      </c>
      <c r="O322" s="467">
        <v>741</v>
      </c>
      <c r="P322" s="467">
        <v>741</v>
      </c>
    </row>
    <row r="323" spans="12:16">
      <c r="M323" s="468" t="s">
        <v>3263</v>
      </c>
      <c r="N323" s="467">
        <v>741</v>
      </c>
      <c r="O323" s="467">
        <v>741</v>
      </c>
      <c r="P323" s="467">
        <v>741</v>
      </c>
    </row>
    <row r="324" spans="12:16">
      <c r="L324" s="468" t="s">
        <v>3496</v>
      </c>
      <c r="M324" s="468"/>
      <c r="N324" s="467">
        <v>1241</v>
      </c>
      <c r="O324" s="467">
        <v>2223</v>
      </c>
      <c r="P324" s="467">
        <v>2223</v>
      </c>
    </row>
    <row r="325" spans="12:16">
      <c r="L325" s="468" t="s">
        <v>290</v>
      </c>
      <c r="M325" s="468" t="s">
        <v>3261</v>
      </c>
      <c r="N325" s="467">
        <v>618</v>
      </c>
      <c r="O325" s="467">
        <v>560</v>
      </c>
      <c r="P325" s="467">
        <v>618</v>
      </c>
    </row>
    <row r="326" spans="12:16">
      <c r="M326" s="468" t="s">
        <v>3262</v>
      </c>
      <c r="N326" s="467">
        <v>618</v>
      </c>
      <c r="O326" s="467">
        <v>560</v>
      </c>
      <c r="P326" s="467">
        <v>618</v>
      </c>
    </row>
    <row r="327" spans="12:16">
      <c r="M327" s="468" t="s">
        <v>3263</v>
      </c>
      <c r="N327" s="467">
        <v>607</v>
      </c>
      <c r="O327" s="467">
        <v>560</v>
      </c>
      <c r="P327" s="467">
        <v>607</v>
      </c>
    </row>
    <row r="328" spans="12:16">
      <c r="L328" s="468" t="s">
        <v>3497</v>
      </c>
      <c r="M328" s="468"/>
      <c r="N328" s="467">
        <v>1843</v>
      </c>
      <c r="O328" s="467">
        <v>1680</v>
      </c>
      <c r="P328" s="467">
        <v>1843</v>
      </c>
    </row>
    <row r="329" spans="12:16">
      <c r="L329" s="468" t="s">
        <v>169</v>
      </c>
      <c r="M329" s="468" t="s">
        <v>3261</v>
      </c>
      <c r="N329" s="467">
        <v>547</v>
      </c>
      <c r="O329" s="467">
        <v>547</v>
      </c>
      <c r="P329" s="467">
        <v>547</v>
      </c>
    </row>
    <row r="330" spans="12:16">
      <c r="M330" s="468" t="s">
        <v>3262</v>
      </c>
      <c r="N330" s="467">
        <v>547</v>
      </c>
      <c r="O330" s="467">
        <v>547</v>
      </c>
      <c r="P330" s="467">
        <v>547</v>
      </c>
    </row>
    <row r="331" spans="12:16">
      <c r="M331" s="468" t="s">
        <v>3263</v>
      </c>
      <c r="N331" s="467">
        <v>547</v>
      </c>
      <c r="O331" s="467">
        <v>547</v>
      </c>
      <c r="P331" s="467">
        <v>547</v>
      </c>
    </row>
    <row r="332" spans="12:16">
      <c r="L332" s="468" t="s">
        <v>3412</v>
      </c>
      <c r="M332" s="468"/>
      <c r="N332" s="467">
        <v>1641</v>
      </c>
      <c r="O332" s="467">
        <v>1641</v>
      </c>
      <c r="P332" s="467">
        <v>1641</v>
      </c>
    </row>
    <row r="333" spans="12:16">
      <c r="L333" s="468" t="s">
        <v>753</v>
      </c>
      <c r="M333" s="468" t="s">
        <v>3261</v>
      </c>
      <c r="N333" s="467">
        <v>0</v>
      </c>
      <c r="O333" s="467">
        <v>0</v>
      </c>
      <c r="P333" s="467">
        <v>0</v>
      </c>
    </row>
    <row r="334" spans="12:16">
      <c r="M334" s="468" t="s">
        <v>3262</v>
      </c>
      <c r="N334" s="467">
        <v>0</v>
      </c>
      <c r="O334" s="467">
        <v>0</v>
      </c>
      <c r="P334" s="467">
        <v>0</v>
      </c>
    </row>
    <row r="335" spans="12:16">
      <c r="M335" s="468" t="s">
        <v>3263</v>
      </c>
      <c r="N335" s="467">
        <v>0</v>
      </c>
      <c r="O335" s="467">
        <v>0</v>
      </c>
      <c r="P335" s="467">
        <v>0</v>
      </c>
    </row>
    <row r="336" spans="12:16">
      <c r="L336" s="468" t="s">
        <v>3498</v>
      </c>
      <c r="M336" s="468"/>
      <c r="N336" s="467">
        <v>0</v>
      </c>
      <c r="O336" s="467">
        <v>0</v>
      </c>
      <c r="P336" s="467">
        <v>0</v>
      </c>
    </row>
    <row r="337" spans="12:16">
      <c r="L337" s="468" t="s">
        <v>750</v>
      </c>
      <c r="M337" s="468" t="s">
        <v>3261</v>
      </c>
      <c r="N337" s="467">
        <v>0</v>
      </c>
      <c r="O337" s="467">
        <v>0</v>
      </c>
      <c r="P337" s="467">
        <v>0</v>
      </c>
    </row>
    <row r="338" spans="12:16">
      <c r="M338" s="468" t="s">
        <v>3262</v>
      </c>
      <c r="N338" s="467">
        <v>85</v>
      </c>
      <c r="O338" s="467">
        <v>80</v>
      </c>
      <c r="P338" s="467">
        <v>0</v>
      </c>
    </row>
    <row r="339" spans="12:16">
      <c r="M339" s="468" t="s">
        <v>3263</v>
      </c>
      <c r="N339" s="467">
        <v>10</v>
      </c>
      <c r="O339" s="467">
        <v>80</v>
      </c>
      <c r="P339" s="467">
        <v>85</v>
      </c>
    </row>
    <row r="340" spans="12:16">
      <c r="L340" s="468" t="s">
        <v>3499</v>
      </c>
      <c r="M340" s="468"/>
      <c r="N340" s="467">
        <v>95</v>
      </c>
      <c r="O340" s="467">
        <v>160</v>
      </c>
      <c r="P340" s="467">
        <v>85</v>
      </c>
    </row>
    <row r="341" spans="12:16">
      <c r="L341" s="468" t="s">
        <v>301</v>
      </c>
      <c r="M341" s="468" t="s">
        <v>3261</v>
      </c>
      <c r="N341" s="467">
        <v>500</v>
      </c>
      <c r="O341" s="467">
        <v>160</v>
      </c>
      <c r="P341" s="467">
        <v>0</v>
      </c>
    </row>
    <row r="342" spans="12:16">
      <c r="M342" s="468" t="s">
        <v>3262</v>
      </c>
      <c r="N342" s="467">
        <v>500</v>
      </c>
      <c r="O342" s="467">
        <v>160</v>
      </c>
      <c r="P342" s="467">
        <v>0</v>
      </c>
    </row>
    <row r="343" spans="12:16">
      <c r="M343" s="468" t="s">
        <v>3263</v>
      </c>
      <c r="N343" s="467">
        <v>500</v>
      </c>
      <c r="O343" s="467">
        <v>160</v>
      </c>
      <c r="P343" s="467">
        <v>0</v>
      </c>
    </row>
    <row r="344" spans="12:16">
      <c r="L344" s="468" t="s">
        <v>3500</v>
      </c>
      <c r="M344" s="468"/>
      <c r="N344" s="467">
        <v>1500</v>
      </c>
      <c r="O344" s="467">
        <v>480</v>
      </c>
      <c r="P344" s="467">
        <v>0</v>
      </c>
    </row>
    <row r="345" spans="12:16">
      <c r="L345" s="468" t="s">
        <v>303</v>
      </c>
      <c r="M345" s="468" t="s">
        <v>3261</v>
      </c>
      <c r="N345" s="467">
        <v>0</v>
      </c>
      <c r="O345" s="467">
        <v>240</v>
      </c>
      <c r="P345" s="467">
        <v>0</v>
      </c>
    </row>
    <row r="346" spans="12:16">
      <c r="M346" s="468" t="s">
        <v>3262</v>
      </c>
      <c r="N346" s="467">
        <v>0</v>
      </c>
      <c r="O346" s="467">
        <v>240</v>
      </c>
      <c r="P346" s="467">
        <v>0</v>
      </c>
    </row>
    <row r="347" spans="12:16">
      <c r="M347" s="468" t="s">
        <v>3263</v>
      </c>
      <c r="N347" s="467">
        <v>0</v>
      </c>
      <c r="O347" s="467">
        <v>240</v>
      </c>
      <c r="P347" s="467">
        <v>0</v>
      </c>
    </row>
    <row r="348" spans="12:16">
      <c r="L348" s="468" t="s">
        <v>3501</v>
      </c>
      <c r="M348" s="468"/>
      <c r="N348" s="467">
        <v>0</v>
      </c>
      <c r="O348" s="467">
        <v>720</v>
      </c>
      <c r="P348" s="467">
        <v>0</v>
      </c>
    </row>
    <row r="349" spans="12:16">
      <c r="L349" s="468" t="s">
        <v>304</v>
      </c>
      <c r="M349" s="468" t="s">
        <v>3261</v>
      </c>
      <c r="N349" s="467">
        <v>0</v>
      </c>
      <c r="O349" s="467">
        <v>0</v>
      </c>
      <c r="P349" s="467">
        <v>0</v>
      </c>
    </row>
    <row r="350" spans="12:16">
      <c r="M350" s="468" t="s">
        <v>3262</v>
      </c>
      <c r="N350" s="467">
        <v>500</v>
      </c>
      <c r="O350" s="467">
        <v>0</v>
      </c>
      <c r="P350" s="467">
        <v>0</v>
      </c>
    </row>
    <row r="351" spans="12:16">
      <c r="M351" s="468" t="s">
        <v>3263</v>
      </c>
      <c r="N351" s="467">
        <v>500</v>
      </c>
      <c r="O351" s="467">
        <v>0</v>
      </c>
      <c r="P351" s="467">
        <v>0</v>
      </c>
    </row>
    <row r="352" spans="12:16">
      <c r="L352" s="468" t="s">
        <v>3502</v>
      </c>
      <c r="M352" s="468"/>
      <c r="N352" s="467">
        <v>1000</v>
      </c>
      <c r="O352" s="467">
        <v>0</v>
      </c>
      <c r="P352" s="467">
        <v>0</v>
      </c>
    </row>
    <row r="353" spans="12:16">
      <c r="L353" s="468" t="s">
        <v>305</v>
      </c>
      <c r="M353" s="468" t="s">
        <v>3261</v>
      </c>
      <c r="N353" s="467">
        <v>0</v>
      </c>
      <c r="O353" s="467">
        <v>0</v>
      </c>
      <c r="P353" s="467">
        <v>0</v>
      </c>
    </row>
    <row r="354" spans="12:16">
      <c r="M354" s="468" t="s">
        <v>3262</v>
      </c>
      <c r="N354" s="467">
        <v>0</v>
      </c>
      <c r="O354" s="467">
        <v>0</v>
      </c>
      <c r="P354" s="467">
        <v>0</v>
      </c>
    </row>
    <row r="355" spans="12:16">
      <c r="M355" s="468" t="s">
        <v>3263</v>
      </c>
      <c r="N355" s="467">
        <v>0</v>
      </c>
      <c r="O355" s="467">
        <v>0</v>
      </c>
      <c r="P355" s="467">
        <v>0</v>
      </c>
    </row>
    <row r="356" spans="12:16">
      <c r="L356" s="468" t="s">
        <v>3503</v>
      </c>
      <c r="M356" s="468"/>
      <c r="N356" s="467">
        <v>0</v>
      </c>
      <c r="O356" s="467">
        <v>0</v>
      </c>
      <c r="P356" s="467">
        <v>0</v>
      </c>
    </row>
    <row r="357" spans="12:16">
      <c r="L357" s="468" t="s">
        <v>986</v>
      </c>
      <c r="M357" s="468" t="s">
        <v>3261</v>
      </c>
      <c r="N357" s="467">
        <v>0</v>
      </c>
      <c r="O357" s="467">
        <v>0</v>
      </c>
      <c r="P357" s="467">
        <v>0</v>
      </c>
    </row>
    <row r="358" spans="12:16">
      <c r="M358" s="468" t="s">
        <v>3262</v>
      </c>
      <c r="N358" s="467">
        <v>0</v>
      </c>
      <c r="O358" s="467">
        <v>0</v>
      </c>
      <c r="P358" s="467">
        <v>0</v>
      </c>
    </row>
    <row r="359" spans="12:16">
      <c r="M359" s="468" t="s">
        <v>3263</v>
      </c>
      <c r="N359" s="467">
        <v>0</v>
      </c>
      <c r="O359" s="467">
        <v>0</v>
      </c>
      <c r="P359" s="467">
        <v>0</v>
      </c>
    </row>
    <row r="360" spans="12:16">
      <c r="L360" s="468" t="s">
        <v>3504</v>
      </c>
      <c r="M360" s="468"/>
      <c r="N360" s="467">
        <v>0</v>
      </c>
      <c r="O360" s="467">
        <v>0</v>
      </c>
      <c r="P360" s="467">
        <v>0</v>
      </c>
    </row>
    <row r="361" spans="12:16">
      <c r="L361" s="468" t="s">
        <v>214</v>
      </c>
      <c r="M361" s="468" t="s">
        <v>3261</v>
      </c>
      <c r="N361" s="467">
        <v>0</v>
      </c>
      <c r="O361" s="467">
        <v>19</v>
      </c>
      <c r="P361" s="467">
        <v>19</v>
      </c>
    </row>
    <row r="362" spans="12:16">
      <c r="L362" s="468" t="s">
        <v>3505</v>
      </c>
      <c r="M362" s="468"/>
      <c r="N362" s="467">
        <v>0</v>
      </c>
      <c r="O362" s="467">
        <v>19</v>
      </c>
      <c r="P362" s="467">
        <v>19</v>
      </c>
    </row>
    <row r="363" spans="12:16">
      <c r="L363" s="468" t="s">
        <v>744</v>
      </c>
      <c r="M363" s="468" t="s">
        <v>3261</v>
      </c>
      <c r="N363" s="467">
        <v>135</v>
      </c>
      <c r="O363" s="467">
        <v>135</v>
      </c>
      <c r="P363" s="467">
        <v>135</v>
      </c>
    </row>
    <row r="364" spans="12:16">
      <c r="M364" s="468" t="s">
        <v>3262</v>
      </c>
      <c r="N364" s="467">
        <v>135</v>
      </c>
      <c r="O364" s="467">
        <v>135</v>
      </c>
      <c r="P364" s="467">
        <v>135</v>
      </c>
    </row>
    <row r="365" spans="12:16">
      <c r="M365" s="468" t="s">
        <v>3263</v>
      </c>
      <c r="N365" s="467">
        <v>148</v>
      </c>
      <c r="O365" s="467">
        <v>148</v>
      </c>
      <c r="P365" s="467">
        <v>148</v>
      </c>
    </row>
    <row r="366" spans="12:16">
      <c r="L366" s="468" t="s">
        <v>3506</v>
      </c>
      <c r="M366" s="468"/>
      <c r="N366" s="467">
        <v>418</v>
      </c>
      <c r="O366" s="467">
        <v>418</v>
      </c>
      <c r="P366" s="467">
        <v>418</v>
      </c>
    </row>
    <row r="367" spans="12:16">
      <c r="L367" s="468" t="s">
        <v>719</v>
      </c>
      <c r="M367" s="468" t="s">
        <v>3261</v>
      </c>
      <c r="N367" s="467">
        <v>235</v>
      </c>
      <c r="O367" s="467">
        <v>160</v>
      </c>
      <c r="P367" s="467">
        <v>235</v>
      </c>
    </row>
    <row r="368" spans="12:16">
      <c r="M368" s="468" t="s">
        <v>3262</v>
      </c>
      <c r="N368" s="467">
        <v>235</v>
      </c>
      <c r="O368" s="467">
        <v>160</v>
      </c>
      <c r="P368" s="467">
        <v>235</v>
      </c>
    </row>
    <row r="369" spans="12:16">
      <c r="M369" s="468" t="s">
        <v>3263</v>
      </c>
      <c r="N369" s="467">
        <v>156</v>
      </c>
      <c r="O369" s="467">
        <v>156</v>
      </c>
      <c r="P369" s="467">
        <v>156</v>
      </c>
    </row>
    <row r="370" spans="12:16">
      <c r="L370" s="468" t="s">
        <v>3507</v>
      </c>
      <c r="M370" s="468"/>
      <c r="N370" s="467">
        <v>626</v>
      </c>
      <c r="O370" s="467">
        <v>476</v>
      </c>
      <c r="P370" s="467">
        <v>626</v>
      </c>
    </row>
    <row r="371" spans="12:16">
      <c r="L371" s="468" t="s">
        <v>196</v>
      </c>
      <c r="M371" s="468" t="s">
        <v>3261</v>
      </c>
      <c r="N371" s="467">
        <v>0</v>
      </c>
      <c r="O371" s="467">
        <v>800</v>
      </c>
      <c r="P371" s="467">
        <v>809</v>
      </c>
    </row>
    <row r="372" spans="12:16">
      <c r="M372" s="468" t="s">
        <v>3262</v>
      </c>
      <c r="N372" s="467">
        <v>789</v>
      </c>
      <c r="O372" s="467">
        <v>789</v>
      </c>
      <c r="P372" s="467">
        <v>789</v>
      </c>
    </row>
    <row r="373" spans="12:16">
      <c r="M373" s="468" t="s">
        <v>3263</v>
      </c>
      <c r="N373" s="467">
        <v>789</v>
      </c>
      <c r="O373" s="467">
        <v>789</v>
      </c>
      <c r="P373" s="467">
        <v>789</v>
      </c>
    </row>
    <row r="374" spans="12:16">
      <c r="L374" s="468" t="s">
        <v>3508</v>
      </c>
      <c r="M374" s="468"/>
      <c r="N374" s="467">
        <v>1578</v>
      </c>
      <c r="O374" s="467">
        <v>2378</v>
      </c>
      <c r="P374" s="467">
        <v>2387</v>
      </c>
    </row>
    <row r="375" spans="12:16">
      <c r="L375" s="468" t="s">
        <v>1004</v>
      </c>
      <c r="M375" s="468" t="s">
        <v>3261</v>
      </c>
      <c r="N375" s="467">
        <v>0</v>
      </c>
      <c r="O375" s="467">
        <v>0</v>
      </c>
      <c r="P375" s="467">
        <v>0</v>
      </c>
    </row>
    <row r="376" spans="12:16">
      <c r="M376" s="468" t="s">
        <v>3262</v>
      </c>
      <c r="N376" s="467">
        <v>0</v>
      </c>
      <c r="O376" s="467">
        <v>0</v>
      </c>
      <c r="P376" s="467">
        <v>0</v>
      </c>
    </row>
    <row r="377" spans="12:16">
      <c r="M377" s="468" t="s">
        <v>3263</v>
      </c>
      <c r="N377" s="467">
        <v>0</v>
      </c>
      <c r="O377" s="467">
        <v>0</v>
      </c>
      <c r="P377" s="467">
        <v>0</v>
      </c>
    </row>
    <row r="378" spans="12:16">
      <c r="L378" s="468" t="s">
        <v>3509</v>
      </c>
      <c r="M378" s="468"/>
      <c r="N378" s="467">
        <v>0</v>
      </c>
      <c r="O378" s="467">
        <v>0</v>
      </c>
      <c r="P378" s="467">
        <v>0</v>
      </c>
    </row>
    <row r="379" spans="12:16">
      <c r="L379" s="468" t="s">
        <v>266</v>
      </c>
      <c r="M379" s="468" t="s">
        <v>3261</v>
      </c>
      <c r="N379" s="467">
        <v>0</v>
      </c>
      <c r="O379" s="467">
        <v>92</v>
      </c>
      <c r="P379" s="467">
        <v>92</v>
      </c>
    </row>
    <row r="380" spans="12:16">
      <c r="M380" s="468" t="s">
        <v>3262</v>
      </c>
      <c r="N380" s="467">
        <v>0</v>
      </c>
      <c r="O380" s="467">
        <v>92</v>
      </c>
      <c r="P380" s="467">
        <v>92</v>
      </c>
    </row>
    <row r="381" spans="12:16">
      <c r="M381" s="468" t="s">
        <v>3263</v>
      </c>
      <c r="N381" s="467">
        <v>0</v>
      </c>
      <c r="O381" s="467">
        <v>92</v>
      </c>
      <c r="P381" s="467">
        <v>92</v>
      </c>
    </row>
    <row r="382" spans="12:16">
      <c r="L382" s="468" t="s">
        <v>3510</v>
      </c>
      <c r="M382" s="468"/>
      <c r="N382" s="467">
        <v>0</v>
      </c>
      <c r="O382" s="467">
        <v>276</v>
      </c>
      <c r="P382" s="467">
        <v>276</v>
      </c>
    </row>
    <row r="383" spans="12:16">
      <c r="L383" s="468" t="s">
        <v>267</v>
      </c>
      <c r="M383" s="468" t="s">
        <v>3261</v>
      </c>
      <c r="N383" s="467">
        <v>123</v>
      </c>
      <c r="O383" s="467">
        <v>123</v>
      </c>
      <c r="P383" s="467">
        <v>123</v>
      </c>
    </row>
    <row r="384" spans="12:16">
      <c r="M384" s="468" t="s">
        <v>3262</v>
      </c>
      <c r="N384" s="467">
        <v>123</v>
      </c>
      <c r="O384" s="467">
        <v>123</v>
      </c>
      <c r="P384" s="467">
        <v>123</v>
      </c>
    </row>
    <row r="385" spans="12:16">
      <c r="M385" s="468" t="s">
        <v>3263</v>
      </c>
      <c r="N385" s="467">
        <v>123</v>
      </c>
      <c r="O385" s="467">
        <v>123</v>
      </c>
      <c r="P385" s="467">
        <v>123</v>
      </c>
    </row>
    <row r="386" spans="12:16">
      <c r="L386" s="468" t="s">
        <v>3511</v>
      </c>
      <c r="M386" s="468"/>
      <c r="N386" s="467">
        <v>369</v>
      </c>
      <c r="O386" s="467">
        <v>369</v>
      </c>
      <c r="P386" s="467">
        <v>369</v>
      </c>
    </row>
    <row r="387" spans="12:16">
      <c r="L387" s="468" t="s">
        <v>260</v>
      </c>
      <c r="M387" s="468" t="s">
        <v>3261</v>
      </c>
      <c r="N387" s="467">
        <v>0</v>
      </c>
      <c r="O387" s="467">
        <v>0</v>
      </c>
      <c r="P387" s="467">
        <v>15</v>
      </c>
    </row>
    <row r="388" spans="12:16">
      <c r="M388" s="468" t="s">
        <v>3262</v>
      </c>
      <c r="N388" s="467">
        <v>0</v>
      </c>
      <c r="O388" s="467">
        <v>0</v>
      </c>
      <c r="P388" s="467">
        <v>15</v>
      </c>
    </row>
    <row r="389" spans="12:16">
      <c r="M389" s="468" t="s">
        <v>3263</v>
      </c>
      <c r="N389" s="467">
        <v>0</v>
      </c>
      <c r="O389" s="467">
        <v>0</v>
      </c>
      <c r="P389" s="467">
        <v>15</v>
      </c>
    </row>
    <row r="390" spans="12:16">
      <c r="L390" s="468" t="s">
        <v>3512</v>
      </c>
      <c r="M390" s="468"/>
      <c r="N390" s="467">
        <v>0</v>
      </c>
      <c r="O390" s="467">
        <v>0</v>
      </c>
      <c r="P390" s="467">
        <v>45</v>
      </c>
    </row>
    <row r="391" spans="12:16">
      <c r="L391" s="468" t="s">
        <v>2294</v>
      </c>
      <c r="M391" s="468" t="s">
        <v>3261</v>
      </c>
      <c r="N391" s="467">
        <v>0</v>
      </c>
      <c r="O391" s="467">
        <v>0</v>
      </c>
      <c r="P391" s="467">
        <v>0</v>
      </c>
    </row>
    <row r="392" spans="12:16">
      <c r="M392" s="468" t="s">
        <v>3262</v>
      </c>
      <c r="N392" s="467">
        <v>0</v>
      </c>
      <c r="O392" s="467">
        <v>0</v>
      </c>
      <c r="P392" s="467">
        <v>0</v>
      </c>
    </row>
    <row r="393" spans="12:16">
      <c r="M393" s="468" t="s">
        <v>3263</v>
      </c>
      <c r="N393" s="467">
        <v>53</v>
      </c>
      <c r="O393" s="467">
        <v>0</v>
      </c>
      <c r="P393" s="467">
        <v>0</v>
      </c>
    </row>
    <row r="394" spans="12:16">
      <c r="L394" s="468" t="s">
        <v>3513</v>
      </c>
      <c r="M394" s="468"/>
      <c r="N394" s="467">
        <v>53</v>
      </c>
      <c r="O394" s="467">
        <v>0</v>
      </c>
      <c r="P394" s="467">
        <v>0</v>
      </c>
    </row>
    <row r="395" spans="12:16">
      <c r="L395" s="468" t="s">
        <v>2179</v>
      </c>
      <c r="M395" s="468" t="s">
        <v>3261</v>
      </c>
      <c r="N395" s="467">
        <v>305</v>
      </c>
      <c r="O395" s="467">
        <v>305</v>
      </c>
      <c r="P395" s="467">
        <v>305</v>
      </c>
    </row>
    <row r="396" spans="12:16">
      <c r="M396" s="468" t="s">
        <v>3262</v>
      </c>
      <c r="N396" s="467">
        <v>305</v>
      </c>
      <c r="O396" s="467">
        <v>305</v>
      </c>
      <c r="P396" s="467">
        <v>305</v>
      </c>
    </row>
    <row r="397" spans="12:16">
      <c r="M397" s="468" t="s">
        <v>3263</v>
      </c>
      <c r="N397" s="467">
        <v>305</v>
      </c>
      <c r="O397" s="467">
        <v>305</v>
      </c>
      <c r="P397" s="467">
        <v>66.666666666666671</v>
      </c>
    </row>
    <row r="398" spans="12:16">
      <c r="L398" s="468" t="s">
        <v>3514</v>
      </c>
      <c r="M398" s="468"/>
      <c r="N398" s="467">
        <v>915</v>
      </c>
      <c r="O398" s="467">
        <v>915</v>
      </c>
      <c r="P398" s="467">
        <v>676.66666666666663</v>
      </c>
    </row>
    <row r="399" spans="12:16">
      <c r="L399" s="468" t="s">
        <v>1039</v>
      </c>
      <c r="M399" s="468" t="s">
        <v>3261</v>
      </c>
      <c r="N399" s="467">
        <v>0</v>
      </c>
      <c r="O399" s="467">
        <v>0</v>
      </c>
      <c r="P399" s="467">
        <v>0</v>
      </c>
    </row>
    <row r="400" spans="12:16">
      <c r="M400" s="468" t="s">
        <v>3262</v>
      </c>
      <c r="N400" s="467">
        <v>0</v>
      </c>
      <c r="O400" s="467">
        <v>0</v>
      </c>
      <c r="P400" s="467">
        <v>0</v>
      </c>
    </row>
    <row r="401" spans="12:16">
      <c r="M401" s="468" t="s">
        <v>3263</v>
      </c>
      <c r="N401" s="467">
        <v>0</v>
      </c>
      <c r="O401" s="467">
        <v>0</v>
      </c>
      <c r="P401" s="467">
        <v>0</v>
      </c>
    </row>
    <row r="402" spans="12:16">
      <c r="L402" s="468" t="s">
        <v>3515</v>
      </c>
      <c r="M402" s="468"/>
      <c r="N402" s="467">
        <v>0</v>
      </c>
      <c r="O402" s="467">
        <v>0</v>
      </c>
      <c r="P402" s="467">
        <v>0</v>
      </c>
    </row>
    <row r="403" spans="12:16">
      <c r="L403" s="468" t="s">
        <v>216</v>
      </c>
      <c r="M403" s="468" t="s">
        <v>3261</v>
      </c>
      <c r="N403" s="467">
        <v>0</v>
      </c>
      <c r="O403" s="467">
        <v>280</v>
      </c>
      <c r="P403" s="467">
        <v>800</v>
      </c>
    </row>
    <row r="404" spans="12:16">
      <c r="M404" s="468" t="s">
        <v>3262</v>
      </c>
      <c r="N404" s="467">
        <v>527</v>
      </c>
      <c r="O404" s="467">
        <v>280</v>
      </c>
      <c r="P404" s="467">
        <v>527</v>
      </c>
    </row>
    <row r="405" spans="12:16">
      <c r="M405" s="468" t="s">
        <v>3263</v>
      </c>
      <c r="N405" s="467">
        <v>527</v>
      </c>
      <c r="O405" s="467">
        <v>280</v>
      </c>
      <c r="P405" s="467">
        <v>527</v>
      </c>
    </row>
    <row r="406" spans="12:16">
      <c r="L406" s="468" t="s">
        <v>3516</v>
      </c>
      <c r="M406" s="468"/>
      <c r="N406" s="467">
        <v>1054</v>
      </c>
      <c r="O406" s="467">
        <v>840</v>
      </c>
      <c r="P406" s="467">
        <v>1854</v>
      </c>
    </row>
    <row r="407" spans="12:16">
      <c r="L407" s="468" t="s">
        <v>1013</v>
      </c>
      <c r="M407" s="468" t="s">
        <v>3261</v>
      </c>
      <c r="N407" s="467">
        <v>0</v>
      </c>
      <c r="O407" s="467">
        <v>0</v>
      </c>
      <c r="P407" s="467">
        <v>0</v>
      </c>
    </row>
    <row r="408" spans="12:16">
      <c r="M408" s="468" t="s">
        <v>3262</v>
      </c>
      <c r="N408" s="467">
        <v>0</v>
      </c>
      <c r="O408" s="467">
        <v>0</v>
      </c>
      <c r="P408" s="467">
        <v>0</v>
      </c>
    </row>
    <row r="409" spans="12:16">
      <c r="M409" s="468" t="s">
        <v>3263</v>
      </c>
      <c r="N409" s="467">
        <v>0</v>
      </c>
      <c r="O409" s="467">
        <v>0</v>
      </c>
      <c r="P409" s="467">
        <v>0</v>
      </c>
    </row>
    <row r="410" spans="12:16">
      <c r="L410" s="468" t="s">
        <v>3517</v>
      </c>
      <c r="M410" s="468"/>
      <c r="N410" s="467">
        <v>0</v>
      </c>
      <c r="O410" s="467">
        <v>0</v>
      </c>
      <c r="P410" s="467">
        <v>0</v>
      </c>
    </row>
    <row r="411" spans="12:16">
      <c r="L411" s="468" t="s">
        <v>757</v>
      </c>
      <c r="M411" s="468" t="s">
        <v>3261</v>
      </c>
      <c r="N411" s="467">
        <v>276</v>
      </c>
      <c r="O411" s="467">
        <v>200</v>
      </c>
      <c r="P411" s="467">
        <v>276</v>
      </c>
    </row>
    <row r="412" spans="12:16">
      <c r="M412" s="468" t="s">
        <v>3262</v>
      </c>
      <c r="N412" s="467">
        <v>276</v>
      </c>
      <c r="O412" s="467">
        <v>200</v>
      </c>
      <c r="P412" s="467">
        <v>276</v>
      </c>
    </row>
    <row r="413" spans="12:16">
      <c r="M413" s="468" t="s">
        <v>3263</v>
      </c>
      <c r="N413" s="467">
        <v>328</v>
      </c>
      <c r="O413" s="467">
        <v>200</v>
      </c>
      <c r="P413" s="467">
        <v>0</v>
      </c>
    </row>
    <row r="414" spans="12:16">
      <c r="L414" s="468" t="s">
        <v>3518</v>
      </c>
      <c r="M414" s="468"/>
      <c r="N414" s="467">
        <v>880</v>
      </c>
      <c r="O414" s="467">
        <v>600</v>
      </c>
      <c r="P414" s="467">
        <v>552</v>
      </c>
    </row>
    <row r="415" spans="12:16">
      <c r="L415" s="468" t="s">
        <v>741</v>
      </c>
      <c r="M415" s="468" t="s">
        <v>3261</v>
      </c>
      <c r="N415" s="467">
        <v>180</v>
      </c>
      <c r="O415" s="467">
        <v>180</v>
      </c>
      <c r="P415" s="467">
        <v>180</v>
      </c>
    </row>
    <row r="416" spans="12:16">
      <c r="M416" s="468" t="s">
        <v>3262</v>
      </c>
      <c r="N416" s="467">
        <v>180</v>
      </c>
      <c r="O416" s="467">
        <v>180</v>
      </c>
      <c r="P416" s="467">
        <v>180</v>
      </c>
    </row>
    <row r="417" spans="12:16">
      <c r="M417" s="468" t="s">
        <v>3263</v>
      </c>
      <c r="N417" s="467">
        <v>180</v>
      </c>
      <c r="O417" s="467">
        <v>180</v>
      </c>
      <c r="P417" s="467">
        <v>0</v>
      </c>
    </row>
    <row r="418" spans="12:16">
      <c r="L418" s="468" t="s">
        <v>3519</v>
      </c>
      <c r="M418" s="468"/>
      <c r="N418" s="467">
        <v>540</v>
      </c>
      <c r="O418" s="467">
        <v>540</v>
      </c>
      <c r="P418" s="467">
        <v>360</v>
      </c>
    </row>
    <row r="419" spans="12:16">
      <c r="L419" s="468" t="s">
        <v>724</v>
      </c>
      <c r="M419" s="468" t="s">
        <v>3261</v>
      </c>
      <c r="N419" s="467">
        <v>0</v>
      </c>
      <c r="O419" s="467">
        <v>30</v>
      </c>
      <c r="P419" s="467">
        <v>0</v>
      </c>
    </row>
    <row r="420" spans="12:16">
      <c r="M420" s="468" t="s">
        <v>3262</v>
      </c>
      <c r="N420" s="467">
        <v>185</v>
      </c>
      <c r="O420" s="467">
        <v>30</v>
      </c>
      <c r="P420" s="467">
        <v>66.666666666666671</v>
      </c>
    </row>
    <row r="421" spans="12:16">
      <c r="M421" s="468" t="s">
        <v>3263</v>
      </c>
      <c r="N421" s="467">
        <v>264</v>
      </c>
      <c r="O421" s="467">
        <v>30</v>
      </c>
      <c r="P421" s="467">
        <v>0</v>
      </c>
    </row>
    <row r="422" spans="12:16">
      <c r="L422" s="468" t="s">
        <v>3520</v>
      </c>
      <c r="M422" s="468"/>
      <c r="N422" s="467">
        <v>449</v>
      </c>
      <c r="O422" s="467">
        <v>90</v>
      </c>
      <c r="P422" s="467">
        <v>66.666666666666671</v>
      </c>
    </row>
    <row r="423" spans="12:16">
      <c r="L423" s="468" t="s">
        <v>720</v>
      </c>
      <c r="M423" s="468" t="s">
        <v>3261</v>
      </c>
      <c r="N423" s="467">
        <v>0</v>
      </c>
      <c r="O423" s="467">
        <v>111</v>
      </c>
      <c r="P423" s="467">
        <v>111</v>
      </c>
    </row>
    <row r="424" spans="12:16">
      <c r="M424" s="468" t="s">
        <v>3262</v>
      </c>
      <c r="N424" s="467">
        <v>111</v>
      </c>
      <c r="O424" s="467">
        <v>111</v>
      </c>
      <c r="P424" s="467">
        <v>111</v>
      </c>
    </row>
    <row r="425" spans="12:16">
      <c r="M425" s="468" t="s">
        <v>3263</v>
      </c>
      <c r="N425" s="467">
        <v>111</v>
      </c>
      <c r="O425" s="467">
        <v>111</v>
      </c>
      <c r="P425" s="467">
        <v>111</v>
      </c>
    </row>
    <row r="426" spans="12:16">
      <c r="L426" s="468" t="s">
        <v>3521</v>
      </c>
      <c r="M426" s="468"/>
      <c r="N426" s="467">
        <v>222</v>
      </c>
      <c r="O426" s="467">
        <v>333</v>
      </c>
      <c r="P426" s="467">
        <v>333</v>
      </c>
    </row>
    <row r="427" spans="12:16">
      <c r="L427" s="468" t="s">
        <v>722</v>
      </c>
      <c r="M427" s="468" t="s">
        <v>3261</v>
      </c>
      <c r="N427" s="467">
        <v>114</v>
      </c>
      <c r="O427" s="467">
        <v>114</v>
      </c>
      <c r="P427" s="467">
        <v>114</v>
      </c>
    </row>
    <row r="428" spans="12:16">
      <c r="M428" s="468" t="s">
        <v>3262</v>
      </c>
      <c r="N428" s="467">
        <v>114</v>
      </c>
      <c r="O428" s="467">
        <v>114</v>
      </c>
      <c r="P428" s="467">
        <v>114</v>
      </c>
    </row>
    <row r="429" spans="12:16">
      <c r="M429" s="468" t="s">
        <v>3263</v>
      </c>
      <c r="N429" s="467">
        <v>114</v>
      </c>
      <c r="O429" s="467">
        <v>114</v>
      </c>
      <c r="P429" s="467">
        <v>114</v>
      </c>
    </row>
    <row r="430" spans="12:16">
      <c r="L430" s="468" t="s">
        <v>3522</v>
      </c>
      <c r="M430" s="468"/>
      <c r="N430" s="467">
        <v>342</v>
      </c>
      <c r="O430" s="467">
        <v>342</v>
      </c>
      <c r="P430" s="467">
        <v>342</v>
      </c>
    </row>
    <row r="431" spans="12:16">
      <c r="L431" s="468" t="s">
        <v>204</v>
      </c>
      <c r="M431" s="468" t="s">
        <v>3261</v>
      </c>
      <c r="N431" s="467">
        <v>0</v>
      </c>
      <c r="O431" s="467">
        <v>45</v>
      </c>
      <c r="P431" s="467">
        <v>45</v>
      </c>
    </row>
    <row r="432" spans="12:16">
      <c r="M432" s="468" t="s">
        <v>3262</v>
      </c>
      <c r="N432" s="467">
        <v>45</v>
      </c>
      <c r="O432" s="467">
        <v>45</v>
      </c>
      <c r="P432" s="467">
        <v>45</v>
      </c>
    </row>
    <row r="433" spans="12:16">
      <c r="M433" s="468" t="s">
        <v>3263</v>
      </c>
      <c r="N433" s="467">
        <v>45</v>
      </c>
      <c r="O433" s="467">
        <v>45</v>
      </c>
      <c r="P433" s="467">
        <v>45</v>
      </c>
    </row>
    <row r="434" spans="12:16">
      <c r="L434" s="468" t="s">
        <v>3523</v>
      </c>
      <c r="M434" s="468"/>
      <c r="N434" s="467">
        <v>90</v>
      </c>
      <c r="O434" s="467">
        <v>135</v>
      </c>
      <c r="P434" s="467">
        <v>135</v>
      </c>
    </row>
    <row r="435" spans="12:16">
      <c r="L435" s="468" t="s">
        <v>193</v>
      </c>
      <c r="M435" s="468" t="s">
        <v>3261</v>
      </c>
      <c r="N435" s="467">
        <v>0</v>
      </c>
      <c r="O435" s="467">
        <v>0</v>
      </c>
      <c r="P435" s="467">
        <v>0</v>
      </c>
    </row>
    <row r="436" spans="12:16">
      <c r="M436" s="468" t="s">
        <v>3262</v>
      </c>
      <c r="N436" s="467">
        <v>0</v>
      </c>
      <c r="O436" s="467">
        <v>0</v>
      </c>
      <c r="P436" s="467">
        <v>0</v>
      </c>
    </row>
    <row r="437" spans="12:16">
      <c r="M437" s="468" t="s">
        <v>3263</v>
      </c>
      <c r="N437" s="467">
        <v>0</v>
      </c>
      <c r="O437" s="467">
        <v>0</v>
      </c>
      <c r="P437" s="467">
        <v>0</v>
      </c>
    </row>
    <row r="438" spans="12:16">
      <c r="L438" s="468" t="s">
        <v>3524</v>
      </c>
      <c r="M438" s="468"/>
      <c r="N438" s="467">
        <v>0</v>
      </c>
      <c r="O438" s="467">
        <v>0</v>
      </c>
      <c r="P438" s="467">
        <v>0</v>
      </c>
    </row>
    <row r="439" spans="12:16">
      <c r="L439" s="468" t="s">
        <v>2002</v>
      </c>
      <c r="M439" s="468" t="s">
        <v>3261</v>
      </c>
      <c r="N439" s="467">
        <v>235</v>
      </c>
      <c r="O439" s="467">
        <v>160</v>
      </c>
      <c r="P439" s="467">
        <v>235</v>
      </c>
    </row>
    <row r="440" spans="12:16">
      <c r="M440" s="468" t="s">
        <v>3262</v>
      </c>
      <c r="N440" s="467">
        <v>235</v>
      </c>
      <c r="O440" s="467">
        <v>235</v>
      </c>
      <c r="P440" s="467">
        <v>235</v>
      </c>
    </row>
    <row r="441" spans="12:16">
      <c r="M441" s="468" t="s">
        <v>3263</v>
      </c>
      <c r="N441" s="467">
        <v>235</v>
      </c>
      <c r="O441" s="467">
        <v>235</v>
      </c>
      <c r="P441" s="467">
        <v>235</v>
      </c>
    </row>
    <row r="442" spans="12:16">
      <c r="L442" s="468" t="s">
        <v>3525</v>
      </c>
      <c r="M442" s="468"/>
      <c r="N442" s="467">
        <v>705</v>
      </c>
      <c r="O442" s="467">
        <v>630</v>
      </c>
      <c r="P442" s="467">
        <v>705</v>
      </c>
    </row>
    <row r="443" spans="12:16">
      <c r="L443" s="468" t="s">
        <v>1023</v>
      </c>
      <c r="M443" s="468" t="s">
        <v>3261</v>
      </c>
      <c r="N443" s="467">
        <v>0</v>
      </c>
      <c r="O443" s="467">
        <v>0</v>
      </c>
      <c r="P443" s="467">
        <v>0</v>
      </c>
    </row>
    <row r="444" spans="12:16">
      <c r="M444" s="468" t="s">
        <v>3262</v>
      </c>
      <c r="N444" s="467">
        <v>0</v>
      </c>
      <c r="O444" s="467">
        <v>0</v>
      </c>
      <c r="P444" s="467">
        <v>0</v>
      </c>
    </row>
    <row r="445" spans="12:16">
      <c r="M445" s="468" t="s">
        <v>3263</v>
      </c>
      <c r="N445" s="467">
        <v>0</v>
      </c>
      <c r="O445" s="467">
        <v>0</v>
      </c>
      <c r="P445" s="467">
        <v>0</v>
      </c>
    </row>
    <row r="446" spans="12:16">
      <c r="L446" s="468" t="s">
        <v>3526</v>
      </c>
      <c r="M446" s="468"/>
      <c r="N446" s="467">
        <v>0</v>
      </c>
      <c r="O446" s="467">
        <v>0</v>
      </c>
      <c r="P446" s="467">
        <v>0</v>
      </c>
    </row>
    <row r="447" spans="12:16">
      <c r="L447" s="468" t="s">
        <v>723</v>
      </c>
      <c r="M447" s="468" t="s">
        <v>3261</v>
      </c>
      <c r="N447" s="467">
        <v>390</v>
      </c>
      <c r="O447" s="467">
        <v>390</v>
      </c>
      <c r="P447" s="467">
        <v>390</v>
      </c>
    </row>
    <row r="448" spans="12:16">
      <c r="M448" s="468" t="s">
        <v>3262</v>
      </c>
      <c r="N448" s="467">
        <v>390</v>
      </c>
      <c r="O448" s="467">
        <v>390</v>
      </c>
      <c r="P448" s="467">
        <v>390</v>
      </c>
    </row>
    <row r="449" spans="12:16">
      <c r="M449" s="468" t="s">
        <v>3263</v>
      </c>
      <c r="N449" s="467">
        <v>401</v>
      </c>
      <c r="O449" s="467">
        <v>400</v>
      </c>
      <c r="P449" s="467">
        <v>401</v>
      </c>
    </row>
    <row r="450" spans="12:16">
      <c r="L450" s="468" t="s">
        <v>3527</v>
      </c>
      <c r="M450" s="468"/>
      <c r="N450" s="467">
        <v>1181</v>
      </c>
      <c r="O450" s="467">
        <v>1180</v>
      </c>
      <c r="P450" s="467">
        <v>1181</v>
      </c>
    </row>
    <row r="451" spans="12:16">
      <c r="L451" s="468" t="s">
        <v>759</v>
      </c>
      <c r="M451" s="468" t="s">
        <v>3261</v>
      </c>
      <c r="N451" s="467">
        <v>0</v>
      </c>
      <c r="O451" s="467">
        <v>200</v>
      </c>
      <c r="P451" s="467">
        <v>350</v>
      </c>
    </row>
    <row r="452" spans="12:16">
      <c r="M452" s="468" t="s">
        <v>3262</v>
      </c>
      <c r="N452" s="467">
        <v>0</v>
      </c>
      <c r="O452" s="467">
        <v>200</v>
      </c>
      <c r="P452" s="467">
        <v>350</v>
      </c>
    </row>
    <row r="453" spans="12:16">
      <c r="M453" s="468" t="s">
        <v>3263</v>
      </c>
      <c r="N453" s="467">
        <v>0</v>
      </c>
      <c r="O453" s="467">
        <v>200</v>
      </c>
      <c r="P453" s="467">
        <v>350</v>
      </c>
    </row>
    <row r="454" spans="12:16">
      <c r="L454" s="468" t="s">
        <v>3528</v>
      </c>
      <c r="M454" s="468"/>
      <c r="N454" s="467">
        <v>0</v>
      </c>
      <c r="O454" s="467">
        <v>600</v>
      </c>
      <c r="P454" s="467">
        <v>1050</v>
      </c>
    </row>
    <row r="455" spans="12:16">
      <c r="L455" s="468" t="s">
        <v>747</v>
      </c>
      <c r="M455" s="468" t="s">
        <v>3261</v>
      </c>
      <c r="N455" s="467">
        <v>176</v>
      </c>
      <c r="O455" s="467">
        <v>0</v>
      </c>
      <c r="P455" s="467">
        <v>176</v>
      </c>
    </row>
    <row r="456" spans="12:16">
      <c r="M456" s="468" t="s">
        <v>3262</v>
      </c>
      <c r="N456" s="467">
        <v>176</v>
      </c>
      <c r="O456" s="467">
        <v>0</v>
      </c>
      <c r="P456" s="467">
        <v>176</v>
      </c>
    </row>
    <row r="457" spans="12:16">
      <c r="M457" s="468" t="s">
        <v>3263</v>
      </c>
      <c r="N457" s="467">
        <v>176</v>
      </c>
      <c r="O457" s="467">
        <v>0</v>
      </c>
      <c r="P457" s="467">
        <v>176</v>
      </c>
    </row>
    <row r="458" spans="12:16">
      <c r="L458" s="468" t="s">
        <v>3529</v>
      </c>
      <c r="M458" s="468"/>
      <c r="N458" s="467">
        <v>528</v>
      </c>
      <c r="O458" s="467">
        <v>0</v>
      </c>
      <c r="P458" s="467">
        <v>528</v>
      </c>
    </row>
    <row r="459" spans="12:16">
      <c r="L459" s="468" t="s">
        <v>713</v>
      </c>
      <c r="M459" s="468" t="s">
        <v>3261</v>
      </c>
      <c r="N459" s="467">
        <v>212</v>
      </c>
      <c r="O459" s="467">
        <v>212</v>
      </c>
      <c r="P459" s="467">
        <v>212</v>
      </c>
    </row>
    <row r="460" spans="12:16">
      <c r="M460" s="468" t="s">
        <v>3262</v>
      </c>
      <c r="N460" s="467">
        <v>212</v>
      </c>
      <c r="O460" s="467">
        <v>212</v>
      </c>
      <c r="P460" s="467">
        <v>212</v>
      </c>
    </row>
    <row r="461" spans="12:16">
      <c r="M461" s="468" t="s">
        <v>3263</v>
      </c>
      <c r="N461" s="467">
        <v>212</v>
      </c>
      <c r="O461" s="467">
        <v>212</v>
      </c>
      <c r="P461" s="467">
        <v>212</v>
      </c>
    </row>
    <row r="462" spans="12:16">
      <c r="L462" s="468" t="s">
        <v>3530</v>
      </c>
      <c r="M462" s="468"/>
      <c r="N462" s="467">
        <v>636</v>
      </c>
      <c r="O462" s="467">
        <v>636</v>
      </c>
      <c r="P462" s="467">
        <v>636</v>
      </c>
    </row>
    <row r="463" spans="12:16">
      <c r="L463" s="468" t="s">
        <v>727</v>
      </c>
      <c r="M463" s="468" t="s">
        <v>3261</v>
      </c>
      <c r="N463" s="467">
        <v>263</v>
      </c>
      <c r="O463" s="467">
        <v>263</v>
      </c>
      <c r="P463" s="467">
        <v>263</v>
      </c>
    </row>
    <row r="464" spans="12:16">
      <c r="M464" s="468" t="s">
        <v>3262</v>
      </c>
      <c r="N464" s="467">
        <v>263</v>
      </c>
      <c r="O464" s="467">
        <v>263</v>
      </c>
      <c r="P464" s="467">
        <v>263</v>
      </c>
    </row>
    <row r="465" spans="12:16">
      <c r="M465" s="468" t="s">
        <v>3263</v>
      </c>
      <c r="N465" s="467">
        <v>263</v>
      </c>
      <c r="O465" s="467">
        <v>263</v>
      </c>
      <c r="P465" s="467">
        <v>66.666666666666671</v>
      </c>
    </row>
    <row r="466" spans="12:16">
      <c r="L466" s="468" t="s">
        <v>3531</v>
      </c>
      <c r="M466" s="468"/>
      <c r="N466" s="467">
        <v>789</v>
      </c>
      <c r="O466" s="467">
        <v>789</v>
      </c>
      <c r="P466" s="467">
        <v>592.66666666666663</v>
      </c>
    </row>
    <row r="467" spans="12:16">
      <c r="L467" s="468" t="s">
        <v>2180</v>
      </c>
      <c r="M467" s="468" t="s">
        <v>3261</v>
      </c>
      <c r="N467" s="467">
        <v>114</v>
      </c>
      <c r="O467" s="467">
        <v>114</v>
      </c>
      <c r="P467" s="467">
        <v>114</v>
      </c>
    </row>
    <row r="468" spans="12:16">
      <c r="M468" s="468" t="s">
        <v>3262</v>
      </c>
      <c r="N468" s="467">
        <v>114</v>
      </c>
      <c r="O468" s="467">
        <v>114</v>
      </c>
      <c r="P468" s="467">
        <v>114</v>
      </c>
    </row>
    <row r="469" spans="12:16">
      <c r="M469" s="468" t="s">
        <v>3263</v>
      </c>
      <c r="N469" s="467">
        <v>114</v>
      </c>
      <c r="O469" s="467">
        <v>114</v>
      </c>
      <c r="P469" s="467">
        <v>114</v>
      </c>
    </row>
    <row r="470" spans="12:16">
      <c r="L470" s="468" t="s">
        <v>3532</v>
      </c>
      <c r="M470" s="468"/>
      <c r="N470" s="467">
        <v>342</v>
      </c>
      <c r="O470" s="467">
        <v>342</v>
      </c>
      <c r="P470" s="467">
        <v>342</v>
      </c>
    </row>
    <row r="471" spans="12:16">
      <c r="L471" s="468" t="s">
        <v>261</v>
      </c>
      <c r="M471" s="468" t="s">
        <v>3261</v>
      </c>
      <c r="N471" s="467">
        <v>42</v>
      </c>
      <c r="O471" s="467">
        <v>42</v>
      </c>
      <c r="P471" s="467">
        <v>42</v>
      </c>
    </row>
    <row r="472" spans="12:16">
      <c r="M472" s="468" t="s">
        <v>3262</v>
      </c>
      <c r="N472" s="467">
        <v>42</v>
      </c>
      <c r="O472" s="467">
        <v>42</v>
      </c>
      <c r="P472" s="467">
        <v>42</v>
      </c>
    </row>
    <row r="473" spans="12:16">
      <c r="M473" s="468" t="s">
        <v>3263</v>
      </c>
      <c r="N473" s="467">
        <v>42</v>
      </c>
      <c r="O473" s="467">
        <v>42</v>
      </c>
      <c r="P473" s="467">
        <v>42</v>
      </c>
    </row>
    <row r="474" spans="12:16">
      <c r="L474" s="468" t="s">
        <v>3533</v>
      </c>
      <c r="M474" s="468"/>
      <c r="N474" s="467">
        <v>126</v>
      </c>
      <c r="O474" s="467">
        <v>126</v>
      </c>
      <c r="P474" s="467">
        <v>126</v>
      </c>
    </row>
    <row r="475" spans="12:16">
      <c r="L475" s="468" t="s">
        <v>731</v>
      </c>
      <c r="M475" s="468" t="s">
        <v>3261</v>
      </c>
      <c r="N475" s="467">
        <v>182</v>
      </c>
      <c r="O475" s="467">
        <v>182</v>
      </c>
      <c r="P475" s="467">
        <v>182</v>
      </c>
    </row>
    <row r="476" spans="12:16">
      <c r="M476" s="468" t="s">
        <v>3262</v>
      </c>
      <c r="N476" s="467">
        <v>182</v>
      </c>
      <c r="O476" s="467">
        <v>182</v>
      </c>
      <c r="P476" s="467">
        <v>182</v>
      </c>
    </row>
    <row r="477" spans="12:16">
      <c r="M477" s="468" t="s">
        <v>3263</v>
      </c>
      <c r="N477" s="467">
        <v>182</v>
      </c>
      <c r="O477" s="467">
        <v>182</v>
      </c>
      <c r="P477" s="467">
        <v>182</v>
      </c>
    </row>
    <row r="478" spans="12:16">
      <c r="L478" s="468" t="s">
        <v>3534</v>
      </c>
      <c r="M478" s="468"/>
      <c r="N478" s="467">
        <v>546</v>
      </c>
      <c r="O478" s="467">
        <v>546</v>
      </c>
      <c r="P478" s="467">
        <v>546</v>
      </c>
    </row>
    <row r="479" spans="12:16">
      <c r="L479" s="468" t="s">
        <v>743</v>
      </c>
      <c r="M479" s="468" t="s">
        <v>3261</v>
      </c>
      <c r="N479" s="467">
        <v>161</v>
      </c>
      <c r="O479" s="467">
        <v>160</v>
      </c>
      <c r="P479" s="467">
        <v>161</v>
      </c>
    </row>
    <row r="480" spans="12:16">
      <c r="M480" s="468" t="s">
        <v>3262</v>
      </c>
      <c r="N480" s="467">
        <v>161</v>
      </c>
      <c r="O480" s="467">
        <v>160</v>
      </c>
      <c r="P480" s="467">
        <v>161</v>
      </c>
    </row>
    <row r="481" spans="12:16">
      <c r="M481" s="468" t="s">
        <v>3263</v>
      </c>
      <c r="N481" s="467">
        <v>161</v>
      </c>
      <c r="O481" s="467">
        <v>160</v>
      </c>
      <c r="P481" s="467">
        <v>66.666666666666671</v>
      </c>
    </row>
    <row r="482" spans="12:16">
      <c r="L482" s="468" t="s">
        <v>3535</v>
      </c>
      <c r="M482" s="468"/>
      <c r="N482" s="467">
        <v>483</v>
      </c>
      <c r="O482" s="467">
        <v>480</v>
      </c>
      <c r="P482" s="467">
        <v>388.66666666666669</v>
      </c>
    </row>
    <row r="483" spans="12:16">
      <c r="L483" s="468" t="s">
        <v>2073</v>
      </c>
      <c r="M483" s="468" t="s">
        <v>3261</v>
      </c>
      <c r="N483" s="467">
        <v>36</v>
      </c>
      <c r="O483" s="467">
        <v>36</v>
      </c>
      <c r="P483" s="467">
        <v>36</v>
      </c>
    </row>
    <row r="484" spans="12:16">
      <c r="M484" s="468" t="s">
        <v>3262</v>
      </c>
      <c r="N484" s="467">
        <v>36</v>
      </c>
      <c r="O484" s="467">
        <v>36</v>
      </c>
      <c r="P484" s="467">
        <v>36</v>
      </c>
    </row>
    <row r="485" spans="12:16">
      <c r="M485" s="468" t="s">
        <v>3263</v>
      </c>
      <c r="N485" s="467">
        <v>36</v>
      </c>
      <c r="O485" s="467">
        <v>36</v>
      </c>
      <c r="P485" s="467">
        <v>36</v>
      </c>
    </row>
    <row r="486" spans="12:16">
      <c r="L486" s="468" t="s">
        <v>3413</v>
      </c>
      <c r="M486" s="468"/>
      <c r="N486" s="467">
        <v>108</v>
      </c>
      <c r="O486" s="467">
        <v>108</v>
      </c>
      <c r="P486" s="467">
        <v>108</v>
      </c>
    </row>
    <row r="487" spans="12:16">
      <c r="L487" s="468" t="s">
        <v>749</v>
      </c>
      <c r="M487" s="468" t="s">
        <v>3261</v>
      </c>
      <c r="N487" s="467">
        <v>0</v>
      </c>
      <c r="O487" s="467">
        <v>320</v>
      </c>
      <c r="P487" s="467">
        <v>66.666666666666671</v>
      </c>
    </row>
    <row r="488" spans="12:16">
      <c r="M488" s="468" t="s">
        <v>3262</v>
      </c>
      <c r="N488" s="467">
        <v>0</v>
      </c>
      <c r="O488" s="467">
        <v>320</v>
      </c>
      <c r="P488" s="467">
        <v>66.666666666666671</v>
      </c>
    </row>
    <row r="489" spans="12:16">
      <c r="M489" s="468" t="s">
        <v>3263</v>
      </c>
      <c r="N489" s="467">
        <v>0</v>
      </c>
      <c r="O489" s="467">
        <v>320</v>
      </c>
      <c r="P489" s="467">
        <v>0</v>
      </c>
    </row>
    <row r="490" spans="12:16">
      <c r="L490" s="468" t="s">
        <v>3536</v>
      </c>
      <c r="M490" s="468"/>
      <c r="N490" s="467">
        <v>0</v>
      </c>
      <c r="O490" s="467">
        <v>960</v>
      </c>
      <c r="P490" s="467">
        <v>133.33333333333334</v>
      </c>
    </row>
    <row r="491" spans="12:16">
      <c r="L491" s="468" t="s">
        <v>2174</v>
      </c>
      <c r="M491" s="468" t="s">
        <v>3261</v>
      </c>
      <c r="N491" s="467">
        <v>474</v>
      </c>
      <c r="O491" s="467">
        <v>260</v>
      </c>
      <c r="P491" s="467">
        <v>400</v>
      </c>
    </row>
    <row r="492" spans="12:16">
      <c r="M492" s="468" t="s">
        <v>3262</v>
      </c>
      <c r="N492" s="467">
        <v>474</v>
      </c>
      <c r="O492" s="467">
        <v>260</v>
      </c>
      <c r="P492" s="467">
        <v>400</v>
      </c>
    </row>
    <row r="493" spans="12:16">
      <c r="M493" s="468" t="s">
        <v>3263</v>
      </c>
      <c r="N493" s="467">
        <v>474</v>
      </c>
      <c r="O493" s="467">
        <v>260</v>
      </c>
      <c r="P493" s="467">
        <v>400</v>
      </c>
    </row>
    <row r="494" spans="12:16">
      <c r="L494" s="468" t="s">
        <v>3414</v>
      </c>
      <c r="M494" s="468"/>
      <c r="N494" s="467">
        <v>1422</v>
      </c>
      <c r="O494" s="467">
        <v>780</v>
      </c>
      <c r="P494" s="467">
        <v>1200</v>
      </c>
    </row>
    <row r="495" spans="12:16">
      <c r="L495" s="468" t="s">
        <v>237</v>
      </c>
      <c r="M495" s="468" t="s">
        <v>3261</v>
      </c>
      <c r="N495" s="467">
        <v>309</v>
      </c>
      <c r="O495" s="467">
        <v>309</v>
      </c>
      <c r="P495" s="467">
        <v>309</v>
      </c>
    </row>
    <row r="496" spans="12:16">
      <c r="M496" s="468" t="s">
        <v>3262</v>
      </c>
      <c r="N496" s="467">
        <v>309</v>
      </c>
      <c r="O496" s="467">
        <v>309</v>
      </c>
      <c r="P496" s="467">
        <v>309</v>
      </c>
    </row>
    <row r="497" spans="12:16">
      <c r="M497" s="468" t="s">
        <v>3263</v>
      </c>
      <c r="N497" s="467">
        <v>309</v>
      </c>
      <c r="O497" s="467">
        <v>309</v>
      </c>
      <c r="P497" s="467">
        <v>309</v>
      </c>
    </row>
    <row r="498" spans="12:16">
      <c r="L498" s="468" t="s">
        <v>3537</v>
      </c>
      <c r="M498" s="468"/>
      <c r="N498" s="467">
        <v>927</v>
      </c>
      <c r="O498" s="467">
        <v>927</v>
      </c>
      <c r="P498" s="467">
        <v>927</v>
      </c>
    </row>
    <row r="499" spans="12:16">
      <c r="L499" s="468" t="s">
        <v>206</v>
      </c>
      <c r="M499" s="468" t="s">
        <v>3261</v>
      </c>
      <c r="N499" s="467">
        <v>0</v>
      </c>
      <c r="O499" s="467">
        <v>76</v>
      </c>
      <c r="P499" s="467">
        <v>76</v>
      </c>
    </row>
    <row r="500" spans="12:16">
      <c r="L500" s="468" t="s">
        <v>3538</v>
      </c>
      <c r="M500" s="468"/>
      <c r="N500" s="467">
        <v>0</v>
      </c>
      <c r="O500" s="467">
        <v>76</v>
      </c>
      <c r="P500" s="467">
        <v>76</v>
      </c>
    </row>
    <row r="501" spans="12:16">
      <c r="L501" s="468" t="s">
        <v>234</v>
      </c>
      <c r="M501" s="468" t="s">
        <v>3261</v>
      </c>
      <c r="N501" s="467">
        <v>218</v>
      </c>
      <c r="O501" s="467">
        <v>218</v>
      </c>
      <c r="P501" s="467">
        <v>218</v>
      </c>
    </row>
    <row r="502" spans="12:16">
      <c r="M502" s="468" t="s">
        <v>3262</v>
      </c>
      <c r="N502" s="467">
        <v>218</v>
      </c>
      <c r="O502" s="467">
        <v>218</v>
      </c>
      <c r="P502" s="467">
        <v>218</v>
      </c>
    </row>
    <row r="503" spans="12:16">
      <c r="M503" s="468" t="s">
        <v>3263</v>
      </c>
      <c r="N503" s="467">
        <v>218</v>
      </c>
      <c r="O503" s="467">
        <v>218</v>
      </c>
      <c r="P503" s="467">
        <v>218</v>
      </c>
    </row>
    <row r="504" spans="12:16">
      <c r="L504" s="468" t="s">
        <v>3539</v>
      </c>
      <c r="M504" s="468"/>
      <c r="N504" s="467">
        <v>654</v>
      </c>
      <c r="O504" s="467">
        <v>654</v>
      </c>
      <c r="P504" s="467">
        <v>654</v>
      </c>
    </row>
    <row r="505" spans="12:16">
      <c r="L505" s="468" t="s">
        <v>158</v>
      </c>
      <c r="M505" s="468" t="s">
        <v>3261</v>
      </c>
      <c r="N505" s="467">
        <v>41</v>
      </c>
      <c r="O505" s="467">
        <v>41</v>
      </c>
      <c r="P505" s="467">
        <v>41</v>
      </c>
    </row>
    <row r="506" spans="12:16">
      <c r="M506" s="468" t="s">
        <v>3262</v>
      </c>
      <c r="N506" s="467">
        <v>41</v>
      </c>
      <c r="O506" s="467">
        <v>41</v>
      </c>
      <c r="P506" s="467">
        <v>41</v>
      </c>
    </row>
    <row r="507" spans="12:16">
      <c r="M507" s="468" t="s">
        <v>3263</v>
      </c>
      <c r="N507" s="467">
        <v>41</v>
      </c>
      <c r="O507" s="467">
        <v>41</v>
      </c>
      <c r="P507" s="467">
        <v>41</v>
      </c>
    </row>
    <row r="508" spans="12:16">
      <c r="L508" s="468" t="s">
        <v>3415</v>
      </c>
      <c r="M508" s="468"/>
      <c r="N508" s="467">
        <v>123</v>
      </c>
      <c r="O508" s="467">
        <v>123</v>
      </c>
      <c r="P508" s="467">
        <v>123</v>
      </c>
    </row>
    <row r="509" spans="12:16">
      <c r="L509" s="468" t="s">
        <v>273</v>
      </c>
      <c r="M509" s="468" t="s">
        <v>3261</v>
      </c>
      <c r="N509" s="467">
        <v>0</v>
      </c>
      <c r="O509" s="467">
        <v>82</v>
      </c>
      <c r="P509" s="467">
        <v>82</v>
      </c>
    </row>
    <row r="510" spans="12:16">
      <c r="M510" s="468" t="s">
        <v>3262</v>
      </c>
      <c r="N510" s="467">
        <v>0</v>
      </c>
      <c r="O510" s="467">
        <v>82</v>
      </c>
      <c r="P510" s="467">
        <v>82</v>
      </c>
    </row>
    <row r="511" spans="12:16">
      <c r="M511" s="468" t="s">
        <v>3263</v>
      </c>
      <c r="N511" s="467">
        <v>0</v>
      </c>
      <c r="O511" s="467">
        <v>82</v>
      </c>
      <c r="P511" s="467">
        <v>82</v>
      </c>
    </row>
    <row r="512" spans="12:16">
      <c r="L512" s="468" t="s">
        <v>3540</v>
      </c>
      <c r="M512" s="468"/>
      <c r="N512" s="467">
        <v>0</v>
      </c>
      <c r="O512" s="467">
        <v>246</v>
      </c>
      <c r="P512" s="467">
        <v>246</v>
      </c>
    </row>
    <row r="513" spans="12:16">
      <c r="L513" s="468" t="s">
        <v>161</v>
      </c>
      <c r="M513" s="468" t="s">
        <v>3261</v>
      </c>
      <c r="N513" s="467">
        <v>113</v>
      </c>
      <c r="O513" s="467">
        <v>100</v>
      </c>
      <c r="P513" s="467">
        <v>113</v>
      </c>
    </row>
    <row r="514" spans="12:16">
      <c r="M514" s="468" t="s">
        <v>3262</v>
      </c>
      <c r="N514" s="467">
        <v>113</v>
      </c>
      <c r="O514" s="467">
        <v>100</v>
      </c>
      <c r="P514" s="467">
        <v>113</v>
      </c>
    </row>
    <row r="515" spans="12:16">
      <c r="M515" s="468" t="s">
        <v>3263</v>
      </c>
      <c r="N515" s="467">
        <v>113</v>
      </c>
      <c r="O515" s="467">
        <v>100</v>
      </c>
      <c r="P515" s="467">
        <v>113</v>
      </c>
    </row>
    <row r="516" spans="12:16">
      <c r="L516" s="468" t="s">
        <v>3416</v>
      </c>
      <c r="M516" s="468"/>
      <c r="N516" s="467">
        <v>339</v>
      </c>
      <c r="O516" s="467">
        <v>300</v>
      </c>
      <c r="P516" s="467">
        <v>339</v>
      </c>
    </row>
    <row r="517" spans="12:16">
      <c r="L517" s="468" t="s">
        <v>188</v>
      </c>
      <c r="M517" s="468" t="s">
        <v>3261</v>
      </c>
      <c r="N517" s="467">
        <v>547</v>
      </c>
      <c r="O517" s="467">
        <v>547</v>
      </c>
      <c r="P517" s="467">
        <v>0</v>
      </c>
    </row>
    <row r="518" spans="12:16">
      <c r="M518" s="468" t="s">
        <v>3262</v>
      </c>
      <c r="N518" s="467">
        <v>547</v>
      </c>
      <c r="O518" s="467">
        <v>547</v>
      </c>
      <c r="P518" s="467">
        <v>66.666666666666671</v>
      </c>
    </row>
    <row r="519" spans="12:16">
      <c r="M519" s="468" t="s">
        <v>3263</v>
      </c>
      <c r="N519" s="467">
        <v>547</v>
      </c>
      <c r="O519" s="467">
        <v>547</v>
      </c>
      <c r="P519" s="467">
        <v>66.666666666666671</v>
      </c>
    </row>
    <row r="520" spans="12:16">
      <c r="L520" s="468" t="s">
        <v>3417</v>
      </c>
      <c r="M520" s="468"/>
      <c r="N520" s="467">
        <v>1641</v>
      </c>
      <c r="O520" s="467">
        <v>1641</v>
      </c>
      <c r="P520" s="467">
        <v>133.33333333333334</v>
      </c>
    </row>
    <row r="521" spans="12:16">
      <c r="L521" s="468" t="s">
        <v>738</v>
      </c>
      <c r="M521" s="468" t="s">
        <v>3261</v>
      </c>
      <c r="N521" s="467">
        <v>500</v>
      </c>
      <c r="O521" s="467">
        <v>525</v>
      </c>
      <c r="P521" s="467">
        <v>632</v>
      </c>
    </row>
    <row r="522" spans="12:16">
      <c r="M522" s="468" t="s">
        <v>3262</v>
      </c>
      <c r="N522" s="467">
        <v>540</v>
      </c>
      <c r="O522" s="467">
        <v>525</v>
      </c>
      <c r="P522" s="467">
        <v>632</v>
      </c>
    </row>
    <row r="523" spans="12:16">
      <c r="M523" s="468" t="s">
        <v>3263</v>
      </c>
      <c r="N523" s="467">
        <v>632</v>
      </c>
      <c r="O523" s="467">
        <v>525</v>
      </c>
      <c r="P523" s="467">
        <v>0</v>
      </c>
    </row>
    <row r="524" spans="12:16">
      <c r="L524" s="468" t="s">
        <v>3541</v>
      </c>
      <c r="M524" s="468"/>
      <c r="N524" s="467">
        <v>1672</v>
      </c>
      <c r="O524" s="467">
        <v>1575</v>
      </c>
      <c r="P524" s="467">
        <v>1264</v>
      </c>
    </row>
    <row r="525" spans="12:16">
      <c r="L525" s="468" t="s">
        <v>298</v>
      </c>
      <c r="M525" s="468" t="s">
        <v>3261</v>
      </c>
      <c r="N525" s="467">
        <v>1658</v>
      </c>
      <c r="O525" s="467">
        <v>1658</v>
      </c>
      <c r="P525" s="467">
        <v>1658</v>
      </c>
    </row>
    <row r="526" spans="12:16">
      <c r="M526" s="468" t="s">
        <v>3262</v>
      </c>
      <c r="N526" s="467">
        <v>1675</v>
      </c>
      <c r="O526" s="467">
        <v>1675</v>
      </c>
      <c r="P526" s="467">
        <v>1500</v>
      </c>
    </row>
    <row r="527" spans="12:16">
      <c r="M527" s="468" t="s">
        <v>3263</v>
      </c>
      <c r="N527" s="467">
        <v>1675</v>
      </c>
      <c r="O527" s="467">
        <v>1675</v>
      </c>
      <c r="P527" s="467">
        <v>1500</v>
      </c>
    </row>
    <row r="528" spans="12:16">
      <c r="L528" s="468" t="s">
        <v>3542</v>
      </c>
      <c r="M528" s="468"/>
      <c r="N528" s="467">
        <v>5008</v>
      </c>
      <c r="O528" s="467">
        <v>5008</v>
      </c>
      <c r="P528" s="467">
        <v>4658</v>
      </c>
    </row>
    <row r="529" spans="12:16">
      <c r="L529" s="468" t="s">
        <v>170</v>
      </c>
      <c r="M529" s="468" t="s">
        <v>3261</v>
      </c>
      <c r="N529" s="467">
        <v>281</v>
      </c>
      <c r="O529" s="467">
        <v>281</v>
      </c>
      <c r="P529" s="467">
        <v>281</v>
      </c>
    </row>
    <row r="530" spans="12:16">
      <c r="M530" s="468" t="s">
        <v>3262</v>
      </c>
      <c r="N530" s="467">
        <v>281</v>
      </c>
      <c r="O530" s="467">
        <v>281</v>
      </c>
      <c r="P530" s="467">
        <v>281</v>
      </c>
    </row>
    <row r="531" spans="12:16">
      <c r="M531" s="468" t="s">
        <v>3263</v>
      </c>
      <c r="N531" s="467">
        <v>281</v>
      </c>
      <c r="O531" s="467">
        <v>281</v>
      </c>
      <c r="P531" s="467">
        <v>281</v>
      </c>
    </row>
    <row r="532" spans="12:16">
      <c r="L532" s="468" t="s">
        <v>3418</v>
      </c>
      <c r="M532" s="468"/>
      <c r="N532" s="467">
        <v>843</v>
      </c>
      <c r="O532" s="467">
        <v>843</v>
      </c>
      <c r="P532" s="467">
        <v>843</v>
      </c>
    </row>
    <row r="533" spans="12:16">
      <c r="L533" s="468" t="s">
        <v>287</v>
      </c>
      <c r="M533" s="468" t="s">
        <v>3261</v>
      </c>
      <c r="N533" s="467">
        <v>294</v>
      </c>
      <c r="O533" s="467">
        <v>294</v>
      </c>
      <c r="P533" s="467">
        <v>294</v>
      </c>
    </row>
    <row r="534" spans="12:16">
      <c r="M534" s="468" t="s">
        <v>3262</v>
      </c>
      <c r="N534" s="467">
        <v>294</v>
      </c>
      <c r="O534" s="467">
        <v>294</v>
      </c>
      <c r="P534" s="467">
        <v>294</v>
      </c>
    </row>
    <row r="535" spans="12:16">
      <c r="M535" s="468" t="s">
        <v>3263</v>
      </c>
      <c r="N535" s="467">
        <v>294</v>
      </c>
      <c r="O535" s="467">
        <v>294</v>
      </c>
      <c r="P535" s="467">
        <v>294</v>
      </c>
    </row>
    <row r="536" spans="12:16">
      <c r="L536" s="468" t="s">
        <v>3543</v>
      </c>
      <c r="M536" s="468"/>
      <c r="N536" s="467">
        <v>882</v>
      </c>
      <c r="O536" s="467">
        <v>882</v>
      </c>
      <c r="P536" s="467">
        <v>882</v>
      </c>
    </row>
    <row r="537" spans="12:16">
      <c r="L537" s="468" t="s">
        <v>238</v>
      </c>
      <c r="M537" s="468" t="s">
        <v>3261</v>
      </c>
      <c r="N537" s="467">
        <v>882</v>
      </c>
      <c r="O537" s="467">
        <v>882</v>
      </c>
      <c r="P537" s="467">
        <v>882</v>
      </c>
    </row>
    <row r="538" spans="12:16">
      <c r="M538" s="468" t="s">
        <v>3262</v>
      </c>
      <c r="N538" s="467">
        <v>882</v>
      </c>
      <c r="O538" s="467">
        <v>882</v>
      </c>
      <c r="P538" s="467">
        <v>882</v>
      </c>
    </row>
    <row r="539" spans="12:16">
      <c r="M539" s="468" t="s">
        <v>3263</v>
      </c>
      <c r="N539" s="467">
        <v>882</v>
      </c>
      <c r="O539" s="467">
        <v>882</v>
      </c>
      <c r="P539" s="467">
        <v>882</v>
      </c>
    </row>
    <row r="540" spans="12:16">
      <c r="L540" s="468" t="s">
        <v>3544</v>
      </c>
      <c r="M540" s="468"/>
      <c r="N540" s="467">
        <v>2646</v>
      </c>
      <c r="O540" s="467">
        <v>2646</v>
      </c>
      <c r="P540" s="467">
        <v>2646</v>
      </c>
    </row>
    <row r="541" spans="12:16">
      <c r="L541" s="468" t="s">
        <v>2167</v>
      </c>
      <c r="M541" s="468" t="s">
        <v>3261</v>
      </c>
      <c r="N541" s="467">
        <v>0</v>
      </c>
      <c r="O541" s="467">
        <v>0</v>
      </c>
      <c r="P541" s="467">
        <v>0</v>
      </c>
    </row>
    <row r="542" spans="12:16">
      <c r="M542" s="468" t="s">
        <v>3262</v>
      </c>
      <c r="N542" s="467">
        <v>0</v>
      </c>
      <c r="O542" s="467">
        <v>1260</v>
      </c>
      <c r="P542" s="467">
        <v>933.33333333333337</v>
      </c>
    </row>
    <row r="543" spans="12:16">
      <c r="M543" s="468" t="s">
        <v>3263</v>
      </c>
      <c r="N543" s="467">
        <v>0</v>
      </c>
      <c r="O543" s="467">
        <v>1260</v>
      </c>
      <c r="P543" s="467">
        <v>933.33333333333337</v>
      </c>
    </row>
    <row r="544" spans="12:16">
      <c r="L544" s="468" t="s">
        <v>3545</v>
      </c>
      <c r="M544" s="468"/>
      <c r="N544" s="467">
        <v>0</v>
      </c>
      <c r="O544" s="467">
        <v>2520</v>
      </c>
      <c r="P544" s="467">
        <v>1866.6666666666667</v>
      </c>
    </row>
    <row r="545" spans="12:16">
      <c r="L545" s="468" t="s">
        <v>299</v>
      </c>
      <c r="M545" s="468" t="s">
        <v>3261</v>
      </c>
      <c r="N545" s="467">
        <v>3050</v>
      </c>
      <c r="O545" s="467">
        <v>3050</v>
      </c>
      <c r="P545" s="467">
        <v>1916.6666666666667</v>
      </c>
    </row>
    <row r="546" spans="12:16">
      <c r="M546" s="468" t="s">
        <v>3262</v>
      </c>
      <c r="N546" s="467">
        <v>2975</v>
      </c>
      <c r="O546" s="467">
        <v>2975</v>
      </c>
      <c r="P546" s="467">
        <v>1916.6666666666667</v>
      </c>
    </row>
    <row r="547" spans="12:16">
      <c r="M547" s="468" t="s">
        <v>3263</v>
      </c>
      <c r="N547" s="467">
        <v>2975</v>
      </c>
      <c r="O547" s="467">
        <v>2975</v>
      </c>
      <c r="P547" s="467">
        <v>1916.6666666666667</v>
      </c>
    </row>
    <row r="548" spans="12:16">
      <c r="L548" s="468" t="s">
        <v>3546</v>
      </c>
      <c r="M548" s="468"/>
      <c r="N548" s="467">
        <v>9000</v>
      </c>
      <c r="O548" s="467">
        <v>9000</v>
      </c>
      <c r="P548" s="467">
        <v>5750</v>
      </c>
    </row>
    <row r="549" spans="12:16">
      <c r="L549" s="468" t="s">
        <v>183</v>
      </c>
      <c r="M549" s="468" t="s">
        <v>3261</v>
      </c>
      <c r="N549" s="467">
        <v>846</v>
      </c>
      <c r="O549" s="467">
        <v>750</v>
      </c>
      <c r="P549" s="467">
        <v>200</v>
      </c>
    </row>
    <row r="550" spans="12:16">
      <c r="M550" s="468" t="s">
        <v>3262</v>
      </c>
      <c r="N550" s="467">
        <v>846</v>
      </c>
      <c r="O550" s="467">
        <v>750</v>
      </c>
      <c r="P550" s="467">
        <v>200</v>
      </c>
    </row>
    <row r="551" spans="12:16">
      <c r="M551" s="468" t="s">
        <v>3263</v>
      </c>
      <c r="N551" s="467">
        <v>846</v>
      </c>
      <c r="O551" s="467">
        <v>750</v>
      </c>
      <c r="P551" s="467">
        <v>200</v>
      </c>
    </row>
    <row r="552" spans="12:16">
      <c r="L552" s="468" t="s">
        <v>3419</v>
      </c>
      <c r="M552" s="468"/>
      <c r="N552" s="467">
        <v>2538</v>
      </c>
      <c r="O552" s="467">
        <v>2250</v>
      </c>
      <c r="P552" s="467">
        <v>600</v>
      </c>
    </row>
    <row r="553" spans="12:16">
      <c r="L553" s="468" t="s">
        <v>758</v>
      </c>
      <c r="M553" s="468" t="s">
        <v>3261</v>
      </c>
      <c r="N553" s="467">
        <v>196</v>
      </c>
      <c r="O553" s="467">
        <v>196</v>
      </c>
      <c r="P553" s="467">
        <v>196</v>
      </c>
    </row>
    <row r="554" spans="12:16">
      <c r="M554" s="468" t="s">
        <v>3262</v>
      </c>
      <c r="N554" s="467">
        <v>196</v>
      </c>
      <c r="O554" s="467">
        <v>196</v>
      </c>
      <c r="P554" s="467">
        <v>196</v>
      </c>
    </row>
    <row r="555" spans="12:16">
      <c r="M555" s="468" t="s">
        <v>3263</v>
      </c>
      <c r="N555" s="467">
        <v>196</v>
      </c>
      <c r="O555" s="467">
        <v>196</v>
      </c>
      <c r="P555" s="467">
        <v>66.666666666666671</v>
      </c>
    </row>
    <row r="556" spans="12:16">
      <c r="L556" s="468" t="s">
        <v>3547</v>
      </c>
      <c r="M556" s="468"/>
      <c r="N556" s="467">
        <v>588</v>
      </c>
      <c r="O556" s="467">
        <v>588</v>
      </c>
      <c r="P556" s="467">
        <v>458.66666666666669</v>
      </c>
    </row>
    <row r="557" spans="12:16">
      <c r="L557" s="468" t="s">
        <v>733</v>
      </c>
      <c r="M557" s="468" t="s">
        <v>3261</v>
      </c>
      <c r="N557" s="467">
        <v>0</v>
      </c>
      <c r="O557" s="467">
        <v>27</v>
      </c>
      <c r="P557" s="467">
        <v>0</v>
      </c>
    </row>
    <row r="558" spans="12:16">
      <c r="M558" s="468" t="s">
        <v>3262</v>
      </c>
      <c r="N558" s="467">
        <v>20</v>
      </c>
      <c r="O558" s="467">
        <v>27</v>
      </c>
      <c r="P558" s="467">
        <v>0</v>
      </c>
    </row>
    <row r="559" spans="12:16">
      <c r="M559" s="468" t="s">
        <v>3263</v>
      </c>
      <c r="N559" s="467">
        <v>27</v>
      </c>
      <c r="O559" s="467">
        <v>27</v>
      </c>
      <c r="P559" s="467">
        <v>27</v>
      </c>
    </row>
    <row r="560" spans="12:16">
      <c r="L560" s="468" t="s">
        <v>3548</v>
      </c>
      <c r="M560" s="468"/>
      <c r="N560" s="467">
        <v>47</v>
      </c>
      <c r="O560" s="467">
        <v>81</v>
      </c>
      <c r="P560" s="467">
        <v>27</v>
      </c>
    </row>
    <row r="561" spans="12:16">
      <c r="L561" s="468" t="s">
        <v>228</v>
      </c>
      <c r="M561" s="468" t="s">
        <v>3261</v>
      </c>
      <c r="N561" s="467">
        <v>0</v>
      </c>
      <c r="O561" s="467">
        <v>264</v>
      </c>
      <c r="P561" s="467">
        <v>66.666666666666671</v>
      </c>
    </row>
    <row r="562" spans="12:16">
      <c r="M562" s="468" t="s">
        <v>3262</v>
      </c>
      <c r="N562" s="467">
        <v>0</v>
      </c>
      <c r="O562" s="467">
        <v>264</v>
      </c>
      <c r="P562" s="467">
        <v>66.666666666666671</v>
      </c>
    </row>
    <row r="563" spans="12:16">
      <c r="M563" s="468" t="s">
        <v>3263</v>
      </c>
      <c r="N563" s="467">
        <v>0</v>
      </c>
      <c r="O563" s="467">
        <v>264</v>
      </c>
      <c r="P563" s="467">
        <v>66.666666666666671</v>
      </c>
    </row>
    <row r="564" spans="12:16">
      <c r="L564" s="468" t="s">
        <v>3549</v>
      </c>
      <c r="M564" s="468"/>
      <c r="N564" s="467">
        <v>0</v>
      </c>
      <c r="O564" s="467">
        <v>792</v>
      </c>
      <c r="P564" s="467">
        <v>200</v>
      </c>
    </row>
    <row r="565" spans="12:16">
      <c r="L565" s="468" t="s">
        <v>2070</v>
      </c>
      <c r="M565" s="468" t="s">
        <v>3261</v>
      </c>
      <c r="N565" s="467">
        <v>0</v>
      </c>
      <c r="O565" s="467">
        <v>0</v>
      </c>
      <c r="P565" s="467">
        <v>1015</v>
      </c>
    </row>
    <row r="566" spans="12:16">
      <c r="M566" s="468" t="s">
        <v>3262</v>
      </c>
      <c r="N566" s="467">
        <v>0</v>
      </c>
      <c r="O566" s="467">
        <v>100</v>
      </c>
      <c r="P566" s="467">
        <v>1397</v>
      </c>
    </row>
    <row r="567" spans="12:16">
      <c r="M567" s="468" t="s">
        <v>3263</v>
      </c>
      <c r="N567" s="467">
        <v>0</v>
      </c>
      <c r="O567" s="467">
        <v>100</v>
      </c>
      <c r="P567" s="467">
        <v>1397</v>
      </c>
    </row>
    <row r="568" spans="12:16">
      <c r="L568" s="468" t="s">
        <v>3420</v>
      </c>
      <c r="M568" s="468"/>
      <c r="N568" s="467">
        <v>0</v>
      </c>
      <c r="O568" s="467">
        <v>200</v>
      </c>
      <c r="P568" s="467">
        <v>3809</v>
      </c>
    </row>
    <row r="569" spans="12:16">
      <c r="L569" s="468" t="s">
        <v>282</v>
      </c>
      <c r="M569" s="468" t="s">
        <v>3261</v>
      </c>
      <c r="N569" s="467">
        <v>514</v>
      </c>
      <c r="O569" s="467">
        <v>514</v>
      </c>
      <c r="P569" s="467">
        <v>514</v>
      </c>
    </row>
    <row r="570" spans="12:16">
      <c r="M570" s="468" t="s">
        <v>3262</v>
      </c>
      <c r="N570" s="467">
        <v>514</v>
      </c>
      <c r="O570" s="467">
        <v>514</v>
      </c>
      <c r="P570" s="467">
        <v>514</v>
      </c>
    </row>
    <row r="571" spans="12:16">
      <c r="M571" s="468" t="s">
        <v>3263</v>
      </c>
      <c r="N571" s="467">
        <v>514</v>
      </c>
      <c r="O571" s="467">
        <v>514</v>
      </c>
      <c r="P571" s="467">
        <v>514</v>
      </c>
    </row>
    <row r="572" spans="12:16">
      <c r="L572" s="468" t="s">
        <v>3550</v>
      </c>
      <c r="M572" s="468"/>
      <c r="N572" s="467">
        <v>1542</v>
      </c>
      <c r="O572" s="467">
        <v>1542</v>
      </c>
      <c r="P572" s="467">
        <v>1542</v>
      </c>
    </row>
    <row r="573" spans="12:16">
      <c r="L573" s="468" t="s">
        <v>241</v>
      </c>
      <c r="M573" s="468" t="s">
        <v>3261</v>
      </c>
      <c r="N573" s="467">
        <v>612</v>
      </c>
      <c r="O573" s="467">
        <v>612</v>
      </c>
      <c r="P573" s="467">
        <v>66.666666666666671</v>
      </c>
    </row>
    <row r="574" spans="12:16">
      <c r="M574" s="468" t="s">
        <v>3262</v>
      </c>
      <c r="N574" s="467">
        <v>612</v>
      </c>
      <c r="O574" s="467">
        <v>612</v>
      </c>
      <c r="P574" s="467">
        <v>66.666666666666671</v>
      </c>
    </row>
    <row r="575" spans="12:16">
      <c r="M575" s="468" t="s">
        <v>3263</v>
      </c>
      <c r="N575" s="467">
        <v>612</v>
      </c>
      <c r="O575" s="467">
        <v>612</v>
      </c>
      <c r="P575" s="467">
        <v>612</v>
      </c>
    </row>
    <row r="576" spans="12:16">
      <c r="L576" s="468" t="s">
        <v>3551</v>
      </c>
      <c r="M576" s="468"/>
      <c r="N576" s="467">
        <v>1836</v>
      </c>
      <c r="O576" s="467">
        <v>1836</v>
      </c>
      <c r="P576" s="467">
        <v>745.33333333333337</v>
      </c>
    </row>
    <row r="577" spans="12:16">
      <c r="L577" s="468" t="s">
        <v>274</v>
      </c>
      <c r="M577" s="468" t="s">
        <v>3261</v>
      </c>
      <c r="N577" s="467">
        <v>0</v>
      </c>
      <c r="O577" s="467">
        <v>493</v>
      </c>
      <c r="P577" s="467">
        <v>493</v>
      </c>
    </row>
    <row r="578" spans="12:16">
      <c r="M578" s="468" t="s">
        <v>3262</v>
      </c>
      <c r="N578" s="467">
        <v>0</v>
      </c>
      <c r="O578" s="467">
        <v>493</v>
      </c>
      <c r="P578" s="467">
        <v>493</v>
      </c>
    </row>
    <row r="579" spans="12:16">
      <c r="M579" s="468" t="s">
        <v>3263</v>
      </c>
      <c r="N579" s="467">
        <v>0</v>
      </c>
      <c r="O579" s="467">
        <v>493</v>
      </c>
      <c r="P579" s="467">
        <v>493</v>
      </c>
    </row>
    <row r="580" spans="12:16">
      <c r="L580" s="468" t="s">
        <v>3552</v>
      </c>
      <c r="M580" s="468"/>
      <c r="N580" s="467">
        <v>0</v>
      </c>
      <c r="O580" s="467">
        <v>1479</v>
      </c>
      <c r="P580" s="467">
        <v>1479</v>
      </c>
    </row>
    <row r="581" spans="12:16">
      <c r="L581" s="468" t="s">
        <v>184</v>
      </c>
      <c r="M581" s="468" t="s">
        <v>3261</v>
      </c>
      <c r="N581" s="467">
        <v>307</v>
      </c>
      <c r="O581" s="467">
        <v>280</v>
      </c>
      <c r="P581" s="467">
        <v>307</v>
      </c>
    </row>
    <row r="582" spans="12:16">
      <c r="M582" s="468" t="s">
        <v>3262</v>
      </c>
      <c r="N582" s="467">
        <v>307</v>
      </c>
      <c r="O582" s="467">
        <v>280</v>
      </c>
      <c r="P582" s="467">
        <v>307</v>
      </c>
    </row>
    <row r="583" spans="12:16">
      <c r="M583" s="468" t="s">
        <v>3263</v>
      </c>
      <c r="N583" s="467">
        <v>307</v>
      </c>
      <c r="O583" s="467">
        <v>280</v>
      </c>
      <c r="P583" s="467">
        <v>307</v>
      </c>
    </row>
    <row r="584" spans="12:16">
      <c r="L584" s="468" t="s">
        <v>3421</v>
      </c>
      <c r="M584" s="468"/>
      <c r="N584" s="467">
        <v>921</v>
      </c>
      <c r="O584" s="467">
        <v>840</v>
      </c>
      <c r="P584" s="467">
        <v>921</v>
      </c>
    </row>
    <row r="585" spans="12:16">
      <c r="L585" s="468" t="s">
        <v>275</v>
      </c>
      <c r="M585" s="468" t="s">
        <v>3261</v>
      </c>
      <c r="N585" s="467">
        <v>0</v>
      </c>
      <c r="O585" s="467">
        <v>189</v>
      </c>
      <c r="P585" s="467">
        <v>189</v>
      </c>
    </row>
    <row r="586" spans="12:16">
      <c r="M586" s="468" t="s">
        <v>3262</v>
      </c>
      <c r="N586" s="467">
        <v>0</v>
      </c>
      <c r="O586" s="467">
        <v>189</v>
      </c>
      <c r="P586" s="467">
        <v>189</v>
      </c>
    </row>
    <row r="587" spans="12:16">
      <c r="M587" s="468" t="s">
        <v>3263</v>
      </c>
      <c r="N587" s="467">
        <v>0</v>
      </c>
      <c r="O587" s="467">
        <v>189</v>
      </c>
      <c r="P587" s="467">
        <v>189</v>
      </c>
    </row>
    <row r="588" spans="12:16">
      <c r="L588" s="468" t="s">
        <v>3553</v>
      </c>
      <c r="M588" s="468"/>
      <c r="N588" s="467">
        <v>0</v>
      </c>
      <c r="O588" s="467">
        <v>567</v>
      </c>
      <c r="P588" s="467">
        <v>567</v>
      </c>
    </row>
    <row r="589" spans="12:16">
      <c r="L589" s="468" t="s">
        <v>262</v>
      </c>
      <c r="M589" s="468" t="s">
        <v>3261</v>
      </c>
      <c r="N589" s="467">
        <v>38</v>
      </c>
      <c r="O589" s="467">
        <v>38</v>
      </c>
      <c r="P589" s="467">
        <v>38</v>
      </c>
    </row>
    <row r="590" spans="12:16">
      <c r="M590" s="468" t="s">
        <v>3262</v>
      </c>
      <c r="N590" s="467">
        <v>38</v>
      </c>
      <c r="O590" s="467">
        <v>38</v>
      </c>
      <c r="P590" s="467">
        <v>38</v>
      </c>
    </row>
    <row r="591" spans="12:16">
      <c r="M591" s="468" t="s">
        <v>3263</v>
      </c>
      <c r="N591" s="467">
        <v>38</v>
      </c>
      <c r="O591" s="467">
        <v>38</v>
      </c>
      <c r="P591" s="467">
        <v>38</v>
      </c>
    </row>
    <row r="592" spans="12:16">
      <c r="L592" s="468" t="s">
        <v>3554</v>
      </c>
      <c r="M592" s="468"/>
      <c r="N592" s="467">
        <v>114</v>
      </c>
      <c r="O592" s="467">
        <v>114</v>
      </c>
      <c r="P592" s="467">
        <v>114</v>
      </c>
    </row>
    <row r="593" spans="12:16">
      <c r="L593" s="468" t="s">
        <v>283</v>
      </c>
      <c r="M593" s="468" t="s">
        <v>3261</v>
      </c>
      <c r="N593" s="467">
        <v>3140</v>
      </c>
      <c r="O593" s="467">
        <v>3000</v>
      </c>
      <c r="P593" s="467">
        <v>4024</v>
      </c>
    </row>
    <row r="594" spans="12:16">
      <c r="M594" s="468" t="s">
        <v>3262</v>
      </c>
      <c r="N594" s="467">
        <v>3000</v>
      </c>
      <c r="O594" s="467">
        <v>3000</v>
      </c>
      <c r="P594" s="467">
        <v>3876</v>
      </c>
    </row>
    <row r="595" spans="12:16">
      <c r="M595" s="468" t="s">
        <v>3263</v>
      </c>
      <c r="N595" s="467">
        <v>3000</v>
      </c>
      <c r="O595" s="467">
        <v>2920</v>
      </c>
      <c r="P595" s="467">
        <v>3859</v>
      </c>
    </row>
    <row r="596" spans="12:16">
      <c r="L596" s="468" t="s">
        <v>3555</v>
      </c>
      <c r="M596" s="468"/>
      <c r="N596" s="467">
        <v>9140</v>
      </c>
      <c r="O596" s="467">
        <v>8920</v>
      </c>
      <c r="P596" s="467">
        <v>11759</v>
      </c>
    </row>
    <row r="597" spans="12:16">
      <c r="L597" s="468" t="s">
        <v>1059</v>
      </c>
      <c r="M597" s="468" t="s">
        <v>3261</v>
      </c>
      <c r="N597" s="467">
        <v>0</v>
      </c>
      <c r="O597" s="467">
        <v>0</v>
      </c>
      <c r="P597" s="467">
        <v>0</v>
      </c>
    </row>
    <row r="598" spans="12:16">
      <c r="M598" s="468" t="s">
        <v>3262</v>
      </c>
      <c r="N598" s="467">
        <v>0</v>
      </c>
      <c r="O598" s="467">
        <v>0</v>
      </c>
      <c r="P598" s="467">
        <v>0</v>
      </c>
    </row>
    <row r="599" spans="12:16">
      <c r="M599" s="468" t="s">
        <v>3263</v>
      </c>
      <c r="N599" s="467">
        <v>0</v>
      </c>
      <c r="O599" s="467">
        <v>0</v>
      </c>
      <c r="P599" s="467">
        <v>0</v>
      </c>
    </row>
    <row r="600" spans="12:16">
      <c r="L600" s="468" t="s">
        <v>3556</v>
      </c>
      <c r="M600" s="468"/>
      <c r="N600" s="467">
        <v>0</v>
      </c>
      <c r="O600" s="467">
        <v>0</v>
      </c>
      <c r="P600" s="467">
        <v>0</v>
      </c>
    </row>
    <row r="601" spans="12:16">
      <c r="L601" s="468" t="s">
        <v>190</v>
      </c>
      <c r="M601" s="468" t="s">
        <v>3261</v>
      </c>
      <c r="N601" s="467">
        <v>325</v>
      </c>
      <c r="O601" s="467">
        <v>325</v>
      </c>
      <c r="P601" s="467">
        <v>0</v>
      </c>
    </row>
    <row r="602" spans="12:16">
      <c r="M602" s="468" t="s">
        <v>3262</v>
      </c>
      <c r="N602" s="467">
        <v>325</v>
      </c>
      <c r="O602" s="467">
        <v>325</v>
      </c>
      <c r="P602" s="467">
        <v>66.666666666666671</v>
      </c>
    </row>
    <row r="603" spans="12:16">
      <c r="M603" s="468" t="s">
        <v>3263</v>
      </c>
      <c r="N603" s="467">
        <v>325</v>
      </c>
      <c r="O603" s="467">
        <v>325</v>
      </c>
      <c r="P603" s="467">
        <v>66.666666666666671</v>
      </c>
    </row>
    <row r="604" spans="12:16">
      <c r="L604" s="468" t="s">
        <v>3422</v>
      </c>
      <c r="M604" s="468"/>
      <c r="N604" s="467">
        <v>975</v>
      </c>
      <c r="O604" s="467">
        <v>975</v>
      </c>
      <c r="P604" s="467">
        <v>133.33333333333334</v>
      </c>
    </row>
    <row r="605" spans="12:16">
      <c r="L605" s="468" t="s">
        <v>159</v>
      </c>
      <c r="M605" s="468" t="s">
        <v>3261</v>
      </c>
      <c r="N605" s="467">
        <v>136</v>
      </c>
      <c r="O605" s="467">
        <v>136</v>
      </c>
      <c r="P605" s="467">
        <v>136</v>
      </c>
    </row>
    <row r="606" spans="12:16">
      <c r="M606" s="468" t="s">
        <v>3262</v>
      </c>
      <c r="N606" s="467">
        <v>136</v>
      </c>
      <c r="O606" s="467">
        <v>136</v>
      </c>
      <c r="P606" s="467">
        <v>136</v>
      </c>
    </row>
    <row r="607" spans="12:16">
      <c r="M607" s="468" t="s">
        <v>3263</v>
      </c>
      <c r="N607" s="467">
        <v>136</v>
      </c>
      <c r="O607" s="467">
        <v>136</v>
      </c>
      <c r="P607" s="467">
        <v>136</v>
      </c>
    </row>
    <row r="608" spans="12:16">
      <c r="L608" s="468" t="s">
        <v>3423</v>
      </c>
      <c r="M608" s="468"/>
      <c r="N608" s="467">
        <v>408</v>
      </c>
      <c r="O608" s="467">
        <v>408</v>
      </c>
      <c r="P608" s="467">
        <v>408</v>
      </c>
    </row>
    <row r="609" spans="12:16">
      <c r="L609" s="468" t="s">
        <v>230</v>
      </c>
      <c r="M609" s="468" t="s">
        <v>3261</v>
      </c>
      <c r="N609" s="467">
        <v>173</v>
      </c>
      <c r="O609" s="467">
        <v>173</v>
      </c>
      <c r="P609" s="467">
        <v>0</v>
      </c>
    </row>
    <row r="610" spans="12:16">
      <c r="M610" s="468" t="s">
        <v>3262</v>
      </c>
      <c r="N610" s="467">
        <v>173</v>
      </c>
      <c r="O610" s="467">
        <v>173</v>
      </c>
      <c r="P610" s="467">
        <v>0</v>
      </c>
    </row>
    <row r="611" spans="12:16">
      <c r="M611" s="468" t="s">
        <v>3263</v>
      </c>
      <c r="N611" s="467">
        <v>173</v>
      </c>
      <c r="O611" s="467">
        <v>173</v>
      </c>
      <c r="P611" s="467">
        <v>0</v>
      </c>
    </row>
    <row r="612" spans="12:16">
      <c r="L612" s="468" t="s">
        <v>3557</v>
      </c>
      <c r="M612" s="468"/>
      <c r="N612" s="467">
        <v>519</v>
      </c>
      <c r="O612" s="467">
        <v>519</v>
      </c>
      <c r="P612" s="467">
        <v>0</v>
      </c>
    </row>
    <row r="613" spans="12:16">
      <c r="L613" s="468" t="s">
        <v>289</v>
      </c>
      <c r="M613" s="468" t="s">
        <v>3261</v>
      </c>
      <c r="N613" s="467">
        <v>250</v>
      </c>
      <c r="O613" s="467">
        <v>250</v>
      </c>
      <c r="P613" s="467">
        <v>250</v>
      </c>
    </row>
    <row r="614" spans="12:16">
      <c r="M614" s="468" t="s">
        <v>3262</v>
      </c>
      <c r="N614" s="467">
        <v>255</v>
      </c>
      <c r="O614" s="467">
        <v>255</v>
      </c>
      <c r="P614" s="467">
        <v>255</v>
      </c>
    </row>
    <row r="615" spans="12:16">
      <c r="M615" s="468" t="s">
        <v>3263</v>
      </c>
      <c r="N615" s="467">
        <v>255</v>
      </c>
      <c r="O615" s="467">
        <v>255</v>
      </c>
      <c r="P615" s="467">
        <v>255</v>
      </c>
    </row>
    <row r="616" spans="12:16">
      <c r="L616" s="468" t="s">
        <v>3558</v>
      </c>
      <c r="M616" s="468"/>
      <c r="N616" s="467">
        <v>760</v>
      </c>
      <c r="O616" s="467">
        <v>760</v>
      </c>
      <c r="P616" s="467">
        <v>760</v>
      </c>
    </row>
    <row r="617" spans="12:16">
      <c r="L617" s="468" t="s">
        <v>146</v>
      </c>
      <c r="M617" s="468" t="s">
        <v>3261</v>
      </c>
      <c r="N617" s="467">
        <v>1775</v>
      </c>
      <c r="O617" s="467">
        <v>1775</v>
      </c>
      <c r="P617" s="467">
        <v>266.66666666666669</v>
      </c>
    </row>
    <row r="618" spans="12:16">
      <c r="M618" s="468" t="s">
        <v>3262</v>
      </c>
      <c r="N618" s="467">
        <v>1775</v>
      </c>
      <c r="O618" s="467">
        <v>1775</v>
      </c>
      <c r="P618" s="467">
        <v>266.66666666666669</v>
      </c>
    </row>
    <row r="619" spans="12:16">
      <c r="M619" s="468" t="s">
        <v>3263</v>
      </c>
      <c r="N619" s="467">
        <v>1775</v>
      </c>
      <c r="O619" s="467">
        <v>1775</v>
      </c>
      <c r="P619" s="467">
        <v>266.66666666666669</v>
      </c>
    </row>
    <row r="620" spans="12:16">
      <c r="L620" s="468" t="s">
        <v>3424</v>
      </c>
      <c r="M620" s="468"/>
      <c r="N620" s="467">
        <v>5325</v>
      </c>
      <c r="O620" s="467">
        <v>5325</v>
      </c>
      <c r="P620" s="467">
        <v>800</v>
      </c>
    </row>
    <row r="621" spans="12:16">
      <c r="L621" s="468" t="s">
        <v>191</v>
      </c>
      <c r="M621" s="468" t="s">
        <v>3261</v>
      </c>
      <c r="N621" s="467">
        <v>103</v>
      </c>
      <c r="O621" s="467">
        <v>103</v>
      </c>
      <c r="P621" s="467">
        <v>103</v>
      </c>
    </row>
    <row r="622" spans="12:16">
      <c r="M622" s="468" t="s">
        <v>3262</v>
      </c>
      <c r="N622" s="467">
        <v>103</v>
      </c>
      <c r="O622" s="467">
        <v>103</v>
      </c>
      <c r="P622" s="467">
        <v>103</v>
      </c>
    </row>
    <row r="623" spans="12:16">
      <c r="M623" s="468" t="s">
        <v>3263</v>
      </c>
      <c r="N623" s="467">
        <v>103</v>
      </c>
      <c r="O623" s="467">
        <v>103</v>
      </c>
      <c r="P623" s="467">
        <v>103</v>
      </c>
    </row>
    <row r="624" spans="12:16">
      <c r="L624" s="468" t="s">
        <v>3425</v>
      </c>
      <c r="M624" s="468"/>
      <c r="N624" s="467">
        <v>309</v>
      </c>
      <c r="O624" s="467">
        <v>309</v>
      </c>
      <c r="P624" s="467">
        <v>309</v>
      </c>
    </row>
    <row r="625" spans="12:16">
      <c r="L625" s="468" t="s">
        <v>192</v>
      </c>
      <c r="M625" s="468" t="s">
        <v>3261</v>
      </c>
      <c r="N625" s="467">
        <v>0</v>
      </c>
      <c r="O625" s="467">
        <v>0</v>
      </c>
      <c r="P625" s="467">
        <v>0</v>
      </c>
    </row>
    <row r="626" spans="12:16">
      <c r="M626" s="468" t="s">
        <v>3262</v>
      </c>
      <c r="N626" s="467">
        <v>0</v>
      </c>
      <c r="O626" s="467">
        <v>0</v>
      </c>
      <c r="P626" s="467">
        <v>0</v>
      </c>
    </row>
    <row r="627" spans="12:16">
      <c r="M627" s="468" t="s">
        <v>3263</v>
      </c>
      <c r="N627" s="467">
        <v>0</v>
      </c>
      <c r="O627" s="467">
        <v>0</v>
      </c>
      <c r="P627" s="467">
        <v>0</v>
      </c>
    </row>
    <row r="628" spans="12:16">
      <c r="L628" s="468" t="s">
        <v>3559</v>
      </c>
      <c r="M628" s="468"/>
      <c r="N628" s="467">
        <v>0</v>
      </c>
      <c r="O628" s="467">
        <v>0</v>
      </c>
      <c r="P628" s="467">
        <v>0</v>
      </c>
    </row>
    <row r="629" spans="12:16">
      <c r="L629" s="468" t="s">
        <v>194</v>
      </c>
      <c r="M629" s="468" t="s">
        <v>3261</v>
      </c>
      <c r="N629" s="467">
        <v>80</v>
      </c>
      <c r="O629" s="467">
        <v>80</v>
      </c>
      <c r="P629" s="467">
        <v>80</v>
      </c>
    </row>
    <row r="630" spans="12:16">
      <c r="M630" s="468" t="s">
        <v>3262</v>
      </c>
      <c r="N630" s="467">
        <v>80</v>
      </c>
      <c r="O630" s="467">
        <v>80</v>
      </c>
      <c r="P630" s="467">
        <v>80</v>
      </c>
    </row>
    <row r="631" spans="12:16">
      <c r="M631" s="468" t="s">
        <v>3263</v>
      </c>
      <c r="N631" s="467">
        <v>80</v>
      </c>
      <c r="O631" s="467">
        <v>80</v>
      </c>
      <c r="P631" s="467">
        <v>80</v>
      </c>
    </row>
    <row r="632" spans="12:16">
      <c r="L632" s="468" t="s">
        <v>3426</v>
      </c>
      <c r="M632" s="468"/>
      <c r="N632" s="467">
        <v>240</v>
      </c>
      <c r="O632" s="467">
        <v>240</v>
      </c>
      <c r="P632" s="467">
        <v>240</v>
      </c>
    </row>
    <row r="633" spans="12:16">
      <c r="L633" s="468" t="s">
        <v>171</v>
      </c>
      <c r="M633" s="468" t="s">
        <v>3261</v>
      </c>
      <c r="N633" s="467">
        <v>534</v>
      </c>
      <c r="O633" s="467">
        <v>260</v>
      </c>
      <c r="P633" s="467">
        <v>534</v>
      </c>
    </row>
    <row r="634" spans="12:16">
      <c r="M634" s="468" t="s">
        <v>3262</v>
      </c>
      <c r="N634" s="467">
        <v>534</v>
      </c>
      <c r="O634" s="467">
        <v>260</v>
      </c>
      <c r="P634" s="467">
        <v>534</v>
      </c>
    </row>
    <row r="635" spans="12:16">
      <c r="M635" s="468" t="s">
        <v>3263</v>
      </c>
      <c r="N635" s="467">
        <v>534</v>
      </c>
      <c r="O635" s="467">
        <v>260</v>
      </c>
      <c r="P635" s="467">
        <v>534</v>
      </c>
    </row>
    <row r="636" spans="12:16">
      <c r="L636" s="468" t="s">
        <v>3427</v>
      </c>
      <c r="M636" s="468"/>
      <c r="N636" s="467">
        <v>1602</v>
      </c>
      <c r="O636" s="467">
        <v>780</v>
      </c>
      <c r="P636" s="467">
        <v>1602</v>
      </c>
    </row>
    <row r="637" spans="12:16">
      <c r="L637" s="468" t="s">
        <v>268</v>
      </c>
      <c r="M637" s="468" t="s">
        <v>3261</v>
      </c>
      <c r="N637" s="467">
        <v>0</v>
      </c>
      <c r="O637" s="467">
        <v>111</v>
      </c>
      <c r="P637" s="467">
        <v>111</v>
      </c>
    </row>
    <row r="638" spans="12:16">
      <c r="M638" s="468" t="s">
        <v>3262</v>
      </c>
      <c r="N638" s="467">
        <v>0</v>
      </c>
      <c r="O638" s="467">
        <v>111</v>
      </c>
      <c r="P638" s="467">
        <v>111</v>
      </c>
    </row>
    <row r="639" spans="12:16">
      <c r="M639" s="468" t="s">
        <v>3263</v>
      </c>
      <c r="N639" s="467">
        <v>0</v>
      </c>
      <c r="O639" s="467">
        <v>111</v>
      </c>
      <c r="P639" s="467">
        <v>111</v>
      </c>
    </row>
    <row r="640" spans="12:16">
      <c r="L640" s="468" t="s">
        <v>3560</v>
      </c>
      <c r="M640" s="468"/>
      <c r="N640" s="467">
        <v>0</v>
      </c>
      <c r="O640" s="467">
        <v>333</v>
      </c>
      <c r="P640" s="467">
        <v>333</v>
      </c>
    </row>
    <row r="641" spans="12:16">
      <c r="L641" s="468" t="s">
        <v>185</v>
      </c>
      <c r="M641" s="468" t="s">
        <v>3261</v>
      </c>
      <c r="N641" s="467">
        <v>0</v>
      </c>
      <c r="O641" s="467">
        <v>958</v>
      </c>
      <c r="P641" s="467">
        <v>0</v>
      </c>
    </row>
    <row r="642" spans="12:16">
      <c r="M642" s="468" t="s">
        <v>3262</v>
      </c>
      <c r="N642" s="467">
        <v>0</v>
      </c>
      <c r="O642" s="467">
        <v>958</v>
      </c>
      <c r="P642" s="467">
        <v>66.666666666666671</v>
      </c>
    </row>
    <row r="643" spans="12:16">
      <c r="M643" s="468" t="s">
        <v>3263</v>
      </c>
      <c r="N643" s="467">
        <v>0</v>
      </c>
      <c r="O643" s="467">
        <v>958</v>
      </c>
      <c r="P643" s="467">
        <v>66.666666666666671</v>
      </c>
    </row>
    <row r="644" spans="12:16">
      <c r="L644" s="468" t="s">
        <v>3428</v>
      </c>
      <c r="M644" s="468"/>
      <c r="N644" s="467">
        <v>0</v>
      </c>
      <c r="O644" s="467">
        <v>2874</v>
      </c>
      <c r="P644" s="467">
        <v>133.33333333333334</v>
      </c>
    </row>
    <row r="645" spans="12:16">
      <c r="L645" s="468" t="s">
        <v>218</v>
      </c>
      <c r="M645" s="468" t="s">
        <v>3261</v>
      </c>
      <c r="N645" s="467">
        <v>0</v>
      </c>
      <c r="O645" s="467">
        <v>260</v>
      </c>
      <c r="P645" s="467">
        <v>285</v>
      </c>
    </row>
    <row r="646" spans="12:16">
      <c r="M646" s="468" t="s">
        <v>3262</v>
      </c>
      <c r="N646" s="467">
        <v>298</v>
      </c>
      <c r="O646" s="467">
        <v>260</v>
      </c>
      <c r="P646" s="467">
        <v>298</v>
      </c>
    </row>
    <row r="647" spans="12:16">
      <c r="M647" s="468" t="s">
        <v>3263</v>
      </c>
      <c r="N647" s="467">
        <v>298</v>
      </c>
      <c r="O647" s="467">
        <v>260</v>
      </c>
      <c r="P647" s="467">
        <v>298</v>
      </c>
    </row>
    <row r="648" spans="12:16">
      <c r="L648" s="468" t="s">
        <v>3561</v>
      </c>
      <c r="M648" s="468"/>
      <c r="N648" s="467">
        <v>596</v>
      </c>
      <c r="O648" s="467">
        <v>780</v>
      </c>
      <c r="P648" s="467">
        <v>881</v>
      </c>
    </row>
    <row r="649" spans="12:16">
      <c r="L649" s="468" t="s">
        <v>219</v>
      </c>
      <c r="M649" s="468" t="s">
        <v>3261</v>
      </c>
      <c r="N649" s="467">
        <v>0</v>
      </c>
      <c r="O649" s="467">
        <v>180</v>
      </c>
      <c r="P649" s="467">
        <v>189</v>
      </c>
    </row>
    <row r="650" spans="12:16">
      <c r="M650" s="468" t="s">
        <v>3262</v>
      </c>
      <c r="N650" s="467">
        <v>189</v>
      </c>
      <c r="O650" s="467">
        <v>180</v>
      </c>
      <c r="P650" s="467">
        <v>189</v>
      </c>
    </row>
    <row r="651" spans="12:16">
      <c r="M651" s="468" t="s">
        <v>3263</v>
      </c>
      <c r="N651" s="467">
        <v>189</v>
      </c>
      <c r="O651" s="467">
        <v>180</v>
      </c>
      <c r="P651" s="467">
        <v>189</v>
      </c>
    </row>
    <row r="652" spans="12:16">
      <c r="L652" s="468" t="s">
        <v>3562</v>
      </c>
      <c r="M652" s="468"/>
      <c r="N652" s="467">
        <v>378</v>
      </c>
      <c r="O652" s="467">
        <v>540</v>
      </c>
      <c r="P652" s="467">
        <v>567</v>
      </c>
    </row>
    <row r="653" spans="12:16">
      <c r="L653" s="468" t="s">
        <v>172</v>
      </c>
      <c r="M653" s="468" t="s">
        <v>3261</v>
      </c>
      <c r="N653" s="467">
        <v>499</v>
      </c>
      <c r="O653" s="467">
        <v>340</v>
      </c>
      <c r="P653" s="467">
        <v>499</v>
      </c>
    </row>
    <row r="654" spans="12:16">
      <c r="M654" s="468" t="s">
        <v>3262</v>
      </c>
      <c r="N654" s="467">
        <v>499</v>
      </c>
      <c r="O654" s="467">
        <v>340</v>
      </c>
      <c r="P654" s="467">
        <v>499</v>
      </c>
    </row>
    <row r="655" spans="12:16">
      <c r="M655" s="468" t="s">
        <v>3263</v>
      </c>
      <c r="N655" s="467">
        <v>499</v>
      </c>
      <c r="O655" s="467">
        <v>340</v>
      </c>
      <c r="P655" s="467">
        <v>499</v>
      </c>
    </row>
    <row r="656" spans="12:16">
      <c r="L656" s="468" t="s">
        <v>3429</v>
      </c>
      <c r="M656" s="468"/>
      <c r="N656" s="467">
        <v>1497</v>
      </c>
      <c r="O656" s="467">
        <v>1020</v>
      </c>
      <c r="P656" s="467">
        <v>1497</v>
      </c>
    </row>
    <row r="657" spans="12:16">
      <c r="L657" s="468" t="s">
        <v>142</v>
      </c>
      <c r="M657" s="468" t="s">
        <v>3261</v>
      </c>
      <c r="N657" s="467">
        <v>122</v>
      </c>
      <c r="O657" s="467">
        <v>120</v>
      </c>
      <c r="P657" s="467">
        <v>122</v>
      </c>
    </row>
    <row r="658" spans="12:16">
      <c r="L658" s="468" t="s">
        <v>3563</v>
      </c>
      <c r="M658" s="468"/>
      <c r="N658" s="467">
        <v>122</v>
      </c>
      <c r="O658" s="467">
        <v>120</v>
      </c>
      <c r="P658" s="467">
        <v>122</v>
      </c>
    </row>
    <row r="659" spans="12:16">
      <c r="L659" s="468" t="s">
        <v>2296</v>
      </c>
      <c r="M659" s="468" t="s">
        <v>3261</v>
      </c>
      <c r="N659" s="467">
        <v>0</v>
      </c>
      <c r="O659" s="467">
        <v>0</v>
      </c>
      <c r="P659" s="467">
        <v>0</v>
      </c>
    </row>
    <row r="660" spans="12:16">
      <c r="M660" s="468" t="s">
        <v>3262</v>
      </c>
      <c r="N660" s="467">
        <v>30</v>
      </c>
      <c r="O660" s="467">
        <v>360</v>
      </c>
      <c r="P660" s="467">
        <v>566.66666666666663</v>
      </c>
    </row>
    <row r="661" spans="12:16">
      <c r="M661" s="468" t="s">
        <v>3263</v>
      </c>
      <c r="N661" s="467">
        <v>30</v>
      </c>
      <c r="O661" s="467">
        <v>360</v>
      </c>
      <c r="P661" s="467">
        <v>566.66666666666663</v>
      </c>
    </row>
    <row r="662" spans="12:16">
      <c r="L662" s="468" t="s">
        <v>3564</v>
      </c>
      <c r="M662" s="468"/>
      <c r="N662" s="467">
        <v>60</v>
      </c>
      <c r="O662" s="467">
        <v>720</v>
      </c>
      <c r="P662" s="467">
        <v>1133.3333333333333</v>
      </c>
    </row>
    <row r="663" spans="12:16">
      <c r="L663" s="468" t="s">
        <v>242</v>
      </c>
      <c r="M663" s="468" t="s">
        <v>3261</v>
      </c>
      <c r="N663" s="467">
        <v>52</v>
      </c>
      <c r="O663" s="467">
        <v>52</v>
      </c>
      <c r="P663" s="467">
        <v>52</v>
      </c>
    </row>
    <row r="664" spans="12:16">
      <c r="M664" s="468" t="s">
        <v>3262</v>
      </c>
      <c r="N664" s="467">
        <v>52</v>
      </c>
      <c r="O664" s="467">
        <v>52</v>
      </c>
      <c r="P664" s="467">
        <v>52</v>
      </c>
    </row>
    <row r="665" spans="12:16">
      <c r="M665" s="468" t="s">
        <v>3263</v>
      </c>
      <c r="N665" s="467">
        <v>52</v>
      </c>
      <c r="O665" s="467">
        <v>52</v>
      </c>
      <c r="P665" s="467">
        <v>52</v>
      </c>
    </row>
    <row r="666" spans="12:16">
      <c r="L666" s="468" t="s">
        <v>3565</v>
      </c>
      <c r="M666" s="468"/>
      <c r="N666" s="467">
        <v>156</v>
      </c>
      <c r="O666" s="467">
        <v>156</v>
      </c>
      <c r="P666" s="467">
        <v>156</v>
      </c>
    </row>
    <row r="667" spans="12:16">
      <c r="L667" s="468" t="s">
        <v>187</v>
      </c>
      <c r="M667" s="468" t="s">
        <v>3261</v>
      </c>
      <c r="N667" s="467">
        <v>0</v>
      </c>
      <c r="O667" s="467">
        <v>0</v>
      </c>
      <c r="P667" s="467">
        <v>0</v>
      </c>
    </row>
    <row r="668" spans="12:16">
      <c r="M668" s="468" t="s">
        <v>3262</v>
      </c>
      <c r="N668" s="467">
        <v>0</v>
      </c>
      <c r="O668" s="467">
        <v>0</v>
      </c>
      <c r="P668" s="467">
        <v>0</v>
      </c>
    </row>
    <row r="669" spans="12:16">
      <c r="M669" s="468" t="s">
        <v>3263</v>
      </c>
      <c r="N669" s="467">
        <v>0</v>
      </c>
      <c r="O669" s="467">
        <v>0</v>
      </c>
      <c r="P669" s="467">
        <v>0</v>
      </c>
    </row>
    <row r="670" spans="12:16">
      <c r="L670" s="468" t="s">
        <v>3566</v>
      </c>
      <c r="M670" s="468"/>
      <c r="N670" s="467">
        <v>0</v>
      </c>
      <c r="O670" s="467">
        <v>0</v>
      </c>
      <c r="P670" s="467">
        <v>0</v>
      </c>
    </row>
    <row r="671" spans="12:16">
      <c r="L671" s="468" t="s">
        <v>2077</v>
      </c>
      <c r="M671" s="468" t="s">
        <v>3261</v>
      </c>
      <c r="N671" s="467">
        <v>0</v>
      </c>
      <c r="O671" s="467">
        <v>0</v>
      </c>
      <c r="P671" s="467">
        <v>0</v>
      </c>
    </row>
    <row r="672" spans="12:16">
      <c r="M672" s="468" t="s">
        <v>3262</v>
      </c>
      <c r="N672" s="467">
        <v>0</v>
      </c>
      <c r="O672" s="467">
        <v>0</v>
      </c>
      <c r="P672" s="467">
        <v>0</v>
      </c>
    </row>
    <row r="673" spans="12:16">
      <c r="M673" s="468" t="s">
        <v>3263</v>
      </c>
      <c r="N673" s="467">
        <v>0</v>
      </c>
      <c r="O673" s="467">
        <v>0</v>
      </c>
      <c r="P673" s="467">
        <v>0</v>
      </c>
    </row>
    <row r="674" spans="12:16">
      <c r="L674" s="468" t="s">
        <v>3430</v>
      </c>
      <c r="M674" s="468"/>
      <c r="N674" s="467">
        <v>0</v>
      </c>
      <c r="O674" s="467">
        <v>0</v>
      </c>
      <c r="P674" s="467">
        <v>0</v>
      </c>
    </row>
    <row r="675" spans="12:16">
      <c r="L675" s="468" t="s">
        <v>1150</v>
      </c>
      <c r="M675" s="468" t="s">
        <v>3261</v>
      </c>
      <c r="N675" s="467">
        <v>0</v>
      </c>
      <c r="O675" s="467">
        <v>0</v>
      </c>
      <c r="P675" s="467">
        <v>0</v>
      </c>
    </row>
    <row r="676" spans="12:16">
      <c r="M676" s="468" t="s">
        <v>3262</v>
      </c>
      <c r="N676" s="467">
        <v>30</v>
      </c>
      <c r="O676" s="467">
        <v>80</v>
      </c>
      <c r="P676" s="467">
        <v>175</v>
      </c>
    </row>
    <row r="677" spans="12:16">
      <c r="M677" s="468" t="s">
        <v>3263</v>
      </c>
      <c r="N677" s="467">
        <v>30</v>
      </c>
      <c r="O677" s="467">
        <v>80</v>
      </c>
      <c r="P677" s="467">
        <v>175</v>
      </c>
    </row>
    <row r="678" spans="12:16">
      <c r="L678" s="468" t="s">
        <v>3567</v>
      </c>
      <c r="M678" s="468"/>
      <c r="N678" s="467">
        <v>60</v>
      </c>
      <c r="O678" s="467">
        <v>160</v>
      </c>
      <c r="P678" s="467">
        <v>350</v>
      </c>
    </row>
    <row r="679" spans="12:16">
      <c r="L679" s="468" t="s">
        <v>2177</v>
      </c>
      <c r="M679" s="468" t="s">
        <v>3261</v>
      </c>
      <c r="N679" s="467">
        <v>0</v>
      </c>
      <c r="O679" s="467">
        <v>0</v>
      </c>
      <c r="P679" s="467">
        <v>0</v>
      </c>
    </row>
    <row r="680" spans="12:16">
      <c r="M680" s="468" t="s">
        <v>3262</v>
      </c>
      <c r="N680" s="467">
        <v>0</v>
      </c>
      <c r="O680" s="467">
        <v>0</v>
      </c>
      <c r="P680" s="467">
        <v>0</v>
      </c>
    </row>
    <row r="681" spans="12:16">
      <c r="M681" s="468" t="s">
        <v>3263</v>
      </c>
      <c r="N681" s="467">
        <v>0</v>
      </c>
      <c r="O681" s="467">
        <v>0</v>
      </c>
      <c r="P681" s="467">
        <v>0</v>
      </c>
    </row>
    <row r="682" spans="12:16">
      <c r="L682" s="468" t="s">
        <v>3568</v>
      </c>
      <c r="M682" s="468"/>
      <c r="N682" s="467">
        <v>0</v>
      </c>
      <c r="O682" s="467">
        <v>0</v>
      </c>
      <c r="P682" s="467">
        <v>0</v>
      </c>
    </row>
    <row r="683" spans="12:16">
      <c r="L683" s="468" t="s">
        <v>173</v>
      </c>
      <c r="M683" s="468" t="s">
        <v>3261</v>
      </c>
      <c r="N683" s="467">
        <v>351</v>
      </c>
      <c r="O683" s="467">
        <v>220</v>
      </c>
      <c r="P683" s="467">
        <v>351</v>
      </c>
    </row>
    <row r="684" spans="12:16">
      <c r="M684" s="468" t="s">
        <v>3262</v>
      </c>
      <c r="N684" s="467">
        <v>351</v>
      </c>
      <c r="O684" s="467">
        <v>220</v>
      </c>
      <c r="P684" s="467">
        <v>351</v>
      </c>
    </row>
    <row r="685" spans="12:16">
      <c r="M685" s="468" t="s">
        <v>3263</v>
      </c>
      <c r="N685" s="467">
        <v>351</v>
      </c>
      <c r="O685" s="467">
        <v>220</v>
      </c>
      <c r="P685" s="467">
        <v>351</v>
      </c>
    </row>
    <row r="686" spans="12:16">
      <c r="L686" s="468" t="s">
        <v>3431</v>
      </c>
      <c r="M686" s="468"/>
      <c r="N686" s="467">
        <v>1053</v>
      </c>
      <c r="O686" s="467">
        <v>660</v>
      </c>
      <c r="P686" s="467">
        <v>1053</v>
      </c>
    </row>
    <row r="687" spans="12:16">
      <c r="L687" s="468" t="s">
        <v>269</v>
      </c>
      <c r="M687" s="468" t="s">
        <v>3261</v>
      </c>
      <c r="N687" s="467">
        <v>253</v>
      </c>
      <c r="O687" s="467">
        <v>253</v>
      </c>
      <c r="P687" s="467">
        <v>253</v>
      </c>
    </row>
    <row r="688" spans="12:16">
      <c r="M688" s="468" t="s">
        <v>3262</v>
      </c>
      <c r="N688" s="467">
        <v>253</v>
      </c>
      <c r="O688" s="467">
        <v>253</v>
      </c>
      <c r="P688" s="467">
        <v>253</v>
      </c>
    </row>
    <row r="689" spans="12:16">
      <c r="M689" s="468" t="s">
        <v>3263</v>
      </c>
      <c r="N689" s="467">
        <v>253</v>
      </c>
      <c r="O689" s="467">
        <v>253</v>
      </c>
      <c r="P689" s="467">
        <v>253</v>
      </c>
    </row>
    <row r="690" spans="12:16">
      <c r="L690" s="468" t="s">
        <v>3569</v>
      </c>
      <c r="M690" s="468"/>
      <c r="N690" s="467">
        <v>759</v>
      </c>
      <c r="O690" s="467">
        <v>759</v>
      </c>
      <c r="P690" s="467">
        <v>759</v>
      </c>
    </row>
    <row r="691" spans="12:16">
      <c r="L691" s="468" t="s">
        <v>270</v>
      </c>
      <c r="M691" s="468" t="s">
        <v>3261</v>
      </c>
      <c r="N691" s="467">
        <v>0</v>
      </c>
      <c r="O691" s="467">
        <v>77</v>
      </c>
      <c r="P691" s="467">
        <v>77</v>
      </c>
    </row>
    <row r="692" spans="12:16">
      <c r="M692" s="468" t="s">
        <v>3262</v>
      </c>
      <c r="N692" s="467">
        <v>0</v>
      </c>
      <c r="O692" s="467">
        <v>77</v>
      </c>
      <c r="P692" s="467">
        <v>77</v>
      </c>
    </row>
    <row r="693" spans="12:16">
      <c r="M693" s="468" t="s">
        <v>3263</v>
      </c>
      <c r="N693" s="467">
        <v>0</v>
      </c>
      <c r="O693" s="467">
        <v>77</v>
      </c>
      <c r="P693" s="467">
        <v>77</v>
      </c>
    </row>
    <row r="694" spans="12:16">
      <c r="L694" s="468" t="s">
        <v>3570</v>
      </c>
      <c r="M694" s="468"/>
      <c r="N694" s="467">
        <v>0</v>
      </c>
      <c r="O694" s="467">
        <v>231</v>
      </c>
      <c r="P694" s="467">
        <v>231</v>
      </c>
    </row>
    <row r="695" spans="12:16">
      <c r="L695" s="468" t="s">
        <v>174</v>
      </c>
      <c r="M695" s="468" t="s">
        <v>3261</v>
      </c>
      <c r="N695" s="467">
        <v>165</v>
      </c>
      <c r="O695" s="467">
        <v>100</v>
      </c>
      <c r="P695" s="467">
        <v>165</v>
      </c>
    </row>
    <row r="696" spans="12:16">
      <c r="M696" s="468" t="s">
        <v>3262</v>
      </c>
      <c r="N696" s="467">
        <v>165</v>
      </c>
      <c r="O696" s="467">
        <v>100</v>
      </c>
      <c r="P696" s="467">
        <v>165</v>
      </c>
    </row>
    <row r="697" spans="12:16">
      <c r="M697" s="468" t="s">
        <v>3263</v>
      </c>
      <c r="N697" s="467">
        <v>165</v>
      </c>
      <c r="O697" s="467">
        <v>100</v>
      </c>
      <c r="P697" s="467">
        <v>165</v>
      </c>
    </row>
    <row r="698" spans="12:16">
      <c r="L698" s="468" t="s">
        <v>3432</v>
      </c>
      <c r="M698" s="468"/>
      <c r="N698" s="467">
        <v>495</v>
      </c>
      <c r="O698" s="467">
        <v>300</v>
      </c>
      <c r="P698" s="467">
        <v>495</v>
      </c>
    </row>
    <row r="699" spans="12:16">
      <c r="L699" s="468" t="s">
        <v>175</v>
      </c>
      <c r="M699" s="468" t="s">
        <v>3261</v>
      </c>
      <c r="N699" s="467">
        <v>219</v>
      </c>
      <c r="O699" s="467">
        <v>219</v>
      </c>
      <c r="P699" s="467">
        <v>219</v>
      </c>
    </row>
    <row r="700" spans="12:16">
      <c r="M700" s="468" t="s">
        <v>3262</v>
      </c>
      <c r="N700" s="467">
        <v>219</v>
      </c>
      <c r="O700" s="467">
        <v>219</v>
      </c>
      <c r="P700" s="467">
        <v>219</v>
      </c>
    </row>
    <row r="701" spans="12:16">
      <c r="M701" s="468" t="s">
        <v>3263</v>
      </c>
      <c r="N701" s="467">
        <v>219</v>
      </c>
      <c r="O701" s="467">
        <v>219</v>
      </c>
      <c r="P701" s="467">
        <v>219</v>
      </c>
    </row>
    <row r="702" spans="12:16">
      <c r="L702" s="468" t="s">
        <v>3433</v>
      </c>
      <c r="M702" s="468"/>
      <c r="N702" s="467">
        <v>657</v>
      </c>
      <c r="O702" s="467">
        <v>657</v>
      </c>
      <c r="P702" s="467">
        <v>657</v>
      </c>
    </row>
    <row r="703" spans="12:16">
      <c r="L703" s="468" t="s">
        <v>277</v>
      </c>
      <c r="M703" s="468" t="s">
        <v>3261</v>
      </c>
      <c r="N703" s="467">
        <v>0</v>
      </c>
      <c r="O703" s="467">
        <v>140</v>
      </c>
      <c r="P703" s="467">
        <v>186</v>
      </c>
    </row>
    <row r="704" spans="12:16">
      <c r="M704" s="468" t="s">
        <v>3262</v>
      </c>
      <c r="N704" s="467">
        <v>0</v>
      </c>
      <c r="O704" s="467">
        <v>140</v>
      </c>
      <c r="P704" s="467">
        <v>186</v>
      </c>
    </row>
    <row r="705" spans="12:16">
      <c r="M705" s="468" t="s">
        <v>3263</v>
      </c>
      <c r="N705" s="467">
        <v>0</v>
      </c>
      <c r="O705" s="467">
        <v>140</v>
      </c>
      <c r="P705" s="467">
        <v>186</v>
      </c>
    </row>
    <row r="706" spans="12:16">
      <c r="L706" s="468" t="s">
        <v>3571</v>
      </c>
      <c r="M706" s="468"/>
      <c r="N706" s="467">
        <v>0</v>
      </c>
      <c r="O706" s="467">
        <v>420</v>
      </c>
      <c r="P706" s="467">
        <v>558</v>
      </c>
    </row>
    <row r="707" spans="12:16">
      <c r="L707" s="468" t="s">
        <v>2006</v>
      </c>
      <c r="M707" s="468" t="s">
        <v>3261</v>
      </c>
      <c r="N707" s="467">
        <v>0</v>
      </c>
      <c r="O707" s="467">
        <v>87</v>
      </c>
      <c r="P707" s="467">
        <v>66.666666666666671</v>
      </c>
    </row>
    <row r="708" spans="12:16">
      <c r="M708" s="468" t="s">
        <v>3262</v>
      </c>
      <c r="N708" s="467">
        <v>0</v>
      </c>
      <c r="O708" s="467">
        <v>87</v>
      </c>
      <c r="P708" s="467">
        <v>66.666666666666671</v>
      </c>
    </row>
    <row r="709" spans="12:16">
      <c r="M709" s="468" t="s">
        <v>3263</v>
      </c>
      <c r="N709" s="467">
        <v>0</v>
      </c>
      <c r="O709" s="467">
        <v>87</v>
      </c>
      <c r="P709" s="467">
        <v>66.666666666666671</v>
      </c>
    </row>
    <row r="710" spans="12:16">
      <c r="L710" s="468" t="s">
        <v>3434</v>
      </c>
      <c r="M710" s="468"/>
      <c r="N710" s="467">
        <v>0</v>
      </c>
      <c r="O710" s="467">
        <v>261</v>
      </c>
      <c r="P710" s="467">
        <v>200</v>
      </c>
    </row>
    <row r="711" spans="12:16">
      <c r="L711" s="468" t="s">
        <v>1089</v>
      </c>
      <c r="M711" s="468" t="s">
        <v>3261</v>
      </c>
      <c r="N711" s="467">
        <v>0</v>
      </c>
      <c r="O711" s="467">
        <v>0</v>
      </c>
      <c r="P711" s="467">
        <v>0</v>
      </c>
    </row>
    <row r="712" spans="12:16">
      <c r="M712" s="468" t="s">
        <v>3262</v>
      </c>
      <c r="N712" s="467">
        <v>0</v>
      </c>
      <c r="O712" s="467">
        <v>0</v>
      </c>
      <c r="P712" s="467">
        <v>0</v>
      </c>
    </row>
    <row r="713" spans="12:16">
      <c r="M713" s="468" t="s">
        <v>3263</v>
      </c>
      <c r="N713" s="467">
        <v>0</v>
      </c>
      <c r="O713" s="467">
        <v>0</v>
      </c>
      <c r="P713" s="467">
        <v>0</v>
      </c>
    </row>
    <row r="714" spans="12:16">
      <c r="L714" s="468" t="s">
        <v>3572</v>
      </c>
      <c r="M714" s="468"/>
      <c r="N714" s="467">
        <v>0</v>
      </c>
      <c r="O714" s="467">
        <v>0</v>
      </c>
      <c r="P714" s="467">
        <v>0</v>
      </c>
    </row>
    <row r="715" spans="12:16">
      <c r="L715" s="468" t="s">
        <v>2176</v>
      </c>
      <c r="M715" s="468" t="s">
        <v>3261</v>
      </c>
      <c r="N715" s="467">
        <v>724</v>
      </c>
      <c r="O715" s="467">
        <v>560</v>
      </c>
      <c r="P715" s="467">
        <v>7.5555555555555554</v>
      </c>
    </row>
    <row r="716" spans="12:16">
      <c r="M716" s="468" t="s">
        <v>3262</v>
      </c>
      <c r="N716" s="467">
        <v>724</v>
      </c>
      <c r="O716" s="467">
        <v>560</v>
      </c>
      <c r="P716" s="467">
        <v>724</v>
      </c>
    </row>
    <row r="717" spans="12:16">
      <c r="M717" s="468" t="s">
        <v>3263</v>
      </c>
      <c r="N717" s="467">
        <v>724</v>
      </c>
      <c r="O717" s="467">
        <v>560</v>
      </c>
      <c r="P717" s="467">
        <v>724</v>
      </c>
    </row>
    <row r="718" spans="12:16">
      <c r="L718" s="468" t="s">
        <v>3435</v>
      </c>
      <c r="M718" s="468"/>
      <c r="N718" s="467">
        <v>2172</v>
      </c>
      <c r="O718" s="467">
        <v>1680</v>
      </c>
      <c r="P718" s="467">
        <v>1455.5555555555557</v>
      </c>
    </row>
    <row r="719" spans="12:16">
      <c r="L719" s="468" t="s">
        <v>760</v>
      </c>
      <c r="M719" s="468" t="s">
        <v>3261</v>
      </c>
      <c r="N719" s="467">
        <v>183</v>
      </c>
      <c r="O719" s="467">
        <v>183</v>
      </c>
      <c r="P719" s="467">
        <v>183</v>
      </c>
    </row>
    <row r="720" spans="12:16">
      <c r="M720" s="468" t="s">
        <v>3262</v>
      </c>
      <c r="N720" s="467">
        <v>183</v>
      </c>
      <c r="O720" s="467">
        <v>183</v>
      </c>
      <c r="P720" s="467">
        <v>183</v>
      </c>
    </row>
    <row r="721" spans="12:16">
      <c r="M721" s="468" t="s">
        <v>3263</v>
      </c>
      <c r="N721" s="467">
        <v>183</v>
      </c>
      <c r="O721" s="467">
        <v>183</v>
      </c>
      <c r="P721" s="467">
        <v>183</v>
      </c>
    </row>
    <row r="722" spans="12:16">
      <c r="L722" s="468" t="s">
        <v>3573</v>
      </c>
      <c r="M722" s="468"/>
      <c r="N722" s="467">
        <v>549</v>
      </c>
      <c r="O722" s="467">
        <v>549</v>
      </c>
      <c r="P722" s="467">
        <v>549</v>
      </c>
    </row>
    <row r="723" spans="12:16">
      <c r="L723" s="468" t="s">
        <v>2173</v>
      </c>
      <c r="M723" s="468" t="s">
        <v>3261</v>
      </c>
      <c r="N723" s="467">
        <v>356</v>
      </c>
      <c r="O723" s="467">
        <v>160</v>
      </c>
      <c r="P723" s="467">
        <v>356</v>
      </c>
    </row>
    <row r="724" spans="12:16">
      <c r="M724" s="468" t="s">
        <v>3262</v>
      </c>
      <c r="N724" s="467">
        <v>356</v>
      </c>
      <c r="O724" s="467">
        <v>160</v>
      </c>
      <c r="P724" s="467">
        <v>356</v>
      </c>
    </row>
    <row r="725" spans="12:16">
      <c r="M725" s="468" t="s">
        <v>3263</v>
      </c>
      <c r="N725" s="467">
        <v>356</v>
      </c>
      <c r="O725" s="467">
        <v>160</v>
      </c>
      <c r="P725" s="467">
        <v>356</v>
      </c>
    </row>
    <row r="726" spans="12:16">
      <c r="L726" s="468" t="s">
        <v>3436</v>
      </c>
      <c r="M726" s="468"/>
      <c r="N726" s="467">
        <v>1068</v>
      </c>
      <c r="O726" s="467">
        <v>480</v>
      </c>
      <c r="P726" s="467">
        <v>1068</v>
      </c>
    </row>
    <row r="727" spans="12:16">
      <c r="L727" s="468" t="s">
        <v>278</v>
      </c>
      <c r="M727" s="468" t="s">
        <v>3261</v>
      </c>
      <c r="N727" s="467">
        <v>0</v>
      </c>
      <c r="O727" s="467">
        <v>200</v>
      </c>
      <c r="P727" s="467">
        <v>263</v>
      </c>
    </row>
    <row r="728" spans="12:16">
      <c r="M728" s="468" t="s">
        <v>3262</v>
      </c>
      <c r="N728" s="467">
        <v>0</v>
      </c>
      <c r="O728" s="467">
        <v>200</v>
      </c>
      <c r="P728" s="467">
        <v>263</v>
      </c>
    </row>
    <row r="729" spans="12:16">
      <c r="M729" s="468" t="s">
        <v>3263</v>
      </c>
      <c r="N729" s="467">
        <v>0</v>
      </c>
      <c r="O729" s="467">
        <v>200</v>
      </c>
      <c r="P729" s="467">
        <v>263</v>
      </c>
    </row>
    <row r="730" spans="12:16">
      <c r="L730" s="468" t="s">
        <v>3574</v>
      </c>
      <c r="M730" s="468"/>
      <c r="N730" s="467">
        <v>0</v>
      </c>
      <c r="O730" s="467">
        <v>600</v>
      </c>
      <c r="P730" s="467">
        <v>789</v>
      </c>
    </row>
    <row r="731" spans="12:16">
      <c r="L731" s="468" t="s">
        <v>264</v>
      </c>
      <c r="M731" s="468" t="s">
        <v>3261</v>
      </c>
      <c r="N731" s="467">
        <v>172</v>
      </c>
      <c r="O731" s="467">
        <v>172</v>
      </c>
      <c r="P731" s="467">
        <v>172</v>
      </c>
    </row>
    <row r="732" spans="12:16">
      <c r="M732" s="468" t="s">
        <v>3262</v>
      </c>
      <c r="N732" s="467">
        <v>172</v>
      </c>
      <c r="O732" s="467">
        <v>172</v>
      </c>
      <c r="P732" s="467">
        <v>172</v>
      </c>
    </row>
    <row r="733" spans="12:16">
      <c r="M733" s="468" t="s">
        <v>3263</v>
      </c>
      <c r="N733" s="467">
        <v>172</v>
      </c>
      <c r="O733" s="467">
        <v>172</v>
      </c>
      <c r="P733" s="467">
        <v>172</v>
      </c>
    </row>
    <row r="734" spans="12:16">
      <c r="L734" s="468" t="s">
        <v>3575</v>
      </c>
      <c r="M734" s="468"/>
      <c r="N734" s="467">
        <v>516</v>
      </c>
      <c r="O734" s="467">
        <v>516</v>
      </c>
      <c r="P734" s="467">
        <v>516</v>
      </c>
    </row>
    <row r="735" spans="12:16">
      <c r="L735" s="468" t="s">
        <v>224</v>
      </c>
      <c r="M735" s="468" t="s">
        <v>3261</v>
      </c>
      <c r="N735" s="467">
        <v>3000</v>
      </c>
      <c r="O735" s="467">
        <v>4540</v>
      </c>
      <c r="P735" s="467">
        <v>465.37037037037038</v>
      </c>
    </row>
    <row r="736" spans="12:16">
      <c r="M736" s="468" t="s">
        <v>3262</v>
      </c>
      <c r="N736" s="467">
        <v>6225</v>
      </c>
      <c r="O736" s="467">
        <v>4240</v>
      </c>
      <c r="P736" s="467">
        <v>595.14074074074074</v>
      </c>
    </row>
    <row r="737" spans="12:16">
      <c r="M737" s="468" t="s">
        <v>3263</v>
      </c>
      <c r="N737" s="467">
        <v>6501</v>
      </c>
      <c r="O737" s="467">
        <v>4700</v>
      </c>
      <c r="P737" s="467">
        <v>595.14074074074074</v>
      </c>
    </row>
    <row r="738" spans="12:16">
      <c r="L738" s="468" t="s">
        <v>3576</v>
      </c>
      <c r="M738" s="468"/>
      <c r="N738" s="467">
        <v>15726</v>
      </c>
      <c r="O738" s="467">
        <v>13480</v>
      </c>
      <c r="P738" s="467">
        <v>1655.6518518518519</v>
      </c>
    </row>
    <row r="739" spans="12:16">
      <c r="L739" s="468" t="s">
        <v>226</v>
      </c>
      <c r="M739" s="468" t="s">
        <v>3261</v>
      </c>
      <c r="N739" s="467">
        <v>0</v>
      </c>
      <c r="O739" s="467">
        <v>0</v>
      </c>
      <c r="P739" s="467">
        <v>0</v>
      </c>
    </row>
    <row r="740" spans="12:16">
      <c r="M740" s="468" t="s">
        <v>3262</v>
      </c>
      <c r="N740" s="467">
        <v>0</v>
      </c>
      <c r="O740" s="467">
        <v>0</v>
      </c>
      <c r="P740" s="467">
        <v>0</v>
      </c>
    </row>
    <row r="741" spans="12:16">
      <c r="M741" s="468" t="s">
        <v>3263</v>
      </c>
      <c r="N741" s="467">
        <v>709</v>
      </c>
      <c r="O741" s="467">
        <v>0</v>
      </c>
      <c r="P741" s="467">
        <v>0</v>
      </c>
    </row>
    <row r="742" spans="12:16">
      <c r="L742" s="468" t="s">
        <v>3577</v>
      </c>
      <c r="M742" s="468"/>
      <c r="N742" s="467">
        <v>709</v>
      </c>
      <c r="O742" s="467">
        <v>0</v>
      </c>
      <c r="P742" s="467">
        <v>0</v>
      </c>
    </row>
    <row r="743" spans="12:16">
      <c r="L743" s="468" t="s">
        <v>225</v>
      </c>
      <c r="M743" s="468" t="s">
        <v>3261</v>
      </c>
      <c r="N743" s="467">
        <v>0</v>
      </c>
      <c r="O743" s="467">
        <v>0</v>
      </c>
      <c r="P743" s="467">
        <v>0</v>
      </c>
    </row>
    <row r="744" spans="12:16">
      <c r="M744" s="468" t="s">
        <v>3262</v>
      </c>
      <c r="N744" s="467">
        <v>0</v>
      </c>
      <c r="O744" s="467">
        <v>0</v>
      </c>
      <c r="P744" s="467">
        <v>0</v>
      </c>
    </row>
    <row r="745" spans="12:16">
      <c r="M745" s="468" t="s">
        <v>3263</v>
      </c>
      <c r="N745" s="467">
        <v>2550</v>
      </c>
      <c r="O745" s="467">
        <v>0</v>
      </c>
      <c r="P745" s="467">
        <v>0</v>
      </c>
    </row>
    <row r="746" spans="12:16">
      <c r="L746" s="468" t="s">
        <v>3578</v>
      </c>
      <c r="M746" s="468"/>
      <c r="N746" s="467">
        <v>2550</v>
      </c>
      <c r="O746" s="467">
        <v>0</v>
      </c>
      <c r="P746" s="467">
        <v>0</v>
      </c>
    </row>
    <row r="747" spans="12:16">
      <c r="L747" s="468" t="s">
        <v>207</v>
      </c>
      <c r="M747" s="468" t="s">
        <v>3261</v>
      </c>
      <c r="N747" s="467">
        <v>0</v>
      </c>
      <c r="O747" s="467">
        <v>59</v>
      </c>
      <c r="P747" s="467">
        <v>59</v>
      </c>
    </row>
    <row r="748" spans="12:16">
      <c r="L748" s="468" t="s">
        <v>3579</v>
      </c>
      <c r="M748" s="468"/>
      <c r="N748" s="467">
        <v>0</v>
      </c>
      <c r="O748" s="467">
        <v>59</v>
      </c>
      <c r="P748" s="467">
        <v>59</v>
      </c>
    </row>
    <row r="749" spans="12:16">
      <c r="L749" s="468" t="s">
        <v>265</v>
      </c>
      <c r="M749" s="468" t="s">
        <v>3261</v>
      </c>
      <c r="N749" s="467">
        <v>67</v>
      </c>
      <c r="O749" s="467">
        <v>67</v>
      </c>
      <c r="P749" s="467">
        <v>0</v>
      </c>
    </row>
    <row r="750" spans="12:16">
      <c r="M750" s="468" t="s">
        <v>3262</v>
      </c>
      <c r="N750" s="467">
        <v>67</v>
      </c>
      <c r="O750" s="467">
        <v>67</v>
      </c>
      <c r="P750" s="467">
        <v>0</v>
      </c>
    </row>
    <row r="751" spans="12:16">
      <c r="M751" s="468" t="s">
        <v>3263</v>
      </c>
      <c r="N751" s="467">
        <v>67</v>
      </c>
      <c r="O751" s="467">
        <v>67</v>
      </c>
      <c r="P751" s="467">
        <v>0</v>
      </c>
    </row>
    <row r="752" spans="12:16">
      <c r="L752" s="468" t="s">
        <v>3580</v>
      </c>
      <c r="M752" s="468"/>
      <c r="N752" s="467">
        <v>201</v>
      </c>
      <c r="O752" s="467">
        <v>201</v>
      </c>
      <c r="P752" s="467">
        <v>0</v>
      </c>
    </row>
    <row r="753" spans="12:16">
      <c r="L753" s="468" t="s">
        <v>734</v>
      </c>
      <c r="M753" s="468" t="s">
        <v>3261</v>
      </c>
      <c r="N753" s="467">
        <v>500</v>
      </c>
      <c r="O753" s="467">
        <v>1025</v>
      </c>
      <c r="P753" s="467">
        <v>1077</v>
      </c>
    </row>
    <row r="754" spans="12:16">
      <c r="M754" s="468" t="s">
        <v>3262</v>
      </c>
      <c r="N754" s="467">
        <v>1035</v>
      </c>
      <c r="O754" s="467">
        <v>1025</v>
      </c>
      <c r="P754" s="467">
        <v>1077</v>
      </c>
    </row>
    <row r="755" spans="12:16">
      <c r="M755" s="468" t="s">
        <v>3263</v>
      </c>
      <c r="N755" s="467">
        <v>1077</v>
      </c>
      <c r="O755" s="467">
        <v>1025</v>
      </c>
      <c r="P755" s="467">
        <v>1077</v>
      </c>
    </row>
    <row r="756" spans="12:16">
      <c r="L756" s="468" t="s">
        <v>3581</v>
      </c>
      <c r="M756" s="468"/>
      <c r="N756" s="467">
        <v>2612</v>
      </c>
      <c r="O756" s="467">
        <v>3075</v>
      </c>
      <c r="P756" s="467">
        <v>3231</v>
      </c>
    </row>
    <row r="757" spans="12:16">
      <c r="L757" s="468" t="s">
        <v>2075</v>
      </c>
      <c r="M757" s="468" t="s">
        <v>3261</v>
      </c>
      <c r="N757" s="467">
        <v>0</v>
      </c>
      <c r="O757" s="467">
        <v>0</v>
      </c>
      <c r="P757" s="467">
        <v>0</v>
      </c>
    </row>
    <row r="758" spans="12:16">
      <c r="M758" s="468" t="s">
        <v>3262</v>
      </c>
      <c r="N758" s="467">
        <v>0</v>
      </c>
      <c r="O758" s="467">
        <v>0</v>
      </c>
      <c r="P758" s="467">
        <v>0</v>
      </c>
    </row>
    <row r="759" spans="12:16">
      <c r="M759" s="468" t="s">
        <v>3263</v>
      </c>
      <c r="N759" s="467">
        <v>0</v>
      </c>
      <c r="O759" s="467">
        <v>0</v>
      </c>
      <c r="P759" s="467">
        <v>0</v>
      </c>
    </row>
    <row r="760" spans="12:16">
      <c r="L760" s="468" t="s">
        <v>3437</v>
      </c>
      <c r="M760" s="468"/>
      <c r="N760" s="467">
        <v>0</v>
      </c>
      <c r="O760" s="467">
        <v>0</v>
      </c>
      <c r="P760" s="467">
        <v>0</v>
      </c>
    </row>
    <row r="761" spans="12:16">
      <c r="L761" s="468" t="s">
        <v>2852</v>
      </c>
      <c r="M761" s="468" t="s">
        <v>3261</v>
      </c>
      <c r="N761" s="467">
        <v>0</v>
      </c>
      <c r="O761" s="467">
        <v>0</v>
      </c>
      <c r="P761" s="467">
        <v>0</v>
      </c>
    </row>
    <row r="762" spans="12:16">
      <c r="M762" s="468" t="s">
        <v>3262</v>
      </c>
      <c r="N762" s="467">
        <v>0</v>
      </c>
      <c r="O762" s="467">
        <v>0</v>
      </c>
      <c r="P762" s="467">
        <v>0</v>
      </c>
    </row>
    <row r="763" spans="12:16">
      <c r="M763" s="468" t="s">
        <v>3263</v>
      </c>
      <c r="N763" s="467">
        <v>0</v>
      </c>
      <c r="O763" s="467">
        <v>0</v>
      </c>
      <c r="P763" s="467">
        <v>0</v>
      </c>
    </row>
    <row r="764" spans="12:16">
      <c r="L764" s="468" t="s">
        <v>3582</v>
      </c>
      <c r="M764" s="468"/>
      <c r="N764" s="467">
        <v>0</v>
      </c>
      <c r="O764" s="467">
        <v>0</v>
      </c>
      <c r="P764" s="467">
        <v>0</v>
      </c>
    </row>
    <row r="765" spans="12:16">
      <c r="L765" s="468" t="s">
        <v>3036</v>
      </c>
      <c r="M765" s="468" t="s">
        <v>3261</v>
      </c>
      <c r="N765" s="467">
        <v>93</v>
      </c>
      <c r="O765" s="467">
        <v>20</v>
      </c>
      <c r="P765" s="467">
        <v>93</v>
      </c>
    </row>
    <row r="766" spans="12:16">
      <c r="M766" s="468" t="s">
        <v>3262</v>
      </c>
      <c r="N766" s="467">
        <v>120</v>
      </c>
      <c r="O766" s="467">
        <v>20</v>
      </c>
      <c r="P766" s="467">
        <v>120</v>
      </c>
    </row>
    <row r="767" spans="12:16">
      <c r="M767" s="468" t="s">
        <v>3263</v>
      </c>
      <c r="N767" s="467">
        <v>120</v>
      </c>
      <c r="O767" s="467">
        <v>120</v>
      </c>
      <c r="P767" s="467">
        <v>120</v>
      </c>
    </row>
    <row r="768" spans="12:16">
      <c r="L768" s="468" t="s">
        <v>3583</v>
      </c>
      <c r="M768" s="468"/>
      <c r="N768" s="467">
        <v>333</v>
      </c>
      <c r="O768" s="467">
        <v>160</v>
      </c>
      <c r="P768" s="467">
        <v>333</v>
      </c>
    </row>
    <row r="769" spans="12:16">
      <c r="L769" s="468" t="s">
        <v>3034</v>
      </c>
      <c r="M769" s="468" t="s">
        <v>3261</v>
      </c>
      <c r="N769" s="467">
        <v>0</v>
      </c>
      <c r="O769" s="467">
        <v>95</v>
      </c>
      <c r="P769" s="467">
        <v>0</v>
      </c>
    </row>
    <row r="770" spans="12:16">
      <c r="M770" s="468" t="s">
        <v>3262</v>
      </c>
      <c r="N770" s="467">
        <v>95</v>
      </c>
      <c r="O770" s="467">
        <v>95</v>
      </c>
      <c r="P770" s="467">
        <v>0</v>
      </c>
    </row>
    <row r="771" spans="12:16">
      <c r="M771" s="468" t="s">
        <v>3263</v>
      </c>
      <c r="N771" s="467">
        <v>95</v>
      </c>
      <c r="O771" s="467">
        <v>95</v>
      </c>
      <c r="P771" s="467">
        <v>95</v>
      </c>
    </row>
    <row r="772" spans="12:16">
      <c r="L772" s="468" t="s">
        <v>3584</v>
      </c>
      <c r="M772" s="468"/>
      <c r="N772" s="467">
        <v>190</v>
      </c>
      <c r="O772" s="467">
        <v>285</v>
      </c>
      <c r="P772" s="467">
        <v>95</v>
      </c>
    </row>
    <row r="773" spans="12:16">
      <c r="L773" s="468" t="s">
        <v>3058</v>
      </c>
      <c r="M773" s="468" t="s">
        <v>3261</v>
      </c>
      <c r="N773" s="467">
        <v>0</v>
      </c>
      <c r="O773" s="467">
        <v>0</v>
      </c>
      <c r="P773" s="467">
        <v>0</v>
      </c>
    </row>
    <row r="774" spans="12:16">
      <c r="M774" s="468" t="s">
        <v>3262</v>
      </c>
      <c r="N774" s="467">
        <v>0</v>
      </c>
      <c r="O774" s="467">
        <v>0</v>
      </c>
      <c r="P774" s="467">
        <v>0</v>
      </c>
    </row>
    <row r="775" spans="12:16">
      <c r="M775" s="468" t="s">
        <v>3263</v>
      </c>
      <c r="N775" s="467">
        <v>0</v>
      </c>
      <c r="O775" s="467">
        <v>0</v>
      </c>
      <c r="P775" s="467">
        <v>0</v>
      </c>
    </row>
    <row r="776" spans="12:16">
      <c r="L776" s="468" t="s">
        <v>3585</v>
      </c>
      <c r="M776" s="468"/>
      <c r="N776" s="467">
        <v>0</v>
      </c>
      <c r="O776" s="467">
        <v>0</v>
      </c>
      <c r="P776" s="467">
        <v>0</v>
      </c>
    </row>
    <row r="777" spans="12:16">
      <c r="L777" s="468" t="s">
        <v>3063</v>
      </c>
      <c r="M777" s="468" t="s">
        <v>3261</v>
      </c>
      <c r="N777" s="467">
        <v>0</v>
      </c>
      <c r="O777" s="467">
        <v>0</v>
      </c>
      <c r="P777" s="467">
        <v>0</v>
      </c>
    </row>
    <row r="778" spans="12:16">
      <c r="M778" s="468" t="s">
        <v>3262</v>
      </c>
      <c r="N778" s="467">
        <v>0</v>
      </c>
      <c r="O778" s="467">
        <v>0</v>
      </c>
      <c r="P778" s="467">
        <v>0</v>
      </c>
    </row>
    <row r="779" spans="12:16">
      <c r="M779" s="468" t="s">
        <v>3263</v>
      </c>
      <c r="N779" s="467">
        <v>0</v>
      </c>
      <c r="O779" s="467">
        <v>0</v>
      </c>
      <c r="P779" s="467">
        <v>0</v>
      </c>
    </row>
    <row r="780" spans="12:16">
      <c r="L780" s="468" t="s">
        <v>3586</v>
      </c>
      <c r="M780" s="468"/>
      <c r="N780" s="467">
        <v>0</v>
      </c>
      <c r="O780" s="467">
        <v>0</v>
      </c>
      <c r="P780" s="467">
        <v>0</v>
      </c>
    </row>
    <row r="781" spans="12:16">
      <c r="L781" s="468" t="s">
        <v>3089</v>
      </c>
      <c r="M781" s="468" t="s">
        <v>3261</v>
      </c>
      <c r="N781" s="467">
        <v>0</v>
      </c>
      <c r="O781" s="467">
        <v>0</v>
      </c>
      <c r="P781" s="467">
        <v>0</v>
      </c>
    </row>
    <row r="782" spans="12:16">
      <c r="M782" s="468" t="s">
        <v>3262</v>
      </c>
      <c r="N782" s="467">
        <v>0</v>
      </c>
      <c r="O782" s="467">
        <v>0</v>
      </c>
      <c r="P782" s="467">
        <v>0</v>
      </c>
    </row>
    <row r="783" spans="12:16">
      <c r="M783" s="468" t="s">
        <v>3263</v>
      </c>
      <c r="N783" s="467">
        <v>0</v>
      </c>
      <c r="O783" s="467">
        <v>0</v>
      </c>
      <c r="P783" s="467">
        <v>0</v>
      </c>
    </row>
    <row r="784" spans="12:16">
      <c r="L784" s="468" t="s">
        <v>3587</v>
      </c>
      <c r="M784" s="468"/>
      <c r="N784" s="467">
        <v>0</v>
      </c>
      <c r="O784" s="467">
        <v>0</v>
      </c>
      <c r="P784" s="467">
        <v>0</v>
      </c>
    </row>
    <row r="785" spans="12:16">
      <c r="L785" s="468" t="s">
        <v>3088</v>
      </c>
      <c r="M785" s="468" t="s">
        <v>3261</v>
      </c>
      <c r="N785" s="467">
        <v>0</v>
      </c>
      <c r="O785" s="467">
        <v>0</v>
      </c>
      <c r="P785" s="467">
        <v>1219</v>
      </c>
    </row>
    <row r="786" spans="12:16">
      <c r="M786" s="468" t="s">
        <v>3262</v>
      </c>
      <c r="N786" s="467">
        <v>0</v>
      </c>
      <c r="O786" s="467">
        <v>0</v>
      </c>
      <c r="P786" s="467">
        <v>1219</v>
      </c>
    </row>
    <row r="787" spans="12:16">
      <c r="M787" s="468" t="s">
        <v>3263</v>
      </c>
      <c r="N787" s="467">
        <v>0</v>
      </c>
      <c r="O787" s="467">
        <v>0</v>
      </c>
      <c r="P787" s="467">
        <v>1219</v>
      </c>
    </row>
    <row r="788" spans="12:16">
      <c r="L788" s="468" t="s">
        <v>3588</v>
      </c>
      <c r="M788" s="468"/>
      <c r="N788" s="467">
        <v>0</v>
      </c>
      <c r="O788" s="467">
        <v>0</v>
      </c>
      <c r="P788" s="467">
        <v>3657</v>
      </c>
    </row>
    <row r="789" spans="12:16">
      <c r="L789" s="468" t="s">
        <v>3091</v>
      </c>
      <c r="M789" s="468" t="s">
        <v>3262</v>
      </c>
      <c r="N789" s="467">
        <v>30</v>
      </c>
      <c r="O789" s="467">
        <v>80</v>
      </c>
      <c r="P789" s="467">
        <v>130</v>
      </c>
    </row>
    <row r="790" spans="12:16">
      <c r="M790" s="468" t="s">
        <v>3263</v>
      </c>
      <c r="N790" s="467">
        <v>30</v>
      </c>
      <c r="O790" s="467">
        <v>80</v>
      </c>
      <c r="P790" s="467">
        <v>130</v>
      </c>
    </row>
    <row r="791" spans="12:16">
      <c r="L791" s="468" t="s">
        <v>3589</v>
      </c>
      <c r="M791" s="468"/>
      <c r="N791" s="467">
        <v>60</v>
      </c>
      <c r="O791" s="467">
        <v>160</v>
      </c>
      <c r="P791" s="467">
        <v>260</v>
      </c>
    </row>
    <row r="792" spans="12:16">
      <c r="L792" s="468" t="s">
        <v>3128</v>
      </c>
      <c r="M792" s="468" t="s">
        <v>3261</v>
      </c>
      <c r="N792" s="467">
        <v>161</v>
      </c>
      <c r="O792" s="467">
        <v>140</v>
      </c>
      <c r="P792" s="467">
        <v>161</v>
      </c>
    </row>
    <row r="793" spans="12:16">
      <c r="M793" s="468" t="s">
        <v>3262</v>
      </c>
      <c r="N793" s="467">
        <v>197</v>
      </c>
      <c r="O793" s="467">
        <v>144</v>
      </c>
      <c r="P793" s="467">
        <v>197</v>
      </c>
    </row>
    <row r="794" spans="12:16">
      <c r="M794" s="468" t="s">
        <v>3263</v>
      </c>
      <c r="N794" s="467">
        <v>197</v>
      </c>
      <c r="O794" s="467">
        <v>144</v>
      </c>
      <c r="P794" s="467">
        <v>197</v>
      </c>
    </row>
    <row r="795" spans="12:16">
      <c r="L795" s="468" t="s">
        <v>3136</v>
      </c>
      <c r="M795" s="468"/>
      <c r="N795" s="467">
        <v>555</v>
      </c>
      <c r="O795" s="467">
        <v>428</v>
      </c>
      <c r="P795" s="467">
        <v>555</v>
      </c>
    </row>
    <row r="796" spans="12:16">
      <c r="L796" s="468" t="s">
        <v>3130</v>
      </c>
      <c r="M796" s="468" t="s">
        <v>3261</v>
      </c>
      <c r="N796" s="467">
        <v>0</v>
      </c>
      <c r="O796" s="467">
        <v>0</v>
      </c>
      <c r="P796" s="467">
        <v>0</v>
      </c>
    </row>
    <row r="797" spans="12:16">
      <c r="M797" s="468" t="s">
        <v>3262</v>
      </c>
      <c r="N797" s="467">
        <v>0</v>
      </c>
      <c r="O797" s="467">
        <v>0</v>
      </c>
      <c r="P797" s="467">
        <v>0</v>
      </c>
    </row>
    <row r="798" spans="12:16">
      <c r="M798" s="468" t="s">
        <v>3263</v>
      </c>
      <c r="N798" s="467">
        <v>0</v>
      </c>
      <c r="O798" s="467">
        <v>0</v>
      </c>
      <c r="P798" s="467">
        <v>0</v>
      </c>
    </row>
    <row r="799" spans="12:16">
      <c r="L799" s="468" t="s">
        <v>3590</v>
      </c>
      <c r="M799" s="468"/>
      <c r="N799" s="467">
        <v>0</v>
      </c>
      <c r="O799" s="467">
        <v>0</v>
      </c>
      <c r="P799" s="467">
        <v>0</v>
      </c>
    </row>
    <row r="800" spans="12:16">
      <c r="L800" s="468" t="s">
        <v>3639</v>
      </c>
      <c r="M800" s="468" t="s">
        <v>3263</v>
      </c>
      <c r="N800" s="467">
        <v>0</v>
      </c>
      <c r="O800" s="467">
        <v>100</v>
      </c>
      <c r="P800" s="467">
        <v>412</v>
      </c>
    </row>
    <row r="801" spans="12:16">
      <c r="L801" s="468" t="s">
        <v>3650</v>
      </c>
      <c r="M801" s="468"/>
      <c r="N801" s="467">
        <v>0</v>
      </c>
      <c r="O801" s="467">
        <v>100</v>
      </c>
      <c r="P801" s="467">
        <v>412</v>
      </c>
    </row>
    <row r="802" spans="12:16">
      <c r="L802" s="468" t="s">
        <v>3641</v>
      </c>
      <c r="M802" s="468" t="s">
        <v>3263</v>
      </c>
      <c r="N802" s="467">
        <v>0</v>
      </c>
      <c r="O802" s="467">
        <v>685</v>
      </c>
      <c r="P802" s="467">
        <v>685</v>
      </c>
    </row>
    <row r="803" spans="12:16">
      <c r="L803" s="468" t="s">
        <v>3651</v>
      </c>
      <c r="M803" s="468"/>
      <c r="N803" s="467">
        <v>0</v>
      </c>
      <c r="O803" s="467">
        <v>685</v>
      </c>
      <c r="P803" s="467">
        <v>685</v>
      </c>
    </row>
    <row r="804" spans="12:16">
      <c r="L804" s="468" t="s">
        <v>1662</v>
      </c>
      <c r="N804" s="467">
        <v>216189</v>
      </c>
      <c r="O804" s="467">
        <v>215260</v>
      </c>
      <c r="P804" s="467">
        <v>187887.02370370354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16" workbookViewId="0">
      <selection activeCell="A37" sqref="A37"/>
    </sheetView>
  </sheetViews>
  <sheetFormatPr defaultColWidth="9" defaultRowHeight="13"/>
  <cols>
    <col min="1" max="3" width="9" style="18"/>
    <col min="4" max="4" width="9" style="67"/>
    <col min="5" max="5" width="15.6640625" style="66" customWidth="1"/>
    <col min="6" max="14" width="9" style="18"/>
    <col min="15" max="15" width="15.6640625" style="18" customWidth="1"/>
    <col min="16" max="27" width="9" style="18"/>
    <col min="28" max="28" width="13" style="62" customWidth="1"/>
    <col min="29" max="29" width="16.6640625" style="62" customWidth="1"/>
    <col min="30" max="16384" width="9" style="18"/>
  </cols>
  <sheetData>
    <row r="1" spans="1:29" ht="14" thickTop="1" thickBot="1">
      <c r="A1" s="1" t="s">
        <v>0</v>
      </c>
      <c r="B1" s="1" t="s">
        <v>1</v>
      </c>
      <c r="C1" s="1" t="s">
        <v>2</v>
      </c>
      <c r="D1" s="49" t="s">
        <v>3</v>
      </c>
      <c r="E1" s="49" t="s">
        <v>4</v>
      </c>
      <c r="F1" s="1" t="s">
        <v>1163</v>
      </c>
      <c r="G1" s="1" t="s">
        <v>5</v>
      </c>
      <c r="H1" s="1" t="s">
        <v>6</v>
      </c>
      <c r="I1" s="1" t="s">
        <v>49</v>
      </c>
      <c r="J1" s="1" t="s">
        <v>50</v>
      </c>
      <c r="K1" s="1" t="s">
        <v>53</v>
      </c>
      <c r="L1" s="2" t="s">
        <v>55</v>
      </c>
      <c r="M1" s="2" t="s">
        <v>56</v>
      </c>
      <c r="N1" s="2" t="s">
        <v>118</v>
      </c>
      <c r="O1" s="2" t="s">
        <v>119</v>
      </c>
      <c r="P1" s="2" t="s">
        <v>61</v>
      </c>
      <c r="Q1" s="2" t="s">
        <v>59</v>
      </c>
      <c r="R1" s="3" t="s">
        <v>63</v>
      </c>
      <c r="S1" s="3" t="s">
        <v>1164</v>
      </c>
      <c r="T1" s="4" t="s">
        <v>64</v>
      </c>
      <c r="U1" s="3" t="s">
        <v>65</v>
      </c>
      <c r="V1" s="3" t="s">
        <v>66</v>
      </c>
      <c r="W1" s="5" t="s">
        <v>68</v>
      </c>
      <c r="X1" s="5"/>
      <c r="Y1" s="5" t="s">
        <v>1165</v>
      </c>
      <c r="Z1" s="5" t="s">
        <v>69</v>
      </c>
      <c r="AA1" s="47" t="s">
        <v>70</v>
      </c>
      <c r="AB1" s="62" t="s">
        <v>1166</v>
      </c>
    </row>
    <row r="2" spans="1:29" ht="13.5" thickBot="1">
      <c r="A2" s="11" t="s">
        <v>16</v>
      </c>
      <c r="B2" s="12" t="s">
        <v>16</v>
      </c>
      <c r="C2" s="11" t="s">
        <v>16</v>
      </c>
      <c r="D2" s="53" t="s">
        <v>16</v>
      </c>
      <c r="E2" s="50"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1167</v>
      </c>
      <c r="V2" s="12" t="s">
        <v>1167</v>
      </c>
      <c r="W2" s="11" t="s">
        <v>17</v>
      </c>
      <c r="X2" s="11"/>
      <c r="Y2" s="12" t="s">
        <v>17</v>
      </c>
      <c r="Z2" s="11" t="s">
        <v>17</v>
      </c>
      <c r="AA2" s="48" t="s">
        <v>17</v>
      </c>
    </row>
    <row r="3" spans="1:29" ht="118" thickTop="1" thickBot="1">
      <c r="A3" s="14" t="s">
        <v>20</v>
      </c>
      <c r="B3" s="13" t="s">
        <v>1168</v>
      </c>
      <c r="C3" s="14" t="s">
        <v>22</v>
      </c>
      <c r="D3" s="54" t="s">
        <v>23</v>
      </c>
      <c r="E3" s="51" t="s">
        <v>24</v>
      </c>
      <c r="F3" s="13" t="s">
        <v>26</v>
      </c>
      <c r="G3" s="14" t="s">
        <v>1169</v>
      </c>
      <c r="H3" s="13" t="s">
        <v>1170</v>
      </c>
      <c r="I3" s="14" t="s">
        <v>1171</v>
      </c>
      <c r="J3" s="13" t="s">
        <v>1172</v>
      </c>
      <c r="K3" s="14" t="s">
        <v>1173</v>
      </c>
      <c r="L3" s="13" t="s">
        <v>1174</v>
      </c>
      <c r="M3" s="14" t="s">
        <v>1175</v>
      </c>
      <c r="N3" s="13" t="s">
        <v>1176</v>
      </c>
      <c r="O3" s="14" t="s">
        <v>1177</v>
      </c>
      <c r="P3" s="13" t="s">
        <v>1178</v>
      </c>
      <c r="Q3" s="14" t="s">
        <v>1179</v>
      </c>
      <c r="R3" s="13" t="s">
        <v>1180</v>
      </c>
      <c r="S3" s="14" t="s">
        <v>1181</v>
      </c>
      <c r="T3" s="13" t="s">
        <v>1182</v>
      </c>
      <c r="U3" s="14" t="s">
        <v>1183</v>
      </c>
      <c r="V3" s="13" t="s">
        <v>1184</v>
      </c>
      <c r="W3" s="16" t="s">
        <v>1185</v>
      </c>
      <c r="X3" s="16" t="s">
        <v>1186</v>
      </c>
      <c r="Y3" s="13" t="s">
        <v>1187</v>
      </c>
      <c r="Z3" s="14" t="s">
        <v>1188</v>
      </c>
      <c r="AA3" s="57" t="s">
        <v>1189</v>
      </c>
      <c r="AB3" s="63" t="s">
        <v>1190</v>
      </c>
      <c r="AC3" s="63" t="s">
        <v>1191</v>
      </c>
    </row>
    <row r="4" spans="1:29" ht="14" thickTop="1" thickBot="1">
      <c r="A4" s="10" t="s">
        <v>1192</v>
      </c>
      <c r="B4" s="10" t="s">
        <v>1193</v>
      </c>
      <c r="C4" s="8" t="s">
        <v>39</v>
      </c>
      <c r="D4" s="52" t="s">
        <v>338</v>
      </c>
      <c r="E4" s="52" t="s">
        <v>640</v>
      </c>
      <c r="F4" s="7"/>
      <c r="G4" s="8"/>
      <c r="H4" s="7" t="s">
        <v>43</v>
      </c>
      <c r="I4" s="41" t="s">
        <v>323</v>
      </c>
      <c r="J4" s="7"/>
      <c r="K4" s="15">
        <v>0</v>
      </c>
      <c r="L4" s="7"/>
      <c r="M4" s="8"/>
      <c r="N4" s="7"/>
      <c r="O4" s="8"/>
      <c r="P4" s="7"/>
      <c r="Q4" s="7"/>
      <c r="R4" s="8"/>
      <c r="S4" s="7"/>
      <c r="T4" s="9"/>
      <c r="U4" s="7" t="s">
        <v>140</v>
      </c>
      <c r="V4" s="7" t="s">
        <v>140</v>
      </c>
      <c r="W4" s="7"/>
      <c r="X4" s="7" t="s">
        <v>141</v>
      </c>
      <c r="Y4" s="8"/>
      <c r="Z4" s="7"/>
      <c r="AA4" s="58"/>
      <c r="AB4" s="62" t="s">
        <v>2827</v>
      </c>
      <c r="AC4" s="62" t="s">
        <v>370</v>
      </c>
    </row>
    <row r="5" spans="1:29" ht="14" thickTop="1" thickBot="1">
      <c r="A5" s="10" t="s">
        <v>1194</v>
      </c>
      <c r="B5" s="10" t="s">
        <v>327</v>
      </c>
      <c r="C5" s="8" t="s">
        <v>307</v>
      </c>
      <c r="D5" s="52" t="s">
        <v>198</v>
      </c>
      <c r="E5" s="52" t="s">
        <v>553</v>
      </c>
      <c r="F5" s="7"/>
      <c r="G5" s="8"/>
      <c r="H5" s="7" t="s">
        <v>139</v>
      </c>
      <c r="I5" s="41" t="s">
        <v>153</v>
      </c>
      <c r="J5" s="7"/>
      <c r="K5" s="15">
        <v>0.1</v>
      </c>
      <c r="L5" s="7"/>
      <c r="M5" s="8"/>
      <c r="N5" s="7"/>
      <c r="O5" s="8"/>
      <c r="P5" s="7"/>
      <c r="Q5" s="7"/>
      <c r="R5" s="8"/>
      <c r="S5" s="7"/>
      <c r="T5" s="9"/>
      <c r="U5" s="7" t="s">
        <v>1195</v>
      </c>
      <c r="V5" s="7" t="s">
        <v>154</v>
      </c>
      <c r="W5" s="7"/>
      <c r="X5" s="7" t="s">
        <v>232</v>
      </c>
      <c r="Y5" s="8"/>
      <c r="Z5" s="7"/>
      <c r="AA5" s="58"/>
      <c r="AB5" s="62" t="s">
        <v>2827</v>
      </c>
      <c r="AC5" s="62" t="s">
        <v>315</v>
      </c>
    </row>
    <row r="6" spans="1:29" ht="14" thickTop="1" thickBot="1">
      <c r="A6" s="10" t="s">
        <v>1196</v>
      </c>
      <c r="B6" s="10" t="s">
        <v>1197</v>
      </c>
      <c r="C6" s="8" t="s">
        <v>711</v>
      </c>
      <c r="D6" s="52" t="s">
        <v>332</v>
      </c>
      <c r="E6" s="52" t="s">
        <v>674</v>
      </c>
      <c r="F6" s="7"/>
      <c r="G6" s="8"/>
      <c r="H6" s="7" t="s">
        <v>296</v>
      </c>
      <c r="I6" s="6" t="s">
        <v>1198</v>
      </c>
      <c r="J6" s="7"/>
      <c r="K6" s="15">
        <v>0.2</v>
      </c>
      <c r="L6" s="7"/>
      <c r="M6" s="8"/>
      <c r="N6" s="7"/>
      <c r="O6" s="8"/>
      <c r="P6" s="7"/>
      <c r="Q6" s="7"/>
      <c r="R6" s="8"/>
      <c r="S6" s="7"/>
      <c r="T6" s="9"/>
      <c r="U6" s="7" t="s">
        <v>189</v>
      </c>
      <c r="V6" s="7" t="s">
        <v>189</v>
      </c>
      <c r="W6" s="7"/>
      <c r="X6" s="7" t="s">
        <v>148</v>
      </c>
      <c r="Y6" s="8"/>
      <c r="Z6" s="7"/>
      <c r="AA6" s="58"/>
      <c r="AB6" s="62" t="s">
        <v>2827</v>
      </c>
      <c r="AC6" s="62" t="s">
        <v>325</v>
      </c>
    </row>
    <row r="7" spans="1:29" ht="14" thickTop="1" thickBot="1">
      <c r="A7" s="10" t="s">
        <v>1199</v>
      </c>
      <c r="B7" s="10" t="s">
        <v>1200</v>
      </c>
      <c r="D7" s="52" t="s">
        <v>149</v>
      </c>
      <c r="E7" s="52" t="s">
        <v>592</v>
      </c>
      <c r="F7" s="7"/>
      <c r="G7" s="8"/>
      <c r="H7" s="7"/>
      <c r="I7" s="41" t="s">
        <v>340</v>
      </c>
      <c r="J7" s="7"/>
      <c r="K7" s="15">
        <v>0.3</v>
      </c>
      <c r="L7" s="7"/>
      <c r="M7" s="8"/>
      <c r="N7" s="7"/>
      <c r="O7" s="8"/>
      <c r="P7" s="7"/>
      <c r="Q7" s="7"/>
      <c r="R7" s="8"/>
      <c r="S7" s="7"/>
      <c r="T7" s="9"/>
      <c r="U7" s="7" t="s">
        <v>143</v>
      </c>
      <c r="V7" s="7" t="s">
        <v>143</v>
      </c>
      <c r="W7" s="7"/>
      <c r="X7" s="7"/>
      <c r="Y7" s="8"/>
      <c r="Z7" s="7"/>
      <c r="AA7" s="58"/>
      <c r="AB7" s="62" t="s">
        <v>2827</v>
      </c>
      <c r="AC7" s="62" t="s">
        <v>484</v>
      </c>
    </row>
    <row r="8" spans="1:29" ht="14" thickTop="1" thickBot="1">
      <c r="A8" s="10" t="s">
        <v>1201</v>
      </c>
      <c r="B8" s="10" t="s">
        <v>1202</v>
      </c>
      <c r="D8" s="52" t="s">
        <v>151</v>
      </c>
      <c r="E8" s="52" t="s">
        <v>614</v>
      </c>
      <c r="F8" s="7"/>
      <c r="G8" s="8"/>
      <c r="H8" s="7"/>
      <c r="I8" s="55" t="s">
        <v>1203</v>
      </c>
      <c r="J8" s="7"/>
      <c r="K8" s="15">
        <v>0.4</v>
      </c>
      <c r="L8" s="7"/>
      <c r="M8" s="8"/>
      <c r="N8" s="7"/>
      <c r="O8" s="8"/>
      <c r="P8" s="7"/>
      <c r="Q8" s="7"/>
      <c r="R8" s="8"/>
      <c r="S8" s="7"/>
      <c r="T8" s="9"/>
      <c r="U8" s="65"/>
      <c r="V8" s="65"/>
      <c r="W8" s="7"/>
      <c r="X8" s="7"/>
      <c r="Y8" s="8"/>
      <c r="Z8" s="7"/>
      <c r="AA8" s="58"/>
      <c r="AB8" s="62" t="s">
        <v>2827</v>
      </c>
      <c r="AC8" s="62" t="s">
        <v>412</v>
      </c>
    </row>
    <row r="9" spans="1:29" ht="13.5" thickBot="1">
      <c r="A9" s="10" t="s">
        <v>1204</v>
      </c>
      <c r="B9" s="10" t="s">
        <v>2335</v>
      </c>
      <c r="D9" s="52" t="s">
        <v>730</v>
      </c>
      <c r="E9" s="52" t="s">
        <v>661</v>
      </c>
      <c r="F9" s="7"/>
      <c r="G9" s="8"/>
      <c r="H9" s="7"/>
      <c r="I9" s="40" t="s">
        <v>1205</v>
      </c>
      <c r="J9" s="7"/>
      <c r="K9" s="15">
        <v>0.5</v>
      </c>
      <c r="L9" s="7"/>
      <c r="M9" s="8"/>
      <c r="N9" s="7"/>
      <c r="O9" s="8"/>
      <c r="P9" s="7"/>
      <c r="Q9" s="7"/>
      <c r="R9" s="8"/>
      <c r="S9" s="7"/>
      <c r="T9" s="9"/>
      <c r="U9" s="7"/>
      <c r="V9" s="8"/>
      <c r="W9" s="7"/>
      <c r="X9" s="7"/>
      <c r="Y9" s="8"/>
      <c r="Z9" s="7"/>
      <c r="AA9" s="58"/>
      <c r="AB9" s="62" t="s">
        <v>2827</v>
      </c>
      <c r="AC9" s="62" t="s">
        <v>415</v>
      </c>
    </row>
    <row r="10" spans="1:29" ht="13.5" thickBot="1">
      <c r="A10" s="10" t="s">
        <v>1206</v>
      </c>
      <c r="B10" s="10" t="s">
        <v>317</v>
      </c>
      <c r="D10" s="52" t="s">
        <v>752</v>
      </c>
      <c r="E10" s="52" t="s">
        <v>949</v>
      </c>
      <c r="F10" s="7"/>
      <c r="G10" s="8"/>
      <c r="H10" s="7"/>
      <c r="I10" s="40" t="s">
        <v>1208</v>
      </c>
      <c r="J10" s="7"/>
      <c r="K10" s="15">
        <v>0.6</v>
      </c>
      <c r="L10" s="7"/>
      <c r="M10" s="8"/>
      <c r="N10" s="7"/>
      <c r="O10" s="8"/>
      <c r="P10" s="7"/>
      <c r="Q10" s="7"/>
      <c r="R10" s="8"/>
      <c r="S10" s="7"/>
      <c r="T10" s="9"/>
      <c r="U10" s="7"/>
      <c r="V10" s="8"/>
      <c r="W10" s="7"/>
      <c r="X10" s="7"/>
      <c r="Y10" s="8"/>
      <c r="Z10" s="7"/>
      <c r="AA10" s="58"/>
      <c r="AB10" s="62" t="s">
        <v>2827</v>
      </c>
      <c r="AC10" s="62" t="s">
        <v>465</v>
      </c>
    </row>
    <row r="11" spans="1:29" ht="13.5" thickBot="1">
      <c r="A11" s="10" t="s">
        <v>1206</v>
      </c>
      <c r="B11" s="10" t="s">
        <v>1207</v>
      </c>
      <c r="D11" s="52" t="s">
        <v>784</v>
      </c>
      <c r="E11" s="52" t="s">
        <v>551</v>
      </c>
      <c r="F11" s="7"/>
      <c r="G11" s="8"/>
      <c r="H11" s="7"/>
      <c r="I11" s="471" t="s">
        <v>310</v>
      </c>
      <c r="J11" s="7"/>
      <c r="K11" s="15">
        <v>0.7</v>
      </c>
      <c r="L11" s="7"/>
      <c r="M11" s="8"/>
      <c r="N11" s="7"/>
      <c r="O11" s="8"/>
      <c r="P11" s="7"/>
      <c r="Q11" s="7"/>
      <c r="R11" s="8"/>
      <c r="S11" s="7"/>
      <c r="T11" s="9"/>
      <c r="U11" s="7"/>
      <c r="V11" s="8"/>
      <c r="W11" s="7"/>
      <c r="X11" s="7"/>
      <c r="Y11" s="8"/>
      <c r="Z11" s="7"/>
      <c r="AA11" s="58"/>
      <c r="AB11" s="62" t="s">
        <v>2827</v>
      </c>
      <c r="AC11" s="62" t="s">
        <v>367</v>
      </c>
    </row>
    <row r="12" spans="1:29" ht="13.5" thickBot="1">
      <c r="A12" s="10" t="s">
        <v>1209</v>
      </c>
      <c r="B12" s="10" t="s">
        <v>331</v>
      </c>
      <c r="D12" s="52" t="s">
        <v>1082</v>
      </c>
      <c r="E12" s="52" t="s">
        <v>580</v>
      </c>
      <c r="F12" s="7"/>
      <c r="G12" s="8"/>
      <c r="H12" s="7"/>
      <c r="I12" s="30" t="s">
        <v>231</v>
      </c>
      <c r="J12" s="7"/>
      <c r="K12" s="15">
        <v>0.8</v>
      </c>
      <c r="L12" s="7"/>
      <c r="M12" s="8"/>
      <c r="N12" s="7"/>
      <c r="O12" s="8"/>
      <c r="P12" s="7"/>
      <c r="Q12" s="7"/>
      <c r="R12" s="8"/>
      <c r="S12" s="7"/>
      <c r="T12" s="9"/>
      <c r="U12" s="7"/>
      <c r="V12" s="8"/>
      <c r="W12" s="7"/>
      <c r="X12" s="7"/>
      <c r="Y12" s="8"/>
      <c r="Z12" s="7"/>
      <c r="AA12" s="58"/>
      <c r="AB12" s="62" t="s">
        <v>2827</v>
      </c>
      <c r="AC12" s="62" t="s">
        <v>308</v>
      </c>
    </row>
    <row r="13" spans="1:29" ht="13.5" thickBot="1">
      <c r="A13" s="10" t="s">
        <v>1211</v>
      </c>
      <c r="B13" s="10" t="s">
        <v>1210</v>
      </c>
      <c r="C13" s="65"/>
      <c r="D13" s="52" t="s">
        <v>715</v>
      </c>
      <c r="E13" s="52" t="s">
        <v>602</v>
      </c>
      <c r="F13" s="7"/>
      <c r="G13" s="8"/>
      <c r="H13" s="7"/>
      <c r="I13" s="30" t="s">
        <v>42</v>
      </c>
      <c r="J13" s="7"/>
      <c r="K13" s="15">
        <v>0.9</v>
      </c>
      <c r="L13" s="7"/>
      <c r="M13" s="8"/>
      <c r="N13" s="7"/>
      <c r="O13" s="8"/>
      <c r="P13" s="7"/>
      <c r="Q13" s="7"/>
      <c r="R13" s="8"/>
      <c r="S13" s="7"/>
      <c r="T13" s="9"/>
      <c r="U13" s="7"/>
      <c r="V13" s="8"/>
      <c r="W13" s="7"/>
      <c r="X13" s="7"/>
      <c r="Y13" s="8"/>
      <c r="Z13" s="7"/>
      <c r="AA13" s="58"/>
      <c r="AB13" s="62" t="s">
        <v>39</v>
      </c>
      <c r="AC13" s="62" t="s">
        <v>198</v>
      </c>
    </row>
    <row r="14" spans="1:29" ht="13.5" thickBot="1">
      <c r="A14" s="10" t="s">
        <v>1213</v>
      </c>
      <c r="B14" s="10" t="s">
        <v>1212</v>
      </c>
      <c r="D14" s="52" t="s">
        <v>370</v>
      </c>
      <c r="E14" s="52" t="s">
        <v>594</v>
      </c>
      <c r="F14" s="7"/>
      <c r="G14" s="8"/>
      <c r="H14" s="7"/>
      <c r="I14" s="46" t="s">
        <v>229</v>
      </c>
      <c r="J14" s="7"/>
      <c r="K14" s="15">
        <v>1</v>
      </c>
      <c r="L14" s="7"/>
      <c r="M14" s="8"/>
      <c r="N14" s="7"/>
      <c r="O14" s="8"/>
      <c r="P14" s="7"/>
      <c r="Q14" s="7"/>
      <c r="R14" s="8"/>
      <c r="S14" s="7"/>
      <c r="T14" s="9"/>
      <c r="U14" s="7"/>
      <c r="V14" s="8"/>
      <c r="W14" s="7"/>
      <c r="X14" s="7"/>
      <c r="Y14" s="8"/>
      <c r="Z14" s="7"/>
      <c r="AA14" s="58"/>
      <c r="AB14" s="62" t="s">
        <v>39</v>
      </c>
      <c r="AC14" s="62" t="s">
        <v>149</v>
      </c>
    </row>
    <row r="15" spans="1:29" ht="13.5" thickBot="1">
      <c r="A15" s="10" t="s">
        <v>1215</v>
      </c>
      <c r="B15" s="10" t="s">
        <v>1214</v>
      </c>
      <c r="D15" s="52" t="s">
        <v>315</v>
      </c>
      <c r="E15" s="52" t="s">
        <v>563</v>
      </c>
      <c r="F15" s="7"/>
      <c r="G15" s="8"/>
      <c r="H15" s="7"/>
      <c r="I15" s="30" t="s">
        <v>295</v>
      </c>
      <c r="J15" s="7"/>
      <c r="K15" s="8"/>
      <c r="L15" s="7"/>
      <c r="M15" s="8"/>
      <c r="N15" s="7"/>
      <c r="O15" s="8"/>
      <c r="P15" s="7"/>
      <c r="Q15" s="7"/>
      <c r="R15" s="8"/>
      <c r="S15" s="7"/>
      <c r="T15" s="9"/>
      <c r="U15" s="7"/>
      <c r="V15" s="8"/>
      <c r="W15" s="7"/>
      <c r="X15" s="7"/>
      <c r="Y15" s="8"/>
      <c r="Z15" s="7"/>
      <c r="AA15" s="58"/>
      <c r="AB15" s="62" t="s">
        <v>39</v>
      </c>
      <c r="AC15" s="62" t="s">
        <v>151</v>
      </c>
    </row>
    <row r="16" spans="1:29" ht="13.5" thickBot="1">
      <c r="A16" s="10" t="s">
        <v>1218</v>
      </c>
      <c r="B16" s="10" t="s">
        <v>1216</v>
      </c>
      <c r="D16" s="52" t="s">
        <v>1087</v>
      </c>
      <c r="E16" s="52" t="s">
        <v>564</v>
      </c>
      <c r="F16" s="7"/>
      <c r="G16" s="8"/>
      <c r="H16" s="7"/>
      <c r="I16" s="30" t="s">
        <v>714</v>
      </c>
      <c r="J16" s="7"/>
      <c r="K16" s="8"/>
      <c r="L16" s="7"/>
      <c r="M16" s="8"/>
      <c r="N16" s="7"/>
      <c r="O16" s="8"/>
      <c r="P16" s="7"/>
      <c r="Q16" s="7"/>
      <c r="R16" s="8"/>
      <c r="S16" s="7"/>
      <c r="T16" s="9"/>
      <c r="U16" s="7"/>
      <c r="V16" s="8"/>
      <c r="W16" s="7"/>
      <c r="X16" s="7"/>
      <c r="Y16" s="8"/>
      <c r="Z16" s="7"/>
      <c r="AA16" s="58"/>
      <c r="AB16" s="62" t="s">
        <v>39</v>
      </c>
      <c r="AC16" s="62" t="s">
        <v>784</v>
      </c>
    </row>
    <row r="17" spans="1:29" ht="13.5" thickBot="1">
      <c r="A17" s="10" t="s">
        <v>1219</v>
      </c>
      <c r="B17" s="10" t="s">
        <v>422</v>
      </c>
      <c r="D17" s="52" t="s">
        <v>40</v>
      </c>
      <c r="E17" s="52" t="s">
        <v>542</v>
      </c>
      <c r="F17" s="7"/>
      <c r="G17" s="8"/>
      <c r="H17" s="7"/>
      <c r="I17" s="30" t="s">
        <v>288</v>
      </c>
      <c r="J17" s="7"/>
      <c r="K17" s="8"/>
      <c r="L17" s="7"/>
      <c r="M17" s="8"/>
      <c r="N17" s="7"/>
      <c r="O17" s="8"/>
      <c r="P17" s="7"/>
      <c r="Q17" s="7"/>
      <c r="R17" s="8"/>
      <c r="S17" s="7"/>
      <c r="T17" s="9"/>
      <c r="U17" s="7"/>
      <c r="V17" s="8"/>
      <c r="W17" s="7"/>
      <c r="X17" s="7"/>
      <c r="Y17" s="8"/>
      <c r="Z17" s="7"/>
      <c r="AA17" s="58"/>
      <c r="AB17" s="62" t="s">
        <v>39</v>
      </c>
      <c r="AC17" s="62" t="s">
        <v>1082</v>
      </c>
    </row>
    <row r="18" spans="1:29" ht="13.5" thickBot="1">
      <c r="A18" s="42" t="s">
        <v>1221</v>
      </c>
      <c r="B18" s="10" t="s">
        <v>1220</v>
      </c>
      <c r="D18" s="52" t="s">
        <v>718</v>
      </c>
      <c r="E18" s="52" t="s">
        <v>677</v>
      </c>
      <c r="F18" s="7"/>
      <c r="G18" s="8"/>
      <c r="H18" s="7"/>
      <c r="I18" s="30" t="s">
        <v>281</v>
      </c>
      <c r="J18" s="7"/>
      <c r="K18" s="8"/>
      <c r="L18" s="7"/>
      <c r="M18" s="8"/>
      <c r="N18" s="7"/>
      <c r="O18" s="8"/>
      <c r="P18" s="7"/>
      <c r="Q18" s="7"/>
      <c r="R18" s="8"/>
      <c r="S18" s="7"/>
      <c r="T18" s="9"/>
      <c r="U18" s="7"/>
      <c r="V18" s="8"/>
      <c r="W18" s="7"/>
      <c r="X18" s="7"/>
      <c r="Y18" s="8"/>
      <c r="Z18" s="7"/>
      <c r="AA18" s="58"/>
      <c r="AB18" s="62" t="s">
        <v>39</v>
      </c>
      <c r="AC18" s="62" t="s">
        <v>1087</v>
      </c>
    </row>
    <row r="19" spans="1:29" ht="13.5" thickBot="1">
      <c r="A19" s="42" t="s">
        <v>1223</v>
      </c>
      <c r="B19" s="469" t="s">
        <v>3038</v>
      </c>
      <c r="D19" s="52" t="s">
        <v>318</v>
      </c>
      <c r="E19" s="52" t="s">
        <v>676</v>
      </c>
      <c r="F19" s="7"/>
      <c r="G19" s="8"/>
      <c r="H19" s="7"/>
      <c r="I19" s="30" t="s">
        <v>320</v>
      </c>
      <c r="J19" s="7"/>
      <c r="K19" s="8"/>
      <c r="L19" s="7"/>
      <c r="M19" s="8"/>
      <c r="N19" s="7"/>
      <c r="O19" s="8"/>
      <c r="P19" s="7"/>
      <c r="Q19" s="7"/>
      <c r="R19" s="8"/>
      <c r="S19" s="7"/>
      <c r="T19" s="9"/>
      <c r="U19" s="7"/>
      <c r="V19" s="8"/>
      <c r="W19" s="7"/>
      <c r="X19" s="7"/>
      <c r="Y19" s="8"/>
      <c r="Z19" s="7"/>
      <c r="AA19" s="58"/>
      <c r="AB19" s="62" t="s">
        <v>39</v>
      </c>
      <c r="AC19" s="62" t="s">
        <v>1331</v>
      </c>
    </row>
    <row r="20" spans="1:29" ht="13.5" thickBot="1">
      <c r="A20" s="42" t="s">
        <v>37</v>
      </c>
      <c r="B20" s="10" t="s">
        <v>1222</v>
      </c>
      <c r="D20" s="52" t="s">
        <v>325</v>
      </c>
      <c r="E20" s="52" t="s">
        <v>653</v>
      </c>
      <c r="F20" s="7"/>
      <c r="G20" s="8"/>
      <c r="H20" s="7"/>
      <c r="I20" s="30" t="s">
        <v>329</v>
      </c>
      <c r="J20" s="7"/>
      <c r="K20" s="8"/>
      <c r="L20" s="7"/>
      <c r="M20" s="8"/>
      <c r="N20" s="7"/>
      <c r="O20" s="8"/>
      <c r="P20" s="7"/>
      <c r="Q20" s="7"/>
      <c r="R20" s="8"/>
      <c r="S20" s="7"/>
      <c r="T20" s="9"/>
      <c r="U20" s="7"/>
      <c r="V20" s="8"/>
      <c r="W20" s="7"/>
      <c r="X20" s="7"/>
      <c r="Y20" s="8"/>
      <c r="Z20" s="7"/>
      <c r="AA20" s="58"/>
      <c r="AB20" s="62" t="s">
        <v>39</v>
      </c>
      <c r="AC20" s="62" t="s">
        <v>40</v>
      </c>
    </row>
    <row r="21" spans="1:29" ht="13.5" thickBot="1">
      <c r="A21" s="42" t="s">
        <v>1225</v>
      </c>
      <c r="B21" s="10" t="s">
        <v>144</v>
      </c>
      <c r="D21" s="52" t="s">
        <v>155</v>
      </c>
      <c r="E21" s="52" t="s">
        <v>591</v>
      </c>
      <c r="F21" s="7"/>
      <c r="G21" s="8"/>
      <c r="H21" s="7"/>
      <c r="I21" s="40" t="s">
        <v>1227</v>
      </c>
      <c r="J21" s="7"/>
      <c r="K21" s="8"/>
      <c r="L21" s="7"/>
      <c r="M21" s="8"/>
      <c r="N21" s="7"/>
      <c r="O21" s="8"/>
      <c r="P21" s="7"/>
      <c r="Q21" s="7"/>
      <c r="R21" s="8"/>
      <c r="S21" s="7"/>
      <c r="T21" s="9"/>
      <c r="U21" s="7"/>
      <c r="V21" s="8"/>
      <c r="W21" s="7"/>
      <c r="X21" s="7"/>
      <c r="Y21" s="8"/>
      <c r="Z21" s="7"/>
      <c r="AA21" s="58"/>
      <c r="AB21" s="62" t="s">
        <v>39</v>
      </c>
      <c r="AC21" s="62" t="s">
        <v>155</v>
      </c>
    </row>
    <row r="22" spans="1:29" ht="13.5" thickBot="1">
      <c r="A22" s="42" t="s">
        <v>2026</v>
      </c>
      <c r="B22" s="10" t="s">
        <v>38</v>
      </c>
      <c r="D22" s="52" t="s">
        <v>160</v>
      </c>
      <c r="E22" s="52" t="s">
        <v>554</v>
      </c>
      <c r="F22" s="7"/>
      <c r="G22" s="8"/>
      <c r="H22" s="7"/>
      <c r="I22" s="40" t="s">
        <v>1229</v>
      </c>
      <c r="J22" s="7"/>
      <c r="K22" s="8"/>
      <c r="L22" s="7"/>
      <c r="M22" s="8"/>
      <c r="N22" s="7"/>
      <c r="O22" s="8"/>
      <c r="P22" s="7"/>
      <c r="Q22" s="7"/>
      <c r="R22" s="8"/>
      <c r="S22" s="7"/>
      <c r="T22" s="9"/>
      <c r="U22" s="7"/>
      <c r="V22" s="8"/>
      <c r="W22" s="7"/>
      <c r="X22" s="7"/>
      <c r="Y22" s="8"/>
      <c r="Z22" s="7"/>
      <c r="AA22" s="58"/>
      <c r="AB22" s="62" t="s">
        <v>39</v>
      </c>
      <c r="AC22" s="62" t="s">
        <v>160</v>
      </c>
    </row>
    <row r="23" spans="1:29" ht="13.5" thickBot="1">
      <c r="A23" s="42" t="s">
        <v>2276</v>
      </c>
      <c r="B23" s="10" t="s">
        <v>1226</v>
      </c>
      <c r="D23" s="52" t="s">
        <v>208</v>
      </c>
      <c r="E23" s="52" t="s">
        <v>672</v>
      </c>
      <c r="F23" s="7"/>
      <c r="G23" s="8"/>
      <c r="H23" s="7"/>
      <c r="I23" s="471" t="s">
        <v>347</v>
      </c>
      <c r="J23" s="7"/>
      <c r="K23" s="8"/>
      <c r="L23" s="7"/>
      <c r="M23" s="8"/>
      <c r="N23" s="7"/>
      <c r="O23" s="8"/>
      <c r="P23" s="7"/>
      <c r="Q23" s="7"/>
      <c r="R23" s="8"/>
      <c r="S23" s="7"/>
      <c r="T23" s="9"/>
      <c r="U23" s="7"/>
      <c r="V23" s="8"/>
      <c r="W23" s="7"/>
      <c r="X23" s="7"/>
      <c r="Y23" s="8"/>
      <c r="Z23" s="7"/>
      <c r="AA23" s="58"/>
      <c r="AB23" s="62" t="s">
        <v>39</v>
      </c>
      <c r="AC23" s="62" t="s">
        <v>208</v>
      </c>
    </row>
    <row r="24" spans="1:29" ht="13.5" thickBot="1">
      <c r="A24" s="42" t="s">
        <v>2277</v>
      </c>
      <c r="B24" s="10" t="s">
        <v>1228</v>
      </c>
      <c r="D24" s="52" t="s">
        <v>484</v>
      </c>
      <c r="E24" s="52" t="s">
        <v>633</v>
      </c>
      <c r="F24" s="7"/>
      <c r="G24" s="8"/>
      <c r="H24" s="7"/>
      <c r="I24" s="471" t="s">
        <v>717</v>
      </c>
      <c r="J24" s="7"/>
      <c r="K24" s="8"/>
      <c r="L24" s="7"/>
      <c r="M24" s="8"/>
      <c r="N24" s="7"/>
      <c r="O24" s="8"/>
      <c r="P24" s="7"/>
      <c r="Q24" s="7"/>
      <c r="R24" s="8"/>
      <c r="S24" s="7"/>
      <c r="T24" s="9"/>
      <c r="U24" s="7"/>
      <c r="V24" s="8"/>
      <c r="W24" s="7"/>
      <c r="X24" s="7"/>
      <c r="Y24" s="8"/>
      <c r="Z24" s="7"/>
      <c r="AA24" s="58"/>
      <c r="AB24" s="62" t="s">
        <v>39</v>
      </c>
      <c r="AC24" s="62" t="s">
        <v>162</v>
      </c>
    </row>
    <row r="25" spans="1:29" ht="13.5" thickBot="1">
      <c r="A25" s="42" t="s">
        <v>2448</v>
      </c>
      <c r="B25" s="10" t="s">
        <v>1230</v>
      </c>
      <c r="D25" s="52" t="s">
        <v>721</v>
      </c>
      <c r="E25" s="52" t="s">
        <v>626</v>
      </c>
      <c r="F25" s="7"/>
      <c r="G25" s="8"/>
      <c r="H25" s="7"/>
      <c r="I25" s="40" t="s">
        <v>1233</v>
      </c>
      <c r="J25" s="7"/>
      <c r="K25" s="8"/>
      <c r="L25" s="7"/>
      <c r="M25" s="8"/>
      <c r="N25" s="7"/>
      <c r="O25" s="8"/>
      <c r="P25" s="7"/>
      <c r="Q25" s="7"/>
      <c r="R25" s="8"/>
      <c r="S25" s="7"/>
      <c r="T25" s="9"/>
      <c r="U25" s="7"/>
      <c r="V25" s="8"/>
      <c r="W25" s="7"/>
      <c r="X25" s="7"/>
      <c r="Y25" s="8"/>
      <c r="Z25" s="7"/>
      <c r="AA25" s="58"/>
      <c r="AB25" s="62" t="s">
        <v>39</v>
      </c>
      <c r="AC25" s="62" t="s">
        <v>1217</v>
      </c>
    </row>
    <row r="26" spans="1:29" ht="13.5" thickBot="1">
      <c r="A26" s="42" t="s">
        <v>2449</v>
      </c>
      <c r="B26" s="10" t="s">
        <v>1231</v>
      </c>
      <c r="D26" s="52" t="s">
        <v>412</v>
      </c>
      <c r="E26" s="52" t="s">
        <v>617</v>
      </c>
      <c r="F26" s="7"/>
      <c r="G26" s="8"/>
      <c r="H26" s="7"/>
      <c r="I26" s="30" t="s">
        <v>474</v>
      </c>
      <c r="J26" s="7"/>
      <c r="K26" s="8"/>
      <c r="L26" s="7"/>
      <c r="M26" s="8"/>
      <c r="N26" s="7"/>
      <c r="O26" s="8"/>
      <c r="P26" s="7"/>
      <c r="Q26" s="7"/>
      <c r="R26" s="8"/>
      <c r="S26" s="7"/>
      <c r="T26" s="9"/>
      <c r="U26" s="7"/>
      <c r="V26" s="8"/>
      <c r="W26" s="7"/>
      <c r="X26" s="7"/>
      <c r="Y26" s="8"/>
      <c r="Z26" s="7"/>
      <c r="AA26" s="58"/>
      <c r="AB26" s="62" t="s">
        <v>39</v>
      </c>
      <c r="AC26" s="62" t="s">
        <v>176</v>
      </c>
    </row>
    <row r="27" spans="1:29" ht="13.5" thickBot="1">
      <c r="A27" s="42" t="s">
        <v>2450</v>
      </c>
      <c r="B27" s="10" t="s">
        <v>306</v>
      </c>
      <c r="D27" s="52" t="s">
        <v>162</v>
      </c>
      <c r="E27" s="52" t="s">
        <v>545</v>
      </c>
      <c r="F27" s="7"/>
      <c r="G27" s="8"/>
      <c r="H27" s="7"/>
      <c r="I27" s="30" t="s">
        <v>352</v>
      </c>
      <c r="J27" s="7"/>
      <c r="K27" s="8"/>
      <c r="L27" s="7"/>
      <c r="M27" s="8"/>
      <c r="N27" s="7"/>
      <c r="O27" s="8"/>
      <c r="P27" s="7"/>
      <c r="Q27" s="7"/>
      <c r="R27" s="8"/>
      <c r="S27" s="7"/>
      <c r="T27" s="9"/>
      <c r="U27" s="7"/>
      <c r="V27" s="8"/>
      <c r="W27" s="7"/>
      <c r="X27" s="7"/>
      <c r="Y27" s="8"/>
      <c r="Z27" s="7"/>
      <c r="AA27" s="58"/>
      <c r="AB27" s="62" t="s">
        <v>39</v>
      </c>
      <c r="AC27" s="62" t="s">
        <v>217</v>
      </c>
    </row>
    <row r="28" spans="1:29" ht="13.5" thickBot="1">
      <c r="A28" s="42" t="s">
        <v>2451</v>
      </c>
      <c r="B28" s="10" t="s">
        <v>321</v>
      </c>
      <c r="D28" s="52" t="s">
        <v>712</v>
      </c>
      <c r="E28" s="52" t="s">
        <v>593</v>
      </c>
      <c r="F28" s="7"/>
      <c r="G28" s="8"/>
      <c r="H28" s="7"/>
      <c r="I28" s="30" t="s">
        <v>309</v>
      </c>
      <c r="J28" s="7"/>
      <c r="K28" s="8"/>
      <c r="L28" s="7"/>
      <c r="M28" s="8"/>
      <c r="N28" s="7"/>
      <c r="O28" s="8"/>
      <c r="P28" s="7"/>
      <c r="Q28" s="7"/>
      <c r="R28" s="8"/>
      <c r="S28" s="7"/>
      <c r="T28" s="9"/>
      <c r="U28" s="7"/>
      <c r="V28" s="8"/>
      <c r="W28" s="7"/>
      <c r="X28" s="7"/>
      <c r="Y28" s="8"/>
      <c r="Z28" s="7"/>
      <c r="AA28" s="58"/>
      <c r="AB28" s="62" t="s">
        <v>39</v>
      </c>
      <c r="AC28" s="62" t="s">
        <v>187</v>
      </c>
    </row>
    <row r="29" spans="1:29" ht="13.5" thickBot="1">
      <c r="A29" s="42" t="s">
        <v>3261</v>
      </c>
      <c r="B29" s="10" t="s">
        <v>1234</v>
      </c>
      <c r="C29" s="65"/>
      <c r="D29" s="52" t="s">
        <v>732</v>
      </c>
      <c r="E29" s="52" t="s">
        <v>600</v>
      </c>
      <c r="F29" s="7"/>
      <c r="G29" s="8"/>
      <c r="H29" s="7"/>
      <c r="I29" s="30" t="s">
        <v>302</v>
      </c>
      <c r="J29" s="7"/>
      <c r="K29" s="8"/>
      <c r="L29" s="7"/>
      <c r="M29" s="8"/>
      <c r="N29" s="7"/>
      <c r="O29" s="8"/>
      <c r="P29" s="7"/>
      <c r="Q29" s="7"/>
      <c r="R29" s="8"/>
      <c r="S29" s="7"/>
      <c r="T29" s="9"/>
      <c r="U29" s="7"/>
      <c r="V29" s="8"/>
      <c r="W29" s="7"/>
      <c r="X29" s="7"/>
      <c r="Y29" s="8"/>
      <c r="Z29" s="7"/>
      <c r="AA29" s="58"/>
      <c r="AB29" s="62" t="s">
        <v>39</v>
      </c>
      <c r="AC29" s="62" t="s">
        <v>1148</v>
      </c>
    </row>
    <row r="30" spans="1:29" ht="13.5" thickBot="1">
      <c r="A30" s="42" t="s">
        <v>3262</v>
      </c>
      <c r="B30" s="10" t="s">
        <v>1235</v>
      </c>
      <c r="D30" s="52" t="s">
        <v>1136</v>
      </c>
      <c r="E30" s="52" t="s">
        <v>662</v>
      </c>
      <c r="F30" s="7"/>
      <c r="G30" s="8"/>
      <c r="H30" s="7"/>
      <c r="I30" s="40" t="s">
        <v>1237</v>
      </c>
      <c r="J30" s="7"/>
      <c r="K30" s="8"/>
      <c r="L30" s="7"/>
      <c r="M30" s="8"/>
      <c r="N30" s="7"/>
      <c r="O30" s="8"/>
      <c r="P30" s="7"/>
      <c r="Q30" s="7"/>
      <c r="R30" s="8"/>
      <c r="S30" s="7"/>
      <c r="T30" s="9"/>
      <c r="U30" s="7"/>
      <c r="V30" s="8"/>
      <c r="W30" s="7"/>
      <c r="X30" s="7"/>
      <c r="Y30" s="8"/>
      <c r="Z30" s="7"/>
      <c r="AA30" s="58"/>
      <c r="AB30" s="62" t="s">
        <v>39</v>
      </c>
      <c r="AC30" s="62" t="s">
        <v>1224</v>
      </c>
    </row>
    <row r="31" spans="1:29" ht="13.5" thickBot="1">
      <c r="A31" s="42" t="s">
        <v>3263</v>
      </c>
      <c r="B31" s="10" t="s">
        <v>195</v>
      </c>
      <c r="D31" s="52" t="s">
        <v>415</v>
      </c>
      <c r="E31" s="52" t="s">
        <v>663</v>
      </c>
      <c r="F31" s="7"/>
      <c r="G31" s="8"/>
      <c r="H31" s="7"/>
      <c r="I31" s="471" t="s">
        <v>247</v>
      </c>
      <c r="J31" s="7"/>
      <c r="K31" s="8"/>
      <c r="L31" s="7"/>
      <c r="M31" s="8"/>
      <c r="N31" s="7"/>
      <c r="O31" s="8"/>
      <c r="P31" s="7"/>
      <c r="Q31" s="7"/>
      <c r="R31" s="8"/>
      <c r="S31" s="7"/>
      <c r="T31" s="9"/>
      <c r="U31" s="7"/>
      <c r="V31" s="8"/>
      <c r="W31" s="7"/>
      <c r="X31" s="7"/>
      <c r="Y31" s="8"/>
      <c r="Z31" s="7"/>
      <c r="AA31" s="58"/>
      <c r="AB31" s="62" t="s">
        <v>39</v>
      </c>
      <c r="AC31" s="62" t="s">
        <v>145</v>
      </c>
    </row>
    <row r="32" spans="1:29" ht="13.5" thickBot="1">
      <c r="A32" s="42" t="s">
        <v>3264</v>
      </c>
      <c r="B32" s="10" t="s">
        <v>1236</v>
      </c>
      <c r="D32" s="52" t="s">
        <v>465</v>
      </c>
      <c r="E32" s="52" t="s">
        <v>955</v>
      </c>
      <c r="F32" s="7"/>
      <c r="G32" s="8"/>
      <c r="H32" s="7"/>
      <c r="I32" s="30" t="s">
        <v>735</v>
      </c>
      <c r="J32" s="7"/>
      <c r="K32" s="8"/>
      <c r="L32" s="7"/>
      <c r="M32" s="8"/>
      <c r="N32" s="7"/>
      <c r="O32" s="8"/>
      <c r="P32" s="7"/>
      <c r="Q32" s="7"/>
      <c r="R32" s="8"/>
      <c r="S32" s="7"/>
      <c r="T32" s="9"/>
      <c r="U32" s="7"/>
      <c r="V32" s="8"/>
      <c r="W32" s="7"/>
      <c r="X32" s="7"/>
      <c r="Y32" s="8"/>
      <c r="Z32" s="7"/>
      <c r="AA32" s="58"/>
      <c r="AB32" s="62" t="s">
        <v>2826</v>
      </c>
      <c r="AC32" s="62" t="s">
        <v>332</v>
      </c>
    </row>
    <row r="33" spans="1:29" ht="13.5" thickBot="1">
      <c r="A33" s="65"/>
      <c r="B33" s="10" t="s">
        <v>1239</v>
      </c>
      <c r="D33" s="52" t="s">
        <v>176</v>
      </c>
      <c r="E33" s="52" t="s">
        <v>544</v>
      </c>
      <c r="F33" s="7"/>
      <c r="G33" s="8"/>
      <c r="H33" s="7"/>
      <c r="I33" s="18" t="s">
        <v>300</v>
      </c>
      <c r="J33" s="7"/>
      <c r="K33" s="8"/>
      <c r="L33" s="7"/>
      <c r="M33" s="8"/>
      <c r="N33" s="7"/>
      <c r="O33" s="8"/>
      <c r="P33" s="7"/>
      <c r="Q33" s="7"/>
      <c r="R33" s="8"/>
      <c r="S33" s="7"/>
      <c r="T33" s="9"/>
      <c r="U33" s="7"/>
      <c r="V33" s="8"/>
      <c r="W33" s="7"/>
      <c r="X33" s="7"/>
      <c r="Y33" s="8"/>
      <c r="Z33" s="7"/>
      <c r="AA33" s="58"/>
      <c r="AB33" s="62" t="s">
        <v>2826</v>
      </c>
      <c r="AC33" s="62" t="s">
        <v>318</v>
      </c>
    </row>
    <row r="34" spans="1:29" ht="13.5" thickBot="1">
      <c r="A34" s="65"/>
      <c r="B34" s="10" t="s">
        <v>1240</v>
      </c>
      <c r="D34" s="52" t="s">
        <v>367</v>
      </c>
      <c r="E34" s="52" t="s">
        <v>673</v>
      </c>
      <c r="F34" s="7"/>
      <c r="G34" s="8"/>
      <c r="H34" s="7"/>
      <c r="I34" s="18" t="s">
        <v>1679</v>
      </c>
      <c r="J34" s="7"/>
      <c r="K34" s="8"/>
      <c r="L34" s="7"/>
      <c r="M34" s="8"/>
      <c r="N34" s="7"/>
      <c r="O34" s="8"/>
      <c r="P34" s="7"/>
      <c r="Q34" s="7"/>
      <c r="R34" s="8"/>
      <c r="S34" s="7"/>
      <c r="T34" s="9"/>
      <c r="U34" s="7"/>
      <c r="V34" s="8"/>
      <c r="W34" s="7"/>
      <c r="X34" s="7"/>
      <c r="Y34" s="8"/>
      <c r="Z34" s="7"/>
      <c r="AA34" s="58"/>
      <c r="AB34" s="62" t="s">
        <v>2826</v>
      </c>
      <c r="AC34" s="62" t="s">
        <v>350</v>
      </c>
    </row>
    <row r="35" spans="1:29" ht="13.5" thickBot="1">
      <c r="B35" s="10" t="s">
        <v>1948</v>
      </c>
      <c r="D35" s="52" t="s">
        <v>350</v>
      </c>
      <c r="E35" s="52" t="s">
        <v>631</v>
      </c>
      <c r="F35" s="7"/>
      <c r="G35" s="8"/>
      <c r="H35" s="7"/>
      <c r="I35" s="30" t="s">
        <v>1913</v>
      </c>
      <c r="J35" s="7"/>
      <c r="K35" s="8"/>
      <c r="L35" s="7"/>
      <c r="M35" s="8"/>
      <c r="N35" s="7"/>
      <c r="O35" s="8"/>
      <c r="P35" s="7"/>
      <c r="Q35" s="7"/>
      <c r="R35" s="8"/>
      <c r="S35" s="7"/>
      <c r="T35" s="9"/>
      <c r="U35" s="7"/>
      <c r="V35" s="8"/>
      <c r="W35" s="7"/>
      <c r="X35" s="7"/>
      <c r="Y35" s="8"/>
      <c r="Z35" s="7"/>
      <c r="AA35" s="58"/>
      <c r="AB35" s="62" t="s">
        <v>307</v>
      </c>
      <c r="AC35" s="62" t="s">
        <v>338</v>
      </c>
    </row>
    <row r="36" spans="1:29" ht="13.5" thickBot="1">
      <c r="B36" s="10" t="s">
        <v>1241</v>
      </c>
      <c r="D36" s="52" t="s">
        <v>217</v>
      </c>
      <c r="E36" s="52" t="s">
        <v>665</v>
      </c>
      <c r="F36" s="7"/>
      <c r="G36" s="8"/>
      <c r="H36" s="7"/>
      <c r="I36" s="30" t="s">
        <v>147</v>
      </c>
      <c r="J36" s="7"/>
      <c r="K36" s="8"/>
      <c r="L36" s="7"/>
      <c r="M36" s="8"/>
      <c r="N36" s="7"/>
      <c r="O36" s="8"/>
      <c r="P36" s="7"/>
      <c r="Q36" s="7"/>
      <c r="R36" s="8"/>
      <c r="S36" s="7"/>
      <c r="T36" s="9"/>
      <c r="U36" s="7"/>
      <c r="V36" s="8"/>
      <c r="W36" s="7"/>
      <c r="X36" s="7"/>
      <c r="Y36" s="8"/>
      <c r="Z36" s="7"/>
      <c r="AA36" s="58"/>
      <c r="AB36" s="62" t="s">
        <v>307</v>
      </c>
      <c r="AC36" s="62" t="s">
        <v>1232</v>
      </c>
    </row>
    <row r="37" spans="1:29" ht="13.5" thickBot="1">
      <c r="A37" s="65"/>
      <c r="B37" s="10" t="s">
        <v>382</v>
      </c>
      <c r="D37" s="52" t="s">
        <v>308</v>
      </c>
      <c r="E37" s="52" t="s">
        <v>581</v>
      </c>
      <c r="F37" s="7"/>
      <c r="G37" s="8"/>
      <c r="H37" s="7"/>
      <c r="I37" s="30" t="s">
        <v>1913</v>
      </c>
      <c r="J37" s="7"/>
      <c r="K37" s="8"/>
      <c r="L37" s="7"/>
      <c r="M37" s="8"/>
      <c r="N37" s="7"/>
      <c r="O37" s="8"/>
      <c r="P37" s="7"/>
      <c r="Q37" s="7"/>
      <c r="R37" s="8"/>
      <c r="S37" s="7"/>
      <c r="T37" s="9"/>
      <c r="U37" s="7"/>
      <c r="V37" s="8"/>
      <c r="W37" s="7"/>
      <c r="X37" s="7"/>
      <c r="Y37" s="8"/>
      <c r="Z37" s="7"/>
      <c r="AA37" s="58"/>
      <c r="AB37" s="62" t="s">
        <v>307</v>
      </c>
      <c r="AC37" s="62" t="s">
        <v>1238</v>
      </c>
    </row>
    <row r="38" spans="1:29" ht="13.5" thickBot="1">
      <c r="A38" s="65"/>
      <c r="B38" s="10" t="s">
        <v>1242</v>
      </c>
      <c r="D38" s="52" t="s">
        <v>187</v>
      </c>
      <c r="E38" s="52" t="s">
        <v>615</v>
      </c>
      <c r="F38" s="7"/>
      <c r="G38" s="8"/>
      <c r="H38" s="7"/>
      <c r="I38" s="40" t="s">
        <v>802</v>
      </c>
      <c r="J38" s="7"/>
      <c r="K38" s="8"/>
      <c r="L38" s="7"/>
      <c r="M38" s="8"/>
      <c r="N38" s="7"/>
      <c r="O38" s="8"/>
      <c r="P38" s="7"/>
      <c r="Q38" s="7"/>
      <c r="R38" s="8"/>
      <c r="S38" s="7"/>
      <c r="T38" s="9"/>
      <c r="U38" s="7"/>
      <c r="V38" s="8"/>
      <c r="W38" s="7"/>
      <c r="X38" s="7"/>
      <c r="Y38" s="8"/>
      <c r="Z38" s="7"/>
      <c r="AA38" s="58"/>
      <c r="AB38" s="62" t="s">
        <v>307</v>
      </c>
      <c r="AC38" s="62" t="s">
        <v>1243</v>
      </c>
    </row>
    <row r="39" spans="1:29" ht="13.5" thickBot="1">
      <c r="A39" s="65"/>
      <c r="B39" s="10" t="s">
        <v>312</v>
      </c>
      <c r="D39" s="52" t="s">
        <v>145</v>
      </c>
      <c r="E39" s="52" t="s">
        <v>1246</v>
      </c>
      <c r="F39" s="7"/>
      <c r="G39" s="8"/>
      <c r="H39" s="7"/>
      <c r="I39" s="471" t="s">
        <v>244</v>
      </c>
      <c r="J39" s="7"/>
      <c r="K39" s="8"/>
      <c r="L39" s="7"/>
      <c r="M39" s="8"/>
      <c r="N39" s="7"/>
      <c r="O39" s="8"/>
      <c r="P39" s="7"/>
      <c r="Q39" s="7"/>
      <c r="R39" s="8"/>
      <c r="S39" s="7"/>
      <c r="T39" s="9"/>
      <c r="U39" s="7"/>
      <c r="V39" s="8"/>
      <c r="W39" s="7"/>
      <c r="X39" s="7"/>
      <c r="Y39" s="8"/>
      <c r="Z39" s="7"/>
      <c r="AA39" s="58"/>
      <c r="AB39" s="62" t="s">
        <v>307</v>
      </c>
      <c r="AC39" s="62" t="s">
        <v>1245</v>
      </c>
    </row>
    <row r="40" spans="1:29" ht="13.5" thickBot="1">
      <c r="A40" s="65"/>
      <c r="B40" s="469" t="s">
        <v>1244</v>
      </c>
      <c r="D40" s="52"/>
      <c r="E40" s="52" t="s">
        <v>644</v>
      </c>
      <c r="F40" s="7"/>
      <c r="G40" s="8"/>
      <c r="H40" s="7"/>
      <c r="I40" s="30" t="s">
        <v>249</v>
      </c>
      <c r="J40" s="7"/>
      <c r="K40" s="8"/>
      <c r="L40" s="7"/>
      <c r="M40" s="8"/>
      <c r="N40" s="7"/>
      <c r="O40" s="8"/>
      <c r="P40" s="7"/>
      <c r="Q40" s="7"/>
      <c r="R40" s="8"/>
      <c r="S40" s="7"/>
      <c r="T40" s="9"/>
      <c r="U40" s="7"/>
      <c r="V40" s="8"/>
      <c r="W40" s="7"/>
      <c r="X40" s="7"/>
      <c r="Y40" s="8"/>
      <c r="Z40" s="7"/>
      <c r="AA40" s="58"/>
      <c r="AB40" s="62" t="s">
        <v>711</v>
      </c>
      <c r="AC40" s="62" t="s">
        <v>1247</v>
      </c>
    </row>
    <row r="41" spans="1:29" ht="13.5" thickBot="1">
      <c r="B41" s="10" t="s">
        <v>379</v>
      </c>
      <c r="D41" s="52"/>
      <c r="E41" s="52" t="s">
        <v>659</v>
      </c>
      <c r="F41" s="7"/>
      <c r="G41" s="8"/>
      <c r="H41" s="7"/>
      <c r="I41" s="30" t="s">
        <v>197</v>
      </c>
      <c r="J41" s="7"/>
      <c r="K41" s="8"/>
      <c r="L41" s="7"/>
      <c r="M41" s="8"/>
      <c r="N41" s="7"/>
      <c r="O41" s="8"/>
      <c r="P41" s="7"/>
      <c r="Q41" s="7"/>
      <c r="R41" s="8"/>
      <c r="S41" s="7"/>
      <c r="T41" s="9"/>
      <c r="U41" s="7"/>
      <c r="V41" s="8"/>
      <c r="W41" s="7"/>
      <c r="X41" s="7"/>
      <c r="Y41" s="8"/>
      <c r="Z41" s="7"/>
      <c r="AA41" s="58"/>
      <c r="AB41" s="62" t="s">
        <v>711</v>
      </c>
      <c r="AC41" s="62" t="s">
        <v>1249</v>
      </c>
    </row>
    <row r="42" spans="1:29" ht="13.5" thickBot="1">
      <c r="B42" s="10" t="s">
        <v>1248</v>
      </c>
      <c r="D42" s="52"/>
      <c r="E42" s="52" t="s">
        <v>595</v>
      </c>
      <c r="F42" s="7"/>
      <c r="G42" s="8"/>
      <c r="H42" s="7"/>
      <c r="I42" s="30" t="s">
        <v>202</v>
      </c>
      <c r="J42" s="7"/>
      <c r="K42" s="8"/>
      <c r="L42" s="7"/>
      <c r="M42" s="8"/>
      <c r="N42" s="7"/>
      <c r="O42" s="8"/>
      <c r="P42" s="7"/>
      <c r="Q42" s="7"/>
      <c r="R42" s="8"/>
      <c r="S42" s="7"/>
      <c r="T42" s="9"/>
      <c r="U42" s="7"/>
      <c r="V42" s="8"/>
      <c r="W42" s="7"/>
      <c r="X42" s="7"/>
      <c r="Y42" s="8"/>
      <c r="Z42" s="7"/>
      <c r="AA42" s="58"/>
      <c r="AB42" s="62" t="s">
        <v>711</v>
      </c>
      <c r="AC42" s="62" t="s">
        <v>1251</v>
      </c>
    </row>
    <row r="43" spans="1:29" ht="13.5" thickBot="1">
      <c r="A43" s="65"/>
      <c r="B43" s="10" t="s">
        <v>1250</v>
      </c>
      <c r="D43" s="52"/>
      <c r="E43" s="52" t="s">
        <v>557</v>
      </c>
      <c r="F43" s="7"/>
      <c r="G43" s="8"/>
      <c r="H43" s="7"/>
      <c r="I43" s="30" t="s">
        <v>211</v>
      </c>
      <c r="J43" s="7"/>
      <c r="K43" s="8"/>
      <c r="L43" s="7"/>
      <c r="M43" s="8"/>
      <c r="N43" s="7"/>
      <c r="O43" s="8"/>
      <c r="P43" s="7"/>
      <c r="Q43" s="7"/>
      <c r="R43" s="8"/>
      <c r="S43" s="7"/>
      <c r="T43" s="9"/>
      <c r="U43" s="7"/>
      <c r="V43" s="8"/>
      <c r="W43" s="7"/>
      <c r="X43" s="7"/>
      <c r="Y43" s="8"/>
      <c r="Z43" s="7"/>
      <c r="AA43" s="58"/>
      <c r="AB43" s="62" t="s">
        <v>711</v>
      </c>
      <c r="AC43" s="62" t="s">
        <v>1253</v>
      </c>
    </row>
    <row r="44" spans="1:29" ht="13.5" thickBot="1">
      <c r="B44" s="397" t="s">
        <v>2348</v>
      </c>
      <c r="D44" s="52"/>
      <c r="E44" s="52" t="s">
        <v>664</v>
      </c>
      <c r="F44" s="7"/>
      <c r="G44" s="8"/>
      <c r="H44" s="7"/>
      <c r="I44" s="30" t="s">
        <v>725</v>
      </c>
      <c r="J44" s="7"/>
      <c r="K44" s="8"/>
      <c r="L44" s="7"/>
      <c r="M44" s="8"/>
      <c r="N44" s="7"/>
      <c r="O44" s="8"/>
      <c r="P44" s="7"/>
      <c r="Q44" s="7"/>
      <c r="R44" s="8"/>
      <c r="S44" s="7"/>
      <c r="T44" s="9"/>
      <c r="U44" s="7"/>
      <c r="V44" s="8"/>
      <c r="W44" s="7"/>
      <c r="X44" s="7"/>
      <c r="Y44" s="8"/>
      <c r="Z44" s="7"/>
      <c r="AA44" s="58"/>
      <c r="AB44" s="62" t="s">
        <v>711</v>
      </c>
      <c r="AC44" s="62" t="s">
        <v>1254</v>
      </c>
    </row>
    <row r="45" spans="1:29" ht="13.5" thickBot="1">
      <c r="B45" s="397" t="s">
        <v>2824</v>
      </c>
      <c r="D45" s="52"/>
      <c r="E45" s="52" t="s">
        <v>558</v>
      </c>
      <c r="F45" s="7"/>
      <c r="G45" s="8"/>
      <c r="H45" s="7"/>
      <c r="I45" s="30" t="s">
        <v>200</v>
      </c>
      <c r="J45" s="7"/>
      <c r="K45" s="8"/>
      <c r="L45" s="7"/>
      <c r="M45" s="8"/>
      <c r="N45" s="7"/>
      <c r="O45" s="8"/>
      <c r="P45" s="7"/>
      <c r="Q45" s="7"/>
      <c r="R45" s="8"/>
      <c r="S45" s="7"/>
      <c r="T45" s="9"/>
      <c r="U45" s="7"/>
      <c r="V45" s="8"/>
      <c r="W45" s="7"/>
      <c r="X45" s="7"/>
      <c r="Y45" s="8"/>
      <c r="Z45" s="7"/>
      <c r="AA45" s="58"/>
      <c r="AB45" s="62" t="s">
        <v>711</v>
      </c>
      <c r="AC45" s="62" t="s">
        <v>730</v>
      </c>
    </row>
    <row r="46" spans="1:29" ht="13.5" thickBot="1">
      <c r="B46" s="397" t="s">
        <v>2682</v>
      </c>
      <c r="D46" s="52"/>
      <c r="E46" s="52" t="s">
        <v>954</v>
      </c>
      <c r="F46" s="7"/>
      <c r="G46" s="8"/>
      <c r="H46" s="7"/>
      <c r="I46" s="30" t="s">
        <v>215</v>
      </c>
      <c r="J46" s="7"/>
      <c r="K46" s="8"/>
      <c r="L46" s="7"/>
      <c r="M46" s="8"/>
      <c r="N46" s="7"/>
      <c r="O46" s="8"/>
      <c r="P46" s="7"/>
      <c r="Q46" s="7"/>
      <c r="R46" s="8"/>
      <c r="S46" s="7"/>
      <c r="T46" s="9"/>
      <c r="U46" s="7"/>
      <c r="V46" s="8"/>
      <c r="W46" s="7"/>
      <c r="X46" s="7"/>
      <c r="Y46" s="8"/>
      <c r="Z46" s="7"/>
      <c r="AA46" s="58"/>
      <c r="AB46" s="62" t="s">
        <v>711</v>
      </c>
      <c r="AC46" s="62" t="s">
        <v>752</v>
      </c>
    </row>
    <row r="47" spans="1:29" ht="13.5" thickBot="1">
      <c r="B47" s="10" t="s">
        <v>1252</v>
      </c>
      <c r="D47" s="52"/>
      <c r="E47" s="52" t="s">
        <v>657</v>
      </c>
      <c r="F47" s="7"/>
      <c r="G47" s="8"/>
      <c r="H47" s="7"/>
      <c r="I47" s="30" t="s">
        <v>205</v>
      </c>
      <c r="J47" s="7"/>
      <c r="K47" s="8"/>
      <c r="L47" s="7"/>
      <c r="M47" s="8"/>
      <c r="N47" s="7"/>
      <c r="O47" s="8"/>
      <c r="P47" s="7"/>
      <c r="Q47" s="7"/>
      <c r="R47" s="8"/>
      <c r="S47" s="7"/>
      <c r="T47" s="9"/>
      <c r="U47" s="7"/>
      <c r="V47" s="8"/>
      <c r="W47" s="7"/>
      <c r="X47" s="7"/>
      <c r="Y47" s="8"/>
      <c r="Z47" s="7"/>
      <c r="AA47" s="58"/>
      <c r="AB47" s="62" t="s">
        <v>711</v>
      </c>
      <c r="AC47" s="62" t="s">
        <v>1257</v>
      </c>
    </row>
    <row r="48" spans="1:29" ht="13.5" thickBot="1">
      <c r="B48" s="10" t="s">
        <v>411</v>
      </c>
      <c r="D48" s="52"/>
      <c r="E48" s="52" t="s">
        <v>931</v>
      </c>
      <c r="F48" s="7"/>
      <c r="G48" s="8"/>
      <c r="H48" s="7"/>
      <c r="I48" s="30" t="s">
        <v>729</v>
      </c>
      <c r="J48" s="7"/>
      <c r="K48" s="8"/>
      <c r="L48" s="7"/>
      <c r="M48" s="8"/>
      <c r="N48" s="7"/>
      <c r="O48" s="8"/>
      <c r="P48" s="7"/>
      <c r="Q48" s="7"/>
      <c r="R48" s="8"/>
      <c r="S48" s="7"/>
      <c r="T48" s="9"/>
      <c r="U48" s="7"/>
      <c r="V48" s="8"/>
      <c r="W48" s="7"/>
      <c r="X48" s="7"/>
      <c r="Y48" s="8"/>
      <c r="Z48" s="7"/>
      <c r="AA48" s="58"/>
      <c r="AB48" s="62" t="s">
        <v>711</v>
      </c>
      <c r="AC48" s="62" t="s">
        <v>1259</v>
      </c>
    </row>
    <row r="49" spans="2:29" ht="13.5" thickBot="1">
      <c r="B49" s="10" t="s">
        <v>300</v>
      </c>
      <c r="D49" s="52"/>
      <c r="E49" s="52" t="s">
        <v>597</v>
      </c>
      <c r="F49" s="7"/>
      <c r="G49" s="8"/>
      <c r="H49" s="7"/>
      <c r="I49" s="30" t="s">
        <v>748</v>
      </c>
      <c r="J49" s="7"/>
      <c r="K49" s="8"/>
      <c r="L49" s="7"/>
      <c r="M49" s="8"/>
      <c r="N49" s="7"/>
      <c r="O49" s="8"/>
      <c r="P49" s="7"/>
      <c r="Q49" s="7"/>
      <c r="R49" s="8"/>
      <c r="S49" s="7"/>
      <c r="T49" s="9"/>
      <c r="U49" s="7"/>
      <c r="V49" s="8"/>
      <c r="W49" s="7"/>
      <c r="X49" s="7"/>
      <c r="Y49" s="8"/>
      <c r="Z49" s="7"/>
      <c r="AA49" s="58"/>
      <c r="AB49" s="62" t="s">
        <v>711</v>
      </c>
      <c r="AC49" s="62" t="s">
        <v>1260</v>
      </c>
    </row>
    <row r="50" spans="2:29" ht="13.5" thickBot="1">
      <c r="B50" s="10" t="s">
        <v>1255</v>
      </c>
      <c r="D50" s="52"/>
      <c r="E50" s="52" t="s">
        <v>585</v>
      </c>
      <c r="F50" s="7"/>
      <c r="G50" s="8"/>
      <c r="H50" s="7"/>
      <c r="I50" s="30" t="s">
        <v>728</v>
      </c>
      <c r="J50" s="7"/>
      <c r="K50" s="8"/>
      <c r="L50" s="7"/>
      <c r="M50" s="8"/>
      <c r="N50" s="7"/>
      <c r="O50" s="8"/>
      <c r="P50" s="7"/>
      <c r="Q50" s="7"/>
      <c r="R50" s="8"/>
      <c r="S50" s="7"/>
      <c r="T50" s="9"/>
      <c r="U50" s="7"/>
      <c r="V50" s="8"/>
      <c r="W50" s="7"/>
      <c r="X50" s="7"/>
      <c r="Y50" s="8"/>
      <c r="Z50" s="7"/>
      <c r="AA50" s="58"/>
      <c r="AB50" s="62" t="s">
        <v>711</v>
      </c>
      <c r="AC50" s="62" t="s">
        <v>1261</v>
      </c>
    </row>
    <row r="51" spans="2:29" ht="13.5" thickBot="1">
      <c r="B51" s="10" t="s">
        <v>1256</v>
      </c>
      <c r="D51" s="52"/>
      <c r="E51" s="52" t="s">
        <v>546</v>
      </c>
      <c r="F51" s="7"/>
      <c r="G51" s="8"/>
      <c r="H51" s="7"/>
      <c r="I51" s="30" t="s">
        <v>221</v>
      </c>
      <c r="J51" s="7"/>
      <c r="K51" s="8"/>
      <c r="L51" s="7"/>
      <c r="M51" s="8"/>
      <c r="N51" s="7"/>
      <c r="O51" s="8"/>
      <c r="P51" s="7"/>
      <c r="Q51" s="7"/>
      <c r="R51" s="8"/>
      <c r="S51" s="7"/>
      <c r="T51" s="9"/>
      <c r="U51" s="7"/>
      <c r="V51" s="8"/>
      <c r="W51" s="7"/>
      <c r="X51" s="7"/>
      <c r="Y51" s="8"/>
      <c r="Z51" s="7"/>
      <c r="AA51" s="58"/>
      <c r="AB51" s="62" t="s">
        <v>711</v>
      </c>
      <c r="AC51" s="62" t="s">
        <v>1263</v>
      </c>
    </row>
    <row r="52" spans="2:29" ht="13.5" thickBot="1">
      <c r="B52" s="10" t="s">
        <v>1258</v>
      </c>
      <c r="C52" s="65"/>
      <c r="D52" s="52"/>
      <c r="E52" s="52" t="s">
        <v>599</v>
      </c>
      <c r="F52" s="7"/>
      <c r="G52" s="8"/>
      <c r="H52" s="7"/>
      <c r="I52" s="471" t="s">
        <v>334</v>
      </c>
      <c r="J52" s="7"/>
      <c r="K52" s="8"/>
      <c r="L52" s="7"/>
      <c r="M52" s="8"/>
      <c r="N52" s="7"/>
      <c r="O52" s="8"/>
      <c r="P52" s="7"/>
      <c r="Q52" s="7"/>
      <c r="R52" s="8"/>
      <c r="S52" s="7"/>
      <c r="T52" s="9"/>
      <c r="U52" s="7"/>
      <c r="V52" s="8"/>
      <c r="W52" s="7"/>
      <c r="X52" s="7"/>
      <c r="Y52" s="8"/>
      <c r="Z52" s="7"/>
      <c r="AA52" s="58"/>
      <c r="AB52" s="62" t="s">
        <v>711</v>
      </c>
      <c r="AC52" s="62" t="s">
        <v>715</v>
      </c>
    </row>
    <row r="53" spans="2:29" ht="14" thickTop="1" thickBot="1">
      <c r="B53" s="10" t="s">
        <v>245</v>
      </c>
      <c r="D53" s="52"/>
      <c r="E53" s="52" t="s">
        <v>668</v>
      </c>
      <c r="F53" s="7"/>
      <c r="G53" s="8"/>
      <c r="H53" s="7"/>
      <c r="I53" s="6"/>
      <c r="J53" s="7"/>
      <c r="K53" s="8"/>
      <c r="L53" s="7"/>
      <c r="M53" s="8"/>
      <c r="N53" s="7"/>
      <c r="O53" s="8"/>
      <c r="P53" s="7"/>
      <c r="Q53" s="7"/>
      <c r="R53" s="8"/>
      <c r="S53" s="7"/>
      <c r="T53" s="9"/>
      <c r="U53" s="7"/>
      <c r="V53" s="8"/>
      <c r="W53" s="7"/>
      <c r="X53" s="7"/>
      <c r="Y53" s="8"/>
      <c r="Z53" s="7"/>
      <c r="AA53" s="58"/>
      <c r="AB53" s="62" t="s">
        <v>711</v>
      </c>
      <c r="AC53" s="62" t="s">
        <v>1266</v>
      </c>
    </row>
    <row r="54" spans="2:29" ht="14" thickTop="1" thickBot="1">
      <c r="B54" s="10" t="s">
        <v>279</v>
      </c>
      <c r="D54" s="52"/>
      <c r="E54" s="52" t="s">
        <v>535</v>
      </c>
      <c r="F54" s="7"/>
      <c r="G54" s="8"/>
      <c r="H54" s="7"/>
      <c r="I54" s="6"/>
      <c r="J54" s="7"/>
      <c r="K54" s="8"/>
      <c r="L54" s="7"/>
      <c r="M54" s="8"/>
      <c r="N54" s="7"/>
      <c r="O54" s="8"/>
      <c r="P54" s="7"/>
      <c r="Q54" s="7"/>
      <c r="R54" s="8"/>
      <c r="S54" s="7"/>
      <c r="T54" s="9"/>
      <c r="U54" s="7"/>
      <c r="V54" s="8"/>
      <c r="W54" s="7"/>
      <c r="X54" s="7"/>
      <c r="Y54" s="8"/>
      <c r="Z54" s="7"/>
      <c r="AA54" s="58"/>
      <c r="AB54" s="62" t="s">
        <v>711</v>
      </c>
      <c r="AC54" s="62" t="s">
        <v>1267</v>
      </c>
    </row>
    <row r="55" spans="2:29" ht="14" thickTop="1" thickBot="1">
      <c r="B55" s="10" t="s">
        <v>1262</v>
      </c>
      <c r="D55" s="52"/>
      <c r="E55" s="52" t="s">
        <v>537</v>
      </c>
      <c r="F55" s="7"/>
      <c r="G55" s="8"/>
      <c r="H55" s="7"/>
      <c r="I55" s="6"/>
      <c r="J55" s="7"/>
      <c r="K55" s="8"/>
      <c r="L55" s="7"/>
      <c r="M55" s="8"/>
      <c r="N55" s="7"/>
      <c r="O55" s="8"/>
      <c r="P55" s="7"/>
      <c r="Q55" s="7"/>
      <c r="R55" s="8"/>
      <c r="S55" s="7"/>
      <c r="T55" s="9"/>
      <c r="U55" s="7"/>
      <c r="V55" s="8"/>
      <c r="W55" s="7"/>
      <c r="X55" s="7"/>
      <c r="Y55" s="8"/>
      <c r="Z55" s="7"/>
      <c r="AA55" s="58"/>
      <c r="AB55" s="62" t="s">
        <v>711</v>
      </c>
      <c r="AC55" s="62" t="s">
        <v>1268</v>
      </c>
    </row>
    <row r="56" spans="2:29" ht="14" thickTop="1" thickBot="1">
      <c r="B56" s="10" t="s">
        <v>1264</v>
      </c>
      <c r="D56" s="52"/>
      <c r="E56" s="52" t="s">
        <v>611</v>
      </c>
      <c r="F56" s="7"/>
      <c r="G56" s="8"/>
      <c r="H56" s="7"/>
      <c r="I56" s="6"/>
      <c r="J56" s="7"/>
      <c r="K56" s="8"/>
      <c r="L56" s="7"/>
      <c r="M56" s="8"/>
      <c r="N56" s="7"/>
      <c r="O56" s="8"/>
      <c r="P56" s="7"/>
      <c r="Q56" s="7"/>
      <c r="R56" s="8"/>
      <c r="S56" s="7"/>
      <c r="T56" s="9"/>
      <c r="U56" s="7"/>
      <c r="V56" s="8"/>
      <c r="W56" s="7"/>
      <c r="X56" s="7"/>
      <c r="Y56" s="8"/>
      <c r="Z56" s="7"/>
      <c r="AA56" s="58"/>
      <c r="AB56" s="62" t="s">
        <v>711</v>
      </c>
      <c r="AC56" s="62" t="s">
        <v>1269</v>
      </c>
    </row>
    <row r="57" spans="2:29" ht="14" thickTop="1" thickBot="1">
      <c r="B57" s="10" t="s">
        <v>244</v>
      </c>
      <c r="D57" s="52"/>
      <c r="E57" s="52" t="s">
        <v>613</v>
      </c>
      <c r="F57" s="7"/>
      <c r="G57" s="8"/>
      <c r="H57" s="7"/>
      <c r="I57" s="6"/>
      <c r="J57" s="7"/>
      <c r="K57" s="8"/>
      <c r="L57" s="7"/>
      <c r="M57" s="8"/>
      <c r="N57" s="7"/>
      <c r="O57" s="8"/>
      <c r="P57" s="7"/>
      <c r="Q57" s="7"/>
      <c r="R57" s="8"/>
      <c r="S57" s="7"/>
      <c r="T57" s="9"/>
      <c r="U57" s="7"/>
      <c r="V57" s="8"/>
      <c r="W57" s="7"/>
      <c r="X57" s="7"/>
      <c r="Y57" s="8"/>
      <c r="Z57" s="7"/>
      <c r="AA57" s="58"/>
      <c r="AB57" s="62" t="s">
        <v>711</v>
      </c>
      <c r="AC57" s="62" t="s">
        <v>1270</v>
      </c>
    </row>
    <row r="58" spans="2:29" ht="14" thickTop="1" thickBot="1">
      <c r="B58" s="469" t="s">
        <v>3021</v>
      </c>
      <c r="D58" s="52"/>
      <c r="E58" s="52" t="s">
        <v>566</v>
      </c>
      <c r="F58" s="7"/>
      <c r="G58" s="8"/>
      <c r="H58" s="7"/>
      <c r="I58" s="6"/>
      <c r="J58" s="7"/>
      <c r="K58" s="8"/>
      <c r="L58" s="7"/>
      <c r="M58" s="8"/>
      <c r="N58" s="7"/>
      <c r="O58" s="8"/>
      <c r="P58" s="7"/>
      <c r="Q58" s="7"/>
      <c r="R58" s="8"/>
      <c r="S58" s="7"/>
      <c r="T58" s="9"/>
      <c r="U58" s="7"/>
      <c r="V58" s="8"/>
      <c r="W58" s="7"/>
      <c r="X58" s="7"/>
      <c r="Y58" s="8"/>
      <c r="Z58" s="7"/>
      <c r="AA58" s="58"/>
      <c r="AB58" s="62" t="s">
        <v>711</v>
      </c>
      <c r="AC58" s="62" t="s">
        <v>1271</v>
      </c>
    </row>
    <row r="59" spans="2:29" ht="14" thickTop="1" thickBot="1">
      <c r="B59" s="469" t="s">
        <v>294</v>
      </c>
      <c r="D59" s="52"/>
      <c r="E59" s="52" t="s">
        <v>596</v>
      </c>
      <c r="F59" s="7"/>
      <c r="G59" s="8"/>
      <c r="H59" s="7"/>
      <c r="I59" s="6"/>
      <c r="J59" s="7"/>
      <c r="K59" s="8"/>
      <c r="L59" s="7"/>
      <c r="M59" s="8"/>
      <c r="N59" s="7"/>
      <c r="O59" s="8"/>
      <c r="P59" s="7"/>
      <c r="Q59" s="7"/>
      <c r="R59" s="8"/>
      <c r="S59" s="7"/>
      <c r="T59" s="9"/>
      <c r="U59" s="7"/>
      <c r="V59" s="8"/>
      <c r="W59" s="7"/>
      <c r="X59" s="7"/>
      <c r="Y59" s="8"/>
      <c r="Z59" s="7"/>
      <c r="AA59" s="58"/>
      <c r="AB59" s="62" t="s">
        <v>711</v>
      </c>
      <c r="AC59" s="62" t="s">
        <v>1272</v>
      </c>
    </row>
    <row r="60" spans="2:29" ht="14" thickTop="1" thickBot="1">
      <c r="B60" s="438" t="s">
        <v>2884</v>
      </c>
      <c r="D60" s="52"/>
      <c r="E60" s="52" t="s">
        <v>555</v>
      </c>
      <c r="F60" s="7"/>
      <c r="G60" s="8"/>
      <c r="H60" s="7"/>
      <c r="I60" s="6"/>
      <c r="J60" s="7"/>
      <c r="K60" s="8"/>
      <c r="L60" s="7"/>
      <c r="M60" s="8"/>
      <c r="N60" s="7"/>
      <c r="O60" s="8"/>
      <c r="P60" s="7"/>
      <c r="Q60" s="7"/>
      <c r="R60" s="8"/>
      <c r="S60" s="7"/>
      <c r="T60" s="9"/>
      <c r="U60" s="7"/>
      <c r="V60" s="8"/>
      <c r="W60" s="7"/>
      <c r="X60" s="7"/>
      <c r="Y60" s="8"/>
      <c r="Z60" s="7"/>
      <c r="AA60" s="58"/>
      <c r="AB60" s="62" t="s">
        <v>711</v>
      </c>
      <c r="AC60" s="62" t="s">
        <v>1273</v>
      </c>
    </row>
    <row r="61" spans="2:29" ht="14" thickTop="1" thickBot="1">
      <c r="B61" s="65" t="s">
        <v>1926</v>
      </c>
      <c r="D61" s="52"/>
      <c r="E61" s="52" t="s">
        <v>956</v>
      </c>
      <c r="F61" s="7"/>
      <c r="G61" s="8"/>
      <c r="H61" s="7"/>
      <c r="I61" s="6"/>
      <c r="J61" s="7"/>
      <c r="K61" s="8"/>
      <c r="L61" s="7"/>
      <c r="M61" s="8"/>
      <c r="N61" s="7"/>
      <c r="O61" s="8"/>
      <c r="P61" s="7"/>
      <c r="Q61" s="7"/>
      <c r="R61" s="8"/>
      <c r="S61" s="7"/>
      <c r="T61" s="9"/>
      <c r="U61" s="7"/>
      <c r="V61" s="8"/>
      <c r="W61" s="7"/>
      <c r="X61" s="7"/>
      <c r="Y61" s="8"/>
      <c r="Z61" s="7"/>
      <c r="AA61" s="58"/>
      <c r="AB61" s="62" t="s">
        <v>711</v>
      </c>
      <c r="AC61" s="62" t="s">
        <v>1274</v>
      </c>
    </row>
    <row r="62" spans="2:29" ht="14" thickTop="1" thickBot="1">
      <c r="B62" s="10"/>
      <c r="D62" s="52"/>
      <c r="E62" s="52" t="s">
        <v>590</v>
      </c>
      <c r="F62" s="7"/>
      <c r="G62" s="8"/>
      <c r="H62" s="7"/>
      <c r="I62" s="6"/>
      <c r="J62" s="7"/>
      <c r="K62" s="8"/>
      <c r="L62" s="7"/>
      <c r="M62" s="8"/>
      <c r="N62" s="7"/>
      <c r="O62" s="8"/>
      <c r="P62" s="7"/>
      <c r="Q62" s="7"/>
      <c r="R62" s="8"/>
      <c r="S62" s="7"/>
      <c r="T62" s="9"/>
      <c r="U62" s="7"/>
      <c r="V62" s="8"/>
      <c r="W62" s="7"/>
      <c r="X62" s="7"/>
      <c r="Y62" s="8"/>
      <c r="Z62" s="7"/>
      <c r="AA62" s="58"/>
      <c r="AB62" s="62" t="s">
        <v>711</v>
      </c>
      <c r="AC62" s="62" t="s">
        <v>718</v>
      </c>
    </row>
    <row r="63" spans="2:29" ht="14" thickTop="1" thickBot="1">
      <c r="B63" s="10"/>
      <c r="D63" s="52"/>
      <c r="E63" s="52" t="s">
        <v>589</v>
      </c>
      <c r="F63" s="7"/>
      <c r="G63" s="8"/>
      <c r="H63" s="7"/>
      <c r="I63" s="6"/>
      <c r="J63" s="7"/>
      <c r="K63" s="8"/>
      <c r="L63" s="7"/>
      <c r="M63" s="8"/>
      <c r="N63" s="7"/>
      <c r="O63" s="8"/>
      <c r="P63" s="7"/>
      <c r="Q63" s="7"/>
      <c r="R63" s="8"/>
      <c r="S63" s="7"/>
      <c r="T63" s="9"/>
      <c r="U63" s="7"/>
      <c r="V63" s="8"/>
      <c r="W63" s="7"/>
      <c r="X63" s="7"/>
      <c r="Y63" s="8"/>
      <c r="Z63" s="7"/>
      <c r="AA63" s="58"/>
      <c r="AB63" s="62" t="s">
        <v>711</v>
      </c>
      <c r="AC63" s="62" t="s">
        <v>1275</v>
      </c>
    </row>
    <row r="64" spans="2:29" ht="14" thickTop="1" thickBot="1">
      <c r="B64" s="10"/>
      <c r="D64" s="52"/>
      <c r="E64" s="52" t="s">
        <v>538</v>
      </c>
      <c r="F64" s="7"/>
      <c r="G64" s="8"/>
      <c r="H64" s="7"/>
      <c r="I64" s="6"/>
      <c r="J64" s="7"/>
      <c r="K64" s="8"/>
      <c r="L64" s="7"/>
      <c r="M64" s="8"/>
      <c r="N64" s="7"/>
      <c r="O64" s="8"/>
      <c r="P64" s="7"/>
      <c r="Q64" s="7"/>
      <c r="R64" s="8"/>
      <c r="S64" s="7"/>
      <c r="T64" s="9"/>
      <c r="U64" s="7"/>
      <c r="V64" s="8"/>
      <c r="W64" s="7"/>
      <c r="X64" s="7"/>
      <c r="Y64" s="8"/>
      <c r="Z64" s="7"/>
      <c r="AA64" s="58"/>
      <c r="AB64" s="62" t="s">
        <v>711</v>
      </c>
      <c r="AC64" s="62" t="s">
        <v>1276</v>
      </c>
    </row>
    <row r="65" spans="2:29" ht="14" thickTop="1" thickBot="1">
      <c r="B65" s="10"/>
      <c r="D65" s="52"/>
      <c r="E65" s="52" t="s">
        <v>543</v>
      </c>
      <c r="F65" s="7"/>
      <c r="G65" s="8"/>
      <c r="H65" s="7"/>
      <c r="I65" s="6"/>
      <c r="J65" s="7"/>
      <c r="K65" s="8"/>
      <c r="L65" s="7"/>
      <c r="M65" s="8"/>
      <c r="N65" s="7"/>
      <c r="O65" s="8"/>
      <c r="P65" s="7"/>
      <c r="Q65" s="7"/>
      <c r="R65" s="8"/>
      <c r="S65" s="7"/>
      <c r="T65" s="9"/>
      <c r="U65" s="7"/>
      <c r="V65" s="8"/>
      <c r="W65" s="7"/>
      <c r="X65" s="7"/>
      <c r="Y65" s="8"/>
      <c r="Z65" s="7"/>
      <c r="AA65" s="58"/>
      <c r="AB65" s="62" t="s">
        <v>711</v>
      </c>
      <c r="AC65" s="62" t="s">
        <v>1277</v>
      </c>
    </row>
    <row r="66" spans="2:29" ht="14" thickTop="1" thickBot="1">
      <c r="B66" s="10"/>
      <c r="D66" s="52"/>
      <c r="E66" s="52" t="s">
        <v>601</v>
      </c>
      <c r="F66" s="7"/>
      <c r="G66" s="8"/>
      <c r="H66" s="7"/>
      <c r="I66" s="6"/>
      <c r="J66" s="7"/>
      <c r="K66" s="8"/>
      <c r="L66" s="7"/>
      <c r="M66" s="8"/>
      <c r="N66" s="7"/>
      <c r="O66" s="8"/>
      <c r="P66" s="7"/>
      <c r="Q66" s="7"/>
      <c r="R66" s="8"/>
      <c r="S66" s="7"/>
      <c r="T66" s="9"/>
      <c r="U66" s="7"/>
      <c r="V66" s="8"/>
      <c r="W66" s="7"/>
      <c r="X66" s="7"/>
      <c r="Y66" s="8"/>
      <c r="Z66" s="7"/>
      <c r="AA66" s="58"/>
      <c r="AB66" s="62" t="s">
        <v>711</v>
      </c>
      <c r="AC66" s="62" t="s">
        <v>1278</v>
      </c>
    </row>
    <row r="67" spans="2:29" ht="14" thickTop="1" thickBot="1">
      <c r="B67" s="10"/>
      <c r="D67" s="52"/>
      <c r="E67" s="52" t="s">
        <v>363</v>
      </c>
      <c r="F67" s="7"/>
      <c r="G67" s="8"/>
      <c r="H67" s="7"/>
      <c r="I67" s="6"/>
      <c r="J67" s="7"/>
      <c r="K67" s="8"/>
      <c r="L67" s="7"/>
      <c r="M67" s="8"/>
      <c r="N67" s="7"/>
      <c r="O67" s="8"/>
      <c r="P67" s="7"/>
      <c r="Q67" s="7"/>
      <c r="R67" s="8"/>
      <c r="S67" s="7"/>
      <c r="T67" s="9"/>
      <c r="U67" s="7"/>
      <c r="V67" s="8"/>
      <c r="W67" s="7"/>
      <c r="X67" s="7"/>
      <c r="Y67" s="8"/>
      <c r="Z67" s="7"/>
      <c r="AA67" s="58"/>
      <c r="AB67" s="62" t="s">
        <v>711</v>
      </c>
      <c r="AC67" s="62" t="s">
        <v>721</v>
      </c>
    </row>
    <row r="68" spans="2:29" ht="14" thickTop="1" thickBot="1">
      <c r="B68" s="10"/>
      <c r="D68" s="52"/>
      <c r="E68" s="52" t="s">
        <v>583</v>
      </c>
      <c r="F68" s="7"/>
      <c r="G68" s="8"/>
      <c r="H68" s="7"/>
      <c r="I68" s="6"/>
      <c r="J68" s="7"/>
      <c r="K68" s="8"/>
      <c r="L68" s="7"/>
      <c r="M68" s="8"/>
      <c r="N68" s="7"/>
      <c r="O68" s="8"/>
      <c r="P68" s="7"/>
      <c r="Q68" s="7"/>
      <c r="R68" s="8"/>
      <c r="S68" s="7"/>
      <c r="T68" s="9"/>
      <c r="U68" s="7"/>
      <c r="V68" s="8"/>
      <c r="W68" s="7"/>
      <c r="X68" s="7"/>
      <c r="Y68" s="8"/>
      <c r="Z68" s="7"/>
      <c r="AA68" s="58"/>
      <c r="AB68" s="62" t="s">
        <v>711</v>
      </c>
      <c r="AC68" s="62" t="s">
        <v>1279</v>
      </c>
    </row>
    <row r="69" spans="2:29" ht="14" thickTop="1" thickBot="1">
      <c r="B69" s="10"/>
      <c r="D69" s="66"/>
      <c r="E69" s="52" t="s">
        <v>652</v>
      </c>
      <c r="F69" s="7"/>
      <c r="G69" s="8"/>
      <c r="H69" s="7"/>
      <c r="I69" s="6"/>
      <c r="J69" s="7"/>
      <c r="K69" s="8"/>
      <c r="L69" s="7"/>
      <c r="M69" s="8"/>
      <c r="N69" s="7"/>
      <c r="O69" s="8"/>
      <c r="P69" s="7"/>
      <c r="Q69" s="7"/>
      <c r="R69" s="8"/>
      <c r="S69" s="7"/>
      <c r="T69" s="9"/>
      <c r="U69" s="7"/>
      <c r="V69" s="8"/>
      <c r="W69" s="7"/>
      <c r="X69" s="7"/>
      <c r="Y69" s="8"/>
      <c r="Z69" s="7"/>
      <c r="AA69" s="58"/>
      <c r="AB69" s="62" t="s">
        <v>711</v>
      </c>
      <c r="AC69" s="62" t="s">
        <v>712</v>
      </c>
    </row>
    <row r="70" spans="2:29" ht="14" thickTop="1" thickBot="1">
      <c r="B70" s="10"/>
      <c r="D70" s="66"/>
      <c r="E70" s="52" t="s">
        <v>930</v>
      </c>
      <c r="F70" s="7"/>
      <c r="G70" s="8"/>
      <c r="H70" s="7"/>
      <c r="I70" s="6"/>
      <c r="J70" s="7"/>
      <c r="K70" s="8"/>
      <c r="L70" s="7"/>
      <c r="M70" s="8"/>
      <c r="N70" s="7"/>
      <c r="O70" s="8"/>
      <c r="P70" s="7"/>
      <c r="Q70" s="7"/>
      <c r="R70" s="8"/>
      <c r="S70" s="7"/>
      <c r="T70" s="9"/>
      <c r="U70" s="7"/>
      <c r="V70" s="8"/>
      <c r="W70" s="7"/>
      <c r="X70" s="7"/>
      <c r="Y70" s="8"/>
      <c r="Z70" s="7"/>
      <c r="AA70" s="58"/>
      <c r="AB70" s="62" t="s">
        <v>711</v>
      </c>
      <c r="AC70" s="62" t="s">
        <v>1280</v>
      </c>
    </row>
    <row r="71" spans="2:29" ht="14" thickTop="1" thickBot="1">
      <c r="B71" s="10"/>
      <c r="D71" s="66"/>
      <c r="E71" s="52" t="s">
        <v>680</v>
      </c>
      <c r="F71" s="7"/>
      <c r="G71" s="8"/>
      <c r="H71" s="7"/>
      <c r="I71" s="6"/>
      <c r="J71" s="7"/>
      <c r="K71" s="8"/>
      <c r="L71" s="7"/>
      <c r="M71" s="8"/>
      <c r="N71" s="7"/>
      <c r="O71" s="8"/>
      <c r="P71" s="7"/>
      <c r="Q71" s="7"/>
      <c r="R71" s="8"/>
      <c r="S71" s="7"/>
      <c r="T71" s="9"/>
      <c r="U71" s="7"/>
      <c r="V71" s="8"/>
      <c r="W71" s="7"/>
      <c r="X71" s="7"/>
      <c r="Y71" s="8"/>
      <c r="Z71" s="7"/>
      <c r="AA71" s="58"/>
      <c r="AB71" s="62" t="s">
        <v>711</v>
      </c>
      <c r="AC71" s="62" t="s">
        <v>732</v>
      </c>
    </row>
    <row r="72" spans="2:29" ht="14" thickTop="1" thickBot="1">
      <c r="B72" s="10"/>
      <c r="D72" s="66"/>
      <c r="E72" s="52" t="s">
        <v>588</v>
      </c>
      <c r="F72" s="7"/>
      <c r="G72" s="8"/>
      <c r="H72" s="7"/>
      <c r="I72" s="6"/>
      <c r="J72" s="7"/>
      <c r="K72" s="8"/>
      <c r="L72" s="7"/>
      <c r="M72" s="8"/>
      <c r="N72" s="7"/>
      <c r="O72" s="8"/>
      <c r="P72" s="7"/>
      <c r="Q72" s="7"/>
      <c r="R72" s="8"/>
      <c r="S72" s="7"/>
      <c r="T72" s="9"/>
      <c r="U72" s="7"/>
      <c r="V72" s="8"/>
      <c r="W72" s="7"/>
      <c r="X72" s="7"/>
      <c r="Y72" s="8"/>
      <c r="Z72" s="7"/>
      <c r="AA72" s="58"/>
      <c r="AB72" s="62" t="s">
        <v>711</v>
      </c>
      <c r="AC72" s="62" t="s">
        <v>1281</v>
      </c>
    </row>
    <row r="73" spans="2:29" ht="14" thickTop="1" thickBot="1">
      <c r="B73" s="10"/>
      <c r="D73" s="66"/>
      <c r="E73" s="52" t="s">
        <v>373</v>
      </c>
      <c r="F73" s="7"/>
      <c r="G73" s="8"/>
      <c r="H73" s="7"/>
      <c r="I73" s="6"/>
      <c r="J73" s="7"/>
      <c r="K73" s="8"/>
      <c r="L73" s="7"/>
      <c r="M73" s="8"/>
      <c r="N73" s="7"/>
      <c r="O73" s="8"/>
      <c r="P73" s="7"/>
      <c r="Q73" s="7"/>
      <c r="R73" s="8"/>
      <c r="S73" s="7"/>
      <c r="T73" s="9"/>
      <c r="U73" s="7"/>
      <c r="V73" s="8"/>
      <c r="W73" s="7"/>
      <c r="X73" s="7"/>
      <c r="Y73" s="8"/>
      <c r="Z73" s="7"/>
      <c r="AA73" s="58"/>
      <c r="AB73" s="62" t="s">
        <v>711</v>
      </c>
      <c r="AC73" s="62" t="s">
        <v>1282</v>
      </c>
    </row>
    <row r="74" spans="2:29" ht="14" thickTop="1" thickBot="1">
      <c r="B74" s="10"/>
      <c r="D74" s="66"/>
      <c r="E74" s="52" t="s">
        <v>375</v>
      </c>
      <c r="F74" s="7"/>
      <c r="G74" s="8"/>
      <c r="H74" s="7"/>
      <c r="I74" s="6"/>
      <c r="J74" s="7"/>
      <c r="K74" s="8"/>
      <c r="L74" s="7"/>
      <c r="M74" s="8"/>
      <c r="N74" s="7"/>
      <c r="O74" s="8"/>
      <c r="P74" s="7"/>
      <c r="Q74" s="7"/>
      <c r="R74" s="8"/>
      <c r="S74" s="7"/>
      <c r="T74" s="9"/>
      <c r="U74" s="7"/>
      <c r="V74" s="8"/>
      <c r="W74" s="7"/>
      <c r="X74" s="7"/>
      <c r="Y74" s="8"/>
      <c r="Z74" s="7"/>
      <c r="AA74" s="58"/>
      <c r="AB74" s="62" t="s">
        <v>711</v>
      </c>
      <c r="AC74" s="62" t="s">
        <v>1283</v>
      </c>
    </row>
    <row r="75" spans="2:29" ht="14" thickTop="1" thickBot="1">
      <c r="B75" s="10"/>
      <c r="D75" s="66"/>
      <c r="E75" s="52" t="s">
        <v>380</v>
      </c>
      <c r="F75" s="7"/>
      <c r="G75" s="8"/>
      <c r="H75" s="7"/>
      <c r="I75" s="6"/>
      <c r="J75" s="7"/>
      <c r="K75" s="8"/>
      <c r="L75" s="7"/>
      <c r="M75" s="8"/>
      <c r="N75" s="7"/>
      <c r="O75" s="8"/>
      <c r="P75" s="7"/>
      <c r="Q75" s="7"/>
      <c r="R75" s="8"/>
      <c r="S75" s="7"/>
      <c r="T75" s="9"/>
      <c r="U75" s="7"/>
      <c r="V75" s="8"/>
      <c r="W75" s="7"/>
      <c r="X75" s="7"/>
      <c r="Y75" s="8"/>
      <c r="Z75" s="7"/>
      <c r="AA75" s="58"/>
      <c r="AB75" s="62" t="s">
        <v>711</v>
      </c>
      <c r="AC75" s="62" t="s">
        <v>1284</v>
      </c>
    </row>
    <row r="76" spans="2:29" ht="14" thickTop="1" thickBot="1">
      <c r="B76" s="10"/>
      <c r="D76" s="66"/>
      <c r="E76" s="52" t="s">
        <v>372</v>
      </c>
      <c r="F76" s="7"/>
      <c r="G76" s="8"/>
      <c r="H76" s="7"/>
      <c r="I76" s="6"/>
      <c r="J76" s="7"/>
      <c r="K76" s="8"/>
      <c r="L76" s="7"/>
      <c r="M76" s="8"/>
      <c r="N76" s="7"/>
      <c r="O76" s="8"/>
      <c r="P76" s="7"/>
      <c r="Q76" s="7"/>
      <c r="R76" s="8"/>
      <c r="S76" s="7"/>
      <c r="T76" s="9"/>
      <c r="U76" s="7"/>
      <c r="V76" s="8"/>
      <c r="W76" s="7"/>
      <c r="X76" s="7"/>
      <c r="Y76" s="8"/>
      <c r="Z76" s="7"/>
      <c r="AA76" s="58"/>
      <c r="AB76" s="62" t="s">
        <v>711</v>
      </c>
      <c r="AC76" s="62" t="s">
        <v>1285</v>
      </c>
    </row>
    <row r="77" spans="2:29" ht="14" thickTop="1" thickBot="1">
      <c r="B77" s="10"/>
      <c r="D77" s="66"/>
      <c r="E77" s="52" t="s">
        <v>810</v>
      </c>
      <c r="F77" s="7"/>
      <c r="G77" s="8"/>
      <c r="H77" s="7"/>
      <c r="I77" s="6"/>
      <c r="J77" s="7"/>
      <c r="K77" s="8"/>
      <c r="L77" s="7"/>
      <c r="M77" s="8"/>
      <c r="N77" s="7"/>
      <c r="O77" s="8"/>
      <c r="P77" s="7"/>
      <c r="Q77" s="7"/>
      <c r="R77" s="8"/>
      <c r="S77" s="7"/>
      <c r="T77" s="9"/>
      <c r="U77" s="7"/>
      <c r="V77" s="8"/>
      <c r="W77" s="7"/>
      <c r="X77" s="7"/>
      <c r="Y77" s="8"/>
      <c r="Z77" s="7"/>
      <c r="AA77" s="58"/>
      <c r="AB77" s="62" t="s">
        <v>711</v>
      </c>
      <c r="AC77" s="62" t="s">
        <v>1286</v>
      </c>
    </row>
    <row r="78" spans="2:29" ht="14" thickTop="1" thickBot="1">
      <c r="B78" s="10"/>
      <c r="D78" s="66"/>
      <c r="E78" s="52" t="s">
        <v>809</v>
      </c>
      <c r="F78" s="7"/>
      <c r="G78" s="8"/>
      <c r="H78" s="7"/>
      <c r="I78" s="6"/>
      <c r="J78" s="7"/>
      <c r="K78" s="8"/>
      <c r="L78" s="7"/>
      <c r="M78" s="8"/>
      <c r="N78" s="7"/>
      <c r="O78" s="8"/>
      <c r="P78" s="7"/>
      <c r="Q78" s="7"/>
      <c r="R78" s="8"/>
      <c r="S78" s="7"/>
      <c r="T78" s="9"/>
      <c r="U78" s="7"/>
      <c r="V78" s="8"/>
      <c r="W78" s="7"/>
      <c r="X78" s="7"/>
      <c r="Y78" s="8"/>
      <c r="Z78" s="7"/>
      <c r="AA78" s="58"/>
      <c r="AB78" s="62" t="s">
        <v>711</v>
      </c>
      <c r="AC78" s="62" t="s">
        <v>1287</v>
      </c>
    </row>
    <row r="79" spans="2:29" ht="14" thickTop="1" thickBot="1">
      <c r="B79" s="10"/>
      <c r="D79" s="66"/>
      <c r="E79" s="52" t="s">
        <v>377</v>
      </c>
      <c r="F79" s="7"/>
      <c r="G79" s="8"/>
      <c r="H79" s="7"/>
      <c r="I79" s="6"/>
      <c r="J79" s="7"/>
      <c r="K79" s="8"/>
      <c r="L79" s="7"/>
      <c r="M79" s="8"/>
      <c r="N79" s="7"/>
      <c r="O79" s="8"/>
      <c r="P79" s="7"/>
      <c r="Q79" s="7"/>
      <c r="R79" s="8"/>
      <c r="S79" s="7"/>
      <c r="T79" s="9"/>
      <c r="U79" s="7"/>
      <c r="V79" s="8"/>
      <c r="W79" s="7"/>
      <c r="X79" s="7"/>
      <c r="Y79" s="8"/>
      <c r="Z79" s="7"/>
      <c r="AA79" s="58"/>
      <c r="AB79" s="62" t="s">
        <v>711</v>
      </c>
      <c r="AC79" s="62" t="s">
        <v>1288</v>
      </c>
    </row>
    <row r="80" spans="2:29" ht="14" thickTop="1" thickBot="1">
      <c r="B80" s="10"/>
      <c r="D80" s="66"/>
      <c r="E80" s="52" t="s">
        <v>374</v>
      </c>
      <c r="F80" s="7"/>
      <c r="G80" s="8"/>
      <c r="H80" s="7"/>
      <c r="I80" s="6"/>
      <c r="J80" s="7"/>
      <c r="K80" s="8"/>
      <c r="L80" s="7"/>
      <c r="M80" s="8"/>
      <c r="N80" s="7"/>
      <c r="O80" s="8"/>
      <c r="P80" s="7"/>
      <c r="Q80" s="7"/>
      <c r="R80" s="8"/>
      <c r="S80" s="7"/>
      <c r="T80" s="9"/>
      <c r="U80" s="7"/>
      <c r="V80" s="8"/>
      <c r="W80" s="7"/>
      <c r="X80" s="7"/>
      <c r="Y80" s="8"/>
      <c r="Z80" s="7"/>
      <c r="AA80" s="58"/>
      <c r="AB80" s="62" t="s">
        <v>711</v>
      </c>
      <c r="AC80" s="62" t="s">
        <v>1289</v>
      </c>
    </row>
    <row r="81" spans="2:29" ht="14" thickTop="1" thickBot="1">
      <c r="B81" s="10"/>
      <c r="D81" s="66"/>
      <c r="E81" s="52" t="s">
        <v>376</v>
      </c>
      <c r="F81" s="7"/>
      <c r="G81" s="8"/>
      <c r="H81" s="7"/>
      <c r="I81" s="6"/>
      <c r="J81" s="7"/>
      <c r="K81" s="8"/>
      <c r="L81" s="7"/>
      <c r="M81" s="8"/>
      <c r="N81" s="7"/>
      <c r="O81" s="8"/>
      <c r="P81" s="7"/>
      <c r="Q81" s="7"/>
      <c r="R81" s="8"/>
      <c r="S81" s="7"/>
      <c r="T81" s="9"/>
      <c r="U81" s="7"/>
      <c r="V81" s="8"/>
      <c r="W81" s="7"/>
      <c r="X81" s="7"/>
      <c r="Y81" s="8"/>
      <c r="Z81" s="7"/>
      <c r="AA81" s="58"/>
      <c r="AB81" s="62" t="s">
        <v>711</v>
      </c>
      <c r="AC81" s="62" t="s">
        <v>1290</v>
      </c>
    </row>
    <row r="82" spans="2:29" ht="14" thickTop="1" thickBot="1">
      <c r="B82" s="10"/>
      <c r="D82" s="66"/>
      <c r="E82" s="52" t="s">
        <v>378</v>
      </c>
      <c r="F82" s="7"/>
      <c r="G82" s="8"/>
      <c r="H82" s="7"/>
      <c r="I82" s="6"/>
      <c r="J82" s="7"/>
      <c r="K82" s="8"/>
      <c r="L82" s="7"/>
      <c r="M82" s="8"/>
      <c r="N82" s="7"/>
      <c r="O82" s="8"/>
      <c r="P82" s="7"/>
      <c r="Q82" s="7"/>
      <c r="R82" s="8"/>
      <c r="S82" s="7"/>
      <c r="T82" s="9"/>
      <c r="U82" s="7"/>
      <c r="V82" s="8"/>
      <c r="W82" s="7"/>
      <c r="X82" s="7"/>
      <c r="Y82" s="8"/>
      <c r="Z82" s="7"/>
      <c r="AA82" s="58"/>
      <c r="AB82" s="62" t="s">
        <v>711</v>
      </c>
      <c r="AC82" s="62" t="s">
        <v>1291</v>
      </c>
    </row>
    <row r="83" spans="2:29" ht="14" thickTop="1" thickBot="1">
      <c r="B83" s="10"/>
      <c r="D83" s="66"/>
      <c r="E83" s="52" t="s">
        <v>371</v>
      </c>
      <c r="F83" s="7"/>
      <c r="G83" s="8"/>
      <c r="H83" s="7"/>
      <c r="I83" s="6"/>
      <c r="J83" s="7"/>
      <c r="K83" s="8"/>
      <c r="L83" s="7"/>
      <c r="M83" s="8"/>
      <c r="N83" s="7"/>
      <c r="O83" s="8"/>
      <c r="P83" s="7"/>
      <c r="Q83" s="7"/>
      <c r="R83" s="8"/>
      <c r="S83" s="7"/>
      <c r="T83" s="9"/>
      <c r="U83" s="7"/>
      <c r="V83" s="8"/>
      <c r="W83" s="7"/>
      <c r="X83" s="7"/>
      <c r="Y83" s="8"/>
      <c r="Z83" s="7"/>
      <c r="AA83" s="58"/>
      <c r="AB83" s="64" t="s">
        <v>711</v>
      </c>
      <c r="AC83" s="64" t="s">
        <v>1292</v>
      </c>
    </row>
    <row r="84" spans="2:29" ht="14" thickTop="1" thickBot="1">
      <c r="B84" s="10"/>
      <c r="D84" s="66"/>
      <c r="E84" s="52" t="s">
        <v>958</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6"/>
      <c r="E85" s="52" t="s">
        <v>957</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6"/>
      <c r="E86" s="52" t="s">
        <v>579</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6"/>
      <c r="E87" s="52" t="s">
        <v>565</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6"/>
      <c r="E88" s="52" t="s">
        <v>569</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6"/>
      <c r="E89" s="52" t="s">
        <v>620</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6"/>
      <c r="E90" s="52" t="s">
        <v>937</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6"/>
      <c r="E91" s="52" t="s">
        <v>658</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6"/>
      <c r="E92" s="52" t="s">
        <v>929</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6"/>
      <c r="E93" s="52" t="s">
        <v>623</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6"/>
      <c r="E94" s="52" t="s">
        <v>953</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6"/>
      <c r="E95" s="52" t="s">
        <v>1143</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6"/>
      <c r="E96" s="52" t="s">
        <v>606</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6"/>
      <c r="E97" s="52" t="s">
        <v>608</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6"/>
      <c r="E98" s="52" t="s">
        <v>959</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6"/>
      <c r="E99" s="52" t="s">
        <v>627</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6"/>
      <c r="E100" s="52" t="s">
        <v>963</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6"/>
      <c r="E101" s="52" t="s">
        <v>941</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6"/>
      <c r="E102" s="52" t="s">
        <v>805</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6"/>
      <c r="E103" s="52" t="s">
        <v>586</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6"/>
      <c r="E104" s="52" t="s">
        <v>582</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6"/>
      <c r="E105" s="52" t="s">
        <v>945</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6"/>
      <c r="E106" s="52" t="s">
        <v>319</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6"/>
      <c r="E107" s="52" t="s">
        <v>1293</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6"/>
      <c r="E108" s="52" t="s">
        <v>944</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6"/>
      <c r="E109" s="52" t="s">
        <v>322</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6"/>
      <c r="E110" s="52" t="s">
        <v>1100</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6"/>
      <c r="E111" s="52" t="s">
        <v>965</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6"/>
      <c r="E112" s="52" t="s">
        <v>681</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6"/>
      <c r="E113" s="52" t="s">
        <v>578</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6"/>
      <c r="E114" s="52" t="s">
        <v>328</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6"/>
      <c r="E115" s="52" t="s">
        <v>330</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6"/>
      <c r="E116" s="52" t="s">
        <v>571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6"/>
      <c r="E117" s="52" t="s">
        <v>692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6"/>
      <c r="E118" s="52" t="s">
        <v>939</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6"/>
      <c r="E119" s="52" t="s">
        <v>642</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6"/>
      <c r="E120" s="52" t="s">
        <v>638</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6"/>
      <c r="E121" s="52" t="s">
        <v>634</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6"/>
      <c r="E122" s="52" t="s">
        <v>616</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6"/>
      <c r="E123" s="52" t="s">
        <v>943</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6"/>
      <c r="E124" s="52" t="s">
        <v>687</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6"/>
      <c r="E125" s="52" t="s">
        <v>693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6"/>
      <c r="E126" s="52" t="s">
        <v>505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6"/>
      <c r="E127" s="52" t="s">
        <v>529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6"/>
      <c r="E128" s="52" t="s">
        <v>689</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6"/>
      <c r="E129" s="52" t="s">
        <v>577</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6"/>
      <c r="E130" s="52" t="s">
        <v>688</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6"/>
      <c r="E131" s="52" t="s">
        <v>336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6"/>
      <c r="E132" s="52" t="s">
        <v>610</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6"/>
      <c r="E133" s="52" t="s">
        <v>947</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6"/>
      <c r="E134" s="52" t="s">
        <v>1126</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6"/>
      <c r="E135" s="52" t="s">
        <v>1128</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6"/>
      <c r="E136" s="52" t="s">
        <v>1127</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6"/>
      <c r="E137" s="52" t="s">
        <v>1294</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6"/>
      <c r="E138" s="52" t="s">
        <v>344</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6"/>
      <c r="E139" s="52" t="s">
        <v>345</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6"/>
      <c r="E140" s="52" t="s">
        <v>530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6"/>
      <c r="E141" s="52" t="s">
        <v>607</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6"/>
      <c r="E142" s="52" t="s">
        <v>348</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6"/>
      <c r="E143" s="52" t="s">
        <v>612</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6"/>
      <c r="E144" s="52" t="s">
        <v>307</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6"/>
      <c r="E145" s="52" t="s">
        <v>353</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6"/>
      <c r="E146" s="52" t="s">
        <v>355</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6"/>
      <c r="E147" s="52" t="s">
        <v>684</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6"/>
      <c r="E148" s="52" t="s">
        <v>575</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6"/>
      <c r="E149" s="52" t="s">
        <v>357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6"/>
      <c r="E150" s="52" t="s">
        <v>603</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6"/>
      <c r="E151" s="52" t="s">
        <v>950</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6"/>
      <c r="E152" s="52" t="s">
        <v>966</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6"/>
      <c r="E153" s="52" t="s">
        <v>967</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6"/>
      <c r="E154" s="52" t="s">
        <v>968</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6"/>
      <c r="E155" s="52" t="s">
        <v>358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6"/>
      <c r="E156" s="52" t="s">
        <v>360</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6"/>
      <c r="E157" s="52" t="s">
        <v>364</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6"/>
      <c r="E158" s="52" t="s">
        <v>1159</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6"/>
      <c r="E159" s="52" t="s">
        <v>695</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6"/>
      <c r="E160" s="52" t="s">
        <v>946</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6"/>
      <c r="E161" s="52" t="s">
        <v>951</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6"/>
      <c r="E162" s="52" t="s">
        <v>365</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6"/>
      <c r="E163" s="52" t="s">
        <v>366</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6"/>
      <c r="E164" s="52" t="s">
        <v>576</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6"/>
      <c r="E165" s="52" t="s">
        <v>934</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6"/>
      <c r="E166" s="52" t="s">
        <v>921</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6"/>
      <c r="E167" s="52" t="s">
        <v>825</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6"/>
      <c r="E168" s="52" t="s">
        <v>826</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6"/>
      <c r="E169" s="52" t="s">
        <v>828</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6"/>
      <c r="E170" s="52" t="s">
        <v>843</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6"/>
      <c r="E171" s="52" t="s">
        <v>841</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6"/>
      <c r="E172" s="52" t="s">
        <v>414</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6"/>
      <c r="E173" s="52" t="s">
        <v>857</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6"/>
      <c r="E174" s="52" t="s">
        <v>824</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6"/>
      <c r="E175" s="52" t="s">
        <v>827</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6"/>
      <c r="E176" s="52" t="s">
        <v>829</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6"/>
      <c r="E177" s="52" t="s">
        <v>413</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6"/>
      <c r="E178" s="52" t="s">
        <v>834</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6"/>
      <c r="E179" s="52" t="s">
        <v>847</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6"/>
      <c r="E180" s="52" t="s">
        <v>842</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6"/>
      <c r="E181" s="52" t="s">
        <v>846</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6"/>
      <c r="E182" s="52" t="s">
        <v>870</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6"/>
      <c r="E183" s="52" t="s">
        <v>423</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6"/>
      <c r="E184" s="52" t="s">
        <v>419</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6"/>
      <c r="E185" s="52" t="s">
        <v>420</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6"/>
      <c r="E186" s="52" t="s">
        <v>837</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6"/>
      <c r="E187" s="52" t="s">
        <v>421</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6"/>
      <c r="E188" s="52" t="s">
        <v>418</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6"/>
      <c r="E189" s="52" t="s">
        <v>417</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6"/>
      <c r="E190" s="52" t="s">
        <v>416</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6"/>
      <c r="E191" s="52" t="s">
        <v>910</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6"/>
      <c r="E192" s="52" t="s">
        <v>925</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6"/>
      <c r="E193" s="52" t="s">
        <v>894</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6"/>
      <c r="E194" s="52" t="s">
        <v>927</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6"/>
      <c r="E195" s="52" t="s">
        <v>528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6"/>
      <c r="E196" s="52" t="s">
        <v>891</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6"/>
      <c r="E197" s="52" t="s">
        <v>494</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6"/>
      <c r="E198" s="52" t="s">
        <v>890</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6"/>
      <c r="E199" s="52" t="s">
        <v>928</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6"/>
      <c r="E200" s="52" t="s">
        <v>520</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6"/>
      <c r="E201" s="52" t="s">
        <v>889</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6"/>
      <c r="E202" s="52" t="s">
        <v>466</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6"/>
      <c r="E203" s="52" t="s">
        <v>469</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6"/>
      <c r="E204" s="52" t="s">
        <v>500</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6"/>
      <c r="E205" s="52" t="s">
        <v>472</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6"/>
      <c r="E206" s="52" t="s">
        <v>499</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6"/>
      <c r="E207" s="52" t="s">
        <v>513</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6"/>
      <c r="E208" s="52" t="s">
        <v>481</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6"/>
      <c r="E209" s="52" t="s">
        <v>369</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6"/>
      <c r="E210" s="52" t="s">
        <v>508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6"/>
      <c r="E211" s="52" t="s">
        <v>514</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6"/>
      <c r="E212" s="52" t="s">
        <v>479</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6"/>
      <c r="E213" s="52" t="s">
        <v>916</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6"/>
      <c r="E214" s="52" t="s">
        <v>1101</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6"/>
      <c r="E215" s="52" t="s">
        <v>507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6"/>
      <c r="E216" s="52" t="s">
        <v>480</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6"/>
      <c r="E217" s="52" t="s">
        <v>516</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6"/>
      <c r="E218" s="52" t="s">
        <v>515</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6"/>
      <c r="E219" s="52" t="s">
        <v>922</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6"/>
      <c r="E220" s="52" t="s">
        <v>482</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6"/>
      <c r="E221" s="52" t="s">
        <v>915</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6"/>
      <c r="E222" s="52" t="s">
        <v>517</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6"/>
      <c r="E223" s="52" t="s">
        <v>501</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6"/>
      <c r="E224" s="52" t="s">
        <v>510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6"/>
      <c r="E225" s="52" t="s">
        <v>893</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6"/>
      <c r="E226" s="52" t="s">
        <v>488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6"/>
      <c r="E227" s="52" t="s">
        <v>920</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6"/>
      <c r="E228" s="52" t="s">
        <v>502</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6"/>
      <c r="E229" s="52" t="s">
        <v>506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6"/>
      <c r="E230" s="52" t="s">
        <v>534</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6"/>
      <c r="E231" s="52" t="s">
        <v>519</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6"/>
      <c r="E232" s="52" t="s">
        <v>923</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6"/>
      <c r="E233" s="52" t="s">
        <v>896</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6"/>
      <c r="E234" s="52" t="s">
        <v>504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6"/>
      <c r="E235" s="52" t="s">
        <v>509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6"/>
      <c r="E236" s="52" t="s">
        <v>461</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6"/>
      <c r="E237" s="52" t="s">
        <v>462</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6"/>
      <c r="E238" s="52" t="s">
        <v>426</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6"/>
      <c r="E239" s="52" t="s">
        <v>849</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6"/>
      <c r="E240" s="52" t="s">
        <v>874</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6"/>
      <c r="E241" s="52" t="s">
        <v>1102</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6"/>
      <c r="E242" s="52" t="s">
        <v>437</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6"/>
      <c r="E243" s="52" t="s">
        <v>311</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6"/>
      <c r="E244" s="52" t="s">
        <v>456</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6"/>
      <c r="E245" s="52" t="s">
        <v>873</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6"/>
      <c r="E246" s="52" t="s">
        <v>875</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6"/>
      <c r="E247" s="52" t="s">
        <v>463</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6"/>
      <c r="E248" s="52" t="s">
        <v>878</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6"/>
      <c r="E249" s="52" t="s">
        <v>460</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6"/>
      <c r="E250" s="52" t="s">
        <v>458</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6"/>
      <c r="E251" s="52" t="s">
        <v>455</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6"/>
      <c r="E252" s="52" t="s">
        <v>454</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6"/>
      <c r="E253" s="52" t="s">
        <v>449</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6"/>
      <c r="E254" s="52" t="s">
        <v>879</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6"/>
      <c r="E255" s="52" t="s">
        <v>877</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6"/>
      <c r="E256" s="52" t="s">
        <v>854</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6"/>
      <c r="E257" s="52" t="s">
        <v>848</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6"/>
      <c r="E258" s="52" t="s">
        <v>850</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6"/>
      <c r="E259" s="52" t="s">
        <v>851</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6"/>
      <c r="E260" s="52" t="s">
        <v>882</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6"/>
      <c r="E261" s="52" t="s">
        <v>852</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6"/>
      <c r="E262" s="52" t="s">
        <v>853</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6"/>
      <c r="E263" s="52" t="s">
        <v>431</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6"/>
      <c r="E264" s="52" t="s">
        <v>452</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6"/>
      <c r="E265" s="52" t="s">
        <v>446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6"/>
      <c r="E266" s="52" t="s">
        <v>429</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6"/>
      <c r="E267" s="52" t="s">
        <v>433</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6"/>
      <c r="E268" s="52" t="s">
        <v>865</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6"/>
      <c r="E269" s="52" t="s">
        <v>872</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6"/>
      <c r="E270" s="52" t="s">
        <v>1295</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6"/>
      <c r="E271" s="52" t="s">
        <v>451</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6"/>
      <c r="E272" s="52" t="s">
        <v>1095</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6"/>
      <c r="E273" s="52" t="s">
        <v>1296</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6"/>
      <c r="E274" s="52" t="s">
        <v>199</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6"/>
      <c r="E275" s="52" t="s">
        <v>1103</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6"/>
      <c r="E276" s="52" t="s">
        <v>203</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6"/>
      <c r="E277" s="52" t="s">
        <v>204</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6"/>
      <c r="E278" s="52" t="s">
        <v>206</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6"/>
      <c r="E279" s="52" t="s">
        <v>1297</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6"/>
      <c r="E280" s="52" t="s">
        <v>1298</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6"/>
      <c r="E281" s="52" t="s">
        <v>1020</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6"/>
      <c r="E282" s="52" t="s">
        <v>207</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6"/>
      <c r="E283" s="52" t="s">
        <v>1107</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6"/>
      <c r="E284" s="52" t="s">
        <v>248</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6"/>
      <c r="E285" s="52" t="s">
        <v>150</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6"/>
      <c r="E286" s="52" t="s">
        <v>250</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6"/>
      <c r="E287" s="52" t="s">
        <v>228</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6"/>
      <c r="E288" s="52" t="s">
        <v>1066</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6"/>
      <c r="E289" s="52" t="s">
        <v>1067</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6"/>
      <c r="E290" s="52" t="s">
        <v>233</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6"/>
      <c r="E291" s="52" t="s">
        <v>251</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6"/>
      <c r="E292" s="52" t="s">
        <v>252</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6"/>
      <c r="E293" s="52" t="s">
        <v>253</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6"/>
      <c r="E294" s="52" t="s">
        <v>1073</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6"/>
      <c r="E295" s="52" t="s">
        <v>254</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6"/>
      <c r="E296" s="52" t="s">
        <v>255</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6"/>
      <c r="E297" s="52" t="s">
        <v>152</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6"/>
      <c r="E298" s="52" t="s">
        <v>256</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6"/>
      <c r="E299" s="52" t="s">
        <v>257</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6"/>
      <c r="E300" s="52" t="s">
        <v>1074</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6"/>
      <c r="E301" s="52" t="s">
        <v>258</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6"/>
      <c r="E302" s="52" t="s">
        <v>259</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6"/>
      <c r="E303" s="52" t="s">
        <v>260</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6"/>
      <c r="E304" s="52" t="s">
        <v>261</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6"/>
      <c r="E305" s="52" t="s">
        <v>234</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6"/>
      <c r="E306" s="52" t="s">
        <v>262</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6"/>
      <c r="E307" s="52" t="s">
        <v>263</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6"/>
      <c r="E308" s="52" t="s">
        <v>264</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6"/>
      <c r="E309" s="52" t="s">
        <v>265</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6"/>
      <c r="E310" s="52" t="s">
        <v>731</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6"/>
      <c r="E311" s="52" t="s">
        <v>754</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6"/>
      <c r="E312" s="52" t="s">
        <v>1081</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6"/>
      <c r="E313" s="52" t="s">
        <v>736</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6"/>
      <c r="E314" s="52" t="s">
        <v>1113</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6"/>
      <c r="E315" s="52" t="s">
        <v>737</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6"/>
      <c r="E316" s="52" t="s">
        <v>716</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6"/>
      <c r="E317" s="52" t="s">
        <v>745</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6"/>
      <c r="E318" s="52" t="s">
        <v>978</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6"/>
      <c r="E319" s="52" t="s">
        <v>981</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6"/>
      <c r="E320" s="52" t="s">
        <v>727</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6"/>
      <c r="E321" s="52" t="s">
        <v>1130</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6"/>
      <c r="E322" s="52" t="s">
        <v>1299</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6"/>
      <c r="E323" s="52" t="s">
        <v>734</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6"/>
      <c r="E324" s="52" t="s">
        <v>1300</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6"/>
      <c r="E325" s="52" t="s">
        <v>998</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6"/>
      <c r="E326" s="52" t="s">
        <v>1105</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6"/>
      <c r="E327" s="52" t="s">
        <v>987</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6"/>
      <c r="E328" s="52" t="s">
        <v>1301</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6"/>
      <c r="E329" s="52" t="s">
        <v>1302</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6"/>
      <c r="E330" s="52" t="s">
        <v>41</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6"/>
      <c r="E331" s="52" t="s">
        <v>1303</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6"/>
      <c r="E332" s="52" t="s">
        <v>1304</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6"/>
      <c r="E333" s="52" t="s">
        <v>1124</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6"/>
      <c r="E334" s="52" t="s">
        <v>986</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6"/>
      <c r="E335" s="52" t="s">
        <v>1305</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6"/>
      <c r="E336" s="52" t="s">
        <v>1006</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6"/>
      <c r="E337" s="52" t="s">
        <v>988</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6"/>
      <c r="E338" s="52" t="s">
        <v>744</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6"/>
      <c r="E339" s="52" t="s">
        <v>719</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6"/>
      <c r="E340" s="52" t="s">
        <v>156</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6"/>
      <c r="E341" s="52" t="s">
        <v>243</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6"/>
      <c r="E342" s="52" t="s">
        <v>157</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6"/>
      <c r="E343" s="52" t="s">
        <v>158</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6"/>
      <c r="E344" s="52" t="s">
        <v>159</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6"/>
      <c r="E345" s="52" t="s">
        <v>1051</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6"/>
      <c r="E346" s="52" t="s">
        <v>1043</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6"/>
      <c r="E347" s="52" t="s">
        <v>1039</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6"/>
      <c r="E348" s="52" t="s">
        <v>1306</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6"/>
      <c r="E349" s="52" t="s">
        <v>242</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6"/>
      <c r="E350" s="52" t="s">
        <v>209</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6"/>
      <c r="E351" s="52" t="s">
        <v>1030</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6"/>
      <c r="E352" s="52" t="s">
        <v>235</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6"/>
      <c r="E353" s="52" t="s">
        <v>220</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6"/>
      <c r="E354" s="52" t="s">
        <v>293</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6"/>
      <c r="E355" s="52" t="s">
        <v>210</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6"/>
      <c r="E356" s="52" t="s">
        <v>212</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6"/>
      <c r="E357" s="52" t="s">
        <v>1021</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6"/>
      <c r="E358" s="52" t="s">
        <v>284</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6"/>
      <c r="E359" s="52" t="s">
        <v>285</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6"/>
      <c r="E360" s="52" t="s">
        <v>1307</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6"/>
      <c r="E361" s="52" t="s">
        <v>1117</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6"/>
      <c r="E362" s="52" t="s">
        <v>1119</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6"/>
      <c r="E363" s="52" t="s">
        <v>1121</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6"/>
      <c r="E364" s="52" t="s">
        <v>1308</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6"/>
      <c r="E365" s="52" t="s">
        <v>1122</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6"/>
      <c r="E366" s="52" t="s">
        <v>1309</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6"/>
      <c r="E367" s="52" t="s">
        <v>1027</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6"/>
      <c r="E368" s="52" t="s">
        <v>213</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6"/>
      <c r="E369" s="52" t="s">
        <v>290</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6"/>
      <c r="E370" s="52" t="s">
        <v>1025</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6"/>
      <c r="E371" s="52" t="s">
        <v>214</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6"/>
      <c r="E372" s="52" t="s">
        <v>216</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6"/>
      <c r="E373" s="52" t="s">
        <v>1014</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6"/>
      <c r="E374" s="52" t="s">
        <v>1023</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6"/>
      <c r="E375" s="52" t="s">
        <v>298</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6"/>
      <c r="E376" s="52" t="s">
        <v>1016</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6"/>
      <c r="E377" s="52" t="s">
        <v>1310</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6"/>
      <c r="E378" s="52" t="s">
        <v>1137</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6"/>
      <c r="E379" s="52" t="s">
        <v>1138</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6"/>
      <c r="E380" s="52" t="s">
        <v>1139</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6"/>
      <c r="E381" s="52" t="s">
        <v>1140</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6"/>
      <c r="E382" s="52" t="s">
        <v>1141</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6"/>
      <c r="E383" s="52" t="s">
        <v>1142</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6"/>
      <c r="E384" s="52" t="s">
        <v>1032</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6"/>
      <c r="E385" s="52" t="s">
        <v>1029</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6"/>
      <c r="E386" s="52" t="s">
        <v>755</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6"/>
      <c r="E387" s="52" t="s">
        <v>1003</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6"/>
      <c r="E388" s="52" t="s">
        <v>1001</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6"/>
      <c r="E389" s="52" t="s">
        <v>999</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6"/>
      <c r="E390" s="52" t="s">
        <v>1000</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6"/>
      <c r="E391" s="52" t="s">
        <v>1311</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6"/>
      <c r="E392" s="52" t="s">
        <v>1063</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6"/>
      <c r="E393" s="52" t="s">
        <v>1061</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6"/>
      <c r="E394" s="52" t="s">
        <v>1062</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6"/>
      <c r="E395" s="52" t="s">
        <v>164</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6"/>
      <c r="E396" s="52" t="s">
        <v>236</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6"/>
      <c r="E397" s="52" t="s">
        <v>165</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6"/>
      <c r="E398" s="52" t="s">
        <v>166</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6"/>
      <c r="E399" s="52" t="s">
        <v>167</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6"/>
      <c r="E400" s="52" t="s">
        <v>168</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6"/>
      <c r="E401" s="52" t="s">
        <v>169</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6"/>
      <c r="E402" s="52" t="s">
        <v>266</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6"/>
      <c r="E403" s="52" t="s">
        <v>267</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6"/>
      <c r="E404" s="52" t="s">
        <v>237</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6"/>
      <c r="E405" s="52" t="s">
        <v>170</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6"/>
      <c r="E406" s="52" t="s">
        <v>238</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6"/>
      <c r="E407" s="52" t="s">
        <v>171</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6"/>
      <c r="E408" s="52" t="s">
        <v>268</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6"/>
      <c r="E409" s="52" t="s">
        <v>172</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6"/>
      <c r="E410" s="52" t="s">
        <v>1153</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6"/>
      <c r="E411" s="52" t="s">
        <v>173</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6"/>
      <c r="E412" s="52" t="s">
        <v>270</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6"/>
      <c r="E413" s="52" t="s">
        <v>174</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6"/>
      <c r="E414" s="52" t="s">
        <v>175</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6"/>
      <c r="E415" s="52" t="s">
        <v>1056</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6"/>
      <c r="E416" s="52" t="s">
        <v>989</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6"/>
      <c r="E417" s="52" t="s">
        <v>990</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6"/>
      <c r="E418" s="52" t="s">
        <v>723</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6"/>
      <c r="E419" s="52" t="s">
        <v>759</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6"/>
      <c r="E420" s="52" t="s">
        <v>713</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6"/>
      <c r="E421" s="52" t="s">
        <v>974</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6"/>
      <c r="E422" s="52" t="s">
        <v>1312</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6"/>
      <c r="E423" s="52" t="s">
        <v>1109</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6"/>
      <c r="E424" s="52" t="s">
        <v>177</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6"/>
      <c r="E425" s="52" t="s">
        <v>1134</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6"/>
      <c r="E426" s="52" t="s">
        <v>780</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6"/>
      <c r="E427" s="52" t="s">
        <v>218</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6"/>
      <c r="E428" s="52" t="s">
        <v>219</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6"/>
      <c r="E429" s="52" t="s">
        <v>1147</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6"/>
      <c r="E430" s="52" t="s">
        <v>1080</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6"/>
      <c r="E431" s="52" t="s">
        <v>1133</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6"/>
      <c r="E432" s="52" t="s">
        <v>239</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6"/>
      <c r="E433" s="52" t="s">
        <v>222</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6"/>
      <c r="E434" s="52" t="s">
        <v>223</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6"/>
      <c r="E435" s="52" t="s">
        <v>271</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6"/>
      <c r="E436" s="52" t="s">
        <v>178</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6"/>
      <c r="E437" s="52" t="s">
        <v>179</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6"/>
      <c r="E438" s="52" t="s">
        <v>180</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6"/>
      <c r="E439" s="52" t="s">
        <v>272</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6"/>
      <c r="E440" s="52" t="s">
        <v>240</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6"/>
      <c r="E441" s="52" t="s">
        <v>181</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6"/>
      <c r="E442" s="52" t="s">
        <v>182</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6"/>
      <c r="E443" s="52" t="s">
        <v>273</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6"/>
      <c r="E444" s="52" t="s">
        <v>1042</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6"/>
      <c r="E445" s="52" t="s">
        <v>241</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6"/>
      <c r="E446" s="52" t="s">
        <v>274</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6"/>
      <c r="E447" s="52" t="s">
        <v>184</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6"/>
      <c r="E448" s="52" t="s">
        <v>275</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6"/>
      <c r="E449" s="52" t="s">
        <v>276</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6"/>
      <c r="E450" s="52" t="s">
        <v>185</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6"/>
      <c r="E451" s="52" t="s">
        <v>277</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6"/>
      <c r="E452" s="52" t="s">
        <v>278</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6"/>
      <c r="E453" s="52" t="s">
        <v>1054</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6"/>
      <c r="E454" s="52" t="s">
        <v>224</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6"/>
      <c r="E455" s="52" t="s">
        <v>1313</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6"/>
      <c r="E456" s="52" t="s">
        <v>226</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6"/>
      <c r="E457" s="52" t="s">
        <v>1047</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xmlns:xlrd2="http://schemas.microsoft.com/office/spreadsheetml/2017/richdata2" ref="B4:B60">
    <sortCondition ref="B3"/>
  </sortState>
  <phoneticPr fontId="147"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1:N94"/>
  <sheetViews>
    <sheetView workbookViewId="0">
      <selection activeCell="N6" sqref="N6:N38"/>
    </sheetView>
  </sheetViews>
  <sheetFormatPr defaultRowHeight="15.5"/>
  <cols>
    <col min="1" max="1" width="25.58203125" customWidth="1"/>
    <col min="2" max="2" width="39.58203125" bestFit="1" customWidth="1"/>
    <col min="3" max="3" width="27.75" bestFit="1" customWidth="1"/>
    <col min="4" max="4" width="4.08203125" bestFit="1" customWidth="1"/>
    <col min="5" max="5" width="10.1640625" bestFit="1" customWidth="1"/>
    <col min="6" max="6" width="13.1640625" bestFit="1" customWidth="1"/>
    <col min="7" max="7" width="11.1640625" bestFit="1" customWidth="1"/>
    <col min="8" max="8" width="13" bestFit="1" customWidth="1"/>
    <col min="9" max="9" width="12.1640625" bestFit="1" customWidth="1"/>
    <col min="10" max="10" width="6.08203125" bestFit="1" customWidth="1"/>
    <col min="11" max="11" width="4.08203125" bestFit="1" customWidth="1"/>
    <col min="12" max="12" width="10.1640625" bestFit="1" customWidth="1"/>
    <col min="13" max="14" width="25" bestFit="1" customWidth="1"/>
  </cols>
  <sheetData>
    <row r="1" spans="1:14">
      <c r="A1" s="475" t="s">
        <v>20</v>
      </c>
      <c r="B1" s="468" t="s">
        <v>3262</v>
      </c>
    </row>
    <row r="2" spans="1:14">
      <c r="A2" s="475" t="s">
        <v>35</v>
      </c>
      <c r="B2" s="468" t="s">
        <v>35</v>
      </c>
      <c r="C2" s="468"/>
      <c r="D2" s="468"/>
      <c r="E2" s="468"/>
    </row>
    <row r="3" spans="1:14">
      <c r="A3" s="475" t="s">
        <v>137</v>
      </c>
      <c r="B3" s="468" t="s">
        <v>1915</v>
      </c>
      <c r="C3" s="468"/>
      <c r="D3" s="468"/>
      <c r="E3" s="468"/>
    </row>
    <row r="4" spans="1:14">
      <c r="A4" s="468"/>
      <c r="B4" s="468"/>
      <c r="C4" s="468"/>
      <c r="D4" s="468"/>
      <c r="E4" s="468"/>
    </row>
    <row r="5" spans="1:14">
      <c r="A5" s="475" t="s">
        <v>22</v>
      </c>
      <c r="B5" s="475" t="s">
        <v>23</v>
      </c>
      <c r="C5" s="475" t="s">
        <v>2361</v>
      </c>
      <c r="E5" s="188" t="s">
        <v>22</v>
      </c>
      <c r="F5" s="188" t="s">
        <v>23</v>
      </c>
      <c r="G5" s="188" t="s">
        <v>2361</v>
      </c>
      <c r="H5" t="s">
        <v>3109</v>
      </c>
      <c r="I5" t="s">
        <v>3110</v>
      </c>
      <c r="J5" t="s">
        <v>3111</v>
      </c>
      <c r="K5" t="s">
        <v>3112</v>
      </c>
      <c r="L5" t="s">
        <v>3113</v>
      </c>
      <c r="M5" t="s">
        <v>3114</v>
      </c>
      <c r="N5" t="s">
        <v>3115</v>
      </c>
    </row>
    <row r="6" spans="1:14">
      <c r="A6" s="468" t="s">
        <v>39</v>
      </c>
      <c r="B6" s="468" t="s">
        <v>198</v>
      </c>
      <c r="C6" s="468" t="s">
        <v>144</v>
      </c>
      <c r="E6" s="182" t="s">
        <v>39</v>
      </c>
      <c r="F6" s="182" t="s">
        <v>198</v>
      </c>
      <c r="G6" s="468" t="s">
        <v>144</v>
      </c>
      <c r="H6" s="468" t="s">
        <v>144</v>
      </c>
      <c r="I6" s="468" t="s">
        <v>195</v>
      </c>
      <c r="J6" s="468" t="s">
        <v>279</v>
      </c>
      <c r="K6" s="468"/>
      <c r="L6" s="468"/>
      <c r="M6" t="str">
        <f>Table4[[#This Row],[Column1]]&amp;", "&amp;Table4[[#This Row],[Column2]]&amp;", "&amp;Table4[[#This Row],[Column3]]&amp;", "&amp;Table4[[#This Row],[Column4]]&amp;", "&amp;Table4[[#This Row],[Column5]]</f>
        <v xml:space="preserve">KBC, Metta, SI, , </v>
      </c>
      <c r="N6" t="s">
        <v>3116</v>
      </c>
    </row>
    <row r="7" spans="1:14" hidden="1">
      <c r="B7" s="468" t="s">
        <v>198</v>
      </c>
      <c r="C7" s="468" t="s">
        <v>195</v>
      </c>
      <c r="E7" s="182"/>
      <c r="F7" s="182" t="s">
        <v>198</v>
      </c>
      <c r="G7" s="468" t="s">
        <v>195</v>
      </c>
      <c r="H7" s="468"/>
      <c r="I7" s="468"/>
      <c r="J7" s="468"/>
      <c r="M7" t="str">
        <f>Table4[[#This Row],[Column1]]&amp;", "&amp;Table4[[#This Row],[Column2]]&amp;", "&amp;Table4[[#This Row],[Column3]]&amp;", "&amp;Table4[[#This Row],[Column4]]&amp;", "&amp;Table4[[#This Row],[Column5]]</f>
        <v xml:space="preserve">, , , , </v>
      </c>
      <c r="N7" t="s">
        <v>1983</v>
      </c>
    </row>
    <row r="8" spans="1:14" hidden="1">
      <c r="B8" s="468" t="s">
        <v>198</v>
      </c>
      <c r="C8" s="468" t="s">
        <v>279</v>
      </c>
      <c r="E8" s="182"/>
      <c r="F8" s="182" t="s">
        <v>198</v>
      </c>
      <c r="G8" s="468" t="s">
        <v>279</v>
      </c>
      <c r="H8" s="468"/>
      <c r="I8" s="468"/>
      <c r="J8" s="468"/>
      <c r="M8" t="str">
        <f>Table4[[#This Row],[Column1]]&amp;", "&amp;Table4[[#This Row],[Column2]]&amp;", "&amp;Table4[[#This Row],[Column3]]&amp;", "&amp;Table4[[#This Row],[Column4]]&amp;", "&amp;Table4[[#This Row],[Column5]]</f>
        <v xml:space="preserve">, , , , </v>
      </c>
      <c r="N8" t="s">
        <v>1983</v>
      </c>
    </row>
    <row r="9" spans="1:14" hidden="1">
      <c r="B9" s="468" t="s">
        <v>198</v>
      </c>
      <c r="C9" s="468" t="s">
        <v>3376</v>
      </c>
      <c r="E9" s="182"/>
      <c r="F9" s="182" t="s">
        <v>198</v>
      </c>
      <c r="G9" s="468" t="s">
        <v>3376</v>
      </c>
      <c r="H9" s="468"/>
      <c r="I9" s="468"/>
      <c r="J9" s="468"/>
      <c r="K9" s="468"/>
      <c r="L9" s="468"/>
      <c r="M9" t="str">
        <f>Table4[[#This Row],[Column1]]&amp;", "&amp;Table4[[#This Row],[Column2]]&amp;", "&amp;Table4[[#This Row],[Column3]]&amp;", "&amp;Table4[[#This Row],[Column4]]&amp;", "&amp;Table4[[#This Row],[Column5]]</f>
        <v xml:space="preserve">, , , , </v>
      </c>
      <c r="N9" t="s">
        <v>1983</v>
      </c>
    </row>
    <row r="10" spans="1:14" hidden="1">
      <c r="B10" s="468" t="s">
        <v>198</v>
      </c>
      <c r="C10" s="468" t="s">
        <v>3378</v>
      </c>
      <c r="E10" s="182"/>
      <c r="F10" s="182" t="s">
        <v>198</v>
      </c>
      <c r="G10" s="468" t="s">
        <v>3378</v>
      </c>
      <c r="H10" s="468"/>
      <c r="I10" s="468"/>
      <c r="M10" t="str">
        <f>Table4[[#This Row],[Column1]]&amp;", "&amp;Table4[[#This Row],[Column2]]&amp;", "&amp;Table4[[#This Row],[Column3]]&amp;", "&amp;Table4[[#This Row],[Column4]]&amp;", "&amp;Table4[[#This Row],[Column5]]</f>
        <v xml:space="preserve">, , , , </v>
      </c>
      <c r="N10" t="s">
        <v>1983</v>
      </c>
    </row>
    <row r="11" spans="1:14">
      <c r="B11" s="468" t="s">
        <v>149</v>
      </c>
      <c r="C11" s="468" t="s">
        <v>144</v>
      </c>
      <c r="E11" s="182"/>
      <c r="F11" s="182" t="s">
        <v>149</v>
      </c>
      <c r="G11" s="468" t="s">
        <v>144</v>
      </c>
      <c r="H11" s="468" t="s">
        <v>144</v>
      </c>
      <c r="I11" s="468" t="s">
        <v>38</v>
      </c>
      <c r="J11" s="468" t="s">
        <v>245</v>
      </c>
      <c r="M11" t="str">
        <f>Table4[[#This Row],[Column1]]&amp;", "&amp;Table4[[#This Row],[Column2]]&amp;", "&amp;Table4[[#This Row],[Column3]]&amp;", "&amp;Table4[[#This Row],[Column4]]&amp;", "&amp;Table4[[#This Row],[Column5]]</f>
        <v xml:space="preserve">KBC, KMSS, Shalom, , </v>
      </c>
      <c r="N11" s="468" t="s">
        <v>3117</v>
      </c>
    </row>
    <row r="12" spans="1:14" hidden="1">
      <c r="B12" s="468" t="s">
        <v>149</v>
      </c>
      <c r="C12" s="468" t="s">
        <v>38</v>
      </c>
      <c r="E12" s="182"/>
      <c r="F12" s="182" t="s">
        <v>149</v>
      </c>
      <c r="G12" s="468" t="s">
        <v>38</v>
      </c>
      <c r="H12" s="468"/>
      <c r="I12" s="468"/>
      <c r="J12" s="468"/>
      <c r="K12" s="468"/>
      <c r="L12" s="468"/>
      <c r="M12" t="str">
        <f>Table4[[#This Row],[Column1]]&amp;", "&amp;Table4[[#This Row],[Column2]]&amp;", "&amp;Table4[[#This Row],[Column3]]&amp;", "&amp;Table4[[#This Row],[Column4]]&amp;", "&amp;Table4[[#This Row],[Column5]]</f>
        <v xml:space="preserve">, , , , </v>
      </c>
      <c r="N12" t="s">
        <v>1983</v>
      </c>
    </row>
    <row r="13" spans="1:14" hidden="1">
      <c r="B13" s="468" t="s">
        <v>149</v>
      </c>
      <c r="C13" s="468" t="s">
        <v>245</v>
      </c>
      <c r="E13" s="182"/>
      <c r="F13" s="182" t="s">
        <v>149</v>
      </c>
      <c r="G13" s="468" t="s">
        <v>245</v>
      </c>
      <c r="H13" s="468"/>
      <c r="I13" s="468"/>
      <c r="J13" s="468"/>
      <c r="K13" s="468"/>
      <c r="M13" t="str">
        <f>Table4[[#This Row],[Column1]]&amp;", "&amp;Table4[[#This Row],[Column2]]&amp;", "&amp;Table4[[#This Row],[Column3]]&amp;", "&amp;Table4[[#This Row],[Column4]]&amp;", "&amp;Table4[[#This Row],[Column5]]</f>
        <v xml:space="preserve">, , , , </v>
      </c>
      <c r="N13" t="s">
        <v>1983</v>
      </c>
    </row>
    <row r="14" spans="1:14">
      <c r="B14" s="468" t="s">
        <v>151</v>
      </c>
      <c r="C14" s="468" t="s">
        <v>144</v>
      </c>
      <c r="E14" s="182"/>
      <c r="F14" s="182" t="s">
        <v>151</v>
      </c>
      <c r="G14" s="468" t="s">
        <v>144</v>
      </c>
      <c r="H14" s="468" t="s">
        <v>144</v>
      </c>
      <c r="I14" s="468" t="s">
        <v>38</v>
      </c>
      <c r="J14" s="468" t="s">
        <v>245</v>
      </c>
      <c r="M14" t="str">
        <f>Table4[[#This Row],[Column1]]&amp;", "&amp;Table4[[#This Row],[Column2]]&amp;", "&amp;Table4[[#This Row],[Column3]]&amp;", "&amp;Table4[[#This Row],[Column4]]&amp;", "&amp;Table4[[#This Row],[Column5]]</f>
        <v xml:space="preserve">KBC, KMSS, Shalom, , </v>
      </c>
      <c r="N14" t="s">
        <v>3117</v>
      </c>
    </row>
    <row r="15" spans="1:14" hidden="1">
      <c r="B15" s="468" t="s">
        <v>151</v>
      </c>
      <c r="C15" s="468" t="s">
        <v>38</v>
      </c>
      <c r="E15" s="182"/>
      <c r="F15" s="182" t="s">
        <v>151</v>
      </c>
      <c r="G15" s="468" t="s">
        <v>38</v>
      </c>
      <c r="H15" s="468"/>
      <c r="I15" s="468"/>
      <c r="M15" t="str">
        <f>Table4[[#This Row],[Column1]]&amp;", "&amp;Table4[[#This Row],[Column2]]&amp;", "&amp;Table4[[#This Row],[Column3]]&amp;", "&amp;Table4[[#This Row],[Column4]]&amp;", "&amp;Table4[[#This Row],[Column5]]</f>
        <v xml:space="preserve">, , , , </v>
      </c>
      <c r="N15" t="s">
        <v>1983</v>
      </c>
    </row>
    <row r="16" spans="1:14" hidden="1">
      <c r="B16" s="468" t="s">
        <v>151</v>
      </c>
      <c r="C16" s="468" t="s">
        <v>245</v>
      </c>
      <c r="E16" s="182"/>
      <c r="F16" s="182" t="s">
        <v>151</v>
      </c>
      <c r="G16" s="468" t="s">
        <v>245</v>
      </c>
      <c r="H16" s="468"/>
      <c r="M16" t="str">
        <f>Table4[[#This Row],[Column1]]&amp;", "&amp;Table4[[#This Row],[Column2]]&amp;", "&amp;Table4[[#This Row],[Column3]]&amp;", "&amp;Table4[[#This Row],[Column4]]&amp;", "&amp;Table4[[#This Row],[Column5]]</f>
        <v xml:space="preserve">, , , , </v>
      </c>
      <c r="N16" s="468" t="s">
        <v>1983</v>
      </c>
    </row>
    <row r="17" spans="2:14">
      <c r="B17" s="468" t="s">
        <v>40</v>
      </c>
      <c r="C17" s="468" t="s">
        <v>38</v>
      </c>
      <c r="E17" s="182"/>
      <c r="F17" s="182" t="s">
        <v>40</v>
      </c>
      <c r="G17" s="468" t="s">
        <v>38</v>
      </c>
      <c r="H17" s="468" t="s">
        <v>38</v>
      </c>
      <c r="I17" s="468" t="s">
        <v>195</v>
      </c>
      <c r="J17" s="468" t="s">
        <v>3373</v>
      </c>
      <c r="K17" s="468" t="s">
        <v>294</v>
      </c>
      <c r="L17" s="468"/>
      <c r="M17" t="str">
        <f>Table4[[#This Row],[Column1]]&amp;", "&amp;Table4[[#This Row],[Column2]]&amp;", "&amp;Table4[[#This Row],[Column3]]&amp;", "&amp;Table4[[#This Row],[Column4]]&amp;", "&amp;Table4[[#This Row],[Column5]]</f>
        <v xml:space="preserve">KMSS, Metta, KBC,HPA, WPN, </v>
      </c>
      <c r="N17" t="s">
        <v>3595</v>
      </c>
    </row>
    <row r="18" spans="2:14" hidden="1">
      <c r="B18" s="468" t="s">
        <v>40</v>
      </c>
      <c r="C18" s="468" t="s">
        <v>195</v>
      </c>
      <c r="E18" s="182"/>
      <c r="F18" s="182" t="s">
        <v>40</v>
      </c>
      <c r="G18" s="468" t="s">
        <v>195</v>
      </c>
      <c r="H18" s="468"/>
      <c r="I18" s="468"/>
      <c r="M18" t="str">
        <f>Table4[[#This Row],[Column1]]&amp;", "&amp;Table4[[#This Row],[Column2]]&amp;", "&amp;Table4[[#This Row],[Column3]]&amp;", "&amp;Table4[[#This Row],[Column4]]&amp;", "&amp;Table4[[#This Row],[Column5]]</f>
        <v xml:space="preserve">, , , , </v>
      </c>
      <c r="N18" t="s">
        <v>1983</v>
      </c>
    </row>
    <row r="19" spans="2:14" hidden="1">
      <c r="B19" s="468" t="s">
        <v>40</v>
      </c>
      <c r="C19" s="468" t="s">
        <v>3373</v>
      </c>
      <c r="E19" s="182"/>
      <c r="F19" s="182" t="s">
        <v>40</v>
      </c>
      <c r="G19" s="468" t="s">
        <v>3373</v>
      </c>
      <c r="H19" s="468"/>
      <c r="I19" s="468"/>
      <c r="M19" t="str">
        <f>Table4[[#This Row],[Column1]]&amp;", "&amp;Table4[[#This Row],[Column2]]&amp;", "&amp;Table4[[#This Row],[Column3]]&amp;", "&amp;Table4[[#This Row],[Column4]]&amp;", "&amp;Table4[[#This Row],[Column5]]</f>
        <v xml:space="preserve">, , , , </v>
      </c>
      <c r="N19" t="s">
        <v>1983</v>
      </c>
    </row>
    <row r="20" spans="2:14" hidden="1">
      <c r="B20" s="468" t="s">
        <v>40</v>
      </c>
      <c r="C20" s="468" t="s">
        <v>3374</v>
      </c>
      <c r="E20" s="182"/>
      <c r="F20" s="182" t="s">
        <v>40</v>
      </c>
      <c r="G20" s="468" t="s">
        <v>294</v>
      </c>
      <c r="H20" s="468"/>
      <c r="M20" t="str">
        <f>Table4[[#This Row],[Column1]]&amp;", "&amp;Table4[[#This Row],[Column2]]&amp;", "&amp;Table4[[#This Row],[Column3]]&amp;", "&amp;Table4[[#This Row],[Column4]]&amp;", "&amp;Table4[[#This Row],[Column5]]</f>
        <v xml:space="preserve">, , , , </v>
      </c>
      <c r="N20" t="s">
        <v>1983</v>
      </c>
    </row>
    <row r="21" spans="2:14">
      <c r="B21" s="468" t="s">
        <v>40</v>
      </c>
      <c r="C21" s="468" t="s">
        <v>3376</v>
      </c>
      <c r="E21" s="182"/>
      <c r="F21" s="468" t="s">
        <v>155</v>
      </c>
      <c r="G21" s="468" t="s">
        <v>144</v>
      </c>
      <c r="H21" s="468" t="s">
        <v>144</v>
      </c>
      <c r="I21" s="468" t="s">
        <v>38</v>
      </c>
      <c r="J21" s="468"/>
      <c r="K21" s="468"/>
      <c r="M21" t="str">
        <f>Table4[[#This Row],[Column1]]&amp;", "&amp;Table4[[#This Row],[Column2]]&amp;", "&amp;Table4[[#This Row],[Column3]]&amp;", "&amp;Table4[[#This Row],[Column4]]&amp;", "&amp;Table4[[#This Row],[Column5]]</f>
        <v xml:space="preserve">KBC, KMSS, , , </v>
      </c>
      <c r="N21" t="s">
        <v>3599</v>
      </c>
    </row>
    <row r="22" spans="2:14" hidden="1">
      <c r="B22" s="468" t="s">
        <v>155</v>
      </c>
      <c r="C22" s="468" t="s">
        <v>144</v>
      </c>
      <c r="E22" s="182"/>
      <c r="F22" s="468" t="s">
        <v>155</v>
      </c>
      <c r="G22" s="468" t="s">
        <v>38</v>
      </c>
      <c r="H22" s="468"/>
      <c r="I22" s="468"/>
      <c r="M22" t="str">
        <f>Table4[[#This Row],[Column1]]&amp;", "&amp;Table4[[#This Row],[Column2]]&amp;", "&amp;Table4[[#This Row],[Column3]]&amp;", "&amp;Table4[[#This Row],[Column4]]&amp;", "&amp;Table4[[#This Row],[Column5]]</f>
        <v xml:space="preserve">, , , , </v>
      </c>
      <c r="N22" t="s">
        <v>1983</v>
      </c>
    </row>
    <row r="23" spans="2:14">
      <c r="B23" s="468" t="s">
        <v>155</v>
      </c>
      <c r="C23" s="468" t="s">
        <v>38</v>
      </c>
      <c r="E23" s="182"/>
      <c r="F23" s="468" t="s">
        <v>160</v>
      </c>
      <c r="G23" s="468" t="s">
        <v>144</v>
      </c>
      <c r="H23" s="468" t="s">
        <v>144</v>
      </c>
      <c r="I23" s="468" t="s">
        <v>38</v>
      </c>
      <c r="J23" s="468"/>
      <c r="K23" s="468"/>
      <c r="M23" t="str">
        <f>Table4[[#This Row],[Column1]]&amp;", "&amp;Table4[[#This Row],[Column2]]&amp;", "&amp;Table4[[#This Row],[Column3]]&amp;", "&amp;Table4[[#This Row],[Column4]]&amp;", "&amp;Table4[[#This Row],[Column5]]</f>
        <v xml:space="preserve">KBC, KMSS, , , </v>
      </c>
      <c r="N23" s="468" t="s">
        <v>3599</v>
      </c>
    </row>
    <row r="24" spans="2:14" hidden="1">
      <c r="B24" s="468" t="s">
        <v>160</v>
      </c>
      <c r="C24" s="468" t="s">
        <v>144</v>
      </c>
      <c r="E24" s="182"/>
      <c r="F24" s="468" t="s">
        <v>160</v>
      </c>
      <c r="G24" s="468" t="s">
        <v>38</v>
      </c>
      <c r="H24" s="468"/>
      <c r="M24" t="str">
        <f>Table4[[#This Row],[Column1]]&amp;", "&amp;Table4[[#This Row],[Column2]]&amp;", "&amp;Table4[[#This Row],[Column3]]&amp;", "&amp;Table4[[#This Row],[Column4]]&amp;", "&amp;Table4[[#This Row],[Column5]]</f>
        <v xml:space="preserve">, , , , </v>
      </c>
      <c r="N24" s="468" t="s">
        <v>1983</v>
      </c>
    </row>
    <row r="25" spans="2:14">
      <c r="B25" s="468" t="s">
        <v>160</v>
      </c>
      <c r="C25" s="468" t="s">
        <v>38</v>
      </c>
      <c r="D25" s="468"/>
      <c r="E25" s="182"/>
      <c r="F25" s="182" t="s">
        <v>208</v>
      </c>
      <c r="G25" s="468" t="s">
        <v>144</v>
      </c>
      <c r="H25" s="468" t="s">
        <v>144</v>
      </c>
      <c r="I25" s="468" t="s">
        <v>38</v>
      </c>
      <c r="J25" s="468" t="s">
        <v>195</v>
      </c>
      <c r="K25" s="468" t="s">
        <v>279</v>
      </c>
      <c r="L25" s="468" t="s">
        <v>294</v>
      </c>
      <c r="M25" t="str">
        <f>Table4[[#This Row],[Column1]]&amp;", "&amp;Table4[[#This Row],[Column2]]&amp;", "&amp;Table4[[#This Row],[Column3]]&amp;", "&amp;Table4[[#This Row],[Column4]]&amp;", "&amp;Table4[[#This Row],[Column5]]</f>
        <v>KBC, KMSS, Metta, SI, WPN</v>
      </c>
      <c r="N25" t="s">
        <v>3050</v>
      </c>
    </row>
    <row r="26" spans="2:14" hidden="1">
      <c r="B26" s="468" t="s">
        <v>208</v>
      </c>
      <c r="C26" s="468" t="s">
        <v>144</v>
      </c>
      <c r="D26" s="468"/>
      <c r="E26" s="187"/>
      <c r="F26" s="182" t="s">
        <v>208</v>
      </c>
      <c r="G26" s="468" t="s">
        <v>38</v>
      </c>
      <c r="H26" s="468"/>
      <c r="M26" t="str">
        <f>Table4[[#This Row],[Column1]]&amp;", "&amp;Table4[[#This Row],[Column2]]&amp;", "&amp;Table4[[#This Row],[Column3]]&amp;", "&amp;Table4[[#This Row],[Column4]]&amp;", "&amp;Table4[[#This Row],[Column5]]</f>
        <v xml:space="preserve">, , , , </v>
      </c>
      <c r="N26" s="468" t="s">
        <v>1983</v>
      </c>
    </row>
    <row r="27" spans="2:14" hidden="1">
      <c r="B27" s="468" t="s">
        <v>208</v>
      </c>
      <c r="C27" s="468" t="s">
        <v>38</v>
      </c>
      <c r="D27" s="468"/>
      <c r="E27" s="182"/>
      <c r="F27" s="182" t="s">
        <v>208</v>
      </c>
      <c r="G27" t="s">
        <v>195</v>
      </c>
      <c r="M27" s="467" t="str">
        <f>Table4[[#This Row],[Column1]]&amp;", "&amp;Table4[[#This Row],[Column2]]&amp;", "&amp;Table4[[#This Row],[Column3]]&amp;", "&amp;Table4[[#This Row],[Column4]]&amp;", "&amp;Table4[[#This Row],[Column5]]</f>
        <v xml:space="preserve">, , , , </v>
      </c>
      <c r="N27" s="467" t="s">
        <v>1983</v>
      </c>
    </row>
    <row r="28" spans="2:14" hidden="1">
      <c r="B28" s="468" t="s">
        <v>208</v>
      </c>
      <c r="C28" s="468" t="s">
        <v>195</v>
      </c>
      <c r="D28" s="468"/>
      <c r="E28" s="182"/>
      <c r="F28" s="182" t="s">
        <v>208</v>
      </c>
      <c r="G28" t="s">
        <v>279</v>
      </c>
      <c r="M28" s="467" t="str">
        <f>Table4[[#This Row],[Column1]]&amp;", "&amp;Table4[[#This Row],[Column2]]&amp;", "&amp;Table4[[#This Row],[Column3]]&amp;", "&amp;Table4[[#This Row],[Column4]]&amp;", "&amp;Table4[[#This Row],[Column5]]</f>
        <v xml:space="preserve">, , , , </v>
      </c>
      <c r="N28" s="467" t="s">
        <v>1983</v>
      </c>
    </row>
    <row r="29" spans="2:14" hidden="1">
      <c r="B29" s="468" t="s">
        <v>208</v>
      </c>
      <c r="C29" s="468" t="s">
        <v>279</v>
      </c>
      <c r="D29" s="468"/>
      <c r="E29" s="182"/>
      <c r="F29" s="182" t="s">
        <v>208</v>
      </c>
      <c r="G29" s="468" t="s">
        <v>294</v>
      </c>
      <c r="M29" s="467" t="str">
        <f>Table4[[#This Row],[Column1]]&amp;", "&amp;Table4[[#This Row],[Column2]]&amp;", "&amp;Table4[[#This Row],[Column3]]&amp;", "&amp;Table4[[#This Row],[Column4]]&amp;", "&amp;Table4[[#This Row],[Column5]]</f>
        <v xml:space="preserve">, , , , </v>
      </c>
      <c r="N29" s="467" t="s">
        <v>1983</v>
      </c>
    </row>
    <row r="30" spans="2:14">
      <c r="B30" s="468" t="s">
        <v>208</v>
      </c>
      <c r="C30" s="468" t="s">
        <v>294</v>
      </c>
      <c r="D30" s="468"/>
      <c r="E30" s="852"/>
      <c r="F30" s="182" t="s">
        <v>162</v>
      </c>
      <c r="G30" s="468" t="s">
        <v>144</v>
      </c>
      <c r="H30" s="468" t="s">
        <v>144</v>
      </c>
      <c r="I30" s="468" t="s">
        <v>38</v>
      </c>
      <c r="J30" s="468" t="s">
        <v>245</v>
      </c>
      <c r="M30" s="467" t="str">
        <f>Table4[[#This Row],[Column1]]&amp;", "&amp;Table4[[#This Row],[Column2]]&amp;", "&amp;Table4[[#This Row],[Column3]]&amp;", "&amp;Table4[[#This Row],[Column4]]&amp;", "&amp;Table4[[#This Row],[Column5]]</f>
        <v xml:space="preserve">KBC, KMSS, Shalom, , </v>
      </c>
      <c r="N30" s="467" t="s">
        <v>3117</v>
      </c>
    </row>
    <row r="31" spans="2:14" hidden="1">
      <c r="B31" s="468" t="s">
        <v>208</v>
      </c>
      <c r="C31" s="468" t="s">
        <v>3376</v>
      </c>
      <c r="D31" s="468"/>
      <c r="E31" s="852"/>
      <c r="F31" s="182" t="s">
        <v>162</v>
      </c>
      <c r="G31" s="468" t="s">
        <v>38</v>
      </c>
      <c r="M31" s="467" t="str">
        <f>Table4[[#This Row],[Column1]]&amp;", "&amp;Table4[[#This Row],[Column2]]&amp;", "&amp;Table4[[#This Row],[Column3]]&amp;", "&amp;Table4[[#This Row],[Column4]]&amp;", "&amp;Table4[[#This Row],[Column5]]</f>
        <v xml:space="preserve">, , , , </v>
      </c>
      <c r="N31" s="467" t="s">
        <v>1983</v>
      </c>
    </row>
    <row r="32" spans="2:14" hidden="1">
      <c r="B32" s="468" t="s">
        <v>208</v>
      </c>
      <c r="C32" s="468" t="s">
        <v>1231</v>
      </c>
      <c r="D32" s="468"/>
      <c r="E32" s="852"/>
      <c r="F32" s="182" t="s">
        <v>162</v>
      </c>
      <c r="G32" s="468" t="s">
        <v>245</v>
      </c>
      <c r="M32" s="467" t="str">
        <f>Table4[[#This Row],[Column1]]&amp;", "&amp;Table4[[#This Row],[Column2]]&amp;", "&amp;Table4[[#This Row],[Column3]]&amp;", "&amp;Table4[[#This Row],[Column4]]&amp;", "&amp;Table4[[#This Row],[Column5]]</f>
        <v xml:space="preserve">, , , , </v>
      </c>
      <c r="N32" s="467" t="s">
        <v>1983</v>
      </c>
    </row>
    <row r="33" spans="2:14">
      <c r="B33" s="468" t="s">
        <v>208</v>
      </c>
      <c r="C33" s="468" t="s">
        <v>3378</v>
      </c>
      <c r="D33" s="572"/>
      <c r="E33" s="575"/>
      <c r="F33" s="182" t="s">
        <v>176</v>
      </c>
      <c r="G33" s="468" t="s">
        <v>144</v>
      </c>
      <c r="H33" s="468" t="s">
        <v>144</v>
      </c>
      <c r="M33" s="467" t="str">
        <f>Table4[[#This Row],[Column1]]&amp;", "&amp;Table4[[#This Row],[Column2]]&amp;", "&amp;Table4[[#This Row],[Column3]]&amp;", "&amp;Table4[[#This Row],[Column4]]&amp;", "&amp;Table4[[#This Row],[Column5]]</f>
        <v xml:space="preserve">KBC, , , , </v>
      </c>
      <c r="N33" s="467" t="s">
        <v>3597</v>
      </c>
    </row>
    <row r="34" spans="2:14">
      <c r="B34" s="468" t="s">
        <v>162</v>
      </c>
      <c r="C34" s="468" t="s">
        <v>144</v>
      </c>
      <c r="D34" s="572"/>
      <c r="E34" s="182"/>
      <c r="F34" s="182" t="s">
        <v>217</v>
      </c>
      <c r="G34" s="468" t="s">
        <v>144</v>
      </c>
      <c r="H34" s="468" t="s">
        <v>144</v>
      </c>
      <c r="I34" s="468" t="s">
        <v>195</v>
      </c>
      <c r="M34" s="467" t="str">
        <f>Table4[[#This Row],[Column1]]&amp;", "&amp;Table4[[#This Row],[Column2]]&amp;", "&amp;Table4[[#This Row],[Column3]]&amp;", "&amp;Table4[[#This Row],[Column4]]&amp;", "&amp;Table4[[#This Row],[Column5]]</f>
        <v xml:space="preserve">KBC, Metta, , , </v>
      </c>
      <c r="N34" s="467" t="s">
        <v>3598</v>
      </c>
    </row>
    <row r="35" spans="2:14" hidden="1">
      <c r="B35" s="468" t="s">
        <v>162</v>
      </c>
      <c r="C35" s="468" t="s">
        <v>38</v>
      </c>
      <c r="D35" s="572"/>
      <c r="E35" s="182"/>
      <c r="F35" s="182" t="s">
        <v>217</v>
      </c>
      <c r="G35" s="468" t="s">
        <v>195</v>
      </c>
      <c r="M35" s="467" t="str">
        <f>Table4[[#This Row],[Column1]]&amp;", "&amp;Table4[[#This Row],[Column2]]&amp;", "&amp;Table4[[#This Row],[Column3]]&amp;", "&amp;Table4[[#This Row],[Column4]]&amp;", "&amp;Table4[[#This Row],[Column5]]</f>
        <v xml:space="preserve">, , , , </v>
      </c>
      <c r="N35" s="467" t="s">
        <v>1983</v>
      </c>
    </row>
    <row r="36" spans="2:14">
      <c r="B36" s="468" t="s">
        <v>162</v>
      </c>
      <c r="C36" s="468" t="s">
        <v>245</v>
      </c>
      <c r="D36" s="572"/>
      <c r="E36" s="182"/>
      <c r="F36" s="182" t="s">
        <v>187</v>
      </c>
      <c r="G36" t="s">
        <v>144</v>
      </c>
      <c r="H36" s="468" t="s">
        <v>144</v>
      </c>
      <c r="M36" s="468" t="s">
        <v>144</v>
      </c>
      <c r="N36" s="467" t="s">
        <v>144</v>
      </c>
    </row>
    <row r="37" spans="2:14">
      <c r="B37" s="468" t="s">
        <v>176</v>
      </c>
      <c r="C37" s="468" t="s">
        <v>144</v>
      </c>
      <c r="D37" s="572"/>
      <c r="E37" s="182"/>
      <c r="F37" s="182" t="s">
        <v>1148</v>
      </c>
      <c r="G37" t="s">
        <v>38</v>
      </c>
      <c r="H37" s="468" t="s">
        <v>38</v>
      </c>
      <c r="M37" s="468" t="s">
        <v>38</v>
      </c>
      <c r="N37" s="467" t="s">
        <v>38</v>
      </c>
    </row>
    <row r="38" spans="2:14">
      <c r="B38" s="468" t="s">
        <v>217</v>
      </c>
      <c r="C38" s="468" t="s">
        <v>144</v>
      </c>
      <c r="D38" s="572"/>
      <c r="E38" s="182"/>
      <c r="F38" s="182" t="s">
        <v>145</v>
      </c>
      <c r="G38" t="s">
        <v>144</v>
      </c>
      <c r="H38" s="468" t="s">
        <v>144</v>
      </c>
      <c r="I38" s="468" t="s">
        <v>38</v>
      </c>
      <c r="J38" s="468" t="s">
        <v>195</v>
      </c>
      <c r="K38" s="468" t="s">
        <v>245</v>
      </c>
      <c r="M38" s="467" t="str">
        <f>Table4[[#This Row],[Column1]]&amp;", "&amp;Table4[[#This Row],[Column2]]&amp;", "&amp;Table4[[#This Row],[Column3]]&amp;", "&amp;Table4[[#This Row],[Column4]]&amp;", "&amp;Table4[[#This Row],[Column5]]</f>
        <v xml:space="preserve">KBC, KMSS, Metta, Shalom, </v>
      </c>
      <c r="N38" s="467" t="s">
        <v>3596</v>
      </c>
    </row>
    <row r="39" spans="2:14" hidden="1">
      <c r="B39" s="468" t="s">
        <v>217</v>
      </c>
      <c r="C39" s="468" t="s">
        <v>195</v>
      </c>
      <c r="D39" s="572"/>
      <c r="E39" s="182"/>
      <c r="F39" s="182" t="s">
        <v>145</v>
      </c>
      <c r="G39" t="s">
        <v>38</v>
      </c>
      <c r="M39" s="467" t="str">
        <f>Table4[[#This Row],[Column1]]&amp;", "&amp;Table4[[#This Row],[Column2]]&amp;", "&amp;Table4[[#This Row],[Column3]]&amp;", "&amp;Table4[[#This Row],[Column4]]&amp;", "&amp;Table4[[#This Row],[Column5]]</f>
        <v xml:space="preserve">, , , , </v>
      </c>
      <c r="N39" s="467" t="s">
        <v>1983</v>
      </c>
    </row>
    <row r="40" spans="2:14" hidden="1">
      <c r="B40" s="468" t="s">
        <v>217</v>
      </c>
      <c r="C40" s="468" t="s">
        <v>3376</v>
      </c>
      <c r="D40" s="572"/>
      <c r="E40" s="182"/>
      <c r="F40" s="182" t="s">
        <v>145</v>
      </c>
      <c r="G40" t="s">
        <v>195</v>
      </c>
      <c r="M40" s="467" t="str">
        <f>Table4[[#This Row],[Column1]]&amp;", "&amp;Table4[[#This Row],[Column2]]&amp;", "&amp;Table4[[#This Row],[Column3]]&amp;", "&amp;Table4[[#This Row],[Column4]]&amp;", "&amp;Table4[[#This Row],[Column5]]</f>
        <v xml:space="preserve">, , , , </v>
      </c>
      <c r="N40" s="467" t="s">
        <v>1983</v>
      </c>
    </row>
    <row r="41" spans="2:14" hidden="1">
      <c r="B41" s="468" t="s">
        <v>187</v>
      </c>
      <c r="C41" s="468" t="s">
        <v>144</v>
      </c>
      <c r="D41" s="572"/>
      <c r="E41" s="182"/>
      <c r="F41" s="182" t="s">
        <v>145</v>
      </c>
      <c r="G41" t="s">
        <v>245</v>
      </c>
      <c r="M41" s="467" t="str">
        <f>Table4[[#This Row],[Column1]]&amp;", "&amp;Table4[[#This Row],[Column2]]&amp;", "&amp;Table4[[#This Row],[Column3]]&amp;", "&amp;Table4[[#This Row],[Column4]]&amp;", "&amp;Table4[[#This Row],[Column5]]</f>
        <v xml:space="preserve">, , , , </v>
      </c>
      <c r="N41" s="467" t="s">
        <v>1983</v>
      </c>
    </row>
    <row r="42" spans="2:14">
      <c r="B42" s="468" t="s">
        <v>1148</v>
      </c>
      <c r="C42" s="468" t="s">
        <v>38</v>
      </c>
      <c r="D42" s="572"/>
    </row>
    <row r="43" spans="2:14">
      <c r="B43" s="468" t="s">
        <v>145</v>
      </c>
      <c r="C43" s="468" t="s">
        <v>144</v>
      </c>
      <c r="D43" s="572"/>
    </row>
    <row r="44" spans="2:14">
      <c r="B44" s="468" t="s">
        <v>145</v>
      </c>
      <c r="C44" s="468" t="s">
        <v>38</v>
      </c>
      <c r="D44" s="572"/>
    </row>
    <row r="45" spans="2:14">
      <c r="B45" s="468" t="s">
        <v>145</v>
      </c>
      <c r="C45" s="468" t="s">
        <v>195</v>
      </c>
    </row>
    <row r="46" spans="2:14">
      <c r="B46" s="468" t="s">
        <v>145</v>
      </c>
      <c r="C46" s="468" t="s">
        <v>245</v>
      </c>
    </row>
    <row r="94" spans="1:2">
      <c r="A94" s="475"/>
      <c r="B94" s="475"/>
    </row>
  </sheetData>
  <phoneticPr fontId="147" type="noConversion"/>
  <pageMargins left="0.7" right="0.7" top="0.75" bottom="0.75" header="0.3" footer="0.3"/>
  <pageSetup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114AF-4210-41F0-A311-C9334FD642DC}">
  <dimension ref="A3:C55"/>
  <sheetViews>
    <sheetView topLeftCell="A27" workbookViewId="0">
      <selection activeCell="B49" sqref="B49"/>
    </sheetView>
  </sheetViews>
  <sheetFormatPr defaultRowHeight="15.5"/>
  <cols>
    <col min="1" max="1" width="44.1640625" bestFit="1" customWidth="1"/>
    <col min="2" max="2" width="45.5" bestFit="1" customWidth="1"/>
    <col min="3" max="3" width="22.08203125" bestFit="1" customWidth="1"/>
    <col min="4" max="7" width="17.1640625" bestFit="1" customWidth="1"/>
    <col min="8" max="8" width="11" bestFit="1" customWidth="1"/>
    <col min="9" max="32" width="27.08203125" bestFit="1" customWidth="1"/>
    <col min="33" max="33" width="11" bestFit="1" customWidth="1"/>
    <col min="34" max="57" width="43.5" bestFit="1" customWidth="1"/>
    <col min="58" max="58" width="11" bestFit="1" customWidth="1"/>
  </cols>
  <sheetData>
    <row r="3" spans="1:3">
      <c r="A3" s="475" t="s">
        <v>22</v>
      </c>
      <c r="B3" s="468" t="s">
        <v>39</v>
      </c>
    </row>
    <row r="5" spans="1:3">
      <c r="A5" s="475" t="s">
        <v>23</v>
      </c>
      <c r="B5" s="475" t="s">
        <v>24</v>
      </c>
      <c r="C5" s="475" t="s">
        <v>2359</v>
      </c>
    </row>
    <row r="6" spans="1:3">
      <c r="A6" s="640" t="s">
        <v>198</v>
      </c>
      <c r="B6" s="468" t="s">
        <v>1018</v>
      </c>
      <c r="C6" s="468" t="s">
        <v>312</v>
      </c>
    </row>
    <row r="7" spans="1:3">
      <c r="A7" s="640" t="s">
        <v>149</v>
      </c>
      <c r="B7" s="468" t="s">
        <v>228</v>
      </c>
      <c r="C7" s="468" t="s">
        <v>38</v>
      </c>
    </row>
    <row r="8" spans="1:3">
      <c r="A8" s="640" t="s">
        <v>149</v>
      </c>
      <c r="B8" s="468" t="s">
        <v>230</v>
      </c>
      <c r="C8" s="468" t="s">
        <v>38</v>
      </c>
    </row>
    <row r="9" spans="1:3">
      <c r="A9" s="640" t="s">
        <v>151</v>
      </c>
      <c r="B9" s="468" t="s">
        <v>233</v>
      </c>
      <c r="C9" s="468" t="s">
        <v>312</v>
      </c>
    </row>
    <row r="10" spans="1:3">
      <c r="A10" s="640" t="s">
        <v>151</v>
      </c>
      <c r="B10" s="468" t="s">
        <v>2021</v>
      </c>
      <c r="C10" s="468" t="s">
        <v>38</v>
      </c>
    </row>
    <row r="11" spans="1:3">
      <c r="A11" s="640" t="s">
        <v>151</v>
      </c>
      <c r="B11" s="468" t="s">
        <v>2019</v>
      </c>
      <c r="C11" s="468" t="s">
        <v>38</v>
      </c>
    </row>
    <row r="12" spans="1:3">
      <c r="A12" s="640" t="s">
        <v>151</v>
      </c>
      <c r="B12" s="468" t="s">
        <v>2071</v>
      </c>
      <c r="C12" s="468" t="s">
        <v>38</v>
      </c>
    </row>
    <row r="13" spans="1:3">
      <c r="A13" s="640" t="s">
        <v>151</v>
      </c>
      <c r="B13" s="468" t="s">
        <v>260</v>
      </c>
      <c r="C13" s="468" t="s">
        <v>312</v>
      </c>
    </row>
    <row r="14" spans="1:3">
      <c r="A14" s="640" t="s">
        <v>151</v>
      </c>
      <c r="B14" s="468" t="s">
        <v>193</v>
      </c>
      <c r="C14" s="468" t="s">
        <v>312</v>
      </c>
    </row>
    <row r="15" spans="1:3">
      <c r="A15" s="640" t="s">
        <v>151</v>
      </c>
      <c r="B15" s="468" t="s">
        <v>234</v>
      </c>
      <c r="C15" s="468" t="s">
        <v>38</v>
      </c>
    </row>
    <row r="16" spans="1:3">
      <c r="A16" s="640" t="s">
        <v>151</v>
      </c>
      <c r="B16" s="468" t="s">
        <v>192</v>
      </c>
      <c r="C16" s="468" t="s">
        <v>312</v>
      </c>
    </row>
    <row r="17" spans="1:3">
      <c r="A17" s="640" t="s">
        <v>40</v>
      </c>
      <c r="B17" s="468" t="s">
        <v>41</v>
      </c>
      <c r="C17" s="468" t="s">
        <v>38</v>
      </c>
    </row>
    <row r="18" spans="1:3">
      <c r="A18" s="640" t="s">
        <v>40</v>
      </c>
      <c r="B18" s="468" t="s">
        <v>1004</v>
      </c>
      <c r="C18" s="468" t="s">
        <v>312</v>
      </c>
    </row>
    <row r="19" spans="1:3">
      <c r="A19" s="640" t="s">
        <v>40</v>
      </c>
      <c r="B19" s="468" t="s">
        <v>142</v>
      </c>
      <c r="C19" s="468" t="s">
        <v>38</v>
      </c>
    </row>
    <row r="20" spans="1:3">
      <c r="A20" s="640" t="s">
        <v>155</v>
      </c>
      <c r="B20" s="468" t="s">
        <v>2004</v>
      </c>
      <c r="C20" s="468" t="s">
        <v>312</v>
      </c>
    </row>
    <row r="21" spans="1:3">
      <c r="A21" s="640" t="s">
        <v>155</v>
      </c>
      <c r="B21" s="468" t="s">
        <v>2003</v>
      </c>
      <c r="C21" s="468" t="s">
        <v>38</v>
      </c>
    </row>
    <row r="22" spans="1:3">
      <c r="A22" s="640" t="s">
        <v>155</v>
      </c>
      <c r="B22" s="468" t="s">
        <v>2002</v>
      </c>
      <c r="C22" s="468" t="s">
        <v>38</v>
      </c>
    </row>
    <row r="23" spans="1:3">
      <c r="A23" s="640" t="s">
        <v>160</v>
      </c>
      <c r="B23" s="468" t="s">
        <v>1043</v>
      </c>
      <c r="C23" s="468" t="s">
        <v>312</v>
      </c>
    </row>
    <row r="24" spans="1:3">
      <c r="A24" s="640" t="s">
        <v>160</v>
      </c>
      <c r="B24" s="468" t="s">
        <v>1039</v>
      </c>
      <c r="C24" s="468" t="s">
        <v>312</v>
      </c>
    </row>
    <row r="25" spans="1:3">
      <c r="A25" s="640" t="s">
        <v>160</v>
      </c>
      <c r="B25" s="468" t="s">
        <v>242</v>
      </c>
      <c r="C25" s="468" t="s">
        <v>38</v>
      </c>
    </row>
    <row r="26" spans="1:3">
      <c r="A26" s="640" t="s">
        <v>208</v>
      </c>
      <c r="B26" s="468" t="s">
        <v>235</v>
      </c>
      <c r="C26" s="468" t="s">
        <v>38</v>
      </c>
    </row>
    <row r="27" spans="1:3">
      <c r="A27" s="640" t="s">
        <v>208</v>
      </c>
      <c r="B27" s="468" t="s">
        <v>3058</v>
      </c>
      <c r="C27" s="468" t="s">
        <v>312</v>
      </c>
    </row>
    <row r="28" spans="1:3">
      <c r="A28" s="640" t="s">
        <v>208</v>
      </c>
      <c r="B28" s="468" t="s">
        <v>293</v>
      </c>
      <c r="C28" s="468" t="s">
        <v>38</v>
      </c>
    </row>
    <row r="29" spans="1:3">
      <c r="A29" s="640" t="s">
        <v>208</v>
      </c>
      <c r="B29" s="468" t="s">
        <v>1021</v>
      </c>
      <c r="C29" s="468" t="s">
        <v>312</v>
      </c>
    </row>
    <row r="30" spans="1:3">
      <c r="A30" s="640" t="s">
        <v>208</v>
      </c>
      <c r="B30" s="468" t="s">
        <v>3063</v>
      </c>
      <c r="C30" s="468" t="s">
        <v>312</v>
      </c>
    </row>
    <row r="31" spans="1:3">
      <c r="A31" s="640" t="s">
        <v>208</v>
      </c>
      <c r="B31" s="468" t="s">
        <v>1013</v>
      </c>
      <c r="C31" s="468" t="s">
        <v>312</v>
      </c>
    </row>
    <row r="32" spans="1:3">
      <c r="A32" s="640" t="s">
        <v>208</v>
      </c>
      <c r="B32" s="468" t="s">
        <v>1023</v>
      </c>
      <c r="C32" s="468" t="s">
        <v>312</v>
      </c>
    </row>
    <row r="33" spans="1:3">
      <c r="A33" s="640" t="s">
        <v>162</v>
      </c>
      <c r="B33" s="468" t="s">
        <v>236</v>
      </c>
      <c r="C33" s="468" t="s">
        <v>38</v>
      </c>
    </row>
    <row r="34" spans="1:3">
      <c r="A34" s="640" t="s">
        <v>162</v>
      </c>
      <c r="B34" s="468" t="s">
        <v>1111</v>
      </c>
      <c r="C34" s="468" t="s">
        <v>38</v>
      </c>
    </row>
    <row r="35" spans="1:3">
      <c r="A35" s="640" t="s">
        <v>162</v>
      </c>
      <c r="B35" s="468" t="s">
        <v>237</v>
      </c>
      <c r="C35" s="468" t="s">
        <v>38</v>
      </c>
    </row>
    <row r="36" spans="1:3">
      <c r="A36" s="640" t="s">
        <v>162</v>
      </c>
      <c r="B36" s="468" t="s">
        <v>238</v>
      </c>
      <c r="C36" s="468" t="s">
        <v>38</v>
      </c>
    </row>
    <row r="37" spans="1:3">
      <c r="A37" s="640" t="s">
        <v>162</v>
      </c>
      <c r="B37" s="468" t="s">
        <v>2167</v>
      </c>
      <c r="C37" s="468" t="s">
        <v>38</v>
      </c>
    </row>
    <row r="38" spans="1:3">
      <c r="A38" s="640" t="s">
        <v>162</v>
      </c>
      <c r="B38" s="468" t="s">
        <v>3091</v>
      </c>
      <c r="C38" s="468" t="s">
        <v>38</v>
      </c>
    </row>
    <row r="39" spans="1:3">
      <c r="A39" s="640" t="s">
        <v>162</v>
      </c>
      <c r="B39" s="468" t="s">
        <v>3130</v>
      </c>
      <c r="C39" s="468" t="s">
        <v>312</v>
      </c>
    </row>
    <row r="40" spans="1:3">
      <c r="A40" s="468" t="s">
        <v>176</v>
      </c>
      <c r="B40" s="468" t="s">
        <v>1083</v>
      </c>
      <c r="C40" s="468" t="s">
        <v>312</v>
      </c>
    </row>
    <row r="41" spans="1:3">
      <c r="A41" s="468" t="s">
        <v>176</v>
      </c>
      <c r="B41" s="468" t="s">
        <v>1089</v>
      </c>
      <c r="C41" s="468" t="s">
        <v>312</v>
      </c>
    </row>
    <row r="42" spans="1:3">
      <c r="A42" s="468" t="s">
        <v>187</v>
      </c>
      <c r="B42" s="468" t="s">
        <v>2852</v>
      </c>
      <c r="C42" s="468" t="s">
        <v>312</v>
      </c>
    </row>
    <row r="43" spans="1:3">
      <c r="A43" s="468" t="s">
        <v>187</v>
      </c>
      <c r="B43" s="468" t="s">
        <v>187</v>
      </c>
      <c r="C43" s="468" t="s">
        <v>312</v>
      </c>
    </row>
    <row r="44" spans="1:3">
      <c r="A44" s="640" t="s">
        <v>1148</v>
      </c>
      <c r="B44" s="468" t="s">
        <v>2296</v>
      </c>
      <c r="C44" s="468" t="s">
        <v>38</v>
      </c>
    </row>
    <row r="45" spans="1:3">
      <c r="A45" s="640" t="s">
        <v>1148</v>
      </c>
      <c r="B45" s="468" t="s">
        <v>2296</v>
      </c>
      <c r="C45" s="468" t="s">
        <v>312</v>
      </c>
    </row>
    <row r="46" spans="1:3">
      <c r="A46" s="640" t="s">
        <v>1148</v>
      </c>
      <c r="B46" s="468" t="s">
        <v>1150</v>
      </c>
      <c r="C46" s="468" t="s">
        <v>38</v>
      </c>
    </row>
    <row r="47" spans="1:3">
      <c r="A47" s="640" t="s">
        <v>1148</v>
      </c>
      <c r="B47" s="468" t="s">
        <v>1150</v>
      </c>
      <c r="C47" s="468" t="s">
        <v>312</v>
      </c>
    </row>
    <row r="48" spans="1:3">
      <c r="A48" s="640" t="s">
        <v>1148</v>
      </c>
      <c r="B48" s="468" t="s">
        <v>2177</v>
      </c>
      <c r="C48" s="468" t="s">
        <v>312</v>
      </c>
    </row>
    <row r="49" spans="1:3">
      <c r="A49" s="640" t="s">
        <v>145</v>
      </c>
      <c r="B49" s="468" t="s">
        <v>239</v>
      </c>
      <c r="C49" s="468" t="s">
        <v>38</v>
      </c>
    </row>
    <row r="50" spans="1:3">
      <c r="A50" s="640" t="s">
        <v>145</v>
      </c>
      <c r="B50" s="468" t="s">
        <v>1052</v>
      </c>
      <c r="C50" s="468" t="s">
        <v>312</v>
      </c>
    </row>
    <row r="51" spans="1:3">
      <c r="A51" s="640" t="s">
        <v>145</v>
      </c>
      <c r="B51" s="468" t="s">
        <v>180</v>
      </c>
      <c r="C51" s="468" t="s">
        <v>312</v>
      </c>
    </row>
    <row r="52" spans="1:3">
      <c r="A52" s="640" t="s">
        <v>145</v>
      </c>
      <c r="B52" s="468" t="s">
        <v>240</v>
      </c>
      <c r="C52" s="468" t="s">
        <v>38</v>
      </c>
    </row>
    <row r="53" spans="1:3">
      <c r="A53" s="640" t="s">
        <v>145</v>
      </c>
      <c r="B53" s="468" t="s">
        <v>241</v>
      </c>
      <c r="C53" s="468" t="s">
        <v>38</v>
      </c>
    </row>
    <row r="54" spans="1:3">
      <c r="A54" s="640" t="s">
        <v>145</v>
      </c>
      <c r="B54" s="468" t="s">
        <v>1059</v>
      </c>
      <c r="C54" s="468" t="s">
        <v>312</v>
      </c>
    </row>
    <row r="55" spans="1:3">
      <c r="A55" s="468" t="s">
        <v>1662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B65CC-8628-4AAD-B767-CAA1570E406B}">
  <dimension ref="A1:E208"/>
  <sheetViews>
    <sheetView topLeftCell="A151" workbookViewId="0">
      <selection activeCell="E170" sqref="E170"/>
    </sheetView>
  </sheetViews>
  <sheetFormatPr defaultRowHeight="15.5"/>
  <cols>
    <col min="1" max="1" width="45.25" bestFit="1" customWidth="1"/>
    <col min="2" max="2" width="17.1640625" style="922" bestFit="1" customWidth="1"/>
    <col min="3" max="4" width="9.6640625" style="922" bestFit="1" customWidth="1"/>
    <col min="5" max="5" width="12.33203125" style="922" bestFit="1" customWidth="1"/>
    <col min="6" max="7" width="12.33203125" bestFit="1" customWidth="1"/>
  </cols>
  <sheetData>
    <row r="1" spans="1:5">
      <c r="A1" s="475" t="s">
        <v>22</v>
      </c>
      <c r="B1" s="921" t="s">
        <v>39</v>
      </c>
    </row>
    <row r="3" spans="1:5">
      <c r="A3" s="475" t="s">
        <v>3652</v>
      </c>
      <c r="B3" s="923" t="s">
        <v>1917</v>
      </c>
      <c r="C3" s="921"/>
      <c r="D3" s="921"/>
      <c r="E3"/>
    </row>
    <row r="4" spans="1:5">
      <c r="A4" s="475" t="s">
        <v>1660</v>
      </c>
      <c r="B4" s="921" t="s">
        <v>3261</v>
      </c>
      <c r="C4" s="921" t="s">
        <v>3262</v>
      </c>
      <c r="D4" s="921" t="s">
        <v>3263</v>
      </c>
      <c r="E4"/>
    </row>
    <row r="5" spans="1:5">
      <c r="A5" s="572" t="s">
        <v>233</v>
      </c>
      <c r="B5" s="921">
        <v>0</v>
      </c>
      <c r="C5" s="921">
        <v>0</v>
      </c>
      <c r="D5" s="921">
        <v>0</v>
      </c>
      <c r="E5"/>
    </row>
    <row r="6" spans="1:5">
      <c r="A6" s="572" t="s">
        <v>3089</v>
      </c>
      <c r="B6" s="921">
        <v>0</v>
      </c>
      <c r="C6" s="921">
        <v>0</v>
      </c>
      <c r="D6" s="921">
        <v>0</v>
      </c>
      <c r="E6"/>
    </row>
    <row r="7" spans="1:5">
      <c r="A7" s="572" t="s">
        <v>1095</v>
      </c>
      <c r="B7" s="921">
        <v>276</v>
      </c>
      <c r="C7" s="921">
        <v>167</v>
      </c>
      <c r="D7" s="921">
        <v>167</v>
      </c>
      <c r="E7"/>
    </row>
    <row r="8" spans="1:5">
      <c r="A8" s="572" t="s">
        <v>280</v>
      </c>
      <c r="B8" s="921">
        <v>745</v>
      </c>
      <c r="C8" s="921">
        <v>723</v>
      </c>
      <c r="D8" s="921">
        <v>723</v>
      </c>
      <c r="E8"/>
    </row>
    <row r="9" spans="1:5">
      <c r="A9" s="572" t="s">
        <v>251</v>
      </c>
      <c r="B9" s="921">
        <v>371</v>
      </c>
      <c r="C9" s="921">
        <v>371</v>
      </c>
      <c r="D9" s="921">
        <v>371</v>
      </c>
      <c r="E9"/>
    </row>
    <row r="10" spans="1:5">
      <c r="A10" s="572" t="s">
        <v>252</v>
      </c>
      <c r="B10" s="921">
        <v>83</v>
      </c>
      <c r="C10" s="921">
        <v>83</v>
      </c>
      <c r="D10" s="921">
        <v>83</v>
      </c>
      <c r="E10"/>
    </row>
    <row r="11" spans="1:5">
      <c r="A11" s="572" t="s">
        <v>209</v>
      </c>
      <c r="B11" s="921">
        <v>0</v>
      </c>
      <c r="C11" s="921">
        <v>571</v>
      </c>
      <c r="D11" s="921">
        <v>571</v>
      </c>
      <c r="E11"/>
    </row>
    <row r="12" spans="1:5">
      <c r="A12" s="572" t="s">
        <v>199</v>
      </c>
      <c r="B12" s="921">
        <v>0</v>
      </c>
      <c r="C12" s="921">
        <v>55</v>
      </c>
      <c r="D12" s="921">
        <v>55</v>
      </c>
      <c r="E12"/>
    </row>
    <row r="13" spans="1:5">
      <c r="A13" s="572" t="s">
        <v>2076</v>
      </c>
      <c r="B13" s="921">
        <v>0</v>
      </c>
      <c r="C13" s="921">
        <v>0</v>
      </c>
      <c r="D13" s="921">
        <v>0</v>
      </c>
      <c r="E13"/>
    </row>
    <row r="14" spans="1:5">
      <c r="A14" s="572" t="s">
        <v>253</v>
      </c>
      <c r="B14" s="921">
        <v>228</v>
      </c>
      <c r="C14" s="921">
        <v>228</v>
      </c>
      <c r="D14" s="921">
        <v>228</v>
      </c>
      <c r="E14"/>
    </row>
    <row r="15" spans="1:5">
      <c r="A15" s="572" t="s">
        <v>1018</v>
      </c>
      <c r="B15" s="921">
        <v>0</v>
      </c>
      <c r="C15" s="921">
        <v>0</v>
      </c>
      <c r="D15" s="921">
        <v>0</v>
      </c>
      <c r="E15"/>
    </row>
    <row r="16" spans="1:5">
      <c r="A16" s="572" t="s">
        <v>239</v>
      </c>
      <c r="B16" s="921">
        <v>458</v>
      </c>
      <c r="C16" s="921">
        <v>458</v>
      </c>
      <c r="D16" s="921">
        <v>458</v>
      </c>
      <c r="E16"/>
    </row>
    <row r="17" spans="1:5">
      <c r="A17" s="572" t="s">
        <v>1931</v>
      </c>
      <c r="B17" s="921">
        <v>1816</v>
      </c>
      <c r="C17" s="921">
        <v>1887</v>
      </c>
      <c r="D17" s="921">
        <v>1887</v>
      </c>
      <c r="E17"/>
    </row>
    <row r="18" spans="1:5">
      <c r="A18" s="572" t="s">
        <v>254</v>
      </c>
      <c r="B18" s="921">
        <v>31</v>
      </c>
      <c r="C18" s="921">
        <v>31</v>
      </c>
      <c r="D18" s="921">
        <v>31</v>
      </c>
      <c r="E18"/>
    </row>
    <row r="19" spans="1:5">
      <c r="A19" s="572" t="s">
        <v>248</v>
      </c>
      <c r="B19" s="921">
        <v>830</v>
      </c>
      <c r="C19" s="921">
        <v>830</v>
      </c>
      <c r="D19" s="921">
        <v>830</v>
      </c>
      <c r="E19"/>
    </row>
    <row r="20" spans="1:5">
      <c r="A20" s="572" t="s">
        <v>2078</v>
      </c>
      <c r="B20" s="921">
        <v>0</v>
      </c>
      <c r="C20" s="921">
        <v>0</v>
      </c>
      <c r="D20" s="921">
        <v>0</v>
      </c>
      <c r="E20"/>
    </row>
    <row r="21" spans="1:5">
      <c r="A21" s="572" t="s">
        <v>255</v>
      </c>
      <c r="B21" s="921">
        <v>377</v>
      </c>
      <c r="C21" s="921">
        <v>377</v>
      </c>
      <c r="D21" s="921">
        <v>377</v>
      </c>
      <c r="E21"/>
    </row>
    <row r="22" spans="1:5">
      <c r="A22" s="572" t="s">
        <v>163</v>
      </c>
      <c r="B22" s="921">
        <v>197</v>
      </c>
      <c r="C22" s="921">
        <v>197</v>
      </c>
      <c r="D22" s="921">
        <v>197</v>
      </c>
      <c r="E22"/>
    </row>
    <row r="23" spans="1:5">
      <c r="A23" s="572" t="s">
        <v>235</v>
      </c>
      <c r="B23" s="921">
        <v>458</v>
      </c>
      <c r="C23" s="921">
        <v>458</v>
      </c>
      <c r="D23" s="921">
        <v>458</v>
      </c>
      <c r="E23"/>
    </row>
    <row r="24" spans="1:5">
      <c r="A24" s="572" t="s">
        <v>2004</v>
      </c>
      <c r="B24" s="921">
        <v>0</v>
      </c>
      <c r="C24" s="921">
        <v>0</v>
      </c>
      <c r="D24" s="921">
        <v>0</v>
      </c>
      <c r="E24"/>
    </row>
    <row r="25" spans="1:5">
      <c r="A25" s="572" t="s">
        <v>2852</v>
      </c>
      <c r="B25" s="921">
        <v>0</v>
      </c>
      <c r="C25" s="921">
        <v>0</v>
      </c>
      <c r="D25" s="921">
        <v>0</v>
      </c>
      <c r="E25"/>
    </row>
    <row r="26" spans="1:5">
      <c r="A26" s="572" t="s">
        <v>1052</v>
      </c>
      <c r="B26" s="921">
        <v>0</v>
      </c>
      <c r="C26" s="921">
        <v>0</v>
      </c>
      <c r="D26" s="921">
        <v>0</v>
      </c>
      <c r="E26"/>
    </row>
    <row r="27" spans="1:5">
      <c r="A27" s="572" t="s">
        <v>271</v>
      </c>
      <c r="B27" s="921">
        <v>0</v>
      </c>
      <c r="C27" s="921">
        <v>0</v>
      </c>
      <c r="D27" s="921">
        <v>0</v>
      </c>
      <c r="E27"/>
    </row>
    <row r="28" spans="1:5">
      <c r="A28" s="572" t="s">
        <v>178</v>
      </c>
      <c r="B28" s="921">
        <v>875</v>
      </c>
      <c r="C28" s="921">
        <v>875</v>
      </c>
      <c r="D28" s="921">
        <v>875</v>
      </c>
      <c r="E28"/>
    </row>
    <row r="29" spans="1:5">
      <c r="A29" s="572" t="s">
        <v>152</v>
      </c>
      <c r="B29" s="921">
        <v>132</v>
      </c>
      <c r="C29" s="921">
        <v>132</v>
      </c>
      <c r="D29" s="921">
        <v>132</v>
      </c>
      <c r="E29"/>
    </row>
    <row r="30" spans="1:5">
      <c r="A30" s="572" t="s">
        <v>256</v>
      </c>
      <c r="B30" s="921">
        <v>0</v>
      </c>
      <c r="C30" s="921">
        <v>0</v>
      </c>
      <c r="D30" s="921">
        <v>0</v>
      </c>
      <c r="E30"/>
    </row>
    <row r="31" spans="1:5">
      <c r="A31" s="572" t="s">
        <v>1043</v>
      </c>
      <c r="B31" s="921">
        <v>0</v>
      </c>
      <c r="C31" s="921">
        <v>0</v>
      </c>
      <c r="D31" s="921">
        <v>0</v>
      </c>
      <c r="E31"/>
    </row>
    <row r="32" spans="1:5">
      <c r="A32" s="572" t="s">
        <v>3058</v>
      </c>
      <c r="B32" s="921">
        <v>0</v>
      </c>
      <c r="C32" s="921">
        <v>0</v>
      </c>
      <c r="D32" s="921">
        <v>0</v>
      </c>
      <c r="E32"/>
    </row>
    <row r="33" spans="1:5">
      <c r="A33" s="572" t="s">
        <v>257</v>
      </c>
      <c r="B33" s="921">
        <v>519</v>
      </c>
      <c r="C33" s="921">
        <v>519</v>
      </c>
      <c r="D33" s="921">
        <v>519</v>
      </c>
      <c r="E33"/>
    </row>
    <row r="34" spans="1:5">
      <c r="A34" s="572" t="s">
        <v>150</v>
      </c>
      <c r="B34" s="921">
        <v>0</v>
      </c>
      <c r="C34" s="921">
        <v>0</v>
      </c>
      <c r="D34" s="921">
        <v>0</v>
      </c>
      <c r="E34"/>
    </row>
    <row r="35" spans="1:5">
      <c r="A35" s="572" t="s">
        <v>220</v>
      </c>
      <c r="B35" s="921">
        <v>1500</v>
      </c>
      <c r="C35" s="921">
        <v>3425</v>
      </c>
      <c r="D35" s="921">
        <v>3659</v>
      </c>
      <c r="E35"/>
    </row>
    <row r="36" spans="1:5">
      <c r="A36" s="572" t="s">
        <v>2079</v>
      </c>
      <c r="B36" s="921">
        <v>0</v>
      </c>
      <c r="C36" s="921">
        <v>0</v>
      </c>
      <c r="D36" s="921">
        <v>0</v>
      </c>
      <c r="E36"/>
    </row>
    <row r="37" spans="1:5">
      <c r="A37" s="572" t="s">
        <v>3036</v>
      </c>
      <c r="B37" s="921">
        <v>93</v>
      </c>
      <c r="C37" s="921">
        <v>120</v>
      </c>
      <c r="D37" s="921">
        <v>120</v>
      </c>
      <c r="E37"/>
    </row>
    <row r="38" spans="1:5">
      <c r="A38" s="572" t="s">
        <v>201</v>
      </c>
      <c r="B38" s="921">
        <v>0</v>
      </c>
      <c r="C38" s="921">
        <v>291</v>
      </c>
      <c r="D38" s="921">
        <v>291</v>
      </c>
      <c r="E38"/>
    </row>
    <row r="39" spans="1:5">
      <c r="A39" s="572" t="s">
        <v>227</v>
      </c>
      <c r="B39" s="921">
        <v>0</v>
      </c>
      <c r="C39" s="921">
        <v>0</v>
      </c>
      <c r="D39" s="921">
        <v>680</v>
      </c>
      <c r="E39"/>
    </row>
    <row r="40" spans="1:5">
      <c r="A40" s="572" t="s">
        <v>1083</v>
      </c>
      <c r="B40" s="921">
        <v>0</v>
      </c>
      <c r="C40" s="921">
        <v>0</v>
      </c>
      <c r="D40" s="921">
        <v>0</v>
      </c>
      <c r="E40"/>
    </row>
    <row r="41" spans="1:5">
      <c r="A41" s="572" t="s">
        <v>164</v>
      </c>
      <c r="B41" s="921">
        <v>1050</v>
      </c>
      <c r="C41" s="921">
        <v>1050</v>
      </c>
      <c r="D41" s="921">
        <v>1050</v>
      </c>
      <c r="E41"/>
    </row>
    <row r="42" spans="1:5">
      <c r="A42" s="572" t="s">
        <v>236</v>
      </c>
      <c r="B42" s="921">
        <v>430</v>
      </c>
      <c r="C42" s="921">
        <v>430</v>
      </c>
      <c r="D42" s="921">
        <v>430</v>
      </c>
      <c r="E42"/>
    </row>
    <row r="43" spans="1:5">
      <c r="A43" s="572" t="s">
        <v>2166</v>
      </c>
      <c r="B43" s="921">
        <v>489</v>
      </c>
      <c r="C43" s="921">
        <v>489</v>
      </c>
      <c r="D43" s="921">
        <v>489</v>
      </c>
      <c r="E43"/>
    </row>
    <row r="44" spans="1:5">
      <c r="A44" s="924" t="s">
        <v>293</v>
      </c>
      <c r="B44" s="921">
        <v>1000</v>
      </c>
      <c r="C44" s="921">
        <v>8786</v>
      </c>
      <c r="D44" s="921">
        <v>4500</v>
      </c>
      <c r="E44"/>
    </row>
    <row r="45" spans="1:5">
      <c r="A45" s="572" t="s">
        <v>1111</v>
      </c>
      <c r="B45" s="921">
        <v>39</v>
      </c>
      <c r="C45" s="921">
        <v>30</v>
      </c>
      <c r="D45" s="921">
        <v>30</v>
      </c>
      <c r="E45"/>
    </row>
    <row r="46" spans="1:5">
      <c r="A46" s="572" t="s">
        <v>210</v>
      </c>
      <c r="B46" s="921">
        <v>0</v>
      </c>
      <c r="C46" s="921">
        <v>106</v>
      </c>
      <c r="D46" s="921">
        <v>106</v>
      </c>
      <c r="E46"/>
    </row>
    <row r="47" spans="1:5">
      <c r="A47" s="572" t="s">
        <v>2021</v>
      </c>
      <c r="B47" s="921">
        <v>63</v>
      </c>
      <c r="C47" s="921">
        <v>63</v>
      </c>
      <c r="D47" s="921">
        <v>63</v>
      </c>
      <c r="E47"/>
    </row>
    <row r="48" spans="1:5">
      <c r="A48" s="572" t="s">
        <v>212</v>
      </c>
      <c r="B48" s="921">
        <v>0</v>
      </c>
      <c r="C48" s="921">
        <v>94</v>
      </c>
      <c r="D48" s="921">
        <v>94</v>
      </c>
      <c r="E48"/>
    </row>
    <row r="49" spans="1:5">
      <c r="A49" s="572" t="s">
        <v>1021</v>
      </c>
      <c r="B49" s="921">
        <v>0</v>
      </c>
      <c r="C49" s="921">
        <v>0</v>
      </c>
      <c r="D49" s="921">
        <v>0</v>
      </c>
      <c r="E49"/>
    </row>
    <row r="50" spans="1:5">
      <c r="A50" s="572" t="s">
        <v>156</v>
      </c>
      <c r="B50" s="921">
        <v>66</v>
      </c>
      <c r="C50" s="921">
        <v>66</v>
      </c>
      <c r="D50" s="921">
        <v>66</v>
      </c>
      <c r="E50"/>
    </row>
    <row r="51" spans="1:5">
      <c r="A51" s="572" t="s">
        <v>292</v>
      </c>
      <c r="B51" s="921">
        <v>0</v>
      </c>
      <c r="C51" s="921">
        <v>0</v>
      </c>
      <c r="D51" s="921">
        <v>0</v>
      </c>
      <c r="E51"/>
    </row>
    <row r="52" spans="1:5">
      <c r="A52" s="572" t="s">
        <v>2003</v>
      </c>
      <c r="B52" s="921">
        <v>396</v>
      </c>
      <c r="C52" s="921">
        <v>396</v>
      </c>
      <c r="D52" s="921">
        <v>396</v>
      </c>
      <c r="E52"/>
    </row>
    <row r="53" spans="1:5">
      <c r="A53" s="572" t="s">
        <v>297</v>
      </c>
      <c r="B53" s="921">
        <v>2455</v>
      </c>
      <c r="C53" s="921">
        <v>2691</v>
      </c>
      <c r="D53" s="921">
        <v>2691</v>
      </c>
      <c r="E53"/>
    </row>
    <row r="54" spans="1:5">
      <c r="A54" s="572" t="s">
        <v>2019</v>
      </c>
      <c r="B54" s="921">
        <v>218</v>
      </c>
      <c r="C54" s="921">
        <v>218</v>
      </c>
      <c r="D54" s="921">
        <v>218</v>
      </c>
      <c r="E54"/>
    </row>
    <row r="55" spans="1:5">
      <c r="A55" s="572" t="s">
        <v>246</v>
      </c>
      <c r="B55" s="921">
        <v>672</v>
      </c>
      <c r="C55" s="921">
        <v>672</v>
      </c>
      <c r="D55" s="921">
        <v>672</v>
      </c>
      <c r="E55"/>
    </row>
    <row r="56" spans="1:5">
      <c r="A56" s="572" t="s">
        <v>2080</v>
      </c>
      <c r="B56" s="921">
        <v>0</v>
      </c>
      <c r="C56" s="921">
        <v>0</v>
      </c>
      <c r="D56" s="921">
        <v>0</v>
      </c>
      <c r="E56"/>
    </row>
    <row r="57" spans="1:5">
      <c r="A57" s="572" t="s">
        <v>166</v>
      </c>
      <c r="B57" s="921">
        <v>500</v>
      </c>
      <c r="C57" s="921">
        <v>500</v>
      </c>
      <c r="D57" s="921">
        <v>500</v>
      </c>
      <c r="E57"/>
    </row>
    <row r="58" spans="1:5">
      <c r="A58" s="572" t="s">
        <v>167</v>
      </c>
      <c r="B58" s="921">
        <v>500</v>
      </c>
      <c r="C58" s="921">
        <v>500</v>
      </c>
      <c r="D58" s="921">
        <v>500</v>
      </c>
      <c r="E58"/>
    </row>
    <row r="59" spans="1:5">
      <c r="A59" s="572" t="s">
        <v>250</v>
      </c>
      <c r="B59" s="921">
        <v>856</v>
      </c>
      <c r="C59" s="921">
        <v>895</v>
      </c>
      <c r="D59" s="921">
        <v>895</v>
      </c>
      <c r="E59"/>
    </row>
    <row r="60" spans="1:5">
      <c r="A60" s="572" t="s">
        <v>258</v>
      </c>
      <c r="B60" s="921">
        <v>103</v>
      </c>
      <c r="C60" s="921">
        <v>103</v>
      </c>
      <c r="D60" s="921">
        <v>103</v>
      </c>
      <c r="E60"/>
    </row>
    <row r="61" spans="1:5">
      <c r="A61" s="572" t="s">
        <v>259</v>
      </c>
      <c r="B61" s="921">
        <v>60</v>
      </c>
      <c r="C61" s="921">
        <v>60</v>
      </c>
      <c r="D61" s="921">
        <v>60</v>
      </c>
      <c r="E61"/>
    </row>
    <row r="62" spans="1:5">
      <c r="A62" s="572" t="s">
        <v>203</v>
      </c>
      <c r="B62" s="921">
        <v>0</v>
      </c>
      <c r="C62" s="921">
        <v>800</v>
      </c>
      <c r="D62" s="921">
        <v>800</v>
      </c>
      <c r="E62"/>
    </row>
    <row r="63" spans="1:5">
      <c r="A63" s="572" t="s">
        <v>284</v>
      </c>
      <c r="B63" s="921">
        <v>241</v>
      </c>
      <c r="C63" s="921">
        <v>209</v>
      </c>
      <c r="D63" s="921">
        <v>209</v>
      </c>
      <c r="E63"/>
    </row>
    <row r="64" spans="1:5">
      <c r="A64" s="924" t="s">
        <v>285</v>
      </c>
      <c r="B64" s="921">
        <v>289</v>
      </c>
      <c r="C64" s="921">
        <v>291</v>
      </c>
      <c r="D64" s="921">
        <v>310</v>
      </c>
      <c r="E64"/>
    </row>
    <row r="65" spans="1:5">
      <c r="A65" s="572" t="s">
        <v>286</v>
      </c>
      <c r="B65" s="921">
        <v>1138</v>
      </c>
      <c r="C65" s="921">
        <v>1267</v>
      </c>
      <c r="D65" s="921">
        <v>1267</v>
      </c>
      <c r="E65"/>
    </row>
    <row r="66" spans="1:5">
      <c r="A66" s="572" t="s">
        <v>2071</v>
      </c>
      <c r="B66" s="921">
        <v>329</v>
      </c>
      <c r="C66" s="921">
        <v>329</v>
      </c>
      <c r="D66" s="921">
        <v>329</v>
      </c>
      <c r="E66"/>
    </row>
    <row r="67" spans="1:5">
      <c r="A67" s="572" t="s">
        <v>177</v>
      </c>
      <c r="B67" s="921">
        <v>289</v>
      </c>
      <c r="C67" s="921">
        <v>289</v>
      </c>
      <c r="D67" s="921">
        <v>289</v>
      </c>
      <c r="E67"/>
    </row>
    <row r="68" spans="1:5">
      <c r="A68" s="572" t="s">
        <v>3063</v>
      </c>
      <c r="B68" s="921">
        <v>0</v>
      </c>
      <c r="C68" s="921">
        <v>0</v>
      </c>
      <c r="D68" s="921">
        <v>0</v>
      </c>
      <c r="E68"/>
    </row>
    <row r="69" spans="1:5">
      <c r="A69" s="572" t="s">
        <v>291</v>
      </c>
      <c r="B69" s="921">
        <v>0</v>
      </c>
      <c r="C69" s="921">
        <v>0</v>
      </c>
      <c r="D69" s="921">
        <v>0</v>
      </c>
      <c r="E69"/>
    </row>
    <row r="70" spans="1:5">
      <c r="A70" s="572" t="s">
        <v>2175</v>
      </c>
      <c r="B70" s="921">
        <v>78</v>
      </c>
      <c r="C70" s="921">
        <v>78</v>
      </c>
      <c r="D70" s="921">
        <v>78</v>
      </c>
      <c r="E70"/>
    </row>
    <row r="71" spans="1:5">
      <c r="A71" s="572" t="s">
        <v>179</v>
      </c>
      <c r="B71" s="921">
        <v>159</v>
      </c>
      <c r="C71" s="921">
        <v>159</v>
      </c>
      <c r="D71" s="921">
        <v>159</v>
      </c>
      <c r="E71"/>
    </row>
    <row r="72" spans="1:5">
      <c r="A72" s="572" t="s">
        <v>180</v>
      </c>
      <c r="B72" s="921">
        <v>0</v>
      </c>
      <c r="C72" s="921">
        <v>0</v>
      </c>
      <c r="D72" s="921">
        <v>0</v>
      </c>
      <c r="E72"/>
    </row>
    <row r="73" spans="1:5">
      <c r="A73" s="572" t="s">
        <v>272</v>
      </c>
      <c r="B73" s="921">
        <v>0</v>
      </c>
      <c r="C73" s="921">
        <v>0</v>
      </c>
      <c r="D73" s="921">
        <v>0</v>
      </c>
      <c r="E73"/>
    </row>
    <row r="74" spans="1:5">
      <c r="A74" s="572" t="s">
        <v>240</v>
      </c>
      <c r="B74" s="921">
        <v>1481</v>
      </c>
      <c r="C74" s="921">
        <v>1481</v>
      </c>
      <c r="D74" s="921">
        <v>1481</v>
      </c>
      <c r="E74"/>
    </row>
    <row r="75" spans="1:5">
      <c r="A75" s="572" t="s">
        <v>181</v>
      </c>
      <c r="B75" s="921">
        <v>2500</v>
      </c>
      <c r="C75" s="921">
        <v>2500</v>
      </c>
      <c r="D75" s="921">
        <v>2500</v>
      </c>
      <c r="E75"/>
    </row>
    <row r="76" spans="1:5">
      <c r="A76" s="572" t="s">
        <v>182</v>
      </c>
      <c r="B76" s="921">
        <v>191</v>
      </c>
      <c r="C76" s="921">
        <v>191</v>
      </c>
      <c r="D76" s="921">
        <v>191</v>
      </c>
      <c r="E76"/>
    </row>
    <row r="77" spans="1:5">
      <c r="A77" s="572" t="s">
        <v>186</v>
      </c>
      <c r="B77" s="921">
        <v>1855</v>
      </c>
      <c r="C77" s="921">
        <v>1900</v>
      </c>
      <c r="D77" s="921">
        <v>1900</v>
      </c>
      <c r="E77"/>
    </row>
    <row r="78" spans="1:5">
      <c r="A78" s="572" t="s">
        <v>41</v>
      </c>
      <c r="B78" s="921">
        <v>694</v>
      </c>
      <c r="C78" s="921">
        <v>694</v>
      </c>
      <c r="D78" s="921">
        <v>694</v>
      </c>
      <c r="E78"/>
    </row>
    <row r="79" spans="1:5">
      <c r="A79" s="572" t="s">
        <v>168</v>
      </c>
      <c r="B79" s="921">
        <v>290</v>
      </c>
      <c r="C79" s="921">
        <v>290</v>
      </c>
      <c r="D79" s="921">
        <v>290</v>
      </c>
      <c r="E79"/>
    </row>
    <row r="80" spans="1:5">
      <c r="A80" s="572" t="s">
        <v>213</v>
      </c>
      <c r="B80" s="921">
        <v>0</v>
      </c>
      <c r="C80" s="921">
        <v>500</v>
      </c>
      <c r="D80" s="921">
        <v>741</v>
      </c>
      <c r="E80"/>
    </row>
    <row r="81" spans="1:5">
      <c r="A81" s="572" t="s">
        <v>290</v>
      </c>
      <c r="B81" s="921">
        <v>618</v>
      </c>
      <c r="C81" s="921">
        <v>618</v>
      </c>
      <c r="D81" s="921">
        <v>607</v>
      </c>
      <c r="E81"/>
    </row>
    <row r="82" spans="1:5">
      <c r="A82" s="572" t="s">
        <v>169</v>
      </c>
      <c r="B82" s="921">
        <v>547</v>
      </c>
      <c r="C82" s="921">
        <v>547</v>
      </c>
      <c r="D82" s="921">
        <v>547</v>
      </c>
      <c r="E82"/>
    </row>
    <row r="83" spans="1:5">
      <c r="A83" s="572" t="s">
        <v>3639</v>
      </c>
      <c r="B83" s="921"/>
      <c r="C83" s="921"/>
      <c r="D83" s="921">
        <v>0</v>
      </c>
      <c r="E83"/>
    </row>
    <row r="84" spans="1:5">
      <c r="A84" s="572" t="s">
        <v>301</v>
      </c>
      <c r="B84" s="921">
        <v>500</v>
      </c>
      <c r="C84" s="921">
        <v>500</v>
      </c>
      <c r="D84" s="921">
        <v>500</v>
      </c>
      <c r="E84"/>
    </row>
    <row r="85" spans="1:5">
      <c r="A85" s="572" t="s">
        <v>303</v>
      </c>
      <c r="B85" s="921">
        <v>0</v>
      </c>
      <c r="C85" s="921">
        <v>0</v>
      </c>
      <c r="D85" s="921">
        <v>0</v>
      </c>
      <c r="E85"/>
    </row>
    <row r="86" spans="1:5">
      <c r="A86" s="572" t="s">
        <v>304</v>
      </c>
      <c r="B86" s="921">
        <v>0</v>
      </c>
      <c r="C86" s="921">
        <v>500</v>
      </c>
      <c r="D86" s="921">
        <v>500</v>
      </c>
      <c r="E86"/>
    </row>
    <row r="87" spans="1:5">
      <c r="A87" s="572" t="s">
        <v>305</v>
      </c>
      <c r="B87" s="921">
        <v>0</v>
      </c>
      <c r="C87" s="921">
        <v>0</v>
      </c>
      <c r="D87" s="921">
        <v>0</v>
      </c>
      <c r="E87"/>
    </row>
    <row r="88" spans="1:5">
      <c r="A88" s="572" t="s">
        <v>986</v>
      </c>
      <c r="B88" s="921">
        <v>0</v>
      </c>
      <c r="C88" s="921">
        <v>0</v>
      </c>
      <c r="D88" s="921">
        <v>0</v>
      </c>
      <c r="E88"/>
    </row>
    <row r="89" spans="1:5">
      <c r="A89" s="572" t="s">
        <v>214</v>
      </c>
      <c r="B89" s="921">
        <v>0</v>
      </c>
      <c r="C89" s="921"/>
      <c r="D89" s="921"/>
      <c r="E89"/>
    </row>
    <row r="90" spans="1:5">
      <c r="A90" s="572" t="s">
        <v>196</v>
      </c>
      <c r="B90" s="921">
        <v>0</v>
      </c>
      <c r="C90" s="921">
        <v>789</v>
      </c>
      <c r="D90" s="921">
        <v>789</v>
      </c>
      <c r="E90"/>
    </row>
    <row r="91" spans="1:5">
      <c r="A91" s="572" t="s">
        <v>1004</v>
      </c>
      <c r="B91" s="921">
        <v>0</v>
      </c>
      <c r="C91" s="921">
        <v>0</v>
      </c>
      <c r="D91" s="921">
        <v>0</v>
      </c>
      <c r="E91"/>
    </row>
    <row r="92" spans="1:5">
      <c r="A92" s="572" t="s">
        <v>266</v>
      </c>
      <c r="B92" s="921">
        <v>0</v>
      </c>
      <c r="C92" s="921">
        <v>0</v>
      </c>
      <c r="D92" s="921">
        <v>0</v>
      </c>
      <c r="E92"/>
    </row>
    <row r="93" spans="1:5">
      <c r="A93" s="572" t="s">
        <v>267</v>
      </c>
      <c r="B93" s="921">
        <v>123</v>
      </c>
      <c r="C93" s="921">
        <v>123</v>
      </c>
      <c r="D93" s="921">
        <v>123</v>
      </c>
      <c r="E93"/>
    </row>
    <row r="94" spans="1:5">
      <c r="A94" s="572" t="s">
        <v>260</v>
      </c>
      <c r="B94" s="921">
        <v>0</v>
      </c>
      <c r="C94" s="921">
        <v>0</v>
      </c>
      <c r="D94" s="921">
        <v>0</v>
      </c>
      <c r="E94"/>
    </row>
    <row r="95" spans="1:5">
      <c r="A95" s="572" t="s">
        <v>1039</v>
      </c>
      <c r="B95" s="921">
        <v>0</v>
      </c>
      <c r="C95" s="921">
        <v>0</v>
      </c>
      <c r="D95" s="921">
        <v>0</v>
      </c>
      <c r="E95"/>
    </row>
    <row r="96" spans="1:5">
      <c r="A96" s="572" t="s">
        <v>216</v>
      </c>
      <c r="B96" s="921">
        <v>0</v>
      </c>
      <c r="C96" s="921">
        <v>527</v>
      </c>
      <c r="D96" s="921">
        <v>527</v>
      </c>
      <c r="E96"/>
    </row>
    <row r="97" spans="1:5">
      <c r="A97" s="572" t="s">
        <v>3128</v>
      </c>
      <c r="B97" s="921">
        <v>161</v>
      </c>
      <c r="C97" s="921">
        <v>197</v>
      </c>
      <c r="D97" s="921">
        <v>197</v>
      </c>
      <c r="E97"/>
    </row>
    <row r="98" spans="1:5">
      <c r="A98" s="572" t="s">
        <v>1013</v>
      </c>
      <c r="B98" s="921">
        <v>0</v>
      </c>
      <c r="C98" s="921">
        <v>0</v>
      </c>
      <c r="D98" s="921">
        <v>0</v>
      </c>
      <c r="E98"/>
    </row>
    <row r="99" spans="1:5">
      <c r="A99" s="572" t="s">
        <v>204</v>
      </c>
      <c r="B99" s="921">
        <v>0</v>
      </c>
      <c r="C99" s="921">
        <v>45</v>
      </c>
      <c r="D99" s="921">
        <v>45</v>
      </c>
      <c r="E99"/>
    </row>
    <row r="100" spans="1:5">
      <c r="A100" s="572" t="s">
        <v>193</v>
      </c>
      <c r="B100" s="921">
        <v>0</v>
      </c>
      <c r="C100" s="921">
        <v>0</v>
      </c>
      <c r="D100" s="921">
        <v>0</v>
      </c>
      <c r="E100"/>
    </row>
    <row r="101" spans="1:5">
      <c r="A101" s="572" t="s">
        <v>2002</v>
      </c>
      <c r="B101" s="921">
        <v>235</v>
      </c>
      <c r="C101" s="921">
        <v>235</v>
      </c>
      <c r="D101" s="921">
        <v>235</v>
      </c>
      <c r="E101"/>
    </row>
    <row r="102" spans="1:5">
      <c r="A102" s="572" t="s">
        <v>1023</v>
      </c>
      <c r="B102" s="921">
        <v>0</v>
      </c>
      <c r="C102" s="921">
        <v>0</v>
      </c>
      <c r="D102" s="921">
        <v>0</v>
      </c>
      <c r="E102"/>
    </row>
    <row r="103" spans="1:5">
      <c r="A103" s="572" t="s">
        <v>261</v>
      </c>
      <c r="B103" s="921">
        <v>42</v>
      </c>
      <c r="C103" s="921">
        <v>42</v>
      </c>
      <c r="D103" s="921">
        <v>42</v>
      </c>
      <c r="E103"/>
    </row>
    <row r="104" spans="1:5">
      <c r="A104" s="572" t="s">
        <v>2073</v>
      </c>
      <c r="B104" s="921">
        <v>36</v>
      </c>
      <c r="C104" s="921">
        <v>36</v>
      </c>
      <c r="D104" s="921">
        <v>36</v>
      </c>
      <c r="E104"/>
    </row>
    <row r="105" spans="1:5">
      <c r="A105" s="572" t="s">
        <v>2174</v>
      </c>
      <c r="B105" s="921">
        <v>474</v>
      </c>
      <c r="C105" s="921">
        <v>474</v>
      </c>
      <c r="D105" s="921">
        <v>474</v>
      </c>
      <c r="E105"/>
    </row>
    <row r="106" spans="1:5">
      <c r="A106" s="572" t="s">
        <v>237</v>
      </c>
      <c r="B106" s="921">
        <v>309</v>
      </c>
      <c r="C106" s="921">
        <v>309</v>
      </c>
      <c r="D106" s="921">
        <v>309</v>
      </c>
      <c r="E106"/>
    </row>
    <row r="107" spans="1:5">
      <c r="A107" s="572" t="s">
        <v>206</v>
      </c>
      <c r="B107" s="921">
        <v>0</v>
      </c>
      <c r="C107" s="921"/>
      <c r="D107" s="921"/>
      <c r="E107"/>
    </row>
    <row r="108" spans="1:5">
      <c r="A108" s="572" t="s">
        <v>234</v>
      </c>
      <c r="B108" s="921">
        <v>218</v>
      </c>
      <c r="C108" s="921">
        <v>218</v>
      </c>
      <c r="D108" s="921">
        <v>218</v>
      </c>
      <c r="E108"/>
    </row>
    <row r="109" spans="1:5">
      <c r="A109" s="572" t="s">
        <v>158</v>
      </c>
      <c r="B109" s="921">
        <v>41</v>
      </c>
      <c r="C109" s="921">
        <v>41</v>
      </c>
      <c r="D109" s="921">
        <v>41</v>
      </c>
      <c r="E109"/>
    </row>
    <row r="110" spans="1:5">
      <c r="A110" s="572" t="s">
        <v>273</v>
      </c>
      <c r="B110" s="921">
        <v>0</v>
      </c>
      <c r="C110" s="921">
        <v>0</v>
      </c>
      <c r="D110" s="921">
        <v>0</v>
      </c>
      <c r="E110"/>
    </row>
    <row r="111" spans="1:5">
      <c r="A111" s="572" t="s">
        <v>161</v>
      </c>
      <c r="B111" s="921">
        <v>113</v>
      </c>
      <c r="C111" s="921">
        <v>113</v>
      </c>
      <c r="D111" s="921">
        <v>113</v>
      </c>
      <c r="E111"/>
    </row>
    <row r="112" spans="1:5">
      <c r="A112" s="572" t="s">
        <v>188</v>
      </c>
      <c r="B112" s="921">
        <v>547</v>
      </c>
      <c r="C112" s="921">
        <v>547</v>
      </c>
      <c r="D112" s="921">
        <v>547</v>
      </c>
      <c r="E112"/>
    </row>
    <row r="113" spans="1:5">
      <c r="A113" s="572" t="s">
        <v>298</v>
      </c>
      <c r="B113" s="921">
        <v>1658</v>
      </c>
      <c r="C113" s="921">
        <v>1675</v>
      </c>
      <c r="D113" s="921">
        <v>1675</v>
      </c>
      <c r="E113"/>
    </row>
    <row r="114" spans="1:5">
      <c r="A114" s="572" t="s">
        <v>170</v>
      </c>
      <c r="B114" s="921">
        <v>281</v>
      </c>
      <c r="C114" s="921">
        <v>281</v>
      </c>
      <c r="D114" s="921">
        <v>281</v>
      </c>
      <c r="E114"/>
    </row>
    <row r="115" spans="1:5">
      <c r="A115" s="572" t="s">
        <v>287</v>
      </c>
      <c r="B115" s="921">
        <v>294</v>
      </c>
      <c r="C115" s="921">
        <v>294</v>
      </c>
      <c r="D115" s="921">
        <v>294</v>
      </c>
      <c r="E115"/>
    </row>
    <row r="116" spans="1:5">
      <c r="A116" s="572" t="s">
        <v>238</v>
      </c>
      <c r="B116" s="921">
        <v>882</v>
      </c>
      <c r="C116" s="921">
        <v>882</v>
      </c>
      <c r="D116" s="921">
        <v>882</v>
      </c>
      <c r="E116"/>
    </row>
    <row r="117" spans="1:5">
      <c r="A117" s="572" t="s">
        <v>2167</v>
      </c>
      <c r="B117" s="921">
        <v>0</v>
      </c>
      <c r="C117" s="921">
        <v>0</v>
      </c>
      <c r="D117" s="921">
        <v>0</v>
      </c>
      <c r="E117"/>
    </row>
    <row r="118" spans="1:5">
      <c r="A118" s="572" t="s">
        <v>299</v>
      </c>
      <c r="B118" s="921">
        <v>3050</v>
      </c>
      <c r="C118" s="921">
        <v>2975</v>
      </c>
      <c r="D118" s="921">
        <v>2975</v>
      </c>
      <c r="E118"/>
    </row>
    <row r="119" spans="1:5">
      <c r="A119" s="572" t="s">
        <v>183</v>
      </c>
      <c r="B119" s="921">
        <v>846</v>
      </c>
      <c r="C119" s="921">
        <v>846</v>
      </c>
      <c r="D119" s="921">
        <v>846</v>
      </c>
      <c r="E119"/>
    </row>
    <row r="120" spans="1:5">
      <c r="A120" s="572" t="s">
        <v>3091</v>
      </c>
      <c r="B120" s="921"/>
      <c r="C120" s="921">
        <v>30</v>
      </c>
      <c r="D120" s="921">
        <v>30</v>
      </c>
      <c r="E120"/>
    </row>
    <row r="121" spans="1:5">
      <c r="A121" s="572" t="s">
        <v>228</v>
      </c>
      <c r="B121" s="921">
        <v>0</v>
      </c>
      <c r="C121" s="921">
        <v>0</v>
      </c>
      <c r="D121" s="921">
        <v>0</v>
      </c>
      <c r="E121"/>
    </row>
    <row r="122" spans="1:5">
      <c r="A122" s="572" t="s">
        <v>2070</v>
      </c>
      <c r="B122" s="921">
        <v>0</v>
      </c>
      <c r="C122" s="921">
        <v>0</v>
      </c>
      <c r="D122" s="921">
        <v>0</v>
      </c>
      <c r="E122"/>
    </row>
    <row r="123" spans="1:5">
      <c r="A123" s="572" t="s">
        <v>282</v>
      </c>
      <c r="B123" s="921">
        <v>514</v>
      </c>
      <c r="C123" s="921">
        <v>514</v>
      </c>
      <c r="D123" s="921">
        <v>514</v>
      </c>
      <c r="E123"/>
    </row>
    <row r="124" spans="1:5">
      <c r="A124" s="924" t="s">
        <v>241</v>
      </c>
      <c r="B124" s="921">
        <v>612</v>
      </c>
      <c r="C124" s="921">
        <v>612</v>
      </c>
      <c r="D124" s="921">
        <v>612</v>
      </c>
      <c r="E124"/>
    </row>
    <row r="125" spans="1:5">
      <c r="A125" s="572" t="s">
        <v>274</v>
      </c>
      <c r="B125" s="921">
        <v>0</v>
      </c>
      <c r="C125" s="921">
        <v>0</v>
      </c>
      <c r="D125" s="921">
        <v>0</v>
      </c>
      <c r="E125"/>
    </row>
    <row r="126" spans="1:5">
      <c r="A126" s="572" t="s">
        <v>184</v>
      </c>
      <c r="B126" s="921">
        <v>307</v>
      </c>
      <c r="C126" s="921">
        <v>307</v>
      </c>
      <c r="D126" s="921">
        <v>307</v>
      </c>
      <c r="E126"/>
    </row>
    <row r="127" spans="1:5">
      <c r="A127" s="572" t="s">
        <v>275</v>
      </c>
      <c r="B127" s="921">
        <v>0</v>
      </c>
      <c r="C127" s="921">
        <v>0</v>
      </c>
      <c r="D127" s="921">
        <v>0</v>
      </c>
      <c r="E127"/>
    </row>
    <row r="128" spans="1:5">
      <c r="A128" s="572" t="s">
        <v>262</v>
      </c>
      <c r="B128" s="921">
        <v>38</v>
      </c>
      <c r="C128" s="921">
        <v>38</v>
      </c>
      <c r="D128" s="921">
        <v>38</v>
      </c>
      <c r="E128"/>
    </row>
    <row r="129" spans="1:5">
      <c r="A129" s="572" t="s">
        <v>283</v>
      </c>
      <c r="B129" s="921">
        <v>3140</v>
      </c>
      <c r="C129" s="921">
        <v>3000</v>
      </c>
      <c r="D129" s="921">
        <v>3000</v>
      </c>
      <c r="E129"/>
    </row>
    <row r="130" spans="1:5">
      <c r="A130" s="572" t="s">
        <v>3088</v>
      </c>
      <c r="B130" s="921">
        <v>0</v>
      </c>
      <c r="C130" s="921">
        <v>0</v>
      </c>
      <c r="D130" s="921">
        <v>0</v>
      </c>
      <c r="E130"/>
    </row>
    <row r="131" spans="1:5">
      <c r="A131" s="572" t="s">
        <v>1059</v>
      </c>
      <c r="B131" s="921">
        <v>0</v>
      </c>
      <c r="C131" s="921">
        <v>0</v>
      </c>
      <c r="D131" s="921">
        <v>0</v>
      </c>
      <c r="E131"/>
    </row>
    <row r="132" spans="1:5">
      <c r="A132" s="572" t="s">
        <v>190</v>
      </c>
      <c r="B132" s="921">
        <v>325</v>
      </c>
      <c r="C132" s="921">
        <v>325</v>
      </c>
      <c r="D132" s="921">
        <v>325</v>
      </c>
      <c r="E132"/>
    </row>
    <row r="133" spans="1:5">
      <c r="A133" s="572" t="s">
        <v>3641</v>
      </c>
      <c r="B133" s="921"/>
      <c r="C133" s="921"/>
      <c r="D133" s="921">
        <v>0</v>
      </c>
      <c r="E133"/>
    </row>
    <row r="134" spans="1:5">
      <c r="A134" s="572" t="s">
        <v>159</v>
      </c>
      <c r="B134" s="921">
        <v>136</v>
      </c>
      <c r="C134" s="921">
        <v>136</v>
      </c>
      <c r="D134" s="921">
        <v>136</v>
      </c>
      <c r="E134"/>
    </row>
    <row r="135" spans="1:5">
      <c r="A135" s="572" t="s">
        <v>230</v>
      </c>
      <c r="B135" s="921">
        <v>173</v>
      </c>
      <c r="C135" s="921">
        <v>173</v>
      </c>
      <c r="D135" s="921">
        <v>173</v>
      </c>
      <c r="E135"/>
    </row>
    <row r="136" spans="1:5">
      <c r="A136" s="572" t="s">
        <v>3130</v>
      </c>
      <c r="B136" s="921">
        <v>0</v>
      </c>
      <c r="C136" s="921">
        <v>0</v>
      </c>
      <c r="D136" s="921">
        <v>0</v>
      </c>
      <c r="E136"/>
    </row>
    <row r="137" spans="1:5">
      <c r="A137" s="572" t="s">
        <v>289</v>
      </c>
      <c r="B137" s="921">
        <v>250</v>
      </c>
      <c r="C137" s="921">
        <v>255</v>
      </c>
      <c r="D137" s="921">
        <v>255</v>
      </c>
      <c r="E137"/>
    </row>
    <row r="138" spans="1:5">
      <c r="A138" s="572" t="s">
        <v>146</v>
      </c>
      <c r="B138" s="921">
        <v>1775</v>
      </c>
      <c r="C138" s="921">
        <v>1775</v>
      </c>
      <c r="D138" s="921">
        <v>1775</v>
      </c>
      <c r="E138"/>
    </row>
    <row r="139" spans="1:5">
      <c r="A139" s="572" t="s">
        <v>191</v>
      </c>
      <c r="B139" s="921">
        <v>103</v>
      </c>
      <c r="C139" s="921">
        <v>103</v>
      </c>
      <c r="D139" s="921">
        <v>103</v>
      </c>
      <c r="E139"/>
    </row>
    <row r="140" spans="1:5">
      <c r="A140" s="572" t="s">
        <v>192</v>
      </c>
      <c r="B140" s="921">
        <v>0</v>
      </c>
      <c r="C140" s="921">
        <v>0</v>
      </c>
      <c r="D140" s="921">
        <v>0</v>
      </c>
      <c r="E140"/>
    </row>
    <row r="141" spans="1:5">
      <c r="A141" s="572" t="s">
        <v>194</v>
      </c>
      <c r="B141" s="921">
        <v>80</v>
      </c>
      <c r="C141" s="921">
        <v>80</v>
      </c>
      <c r="D141" s="921">
        <v>80</v>
      </c>
      <c r="E141"/>
    </row>
    <row r="142" spans="1:5">
      <c r="A142" s="572" t="s">
        <v>171</v>
      </c>
      <c r="B142" s="921">
        <v>534</v>
      </c>
      <c r="C142" s="921">
        <v>534</v>
      </c>
      <c r="D142" s="921">
        <v>534</v>
      </c>
      <c r="E142"/>
    </row>
    <row r="143" spans="1:5">
      <c r="A143" s="572" t="s">
        <v>268</v>
      </c>
      <c r="B143" s="921">
        <v>0</v>
      </c>
      <c r="C143" s="921">
        <v>0</v>
      </c>
      <c r="D143" s="921">
        <v>0</v>
      </c>
      <c r="E143"/>
    </row>
    <row r="144" spans="1:5">
      <c r="A144" s="572" t="s">
        <v>185</v>
      </c>
      <c r="B144" s="921">
        <v>0</v>
      </c>
      <c r="C144" s="921">
        <v>0</v>
      </c>
      <c r="D144" s="921">
        <v>0</v>
      </c>
      <c r="E144"/>
    </row>
    <row r="145" spans="1:5">
      <c r="A145" s="572" t="s">
        <v>218</v>
      </c>
      <c r="B145" s="921">
        <v>0</v>
      </c>
      <c r="C145" s="921">
        <v>298</v>
      </c>
      <c r="D145" s="921">
        <v>298</v>
      </c>
      <c r="E145"/>
    </row>
    <row r="146" spans="1:5">
      <c r="A146" s="572" t="s">
        <v>219</v>
      </c>
      <c r="B146" s="921">
        <v>0</v>
      </c>
      <c r="C146" s="921">
        <v>189</v>
      </c>
      <c r="D146" s="921">
        <v>189</v>
      </c>
      <c r="E146"/>
    </row>
    <row r="147" spans="1:5">
      <c r="A147" s="572" t="s">
        <v>172</v>
      </c>
      <c r="B147" s="921">
        <v>499</v>
      </c>
      <c r="C147" s="921">
        <v>499</v>
      </c>
      <c r="D147" s="921">
        <v>499</v>
      </c>
      <c r="E147"/>
    </row>
    <row r="148" spans="1:5">
      <c r="A148" s="572" t="s">
        <v>142</v>
      </c>
      <c r="B148" s="921">
        <v>122</v>
      </c>
      <c r="C148" s="921"/>
      <c r="D148" s="921"/>
      <c r="E148"/>
    </row>
    <row r="149" spans="1:5">
      <c r="A149" s="572" t="s">
        <v>2296</v>
      </c>
      <c r="B149" s="921">
        <v>0</v>
      </c>
      <c r="C149" s="921">
        <v>30</v>
      </c>
      <c r="D149" s="921">
        <v>30</v>
      </c>
      <c r="E149"/>
    </row>
    <row r="150" spans="1:5">
      <c r="A150" s="572" t="s">
        <v>242</v>
      </c>
      <c r="B150" s="921">
        <v>52</v>
      </c>
      <c r="C150" s="921">
        <v>52</v>
      </c>
      <c r="D150" s="921">
        <v>52</v>
      </c>
      <c r="E150"/>
    </row>
    <row r="151" spans="1:5">
      <c r="A151" s="572" t="s">
        <v>187</v>
      </c>
      <c r="B151" s="921">
        <v>0</v>
      </c>
      <c r="C151" s="921">
        <v>0</v>
      </c>
      <c r="D151" s="921">
        <v>0</v>
      </c>
      <c r="E151"/>
    </row>
    <row r="152" spans="1:5">
      <c r="A152" s="572" t="s">
        <v>2077</v>
      </c>
      <c r="B152" s="921">
        <v>0</v>
      </c>
      <c r="C152" s="921">
        <v>0</v>
      </c>
      <c r="D152" s="921">
        <v>0</v>
      </c>
      <c r="E152"/>
    </row>
    <row r="153" spans="1:5">
      <c r="A153" s="572" t="s">
        <v>1150</v>
      </c>
      <c r="B153" s="921">
        <v>0</v>
      </c>
      <c r="C153" s="921">
        <v>30</v>
      </c>
      <c r="D153" s="921">
        <v>30</v>
      </c>
      <c r="E153"/>
    </row>
    <row r="154" spans="1:5">
      <c r="A154" s="572" t="s">
        <v>2177</v>
      </c>
      <c r="B154" s="921">
        <v>0</v>
      </c>
      <c r="C154" s="921">
        <v>0</v>
      </c>
      <c r="D154" s="921">
        <v>0</v>
      </c>
      <c r="E154"/>
    </row>
    <row r="155" spans="1:5">
      <c r="A155" s="572" t="s">
        <v>173</v>
      </c>
      <c r="B155" s="921">
        <v>351</v>
      </c>
      <c r="C155" s="921">
        <v>351</v>
      </c>
      <c r="D155" s="921">
        <v>351</v>
      </c>
      <c r="E155"/>
    </row>
    <row r="156" spans="1:5">
      <c r="A156" s="572" t="s">
        <v>269</v>
      </c>
      <c r="B156" s="921">
        <v>253</v>
      </c>
      <c r="C156" s="921">
        <v>253</v>
      </c>
      <c r="D156" s="921">
        <v>253</v>
      </c>
      <c r="E156"/>
    </row>
    <row r="157" spans="1:5">
      <c r="A157" s="572" t="s">
        <v>270</v>
      </c>
      <c r="B157" s="921">
        <v>0</v>
      </c>
      <c r="C157" s="921">
        <v>0</v>
      </c>
      <c r="D157" s="921">
        <v>0</v>
      </c>
      <c r="E157"/>
    </row>
    <row r="158" spans="1:5">
      <c r="A158" s="572" t="s">
        <v>174</v>
      </c>
      <c r="B158" s="921">
        <v>165</v>
      </c>
      <c r="C158" s="921">
        <v>165</v>
      </c>
      <c r="D158" s="921">
        <v>165</v>
      </c>
      <c r="E158"/>
    </row>
    <row r="159" spans="1:5">
      <c r="A159" s="572" t="s">
        <v>175</v>
      </c>
      <c r="B159" s="921">
        <v>219</v>
      </c>
      <c r="C159" s="921">
        <v>219</v>
      </c>
      <c r="D159" s="921">
        <v>219</v>
      </c>
      <c r="E159"/>
    </row>
    <row r="160" spans="1:5">
      <c r="A160" s="572" t="s">
        <v>277</v>
      </c>
      <c r="B160" s="921">
        <v>0</v>
      </c>
      <c r="C160" s="921">
        <v>0</v>
      </c>
      <c r="D160" s="921">
        <v>0</v>
      </c>
      <c r="E160"/>
    </row>
    <row r="161" spans="1:5">
      <c r="A161" s="572" t="s">
        <v>2006</v>
      </c>
      <c r="B161" s="921">
        <v>0</v>
      </c>
      <c r="C161" s="921">
        <v>0</v>
      </c>
      <c r="D161" s="921">
        <v>0</v>
      </c>
      <c r="E161"/>
    </row>
    <row r="162" spans="1:5">
      <c r="A162" s="572" t="s">
        <v>1089</v>
      </c>
      <c r="B162" s="921">
        <v>0</v>
      </c>
      <c r="C162" s="921">
        <v>0</v>
      </c>
      <c r="D162" s="921">
        <v>0</v>
      </c>
      <c r="E162"/>
    </row>
    <row r="163" spans="1:5">
      <c r="A163" s="572" t="s">
        <v>2176</v>
      </c>
      <c r="B163" s="921">
        <v>724</v>
      </c>
      <c r="C163" s="921">
        <v>724</v>
      </c>
      <c r="D163" s="921">
        <v>724</v>
      </c>
      <c r="E163"/>
    </row>
    <row r="164" spans="1:5">
      <c r="A164" s="572" t="s">
        <v>2173</v>
      </c>
      <c r="B164" s="921">
        <v>356</v>
      </c>
      <c r="C164" s="921">
        <v>356</v>
      </c>
      <c r="D164" s="921">
        <v>356</v>
      </c>
      <c r="E164"/>
    </row>
    <row r="165" spans="1:5">
      <c r="A165" s="572" t="s">
        <v>278</v>
      </c>
      <c r="B165" s="921">
        <v>0</v>
      </c>
      <c r="C165" s="921">
        <v>0</v>
      </c>
      <c r="D165" s="921">
        <v>0</v>
      </c>
      <c r="E165"/>
    </row>
    <row r="166" spans="1:5">
      <c r="A166" s="572" t="s">
        <v>264</v>
      </c>
      <c r="B166" s="921">
        <v>172</v>
      </c>
      <c r="C166" s="921">
        <v>172</v>
      </c>
      <c r="D166" s="921">
        <v>172</v>
      </c>
      <c r="E166"/>
    </row>
    <row r="167" spans="1:5">
      <c r="A167" s="572" t="s">
        <v>224</v>
      </c>
      <c r="B167" s="921">
        <v>3000</v>
      </c>
      <c r="C167" s="921">
        <v>6225</v>
      </c>
      <c r="D167" s="921">
        <v>6501</v>
      </c>
      <c r="E167"/>
    </row>
    <row r="168" spans="1:5">
      <c r="A168" s="572" t="s">
        <v>226</v>
      </c>
      <c r="B168" s="921">
        <v>0</v>
      </c>
      <c r="C168" s="921">
        <v>0</v>
      </c>
      <c r="D168" s="921">
        <v>709</v>
      </c>
      <c r="E168"/>
    </row>
    <row r="169" spans="1:5">
      <c r="A169" s="572" t="s">
        <v>225</v>
      </c>
      <c r="B169" s="921">
        <v>0</v>
      </c>
      <c r="C169" s="921">
        <v>0</v>
      </c>
      <c r="D169" s="921">
        <v>2550</v>
      </c>
      <c r="E169"/>
    </row>
    <row r="170" spans="1:5">
      <c r="A170" s="572" t="s">
        <v>207</v>
      </c>
      <c r="B170" s="921">
        <v>0</v>
      </c>
      <c r="C170" s="921"/>
      <c r="D170" s="921"/>
      <c r="E170"/>
    </row>
    <row r="171" spans="1:5">
      <c r="A171" s="572" t="s">
        <v>265</v>
      </c>
      <c r="B171" s="921">
        <v>67</v>
      </c>
      <c r="C171" s="921">
        <v>67</v>
      </c>
      <c r="D171" s="921">
        <v>67</v>
      </c>
      <c r="E171"/>
    </row>
    <row r="172" spans="1:5">
      <c r="A172" s="572" t="s">
        <v>2075</v>
      </c>
      <c r="B172" s="921">
        <v>0</v>
      </c>
      <c r="C172" s="921">
        <v>0</v>
      </c>
      <c r="D172" s="921">
        <v>0</v>
      </c>
      <c r="E172"/>
    </row>
    <row r="173" spans="1:5">
      <c r="B173"/>
      <c r="C173"/>
      <c r="D173"/>
      <c r="E173"/>
    </row>
    <row r="174" spans="1:5">
      <c r="B174"/>
      <c r="C174"/>
      <c r="D174"/>
      <c r="E174"/>
    </row>
    <row r="175" spans="1:5">
      <c r="B175"/>
      <c r="C175"/>
      <c r="D175"/>
      <c r="E175"/>
    </row>
    <row r="176" spans="1:5">
      <c r="B176"/>
      <c r="C176"/>
      <c r="D176"/>
      <c r="E176"/>
    </row>
    <row r="177" spans="2:5">
      <c r="B177"/>
      <c r="C177"/>
      <c r="D177"/>
      <c r="E177"/>
    </row>
    <row r="178" spans="2:5">
      <c r="B178"/>
      <c r="C178"/>
      <c r="D178"/>
      <c r="E178"/>
    </row>
    <row r="179" spans="2:5">
      <c r="B179"/>
      <c r="C179"/>
      <c r="D179"/>
      <c r="E179"/>
    </row>
    <row r="180" spans="2:5">
      <c r="B180"/>
      <c r="C180"/>
      <c r="D180"/>
      <c r="E180"/>
    </row>
    <row r="181" spans="2:5">
      <c r="B181"/>
      <c r="C181"/>
      <c r="D181"/>
      <c r="E181"/>
    </row>
    <row r="182" spans="2:5">
      <c r="B182"/>
      <c r="C182"/>
      <c r="D182"/>
      <c r="E182"/>
    </row>
    <row r="183" spans="2:5">
      <c r="B183"/>
      <c r="C183"/>
      <c r="D183"/>
      <c r="E183"/>
    </row>
    <row r="184" spans="2:5">
      <c r="B184"/>
      <c r="C184"/>
      <c r="D184"/>
      <c r="E184"/>
    </row>
    <row r="185" spans="2:5">
      <c r="B185"/>
      <c r="C185"/>
      <c r="D185"/>
      <c r="E185"/>
    </row>
    <row r="186" spans="2:5">
      <c r="B186"/>
      <c r="C186"/>
      <c r="D186"/>
      <c r="E186"/>
    </row>
    <row r="187" spans="2:5">
      <c r="B187"/>
      <c r="C187"/>
      <c r="D187"/>
      <c r="E187"/>
    </row>
    <row r="188" spans="2:5">
      <c r="B188"/>
      <c r="C188"/>
      <c r="D188"/>
      <c r="E188"/>
    </row>
    <row r="189" spans="2:5">
      <c r="B189"/>
      <c r="C189"/>
      <c r="D189"/>
      <c r="E189"/>
    </row>
    <row r="190" spans="2:5">
      <c r="B190"/>
      <c r="C190"/>
      <c r="D190"/>
      <c r="E190"/>
    </row>
    <row r="191" spans="2:5">
      <c r="B191"/>
      <c r="C191"/>
      <c r="D191"/>
      <c r="E191"/>
    </row>
    <row r="192" spans="2:5">
      <c r="B192"/>
      <c r="C192"/>
      <c r="D192"/>
      <c r="E192"/>
    </row>
    <row r="193" spans="2:5">
      <c r="B193"/>
      <c r="C193"/>
      <c r="D193"/>
      <c r="E193"/>
    </row>
    <row r="194" spans="2:5">
      <c r="B194"/>
      <c r="C194"/>
      <c r="D194"/>
      <c r="E194"/>
    </row>
    <row r="195" spans="2:5">
      <c r="B195"/>
      <c r="C195"/>
      <c r="D195"/>
      <c r="E195"/>
    </row>
    <row r="196" spans="2:5">
      <c r="B196"/>
      <c r="C196"/>
      <c r="D196"/>
      <c r="E196"/>
    </row>
    <row r="197" spans="2:5">
      <c r="B197"/>
      <c r="C197"/>
      <c r="D197"/>
      <c r="E197"/>
    </row>
    <row r="198" spans="2:5">
      <c r="B198"/>
      <c r="C198"/>
      <c r="D198"/>
      <c r="E198"/>
    </row>
    <row r="199" spans="2:5">
      <c r="B199"/>
      <c r="C199"/>
      <c r="D199"/>
      <c r="E199"/>
    </row>
    <row r="200" spans="2:5">
      <c r="B200"/>
      <c r="C200"/>
      <c r="D200"/>
      <c r="E200"/>
    </row>
    <row r="201" spans="2:5">
      <c r="B201"/>
      <c r="C201"/>
      <c r="D201"/>
      <c r="E201"/>
    </row>
    <row r="202" spans="2:5">
      <c r="B202"/>
      <c r="C202"/>
      <c r="D202"/>
      <c r="E202"/>
    </row>
    <row r="203" spans="2:5">
      <c r="B203"/>
      <c r="C203"/>
      <c r="D203"/>
      <c r="E203"/>
    </row>
    <row r="204" spans="2:5">
      <c r="B204"/>
      <c r="C204"/>
      <c r="D204"/>
      <c r="E204"/>
    </row>
    <row r="205" spans="2:5">
      <c r="B205"/>
      <c r="C205"/>
      <c r="D205"/>
      <c r="E205"/>
    </row>
    <row r="206" spans="2:5">
      <c r="B206"/>
      <c r="C206"/>
      <c r="D206"/>
      <c r="E206"/>
    </row>
    <row r="207" spans="2:5">
      <c r="B207"/>
      <c r="C207"/>
      <c r="D207"/>
      <c r="E207"/>
    </row>
    <row r="208" spans="2:5">
      <c r="B208"/>
      <c r="C208"/>
      <c r="D208"/>
      <c r="E20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H602"/>
  <sheetViews>
    <sheetView topLeftCell="A4" zoomScale="80" zoomScaleNormal="80" zoomScaleSheetLayoutView="40" workbookViewId="0">
      <pane xSplit="8" ySplit="3" topLeftCell="I7" activePane="bottomRight" state="frozen"/>
      <selection activeCell="A4" sqref="A4"/>
      <selection pane="topRight" activeCell="I4" sqref="I4"/>
      <selection pane="bottomLeft" activeCell="A7" sqref="A7"/>
      <selection pane="bottomRight" activeCell="L410" sqref="L410"/>
    </sheetView>
  </sheetViews>
  <sheetFormatPr defaultColWidth="9" defaultRowHeight="15.5" outlineLevelCol="1"/>
  <cols>
    <col min="1" max="2" width="9.08203125" style="35" customWidth="1"/>
    <col min="3" max="3" width="8.5" style="20" customWidth="1"/>
    <col min="4" max="4" width="26.1640625" style="20" customWidth="1"/>
    <col min="5" max="5" width="9.6640625" style="20" customWidth="1"/>
    <col min="6" max="6" width="17" style="20" customWidth="1"/>
    <col min="7" max="7" width="7.6640625" style="20" customWidth="1"/>
    <col min="8" max="8" width="33.1640625" style="20" customWidth="1"/>
    <col min="9" max="9" width="7.6640625" style="20" customWidth="1"/>
    <col min="10" max="10" width="8.5" style="38" customWidth="1"/>
    <col min="11" max="11" width="14.6640625" style="20" customWidth="1"/>
    <col min="12" max="12" width="17.6640625" customWidth="1"/>
    <col min="13" max="13" width="12.08203125" customWidth="1"/>
    <col min="14" max="14" width="18.6640625" customWidth="1"/>
    <col min="15" max="15" width="17.1640625" style="36" customWidth="1"/>
    <col min="16" max="16" width="15.1640625" style="33" customWidth="1"/>
    <col min="17" max="17" width="16.58203125" style="33" customWidth="1"/>
    <col min="18" max="18" width="10.6640625" customWidth="1"/>
    <col min="19" max="21" width="16.5" customWidth="1"/>
    <col min="22" max="24" width="13.08203125" style="31" customWidth="1"/>
    <col min="25" max="25" width="14.58203125" style="31" customWidth="1"/>
    <col min="26" max="29" width="13.08203125" style="31" customWidth="1"/>
    <col min="30" max="30" width="18.1640625" style="31" customWidth="1"/>
    <col min="31" max="31" width="13.08203125" style="31" customWidth="1"/>
    <col min="32" max="32" width="19.1640625" style="31" customWidth="1"/>
    <col min="33" max="35" width="13.08203125" style="31" customWidth="1"/>
    <col min="36" max="36" width="17.58203125" style="31" customWidth="1"/>
    <col min="37" max="37" width="13.08203125" style="31" customWidth="1"/>
    <col min="38" max="38" width="18.6640625" style="31" customWidth="1"/>
    <col min="39" max="39" width="27.6640625" style="31" customWidth="1"/>
    <col min="40" max="40" width="25.08203125" style="31" customWidth="1"/>
    <col min="41" max="41" width="20.1640625" style="31" customWidth="1"/>
    <col min="42" max="42" width="22.08203125" style="20" customWidth="1"/>
    <col min="43" max="43" width="18.58203125" style="32" customWidth="1"/>
    <col min="44" max="44" width="13.1640625" style="32" customWidth="1"/>
    <col min="45" max="45" width="10.58203125" style="33" customWidth="1"/>
    <col min="46" max="46" width="13.08203125" style="33" customWidth="1"/>
    <col min="47" max="47" width="9.1640625" style="20" customWidth="1"/>
    <col min="48" max="48" width="25.6640625" style="20" customWidth="1"/>
    <col min="49" max="49" width="27.6640625" style="33" customWidth="1"/>
    <col min="50" max="50" width="13.08203125" style="33" customWidth="1"/>
    <col min="51" max="51" width="17.5" style="33" customWidth="1"/>
    <col min="52" max="53" width="13.08203125" style="33" customWidth="1"/>
    <col min="54" max="55" width="30.6640625" style="37" customWidth="1"/>
    <col min="56" max="56" width="13.08203125" style="37" customWidth="1"/>
    <col min="57" max="57" width="26.6640625" style="37" customWidth="1"/>
    <col min="58" max="58" width="12.1640625" style="37" customWidth="1"/>
    <col min="59" max="65" width="13.08203125" style="37" customWidth="1"/>
    <col min="66" max="66" width="24.08203125" style="37" customWidth="1"/>
    <col min="67" max="70" width="13.08203125" style="37" customWidth="1"/>
    <col min="71" max="71" width="26.08203125" style="37" customWidth="1"/>
    <col min="72" max="72" width="26" style="37" customWidth="1"/>
    <col min="73" max="73" width="23.6640625" style="37" customWidth="1"/>
    <col min="74" max="74" width="22.5" style="37" customWidth="1"/>
    <col min="75" max="77" width="13.08203125" style="37" customWidth="1"/>
    <col min="78" max="78" width="13.08203125" style="37" customWidth="1" outlineLevel="1"/>
    <col min="79" max="79" width="18.1640625" style="37" customWidth="1" outlineLevel="1"/>
    <col min="80" max="82" width="9" customWidth="1" outlineLevel="1"/>
    <col min="83" max="83" width="13" customWidth="1" outlineLevel="1"/>
    <col min="84" max="85" width="15.5" customWidth="1" outlineLevel="1"/>
    <col min="86" max="86" width="15.5" style="468" customWidth="1" outlineLevel="1"/>
    <col min="87" max="87" width="14.5" style="33" customWidth="1" outlineLevel="1"/>
    <col min="88" max="88" width="16.1640625" style="33" customWidth="1" outlineLevel="1"/>
    <col min="89" max="89" width="20.1640625" style="33" customWidth="1" outlineLevel="1"/>
    <col min="90" max="90" width="20.58203125" style="33" customWidth="1" outlineLevel="1"/>
    <col min="91" max="91" width="17.08203125" style="33" customWidth="1" outlineLevel="1"/>
    <col min="92" max="92" width="13" style="33" customWidth="1" outlineLevel="1"/>
    <col min="93" max="93" width="15.6640625" style="31" customWidth="1" outlineLevel="1"/>
    <col min="94" max="94" width="25.58203125" style="31" customWidth="1" outlineLevel="1"/>
    <col min="95" max="95" width="13.08203125" style="31" customWidth="1" outlineLevel="1"/>
    <col min="96" max="96" width="13.08203125" style="33" customWidth="1" outlineLevel="1"/>
    <col min="97" max="97" width="15.5" style="31" customWidth="1" outlineLevel="1"/>
    <col min="98" max="98" width="14" style="31" customWidth="1" outlineLevel="1"/>
    <col min="99" max="101" width="12" style="33" customWidth="1" outlineLevel="1"/>
    <col min="102" max="102" width="19.58203125" style="33" customWidth="1" outlineLevel="1"/>
    <col min="103" max="103" width="19.1640625" style="33" customWidth="1" outlineLevel="1"/>
    <col min="104" max="104" width="12.1640625" style="33" customWidth="1" outlineLevel="1"/>
    <col min="105" max="106" width="10.6640625" style="33" customWidth="1" outlineLevel="1"/>
    <col min="107" max="107" width="9" customWidth="1" outlineLevel="1"/>
    <col min="108" max="108" width="12.08203125" style="32" customWidth="1" outlineLevel="1"/>
    <col min="109" max="109" width="15.1640625" style="33" customWidth="1" outlineLevel="1"/>
    <col min="110" max="110" width="18" customWidth="1" outlineLevel="1"/>
    <col min="111" max="111" width="16.1640625" style="33" customWidth="1" outlineLevel="1"/>
    <col min="112" max="112" width="13.1640625" style="33" customWidth="1" outlineLevel="1"/>
    <col min="113" max="113" width="12" style="33" customWidth="1" outlineLevel="1"/>
    <col min="114" max="114" width="15.5" style="33" customWidth="1" outlineLevel="1"/>
    <col min="115" max="115" width="23.08203125" style="33" customWidth="1" outlineLevel="1"/>
    <col min="116" max="116" width="14.1640625" style="33" customWidth="1" outlineLevel="1"/>
    <col min="117" max="117" width="11.6640625" style="33" customWidth="1" outlineLevel="1"/>
    <col min="118" max="118" width="12.1640625" style="33" customWidth="1" outlineLevel="1"/>
    <col min="119" max="119" width="12.6640625" style="33" customWidth="1" outlineLevel="1"/>
    <col min="120" max="120" width="12.6640625" customWidth="1" outlineLevel="1"/>
    <col min="121" max="123" width="17.6640625" customWidth="1" outlineLevel="1"/>
    <col min="124" max="125" width="16.1640625" style="396" customWidth="1" outlineLevel="1"/>
    <col min="126" max="128" width="16.1640625" style="468" customWidth="1" outlineLevel="1"/>
    <col min="129" max="132" width="12" style="33" customWidth="1"/>
    <col min="133" max="133" width="11.6640625" customWidth="1"/>
    <col min="134" max="134" width="13.6640625" style="33" customWidth="1"/>
    <col min="135" max="135" width="12" style="33" customWidth="1"/>
    <col min="136" max="136" width="22.6640625" style="37" customWidth="1"/>
    <col min="137" max="138" width="12" style="31" customWidth="1"/>
    <col min="139" max="16384" width="9" style="20"/>
  </cols>
  <sheetData>
    <row r="1" spans="1:138" s="19" customFormat="1" ht="16.5" hidden="1" customHeight="1">
      <c r="A1" s="226"/>
      <c r="B1" s="237" t="s">
        <v>2447</v>
      </c>
      <c r="C1" s="237"/>
      <c r="D1" s="237"/>
      <c r="E1" s="235" t="s">
        <v>2445</v>
      </c>
      <c r="F1" s="216"/>
      <c r="G1" s="216"/>
      <c r="H1" s="216"/>
      <c r="I1" s="216"/>
      <c r="J1" s="216"/>
      <c r="K1" s="1062" t="s">
        <v>2446</v>
      </c>
      <c r="L1" s="1063"/>
      <c r="M1" s="71"/>
      <c r="N1" s="71"/>
      <c r="O1" s="71"/>
      <c r="P1" s="71"/>
      <c r="Q1" s="71"/>
      <c r="R1" s="71"/>
      <c r="S1" s="71"/>
      <c r="T1" s="231" t="s">
        <v>2041</v>
      </c>
      <c r="U1" s="231"/>
      <c r="V1" s="231"/>
      <c r="W1" s="231"/>
      <c r="X1" s="231"/>
      <c r="Y1" s="231"/>
      <c r="Z1" s="231"/>
      <c r="AA1" s="231"/>
      <c r="AB1" s="231"/>
      <c r="AC1" s="231"/>
      <c r="AD1" s="231"/>
      <c r="AE1" s="231"/>
      <c r="AF1" s="231"/>
      <c r="AG1" s="231"/>
      <c r="AH1" s="231"/>
      <c r="AI1" s="231"/>
      <c r="AJ1" s="231"/>
      <c r="AK1" s="231"/>
      <c r="AL1" s="231"/>
      <c r="AM1" s="231"/>
      <c r="AN1" s="231"/>
      <c r="AO1" s="231"/>
      <c r="AP1" s="232" t="s">
        <v>2042</v>
      </c>
      <c r="AQ1" s="232"/>
      <c r="AR1" s="232"/>
      <c r="AS1" s="232"/>
      <c r="AT1" s="232"/>
      <c r="AU1" s="232"/>
      <c r="AV1" s="232"/>
      <c r="AW1" s="232"/>
      <c r="AX1" s="232"/>
      <c r="AY1" s="232"/>
      <c r="AZ1" s="232"/>
      <c r="BA1" s="232"/>
      <c r="BB1" s="232"/>
      <c r="BC1" s="232"/>
      <c r="BD1" s="232"/>
      <c r="BE1" s="232"/>
      <c r="BF1" s="233" t="s">
        <v>2043</v>
      </c>
      <c r="BG1" s="233"/>
      <c r="BH1" s="233"/>
      <c r="BI1" s="233"/>
      <c r="BJ1" s="233"/>
      <c r="BK1" s="233"/>
      <c r="BL1" s="233"/>
      <c r="BM1" s="233"/>
      <c r="BN1" s="233"/>
      <c r="BO1" s="233"/>
      <c r="BP1" s="307"/>
      <c r="BQ1" s="307"/>
      <c r="BR1" s="307"/>
      <c r="BS1" s="1072" t="s">
        <v>3121</v>
      </c>
      <c r="BT1" s="1073"/>
      <c r="BU1" s="1073"/>
      <c r="BV1" s="1074"/>
      <c r="BW1" s="1075" t="s">
        <v>3214</v>
      </c>
      <c r="BX1" s="1076"/>
      <c r="BY1" s="1076"/>
      <c r="BZ1" s="72" t="s">
        <v>117</v>
      </c>
      <c r="CA1" s="72"/>
      <c r="CB1" s="72"/>
      <c r="CC1" s="72"/>
      <c r="CD1" s="72"/>
      <c r="CE1" s="72"/>
      <c r="CF1" s="72"/>
      <c r="CG1" s="72"/>
      <c r="CH1" s="72"/>
      <c r="CI1" s="72"/>
      <c r="CJ1" s="72"/>
      <c r="CK1" s="72"/>
      <c r="CL1" s="74"/>
      <c r="CM1" s="72"/>
      <c r="CN1" s="72"/>
      <c r="CO1" s="72"/>
      <c r="CP1" s="74"/>
      <c r="CQ1" s="74"/>
      <c r="CR1" s="72"/>
      <c r="CS1" s="72"/>
      <c r="CT1" s="72"/>
      <c r="CU1" s="72"/>
      <c r="CV1" s="72"/>
      <c r="CW1" s="72"/>
      <c r="CX1" s="74"/>
      <c r="CY1" s="74"/>
      <c r="CZ1" s="74"/>
      <c r="DA1" s="74"/>
      <c r="DB1" s="74"/>
      <c r="DC1" s="72"/>
      <c r="DD1" s="72"/>
      <c r="DE1" s="72"/>
      <c r="DF1" s="72"/>
      <c r="DG1" s="74"/>
      <c r="DH1" s="74"/>
      <c r="DI1" s="74"/>
      <c r="DJ1" s="74"/>
      <c r="DK1" s="74"/>
      <c r="DL1" s="72"/>
      <c r="DM1" s="72"/>
      <c r="DN1" s="72"/>
      <c r="DO1" s="72"/>
      <c r="DP1" s="72"/>
      <c r="DQ1" s="74"/>
      <c r="DR1" s="72"/>
      <c r="DS1" s="72"/>
      <c r="DT1" s="72"/>
      <c r="DU1" s="72"/>
      <c r="DV1" s="72"/>
      <c r="DW1" s="72"/>
      <c r="DX1" s="72"/>
      <c r="DY1" s="165"/>
      <c r="DZ1" s="165"/>
      <c r="EA1" s="166"/>
      <c r="EB1" s="166"/>
      <c r="EC1" s="166"/>
      <c r="ED1" s="166"/>
      <c r="EE1" s="166"/>
      <c r="EF1" s="166"/>
      <c r="EG1" s="166"/>
      <c r="EH1" s="166"/>
    </row>
    <row r="2" spans="1:138" s="19" customFormat="1" ht="21" hidden="1" customHeight="1" thickBot="1">
      <c r="A2" s="215" t="s">
        <v>0</v>
      </c>
      <c r="B2" s="236" t="s">
        <v>1</v>
      </c>
      <c r="C2" s="236" t="s">
        <v>2</v>
      </c>
      <c r="D2" s="236" t="s">
        <v>3</v>
      </c>
      <c r="E2" s="216" t="s">
        <v>4</v>
      </c>
      <c r="F2" s="216" t="s">
        <v>1163</v>
      </c>
      <c r="G2" s="216" t="s">
        <v>5</v>
      </c>
      <c r="H2" s="216" t="s">
        <v>6</v>
      </c>
      <c r="I2" s="216" t="s">
        <v>49</v>
      </c>
      <c r="J2" s="216" t="s">
        <v>50</v>
      </c>
      <c r="K2" s="214" t="s">
        <v>53</v>
      </c>
      <c r="L2" s="214" t="s">
        <v>55</v>
      </c>
      <c r="M2" s="215" t="s">
        <v>56</v>
      </c>
      <c r="N2" s="215" t="s">
        <v>118</v>
      </c>
      <c r="O2" s="215" t="s">
        <v>119</v>
      </c>
      <c r="P2" s="215" t="s">
        <v>61</v>
      </c>
      <c r="Q2" s="215" t="s">
        <v>59</v>
      </c>
      <c r="R2" s="215" t="s">
        <v>63</v>
      </c>
      <c r="S2" s="215" t="s">
        <v>1164</v>
      </c>
      <c r="T2" s="234" t="s">
        <v>64</v>
      </c>
      <c r="U2" s="234" t="s">
        <v>65</v>
      </c>
      <c r="V2" s="234" t="s">
        <v>66</v>
      </c>
      <c r="W2" s="234" t="s">
        <v>68</v>
      </c>
      <c r="X2" s="234" t="s">
        <v>1165</v>
      </c>
      <c r="Y2" s="234" t="s">
        <v>69</v>
      </c>
      <c r="Z2" s="234" t="s">
        <v>70</v>
      </c>
      <c r="AA2" s="234" t="s">
        <v>71</v>
      </c>
      <c r="AB2" s="234" t="s">
        <v>72</v>
      </c>
      <c r="AC2" s="234" t="s">
        <v>1317</v>
      </c>
      <c r="AD2" s="234" t="s">
        <v>1318</v>
      </c>
      <c r="AE2" s="234" t="s">
        <v>1319</v>
      </c>
      <c r="AF2" s="234" t="s">
        <v>1320</v>
      </c>
      <c r="AG2" s="234" t="s">
        <v>1321</v>
      </c>
      <c r="AH2" s="234" t="s">
        <v>1322</v>
      </c>
      <c r="AI2" s="234" t="s">
        <v>1323</v>
      </c>
      <c r="AJ2" s="234" t="s">
        <v>1324</v>
      </c>
      <c r="AK2" s="234" t="s">
        <v>1325</v>
      </c>
      <c r="AL2" s="234" t="s">
        <v>1326</v>
      </c>
      <c r="AM2" s="234" t="s">
        <v>2027</v>
      </c>
      <c r="AN2" s="234" t="s">
        <v>2029</v>
      </c>
      <c r="AO2" s="234" t="s">
        <v>2275</v>
      </c>
      <c r="AP2" s="218" t="s">
        <v>2383</v>
      </c>
      <c r="AQ2" s="218" t="s">
        <v>2385</v>
      </c>
      <c r="AR2" s="218" t="s">
        <v>2386</v>
      </c>
      <c r="AS2" s="218" t="s">
        <v>2387</v>
      </c>
      <c r="AT2" s="218" t="s">
        <v>2388</v>
      </c>
      <c r="AU2" s="218" t="s">
        <v>2389</v>
      </c>
      <c r="AV2" s="218" t="s">
        <v>2390</v>
      </c>
      <c r="AW2" s="218" t="s">
        <v>2392</v>
      </c>
      <c r="AX2" s="218" t="s">
        <v>2394</v>
      </c>
      <c r="AY2" s="218" t="s">
        <v>2395</v>
      </c>
      <c r="AZ2" s="218" t="s">
        <v>2396</v>
      </c>
      <c r="BA2" s="218" t="s">
        <v>2397</v>
      </c>
      <c r="BB2" s="218" t="s">
        <v>2398</v>
      </c>
      <c r="BC2" s="218"/>
      <c r="BD2" s="218" t="s">
        <v>2400</v>
      </c>
      <c r="BE2" s="218" t="s">
        <v>2402</v>
      </c>
      <c r="BF2" s="225" t="s">
        <v>2404</v>
      </c>
      <c r="BG2" s="225" t="s">
        <v>2407</v>
      </c>
      <c r="BH2" s="225" t="s">
        <v>2410</v>
      </c>
      <c r="BI2" s="225" t="s">
        <v>2412</v>
      </c>
      <c r="BJ2" s="225" t="s">
        <v>2413</v>
      </c>
      <c r="BK2" s="225" t="s">
        <v>2414</v>
      </c>
      <c r="BL2" s="225" t="s">
        <v>2415</v>
      </c>
      <c r="BM2" s="225" t="s">
        <v>2555</v>
      </c>
      <c r="BN2" s="225" t="s">
        <v>2556</v>
      </c>
      <c r="BO2" s="225" t="s">
        <v>2619</v>
      </c>
      <c r="BP2" s="225" t="s">
        <v>2622</v>
      </c>
      <c r="BQ2" s="225" t="s">
        <v>2624</v>
      </c>
      <c r="BR2" s="225" t="s">
        <v>3071</v>
      </c>
      <c r="BS2" s="569" t="s">
        <v>3072</v>
      </c>
      <c r="BT2" s="569" t="s">
        <v>3073</v>
      </c>
      <c r="BU2" s="569" t="s">
        <v>3074</v>
      </c>
      <c r="BV2" s="569" t="s">
        <v>3075</v>
      </c>
      <c r="BW2" s="641" t="s">
        <v>3177</v>
      </c>
      <c r="BX2" s="641" t="s">
        <v>3178</v>
      </c>
      <c r="BY2" s="641" t="s">
        <v>3179</v>
      </c>
      <c r="BZ2" s="1064" t="s">
        <v>2081</v>
      </c>
      <c r="CA2" s="1065"/>
      <c r="CB2" s="1066"/>
      <c r="CC2" s="1067" t="s">
        <v>2082</v>
      </c>
      <c r="CD2" s="1065"/>
      <c r="CE2" s="1065"/>
      <c r="CF2" s="1065"/>
      <c r="CG2" s="1065"/>
      <c r="CH2" s="1065"/>
      <c r="CI2" s="1065"/>
      <c r="CJ2" s="1065"/>
      <c r="CK2" s="1065"/>
      <c r="CL2" s="1058" t="s">
        <v>2657</v>
      </c>
      <c r="CM2" s="1068" t="s">
        <v>2083</v>
      </c>
      <c r="CN2" s="1069"/>
      <c r="CO2" s="1058"/>
      <c r="CP2" s="1058" t="s">
        <v>79</v>
      </c>
      <c r="CQ2" s="1051"/>
      <c r="CR2" s="1054" t="s">
        <v>2663</v>
      </c>
      <c r="CS2" s="1055"/>
      <c r="CT2" s="1047" t="s">
        <v>2662</v>
      </c>
      <c r="CU2" s="1048"/>
      <c r="CV2" s="1053"/>
      <c r="CW2" s="425"/>
      <c r="CX2" s="1053" t="s">
        <v>2665</v>
      </c>
      <c r="CY2" s="1053" t="s">
        <v>1658</v>
      </c>
      <c r="CZ2" s="1053"/>
      <c r="DA2" s="683"/>
      <c r="DB2" s="738"/>
      <c r="DC2" s="1042"/>
      <c r="DD2" s="1043" t="s">
        <v>1976</v>
      </c>
      <c r="DE2" s="1044"/>
      <c r="DF2" s="1041"/>
      <c r="DG2" s="363" t="s">
        <v>1914</v>
      </c>
      <c r="DH2" s="364"/>
      <c r="DI2" s="364"/>
      <c r="DJ2" s="364"/>
      <c r="DK2" s="364"/>
      <c r="DL2" s="373"/>
      <c r="DM2" s="382" t="s">
        <v>1976</v>
      </c>
      <c r="DN2" s="378"/>
      <c r="DO2" s="364"/>
      <c r="DP2" s="364"/>
      <c r="DQ2" s="364"/>
      <c r="DR2" s="364"/>
      <c r="DS2" s="364"/>
      <c r="DT2" s="364"/>
      <c r="DU2" s="364"/>
      <c r="DV2" s="609"/>
      <c r="DW2" s="609"/>
      <c r="DX2" s="609"/>
      <c r="DY2" s="39" t="s">
        <v>7</v>
      </c>
      <c r="DZ2" s="34" t="s">
        <v>8</v>
      </c>
      <c r="EA2" s="34" t="s">
        <v>9</v>
      </c>
      <c r="EB2" s="34" t="s">
        <v>10</v>
      </c>
      <c r="EC2" s="34" t="s">
        <v>11</v>
      </c>
      <c r="ED2" s="34" t="s">
        <v>12</v>
      </c>
      <c r="EE2" s="34" t="s">
        <v>13</v>
      </c>
      <c r="EF2" s="34" t="s">
        <v>14</v>
      </c>
      <c r="EG2" s="34" t="s">
        <v>15</v>
      </c>
      <c r="EH2" s="34"/>
    </row>
    <row r="3" spans="1:138" s="259" customFormat="1" ht="90.75" hidden="1" customHeight="1" thickBot="1">
      <c r="A3" s="647" t="s">
        <v>2457</v>
      </c>
      <c r="B3" s="648" t="s">
        <v>2458</v>
      </c>
      <c r="C3" s="648" t="s">
        <v>2459</v>
      </c>
      <c r="D3" s="648" t="s">
        <v>2460</v>
      </c>
      <c r="E3" s="649" t="s">
        <v>2461</v>
      </c>
      <c r="F3" s="649" t="s">
        <v>2462</v>
      </c>
      <c r="G3" s="649" t="s">
        <v>2463</v>
      </c>
      <c r="H3" s="649" t="s">
        <v>2464</v>
      </c>
      <c r="I3" s="649" t="s">
        <v>2504</v>
      </c>
      <c r="J3" s="649" t="s">
        <v>2503</v>
      </c>
      <c r="K3" s="650" t="s">
        <v>2465</v>
      </c>
      <c r="L3" s="650" t="s">
        <v>2466</v>
      </c>
      <c r="M3" s="647" t="s">
        <v>2625</v>
      </c>
      <c r="N3" s="647" t="s">
        <v>2031</v>
      </c>
      <c r="O3" s="647" t="s">
        <v>2468</v>
      </c>
      <c r="P3" s="647" t="s">
        <v>2470</v>
      </c>
      <c r="Q3" s="647" t="s">
        <v>2472</v>
      </c>
      <c r="R3" s="647" t="s">
        <v>2473</v>
      </c>
      <c r="S3" s="651" t="s">
        <v>2474</v>
      </c>
      <c r="T3" s="673" t="s">
        <v>2546</v>
      </c>
      <c r="U3" s="673" t="s">
        <v>2513</v>
      </c>
      <c r="V3" s="673" t="s">
        <v>2514</v>
      </c>
      <c r="W3" s="674" t="s">
        <v>2626</v>
      </c>
      <c r="X3" s="673" t="s">
        <v>2548</v>
      </c>
      <c r="Y3" s="674" t="s">
        <v>2627</v>
      </c>
      <c r="Z3" s="673" t="s">
        <v>2628</v>
      </c>
      <c r="AA3" s="674" t="s">
        <v>2576</v>
      </c>
      <c r="AB3" s="674" t="s">
        <v>2581</v>
      </c>
      <c r="AC3" s="674" t="s">
        <v>2629</v>
      </c>
      <c r="AD3" s="674" t="s">
        <v>3227</v>
      </c>
      <c r="AE3" s="674" t="s">
        <v>2527</v>
      </c>
      <c r="AF3" s="674" t="s">
        <v>3228</v>
      </c>
      <c r="AG3" s="674" t="s">
        <v>2631</v>
      </c>
      <c r="AH3" s="674" t="s">
        <v>2632</v>
      </c>
      <c r="AI3" s="674" t="s">
        <v>2518</v>
      </c>
      <c r="AJ3" s="675" t="s">
        <v>3182</v>
      </c>
      <c r="AK3" s="674" t="s">
        <v>2521</v>
      </c>
      <c r="AL3" s="674" t="s">
        <v>3183</v>
      </c>
      <c r="AM3" s="674" t="s">
        <v>3190</v>
      </c>
      <c r="AN3" s="674" t="s">
        <v>3191</v>
      </c>
      <c r="AO3" s="674" t="s">
        <v>2477</v>
      </c>
      <c r="AP3" s="676" t="s">
        <v>2577</v>
      </c>
      <c r="AQ3" s="676" t="s">
        <v>2634</v>
      </c>
      <c r="AR3" s="676" t="s">
        <v>3213</v>
      </c>
      <c r="AS3" s="676" t="s">
        <v>2637</v>
      </c>
      <c r="AT3" s="676" t="s">
        <v>2639</v>
      </c>
      <c r="AU3" s="676" t="s">
        <v>2522</v>
      </c>
      <c r="AV3" s="676" t="s">
        <v>2525</v>
      </c>
      <c r="AW3" s="676" t="s">
        <v>2526</v>
      </c>
      <c r="AX3" s="677" t="s">
        <v>2479</v>
      </c>
      <c r="AY3" s="677" t="s">
        <v>2499</v>
      </c>
      <c r="AZ3" s="677" t="s">
        <v>2482</v>
      </c>
      <c r="BA3" s="677" t="s">
        <v>2484</v>
      </c>
      <c r="BB3" s="677" t="s">
        <v>3240</v>
      </c>
      <c r="BC3" s="677" t="s">
        <v>3241</v>
      </c>
      <c r="BD3" s="677" t="s">
        <v>3080</v>
      </c>
      <c r="BE3" s="677" t="s">
        <v>2486</v>
      </c>
      <c r="BF3" s="678" t="s">
        <v>2488</v>
      </c>
      <c r="BG3" s="678" t="s">
        <v>2579</v>
      </c>
      <c r="BH3" s="678" t="s">
        <v>2490</v>
      </c>
      <c r="BI3" s="678" t="s">
        <v>2491</v>
      </c>
      <c r="BJ3" s="678" t="s">
        <v>2580</v>
      </c>
      <c r="BK3" s="679" t="s">
        <v>2500</v>
      </c>
      <c r="BL3" s="679" t="s">
        <v>2502</v>
      </c>
      <c r="BM3" s="679" t="s">
        <v>2494</v>
      </c>
      <c r="BN3" s="679" t="s">
        <v>3233</v>
      </c>
      <c r="BO3" s="679" t="s">
        <v>2495</v>
      </c>
      <c r="BP3" s="679" t="s">
        <v>2641</v>
      </c>
      <c r="BQ3" s="679" t="s">
        <v>2642</v>
      </c>
      <c r="BR3" s="679" t="s">
        <v>2496</v>
      </c>
      <c r="BS3" s="652" t="s">
        <v>3085</v>
      </c>
      <c r="BT3" s="652" t="s">
        <v>3086</v>
      </c>
      <c r="BU3" s="652" t="s">
        <v>3087</v>
      </c>
      <c r="BV3" s="652" t="s">
        <v>3083</v>
      </c>
      <c r="BW3" s="672"/>
      <c r="BX3" s="672"/>
      <c r="BY3" s="672"/>
      <c r="BZ3" s="1064"/>
      <c r="CA3" s="1065"/>
      <c r="CB3" s="1066"/>
      <c r="CC3" s="1067"/>
      <c r="CD3" s="1065"/>
      <c r="CE3" s="1065"/>
      <c r="CF3" s="1065"/>
      <c r="CG3" s="1065"/>
      <c r="CH3" s="1065"/>
      <c r="CI3" s="1065"/>
      <c r="CJ3" s="1065"/>
      <c r="CK3" s="1065"/>
      <c r="CL3" s="1058"/>
      <c r="CM3" s="1070"/>
      <c r="CN3" s="1071"/>
      <c r="CO3" s="1058"/>
      <c r="CP3" s="1058" t="s">
        <v>79</v>
      </c>
      <c r="CQ3" s="1052"/>
      <c r="CR3" s="1056"/>
      <c r="CS3" s="1057"/>
      <c r="CT3" s="1049"/>
      <c r="CU3" s="1050"/>
      <c r="CV3" s="1053"/>
      <c r="CW3" s="680"/>
      <c r="CX3" s="1053" t="s">
        <v>2665</v>
      </c>
      <c r="CY3" s="1053"/>
      <c r="CZ3" s="1053"/>
      <c r="DA3" s="683"/>
      <c r="DB3" s="738"/>
      <c r="DC3" s="1042"/>
      <c r="DD3" s="1045"/>
      <c r="DE3" s="1046"/>
      <c r="DF3" s="1041"/>
      <c r="DG3" s="681" t="s">
        <v>2671</v>
      </c>
      <c r="DH3" s="365"/>
      <c r="DI3" s="365"/>
      <c r="DJ3" s="681" t="s">
        <v>2670</v>
      </c>
      <c r="DK3" s="682" t="s">
        <v>1644</v>
      </c>
      <c r="DL3" s="374"/>
      <c r="DM3" s="383"/>
      <c r="DN3" s="379"/>
      <c r="DO3" s="365"/>
      <c r="DP3" s="365"/>
      <c r="DQ3" s="366"/>
      <c r="DR3" s="365"/>
      <c r="DS3" s="365"/>
      <c r="DT3" s="365"/>
      <c r="DU3" s="365"/>
      <c r="DV3" s="610"/>
      <c r="DW3" s="610"/>
      <c r="DX3" s="610"/>
      <c r="DY3" s="257"/>
      <c r="DZ3" s="258"/>
      <c r="EA3" s="258"/>
      <c r="EB3" s="258"/>
      <c r="EC3" s="258"/>
      <c r="ED3" s="258"/>
      <c r="EE3" s="258"/>
      <c r="EF3" s="258"/>
      <c r="EG3" s="258"/>
      <c r="EH3" s="258"/>
    </row>
    <row r="4" spans="1:138" s="267" customFormat="1" ht="87" customHeight="1" thickBot="1">
      <c r="A4" s="308" t="s">
        <v>2357</v>
      </c>
      <c r="B4" s="309" t="s">
        <v>2359</v>
      </c>
      <c r="C4" s="309" t="s">
        <v>2361</v>
      </c>
      <c r="D4" s="309" t="s">
        <v>2363</v>
      </c>
      <c r="E4" s="310" t="s">
        <v>22</v>
      </c>
      <c r="F4" s="310" t="s">
        <v>23</v>
      </c>
      <c r="G4" s="310" t="s">
        <v>2365</v>
      </c>
      <c r="H4" s="310" t="s">
        <v>2367</v>
      </c>
      <c r="I4" s="310" t="s">
        <v>25</v>
      </c>
      <c r="J4" s="310" t="s">
        <v>1928</v>
      </c>
      <c r="K4" s="311" t="s">
        <v>2369</v>
      </c>
      <c r="L4" s="311" t="s">
        <v>2371</v>
      </c>
      <c r="M4" s="308" t="s">
        <v>2589</v>
      </c>
      <c r="N4" s="308" t="s">
        <v>2028</v>
      </c>
      <c r="O4" s="308" t="s">
        <v>2030</v>
      </c>
      <c r="P4" s="308" t="s">
        <v>2373</v>
      </c>
      <c r="Q4" s="308" t="s">
        <v>2374</v>
      </c>
      <c r="R4" s="308" t="s">
        <v>2376</v>
      </c>
      <c r="S4" s="312" t="s">
        <v>2377</v>
      </c>
      <c r="T4" s="657" t="s">
        <v>2549</v>
      </c>
      <c r="U4" s="657" t="s">
        <v>2509</v>
      </c>
      <c r="V4" s="657" t="s">
        <v>2511</v>
      </c>
      <c r="W4" s="658" t="s">
        <v>2545</v>
      </c>
      <c r="X4" s="658" t="s">
        <v>2550</v>
      </c>
      <c r="Y4" s="658" t="s">
        <v>2596</v>
      </c>
      <c r="Z4" s="658" t="s">
        <v>2598</v>
      </c>
      <c r="AA4" s="658" t="s">
        <v>2600</v>
      </c>
      <c r="AB4" s="658" t="s">
        <v>2558</v>
      </c>
      <c r="AC4" s="658" t="s">
        <v>2559</v>
      </c>
      <c r="AD4" s="696" t="s">
        <v>3218</v>
      </c>
      <c r="AE4" s="658" t="s">
        <v>2530</v>
      </c>
      <c r="AF4" s="658" t="s">
        <v>3219</v>
      </c>
      <c r="AG4" s="658" t="s">
        <v>2605</v>
      </c>
      <c r="AH4" s="658" t="s">
        <v>2381</v>
      </c>
      <c r="AI4" s="659" t="s">
        <v>3165</v>
      </c>
      <c r="AJ4" s="659" t="s">
        <v>3168</v>
      </c>
      <c r="AK4" s="659" t="s">
        <v>3170</v>
      </c>
      <c r="AL4" s="659" t="s">
        <v>3171</v>
      </c>
      <c r="AM4" s="660" t="s">
        <v>3194</v>
      </c>
      <c r="AN4" s="657" t="s">
        <v>3163</v>
      </c>
      <c r="AO4" s="660" t="s">
        <v>62</v>
      </c>
      <c r="AP4" s="661" t="s">
        <v>2552</v>
      </c>
      <c r="AQ4" s="661" t="s">
        <v>2553</v>
      </c>
      <c r="AR4" s="661" t="s">
        <v>2607</v>
      </c>
      <c r="AS4" s="661" t="s">
        <v>2608</v>
      </c>
      <c r="AT4" s="661" t="s">
        <v>2609</v>
      </c>
      <c r="AU4" s="661" t="s">
        <v>2611</v>
      </c>
      <c r="AV4" s="662" t="s">
        <v>2505</v>
      </c>
      <c r="AW4" s="661" t="s">
        <v>2614</v>
      </c>
      <c r="AX4" s="663" t="s">
        <v>2424</v>
      </c>
      <c r="AY4" s="664" t="s">
        <v>2425</v>
      </c>
      <c r="AZ4" s="665" t="s">
        <v>3206</v>
      </c>
      <c r="BA4" s="665" t="s">
        <v>3207</v>
      </c>
      <c r="BB4" s="293" t="s">
        <v>3220</v>
      </c>
      <c r="BC4" s="293" t="s">
        <v>3222</v>
      </c>
      <c r="BD4" s="666" t="s">
        <v>3204</v>
      </c>
      <c r="BE4" s="665" t="s">
        <v>67</v>
      </c>
      <c r="BF4" s="667" t="s">
        <v>2531</v>
      </c>
      <c r="BG4" s="667" t="s">
        <v>2562</v>
      </c>
      <c r="BH4" s="668" t="s">
        <v>2532</v>
      </c>
      <c r="BI4" s="668" t="s">
        <v>2533</v>
      </c>
      <c r="BJ4" s="668" t="s">
        <v>2564</v>
      </c>
      <c r="BK4" s="668" t="s">
        <v>2405</v>
      </c>
      <c r="BL4" s="668" t="s">
        <v>2408</v>
      </c>
      <c r="BM4" s="668" t="s">
        <v>2411</v>
      </c>
      <c r="BN4" s="668" t="s">
        <v>3224</v>
      </c>
      <c r="BO4" s="669" t="s">
        <v>2618</v>
      </c>
      <c r="BP4" s="669" t="s">
        <v>2620</v>
      </c>
      <c r="BQ4" s="670" t="s">
        <v>2623</v>
      </c>
      <c r="BR4" s="670" t="s">
        <v>74</v>
      </c>
      <c r="BS4" s="671" t="s">
        <v>3067</v>
      </c>
      <c r="BT4" s="671" t="s">
        <v>3068</v>
      </c>
      <c r="BU4" s="671" t="s">
        <v>3069</v>
      </c>
      <c r="BV4" s="671" t="s">
        <v>3070</v>
      </c>
      <c r="BW4" s="672" t="s">
        <v>3174</v>
      </c>
      <c r="BX4" s="672" t="s">
        <v>3175</v>
      </c>
      <c r="BY4" s="672" t="s">
        <v>3176</v>
      </c>
      <c r="BZ4" s="322" t="s">
        <v>2647</v>
      </c>
      <c r="CA4" s="318" t="s">
        <v>2648</v>
      </c>
      <c r="CB4" s="323" t="s">
        <v>2649</v>
      </c>
      <c r="CC4" s="320" t="s">
        <v>2650</v>
      </c>
      <c r="CD4" s="317" t="s">
        <v>2651</v>
      </c>
      <c r="CE4" s="317" t="s">
        <v>2652</v>
      </c>
      <c r="CF4" s="317" t="s">
        <v>2656</v>
      </c>
      <c r="CG4" s="317" t="s">
        <v>2603</v>
      </c>
      <c r="CH4" s="317" t="s">
        <v>3163</v>
      </c>
      <c r="CI4" s="318" t="s">
        <v>120</v>
      </c>
      <c r="CJ4" s="318" t="s">
        <v>121</v>
      </c>
      <c r="CK4" s="318" t="s">
        <v>122</v>
      </c>
      <c r="CL4" s="331" t="s">
        <v>123</v>
      </c>
      <c r="CM4" s="317" t="s">
        <v>1921</v>
      </c>
      <c r="CN4" s="331" t="s">
        <v>124</v>
      </c>
      <c r="CO4" s="317" t="s">
        <v>125</v>
      </c>
      <c r="CP4" s="330" t="s">
        <v>2660</v>
      </c>
      <c r="CQ4" s="329" t="s">
        <v>126</v>
      </c>
      <c r="CR4" s="322" t="s">
        <v>127</v>
      </c>
      <c r="CS4" s="341" t="s">
        <v>2666</v>
      </c>
      <c r="CT4" s="338" t="s">
        <v>128</v>
      </c>
      <c r="CU4" s="329" t="s">
        <v>129</v>
      </c>
      <c r="CV4" s="343" t="s">
        <v>2452</v>
      </c>
      <c r="CW4" s="343" t="s">
        <v>2850</v>
      </c>
      <c r="CX4" s="345" t="s">
        <v>2664</v>
      </c>
      <c r="CY4" s="344" t="s">
        <v>2455</v>
      </c>
      <c r="CZ4" s="344" t="s">
        <v>2456</v>
      </c>
      <c r="DA4" s="344" t="s">
        <v>3249</v>
      </c>
      <c r="DB4" s="344" t="s">
        <v>3288</v>
      </c>
      <c r="DC4" s="350" t="s">
        <v>131</v>
      </c>
      <c r="DD4" s="356" t="s">
        <v>130</v>
      </c>
      <c r="DE4" s="357" t="s">
        <v>2849</v>
      </c>
      <c r="DF4" s="353" t="s">
        <v>2566</v>
      </c>
      <c r="DG4" s="362" t="s">
        <v>81</v>
      </c>
      <c r="DH4" s="362" t="s">
        <v>1957</v>
      </c>
      <c r="DI4" s="362" t="s">
        <v>1958</v>
      </c>
      <c r="DJ4" s="362" t="s">
        <v>1956</v>
      </c>
      <c r="DK4" s="371" t="s">
        <v>2672</v>
      </c>
      <c r="DL4" s="372" t="s">
        <v>132</v>
      </c>
      <c r="DM4" s="384" t="s">
        <v>2567</v>
      </c>
      <c r="DN4" s="377" t="s">
        <v>133</v>
      </c>
      <c r="DO4" s="362" t="s">
        <v>134</v>
      </c>
      <c r="DP4" s="362" t="s">
        <v>135</v>
      </c>
      <c r="DQ4" s="362" t="s">
        <v>2668</v>
      </c>
      <c r="DR4" s="362" t="s">
        <v>136</v>
      </c>
      <c r="DS4" s="362" t="s">
        <v>2675</v>
      </c>
      <c r="DT4" s="362" t="s">
        <v>2675</v>
      </c>
      <c r="DU4" s="362" t="s">
        <v>2913</v>
      </c>
      <c r="DV4" s="566" t="s">
        <v>3152</v>
      </c>
      <c r="DW4" s="698" t="s">
        <v>3255</v>
      </c>
      <c r="DX4" s="698" t="s">
        <v>3200</v>
      </c>
      <c r="DY4" s="265" t="s">
        <v>28</v>
      </c>
      <c r="DZ4" s="266" t="s">
        <v>29</v>
      </c>
      <c r="EA4" s="266" t="s">
        <v>138</v>
      </c>
      <c r="EB4" s="266" t="s">
        <v>30</v>
      </c>
      <c r="EC4" s="266" t="s">
        <v>31</v>
      </c>
      <c r="ED4" s="266" t="s">
        <v>32</v>
      </c>
      <c r="EE4" s="266" t="s">
        <v>33</v>
      </c>
      <c r="EF4" s="266" t="s">
        <v>34</v>
      </c>
      <c r="EG4" s="266" t="s">
        <v>35</v>
      </c>
      <c r="EH4" s="266" t="s">
        <v>36</v>
      </c>
    </row>
    <row r="5" spans="1:138" s="277" customFormat="1" ht="39.75" customHeight="1" thickBot="1">
      <c r="A5" s="268" t="s">
        <v>16</v>
      </c>
      <c r="B5" s="269" t="s">
        <v>16</v>
      </c>
      <c r="C5" s="269" t="s">
        <v>16</v>
      </c>
      <c r="D5" s="269" t="s">
        <v>18</v>
      </c>
      <c r="E5" s="270" t="s">
        <v>16</v>
      </c>
      <c r="F5" s="270" t="s">
        <v>16</v>
      </c>
      <c r="G5" s="270" t="s">
        <v>2543</v>
      </c>
      <c r="H5" s="270" t="s">
        <v>16</v>
      </c>
      <c r="I5" s="270" t="s">
        <v>17</v>
      </c>
      <c r="J5" s="270" t="s">
        <v>17</v>
      </c>
      <c r="K5" s="271" t="s">
        <v>19</v>
      </c>
      <c r="L5" s="271" t="s">
        <v>19</v>
      </c>
      <c r="M5" s="268" t="s">
        <v>17</v>
      </c>
      <c r="N5" s="268" t="s">
        <v>17</v>
      </c>
      <c r="O5" s="268" t="s">
        <v>17</v>
      </c>
      <c r="P5" s="268" t="s">
        <v>17</v>
      </c>
      <c r="Q5" s="268" t="s">
        <v>2375</v>
      </c>
      <c r="R5" s="268" t="s">
        <v>17</v>
      </c>
      <c r="S5" s="268" t="s">
        <v>17</v>
      </c>
      <c r="T5" s="272" t="s">
        <v>17</v>
      </c>
      <c r="U5" s="272" t="s">
        <v>17</v>
      </c>
      <c r="V5" s="272" t="s">
        <v>17</v>
      </c>
      <c r="W5" s="272" t="s">
        <v>17</v>
      </c>
      <c r="X5" s="272" t="s">
        <v>17</v>
      </c>
      <c r="Y5" s="272" t="s">
        <v>17</v>
      </c>
      <c r="Z5" s="272" t="s">
        <v>17</v>
      </c>
      <c r="AA5" s="272" t="s">
        <v>2601</v>
      </c>
      <c r="AB5" s="272" t="s">
        <v>2601</v>
      </c>
      <c r="AC5" s="272" t="s">
        <v>2601</v>
      </c>
      <c r="AD5" s="272" t="s">
        <v>17</v>
      </c>
      <c r="AE5" s="272" t="s">
        <v>17</v>
      </c>
      <c r="AF5" s="272" t="s">
        <v>3594</v>
      </c>
      <c r="AG5" s="272" t="s">
        <v>17</v>
      </c>
      <c r="AH5" s="272" t="s">
        <v>17</v>
      </c>
      <c r="AI5" s="272" t="s">
        <v>17</v>
      </c>
      <c r="AJ5" s="272" t="s">
        <v>17</v>
      </c>
      <c r="AK5" s="272" t="s">
        <v>17</v>
      </c>
      <c r="AL5" s="272" t="s">
        <v>17</v>
      </c>
      <c r="AM5" s="272" t="s">
        <v>17</v>
      </c>
      <c r="AN5" s="272" t="s">
        <v>17</v>
      </c>
      <c r="AO5" s="272" t="s">
        <v>18</v>
      </c>
      <c r="AP5" s="273" t="s">
        <v>17</v>
      </c>
      <c r="AQ5" s="273" t="s">
        <v>17</v>
      </c>
      <c r="AR5" s="273" t="s">
        <v>18</v>
      </c>
      <c r="AS5" s="273" t="s">
        <v>17</v>
      </c>
      <c r="AT5" s="273" t="s">
        <v>17</v>
      </c>
      <c r="AU5" s="273" t="s">
        <v>17</v>
      </c>
      <c r="AV5" s="273" t="s">
        <v>2601</v>
      </c>
      <c r="AW5" s="273" t="s">
        <v>17</v>
      </c>
      <c r="AX5" s="273" t="s">
        <v>2512</v>
      </c>
      <c r="AY5" s="273" t="s">
        <v>2508</v>
      </c>
      <c r="AZ5" s="273" t="s">
        <v>17</v>
      </c>
      <c r="BA5" s="273" t="s">
        <v>17</v>
      </c>
      <c r="BB5" s="273" t="s">
        <v>17</v>
      </c>
      <c r="BC5" s="273" t="s">
        <v>17</v>
      </c>
      <c r="BD5" s="273" t="s">
        <v>17</v>
      </c>
      <c r="BE5" s="273" t="s">
        <v>18</v>
      </c>
      <c r="BF5" s="274" t="s">
        <v>17</v>
      </c>
      <c r="BG5" s="274" t="s">
        <v>17</v>
      </c>
      <c r="BH5" s="274" t="s">
        <v>17</v>
      </c>
      <c r="BI5" s="274" t="s">
        <v>17</v>
      </c>
      <c r="BJ5" s="274" t="s">
        <v>17</v>
      </c>
      <c r="BK5" s="274" t="s">
        <v>17</v>
      </c>
      <c r="BL5" s="274" t="s">
        <v>17</v>
      </c>
      <c r="BM5" s="274" t="s">
        <v>17</v>
      </c>
      <c r="BN5" s="274" t="s">
        <v>17</v>
      </c>
      <c r="BO5" s="274" t="s">
        <v>2507</v>
      </c>
      <c r="BP5" s="274" t="s">
        <v>17</v>
      </c>
      <c r="BQ5" s="274" t="s">
        <v>54</v>
      </c>
      <c r="BR5" s="313" t="s">
        <v>18</v>
      </c>
      <c r="BS5" s="569" t="s">
        <v>54</v>
      </c>
      <c r="BT5" s="569" t="s">
        <v>54</v>
      </c>
      <c r="BU5" s="569" t="s">
        <v>17</v>
      </c>
      <c r="BV5" s="569" t="s">
        <v>54</v>
      </c>
      <c r="BW5" s="646" t="s">
        <v>17</v>
      </c>
      <c r="BX5" s="646" t="s">
        <v>17</v>
      </c>
      <c r="BY5" s="646" t="s">
        <v>17</v>
      </c>
      <c r="BZ5" s="1059"/>
      <c r="CA5" s="1060"/>
      <c r="CB5" s="1061"/>
      <c r="CC5" s="321" t="s">
        <v>17</v>
      </c>
      <c r="CD5" s="319" t="s">
        <v>17</v>
      </c>
      <c r="CE5" s="319" t="s">
        <v>2601</v>
      </c>
      <c r="CF5" s="319" t="s">
        <v>2506</v>
      </c>
      <c r="CG5" s="319" t="s">
        <v>2506</v>
      </c>
      <c r="CH5" s="319" t="s">
        <v>17</v>
      </c>
      <c r="CI5" s="319" t="s">
        <v>54</v>
      </c>
      <c r="CJ5" s="319" t="s">
        <v>54</v>
      </c>
      <c r="CK5" s="319" t="s">
        <v>54</v>
      </c>
      <c r="CL5" s="327" t="s">
        <v>17</v>
      </c>
      <c r="CM5" s="319" t="s">
        <v>54</v>
      </c>
      <c r="CN5" s="333" t="s">
        <v>17</v>
      </c>
      <c r="CO5" s="333"/>
      <c r="CP5" s="333"/>
      <c r="CQ5" s="336"/>
      <c r="CR5" s="1059" t="s">
        <v>2084</v>
      </c>
      <c r="CS5" s="1061"/>
      <c r="CT5" s="339" t="s">
        <v>17</v>
      </c>
      <c r="CU5" s="336" t="s">
        <v>17</v>
      </c>
      <c r="CV5" s="346" t="s">
        <v>17</v>
      </c>
      <c r="CW5" s="346" t="s">
        <v>54</v>
      </c>
      <c r="CX5" s="347" t="s">
        <v>17</v>
      </c>
      <c r="CY5" s="348" t="s">
        <v>17</v>
      </c>
      <c r="CZ5" s="348" t="s">
        <v>17</v>
      </c>
      <c r="DA5" s="697" t="s">
        <v>17</v>
      </c>
      <c r="DB5" s="697" t="s">
        <v>17</v>
      </c>
      <c r="DC5" s="351" t="s">
        <v>17</v>
      </c>
      <c r="DD5" s="358" t="s">
        <v>17</v>
      </c>
      <c r="DE5" s="359" t="s">
        <v>54</v>
      </c>
      <c r="DF5" s="354" t="s">
        <v>54</v>
      </c>
      <c r="DG5" s="367" t="s">
        <v>17</v>
      </c>
      <c r="DH5" s="368" t="s">
        <v>17</v>
      </c>
      <c r="DI5" s="368" t="s">
        <v>17</v>
      </c>
      <c r="DJ5" s="368" t="s">
        <v>17</v>
      </c>
      <c r="DK5" s="368"/>
      <c r="DL5" s="375" t="s">
        <v>54</v>
      </c>
      <c r="DM5" s="385" t="s">
        <v>54</v>
      </c>
      <c r="DN5" s="380" t="s">
        <v>54</v>
      </c>
      <c r="DO5" s="368" t="s">
        <v>54</v>
      </c>
      <c r="DP5" s="368" t="s">
        <v>54</v>
      </c>
      <c r="DQ5" s="368" t="s">
        <v>17</v>
      </c>
      <c r="DR5" s="368" t="s">
        <v>17</v>
      </c>
      <c r="DS5" s="368" t="s">
        <v>17</v>
      </c>
      <c r="DT5" s="368" t="s">
        <v>17</v>
      </c>
      <c r="DU5" s="448"/>
      <c r="DV5" s="569" t="s">
        <v>54</v>
      </c>
      <c r="DW5" s="699" t="s">
        <v>17</v>
      </c>
      <c r="DX5" s="699" t="s">
        <v>17</v>
      </c>
      <c r="DY5" s="275"/>
      <c r="DZ5" s="276"/>
      <c r="EA5" s="276"/>
      <c r="EB5" s="276"/>
      <c r="EC5" s="276"/>
      <c r="ED5" s="276"/>
      <c r="EE5" s="276"/>
      <c r="EF5" s="276"/>
      <c r="EG5" s="276"/>
      <c r="EH5" s="276"/>
    </row>
    <row r="6" spans="1:138" s="243" customFormat="1" ht="21.75" customHeight="1" thickTop="1" thickBot="1">
      <c r="A6" s="238" t="s">
        <v>20</v>
      </c>
      <c r="B6" s="219" t="s">
        <v>2359</v>
      </c>
      <c r="C6" s="219" t="s">
        <v>2361</v>
      </c>
      <c r="D6" s="219" t="s">
        <v>27</v>
      </c>
      <c r="E6" s="220" t="s">
        <v>22</v>
      </c>
      <c r="F6" s="220" t="s">
        <v>23</v>
      </c>
      <c r="G6" s="220" t="s">
        <v>137</v>
      </c>
      <c r="H6" s="220" t="s">
        <v>24</v>
      </c>
      <c r="I6" s="220" t="s">
        <v>25</v>
      </c>
      <c r="J6" s="220" t="s">
        <v>26</v>
      </c>
      <c r="K6" s="221" t="s">
        <v>2369</v>
      </c>
      <c r="L6" s="221" t="s">
        <v>2371</v>
      </c>
      <c r="M6" s="238" t="s">
        <v>2643</v>
      </c>
      <c r="N6" s="238" t="s">
        <v>2427</v>
      </c>
      <c r="O6" s="238" t="s">
        <v>2428</v>
      </c>
      <c r="P6" s="238" t="s">
        <v>51</v>
      </c>
      <c r="Q6" s="238" t="s">
        <v>2585</v>
      </c>
      <c r="R6" s="238" t="s">
        <v>2429</v>
      </c>
      <c r="S6" s="238" t="s">
        <v>2430</v>
      </c>
      <c r="T6" s="239" t="s">
        <v>2586</v>
      </c>
      <c r="U6" s="239" t="s">
        <v>2431</v>
      </c>
      <c r="V6" s="239" t="s">
        <v>2432</v>
      </c>
      <c r="W6" s="217" t="s">
        <v>2587</v>
      </c>
      <c r="X6" s="217" t="s">
        <v>2435</v>
      </c>
      <c r="Y6" s="217" t="s">
        <v>2433</v>
      </c>
      <c r="Z6" s="217" t="s">
        <v>2434</v>
      </c>
      <c r="AA6" s="217" t="s">
        <v>2534</v>
      </c>
      <c r="AB6" s="217" t="s">
        <v>2436</v>
      </c>
      <c r="AC6" s="217" t="s">
        <v>2437</v>
      </c>
      <c r="AD6" s="217" t="s">
        <v>3244</v>
      </c>
      <c r="AE6" s="217" t="s">
        <v>2535</v>
      </c>
      <c r="AF6" s="217" t="s">
        <v>3245</v>
      </c>
      <c r="AG6" s="217" t="s">
        <v>2644</v>
      </c>
      <c r="AH6" s="217" t="s">
        <v>2438</v>
      </c>
      <c r="AI6" s="217" t="s">
        <v>3187</v>
      </c>
      <c r="AJ6" s="217" t="s">
        <v>3185</v>
      </c>
      <c r="AK6" s="217" t="s">
        <v>3186</v>
      </c>
      <c r="AL6" s="217" t="s">
        <v>3188</v>
      </c>
      <c r="AM6" s="217" t="s">
        <v>2536</v>
      </c>
      <c r="AN6" s="217" t="s">
        <v>3189</v>
      </c>
      <c r="AO6" s="217" t="s">
        <v>1650</v>
      </c>
      <c r="AP6" s="222" t="s">
        <v>2588</v>
      </c>
      <c r="AQ6" s="222" t="s">
        <v>2420</v>
      </c>
      <c r="AR6" s="222" t="s">
        <v>2645</v>
      </c>
      <c r="AS6" s="222" t="s">
        <v>2418</v>
      </c>
      <c r="AT6" s="222" t="s">
        <v>2419</v>
      </c>
      <c r="AU6" s="222" t="s">
        <v>2421</v>
      </c>
      <c r="AV6" s="227" t="s">
        <v>2422</v>
      </c>
      <c r="AW6" s="228" t="s">
        <v>2423</v>
      </c>
      <c r="AX6" s="229" t="s">
        <v>2426</v>
      </c>
      <c r="AY6" s="230" t="s">
        <v>2425</v>
      </c>
      <c r="AZ6" s="223" t="s">
        <v>2537</v>
      </c>
      <c r="BA6" s="223" t="s">
        <v>2538</v>
      </c>
      <c r="BB6" s="223" t="s">
        <v>3220</v>
      </c>
      <c r="BC6" s="223" t="s">
        <v>3248</v>
      </c>
      <c r="BD6" s="565" t="s">
        <v>3250</v>
      </c>
      <c r="BE6" s="223" t="s">
        <v>1651</v>
      </c>
      <c r="BF6" s="223" t="s">
        <v>2539</v>
      </c>
      <c r="BG6" s="224" t="s">
        <v>2582</v>
      </c>
      <c r="BH6" s="224" t="s">
        <v>2583</v>
      </c>
      <c r="BI6" s="224" t="s">
        <v>2540</v>
      </c>
      <c r="BJ6" s="224" t="s">
        <v>2584</v>
      </c>
      <c r="BK6" s="224" t="s">
        <v>2439</v>
      </c>
      <c r="BL6" s="224" t="s">
        <v>2440</v>
      </c>
      <c r="BM6" s="224" t="s">
        <v>2441</v>
      </c>
      <c r="BN6" s="224" t="s">
        <v>3254</v>
      </c>
      <c r="BO6" s="224" t="s">
        <v>73</v>
      </c>
      <c r="BP6" s="224" t="s">
        <v>2442</v>
      </c>
      <c r="BQ6" s="224" t="s">
        <v>2646</v>
      </c>
      <c r="BR6" s="224" t="s">
        <v>2443</v>
      </c>
      <c r="BS6" s="568" t="s">
        <v>3076</v>
      </c>
      <c r="BT6" s="568" t="s">
        <v>3077</v>
      </c>
      <c r="BU6" s="568" t="s">
        <v>3078</v>
      </c>
      <c r="BV6" s="568" t="s">
        <v>3079</v>
      </c>
      <c r="BW6" s="567" t="s">
        <v>3174</v>
      </c>
      <c r="BX6" s="567" t="s">
        <v>3175</v>
      </c>
      <c r="BY6" s="567" t="s">
        <v>3176</v>
      </c>
      <c r="BZ6" s="324" t="s">
        <v>3242</v>
      </c>
      <c r="CA6" s="325" t="s">
        <v>3243</v>
      </c>
      <c r="CB6" s="326" t="s">
        <v>2649</v>
      </c>
      <c r="CC6" s="314" t="s">
        <v>2653</v>
      </c>
      <c r="CD6" s="314" t="s">
        <v>2654</v>
      </c>
      <c r="CE6" s="314" t="s">
        <v>2655</v>
      </c>
      <c r="CF6" s="314" t="s">
        <v>3246</v>
      </c>
      <c r="CG6" s="314" t="s">
        <v>3247</v>
      </c>
      <c r="CH6" s="314" t="s">
        <v>3253</v>
      </c>
      <c r="CI6" s="315" t="s">
        <v>1645</v>
      </c>
      <c r="CJ6" s="316" t="s">
        <v>1646</v>
      </c>
      <c r="CK6" s="328" t="s">
        <v>1647</v>
      </c>
      <c r="CL6" s="332" t="s">
        <v>2659</v>
      </c>
      <c r="CM6" s="334" t="s">
        <v>2837</v>
      </c>
      <c r="CN6" s="332" t="s">
        <v>1659</v>
      </c>
      <c r="CO6" s="335" t="s">
        <v>2658</v>
      </c>
      <c r="CP6" s="387" t="s">
        <v>79</v>
      </c>
      <c r="CQ6" s="337" t="s">
        <v>1648</v>
      </c>
      <c r="CR6" s="324" t="s">
        <v>1979</v>
      </c>
      <c r="CS6" s="326" t="s">
        <v>2661</v>
      </c>
      <c r="CT6" s="340" t="s">
        <v>1649</v>
      </c>
      <c r="CU6" s="342" t="s">
        <v>129</v>
      </c>
      <c r="CV6" s="349" t="s">
        <v>2453</v>
      </c>
      <c r="CW6" s="349" t="s">
        <v>2850</v>
      </c>
      <c r="CX6" s="388" t="s">
        <v>2665</v>
      </c>
      <c r="CY6" s="349" t="s">
        <v>2454</v>
      </c>
      <c r="CZ6" s="349" t="s">
        <v>3251</v>
      </c>
      <c r="DA6" s="349" t="s">
        <v>3252</v>
      </c>
      <c r="DB6" s="349" t="s">
        <v>3287</v>
      </c>
      <c r="DC6" s="352" t="s">
        <v>131</v>
      </c>
      <c r="DD6" s="360" t="s">
        <v>130</v>
      </c>
      <c r="DE6" s="361" t="s">
        <v>1980</v>
      </c>
      <c r="DF6" s="355" t="s">
        <v>1946</v>
      </c>
      <c r="DG6" s="369" t="s">
        <v>1947</v>
      </c>
      <c r="DH6" s="370" t="s">
        <v>1957</v>
      </c>
      <c r="DI6" s="370" t="s">
        <v>1958</v>
      </c>
      <c r="DJ6" s="369" t="s">
        <v>1959</v>
      </c>
      <c r="DK6" s="389" t="s">
        <v>2669</v>
      </c>
      <c r="DL6" s="376" t="s">
        <v>1652</v>
      </c>
      <c r="DM6" s="386" t="s">
        <v>1653</v>
      </c>
      <c r="DN6" s="381" t="s">
        <v>1654</v>
      </c>
      <c r="DO6" s="370" t="s">
        <v>1655</v>
      </c>
      <c r="DP6" s="370" t="s">
        <v>135</v>
      </c>
      <c r="DQ6" s="370" t="s">
        <v>2667</v>
      </c>
      <c r="DR6" s="370" t="s">
        <v>1656</v>
      </c>
      <c r="DS6" s="370" t="s">
        <v>2674</v>
      </c>
      <c r="DT6" s="415" t="s">
        <v>2829</v>
      </c>
      <c r="DU6" s="415" t="s">
        <v>2913</v>
      </c>
      <c r="DV6" s="568" t="s">
        <v>3151</v>
      </c>
      <c r="DW6" s="700" t="s">
        <v>3256</v>
      </c>
      <c r="DX6" s="700" t="s">
        <v>3257</v>
      </c>
      <c r="DY6" s="240" t="s">
        <v>28</v>
      </c>
      <c r="DZ6" s="240" t="s">
        <v>29</v>
      </c>
      <c r="EA6" s="240" t="s">
        <v>138</v>
      </c>
      <c r="EB6" s="240" t="s">
        <v>30</v>
      </c>
      <c r="EC6" s="240" t="s">
        <v>31</v>
      </c>
      <c r="ED6" s="240" t="s">
        <v>32</v>
      </c>
      <c r="EE6" s="240" t="s">
        <v>33</v>
      </c>
      <c r="EF6" s="240" t="s">
        <v>34</v>
      </c>
      <c r="EG6" s="241" t="s">
        <v>35</v>
      </c>
      <c r="EH6" s="242" t="s">
        <v>36</v>
      </c>
    </row>
    <row r="7" spans="1:138" hidden="1">
      <c r="A7" s="591" t="s">
        <v>3261</v>
      </c>
      <c r="B7" s="787" t="s">
        <v>144</v>
      </c>
      <c r="C7" s="788" t="s">
        <v>144</v>
      </c>
      <c r="D7" s="788"/>
      <c r="E7" s="788" t="s">
        <v>39</v>
      </c>
      <c r="F7" s="788" t="s">
        <v>162</v>
      </c>
      <c r="G7" s="721" t="str">
        <f>VLOOKUP(WWWW[[#This Row],[Site Name]],SiteDB6[[Site Name]:[Location Type]],8,FALSE)</f>
        <v>Camp_not registered</v>
      </c>
      <c r="H7" s="788" t="s">
        <v>2076</v>
      </c>
      <c r="I7" s="720">
        <v>24</v>
      </c>
      <c r="J7" s="720">
        <v>103</v>
      </c>
      <c r="K7" s="723"/>
      <c r="L7" s="724"/>
      <c r="M7" s="722"/>
      <c r="N7" s="722"/>
      <c r="O7" s="722"/>
      <c r="P7" s="722"/>
      <c r="Q7" s="725"/>
      <c r="R7" s="722"/>
      <c r="S7" s="722">
        <v>1</v>
      </c>
      <c r="T7" s="523"/>
      <c r="U7" s="722"/>
      <c r="V7" s="722"/>
      <c r="W7" s="722"/>
      <c r="X7" s="722"/>
      <c r="Y7" s="722"/>
      <c r="Z7" s="722"/>
      <c r="AA7" s="722"/>
      <c r="AB7" s="722"/>
      <c r="AC7" s="722"/>
      <c r="AD7" s="722"/>
      <c r="AE7" s="722"/>
      <c r="AF7" s="722"/>
      <c r="AG7" s="722"/>
      <c r="AH7" s="722"/>
      <c r="AI7" s="722"/>
      <c r="AJ7" s="722"/>
      <c r="AK7" s="722"/>
      <c r="AL7" s="722"/>
      <c r="AM7" s="722"/>
      <c r="AN7" s="722"/>
      <c r="AO7" s="726"/>
      <c r="AP7" s="722">
        <v>0</v>
      </c>
      <c r="AQ7" s="722"/>
      <c r="AR7" s="727"/>
      <c r="AS7" s="722"/>
      <c r="AT7" s="722"/>
      <c r="AU7" s="722"/>
      <c r="AV7" s="722"/>
      <c r="AW7" s="722"/>
      <c r="AX7" s="721"/>
      <c r="AY7" s="726"/>
      <c r="AZ7" s="722"/>
      <c r="BA7" s="722"/>
      <c r="BB7" s="722"/>
      <c r="BC7" s="523"/>
      <c r="BD7" s="523"/>
      <c r="BE7" s="721"/>
      <c r="BF7" s="722"/>
      <c r="BG7" s="722"/>
      <c r="BH7" s="722"/>
      <c r="BI7" s="722"/>
      <c r="BJ7" s="722"/>
      <c r="BK7" s="722"/>
      <c r="BL7" s="722"/>
      <c r="BM7" s="722"/>
      <c r="BN7" s="722"/>
      <c r="BO7" s="721"/>
      <c r="BP7" s="728"/>
      <c r="BQ7" s="727"/>
      <c r="BR7" s="721"/>
      <c r="BS7" s="472"/>
      <c r="BT7" s="472"/>
      <c r="BU7" s="474"/>
      <c r="BV7" s="472"/>
      <c r="BW7" s="523"/>
      <c r="BX7" s="523"/>
      <c r="BY7" s="523"/>
      <c r="BZ7" s="729" t="str">
        <f>IFERROR(WWWW[[#This Row],['#_Water sources passed]]/WWWW[[#This Row],['#_Water sources tested for fecal coliform ]],"no test")</f>
        <v>no test</v>
      </c>
      <c r="CA7" s="727" t="str">
        <f>IFERROR(WWWW[[#This Row],['#_Household passed]]/WWWW[[#This Row],['#_Household water samples tested for fecal coliform]],"no test")</f>
        <v>no test</v>
      </c>
      <c r="CB7" s="730" t="str">
        <f>IF(AND(WWWW[[#This Row],[% of water sources passed]]="no test",WWWW[[#This Row],[% Household passed]]="no test"),"No Test","Tested")</f>
        <v>No Test</v>
      </c>
      <c r="CC7" s="730">
        <f>WWWW[[#This Row],['#_Constructed/existing protected hand dug well]]-WWWW[[#This Row],['#_Non-functional protected hand dug well]]</f>
        <v>0</v>
      </c>
      <c r="CD7" s="730">
        <f>(WWWW[[#This Row],['#_Constructed/Existing tube wells/boreholes/handpumps_WASH_agency]]+WWWW[[#This Row],['#_Non-Cluster partner water tube-wells/boreholes/handpumps]])-WWWW[[#This Row],['#_Non-functional tube wells/boreholes/handpumps]]</f>
        <v>0</v>
      </c>
      <c r="CE7" s="730">
        <f>WWWW[[#This Row],['#_Constructed/Existingwater storage tank with gravity fed reticulation system]]-WWWW[[#This Row],['#_Non-functional storage tank gravity fed reticulation system]]</f>
        <v>0</v>
      </c>
      <c r="CF7" s="731">
        <f>(WWWW[[#This Row],['#_Water_Liters_supplied_by_Water boating or water trucking]]/90)/15</f>
        <v>0</v>
      </c>
      <c r="CG7" s="731">
        <f>WWWW[[#This Row],['#_Water_Liters_from_Constructed/Existing water distribution system from river or natural spring]]/90/15</f>
        <v>0</v>
      </c>
      <c r="CH7" s="478">
        <f>WWWW[[#This Row],['#_of water points in TLS/CFS /THF]]*500</f>
        <v>0</v>
      </c>
      <c r="CI7" s="73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 s="73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 s="727">
        <f>IF(WWWW[[#This Row],[Location Type 1]]="Village",WWWW[[#This Row],[Access to safe drinking water for Village]],WWWW[[#This Row],[Access to safe drinking water for Camp]])</f>
        <v>0</v>
      </c>
      <c r="CL7" s="725">
        <f>WWWW[[#This Row],[%Equitable and continuous access to sufficient quantity of safe drinking water]]*WWWW[[#This Row],[Total PoP ]]</f>
        <v>0</v>
      </c>
      <c r="CM7" s="727">
        <f>IF((WWWW[[#This Row],['#_Constructed/Existing protected/fenced ponds]]*250)/WWWW[[#This Row],[Total PoP ]]&gt;1,1,(WWWW[[#This Row],['#_Constructed/Existing protected/fenced ponds]]*250)/WWWW[[#This Row],[Total PoP ]])</f>
        <v>0</v>
      </c>
      <c r="CN7" s="725">
        <f>WWWW[[#This Row],[% Access to unimproved water points]]*WWWW[[#This Row],[Total PoP ]]</f>
        <v>0</v>
      </c>
      <c r="CO7" s="72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 s="72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 s="725">
        <f>WWWW[[#This Row],[HRP1]]/500</f>
        <v>0</v>
      </c>
      <c r="CR7" s="733">
        <f>1-WWWW[[#This Row],[% Equitable and continuous access to sufficient quantity of domestic water]]</f>
        <v>1</v>
      </c>
      <c r="CS7" s="725">
        <f>WWWW[[#This Row],[%equitable and continuous access to sufficient quantity of safe drinking and domestic water''s GAP]]*WWWW[[#This Row],[Total PoP ]]</f>
        <v>103</v>
      </c>
      <c r="CT7" s="730">
        <f>IF(WWWW[[#This Row],[Total required water points]]-WWWW[[#This Row],['#Water points coverage]]&lt;0,0,WWWW[[#This Row],[Total required water points]]-WWWW[[#This Row],['#Water points coverage]])</f>
        <v>1</v>
      </c>
      <c r="CU7" s="730">
        <f>ROUND(IF(WWWW[[#This Row],[Total PoP ]]&lt;500,1,WWWW[[#This Row],[Total PoP ]]/500),0)</f>
        <v>1</v>
      </c>
      <c r="CV7" s="730">
        <f>(WWWW[[#This Row],['#_Constructed latrines_by_WASHAgencies]]+WWWW[[#This Row],['#_Non Cluster partner latrines]])-WWWW[[#This Row],['#_Non-functional latrines]]</f>
        <v>0</v>
      </c>
      <c r="CW7" s="734">
        <f>WWWW[[#This Row],[HRP2]]/WWWW[[#This Row],[Total PoP ]]</f>
        <v>0</v>
      </c>
      <c r="CX7" s="735">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 s="72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 s="73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 s="473">
        <f>IF(WWWW[[#This Row],['# of functional latrines in THF supported by WASH partners during the reporting period2]]="",0,WWWW[[#This Row],['# of functional latrines in THF supported by WASH partners during the reporting period2]]*50)</f>
        <v>0</v>
      </c>
      <c r="DB7" s="473">
        <f>WWWW[[#This Row],['# students access to functioning school latrines_HRP5]]+WWWW[[#This Row],['# People access to functioning latrines in THF_HRP5]]</f>
        <v>0</v>
      </c>
      <c r="DC7" s="730">
        <f>ROUND(IF(WWWW[[#This Row],[Location Type 1]]="camp",WWWW[[#This Row],[Total PoP ]]/20,IF(WWWW[[#This Row],[Location Type 1]]="Temporary Location",WWWW[[#This Row],[Total PoP ]]/50,(WWWW[[#This Row],[Total PoP ]]/6))),0)</f>
        <v>5</v>
      </c>
      <c r="DD7" s="730">
        <f>IF(WWWW[[#This Row],[Total required Latrines]]-(WWWW[[#This Row],['#_Constructed latrines_by_WASHAgencies]]+WWWW[[#This Row],['#_Non Cluster partner latrines]])&lt;0,0,WWWW[[#This Row],[Total required Latrines]]-(WWWW[[#This Row],['#_Constructed latrines_by_WASHAgencies]]+WWWW[[#This Row],['#_Non Cluster partner latrines]]))</f>
        <v>5</v>
      </c>
      <c r="DE7" s="733">
        <f>1-WWWW[[#This Row],[% people access to functioning Latrine]]</f>
        <v>1</v>
      </c>
      <c r="DF7" s="729">
        <f>IF(OR(WWWW[[#This Row],['#_Non-functional latrines]]="",WWWW[[#This Row],['#_Non-functional latrines]]=0),0,WWWW[[#This Row],['#_Non-functional latrines]]/(WWWW[[#This Row],['#_Constructed latrines_by_WASHAgencies]]+WWWW[[#This Row],['#_Non Cluster partner latrines]]))</f>
        <v>0</v>
      </c>
      <c r="DG7" s="725">
        <f>IF(500*(WWWW[[#This Row],['#_male hygiene promoters]]+WWWW[[#This Row],['#_female hygiene promoters]])&gt;WWWW[[#This Row],[Total PoP ]],WWWW[[#This Row],[Total PoP ]],500*(WWWW[[#This Row],['#_male hygiene promoters]]+WWWW[[#This Row],['#_female hygiene promoters]]))</f>
        <v>0</v>
      </c>
      <c r="DH7" s="7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 s="7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 s="730">
        <f>IF(WWWW[[#This Row],['# People with access to soap]]&gt;WWWW[[#This Row],['# People with access to Sanity Pads]],WWWW[[#This Row],['# People with access to soap]],WWWW[[#This Row],['# People with access to Sanity Pads]])</f>
        <v>0</v>
      </c>
      <c r="DK7" s="7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 s="733">
        <f>IF(WWWW[[#This Row],[HRP3]]/WWWW[[#This Row],[Total PoP ]]&gt;1,1,WWWW[[#This Row],[HRP3]]/WWWW[[#This Row],[Total PoP ]])</f>
        <v>0</v>
      </c>
      <c r="DM7" s="729">
        <f>1-WWWW[[#This Row],[Hygiene Coverage%]]</f>
        <v>1</v>
      </c>
      <c r="DN7" s="727">
        <f>WWWW[[#This Row],['# people reached by regular dedicated hygiene promotion_5]]/WWWW[[#This Row],[Total PoP ]]</f>
        <v>0</v>
      </c>
      <c r="DO7" s="727">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 s="727">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 s="730">
        <f>WWWW[[#This Row],['#_Constructed/Existing hand washing stations]]-WWWW[[#This Row],['#_Non-Functional_hand_washing_stations]]</f>
        <v>0</v>
      </c>
      <c r="DR7" s="725">
        <f>IF(WWWW[[#This Row],['# Functional hand washing stations during reporting period]]*20&gt;WWWW[[#This Row],[Total HH]],WWWW[[#This Row],[Total HH]],WWWW[[#This Row],['# Functional hand washing stations during reporting period]]*20)</f>
        <v>0</v>
      </c>
      <c r="DS7" s="725">
        <f>IF(WWWW[[#This Row],[Is sufficient soap available for TLS? (Yes/No)]]="yes",WWWW[[#This Row],['#_Constructed/Existing hand washing stations at TLS]],0)</f>
        <v>0</v>
      </c>
      <c r="DT7" s="479">
        <f>IF(WWWW[[#This Row],['# Functional hand washing stations during reporting period]]*100&gt;WWWW[[#This Row],[Total PoP ]],WWWW[[#This Row],[Total PoP ]],WWWW[[#This Row],['# Functional hand washing stations during reporting period]]*100)</f>
        <v>0</v>
      </c>
      <c r="DU7" s="479" t="str">
        <f>IF(OR(WWWW[[#This Row],['#_students at TLS_CFS]]="",WWWW[[#This Row],['#_students at TLS_CFS]]=0),"No","Yes")</f>
        <v>No</v>
      </c>
      <c r="DV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 s="721">
        <f>VLOOKUP(WWWW[[#This Row],[Site Name]],SiteDB6[[Site Name]:[CCCM Management]],6,FALSE)</f>
        <v>0</v>
      </c>
      <c r="DZ7" s="721">
        <f>VLOOKUP(WWWW[[#This Row],[Site Name]],SiteDB6[[Site Name]:[CCCM Focal Agency]],7,FALSE)</f>
        <v>0</v>
      </c>
      <c r="EA7" s="721" t="str">
        <f>VLOOKUP(WWWW[[#This Row],[Site Name]],SiteDB6[[Site Name]:[Location Type 1]],9,FALSE)</f>
        <v>Camp</v>
      </c>
      <c r="EB7" s="721" t="str">
        <f>VLOOKUP(WWWW[[#This Row],[Site Name]],SiteDB6[[Site Name]:[Type of Accommodation]],10,FALSE)</f>
        <v>Camp like setting</v>
      </c>
      <c r="EC7" s="721" t="str">
        <f>VLOOKUP(WWWW[[#This Row],[Site Name]],SiteDB6[[Site Name]:[Ethnic or GCA/NGCA]],11,FALSE)</f>
        <v>NGCA</v>
      </c>
      <c r="ED7" s="721">
        <f>VLOOKUP(WWWW[[#This Row],[Site Name]],SiteDB6[[Site Name]:[Lat]],12,FALSE)</f>
        <v>0</v>
      </c>
      <c r="EE7" s="721">
        <f>VLOOKUP(WWWW[[#This Row],[Site Name]],SiteDB6[[Site Name]:[Long]],13,FALSE)</f>
        <v>0</v>
      </c>
      <c r="EF7" s="721">
        <f>VLOOKUP(WWWW[[#This Row],[Site Name]],SiteDB6[[Site Name]:[Pcode]],3,FALSE)</f>
        <v>0</v>
      </c>
      <c r="EG7" s="726" t="str">
        <f t="shared" ref="EG7:EG70" si="0">IF(C7="none","Notcovered","Covered")</f>
        <v>Covered</v>
      </c>
      <c r="EH7" s="726">
        <f>VLOOKUP(WWWW[[#This Row],[Site Name]],Site_DB!$C$389:$D$1120,2,FALSE)</f>
        <v>0</v>
      </c>
    </row>
    <row r="8" spans="1:138" hidden="1">
      <c r="A8" s="591" t="s">
        <v>3261</v>
      </c>
      <c r="B8" s="787" t="s">
        <v>144</v>
      </c>
      <c r="C8" s="788" t="s">
        <v>144</v>
      </c>
      <c r="D8" s="592"/>
      <c r="E8" s="788" t="s">
        <v>39</v>
      </c>
      <c r="F8" s="788" t="s">
        <v>217</v>
      </c>
      <c r="G8" s="721" t="str">
        <f>VLOOKUP(WWWW[[#This Row],[Site Name]],SiteDB6[[Site Name]:[Location Type]],8,FALSE)</f>
        <v>Camp_not registered</v>
      </c>
      <c r="H8" s="788" t="s">
        <v>2078</v>
      </c>
      <c r="I8" s="722">
        <v>86</v>
      </c>
      <c r="J8" s="722">
        <v>381</v>
      </c>
      <c r="K8" s="723"/>
      <c r="L8" s="724"/>
      <c r="M8" s="722"/>
      <c r="N8" s="722"/>
      <c r="O8" s="722"/>
      <c r="P8" s="722"/>
      <c r="Q8" s="725"/>
      <c r="R8" s="722"/>
      <c r="S8" s="722">
        <v>4</v>
      </c>
      <c r="T8" s="523"/>
      <c r="U8" s="722"/>
      <c r="V8" s="722"/>
      <c r="W8" s="722"/>
      <c r="X8" s="722"/>
      <c r="Y8" s="722"/>
      <c r="Z8" s="722"/>
      <c r="AA8" s="722"/>
      <c r="AB8" s="722"/>
      <c r="AC8" s="722"/>
      <c r="AD8" s="722"/>
      <c r="AE8" s="722"/>
      <c r="AF8" s="722"/>
      <c r="AG8" s="722"/>
      <c r="AH8" s="722"/>
      <c r="AI8" s="722"/>
      <c r="AJ8" s="722"/>
      <c r="AK8" s="722"/>
      <c r="AL8" s="722"/>
      <c r="AM8" s="722"/>
      <c r="AN8" s="722"/>
      <c r="AO8" s="726"/>
      <c r="AP8" s="722">
        <v>13</v>
      </c>
      <c r="AQ8" s="722"/>
      <c r="AR8" s="727"/>
      <c r="AS8" s="722"/>
      <c r="AT8" s="722"/>
      <c r="AU8" s="722"/>
      <c r="AV8" s="722"/>
      <c r="AW8" s="722"/>
      <c r="AX8" s="721"/>
      <c r="AY8" s="726"/>
      <c r="AZ8" s="722"/>
      <c r="BA8" s="722"/>
      <c r="BB8" s="722"/>
      <c r="BC8" s="523"/>
      <c r="BD8" s="523"/>
      <c r="BE8" s="721"/>
      <c r="BF8" s="722"/>
      <c r="BG8" s="722"/>
      <c r="BH8" s="722"/>
      <c r="BI8" s="722"/>
      <c r="BJ8" s="722"/>
      <c r="BK8" s="722"/>
      <c r="BL8" s="722"/>
      <c r="BM8" s="722"/>
      <c r="BN8" s="722"/>
      <c r="BO8" s="721"/>
      <c r="BP8" s="728"/>
      <c r="BQ8" s="727"/>
      <c r="BR8" s="721"/>
      <c r="BS8" s="472"/>
      <c r="BT8" s="472"/>
      <c r="BU8" s="474"/>
      <c r="BV8" s="472"/>
      <c r="BW8" s="523"/>
      <c r="BX8" s="523"/>
      <c r="BY8" s="523"/>
      <c r="BZ8" s="729" t="str">
        <f>IFERROR(WWWW[[#This Row],['#_Water sources passed]]/WWWW[[#This Row],['#_Water sources tested for fecal coliform ]],"no test")</f>
        <v>no test</v>
      </c>
      <c r="CA8" s="727" t="str">
        <f>IFERROR(WWWW[[#This Row],['#_Household passed]]/WWWW[[#This Row],['#_Household water samples tested for fecal coliform]],"no test")</f>
        <v>no test</v>
      </c>
      <c r="CB8" s="730" t="str">
        <f>IF(AND(WWWW[[#This Row],[% of water sources passed]]="no test",WWWW[[#This Row],[% Household passed]]="no test"),"No Test","Tested")</f>
        <v>No Test</v>
      </c>
      <c r="CC8" s="730">
        <f>WWWW[[#This Row],['#_Constructed/existing protected hand dug well]]-WWWW[[#This Row],['#_Non-functional protected hand dug well]]</f>
        <v>0</v>
      </c>
      <c r="CD8" s="730">
        <f>(WWWW[[#This Row],['#_Constructed/Existing tube wells/boreholes/handpumps_WASH_agency]]+WWWW[[#This Row],['#_Non-Cluster partner water tube-wells/boreholes/handpumps]])-WWWW[[#This Row],['#_Non-functional tube wells/boreholes/handpumps]]</f>
        <v>0</v>
      </c>
      <c r="CE8" s="730">
        <f>WWWW[[#This Row],['#_Constructed/Existingwater storage tank with gravity fed reticulation system]]-WWWW[[#This Row],['#_Non-functional storage tank gravity fed reticulation system]]</f>
        <v>0</v>
      </c>
      <c r="CF8" s="731">
        <f>(WWWW[[#This Row],['#_Water_Liters_supplied_by_Water boating or water trucking]]/90)/15</f>
        <v>0</v>
      </c>
      <c r="CG8" s="731">
        <f>WWWW[[#This Row],['#_Water_Liters_from_Constructed/Existing water distribution system from river or natural spring]]/90/15</f>
        <v>0</v>
      </c>
      <c r="CH8" s="478">
        <f>WWWW[[#This Row],['#_of water points in TLS/CFS /THF]]*500</f>
        <v>0</v>
      </c>
      <c r="CI8" s="73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8" s="73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8" s="727">
        <f>IF(WWWW[[#This Row],[Location Type 1]]="Village",WWWW[[#This Row],[Access to safe drinking water for Village]],WWWW[[#This Row],[Access to safe drinking water for Camp]])</f>
        <v>0</v>
      </c>
      <c r="CL8" s="725">
        <f>WWWW[[#This Row],[%Equitable and continuous access to sufficient quantity of safe drinking water]]*WWWW[[#This Row],[Total PoP ]]</f>
        <v>0</v>
      </c>
      <c r="CM8" s="727">
        <f>IF((WWWW[[#This Row],['#_Constructed/Existing protected/fenced ponds]]*250)/WWWW[[#This Row],[Total PoP ]]&gt;1,1,(WWWW[[#This Row],['#_Constructed/Existing protected/fenced ponds]]*250)/WWWW[[#This Row],[Total PoP ]])</f>
        <v>0</v>
      </c>
      <c r="CN8" s="725">
        <f>WWWW[[#This Row],[% Access to unimproved water points]]*WWWW[[#This Row],[Total PoP ]]</f>
        <v>0</v>
      </c>
      <c r="CO8" s="72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8" s="72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8" s="725">
        <f>WWWW[[#This Row],[HRP1]]/500</f>
        <v>0</v>
      </c>
      <c r="CR8" s="733">
        <f>1-WWWW[[#This Row],[% Equitable and continuous access to sufficient quantity of domestic water]]</f>
        <v>1</v>
      </c>
      <c r="CS8" s="725">
        <f>WWWW[[#This Row],[%equitable and continuous access to sufficient quantity of safe drinking and domestic water''s GAP]]*WWWW[[#This Row],[Total PoP ]]</f>
        <v>381</v>
      </c>
      <c r="CT8" s="730">
        <f>IF(WWWW[[#This Row],[Total required water points]]-WWWW[[#This Row],['#Water points coverage]]&lt;0,0,WWWW[[#This Row],[Total required water points]]-WWWW[[#This Row],['#Water points coverage]])</f>
        <v>1</v>
      </c>
      <c r="CU8" s="730">
        <f>ROUND(IF(WWWW[[#This Row],[Total PoP ]]&lt;500,1,WWWW[[#This Row],[Total PoP ]]/500),0)</f>
        <v>1</v>
      </c>
      <c r="CV8" s="730">
        <f>(WWWW[[#This Row],['#_Constructed latrines_by_WASHAgencies]]+WWWW[[#This Row],['#_Non Cluster partner latrines]])-WWWW[[#This Row],['#_Non-functional latrines]]</f>
        <v>13</v>
      </c>
      <c r="CW8" s="734">
        <f>WWWW[[#This Row],[HRP2]]/WWWW[[#This Row],[Total PoP ]]</f>
        <v>0.6824146981627297</v>
      </c>
      <c r="CX8" s="735">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8" s="72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 s="73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 s="473">
        <f>IF(WWWW[[#This Row],['# of functional latrines in THF supported by WASH partners during the reporting period2]]="",0,WWWW[[#This Row],['# of functional latrines in THF supported by WASH partners during the reporting period2]]*50)</f>
        <v>0</v>
      </c>
      <c r="DB8" s="473">
        <f>WWWW[[#This Row],['# students access to functioning school latrines_HRP5]]+WWWW[[#This Row],['# People access to functioning latrines in THF_HRP5]]</f>
        <v>0</v>
      </c>
      <c r="DC8" s="730">
        <f>ROUND(IF(WWWW[[#This Row],[Location Type 1]]="camp",WWWW[[#This Row],[Total PoP ]]/20,IF(WWWW[[#This Row],[Location Type 1]]="Temporary Location",WWWW[[#This Row],[Total PoP ]]/50,(WWWW[[#This Row],[Total PoP ]]/6))),0)</f>
        <v>19</v>
      </c>
      <c r="DD8" s="730">
        <f>IF(WWWW[[#This Row],[Total required Latrines]]-(WWWW[[#This Row],['#_Constructed latrines_by_WASHAgencies]]+WWWW[[#This Row],['#_Non Cluster partner latrines]])&lt;0,0,WWWW[[#This Row],[Total required Latrines]]-(WWWW[[#This Row],['#_Constructed latrines_by_WASHAgencies]]+WWWW[[#This Row],['#_Non Cluster partner latrines]]))</f>
        <v>6</v>
      </c>
      <c r="DE8" s="733">
        <f>1-WWWW[[#This Row],[% people access to functioning Latrine]]</f>
        <v>0.3175853018372703</v>
      </c>
      <c r="DF8" s="729">
        <f>IF(OR(WWWW[[#This Row],['#_Non-functional latrines]]="",WWWW[[#This Row],['#_Non-functional latrines]]=0),0,WWWW[[#This Row],['#_Non-functional latrines]]/(WWWW[[#This Row],['#_Constructed latrines_by_WASHAgencies]]+WWWW[[#This Row],['#_Non Cluster partner latrines]]))</f>
        <v>0</v>
      </c>
      <c r="DG8" s="725">
        <f>IF(500*(WWWW[[#This Row],['#_male hygiene promoters]]+WWWW[[#This Row],['#_female hygiene promoters]])&gt;WWWW[[#This Row],[Total PoP ]],WWWW[[#This Row],[Total PoP ]],500*(WWWW[[#This Row],['#_male hygiene promoters]]+WWWW[[#This Row],['#_female hygiene promoters]]))</f>
        <v>0</v>
      </c>
      <c r="DH8" s="7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 s="7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 s="730">
        <f>IF(WWWW[[#This Row],['# People with access to soap]]&gt;WWWW[[#This Row],['# People with access to Sanity Pads]],WWWW[[#This Row],['# People with access to soap]],WWWW[[#This Row],['# People with access to Sanity Pads]])</f>
        <v>0</v>
      </c>
      <c r="DK8" s="7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 s="733">
        <f>IF(WWWW[[#This Row],[HRP3]]/WWWW[[#This Row],[Total PoP ]]&gt;1,1,WWWW[[#This Row],[HRP3]]/WWWW[[#This Row],[Total PoP ]])</f>
        <v>0</v>
      </c>
      <c r="DM8" s="729">
        <f>1-WWWW[[#This Row],[Hygiene Coverage%]]</f>
        <v>1</v>
      </c>
      <c r="DN8" s="727">
        <f>WWWW[[#This Row],['# people reached by regular dedicated hygiene promotion_5]]/WWWW[[#This Row],[Total PoP ]]</f>
        <v>0</v>
      </c>
      <c r="DO8" s="727">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 s="727">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 s="730">
        <f>WWWW[[#This Row],['#_Constructed/Existing hand washing stations]]-WWWW[[#This Row],['#_Non-Functional_hand_washing_stations]]</f>
        <v>0</v>
      </c>
      <c r="DR8" s="725">
        <f>IF(WWWW[[#This Row],['# Functional hand washing stations during reporting period]]*20&gt;WWWW[[#This Row],[Total HH]],WWWW[[#This Row],[Total HH]],WWWW[[#This Row],['# Functional hand washing stations during reporting period]]*20)</f>
        <v>0</v>
      </c>
      <c r="DS8" s="725">
        <f>IF(WWWW[[#This Row],[Is sufficient soap available for TLS? (Yes/No)]]="yes",WWWW[[#This Row],['#_Constructed/Existing hand washing stations at TLS]],0)</f>
        <v>0</v>
      </c>
      <c r="DT8" s="479">
        <f>IF(WWWW[[#This Row],['# Functional hand washing stations during reporting period]]*100&gt;WWWW[[#This Row],[Total PoP ]],WWWW[[#This Row],[Total PoP ]],WWWW[[#This Row],['# Functional hand washing stations during reporting period]]*100)</f>
        <v>0</v>
      </c>
      <c r="DU8" s="479" t="str">
        <f>IF(OR(WWWW[[#This Row],['#_students at TLS_CFS]]="",WWWW[[#This Row],['#_students at TLS_CFS]]=0),"No","Yes")</f>
        <v>No</v>
      </c>
      <c r="DV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 s="721">
        <f>VLOOKUP(WWWW[[#This Row],[Site Name]],SiteDB6[[Site Name]:[CCCM Management]],6,FALSE)</f>
        <v>0</v>
      </c>
      <c r="DZ8" s="721">
        <f>VLOOKUP(WWWW[[#This Row],[Site Name]],SiteDB6[[Site Name]:[CCCM Focal Agency]],7,FALSE)</f>
        <v>0</v>
      </c>
      <c r="EA8" s="721" t="str">
        <f>VLOOKUP(WWWW[[#This Row],[Site Name]],SiteDB6[[Site Name]:[Location Type 1]],9,FALSE)</f>
        <v>Camp</v>
      </c>
      <c r="EB8" s="721" t="str">
        <f>VLOOKUP(WWWW[[#This Row],[Site Name]],SiteDB6[[Site Name]:[Type of Accommodation]],10,FALSE)</f>
        <v>Camp like setting</v>
      </c>
      <c r="EC8" s="721" t="str">
        <f>VLOOKUP(WWWW[[#This Row],[Site Name]],SiteDB6[[Site Name]:[Ethnic or GCA/NGCA]],11,FALSE)</f>
        <v>NGCA</v>
      </c>
      <c r="ED8" s="721">
        <f>VLOOKUP(WWWW[[#This Row],[Site Name]],SiteDB6[[Site Name]:[Lat]],12,FALSE)</f>
        <v>0</v>
      </c>
      <c r="EE8" s="721">
        <f>VLOOKUP(WWWW[[#This Row],[Site Name]],SiteDB6[[Site Name]:[Long]],13,FALSE)</f>
        <v>0</v>
      </c>
      <c r="EF8" s="721">
        <f>VLOOKUP(WWWW[[#This Row],[Site Name]],SiteDB6[[Site Name]:[Pcode]],3,FALSE)</f>
        <v>0</v>
      </c>
      <c r="EG8" s="726" t="str">
        <f t="shared" si="0"/>
        <v>Covered</v>
      </c>
      <c r="EH8" s="726">
        <f>VLOOKUP(WWWW[[#This Row],[Site Name]],Site_DB!$C$389:$D$1120,2,FALSE)</f>
        <v>0</v>
      </c>
    </row>
    <row r="9" spans="1:138" hidden="1">
      <c r="A9" s="591" t="s">
        <v>3261</v>
      </c>
      <c r="B9" s="591" t="s">
        <v>144</v>
      </c>
      <c r="C9" s="592" t="s">
        <v>144</v>
      </c>
      <c r="D9" s="404" t="s">
        <v>3277</v>
      </c>
      <c r="E9" s="592" t="s">
        <v>39</v>
      </c>
      <c r="F9" s="592" t="s">
        <v>162</v>
      </c>
      <c r="G9" s="721" t="str">
        <f>VLOOKUP(WWWW[[#This Row],[Site Name]],SiteDB6[[Site Name]:[Location Type]],8,FALSE)</f>
        <v>Camp</v>
      </c>
      <c r="H9" s="592" t="s">
        <v>163</v>
      </c>
      <c r="I9" s="594">
        <v>43</v>
      </c>
      <c r="J9" s="594">
        <v>197</v>
      </c>
      <c r="K9" s="717" t="s">
        <v>3278</v>
      </c>
      <c r="L9" s="718" t="s">
        <v>3279</v>
      </c>
      <c r="M9" s="594"/>
      <c r="N9" s="594"/>
      <c r="O9" s="594"/>
      <c r="P9" s="594"/>
      <c r="Q9" s="597" t="s">
        <v>43</v>
      </c>
      <c r="R9" s="594"/>
      <c r="S9" s="594">
        <v>4</v>
      </c>
      <c r="T9" s="523">
        <v>0</v>
      </c>
      <c r="U9" s="594"/>
      <c r="V9" s="594"/>
      <c r="W9" s="594">
        <v>3</v>
      </c>
      <c r="X9" s="594"/>
      <c r="Y9" s="594"/>
      <c r="Z9" s="594"/>
      <c r="AA9" s="594"/>
      <c r="AB9" s="594"/>
      <c r="AC9" s="594"/>
      <c r="AD9" s="594"/>
      <c r="AE9" s="594"/>
      <c r="AF9" s="594"/>
      <c r="AG9" s="594"/>
      <c r="AH9" s="594">
        <v>3</v>
      </c>
      <c r="AI9" s="594"/>
      <c r="AJ9" s="594"/>
      <c r="AK9" s="594"/>
      <c r="AL9" s="594"/>
      <c r="AM9" s="594"/>
      <c r="AN9" s="594"/>
      <c r="AO9" s="598"/>
      <c r="AP9" s="594">
        <v>38</v>
      </c>
      <c r="AQ9" s="594"/>
      <c r="AR9" s="599"/>
      <c r="AS9" s="594"/>
      <c r="AT9" s="594"/>
      <c r="AU9" s="594"/>
      <c r="AV9" s="594"/>
      <c r="AW9" s="594">
        <v>7</v>
      </c>
      <c r="AX9" s="593" t="s">
        <v>43</v>
      </c>
      <c r="AY9" s="598" t="s">
        <v>140</v>
      </c>
      <c r="AZ9" s="594"/>
      <c r="BA9" s="594"/>
      <c r="BB9" s="594"/>
      <c r="BC9" s="594"/>
      <c r="BD9" s="523"/>
      <c r="BE9" s="593"/>
      <c r="BF9" s="594">
        <v>3</v>
      </c>
      <c r="BG9" s="594"/>
      <c r="BH9" s="594"/>
      <c r="BI9" s="594">
        <v>3</v>
      </c>
      <c r="BJ9" s="594"/>
      <c r="BK9" s="594"/>
      <c r="BL9" s="594">
        <v>2</v>
      </c>
      <c r="BM9" s="594"/>
      <c r="BN9" s="594"/>
      <c r="BO9" s="593"/>
      <c r="BP9" s="594"/>
      <c r="BQ9" s="599"/>
      <c r="BR9" s="593"/>
      <c r="BS9" s="472"/>
      <c r="BT9" s="472"/>
      <c r="BU9" s="523"/>
      <c r="BV9" s="472"/>
      <c r="BW9" s="523"/>
      <c r="BX9" s="523"/>
      <c r="BY9" s="523"/>
      <c r="BZ9" s="601" t="str">
        <f>IFERROR(WWWW[[#This Row],['#_Water sources passed]]/WWWW[[#This Row],['#_Water sources tested for fecal coliform ]],"no test")</f>
        <v>no test</v>
      </c>
      <c r="CA9" s="599" t="str">
        <f>IFERROR(WWWW[[#This Row],['#_Household passed]]/WWWW[[#This Row],['#_Household water samples tested for fecal coliform]],"no test")</f>
        <v>no test</v>
      </c>
      <c r="CB9" s="600" t="str">
        <f>IF(AND(WWWW[[#This Row],[% of water sources passed]]="no test",WWWW[[#This Row],[% Household passed]]="no test"),"No Test","Tested")</f>
        <v>No Test</v>
      </c>
      <c r="CC9" s="600">
        <f>WWWW[[#This Row],['#_Constructed/existing protected hand dug well]]-WWWW[[#This Row],['#_Non-functional protected hand dug well]]</f>
        <v>0</v>
      </c>
      <c r="CD9" s="600">
        <f>(WWWW[[#This Row],['#_Constructed/Existing tube wells/boreholes/handpumps_WASH_agency]]+WWWW[[#This Row],['#_Non-Cluster partner water tube-wells/boreholes/handpumps]])-WWWW[[#This Row],['#_Non-functional tube wells/boreholes/handpumps]]</f>
        <v>3</v>
      </c>
      <c r="CE9" s="600">
        <f>WWWW[[#This Row],['#_Constructed/Existingwater storage tank with gravity fed reticulation system]]-WWWW[[#This Row],['#_Non-functional storage tank gravity fed reticulation system]]</f>
        <v>0</v>
      </c>
      <c r="CF9" s="478">
        <f>(WWWW[[#This Row],['#_Water_Liters_supplied_by_Water boating or water trucking]]/90)/15</f>
        <v>0</v>
      </c>
      <c r="CG9" s="478">
        <f>WWWW[[#This Row],['#_Water_Liters_from_Constructed/Existing water distribution system from river or natural spring]]/90/15</f>
        <v>0</v>
      </c>
      <c r="CH9" s="478">
        <f>WWWW[[#This Row],['#_of water points in TLS/CFS /THF]]*500</f>
        <v>0</v>
      </c>
      <c r="CI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 s="599">
        <f>IF(WWWW[[#This Row],[Location Type 1]]="Village",WWWW[[#This Row],[Access to safe drinking water for Village]],WWWW[[#This Row],[Access to safe drinking water for Camp]])</f>
        <v>1</v>
      </c>
      <c r="CL9" s="597">
        <f>WWWW[[#This Row],[%Equitable and continuous access to sufficient quantity of safe drinking water]]*WWWW[[#This Row],[Total PoP ]]</f>
        <v>197</v>
      </c>
      <c r="CM9" s="599">
        <f>IF((WWWW[[#This Row],['#_Constructed/Existing protected/fenced ponds]]*250)/WWWW[[#This Row],[Total PoP ]]&gt;1,1,(WWWW[[#This Row],['#_Constructed/Existing protected/fenced ponds]]*250)/WWWW[[#This Row],[Total PoP ]])</f>
        <v>0</v>
      </c>
      <c r="CN9" s="597">
        <f>WWWW[[#This Row],[% Access to unimproved water points]]*WWWW[[#This Row],[Total PoP ]]</f>
        <v>0</v>
      </c>
      <c r="CO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9" s="597">
        <f>WWWW[[#This Row],[HRP1]]/500</f>
        <v>0.39400000000000002</v>
      </c>
      <c r="CR9" s="602">
        <f>1-WWWW[[#This Row],[% Equitable and continuous access to sufficient quantity of domestic water]]</f>
        <v>0</v>
      </c>
      <c r="CS9" s="597">
        <f>WWWW[[#This Row],[%equitable and continuous access to sufficient quantity of safe drinking and domestic water''s GAP]]*WWWW[[#This Row],[Total PoP ]]</f>
        <v>0</v>
      </c>
      <c r="CT9" s="600">
        <f>IF(WWWW[[#This Row],[Total required water points]]-WWWW[[#This Row],['#Water points coverage]]&lt;0,0,WWWW[[#This Row],[Total required water points]]-WWWW[[#This Row],['#Water points coverage]])</f>
        <v>0.60599999999999998</v>
      </c>
      <c r="CU9" s="600">
        <f>ROUND(IF(WWWW[[#This Row],[Total PoP ]]&lt;500,1,WWWW[[#This Row],[Total PoP ]]/500),0)</f>
        <v>1</v>
      </c>
      <c r="CV9" s="600">
        <f>(WWWW[[#This Row],['#_Constructed latrines_by_WASHAgencies]]+WWWW[[#This Row],['#_Non Cluster partner latrines]])-WWWW[[#This Row],['#_Non-functional latrines]]</f>
        <v>38</v>
      </c>
      <c r="CW9" s="70">
        <f>WWWW[[#This Row],[HRP2]]/WWWW[[#This Row],[Total PoP ]]</f>
        <v>1</v>
      </c>
      <c r="CX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197</v>
      </c>
      <c r="CY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 s="600">
        <f>IF(WWWW[[#This Row],['# of functional latrines in THF supported by WASH partners during the reporting period2]]="",0,WWWW[[#This Row],['# of functional latrines in THF supported by WASH partners during the reporting period2]]*50)</f>
        <v>0</v>
      </c>
      <c r="DB9" s="600">
        <f>WWWW[[#This Row],['# students access to functioning school latrines_HRP5]]+WWWW[[#This Row],['# People access to functioning latrines in THF_HRP5]]</f>
        <v>0</v>
      </c>
      <c r="DC9" s="600">
        <f>ROUND(IF(WWWW[[#This Row],[Location Type 1]]="camp",WWWW[[#This Row],[Total PoP ]]/20,IF(WWWW[[#This Row],[Location Type 1]]="Temporary Location",WWWW[[#This Row],[Total PoP ]]/50,WWWW[[#This Row],[Total HH]])),0)</f>
        <v>10</v>
      </c>
      <c r="DD9" s="600">
        <f>IF(WWWW[[#This Row],[Total required Latrines]]-(WWWW[[#This Row],['#_Constructed latrines_by_WASHAgencies]]+WWWW[[#This Row],['#_Non Cluster partner latrines]])&lt;0,0,WWWW[[#This Row],[Total required Latrines]]-(WWWW[[#This Row],['#_Constructed latrines_by_WASHAgencies]]+WWWW[[#This Row],['#_Non Cluster partner latrines]]))</f>
        <v>0</v>
      </c>
      <c r="DE9" s="602">
        <f>1-WWWW[[#This Row],[% people access to functioning Latrine]]</f>
        <v>0</v>
      </c>
      <c r="DF9" s="601">
        <f>IF(OR(WWWW[[#This Row],['#_Non-functional latrines]]="",WWWW[[#This Row],['#_Non-functional latrines]]=0),0,WWWW[[#This Row],['#_Non-functional latrines]]/(WWWW[[#This Row],['#_Constructed latrines_by_WASHAgencies]]+WWWW[[#This Row],['#_Non Cluster partner latrines]]))</f>
        <v>0</v>
      </c>
      <c r="DG9" s="597">
        <f>IF(500*(WWWW[[#This Row],['#_male hygiene promoters]]+WWWW[[#This Row],['#_female hygiene promoters]])&gt;WWWW[[#This Row],[Total PoP ]],WWWW[[#This Row],[Total PoP ]],500*(WWWW[[#This Row],['#_male hygiene promoters]]+WWWW[[#This Row],['#_female hygiene promoters]]))</f>
        <v>197</v>
      </c>
      <c r="DH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 s="600">
        <f>IF(WWWW[[#This Row],['# People with access to soap]]&gt;WWWW[[#This Row],['# People with access to Sanity Pads]],WWWW[[#This Row],['# People with access to soap]],WWWW[[#This Row],['# People with access to Sanity Pads]])</f>
        <v>0</v>
      </c>
      <c r="DK9" s="600">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9" s="602">
        <f>IF(WWWW[[#This Row],[HRP3]]/WWWW[[#This Row],[Total PoP ]]&gt;1,1,WWWW[[#This Row],[HRP3]]/WWWW[[#This Row],[Total PoP ]])</f>
        <v>1</v>
      </c>
      <c r="DM9" s="601">
        <f>1-WWWW[[#This Row],[Hygiene Coverage%]]</f>
        <v>0</v>
      </c>
      <c r="DN9" s="599">
        <f>WWWW[[#This Row],['# people reached by regular dedicated hygiene promotion_5]]/WWWW[[#This Row],[Total PoP ]]</f>
        <v>1</v>
      </c>
      <c r="DO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 s="600">
        <f>WWWW[[#This Row],['#_Constructed/Existing hand washing stations]]-WWWW[[#This Row],['#_Non-Functional_hand_washing_stations]]</f>
        <v>3</v>
      </c>
      <c r="DR9" s="597">
        <f>IF(WWWW[[#This Row],['# Functional hand washing stations during reporting period]]*20&gt;WWWW[[#This Row],[Total HH]],WWWW[[#This Row],[Total HH]],WWWW[[#This Row],['# Functional hand washing stations during reporting period]]*20)</f>
        <v>43</v>
      </c>
      <c r="DS9" s="597">
        <f>IF(WWWW[[#This Row],[Is sufficient soap available for TLS? (Yes/No)]]="yes",WWWW[[#This Row],['#_Constructed/Existing hand washing stations at TLS]],0)</f>
        <v>0</v>
      </c>
      <c r="DT9" s="479">
        <f>IF(WWWW[[#This Row],['# Functional hand washing stations during reporting period]]*100&gt;WWWW[[#This Row],[Total PoP ]],WWWW[[#This Row],[Total PoP ]],WWWW[[#This Row],['# Functional hand washing stations during reporting period]]*100)</f>
        <v>197</v>
      </c>
      <c r="DU9" s="479" t="str">
        <f>IF(OR(WWWW[[#This Row],['#_students at TLS_CFS]]="",WWWW[[#This Row],['#_students at TLS_CFS]]=0),"No","Yes")</f>
        <v>No</v>
      </c>
      <c r="DV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 s="593" t="str">
        <f>VLOOKUP(WWWW[[#This Row],[Site Name]],SiteDB6[[Site Name]:[CCCM Management]],6,FALSE)</f>
        <v>Yes</v>
      </c>
      <c r="DZ9" s="593" t="str">
        <f>VLOOKUP(WWWW[[#This Row],[Site Name]],SiteDB6[[Site Name]:[CCCM Focal Agency]],7,FALSE)</f>
        <v>KBC-MYT</v>
      </c>
      <c r="EA9" s="593" t="str">
        <f>VLOOKUP(WWWW[[#This Row],[Site Name]],SiteDB6[[Site Name]:[Location Type 1]],9,FALSE)</f>
        <v>Camp</v>
      </c>
      <c r="EB9" s="593" t="str">
        <f>VLOOKUP(WWWW[[#This Row],[Site Name]],SiteDB6[[Site Name]:[Type of Accommodation]],10,FALSE)</f>
        <v>Camp</v>
      </c>
      <c r="EC9" s="593" t="str">
        <f>VLOOKUP(WWWW[[#This Row],[Site Name]],SiteDB6[[Site Name]:[Ethnic or GCA/NGCA]],11,FALSE)</f>
        <v>GCA</v>
      </c>
      <c r="ED9" s="593">
        <f>VLOOKUP(WWWW[[#This Row],[Site Name]],SiteDB6[[Site Name]:[Lat]],12,FALSE)</f>
        <v>25.3959740909091</v>
      </c>
      <c r="EE9" s="593">
        <f>VLOOKUP(WWWW[[#This Row],[Site Name]],SiteDB6[[Site Name]:[Long]],13,FALSE)</f>
        <v>97.382997575757599</v>
      </c>
      <c r="EF9" s="593" t="str">
        <f>VLOOKUP(WWWW[[#This Row],[Site Name]],SiteDB6[[Site Name]:[Pcode]],3,FALSE)</f>
        <v>MMR001CMP010</v>
      </c>
      <c r="EG9" s="598" t="str">
        <f t="shared" si="0"/>
        <v>Covered</v>
      </c>
      <c r="EH9" s="598" t="str">
        <f>VLOOKUP(WWWW[[#This Row],[Site Name]],SiteDB6[[Site Name]:[open in cccm?]],2,FALSE)</f>
        <v>cccm_2019OCT</v>
      </c>
    </row>
    <row r="10" spans="1:138" hidden="1">
      <c r="A10" s="591" t="s">
        <v>3261</v>
      </c>
      <c r="B10" s="591" t="s">
        <v>144</v>
      </c>
      <c r="C10" s="592" t="s">
        <v>144</v>
      </c>
      <c r="D10" s="592" t="s">
        <v>3280</v>
      </c>
      <c r="E10" s="592" t="s">
        <v>39</v>
      </c>
      <c r="F10" s="592" t="s">
        <v>145</v>
      </c>
      <c r="G10" s="721" t="str">
        <f>VLOOKUP(WWWW[[#This Row],[Site Name]],SiteDB6[[Site Name]:[Location Type]],8,FALSE)</f>
        <v>Camp</v>
      </c>
      <c r="H10" s="592" t="s">
        <v>178</v>
      </c>
      <c r="I10" s="594">
        <v>140</v>
      </c>
      <c r="J10" s="594">
        <v>875</v>
      </c>
      <c r="K10" s="717">
        <v>43475</v>
      </c>
      <c r="L10" s="718" t="s">
        <v>3281</v>
      </c>
      <c r="M10" s="594"/>
      <c r="N10" s="594"/>
      <c r="O10" s="594"/>
      <c r="P10" s="594"/>
      <c r="Q10" s="597" t="s">
        <v>43</v>
      </c>
      <c r="R10" s="594"/>
      <c r="S10" s="594"/>
      <c r="T10" s="523">
        <v>0</v>
      </c>
      <c r="U10" s="594"/>
      <c r="V10" s="594"/>
      <c r="W10" s="594">
        <v>0</v>
      </c>
      <c r="X10" s="594"/>
      <c r="Y10" s="594"/>
      <c r="Z10" s="594"/>
      <c r="AA10" s="594">
        <v>1</v>
      </c>
      <c r="AB10" s="594"/>
      <c r="AC10" s="594"/>
      <c r="AD10" s="594"/>
      <c r="AE10" s="594"/>
      <c r="AF10" s="594"/>
      <c r="AG10" s="594"/>
      <c r="AH10" s="594">
        <v>0</v>
      </c>
      <c r="AI10" s="594"/>
      <c r="AJ10" s="594"/>
      <c r="AK10" s="594"/>
      <c r="AL10" s="594"/>
      <c r="AM10" s="594"/>
      <c r="AN10" s="594"/>
      <c r="AO10" s="598"/>
      <c r="AP10" s="594">
        <v>1</v>
      </c>
      <c r="AQ10" s="594"/>
      <c r="AR10" s="599"/>
      <c r="AS10" s="594"/>
      <c r="AT10" s="594"/>
      <c r="AU10" s="594"/>
      <c r="AV10" s="594"/>
      <c r="AW10" s="594">
        <v>50</v>
      </c>
      <c r="AX10" s="593" t="s">
        <v>43</v>
      </c>
      <c r="AY10" s="598" t="s">
        <v>140</v>
      </c>
      <c r="AZ10" s="594"/>
      <c r="BA10" s="594"/>
      <c r="BB10" s="594"/>
      <c r="BC10" s="594"/>
      <c r="BD10" s="523"/>
      <c r="BE10" s="593"/>
      <c r="BF10" s="594">
        <v>50</v>
      </c>
      <c r="BG10" s="594"/>
      <c r="BH10" s="594"/>
      <c r="BI10" s="594">
        <v>4</v>
      </c>
      <c r="BJ10" s="594"/>
      <c r="BK10" s="594"/>
      <c r="BL10" s="736">
        <v>3</v>
      </c>
      <c r="BM10" s="594"/>
      <c r="BN10" s="594"/>
      <c r="BO10" s="593"/>
      <c r="BP10" s="594"/>
      <c r="BQ10" s="599"/>
      <c r="BR10" s="593"/>
      <c r="BS10" s="472"/>
      <c r="BT10" s="472"/>
      <c r="BU10" s="523"/>
      <c r="BV10" s="472"/>
      <c r="BW10" s="523"/>
      <c r="BX10" s="523"/>
      <c r="BY10" s="523"/>
      <c r="BZ10" s="601" t="str">
        <f>IFERROR(WWWW[[#This Row],['#_Water sources passed]]/WWWW[[#This Row],['#_Water sources tested for fecal coliform ]],"no test")</f>
        <v>no test</v>
      </c>
      <c r="CA10" s="599" t="str">
        <f>IFERROR(WWWW[[#This Row],['#_Household passed]]/WWWW[[#This Row],['#_Household water samples tested for fecal coliform]],"no test")</f>
        <v>no test</v>
      </c>
      <c r="CB10" s="600" t="str">
        <f>IF(AND(WWWW[[#This Row],[% of water sources passed]]="no test",WWWW[[#This Row],[% Household passed]]="no test"),"No Test","Tested")</f>
        <v>No Test</v>
      </c>
      <c r="CC10" s="600">
        <f>WWWW[[#This Row],['#_Constructed/existing protected hand dug well]]-WWWW[[#This Row],['#_Non-functional protected hand dug well]]</f>
        <v>0</v>
      </c>
      <c r="CD10" s="600">
        <f>(WWWW[[#This Row],['#_Constructed/Existing tube wells/boreholes/handpumps_WASH_agency]]+WWWW[[#This Row],['#_Non-Cluster partner water tube-wells/boreholes/handpumps]])-WWWW[[#This Row],['#_Non-functional tube wells/boreholes/handpumps]]</f>
        <v>0</v>
      </c>
      <c r="CE10" s="600">
        <f>WWWW[[#This Row],['#_Constructed/Existingwater storage tank with gravity fed reticulation system]]-WWWW[[#This Row],['#_Non-functional storage tank gravity fed reticulation system]]</f>
        <v>1</v>
      </c>
      <c r="CF10" s="478">
        <f>(WWWW[[#This Row],['#_Water_Liters_supplied_by_Water boating or water trucking]]/90)/15</f>
        <v>0</v>
      </c>
      <c r="CG10" s="478">
        <f>WWWW[[#This Row],['#_Water_Liters_from_Constructed/Existing water distribution system from river or natural spring]]/90/15</f>
        <v>0</v>
      </c>
      <c r="CH10" s="478">
        <f>WWWW[[#This Row],['#_of water points in TLS/CFS /THF]]*500</f>
        <v>0</v>
      </c>
      <c r="CI1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7.6190476190476197E-2</v>
      </c>
      <c r="CJ1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7.6190476190476197E-2</v>
      </c>
      <c r="CK10" s="599">
        <f>IF(WWWW[[#This Row],[Location Type 1]]="Village",WWWW[[#This Row],[Access to safe drinking water for Village]],WWWW[[#This Row],[Access to safe drinking water for Camp]])</f>
        <v>7.6190476190476197E-2</v>
      </c>
      <c r="CL10" s="597">
        <f>WWWW[[#This Row],[%Equitable and continuous access to sufficient quantity of safe drinking water]]*WWWW[[#This Row],[Total PoP ]]</f>
        <v>66.666666666666671</v>
      </c>
      <c r="CM10" s="599">
        <f>IF((WWWW[[#This Row],['#_Constructed/Existing protected/fenced ponds]]*250)/WWWW[[#This Row],[Total PoP ]]&gt;1,1,(WWWW[[#This Row],['#_Constructed/Existing protected/fenced ponds]]*250)/WWWW[[#This Row],[Total PoP ]])</f>
        <v>0</v>
      </c>
      <c r="CN10" s="597">
        <f>WWWW[[#This Row],[% Access to unimproved water points]]*WWWW[[#This Row],[Total PoP ]]</f>
        <v>0</v>
      </c>
      <c r="CO1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P1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0" s="597">
        <f>WWWW[[#This Row],[HRP1]]/500</f>
        <v>0.13333333333333333</v>
      </c>
      <c r="CR10" s="602">
        <f>1-WWWW[[#This Row],[% Equitable and continuous access to sufficient quantity of domestic water]]</f>
        <v>0.92380952380952386</v>
      </c>
      <c r="CS10" s="597">
        <f>WWWW[[#This Row],[%equitable and continuous access to sufficient quantity of safe drinking and domestic water''s GAP]]*WWWW[[#This Row],[Total PoP ]]</f>
        <v>808.33333333333337</v>
      </c>
      <c r="CT10" s="600">
        <f>IF(WWWW[[#This Row],[Total required water points]]-WWWW[[#This Row],['#Water points coverage]]&lt;0,0,WWWW[[#This Row],[Total required water points]]-WWWW[[#This Row],['#Water points coverage]])</f>
        <v>1.8666666666666667</v>
      </c>
      <c r="CU10" s="600">
        <f>ROUND(IF(WWWW[[#This Row],[Total PoP ]]&lt;500,1,WWWW[[#This Row],[Total PoP ]]/500),0)</f>
        <v>2</v>
      </c>
      <c r="CV10" s="600">
        <f>(WWWW[[#This Row],['#_Constructed latrines_by_WASHAgencies]]+WWWW[[#This Row],['#_Non Cluster partner latrines]])-WWWW[[#This Row],['#_Non-functional latrines]]</f>
        <v>1</v>
      </c>
      <c r="CW10" s="70">
        <f>WWWW[[#This Row],[HRP2]]/WWWW[[#This Row],[Total PoP ]]</f>
        <v>2.2857142857142857E-2</v>
      </c>
      <c r="CX1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1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 s="600">
        <f>IF(WWWW[[#This Row],['# of functional latrines in THF supported by WASH partners during the reporting period2]]="",0,WWWW[[#This Row],['# of functional latrines in THF supported by WASH partners during the reporting period2]]*50)</f>
        <v>0</v>
      </c>
      <c r="DB10" s="600">
        <f>WWWW[[#This Row],['# students access to functioning school latrines_HRP5]]+WWWW[[#This Row],['# People access to functioning latrines in THF_HRP5]]</f>
        <v>0</v>
      </c>
      <c r="DC10" s="600">
        <f>ROUND(IF(WWWW[[#This Row],[Location Type 1]]="camp",WWWW[[#This Row],[Total PoP ]]/20,IF(WWWW[[#This Row],[Location Type 1]]="Temporary Location",WWWW[[#This Row],[Total PoP ]]/50,WWWW[[#This Row],[Total HH]])),0)</f>
        <v>44</v>
      </c>
      <c r="DD10" s="600">
        <f>IF(WWWW[[#This Row],[Total required Latrines]]-(WWWW[[#This Row],['#_Constructed latrines_by_WASHAgencies]]+WWWW[[#This Row],['#_Non Cluster partner latrines]])&lt;0,0,WWWW[[#This Row],[Total required Latrines]]-(WWWW[[#This Row],['#_Constructed latrines_by_WASHAgencies]]+WWWW[[#This Row],['#_Non Cluster partner latrines]]))</f>
        <v>43</v>
      </c>
      <c r="DE10" s="602">
        <f>1-WWWW[[#This Row],[% people access to functioning Latrine]]</f>
        <v>0.97714285714285709</v>
      </c>
      <c r="DF10" s="601">
        <f>IF(OR(WWWW[[#This Row],['#_Non-functional latrines]]="",WWWW[[#This Row],['#_Non-functional latrines]]=0),0,WWWW[[#This Row],['#_Non-functional latrines]]/(WWWW[[#This Row],['#_Constructed latrines_by_WASHAgencies]]+WWWW[[#This Row],['#_Non Cluster partner latrines]]))</f>
        <v>0</v>
      </c>
      <c r="DG10" s="597">
        <f>IF(500*(WWWW[[#This Row],['#_male hygiene promoters]]+WWWW[[#This Row],['#_female hygiene promoters]])&gt;WWWW[[#This Row],[Total PoP ]],WWWW[[#This Row],[Total PoP ]],500*(WWWW[[#This Row],['#_male hygiene promoters]]+WWWW[[#This Row],['#_female hygiene promoters]]))</f>
        <v>875</v>
      </c>
      <c r="DH1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 s="600">
        <f>IF(WWWW[[#This Row],['# People with access to soap]]&gt;WWWW[[#This Row],['# People with access to Sanity Pads]],WWWW[[#This Row],['# People with access to soap]],WWWW[[#This Row],['# People with access to Sanity Pads]])</f>
        <v>0</v>
      </c>
      <c r="DK10" s="600">
        <f>IF(WWWW[[#This Row],['# people reached by regular dedicated hygiene promotion_5]]&gt;WWWW[[#This Row],['# People received regular supply of hygiene items_6]],WWWW[[#This Row],['# people reached by regular dedicated hygiene promotion_5]],WWWW[[#This Row],['# People received regular supply of hygiene items_6]])</f>
        <v>875</v>
      </c>
      <c r="DL10" s="602">
        <f>IF(WWWW[[#This Row],[HRP3]]/WWWW[[#This Row],[Total PoP ]]&gt;1,1,WWWW[[#This Row],[HRP3]]/WWWW[[#This Row],[Total PoP ]])</f>
        <v>1</v>
      </c>
      <c r="DM10" s="601">
        <f>1-WWWW[[#This Row],[Hygiene Coverage%]]</f>
        <v>0</v>
      </c>
      <c r="DN10" s="599">
        <f>WWWW[[#This Row],['# people reached by regular dedicated hygiene promotion_5]]/WWWW[[#This Row],[Total PoP ]]</f>
        <v>1</v>
      </c>
      <c r="DO1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 s="600">
        <f>WWWW[[#This Row],['#_Constructed/Existing hand washing stations]]-WWWW[[#This Row],['#_Non-Functional_hand_washing_stations]]</f>
        <v>50</v>
      </c>
      <c r="DR10" s="597">
        <f>IF(WWWW[[#This Row],['# Functional hand washing stations during reporting period]]*20&gt;WWWW[[#This Row],[Total HH]],WWWW[[#This Row],[Total HH]],WWWW[[#This Row],['# Functional hand washing stations during reporting period]]*20)</f>
        <v>140</v>
      </c>
      <c r="DS10" s="597">
        <f>IF(WWWW[[#This Row],[Is sufficient soap available for TLS? (Yes/No)]]="yes",WWWW[[#This Row],['#_Constructed/Existing hand washing stations at TLS]],0)</f>
        <v>0</v>
      </c>
      <c r="DT10" s="479">
        <f>IF(WWWW[[#This Row],['# Functional hand washing stations during reporting period]]*100&gt;WWWW[[#This Row],[Total PoP ]],WWWW[[#This Row],[Total PoP ]],WWWW[[#This Row],['# Functional hand washing stations during reporting period]]*100)</f>
        <v>875</v>
      </c>
      <c r="DU10" s="479" t="str">
        <f>IF(OR(WWWW[[#This Row],['#_students at TLS_CFS]]="",WWWW[[#This Row],['#_students at TLS_CFS]]=0),"No","Yes")</f>
        <v>No</v>
      </c>
      <c r="DV1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 s="593" t="str">
        <f>VLOOKUP(WWWW[[#This Row],[Site Name]],SiteDB6[[Site Name]:[CCCM Management]],6,FALSE)</f>
        <v>Yes</v>
      </c>
      <c r="DZ10" s="593" t="str">
        <f>VLOOKUP(WWWW[[#This Row],[Site Name]],SiteDB6[[Site Name]:[CCCM Focal Agency]],7,FALSE)</f>
        <v>KBC-MYT</v>
      </c>
      <c r="EA10" s="593" t="str">
        <f>VLOOKUP(WWWW[[#This Row],[Site Name]],SiteDB6[[Site Name]:[Location Type 1]],9,FALSE)</f>
        <v>Camp</v>
      </c>
      <c r="EB10" s="593" t="str">
        <f>VLOOKUP(WWWW[[#This Row],[Site Name]],SiteDB6[[Site Name]:[Type of Accommodation]],10,FALSE)</f>
        <v>Camp</v>
      </c>
      <c r="EC10" s="593" t="str">
        <f>VLOOKUP(WWWW[[#This Row],[Site Name]],SiteDB6[[Site Name]:[Ethnic or GCA/NGCA]],11,FALSE)</f>
        <v>NGCA</v>
      </c>
      <c r="ED10" s="593">
        <f>VLOOKUP(WWWW[[#This Row],[Site Name]],SiteDB6[[Site Name]:[Lat]],12,FALSE)</f>
        <v>25.200333000000001</v>
      </c>
      <c r="EE10" s="593">
        <f>VLOOKUP(WWWW[[#This Row],[Site Name]],SiteDB6[[Site Name]:[Long]],13,FALSE)</f>
        <v>97.807182999999995</v>
      </c>
      <c r="EF10" s="593" t="str">
        <f>VLOOKUP(WWWW[[#This Row],[Site Name]],SiteDB6[[Site Name]:[Pcode]],3,FALSE)</f>
        <v>MMR001CMP115</v>
      </c>
      <c r="EG10" s="598" t="str">
        <f t="shared" si="0"/>
        <v>Covered</v>
      </c>
      <c r="EH10" s="598" t="str">
        <f>VLOOKUP(WWWW[[#This Row],[Site Name]],SiteDB6[[Site Name]:[open in cccm?]],2,FALSE)</f>
        <v>cccm_2019OCT</v>
      </c>
    </row>
    <row r="11" spans="1:138" hidden="1">
      <c r="A11" s="591" t="s">
        <v>3261</v>
      </c>
      <c r="B11" s="591" t="s">
        <v>144</v>
      </c>
      <c r="C11" s="592" t="s">
        <v>144</v>
      </c>
      <c r="D11" s="404" t="s">
        <v>3277</v>
      </c>
      <c r="E11" s="592" t="s">
        <v>39</v>
      </c>
      <c r="F11" s="592" t="s">
        <v>151</v>
      </c>
      <c r="G11" s="721" t="str">
        <f>VLOOKUP(WWWW[[#This Row],[Site Name]],SiteDB6[[Site Name]:[Location Type]],8,FALSE)</f>
        <v>Camp</v>
      </c>
      <c r="H11" s="592" t="s">
        <v>152</v>
      </c>
      <c r="I11" s="594">
        <v>31</v>
      </c>
      <c r="J11" s="594">
        <v>132</v>
      </c>
      <c r="K11" s="717" t="s">
        <v>3278</v>
      </c>
      <c r="L11" s="718" t="s">
        <v>3279</v>
      </c>
      <c r="M11" s="594"/>
      <c r="N11" s="594"/>
      <c r="O11" s="594"/>
      <c r="P11" s="594"/>
      <c r="Q11" s="597" t="s">
        <v>43</v>
      </c>
      <c r="R11" s="594"/>
      <c r="S11" s="594">
        <v>4</v>
      </c>
      <c r="T11" s="523">
        <v>0</v>
      </c>
      <c r="U11" s="594"/>
      <c r="V11" s="594"/>
      <c r="W11" s="594">
        <v>1</v>
      </c>
      <c r="X11" s="594"/>
      <c r="Y11" s="594"/>
      <c r="Z11" s="594"/>
      <c r="AA11" s="594"/>
      <c r="AB11" s="594"/>
      <c r="AC11" s="594"/>
      <c r="AD11" s="594"/>
      <c r="AE11" s="594"/>
      <c r="AF11" s="594"/>
      <c r="AG11" s="594"/>
      <c r="AH11" s="594">
        <v>0</v>
      </c>
      <c r="AI11" s="594"/>
      <c r="AJ11" s="594"/>
      <c r="AK11" s="594"/>
      <c r="AL11" s="594"/>
      <c r="AM11" s="594"/>
      <c r="AN11" s="594"/>
      <c r="AO11" s="598"/>
      <c r="AP11" s="594">
        <v>9</v>
      </c>
      <c r="AQ11" s="594"/>
      <c r="AR11" s="599"/>
      <c r="AS11" s="594"/>
      <c r="AT11" s="594"/>
      <c r="AU11" s="594"/>
      <c r="AV11" s="594"/>
      <c r="AW11" s="594">
        <v>4</v>
      </c>
      <c r="AX11" s="593" t="s">
        <v>43</v>
      </c>
      <c r="AY11" s="598" t="s">
        <v>140</v>
      </c>
      <c r="AZ11" s="594"/>
      <c r="BA11" s="594"/>
      <c r="BB11" s="594"/>
      <c r="BC11" s="594"/>
      <c r="BD11" s="523"/>
      <c r="BE11" s="593"/>
      <c r="BF11" s="594">
        <v>1</v>
      </c>
      <c r="BG11" s="594"/>
      <c r="BH11" s="594"/>
      <c r="BI11" s="594">
        <v>2</v>
      </c>
      <c r="BJ11" s="594"/>
      <c r="BK11" s="594"/>
      <c r="BL11" s="594">
        <v>1</v>
      </c>
      <c r="BM11" s="594"/>
      <c r="BN11" s="594"/>
      <c r="BO11" s="593"/>
      <c r="BP11" s="594"/>
      <c r="BQ11" s="599"/>
      <c r="BR11" s="593"/>
      <c r="BS11" s="472"/>
      <c r="BT11" s="472"/>
      <c r="BU11" s="523"/>
      <c r="BV11" s="472"/>
      <c r="BW11" s="523"/>
      <c r="BX11" s="523"/>
      <c r="BY11" s="523"/>
      <c r="BZ11" s="601" t="str">
        <f>IFERROR(WWWW[[#This Row],['#_Water sources passed]]/WWWW[[#This Row],['#_Water sources tested for fecal coliform ]],"no test")</f>
        <v>no test</v>
      </c>
      <c r="CA11" s="599" t="str">
        <f>IFERROR(WWWW[[#This Row],['#_Household passed]]/WWWW[[#This Row],['#_Household water samples tested for fecal coliform]],"no test")</f>
        <v>no test</v>
      </c>
      <c r="CB11" s="600" t="str">
        <f>IF(AND(WWWW[[#This Row],[% of water sources passed]]="no test",WWWW[[#This Row],[% Household passed]]="no test"),"No Test","Tested")</f>
        <v>No Test</v>
      </c>
      <c r="CC11" s="600">
        <f>WWWW[[#This Row],['#_Constructed/existing protected hand dug well]]-WWWW[[#This Row],['#_Non-functional protected hand dug well]]</f>
        <v>0</v>
      </c>
      <c r="CD11" s="600">
        <f>(WWWW[[#This Row],['#_Constructed/Existing tube wells/boreholes/handpumps_WASH_agency]]+WWWW[[#This Row],['#_Non-Cluster partner water tube-wells/boreholes/handpumps]])-WWWW[[#This Row],['#_Non-functional tube wells/boreholes/handpumps]]</f>
        <v>1</v>
      </c>
      <c r="CE11" s="600">
        <f>WWWW[[#This Row],['#_Constructed/Existingwater storage tank with gravity fed reticulation system]]-WWWW[[#This Row],['#_Non-functional storage tank gravity fed reticulation system]]</f>
        <v>0</v>
      </c>
      <c r="CF11" s="478">
        <f>(WWWW[[#This Row],['#_Water_Liters_supplied_by_Water boating or water trucking]]/90)/15</f>
        <v>0</v>
      </c>
      <c r="CG11" s="478">
        <f>WWWW[[#This Row],['#_Water_Liters_from_Constructed/Existing water distribution system from river or natural spring]]/90/15</f>
        <v>0</v>
      </c>
      <c r="CH11" s="478">
        <f>WWWW[[#This Row],['#_of water points in TLS/CFS /THF]]*500</f>
        <v>0</v>
      </c>
      <c r="CI1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 s="599">
        <f>IF(WWWW[[#This Row],[Location Type 1]]="Village",WWWW[[#This Row],[Access to safe drinking water for Village]],WWWW[[#This Row],[Access to safe drinking water for Camp]])</f>
        <v>1</v>
      </c>
      <c r="CL11" s="597">
        <f>WWWW[[#This Row],[%Equitable and continuous access to sufficient quantity of safe drinking water]]*WWWW[[#This Row],[Total PoP ]]</f>
        <v>132</v>
      </c>
      <c r="CM11" s="599">
        <f>IF((WWWW[[#This Row],['#_Constructed/Existing protected/fenced ponds]]*250)/WWWW[[#This Row],[Total PoP ]]&gt;1,1,(WWWW[[#This Row],['#_Constructed/Existing protected/fenced ponds]]*250)/WWWW[[#This Row],[Total PoP ]])</f>
        <v>0</v>
      </c>
      <c r="CN11" s="597">
        <f>WWWW[[#This Row],[% Access to unimproved water points]]*WWWW[[#This Row],[Total PoP ]]</f>
        <v>0</v>
      </c>
      <c r="CO1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Q11" s="597">
        <f>WWWW[[#This Row],[HRP1]]/500</f>
        <v>0.26400000000000001</v>
      </c>
      <c r="CR11" s="602">
        <f>1-WWWW[[#This Row],[% Equitable and continuous access to sufficient quantity of domestic water]]</f>
        <v>0</v>
      </c>
      <c r="CS11" s="597">
        <f>WWWW[[#This Row],[%equitable and continuous access to sufficient quantity of safe drinking and domestic water''s GAP]]*WWWW[[#This Row],[Total PoP ]]</f>
        <v>0</v>
      </c>
      <c r="CT11" s="600">
        <f>IF(WWWW[[#This Row],[Total required water points]]-WWWW[[#This Row],['#Water points coverage]]&lt;0,0,WWWW[[#This Row],[Total required water points]]-WWWW[[#This Row],['#Water points coverage]])</f>
        <v>0.73599999999999999</v>
      </c>
      <c r="CU11" s="600">
        <f>ROUND(IF(WWWW[[#This Row],[Total PoP ]]&lt;500,1,WWWW[[#This Row],[Total PoP ]]/500),0)</f>
        <v>1</v>
      </c>
      <c r="CV11" s="600">
        <f>(WWWW[[#This Row],['#_Constructed latrines_by_WASHAgencies]]+WWWW[[#This Row],['#_Non Cluster partner latrines]])-WWWW[[#This Row],['#_Non-functional latrines]]</f>
        <v>9</v>
      </c>
      <c r="CW11" s="70">
        <f>WWWW[[#This Row],[HRP2]]/WWWW[[#This Row],[Total PoP ]]</f>
        <v>1</v>
      </c>
      <c r="CX1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CY1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 s="600">
        <f>IF(WWWW[[#This Row],['# of functional latrines in THF supported by WASH partners during the reporting period2]]="",0,WWWW[[#This Row],['# of functional latrines in THF supported by WASH partners during the reporting period2]]*50)</f>
        <v>0</v>
      </c>
      <c r="DB11" s="600">
        <f>WWWW[[#This Row],['# students access to functioning school latrines_HRP5]]+WWWW[[#This Row],['# People access to functioning latrines in THF_HRP5]]</f>
        <v>0</v>
      </c>
      <c r="DC11" s="600">
        <f>ROUND(IF(WWWW[[#This Row],[Location Type 1]]="camp",WWWW[[#This Row],[Total PoP ]]/20,IF(WWWW[[#This Row],[Location Type 1]]="Temporary Location",WWWW[[#This Row],[Total PoP ]]/50,WWWW[[#This Row],[Total HH]])),0)</f>
        <v>7</v>
      </c>
      <c r="DD11" s="600">
        <f>IF(WWWW[[#This Row],[Total required Latrines]]-(WWWW[[#This Row],['#_Constructed latrines_by_WASHAgencies]]+WWWW[[#This Row],['#_Non Cluster partner latrines]])&lt;0,0,WWWW[[#This Row],[Total required Latrines]]-(WWWW[[#This Row],['#_Constructed latrines_by_WASHAgencies]]+WWWW[[#This Row],['#_Non Cluster partner latrines]]))</f>
        <v>0</v>
      </c>
      <c r="DE11" s="602">
        <f>1-WWWW[[#This Row],[% people access to functioning Latrine]]</f>
        <v>0</v>
      </c>
      <c r="DF11" s="601">
        <f>IF(OR(WWWW[[#This Row],['#_Non-functional latrines]]="",WWWW[[#This Row],['#_Non-functional latrines]]=0),0,WWWW[[#This Row],['#_Non-functional latrines]]/(WWWW[[#This Row],['#_Constructed latrines_by_WASHAgencies]]+WWWW[[#This Row],['#_Non Cluster partner latrines]]))</f>
        <v>0</v>
      </c>
      <c r="DG11" s="597">
        <f>IF(500*(WWWW[[#This Row],['#_male hygiene promoters]]+WWWW[[#This Row],['#_female hygiene promoters]])&gt;WWWW[[#This Row],[Total PoP ]],WWWW[[#This Row],[Total PoP ]],500*(WWWW[[#This Row],['#_male hygiene promoters]]+WWWW[[#This Row],['#_female hygiene promoters]]))</f>
        <v>132</v>
      </c>
      <c r="DH1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 s="600">
        <f>IF(WWWW[[#This Row],['# People with access to soap]]&gt;WWWW[[#This Row],['# People with access to Sanity Pads]],WWWW[[#This Row],['# People with access to soap]],WWWW[[#This Row],['# People with access to Sanity Pads]])</f>
        <v>0</v>
      </c>
      <c r="DK11" s="600">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L11" s="602">
        <f>IF(WWWW[[#This Row],[HRP3]]/WWWW[[#This Row],[Total PoP ]]&gt;1,1,WWWW[[#This Row],[HRP3]]/WWWW[[#This Row],[Total PoP ]])</f>
        <v>1</v>
      </c>
      <c r="DM11" s="601">
        <f>1-WWWW[[#This Row],[Hygiene Coverage%]]</f>
        <v>0</v>
      </c>
      <c r="DN11" s="599">
        <f>WWWW[[#This Row],['# people reached by regular dedicated hygiene promotion_5]]/WWWW[[#This Row],[Total PoP ]]</f>
        <v>1</v>
      </c>
      <c r="DO1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 s="600">
        <f>WWWW[[#This Row],['#_Constructed/Existing hand washing stations]]-WWWW[[#This Row],['#_Non-Functional_hand_washing_stations]]</f>
        <v>1</v>
      </c>
      <c r="DR11" s="597">
        <f>IF(WWWW[[#This Row],['# Functional hand washing stations during reporting period]]*20&gt;WWWW[[#This Row],[Total HH]],WWWW[[#This Row],[Total HH]],WWWW[[#This Row],['# Functional hand washing stations during reporting period]]*20)</f>
        <v>20</v>
      </c>
      <c r="DS11" s="597">
        <f>IF(WWWW[[#This Row],[Is sufficient soap available for TLS? (Yes/No)]]="yes",WWWW[[#This Row],['#_Constructed/Existing hand washing stations at TLS]],0)</f>
        <v>0</v>
      </c>
      <c r="DT11" s="479">
        <f>IF(WWWW[[#This Row],['# Functional hand washing stations during reporting period]]*100&gt;WWWW[[#This Row],[Total PoP ]],WWWW[[#This Row],[Total PoP ]],WWWW[[#This Row],['# Functional hand washing stations during reporting period]]*100)</f>
        <v>100</v>
      </c>
      <c r="DU11" s="479" t="str">
        <f>IF(OR(WWWW[[#This Row],['#_students at TLS_CFS]]="",WWWW[[#This Row],['#_students at TLS_CFS]]=0),"No","Yes")</f>
        <v>No</v>
      </c>
      <c r="DV1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 s="593" t="str">
        <f>VLOOKUP(WWWW[[#This Row],[Site Name]],SiteDB6[[Site Name]:[CCCM Management]],6,FALSE)</f>
        <v>Yes</v>
      </c>
      <c r="DZ11" s="593" t="str">
        <f>VLOOKUP(WWWW[[#This Row],[Site Name]],SiteDB6[[Site Name]:[CCCM Focal Agency]],7,FALSE)</f>
        <v>KBC-MYT</v>
      </c>
      <c r="EA11" s="593" t="str">
        <f>VLOOKUP(WWWW[[#This Row],[Site Name]],SiteDB6[[Site Name]:[Location Type 1]],9,FALSE)</f>
        <v>Camp</v>
      </c>
      <c r="EB11" s="593" t="str">
        <f>VLOOKUP(WWWW[[#This Row],[Site Name]],SiteDB6[[Site Name]:[Type of Accommodation]],10,FALSE)</f>
        <v>Camp</v>
      </c>
      <c r="EC11" s="593" t="str">
        <f>VLOOKUP(WWWW[[#This Row],[Site Name]],SiteDB6[[Site Name]:[Ethnic or GCA/NGCA]],11,FALSE)</f>
        <v>GCA</v>
      </c>
      <c r="ED11" s="593">
        <f>VLOOKUP(WWWW[[#This Row],[Site Name]],SiteDB6[[Site Name]:[Lat]],12,FALSE)</f>
        <v>25.51352</v>
      </c>
      <c r="EE11" s="593">
        <f>VLOOKUP(WWWW[[#This Row],[Site Name]],SiteDB6[[Site Name]:[Long]],13,FALSE)</f>
        <v>96.705960000000005</v>
      </c>
      <c r="EF11" s="593" t="str">
        <f>VLOOKUP(WWWW[[#This Row],[Site Name]],SiteDB6[[Site Name]:[Pcode]],3,FALSE)</f>
        <v>MMR001CMP148</v>
      </c>
      <c r="EG11" s="598" t="str">
        <f t="shared" si="0"/>
        <v>Covered</v>
      </c>
      <c r="EH11" s="598" t="str">
        <f>VLOOKUP(WWWW[[#This Row],[Site Name]],SiteDB6[[Site Name]:[open in cccm?]],2,FALSE)</f>
        <v>cccm_2019OCT</v>
      </c>
    </row>
    <row r="12" spans="1:138" hidden="1">
      <c r="A12" s="591" t="s">
        <v>3261</v>
      </c>
      <c r="B12" s="591" t="s">
        <v>144</v>
      </c>
      <c r="C12" s="592" t="s">
        <v>144</v>
      </c>
      <c r="D12" s="592"/>
      <c r="E12" s="592" t="s">
        <v>39</v>
      </c>
      <c r="F12" s="592" t="s">
        <v>149</v>
      </c>
      <c r="G12" s="721" t="str">
        <f>VLOOKUP(WWWW[[#This Row],[Site Name]],SiteDB6[[Site Name]:[Location Type]],8,FALSE)</f>
        <v>Camp</v>
      </c>
      <c r="H12" s="592" t="s">
        <v>150</v>
      </c>
      <c r="I12" s="594">
        <v>169</v>
      </c>
      <c r="J12" s="594">
        <v>837</v>
      </c>
      <c r="K12" s="595"/>
      <c r="L12" s="596"/>
      <c r="M12" s="594">
        <v>238</v>
      </c>
      <c r="N12" s="594"/>
      <c r="O12" s="594"/>
      <c r="P12" s="594"/>
      <c r="Q12" s="597" t="s">
        <v>43</v>
      </c>
      <c r="R12" s="594"/>
      <c r="S12" s="594">
        <v>5</v>
      </c>
      <c r="T12" s="523">
        <v>0</v>
      </c>
      <c r="U12" s="594"/>
      <c r="V12" s="594"/>
      <c r="W12" s="594">
        <v>0</v>
      </c>
      <c r="X12" s="594"/>
      <c r="Y12" s="594"/>
      <c r="Z12" s="594"/>
      <c r="AA12" s="594">
        <v>1</v>
      </c>
      <c r="AB12" s="594"/>
      <c r="AC12" s="594"/>
      <c r="AD12" s="594"/>
      <c r="AE12" s="594"/>
      <c r="AF12" s="594"/>
      <c r="AG12" s="594"/>
      <c r="AH12" s="594">
        <v>0</v>
      </c>
      <c r="AI12" s="594"/>
      <c r="AJ12" s="594"/>
      <c r="AK12" s="594"/>
      <c r="AL12" s="594"/>
      <c r="AM12" s="594"/>
      <c r="AN12" s="594"/>
      <c r="AO12" s="598"/>
      <c r="AP12" s="594">
        <v>18</v>
      </c>
      <c r="AQ12" s="594"/>
      <c r="AR12" s="599"/>
      <c r="AS12" s="594"/>
      <c r="AT12" s="594"/>
      <c r="AU12" s="594"/>
      <c r="AV12" s="594"/>
      <c r="AW12" s="594">
        <v>32</v>
      </c>
      <c r="AX12" s="593" t="s">
        <v>43</v>
      </c>
      <c r="AY12" s="598" t="s">
        <v>140</v>
      </c>
      <c r="AZ12" s="594"/>
      <c r="BA12" s="594"/>
      <c r="BB12" s="594">
        <v>5</v>
      </c>
      <c r="BC12" s="594"/>
      <c r="BD12" s="523"/>
      <c r="BE12" s="593"/>
      <c r="BF12" s="594"/>
      <c r="BG12" s="594"/>
      <c r="BH12" s="594"/>
      <c r="BI12" s="594">
        <v>4</v>
      </c>
      <c r="BJ12" s="594"/>
      <c r="BK12" s="594"/>
      <c r="BL12" s="594"/>
      <c r="BM12" s="594"/>
      <c r="BN12" s="594"/>
      <c r="BO12" s="593"/>
      <c r="BP12" s="594"/>
      <c r="BQ12" s="599"/>
      <c r="BR12" s="593"/>
      <c r="BS12" s="472"/>
      <c r="BT12" s="472"/>
      <c r="BU12" s="523"/>
      <c r="BV12" s="472"/>
      <c r="BW12" s="523"/>
      <c r="BX12" s="523"/>
      <c r="BY12" s="523"/>
      <c r="BZ12" s="601" t="str">
        <f>IFERROR(WWWW[[#This Row],['#_Water sources passed]]/WWWW[[#This Row],['#_Water sources tested for fecal coliform ]],"no test")</f>
        <v>no test</v>
      </c>
      <c r="CA12" s="599" t="str">
        <f>IFERROR(WWWW[[#This Row],['#_Household passed]]/WWWW[[#This Row],['#_Household water samples tested for fecal coliform]],"no test")</f>
        <v>no test</v>
      </c>
      <c r="CB12" s="600" t="str">
        <f>IF(AND(WWWW[[#This Row],[% of water sources passed]]="no test",WWWW[[#This Row],[% Household passed]]="no test"),"No Test","Tested")</f>
        <v>No Test</v>
      </c>
      <c r="CC12" s="600">
        <f>WWWW[[#This Row],['#_Constructed/existing protected hand dug well]]-WWWW[[#This Row],['#_Non-functional protected hand dug well]]</f>
        <v>0</v>
      </c>
      <c r="CD12" s="600">
        <f>(WWWW[[#This Row],['#_Constructed/Existing tube wells/boreholes/handpumps_WASH_agency]]+WWWW[[#This Row],['#_Non-Cluster partner water tube-wells/boreholes/handpumps]])-WWWW[[#This Row],['#_Non-functional tube wells/boreholes/handpumps]]</f>
        <v>0</v>
      </c>
      <c r="CE12" s="600">
        <f>WWWW[[#This Row],['#_Constructed/Existingwater storage tank with gravity fed reticulation system]]-WWWW[[#This Row],['#_Non-functional storage tank gravity fed reticulation system]]</f>
        <v>1</v>
      </c>
      <c r="CF12" s="478">
        <f>(WWWW[[#This Row],['#_Water_Liters_supplied_by_Water boating or water trucking]]/90)/15</f>
        <v>0</v>
      </c>
      <c r="CG12" s="478">
        <f>WWWW[[#This Row],['#_Water_Liters_from_Constructed/Existing water distribution system from river or natural spring]]/90/15</f>
        <v>0</v>
      </c>
      <c r="CH12" s="478">
        <f>WWWW[[#This Row],['#_of water points in TLS/CFS /THF]]*500</f>
        <v>0</v>
      </c>
      <c r="CI1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7.9649542015133412E-2</v>
      </c>
      <c r="CJ1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7.9649542015133412E-2</v>
      </c>
      <c r="CK12" s="599">
        <f>IF(WWWW[[#This Row],[Location Type 1]]="Village",WWWW[[#This Row],[Access to safe drinking water for Village]],WWWW[[#This Row],[Access to safe drinking water for Camp]])</f>
        <v>7.9649542015133412E-2</v>
      </c>
      <c r="CL12" s="597">
        <f>WWWW[[#This Row],[%Equitable and continuous access to sufficient quantity of safe drinking water]]*WWWW[[#This Row],[Total PoP ]]</f>
        <v>66.666666666666671</v>
      </c>
      <c r="CM12" s="599">
        <f>IF((WWWW[[#This Row],['#_Constructed/Existing protected/fenced ponds]]*250)/WWWW[[#This Row],[Total PoP ]]&gt;1,1,(WWWW[[#This Row],['#_Constructed/Existing protected/fenced ponds]]*250)/WWWW[[#This Row],[Total PoP ]])</f>
        <v>0</v>
      </c>
      <c r="CN12" s="597">
        <f>WWWW[[#This Row],[% Access to unimproved water points]]*WWWW[[#This Row],[Total PoP ]]</f>
        <v>0</v>
      </c>
      <c r="CO1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P1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2" s="597">
        <f>WWWW[[#This Row],[HRP1]]/500</f>
        <v>0.13333333333333333</v>
      </c>
      <c r="CR12" s="602">
        <f>1-WWWW[[#This Row],[% Equitable and continuous access to sufficient quantity of domestic water]]</f>
        <v>0.92035045798486659</v>
      </c>
      <c r="CS12" s="597">
        <f>WWWW[[#This Row],[%equitable and continuous access to sufficient quantity of safe drinking and domestic water''s GAP]]*WWWW[[#This Row],[Total PoP ]]</f>
        <v>770.33333333333337</v>
      </c>
      <c r="CT12" s="600">
        <f>IF(WWWW[[#This Row],[Total required water points]]-WWWW[[#This Row],['#Water points coverage]]&lt;0,0,WWWW[[#This Row],[Total required water points]]-WWWW[[#This Row],['#Water points coverage]])</f>
        <v>1.8666666666666667</v>
      </c>
      <c r="CU12" s="600">
        <f>ROUND(IF(WWWW[[#This Row],[Total PoP ]]&lt;500,1,WWWW[[#This Row],[Total PoP ]]/500),0)</f>
        <v>2</v>
      </c>
      <c r="CV12" s="600">
        <f>(WWWW[[#This Row],['#_Constructed latrines_by_WASHAgencies]]+WWWW[[#This Row],['#_Non Cluster partner latrines]])-WWWW[[#This Row],['#_Non-functional latrines]]</f>
        <v>18</v>
      </c>
      <c r="CW12" s="70">
        <f>WWWW[[#This Row],[HRP2]]/WWWW[[#This Row],[Total PoP ]]</f>
        <v>0.43010752688172044</v>
      </c>
      <c r="CX1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CY1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238</v>
      </c>
      <c r="DA12" s="600">
        <f>IF(WWWW[[#This Row],['# of functional latrines in THF supported by WASH partners during the reporting period2]]="",0,WWWW[[#This Row],['# of functional latrines in THF supported by WASH partners during the reporting period2]]*50)</f>
        <v>0</v>
      </c>
      <c r="DB12" s="600">
        <f>WWWW[[#This Row],['# students access to functioning school latrines_HRP5]]+WWWW[[#This Row],['# People access to functioning latrines in THF_HRP5]]</f>
        <v>238</v>
      </c>
      <c r="DC12" s="600">
        <f>ROUND(IF(WWWW[[#This Row],[Location Type 1]]="camp",WWWW[[#This Row],[Total PoP ]]/20,IF(WWWW[[#This Row],[Location Type 1]]="Temporary Location",WWWW[[#This Row],[Total PoP ]]/50,WWWW[[#This Row],[Total HH]])),0)</f>
        <v>42</v>
      </c>
      <c r="DD12" s="600">
        <f>IF(WWWW[[#This Row],[Total required Latrines]]-(WWWW[[#This Row],['#_Constructed latrines_by_WASHAgencies]]+WWWW[[#This Row],['#_Non Cluster partner latrines]])&lt;0,0,WWWW[[#This Row],[Total required Latrines]]-(WWWW[[#This Row],['#_Constructed latrines_by_WASHAgencies]]+WWWW[[#This Row],['#_Non Cluster partner latrines]]))</f>
        <v>24</v>
      </c>
      <c r="DE12" s="602">
        <f>1-WWWW[[#This Row],[% people access to functioning Latrine]]</f>
        <v>0.56989247311827951</v>
      </c>
      <c r="DF12" s="601">
        <f>IF(OR(WWWW[[#This Row],['#_Non-functional latrines]]="",WWWW[[#This Row],['#_Non-functional latrines]]=0),0,WWWW[[#This Row],['#_Non-functional latrines]]/(WWWW[[#This Row],['#_Constructed latrines_by_WASHAgencies]]+WWWW[[#This Row],['#_Non Cluster partner latrines]]))</f>
        <v>0</v>
      </c>
      <c r="DG12" s="597">
        <f>IF(500*(WWWW[[#This Row],['#_male hygiene promoters]]+WWWW[[#This Row],['#_female hygiene promoters]])&gt;WWWW[[#This Row],[Total PoP ]],WWWW[[#This Row],[Total PoP ]],500*(WWWW[[#This Row],['#_male hygiene promoters]]+WWWW[[#This Row],['#_female hygiene promoters]]))</f>
        <v>0</v>
      </c>
      <c r="DH1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 s="600">
        <f>IF(WWWW[[#This Row],['# People with access to soap]]&gt;WWWW[[#This Row],['# People with access to Sanity Pads]],WWWW[[#This Row],['# People with access to soap]],WWWW[[#This Row],['# People with access to Sanity Pads]])</f>
        <v>0</v>
      </c>
      <c r="DK1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 s="602">
        <f>IF(WWWW[[#This Row],[HRP3]]/WWWW[[#This Row],[Total PoP ]]&gt;1,1,WWWW[[#This Row],[HRP3]]/WWWW[[#This Row],[Total PoP ]])</f>
        <v>0</v>
      </c>
      <c r="DM12" s="601">
        <f>1-WWWW[[#This Row],[Hygiene Coverage%]]</f>
        <v>1</v>
      </c>
      <c r="DN12" s="599">
        <f>WWWW[[#This Row],['# people reached by regular dedicated hygiene promotion_5]]/WWWW[[#This Row],[Total PoP ]]</f>
        <v>0</v>
      </c>
      <c r="DO1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 s="600">
        <f>WWWW[[#This Row],['#_Constructed/Existing hand washing stations]]-WWWW[[#This Row],['#_Non-Functional_hand_washing_stations]]</f>
        <v>0</v>
      </c>
      <c r="DR12" s="597">
        <f>IF(WWWW[[#This Row],['# Functional hand washing stations during reporting period]]*20&gt;WWWW[[#This Row],[Total HH]],WWWW[[#This Row],[Total HH]],WWWW[[#This Row],['# Functional hand washing stations during reporting period]]*20)</f>
        <v>0</v>
      </c>
      <c r="DS12" s="597">
        <f>IF(WWWW[[#This Row],[Is sufficient soap available for TLS? (Yes/No)]]="yes",WWWW[[#This Row],['#_Constructed/Existing hand washing stations at TLS]],0)</f>
        <v>0</v>
      </c>
      <c r="DT12" s="479">
        <f>IF(WWWW[[#This Row],['# Functional hand washing stations during reporting period]]*100&gt;WWWW[[#This Row],[Total PoP ]],WWWW[[#This Row],[Total PoP ]],WWWW[[#This Row],['# Functional hand washing stations during reporting period]]*100)</f>
        <v>0</v>
      </c>
      <c r="DU12" s="479" t="str">
        <f>IF(OR(WWWW[[#This Row],['#_students at TLS_CFS]]="",WWWW[[#This Row],['#_students at TLS_CFS]]=0),"No","Yes")</f>
        <v>Yes</v>
      </c>
      <c r="DV1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238</v>
      </c>
      <c r="DY12" s="593" t="str">
        <f>VLOOKUP(WWWW[[#This Row],[Site Name]],SiteDB6[[Site Name]:[CCCM Management]],6,FALSE)</f>
        <v>Yes</v>
      </c>
      <c r="DZ12" s="593" t="str">
        <f>VLOOKUP(WWWW[[#This Row],[Site Name]],SiteDB6[[Site Name]:[CCCM Focal Agency]],7,FALSE)</f>
        <v>KBC-MYT</v>
      </c>
      <c r="EA12" s="593" t="str">
        <f>VLOOKUP(WWWW[[#This Row],[Site Name]],SiteDB6[[Site Name]:[Location Type 1]],9,FALSE)</f>
        <v>Camp</v>
      </c>
      <c r="EB12" s="593" t="str">
        <f>VLOOKUP(WWWW[[#This Row],[Site Name]],SiteDB6[[Site Name]:[Type of Accommodation]],10,FALSE)</f>
        <v>Camp</v>
      </c>
      <c r="EC12" s="593" t="str">
        <f>VLOOKUP(WWWW[[#This Row],[Site Name]],SiteDB6[[Site Name]:[Ethnic or GCA/NGCA]],11,FALSE)</f>
        <v>NGCA</v>
      </c>
      <c r="ED12" s="593">
        <f>VLOOKUP(WWWW[[#This Row],[Site Name]],SiteDB6[[Site Name]:[Lat]],12,FALSE)</f>
        <v>25.754110000000001</v>
      </c>
      <c r="EE12" s="593">
        <f>VLOOKUP(WWWW[[#This Row],[Site Name]],SiteDB6[[Site Name]:[Long]],13,FALSE)</f>
        <v>98.475719999999995</v>
      </c>
      <c r="EF12" s="593" t="str">
        <f>VLOOKUP(WWWW[[#This Row],[Site Name]],SiteDB6[[Site Name]:[Pcode]],3,FALSE)</f>
        <v>MMR001CMP043</v>
      </c>
      <c r="EG12" s="598" t="str">
        <f t="shared" si="0"/>
        <v>Covered</v>
      </c>
      <c r="EH12" s="598" t="str">
        <f>VLOOKUP(WWWW[[#This Row],[Site Name]],SiteDB6[[Site Name]:[open in cccm?]],2,FALSE)</f>
        <v>cccm_2019OCT</v>
      </c>
    </row>
    <row r="13" spans="1:138" hidden="1">
      <c r="A13" s="591" t="s">
        <v>3261</v>
      </c>
      <c r="B13" s="787" t="s">
        <v>144</v>
      </c>
      <c r="C13" s="788" t="s">
        <v>144</v>
      </c>
      <c r="D13" s="788"/>
      <c r="E13" s="788" t="s">
        <v>39</v>
      </c>
      <c r="F13" s="788" t="s">
        <v>160</v>
      </c>
      <c r="G13" s="721" t="str">
        <f>VLOOKUP(WWWW[[#This Row],[Site Name]],SiteDB6[[Site Name]:[Location Type]],8,FALSE)</f>
        <v>Camp_not registered</v>
      </c>
      <c r="H13" s="789" t="s">
        <v>2079</v>
      </c>
      <c r="I13" s="720">
        <v>39</v>
      </c>
      <c r="J13" s="720">
        <v>121</v>
      </c>
      <c r="K13" s="723"/>
      <c r="L13" s="724"/>
      <c r="M13" s="722"/>
      <c r="N13" s="722"/>
      <c r="O13" s="722"/>
      <c r="P13" s="722"/>
      <c r="Q13" s="725"/>
      <c r="R13" s="722"/>
      <c r="S13" s="722">
        <v>1</v>
      </c>
      <c r="T13" s="523"/>
      <c r="U13" s="722"/>
      <c r="V13" s="722"/>
      <c r="W13" s="722"/>
      <c r="X13" s="722"/>
      <c r="Y13" s="722"/>
      <c r="Z13" s="722"/>
      <c r="AA13" s="722"/>
      <c r="AB13" s="722"/>
      <c r="AC13" s="722"/>
      <c r="AD13" s="722"/>
      <c r="AE13" s="722"/>
      <c r="AF13" s="722"/>
      <c r="AG13" s="722"/>
      <c r="AH13" s="722"/>
      <c r="AI13" s="722"/>
      <c r="AJ13" s="722"/>
      <c r="AK13" s="722"/>
      <c r="AL13" s="722"/>
      <c r="AM13" s="722"/>
      <c r="AN13" s="722"/>
      <c r="AO13" s="726"/>
      <c r="AP13" s="722">
        <v>38</v>
      </c>
      <c r="AQ13" s="722"/>
      <c r="AR13" s="727"/>
      <c r="AS13" s="722"/>
      <c r="AT13" s="722"/>
      <c r="AU13" s="722"/>
      <c r="AV13" s="722"/>
      <c r="AW13" s="722"/>
      <c r="AX13" s="721"/>
      <c r="AY13" s="726"/>
      <c r="AZ13" s="722"/>
      <c r="BA13" s="722"/>
      <c r="BB13" s="722"/>
      <c r="BC13" s="523"/>
      <c r="BD13" s="523"/>
      <c r="BE13" s="721"/>
      <c r="BF13" s="722"/>
      <c r="BG13" s="722"/>
      <c r="BH13" s="722"/>
      <c r="BI13" s="722"/>
      <c r="BJ13" s="722"/>
      <c r="BK13" s="722"/>
      <c r="BL13" s="722"/>
      <c r="BM13" s="722"/>
      <c r="BN13" s="722"/>
      <c r="BO13" s="721"/>
      <c r="BP13" s="728"/>
      <c r="BQ13" s="727"/>
      <c r="BR13" s="721"/>
      <c r="BS13" s="472"/>
      <c r="BT13" s="472"/>
      <c r="BU13" s="474"/>
      <c r="BV13" s="472"/>
      <c r="BW13" s="523"/>
      <c r="BX13" s="523"/>
      <c r="BY13" s="523"/>
      <c r="BZ13" s="729" t="str">
        <f>IFERROR(WWWW[[#This Row],['#_Water sources passed]]/WWWW[[#This Row],['#_Water sources tested for fecal coliform ]],"no test")</f>
        <v>no test</v>
      </c>
      <c r="CA13" s="727" t="str">
        <f>IFERROR(WWWW[[#This Row],['#_Household passed]]/WWWW[[#This Row],['#_Household water samples tested for fecal coliform]],"no test")</f>
        <v>no test</v>
      </c>
      <c r="CB13" s="730" t="str">
        <f>IF(AND(WWWW[[#This Row],[% of water sources passed]]="no test",WWWW[[#This Row],[% Household passed]]="no test"),"No Test","Tested")</f>
        <v>No Test</v>
      </c>
      <c r="CC13" s="730">
        <f>WWWW[[#This Row],['#_Constructed/existing protected hand dug well]]-WWWW[[#This Row],['#_Non-functional protected hand dug well]]</f>
        <v>0</v>
      </c>
      <c r="CD13" s="730">
        <f>(WWWW[[#This Row],['#_Constructed/Existing tube wells/boreholes/handpumps_WASH_agency]]+WWWW[[#This Row],['#_Non-Cluster partner water tube-wells/boreholes/handpumps]])-WWWW[[#This Row],['#_Non-functional tube wells/boreholes/handpumps]]</f>
        <v>0</v>
      </c>
      <c r="CE13" s="730">
        <f>WWWW[[#This Row],['#_Constructed/Existingwater storage tank with gravity fed reticulation system]]-WWWW[[#This Row],['#_Non-functional storage tank gravity fed reticulation system]]</f>
        <v>0</v>
      </c>
      <c r="CF13" s="731">
        <f>(WWWW[[#This Row],['#_Water_Liters_supplied_by_Water boating or water trucking]]/90)/15</f>
        <v>0</v>
      </c>
      <c r="CG13" s="731">
        <f>WWWW[[#This Row],['#_Water_Liters_from_Constructed/Existing water distribution system from river or natural spring]]/90/15</f>
        <v>0</v>
      </c>
      <c r="CH13" s="478">
        <f>WWWW[[#This Row],['#_of water points in TLS/CFS /THF]]*500</f>
        <v>0</v>
      </c>
      <c r="CI13" s="73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 s="73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 s="727">
        <f>IF(WWWW[[#This Row],[Location Type 1]]="Village",WWWW[[#This Row],[Access to safe drinking water for Village]],WWWW[[#This Row],[Access to safe drinking water for Camp]])</f>
        <v>0</v>
      </c>
      <c r="CL13" s="725">
        <f>WWWW[[#This Row],[%Equitable and continuous access to sufficient quantity of safe drinking water]]*WWWW[[#This Row],[Total PoP ]]</f>
        <v>0</v>
      </c>
      <c r="CM13" s="727">
        <f>IF((WWWW[[#This Row],['#_Constructed/Existing protected/fenced ponds]]*250)/WWWW[[#This Row],[Total PoP ]]&gt;1,1,(WWWW[[#This Row],['#_Constructed/Existing protected/fenced ponds]]*250)/WWWW[[#This Row],[Total PoP ]])</f>
        <v>0</v>
      </c>
      <c r="CN13" s="725">
        <f>WWWW[[#This Row],[% Access to unimproved water points]]*WWWW[[#This Row],[Total PoP ]]</f>
        <v>0</v>
      </c>
      <c r="CO13" s="72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 s="72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 s="725">
        <f>WWWW[[#This Row],[HRP1]]/500</f>
        <v>0</v>
      </c>
      <c r="CR13" s="733">
        <f>1-WWWW[[#This Row],[% Equitable and continuous access to sufficient quantity of domestic water]]</f>
        <v>1</v>
      </c>
      <c r="CS13" s="725">
        <f>WWWW[[#This Row],[%equitable and continuous access to sufficient quantity of safe drinking and domestic water''s GAP]]*WWWW[[#This Row],[Total PoP ]]</f>
        <v>121</v>
      </c>
      <c r="CT13" s="730">
        <f>IF(WWWW[[#This Row],[Total required water points]]-WWWW[[#This Row],['#Water points coverage]]&lt;0,0,WWWW[[#This Row],[Total required water points]]-WWWW[[#This Row],['#Water points coverage]])</f>
        <v>1</v>
      </c>
      <c r="CU13" s="730">
        <f>ROUND(IF(WWWW[[#This Row],[Total PoP ]]&lt;500,1,WWWW[[#This Row],[Total PoP ]]/500),0)</f>
        <v>1</v>
      </c>
      <c r="CV13" s="730">
        <f>(WWWW[[#This Row],['#_Constructed latrines_by_WASHAgencies]]+WWWW[[#This Row],['#_Non Cluster partner latrines]])-WWWW[[#This Row],['#_Non-functional latrines]]</f>
        <v>38</v>
      </c>
      <c r="CW13" s="734">
        <f>WWWW[[#This Row],[HRP2]]/WWWW[[#This Row],[Total PoP ]]</f>
        <v>1</v>
      </c>
      <c r="CX13" s="735">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121</v>
      </c>
      <c r="CY13" s="72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 s="73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 s="473">
        <f>IF(WWWW[[#This Row],['# of functional latrines in THF supported by WASH partners during the reporting period2]]="",0,WWWW[[#This Row],['# of functional latrines in THF supported by WASH partners during the reporting period2]]*50)</f>
        <v>0</v>
      </c>
      <c r="DB13" s="473">
        <f>WWWW[[#This Row],['# students access to functioning school latrines_HRP5]]+WWWW[[#This Row],['# People access to functioning latrines in THF_HRP5]]</f>
        <v>0</v>
      </c>
      <c r="DC13" s="730">
        <f>ROUND(IF(WWWW[[#This Row],[Location Type 1]]="camp",WWWW[[#This Row],[Total PoP ]]/20,IF(WWWW[[#This Row],[Location Type 1]]="Temporary Location",WWWW[[#This Row],[Total PoP ]]/50,(WWWW[[#This Row],[Total PoP ]]/6))),0)</f>
        <v>6</v>
      </c>
      <c r="DD13" s="730">
        <f>IF(WWWW[[#This Row],[Total required Latrines]]-(WWWW[[#This Row],['#_Constructed latrines_by_WASHAgencies]]+WWWW[[#This Row],['#_Non Cluster partner latrines]])&lt;0,0,WWWW[[#This Row],[Total required Latrines]]-(WWWW[[#This Row],['#_Constructed latrines_by_WASHAgencies]]+WWWW[[#This Row],['#_Non Cluster partner latrines]]))</f>
        <v>0</v>
      </c>
      <c r="DE13" s="733">
        <f>1-WWWW[[#This Row],[% people access to functioning Latrine]]</f>
        <v>0</v>
      </c>
      <c r="DF13" s="729">
        <f>IF(OR(WWWW[[#This Row],['#_Non-functional latrines]]="",WWWW[[#This Row],['#_Non-functional latrines]]=0),0,WWWW[[#This Row],['#_Non-functional latrines]]/(WWWW[[#This Row],['#_Constructed latrines_by_WASHAgencies]]+WWWW[[#This Row],['#_Non Cluster partner latrines]]))</f>
        <v>0</v>
      </c>
      <c r="DG13" s="725">
        <f>IF(500*(WWWW[[#This Row],['#_male hygiene promoters]]+WWWW[[#This Row],['#_female hygiene promoters]])&gt;WWWW[[#This Row],[Total PoP ]],WWWW[[#This Row],[Total PoP ]],500*(WWWW[[#This Row],['#_male hygiene promoters]]+WWWW[[#This Row],['#_female hygiene promoters]]))</f>
        <v>0</v>
      </c>
      <c r="DH13" s="7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 s="7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 s="730">
        <f>IF(WWWW[[#This Row],['# People with access to soap]]&gt;WWWW[[#This Row],['# People with access to Sanity Pads]],WWWW[[#This Row],['# People with access to soap]],WWWW[[#This Row],['# People with access to Sanity Pads]])</f>
        <v>0</v>
      </c>
      <c r="DK13" s="7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 s="733">
        <f>IF(WWWW[[#This Row],[HRP3]]/WWWW[[#This Row],[Total PoP ]]&gt;1,1,WWWW[[#This Row],[HRP3]]/WWWW[[#This Row],[Total PoP ]])</f>
        <v>0</v>
      </c>
      <c r="DM13" s="729">
        <f>1-WWWW[[#This Row],[Hygiene Coverage%]]</f>
        <v>1</v>
      </c>
      <c r="DN13" s="727">
        <f>WWWW[[#This Row],['# people reached by regular dedicated hygiene promotion_5]]/WWWW[[#This Row],[Total PoP ]]</f>
        <v>0</v>
      </c>
      <c r="DO13" s="727">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 s="727">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 s="730">
        <f>WWWW[[#This Row],['#_Constructed/Existing hand washing stations]]-WWWW[[#This Row],['#_Non-Functional_hand_washing_stations]]</f>
        <v>0</v>
      </c>
      <c r="DR13" s="725">
        <f>IF(WWWW[[#This Row],['# Functional hand washing stations during reporting period]]*20&gt;WWWW[[#This Row],[Total HH]],WWWW[[#This Row],[Total HH]],WWWW[[#This Row],['# Functional hand washing stations during reporting period]]*20)</f>
        <v>0</v>
      </c>
      <c r="DS13" s="725">
        <f>IF(WWWW[[#This Row],[Is sufficient soap available for TLS? (Yes/No)]]="yes",WWWW[[#This Row],['#_Constructed/Existing hand washing stations at TLS]],0)</f>
        <v>0</v>
      </c>
      <c r="DT13" s="479">
        <f>IF(WWWW[[#This Row],['# Functional hand washing stations during reporting period]]*100&gt;WWWW[[#This Row],[Total PoP ]],WWWW[[#This Row],[Total PoP ]],WWWW[[#This Row],['# Functional hand washing stations during reporting period]]*100)</f>
        <v>0</v>
      </c>
      <c r="DU13" s="479" t="str">
        <f>IF(OR(WWWW[[#This Row],['#_students at TLS_CFS]]="",WWWW[[#This Row],['#_students at TLS_CFS]]=0),"No","Yes")</f>
        <v>No</v>
      </c>
      <c r="DV1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 s="721">
        <f>VLOOKUP(WWWW[[#This Row],[Site Name]],SiteDB6[[Site Name]:[CCCM Management]],6,FALSE)</f>
        <v>0</v>
      </c>
      <c r="DZ13" s="721">
        <f>VLOOKUP(WWWW[[#This Row],[Site Name]],SiteDB6[[Site Name]:[CCCM Focal Agency]],7,FALSE)</f>
        <v>0</v>
      </c>
      <c r="EA13" s="721" t="str">
        <f>VLOOKUP(WWWW[[#This Row],[Site Name]],SiteDB6[[Site Name]:[Location Type 1]],9,FALSE)</f>
        <v>Camp</v>
      </c>
      <c r="EB13" s="721" t="str">
        <f>VLOOKUP(WWWW[[#This Row],[Site Name]],SiteDB6[[Site Name]:[Type of Accommodation]],10,FALSE)</f>
        <v>Camp like setting</v>
      </c>
      <c r="EC13" s="721" t="str">
        <f>VLOOKUP(WWWW[[#This Row],[Site Name]],SiteDB6[[Site Name]:[Ethnic or GCA/NGCA]],11,FALSE)</f>
        <v>NGCA</v>
      </c>
      <c r="ED13" s="721">
        <f>VLOOKUP(WWWW[[#This Row],[Site Name]],SiteDB6[[Site Name]:[Lat]],12,FALSE)</f>
        <v>0</v>
      </c>
      <c r="EE13" s="721">
        <f>VLOOKUP(WWWW[[#This Row],[Site Name]],SiteDB6[[Site Name]:[Long]],13,FALSE)</f>
        <v>0</v>
      </c>
      <c r="EF13" s="721">
        <f>VLOOKUP(WWWW[[#This Row],[Site Name]],SiteDB6[[Site Name]:[Pcode]],3,FALSE)</f>
        <v>0</v>
      </c>
      <c r="EG13" s="726" t="str">
        <f t="shared" si="0"/>
        <v>Covered</v>
      </c>
      <c r="EH13" s="726">
        <f>VLOOKUP(WWWW[[#This Row],[Site Name]],Site_DB!$C$389:$D$1120,2,FALSE)</f>
        <v>0</v>
      </c>
    </row>
    <row r="14" spans="1:138" hidden="1">
      <c r="A14" s="591" t="s">
        <v>3261</v>
      </c>
      <c r="B14" s="591" t="s">
        <v>144</v>
      </c>
      <c r="C14" s="592" t="s">
        <v>144</v>
      </c>
      <c r="D14" s="404" t="s">
        <v>3277</v>
      </c>
      <c r="E14" s="592" t="s">
        <v>39</v>
      </c>
      <c r="F14" s="592" t="s">
        <v>162</v>
      </c>
      <c r="G14" s="721" t="str">
        <f>VLOOKUP(WWWW[[#This Row],[Site Name]],SiteDB6[[Site Name]:[Location Type]],8,FALSE)</f>
        <v>Camp</v>
      </c>
      <c r="H14" s="592" t="s">
        <v>164</v>
      </c>
      <c r="I14" s="594">
        <v>197</v>
      </c>
      <c r="J14" s="594">
        <v>1050</v>
      </c>
      <c r="K14" s="717" t="s">
        <v>3278</v>
      </c>
      <c r="L14" s="718" t="s">
        <v>3279</v>
      </c>
      <c r="M14" s="594"/>
      <c r="N14" s="594"/>
      <c r="O14" s="594"/>
      <c r="P14" s="594"/>
      <c r="Q14" s="597" t="s">
        <v>43</v>
      </c>
      <c r="R14" s="594"/>
      <c r="S14" s="594">
        <v>4</v>
      </c>
      <c r="T14" s="523">
        <v>1</v>
      </c>
      <c r="U14" s="594"/>
      <c r="V14" s="594"/>
      <c r="W14" s="594">
        <v>4</v>
      </c>
      <c r="X14" s="594"/>
      <c r="Y14" s="594"/>
      <c r="Z14" s="594"/>
      <c r="AA14" s="594"/>
      <c r="AB14" s="594"/>
      <c r="AC14" s="594"/>
      <c r="AD14" s="594"/>
      <c r="AE14" s="594"/>
      <c r="AF14" s="594"/>
      <c r="AG14" s="594"/>
      <c r="AH14" s="594">
        <v>5</v>
      </c>
      <c r="AI14" s="594"/>
      <c r="AJ14" s="594"/>
      <c r="AK14" s="594"/>
      <c r="AL14" s="594"/>
      <c r="AM14" s="594"/>
      <c r="AN14" s="594"/>
      <c r="AO14" s="598"/>
      <c r="AP14" s="594">
        <v>7</v>
      </c>
      <c r="AQ14" s="594"/>
      <c r="AR14" s="599"/>
      <c r="AS14" s="594"/>
      <c r="AT14" s="594"/>
      <c r="AU14" s="594"/>
      <c r="AV14" s="594"/>
      <c r="AW14" s="594">
        <v>43</v>
      </c>
      <c r="AX14" s="593" t="s">
        <v>43</v>
      </c>
      <c r="AY14" s="598" t="s">
        <v>140</v>
      </c>
      <c r="AZ14" s="594"/>
      <c r="BA14" s="594"/>
      <c r="BB14" s="594"/>
      <c r="BC14" s="594"/>
      <c r="BD14" s="523"/>
      <c r="BE14" s="593"/>
      <c r="BF14" s="594">
        <v>6</v>
      </c>
      <c r="BG14" s="594"/>
      <c r="BH14" s="594"/>
      <c r="BI14" s="594">
        <v>3</v>
      </c>
      <c r="BJ14" s="594"/>
      <c r="BK14" s="594"/>
      <c r="BL14" s="594">
        <v>5</v>
      </c>
      <c r="BM14" s="594"/>
      <c r="BN14" s="594"/>
      <c r="BO14" s="593"/>
      <c r="BP14" s="594"/>
      <c r="BQ14" s="599"/>
      <c r="BR14" s="593"/>
      <c r="BS14" s="472"/>
      <c r="BT14" s="472"/>
      <c r="BU14" s="523"/>
      <c r="BV14" s="472"/>
      <c r="BW14" s="523"/>
      <c r="BX14" s="523"/>
      <c r="BY14" s="523"/>
      <c r="BZ14" s="601" t="str">
        <f>IFERROR(WWWW[[#This Row],['#_Water sources passed]]/WWWW[[#This Row],['#_Water sources tested for fecal coliform ]],"no test")</f>
        <v>no test</v>
      </c>
      <c r="CA14" s="599" t="str">
        <f>IFERROR(WWWW[[#This Row],['#_Household passed]]/WWWW[[#This Row],['#_Household water samples tested for fecal coliform]],"no test")</f>
        <v>no test</v>
      </c>
      <c r="CB14" s="600" t="str">
        <f>IF(AND(WWWW[[#This Row],[% of water sources passed]]="no test",WWWW[[#This Row],[% Household passed]]="no test"),"No Test","Tested")</f>
        <v>No Test</v>
      </c>
      <c r="CC14" s="600">
        <f>WWWW[[#This Row],['#_Constructed/existing protected hand dug well]]-WWWW[[#This Row],['#_Non-functional protected hand dug well]]</f>
        <v>1</v>
      </c>
      <c r="CD14" s="600">
        <f>(WWWW[[#This Row],['#_Constructed/Existing tube wells/boreholes/handpumps_WASH_agency]]+WWWW[[#This Row],['#_Non-Cluster partner water tube-wells/boreholes/handpumps]])-WWWW[[#This Row],['#_Non-functional tube wells/boreholes/handpumps]]</f>
        <v>4</v>
      </c>
      <c r="CE14" s="600">
        <f>WWWW[[#This Row],['#_Constructed/Existingwater storage tank with gravity fed reticulation system]]-WWWW[[#This Row],['#_Non-functional storage tank gravity fed reticulation system]]</f>
        <v>0</v>
      </c>
      <c r="CF14" s="478">
        <f>(WWWW[[#This Row],['#_Water_Liters_supplied_by_Water boating or water trucking]]/90)/15</f>
        <v>0</v>
      </c>
      <c r="CG14" s="478">
        <f>WWWW[[#This Row],['#_Water_Liters_from_Constructed/Existing water distribution system from river or natural spring]]/90/15</f>
        <v>0</v>
      </c>
      <c r="CH14" s="478">
        <f>WWWW[[#This Row],['#_of water points in TLS/CFS /THF]]*500</f>
        <v>0</v>
      </c>
      <c r="CI1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4" s="599">
        <f>IF(WWWW[[#This Row],[Location Type 1]]="Village",WWWW[[#This Row],[Access to safe drinking water for Village]],WWWW[[#This Row],[Access to safe drinking water for Camp]])</f>
        <v>1</v>
      </c>
      <c r="CL14" s="597">
        <f>WWWW[[#This Row],[%Equitable and continuous access to sufficient quantity of safe drinking water]]*WWWW[[#This Row],[Total PoP ]]</f>
        <v>1050</v>
      </c>
      <c r="CM14" s="599">
        <f>IF((WWWW[[#This Row],['#_Constructed/Existing protected/fenced ponds]]*250)/WWWW[[#This Row],[Total PoP ]]&gt;1,1,(WWWW[[#This Row],['#_Constructed/Existing protected/fenced ponds]]*250)/WWWW[[#This Row],[Total PoP ]])</f>
        <v>0</v>
      </c>
      <c r="CN14" s="597">
        <f>WWWW[[#This Row],[% Access to unimproved water points]]*WWWW[[#This Row],[Total PoP ]]</f>
        <v>0</v>
      </c>
      <c r="CO1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Q14" s="597">
        <f>WWWW[[#This Row],[HRP1]]/500</f>
        <v>2.1</v>
      </c>
      <c r="CR14" s="602">
        <f>1-WWWW[[#This Row],[% Equitable and continuous access to sufficient quantity of domestic water]]</f>
        <v>0</v>
      </c>
      <c r="CS14" s="597">
        <f>WWWW[[#This Row],[%equitable and continuous access to sufficient quantity of safe drinking and domestic water''s GAP]]*WWWW[[#This Row],[Total PoP ]]</f>
        <v>0</v>
      </c>
      <c r="CT14" s="600">
        <f>IF(WWWW[[#This Row],[Total required water points]]-WWWW[[#This Row],['#Water points coverage]]&lt;0,0,WWWW[[#This Row],[Total required water points]]-WWWW[[#This Row],['#Water points coverage]])</f>
        <v>0</v>
      </c>
      <c r="CU14" s="600">
        <f>ROUND(IF(WWWW[[#This Row],[Total PoP ]]&lt;500,1,WWWW[[#This Row],[Total PoP ]]/500),0)</f>
        <v>2</v>
      </c>
      <c r="CV14" s="600">
        <f>(WWWW[[#This Row],['#_Constructed latrines_by_WASHAgencies]]+WWWW[[#This Row],['#_Non Cluster partner latrines]])-WWWW[[#This Row],['#_Non-functional latrines]]</f>
        <v>7</v>
      </c>
      <c r="CW14" s="70">
        <f>WWWW[[#This Row],[HRP2]]/WWWW[[#This Row],[Total PoP ]]</f>
        <v>0.13333333333333333</v>
      </c>
      <c r="CX1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 s="600">
        <f>IF(WWWW[[#This Row],['# of functional latrines in THF supported by WASH partners during the reporting period2]]="",0,WWWW[[#This Row],['# of functional latrines in THF supported by WASH partners during the reporting period2]]*50)</f>
        <v>0</v>
      </c>
      <c r="DB14" s="600">
        <f>WWWW[[#This Row],['# students access to functioning school latrines_HRP5]]+WWWW[[#This Row],['# People access to functioning latrines in THF_HRP5]]</f>
        <v>0</v>
      </c>
      <c r="DC14" s="600">
        <f>ROUND(IF(WWWW[[#This Row],[Location Type 1]]="camp",WWWW[[#This Row],[Total PoP ]]/20,IF(WWWW[[#This Row],[Location Type 1]]="Temporary Location",WWWW[[#This Row],[Total PoP ]]/50,WWWW[[#This Row],[Total HH]])),0)</f>
        <v>53</v>
      </c>
      <c r="DD14" s="600">
        <f>IF(WWWW[[#This Row],[Total required Latrines]]-(WWWW[[#This Row],['#_Constructed latrines_by_WASHAgencies]]+WWWW[[#This Row],['#_Non Cluster partner latrines]])&lt;0,0,WWWW[[#This Row],[Total required Latrines]]-(WWWW[[#This Row],['#_Constructed latrines_by_WASHAgencies]]+WWWW[[#This Row],['#_Non Cluster partner latrines]]))</f>
        <v>46</v>
      </c>
      <c r="DE14" s="602">
        <f>1-WWWW[[#This Row],[% people access to functioning Latrine]]</f>
        <v>0.8666666666666667</v>
      </c>
      <c r="DF14" s="601">
        <f>IF(OR(WWWW[[#This Row],['#_Non-functional latrines]]="",WWWW[[#This Row],['#_Non-functional latrines]]=0),0,WWWW[[#This Row],['#_Non-functional latrines]]/(WWWW[[#This Row],['#_Constructed latrines_by_WASHAgencies]]+WWWW[[#This Row],['#_Non Cluster partner latrines]]))</f>
        <v>0</v>
      </c>
      <c r="DG14" s="597">
        <f>IF(500*(WWWW[[#This Row],['#_male hygiene promoters]]+WWWW[[#This Row],['#_female hygiene promoters]])&gt;WWWW[[#This Row],[Total PoP ]],WWWW[[#This Row],[Total PoP ]],500*(WWWW[[#This Row],['#_male hygiene promoters]]+WWWW[[#This Row],['#_female hygiene promoters]]))</f>
        <v>1050</v>
      </c>
      <c r="DH1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 s="600">
        <f>IF(WWWW[[#This Row],['# People with access to soap]]&gt;WWWW[[#This Row],['# People with access to Sanity Pads]],WWWW[[#This Row],['# People with access to soap]],WWWW[[#This Row],['# People with access to Sanity Pads]])</f>
        <v>0</v>
      </c>
      <c r="DK14" s="600">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L14" s="602">
        <f>IF(WWWW[[#This Row],[HRP3]]/WWWW[[#This Row],[Total PoP ]]&gt;1,1,WWWW[[#This Row],[HRP3]]/WWWW[[#This Row],[Total PoP ]])</f>
        <v>1</v>
      </c>
      <c r="DM14" s="601">
        <f>1-WWWW[[#This Row],[Hygiene Coverage%]]</f>
        <v>0</v>
      </c>
      <c r="DN14" s="599">
        <f>WWWW[[#This Row],['# people reached by regular dedicated hygiene promotion_5]]/WWWW[[#This Row],[Total PoP ]]</f>
        <v>1</v>
      </c>
      <c r="DO1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 s="600">
        <f>WWWW[[#This Row],['#_Constructed/Existing hand washing stations]]-WWWW[[#This Row],['#_Non-Functional_hand_washing_stations]]</f>
        <v>6</v>
      </c>
      <c r="DR14" s="597">
        <f>IF(WWWW[[#This Row],['# Functional hand washing stations during reporting period]]*20&gt;WWWW[[#This Row],[Total HH]],WWWW[[#This Row],[Total HH]],WWWW[[#This Row],['# Functional hand washing stations during reporting period]]*20)</f>
        <v>120</v>
      </c>
      <c r="DS14" s="597">
        <f>IF(WWWW[[#This Row],[Is sufficient soap available for TLS? (Yes/No)]]="yes",WWWW[[#This Row],['#_Constructed/Existing hand washing stations at TLS]],0)</f>
        <v>0</v>
      </c>
      <c r="DT14" s="479">
        <f>IF(WWWW[[#This Row],['# Functional hand washing stations during reporting period]]*100&gt;WWWW[[#This Row],[Total PoP ]],WWWW[[#This Row],[Total PoP ]],WWWW[[#This Row],['# Functional hand washing stations during reporting period]]*100)</f>
        <v>600</v>
      </c>
      <c r="DU14" s="479" t="str">
        <f>IF(OR(WWWW[[#This Row],['#_students at TLS_CFS]]="",WWWW[[#This Row],['#_students at TLS_CFS]]=0),"No","Yes")</f>
        <v>No</v>
      </c>
      <c r="DV1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 s="593" t="str">
        <f>VLOOKUP(WWWW[[#This Row],[Site Name]],SiteDB6[[Site Name]:[CCCM Management]],6,FALSE)</f>
        <v>Yes</v>
      </c>
      <c r="DZ14" s="593" t="str">
        <f>VLOOKUP(WWWW[[#This Row],[Site Name]],SiteDB6[[Site Name]:[CCCM Focal Agency]],7,FALSE)</f>
        <v>KBC-MYT</v>
      </c>
      <c r="EA14" s="593" t="str">
        <f>VLOOKUP(WWWW[[#This Row],[Site Name]],SiteDB6[[Site Name]:[Location Type 1]],9,FALSE)</f>
        <v>Camp</v>
      </c>
      <c r="EB14" s="593" t="str">
        <f>VLOOKUP(WWWW[[#This Row],[Site Name]],SiteDB6[[Site Name]:[Type of Accommodation]],10,FALSE)</f>
        <v>Camp</v>
      </c>
      <c r="EC14" s="593" t="str">
        <f>VLOOKUP(WWWW[[#This Row],[Site Name]],SiteDB6[[Site Name]:[Ethnic or GCA/NGCA]],11,FALSE)</f>
        <v>GCA</v>
      </c>
      <c r="ED14" s="593">
        <f>VLOOKUP(WWWW[[#This Row],[Site Name]],SiteDB6[[Site Name]:[Lat]],12,FALSE)</f>
        <v>25.397850999999999</v>
      </c>
      <c r="EE14" s="593">
        <f>VLOOKUP(WWWW[[#This Row],[Site Name]],SiteDB6[[Site Name]:[Long]],13,FALSE)</f>
        <v>97.370900000000006</v>
      </c>
      <c r="EF14" s="593" t="str">
        <f>VLOOKUP(WWWW[[#This Row],[Site Name]],SiteDB6[[Site Name]:[Pcode]],3,FALSE)</f>
        <v>MMR001CMP018</v>
      </c>
      <c r="EG14" s="598" t="str">
        <f t="shared" si="0"/>
        <v>Covered</v>
      </c>
      <c r="EH14" s="598" t="str">
        <f>VLOOKUP(WWWW[[#This Row],[Site Name]],SiteDB6[[Site Name]:[open in cccm?]],2,FALSE)</f>
        <v>cccm_2019OCT</v>
      </c>
    </row>
    <row r="15" spans="1:138" hidden="1">
      <c r="A15" s="591" t="s">
        <v>3261</v>
      </c>
      <c r="B15" s="591" t="s">
        <v>144</v>
      </c>
      <c r="C15" s="592" t="s">
        <v>144</v>
      </c>
      <c r="D15" s="404" t="s">
        <v>3277</v>
      </c>
      <c r="E15" s="592" t="s">
        <v>39</v>
      </c>
      <c r="F15" s="592" t="s">
        <v>162</v>
      </c>
      <c r="G15" s="721" t="str">
        <f>VLOOKUP(WWWW[[#This Row],[Site Name]],SiteDB6[[Site Name]:[Location Type]],8,FALSE)</f>
        <v>Camp</v>
      </c>
      <c r="H15" s="592" t="s">
        <v>2166</v>
      </c>
      <c r="I15" s="594">
        <v>118</v>
      </c>
      <c r="J15" s="594">
        <v>489</v>
      </c>
      <c r="K15" s="717" t="s">
        <v>3278</v>
      </c>
      <c r="L15" s="718" t="s">
        <v>3279</v>
      </c>
      <c r="M15" s="594"/>
      <c r="N15" s="594"/>
      <c r="O15" s="594"/>
      <c r="P15" s="594"/>
      <c r="Q15" s="597" t="s">
        <v>43</v>
      </c>
      <c r="R15" s="594"/>
      <c r="S15" s="594">
        <v>4</v>
      </c>
      <c r="T15" s="523">
        <v>1</v>
      </c>
      <c r="U15" s="594"/>
      <c r="V15" s="594"/>
      <c r="W15" s="594">
        <v>7</v>
      </c>
      <c r="X15" s="594"/>
      <c r="Y15" s="720">
        <v>4</v>
      </c>
      <c r="Z15" s="720">
        <v>3</v>
      </c>
      <c r="AA15" s="594"/>
      <c r="AB15" s="594"/>
      <c r="AC15" s="594"/>
      <c r="AD15" s="594"/>
      <c r="AE15" s="594"/>
      <c r="AF15" s="594"/>
      <c r="AG15" s="594"/>
      <c r="AH15" s="594">
        <v>6</v>
      </c>
      <c r="AI15" s="594"/>
      <c r="AJ15" s="594"/>
      <c r="AK15" s="594"/>
      <c r="AL15" s="594"/>
      <c r="AM15" s="594"/>
      <c r="AN15" s="594"/>
      <c r="AO15" s="598"/>
      <c r="AP15" s="594">
        <v>28</v>
      </c>
      <c r="AQ15" s="594"/>
      <c r="AR15" s="599"/>
      <c r="AS15" s="594"/>
      <c r="AT15" s="594"/>
      <c r="AU15" s="594"/>
      <c r="AV15" s="594"/>
      <c r="AW15" s="594">
        <v>16</v>
      </c>
      <c r="AX15" s="593" t="s">
        <v>43</v>
      </c>
      <c r="AY15" s="598" t="s">
        <v>140</v>
      </c>
      <c r="AZ15" s="594"/>
      <c r="BA15" s="594"/>
      <c r="BB15" s="594"/>
      <c r="BC15" s="594"/>
      <c r="BD15" s="523"/>
      <c r="BE15" s="593"/>
      <c r="BF15" s="594">
        <v>6</v>
      </c>
      <c r="BG15" s="594"/>
      <c r="BH15" s="594"/>
      <c r="BI15" s="594">
        <v>0</v>
      </c>
      <c r="BJ15" s="594"/>
      <c r="BK15" s="594"/>
      <c r="BL15" s="594">
        <v>2</v>
      </c>
      <c r="BM15" s="594"/>
      <c r="BN15" s="594"/>
      <c r="BO15" s="593"/>
      <c r="BP15" s="594"/>
      <c r="BQ15" s="599"/>
      <c r="BR15" s="593"/>
      <c r="BS15" s="472"/>
      <c r="BT15" s="472"/>
      <c r="BU15" s="523"/>
      <c r="BV15" s="472"/>
      <c r="BW15" s="523"/>
      <c r="BX15" s="523"/>
      <c r="BY15" s="523"/>
      <c r="BZ15" s="601" t="str">
        <f>IFERROR(WWWW[[#This Row],['#_Water sources passed]]/WWWW[[#This Row],['#_Water sources tested for fecal coliform ]],"no test")</f>
        <v>no test</v>
      </c>
      <c r="CA15" s="599" t="str">
        <f>IFERROR(WWWW[[#This Row],['#_Household passed]]/WWWW[[#This Row],['#_Household water samples tested for fecal coliform]],"no test")</f>
        <v>no test</v>
      </c>
      <c r="CB15" s="600" t="str">
        <f>IF(AND(WWWW[[#This Row],[% of water sources passed]]="no test",WWWW[[#This Row],[% Household passed]]="no test"),"No Test","Tested")</f>
        <v>No Test</v>
      </c>
      <c r="CC15" s="600">
        <f>WWWW[[#This Row],['#_Constructed/existing protected hand dug well]]-WWWW[[#This Row],['#_Non-functional protected hand dug well]]</f>
        <v>1</v>
      </c>
      <c r="CD15" s="600">
        <f>(WWWW[[#This Row],['#_Constructed/Existing tube wells/boreholes/handpumps_WASH_agency]]+WWWW[[#This Row],['#_Non-Cluster partner water tube-wells/boreholes/handpumps]])-WWWW[[#This Row],['#_Non-functional tube wells/boreholes/handpumps]]</f>
        <v>3</v>
      </c>
      <c r="CE15" s="600">
        <f>WWWW[[#This Row],['#_Constructed/Existingwater storage tank with gravity fed reticulation system]]-WWWW[[#This Row],['#_Non-functional storage tank gravity fed reticulation system]]</f>
        <v>0</v>
      </c>
      <c r="CF15" s="478">
        <f>(WWWW[[#This Row],['#_Water_Liters_supplied_by_Water boating or water trucking]]/90)/15</f>
        <v>0</v>
      </c>
      <c r="CG15" s="478">
        <f>WWWW[[#This Row],['#_Water_Liters_from_Constructed/Existing water distribution system from river or natural spring]]/90/15</f>
        <v>0</v>
      </c>
      <c r="CH15" s="478">
        <f>WWWW[[#This Row],['#_of water points in TLS/CFS /THF]]*500</f>
        <v>0</v>
      </c>
      <c r="CI1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5" s="599">
        <f>IF(WWWW[[#This Row],[Location Type 1]]="Village",WWWW[[#This Row],[Access to safe drinking water for Village]],WWWW[[#This Row],[Access to safe drinking water for Camp]])</f>
        <v>1</v>
      </c>
      <c r="CL15" s="597">
        <f>WWWW[[#This Row],[%Equitable and continuous access to sufficient quantity of safe drinking water]]*WWWW[[#This Row],[Total PoP ]]</f>
        <v>489</v>
      </c>
      <c r="CM15" s="599">
        <f>IF((WWWW[[#This Row],['#_Constructed/Existing protected/fenced ponds]]*250)/WWWW[[#This Row],[Total PoP ]]&gt;1,1,(WWWW[[#This Row],['#_Constructed/Existing protected/fenced ponds]]*250)/WWWW[[#This Row],[Total PoP ]])</f>
        <v>0</v>
      </c>
      <c r="CN15" s="597">
        <f>WWWW[[#This Row],[% Access to unimproved water points]]*WWWW[[#This Row],[Total PoP ]]</f>
        <v>0</v>
      </c>
      <c r="CO1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Q15" s="597">
        <f>WWWW[[#This Row],[HRP1]]/500</f>
        <v>0.97799999999999998</v>
      </c>
      <c r="CR15" s="602">
        <f>1-WWWW[[#This Row],[% Equitable and continuous access to sufficient quantity of domestic water]]</f>
        <v>0</v>
      </c>
      <c r="CS15" s="597">
        <f>WWWW[[#This Row],[%equitable and continuous access to sufficient quantity of safe drinking and domestic water''s GAP]]*WWWW[[#This Row],[Total PoP ]]</f>
        <v>0</v>
      </c>
      <c r="CT15" s="600">
        <f>IF(WWWW[[#This Row],[Total required water points]]-WWWW[[#This Row],['#Water points coverage]]&lt;0,0,WWWW[[#This Row],[Total required water points]]-WWWW[[#This Row],['#Water points coverage]])</f>
        <v>2.200000000000002E-2</v>
      </c>
      <c r="CU15" s="600">
        <f>ROUND(IF(WWWW[[#This Row],[Total PoP ]]&lt;500,1,WWWW[[#This Row],[Total PoP ]]/500),0)</f>
        <v>1</v>
      </c>
      <c r="CV15" s="600">
        <f>(WWWW[[#This Row],['#_Constructed latrines_by_WASHAgencies]]+WWWW[[#This Row],['#_Non Cluster partner latrines]])-WWWW[[#This Row],['#_Non-functional latrines]]</f>
        <v>28</v>
      </c>
      <c r="CW15" s="70">
        <f>WWWW[[#This Row],[HRP2]]/WWWW[[#This Row],[Total PoP ]]</f>
        <v>1</v>
      </c>
      <c r="CX1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489</v>
      </c>
      <c r="CY1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 s="600">
        <f>IF(WWWW[[#This Row],['# of functional latrines in THF supported by WASH partners during the reporting period2]]="",0,WWWW[[#This Row],['# of functional latrines in THF supported by WASH partners during the reporting period2]]*50)</f>
        <v>0</v>
      </c>
      <c r="DB15" s="600">
        <f>WWWW[[#This Row],['# students access to functioning school latrines_HRP5]]+WWWW[[#This Row],['# People access to functioning latrines in THF_HRP5]]</f>
        <v>0</v>
      </c>
      <c r="DC15" s="600">
        <f>ROUND(IF(WWWW[[#This Row],[Location Type 1]]="camp",WWWW[[#This Row],[Total PoP ]]/20,IF(WWWW[[#This Row],[Location Type 1]]="Temporary Location",WWWW[[#This Row],[Total PoP ]]/50,WWWW[[#This Row],[Total HH]])),0)</f>
        <v>24</v>
      </c>
      <c r="DD15" s="600">
        <f>IF(WWWW[[#This Row],[Total required Latrines]]-(WWWW[[#This Row],['#_Constructed latrines_by_WASHAgencies]]+WWWW[[#This Row],['#_Non Cluster partner latrines]])&lt;0,0,WWWW[[#This Row],[Total required Latrines]]-(WWWW[[#This Row],['#_Constructed latrines_by_WASHAgencies]]+WWWW[[#This Row],['#_Non Cluster partner latrines]]))</f>
        <v>0</v>
      </c>
      <c r="DE15" s="602">
        <f>1-WWWW[[#This Row],[% people access to functioning Latrine]]</f>
        <v>0</v>
      </c>
      <c r="DF15" s="601">
        <f>IF(OR(WWWW[[#This Row],['#_Non-functional latrines]]="",WWWW[[#This Row],['#_Non-functional latrines]]=0),0,WWWW[[#This Row],['#_Non-functional latrines]]/(WWWW[[#This Row],['#_Constructed latrines_by_WASHAgencies]]+WWWW[[#This Row],['#_Non Cluster partner latrines]]))</f>
        <v>0</v>
      </c>
      <c r="DG15" s="597">
        <f>IF(500*(WWWW[[#This Row],['#_male hygiene promoters]]+WWWW[[#This Row],['#_female hygiene promoters]])&gt;WWWW[[#This Row],[Total PoP ]],WWWW[[#This Row],[Total PoP ]],500*(WWWW[[#This Row],['#_male hygiene promoters]]+WWWW[[#This Row],['#_female hygiene promoters]]))</f>
        <v>489</v>
      </c>
      <c r="DH1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 s="600">
        <f>IF(WWWW[[#This Row],['# People with access to soap]]&gt;WWWW[[#This Row],['# People with access to Sanity Pads]],WWWW[[#This Row],['# People with access to soap]],WWWW[[#This Row],['# People with access to Sanity Pads]])</f>
        <v>0</v>
      </c>
      <c r="DK15" s="600">
        <f>IF(WWWW[[#This Row],['# people reached by regular dedicated hygiene promotion_5]]&gt;WWWW[[#This Row],['# People received regular supply of hygiene items_6]],WWWW[[#This Row],['# people reached by regular dedicated hygiene promotion_5]],WWWW[[#This Row],['# People received regular supply of hygiene items_6]])</f>
        <v>489</v>
      </c>
      <c r="DL15" s="602">
        <f>IF(WWWW[[#This Row],[HRP3]]/WWWW[[#This Row],[Total PoP ]]&gt;1,1,WWWW[[#This Row],[HRP3]]/WWWW[[#This Row],[Total PoP ]])</f>
        <v>1</v>
      </c>
      <c r="DM15" s="601">
        <f>1-WWWW[[#This Row],[Hygiene Coverage%]]</f>
        <v>0</v>
      </c>
      <c r="DN15" s="599">
        <f>WWWW[[#This Row],['# people reached by regular dedicated hygiene promotion_5]]/WWWW[[#This Row],[Total PoP ]]</f>
        <v>1</v>
      </c>
      <c r="DO1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 s="600">
        <f>WWWW[[#This Row],['#_Constructed/Existing hand washing stations]]-WWWW[[#This Row],['#_Non-Functional_hand_washing_stations]]</f>
        <v>6</v>
      </c>
      <c r="DR15" s="597">
        <f>IF(WWWW[[#This Row],['# Functional hand washing stations during reporting period]]*20&gt;WWWW[[#This Row],[Total HH]],WWWW[[#This Row],[Total HH]],WWWW[[#This Row],['# Functional hand washing stations during reporting period]]*20)</f>
        <v>118</v>
      </c>
      <c r="DS15" s="597">
        <f>IF(WWWW[[#This Row],[Is sufficient soap available for TLS? (Yes/No)]]="yes",WWWW[[#This Row],['#_Constructed/Existing hand washing stations at TLS]],0)</f>
        <v>0</v>
      </c>
      <c r="DT15" s="479">
        <f>IF(WWWW[[#This Row],['# Functional hand washing stations during reporting period]]*100&gt;WWWW[[#This Row],[Total PoP ]],WWWW[[#This Row],[Total PoP ]],WWWW[[#This Row],['# Functional hand washing stations during reporting period]]*100)</f>
        <v>489</v>
      </c>
      <c r="DU15" s="479" t="str">
        <f>IF(OR(WWWW[[#This Row],['#_students at TLS_CFS]]="",WWWW[[#This Row],['#_students at TLS_CFS]]=0),"No","Yes")</f>
        <v>No</v>
      </c>
      <c r="DV1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 s="593">
        <f>VLOOKUP(WWWW[[#This Row],[Site Name]],SiteDB6[[Site Name]:[CCCM Management]],6,FALSE)</f>
        <v>0</v>
      </c>
      <c r="DZ15" s="593" t="str">
        <f>VLOOKUP(WWWW[[#This Row],[Site Name]],SiteDB6[[Site Name]:[CCCM Focal Agency]],7,FALSE)</f>
        <v>KBC-MYT</v>
      </c>
      <c r="EA15" s="593" t="str">
        <f>VLOOKUP(WWWW[[#This Row],[Site Name]],SiteDB6[[Site Name]:[Location Type 1]],9,FALSE)</f>
        <v>Camp</v>
      </c>
      <c r="EB15" s="593" t="str">
        <f>VLOOKUP(WWWW[[#This Row],[Site Name]],SiteDB6[[Site Name]:[Type of Accommodation]],10,FALSE)</f>
        <v>Camp</v>
      </c>
      <c r="EC15" s="593" t="str">
        <f>VLOOKUP(WWWW[[#This Row],[Site Name]],SiteDB6[[Site Name]:[Ethnic or GCA/NGCA]],11,FALSE)</f>
        <v>GCA</v>
      </c>
      <c r="ED15" s="593">
        <f>VLOOKUP(WWWW[[#This Row],[Site Name]],SiteDB6[[Site Name]:[Lat]],12,FALSE)</f>
        <v>0</v>
      </c>
      <c r="EE15" s="593">
        <f>VLOOKUP(WWWW[[#This Row],[Site Name]],SiteDB6[[Site Name]:[Long]],13,FALSE)</f>
        <v>0</v>
      </c>
      <c r="EF15" s="593" t="str">
        <f>VLOOKUP(WWWW[[#This Row],[Site Name]],SiteDB6[[Site Name]:[Pcode]],3,FALSE)</f>
        <v>MMR001CMP265</v>
      </c>
      <c r="EG15" s="598" t="str">
        <f t="shared" si="0"/>
        <v>Covered</v>
      </c>
      <c r="EH15" s="598" t="str">
        <f>VLOOKUP(WWWW[[#This Row],[Site Name]],SiteDB6[[Site Name]:[open in cccm?]],2,FALSE)</f>
        <v>cccm_2019OCT</v>
      </c>
    </row>
    <row r="16" spans="1:138" hidden="1">
      <c r="A16" s="591" t="s">
        <v>3261</v>
      </c>
      <c r="B16" s="591" t="s">
        <v>144</v>
      </c>
      <c r="C16" s="592" t="s">
        <v>144</v>
      </c>
      <c r="D16" s="592" t="s">
        <v>3277</v>
      </c>
      <c r="E16" s="592" t="s">
        <v>39</v>
      </c>
      <c r="F16" s="592" t="s">
        <v>155</v>
      </c>
      <c r="G16" s="721" t="str">
        <f>VLOOKUP(WWWW[[#This Row],[Site Name]],SiteDB6[[Site Name]:[Location Type]],8,FALSE)</f>
        <v>Camp</v>
      </c>
      <c r="H16" s="592" t="s">
        <v>156</v>
      </c>
      <c r="I16" s="594">
        <v>13</v>
      </c>
      <c r="J16" s="594">
        <v>66</v>
      </c>
      <c r="K16" s="717" t="s">
        <v>3278</v>
      </c>
      <c r="L16" s="718" t="s">
        <v>3279</v>
      </c>
      <c r="M16" s="594"/>
      <c r="N16" s="594"/>
      <c r="O16" s="594"/>
      <c r="P16" s="594"/>
      <c r="Q16" s="597" t="s">
        <v>43</v>
      </c>
      <c r="R16" s="594"/>
      <c r="S16" s="594">
        <v>5</v>
      </c>
      <c r="T16" s="523">
        <v>0</v>
      </c>
      <c r="U16" s="594"/>
      <c r="V16" s="594"/>
      <c r="W16" s="594">
        <v>1</v>
      </c>
      <c r="X16" s="594"/>
      <c r="Y16" s="594"/>
      <c r="Z16" s="594"/>
      <c r="AA16" s="594"/>
      <c r="AB16" s="594"/>
      <c r="AC16" s="594"/>
      <c r="AD16" s="594"/>
      <c r="AE16" s="594"/>
      <c r="AF16" s="594"/>
      <c r="AG16" s="594"/>
      <c r="AH16" s="594">
        <v>2</v>
      </c>
      <c r="AI16" s="594"/>
      <c r="AJ16" s="594"/>
      <c r="AK16" s="594"/>
      <c r="AL16" s="594"/>
      <c r="AM16" s="594"/>
      <c r="AN16" s="594"/>
      <c r="AO16" s="598"/>
      <c r="AP16" s="594">
        <v>18</v>
      </c>
      <c r="AQ16" s="594"/>
      <c r="AR16" s="599"/>
      <c r="AS16" s="594"/>
      <c r="AT16" s="594"/>
      <c r="AU16" s="594"/>
      <c r="AV16" s="594"/>
      <c r="AW16" s="594">
        <v>6</v>
      </c>
      <c r="AX16" s="593" t="s">
        <v>43</v>
      </c>
      <c r="AY16" s="598" t="s">
        <v>1195</v>
      </c>
      <c r="AZ16" s="594"/>
      <c r="BA16" s="594"/>
      <c r="BB16" s="594"/>
      <c r="BC16" s="594"/>
      <c r="BD16" s="523"/>
      <c r="BE16" s="593"/>
      <c r="BF16" s="594">
        <v>2</v>
      </c>
      <c r="BG16" s="594"/>
      <c r="BH16" s="594"/>
      <c r="BI16" s="594">
        <v>2</v>
      </c>
      <c r="BJ16" s="594"/>
      <c r="BK16" s="594"/>
      <c r="BL16" s="594">
        <v>1</v>
      </c>
      <c r="BM16" s="594"/>
      <c r="BN16" s="594"/>
      <c r="BO16" s="593"/>
      <c r="BP16" s="594"/>
      <c r="BQ16" s="599"/>
      <c r="BR16" s="593"/>
      <c r="BS16" s="472"/>
      <c r="BT16" s="472"/>
      <c r="BU16" s="523"/>
      <c r="BV16" s="472"/>
      <c r="BW16" s="523"/>
      <c r="BX16" s="523"/>
      <c r="BY16" s="523"/>
      <c r="BZ16" s="601" t="str">
        <f>IFERROR(WWWW[[#This Row],['#_Water sources passed]]/WWWW[[#This Row],['#_Water sources tested for fecal coliform ]],"no test")</f>
        <v>no test</v>
      </c>
      <c r="CA16" s="599" t="str">
        <f>IFERROR(WWWW[[#This Row],['#_Household passed]]/WWWW[[#This Row],['#_Household water samples tested for fecal coliform]],"no test")</f>
        <v>no test</v>
      </c>
      <c r="CB16" s="600" t="str">
        <f>IF(AND(WWWW[[#This Row],[% of water sources passed]]="no test",WWWW[[#This Row],[% Household passed]]="no test"),"No Test","Tested")</f>
        <v>No Test</v>
      </c>
      <c r="CC16" s="600">
        <f>WWWW[[#This Row],['#_Constructed/existing protected hand dug well]]-WWWW[[#This Row],['#_Non-functional protected hand dug well]]</f>
        <v>0</v>
      </c>
      <c r="CD16" s="600">
        <f>(WWWW[[#This Row],['#_Constructed/Existing tube wells/boreholes/handpumps_WASH_agency]]+WWWW[[#This Row],['#_Non-Cluster partner water tube-wells/boreholes/handpumps]])-WWWW[[#This Row],['#_Non-functional tube wells/boreholes/handpumps]]</f>
        <v>1</v>
      </c>
      <c r="CE16" s="600">
        <f>WWWW[[#This Row],['#_Constructed/Existingwater storage tank with gravity fed reticulation system]]-WWWW[[#This Row],['#_Non-functional storage tank gravity fed reticulation system]]</f>
        <v>0</v>
      </c>
      <c r="CF16" s="478">
        <f>(WWWW[[#This Row],['#_Water_Liters_supplied_by_Water boating or water trucking]]/90)/15</f>
        <v>0</v>
      </c>
      <c r="CG16" s="478">
        <f>WWWW[[#This Row],['#_Water_Liters_from_Constructed/Existing water distribution system from river or natural spring]]/90/15</f>
        <v>0</v>
      </c>
      <c r="CH16" s="478">
        <f>WWWW[[#This Row],['#_of water points in TLS/CFS /THF]]*500</f>
        <v>0</v>
      </c>
      <c r="CI1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 s="599">
        <f>IF(WWWW[[#This Row],[Location Type 1]]="Village",WWWW[[#This Row],[Access to safe drinking water for Village]],WWWW[[#This Row],[Access to safe drinking water for Camp]])</f>
        <v>1</v>
      </c>
      <c r="CL16" s="597">
        <f>WWWW[[#This Row],[%Equitable and continuous access to sufficient quantity of safe drinking water]]*WWWW[[#This Row],[Total PoP ]]</f>
        <v>66</v>
      </c>
      <c r="CM16" s="599">
        <f>IF((WWWW[[#This Row],['#_Constructed/Existing protected/fenced ponds]]*250)/WWWW[[#This Row],[Total PoP ]]&gt;1,1,(WWWW[[#This Row],['#_Constructed/Existing protected/fenced ponds]]*250)/WWWW[[#This Row],[Total PoP ]])</f>
        <v>0</v>
      </c>
      <c r="CN16" s="597">
        <f>WWWW[[#This Row],[% Access to unimproved water points]]*WWWW[[#This Row],[Total PoP ]]</f>
        <v>0</v>
      </c>
      <c r="CO1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Q16" s="597">
        <f>WWWW[[#This Row],[HRP1]]/500</f>
        <v>0.13200000000000001</v>
      </c>
      <c r="CR16" s="602">
        <f>1-WWWW[[#This Row],[% Equitable and continuous access to sufficient quantity of domestic water]]</f>
        <v>0</v>
      </c>
      <c r="CS16" s="597">
        <f>WWWW[[#This Row],[%equitable and continuous access to sufficient quantity of safe drinking and domestic water''s GAP]]*WWWW[[#This Row],[Total PoP ]]</f>
        <v>0</v>
      </c>
      <c r="CT16" s="600">
        <f>IF(WWWW[[#This Row],[Total required water points]]-WWWW[[#This Row],['#Water points coverage]]&lt;0,0,WWWW[[#This Row],[Total required water points]]-WWWW[[#This Row],['#Water points coverage]])</f>
        <v>0.86799999999999999</v>
      </c>
      <c r="CU16" s="600">
        <f>ROUND(IF(WWWW[[#This Row],[Total PoP ]]&lt;500,1,WWWW[[#This Row],[Total PoP ]]/500),0)</f>
        <v>1</v>
      </c>
      <c r="CV16" s="600">
        <f>(WWWW[[#This Row],['#_Constructed latrines_by_WASHAgencies]]+WWWW[[#This Row],['#_Non Cluster partner latrines]])-WWWW[[#This Row],['#_Non-functional latrines]]</f>
        <v>18</v>
      </c>
      <c r="CW16" s="70">
        <f>WWWW[[#This Row],[HRP2]]/WWWW[[#This Row],[Total PoP ]]</f>
        <v>1</v>
      </c>
      <c r="CX1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CY1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 s="600">
        <f>IF(WWWW[[#This Row],['# of functional latrines in THF supported by WASH partners during the reporting period2]]="",0,WWWW[[#This Row],['# of functional latrines in THF supported by WASH partners during the reporting period2]]*50)</f>
        <v>0</v>
      </c>
      <c r="DB16" s="600">
        <f>WWWW[[#This Row],['# students access to functioning school latrines_HRP5]]+WWWW[[#This Row],['# People access to functioning latrines in THF_HRP5]]</f>
        <v>0</v>
      </c>
      <c r="DC16" s="600">
        <f>ROUND(IF(WWWW[[#This Row],[Location Type 1]]="camp",WWWW[[#This Row],[Total PoP ]]/20,IF(WWWW[[#This Row],[Location Type 1]]="Temporary Location",WWWW[[#This Row],[Total PoP ]]/50,WWWW[[#This Row],[Total HH]])),0)</f>
        <v>3</v>
      </c>
      <c r="DD16" s="600">
        <f>IF(WWWW[[#This Row],[Total required Latrines]]-(WWWW[[#This Row],['#_Constructed latrines_by_WASHAgencies]]+WWWW[[#This Row],['#_Non Cluster partner latrines]])&lt;0,0,WWWW[[#This Row],[Total required Latrines]]-(WWWW[[#This Row],['#_Constructed latrines_by_WASHAgencies]]+WWWW[[#This Row],['#_Non Cluster partner latrines]]))</f>
        <v>0</v>
      </c>
      <c r="DE16" s="602">
        <f>1-WWWW[[#This Row],[% people access to functioning Latrine]]</f>
        <v>0</v>
      </c>
      <c r="DF16" s="601">
        <f>IF(OR(WWWW[[#This Row],['#_Non-functional latrines]]="",WWWW[[#This Row],['#_Non-functional latrines]]=0),0,WWWW[[#This Row],['#_Non-functional latrines]]/(WWWW[[#This Row],['#_Constructed latrines_by_WASHAgencies]]+WWWW[[#This Row],['#_Non Cluster partner latrines]]))</f>
        <v>0</v>
      </c>
      <c r="DG16" s="597">
        <f>IF(500*(WWWW[[#This Row],['#_male hygiene promoters]]+WWWW[[#This Row],['#_female hygiene promoters]])&gt;WWWW[[#This Row],[Total PoP ]],WWWW[[#This Row],[Total PoP ]],500*(WWWW[[#This Row],['#_male hygiene promoters]]+WWWW[[#This Row],['#_female hygiene promoters]]))</f>
        <v>66</v>
      </c>
      <c r="DH1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 s="600">
        <f>IF(WWWW[[#This Row],['# People with access to soap]]&gt;WWWW[[#This Row],['# People with access to Sanity Pads]],WWWW[[#This Row],['# People with access to soap]],WWWW[[#This Row],['# People with access to Sanity Pads]])</f>
        <v>0</v>
      </c>
      <c r="DK16" s="600">
        <f>IF(WWWW[[#This Row],['# people reached by regular dedicated hygiene promotion_5]]&gt;WWWW[[#This Row],['# People received regular supply of hygiene items_6]],WWWW[[#This Row],['# people reached by regular dedicated hygiene promotion_5]],WWWW[[#This Row],['# People received regular supply of hygiene items_6]])</f>
        <v>66</v>
      </c>
      <c r="DL16" s="602">
        <f>IF(WWWW[[#This Row],[HRP3]]/WWWW[[#This Row],[Total PoP ]]&gt;1,1,WWWW[[#This Row],[HRP3]]/WWWW[[#This Row],[Total PoP ]])</f>
        <v>1</v>
      </c>
      <c r="DM16" s="601">
        <f>1-WWWW[[#This Row],[Hygiene Coverage%]]</f>
        <v>0</v>
      </c>
      <c r="DN16" s="599">
        <f>WWWW[[#This Row],['# people reached by regular dedicated hygiene promotion_5]]/WWWW[[#This Row],[Total PoP ]]</f>
        <v>1</v>
      </c>
      <c r="DO1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 s="600">
        <f>WWWW[[#This Row],['#_Constructed/Existing hand washing stations]]-WWWW[[#This Row],['#_Non-Functional_hand_washing_stations]]</f>
        <v>2</v>
      </c>
      <c r="DR16" s="597">
        <f>IF(WWWW[[#This Row],['# Functional hand washing stations during reporting period]]*20&gt;WWWW[[#This Row],[Total HH]],WWWW[[#This Row],[Total HH]],WWWW[[#This Row],['# Functional hand washing stations during reporting period]]*20)</f>
        <v>13</v>
      </c>
      <c r="DS16" s="597">
        <f>IF(WWWW[[#This Row],[Is sufficient soap available for TLS? (Yes/No)]]="yes",WWWW[[#This Row],['#_Constructed/Existing hand washing stations at TLS]],0)</f>
        <v>0</v>
      </c>
      <c r="DT16" s="479">
        <f>IF(WWWW[[#This Row],['# Functional hand washing stations during reporting period]]*100&gt;WWWW[[#This Row],[Total PoP ]],WWWW[[#This Row],[Total PoP ]],WWWW[[#This Row],['# Functional hand washing stations during reporting period]]*100)</f>
        <v>66</v>
      </c>
      <c r="DU16" s="479" t="str">
        <f>IF(OR(WWWW[[#This Row],['#_students at TLS_CFS]]="",WWWW[[#This Row],['#_students at TLS_CFS]]=0),"No","Yes")</f>
        <v>No</v>
      </c>
      <c r="DV1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 s="593" t="str">
        <f>VLOOKUP(WWWW[[#This Row],[Site Name]],SiteDB6[[Site Name]:[CCCM Management]],6,FALSE)</f>
        <v>Yes</v>
      </c>
      <c r="DZ16" s="593" t="str">
        <f>VLOOKUP(WWWW[[#This Row],[Site Name]],SiteDB6[[Site Name]:[CCCM Focal Agency]],7,FALSE)</f>
        <v>KBC-MYT</v>
      </c>
      <c r="EA16" s="593" t="str">
        <f>VLOOKUP(WWWW[[#This Row],[Site Name]],SiteDB6[[Site Name]:[Location Type 1]],9,FALSE)</f>
        <v>Camp</v>
      </c>
      <c r="EB16" s="593" t="str">
        <f>VLOOKUP(WWWW[[#This Row],[Site Name]],SiteDB6[[Site Name]:[Type of Accommodation]],10,FALSE)</f>
        <v>Camp</v>
      </c>
      <c r="EC16" s="593" t="str">
        <f>VLOOKUP(WWWW[[#This Row],[Site Name]],SiteDB6[[Site Name]:[Ethnic or GCA/NGCA]],11,FALSE)</f>
        <v>GCA</v>
      </c>
      <c r="ED16" s="593">
        <f>VLOOKUP(WWWW[[#This Row],[Site Name]],SiteDB6[[Site Name]:[Lat]],12,FALSE)</f>
        <v>25.305669999999999</v>
      </c>
      <c r="EE16" s="593">
        <f>VLOOKUP(WWWW[[#This Row],[Site Name]],SiteDB6[[Site Name]:[Long]],13,FALSE)</f>
        <v>96.922619999999995</v>
      </c>
      <c r="EF16" s="593" t="str">
        <f>VLOOKUP(WWWW[[#This Row],[Site Name]],SiteDB6[[Site Name]:[Pcode]],3,FALSE)</f>
        <v>MMR001CMP078</v>
      </c>
      <c r="EG16" s="598" t="str">
        <f t="shared" si="0"/>
        <v>Covered</v>
      </c>
      <c r="EH16" s="598" t="str">
        <f>VLOOKUP(WWWW[[#This Row],[Site Name]],SiteDB6[[Site Name]:[open in cccm?]],2,FALSE)</f>
        <v>cccm_2019OCT</v>
      </c>
    </row>
    <row r="17" spans="1:138" hidden="1">
      <c r="A17" s="591" t="s">
        <v>3261</v>
      </c>
      <c r="B17" s="591" t="s">
        <v>144</v>
      </c>
      <c r="C17" s="592" t="s">
        <v>144</v>
      </c>
      <c r="D17" s="404" t="s">
        <v>247</v>
      </c>
      <c r="E17" s="592" t="s">
        <v>39</v>
      </c>
      <c r="F17" s="592" t="s">
        <v>208</v>
      </c>
      <c r="G17" s="721" t="str">
        <f>VLOOKUP(WWWW[[#This Row],[Site Name]],SiteDB6[[Site Name]:[Location Type]],8,FALSE)</f>
        <v>Camp_not registered</v>
      </c>
      <c r="H17" s="789" t="s">
        <v>292</v>
      </c>
      <c r="I17" s="594">
        <v>440</v>
      </c>
      <c r="J17" s="594">
        <v>2199</v>
      </c>
      <c r="K17" s="595">
        <v>43647</v>
      </c>
      <c r="L17" s="596">
        <v>44012</v>
      </c>
      <c r="M17" s="720">
        <v>2098</v>
      </c>
      <c r="N17" s="594"/>
      <c r="O17" s="594"/>
      <c r="P17" s="594"/>
      <c r="Q17" s="597" t="s">
        <v>43</v>
      </c>
      <c r="R17" s="594"/>
      <c r="S17" s="594">
        <v>4</v>
      </c>
      <c r="T17" s="523"/>
      <c r="U17" s="594"/>
      <c r="V17" s="594"/>
      <c r="W17" s="594">
        <v>1</v>
      </c>
      <c r="X17" s="594">
        <v>0</v>
      </c>
      <c r="Y17" s="594"/>
      <c r="Z17" s="594"/>
      <c r="AA17" s="594"/>
      <c r="AB17" s="594"/>
      <c r="AC17" s="594"/>
      <c r="AD17" s="594">
        <v>0</v>
      </c>
      <c r="AE17" s="594">
        <v>0</v>
      </c>
      <c r="AF17" s="594"/>
      <c r="AG17" s="594">
        <v>0</v>
      </c>
      <c r="AH17" s="594">
        <v>0</v>
      </c>
      <c r="AI17" s="594"/>
      <c r="AJ17" s="594"/>
      <c r="AK17" s="594"/>
      <c r="AL17" s="594"/>
      <c r="AM17" s="594">
        <v>20</v>
      </c>
      <c r="AN17" s="594"/>
      <c r="AO17" s="598"/>
      <c r="AP17" s="605">
        <v>48</v>
      </c>
      <c r="AQ17" s="594">
        <v>0</v>
      </c>
      <c r="AR17" s="599"/>
      <c r="AS17" s="594"/>
      <c r="AT17" s="594"/>
      <c r="AU17" s="594"/>
      <c r="AV17" s="594"/>
      <c r="AW17" s="594">
        <v>0</v>
      </c>
      <c r="AX17" s="593"/>
      <c r="AY17" s="598"/>
      <c r="AZ17" s="594"/>
      <c r="BA17" s="594"/>
      <c r="BB17" s="594">
        <v>51</v>
      </c>
      <c r="BC17" s="594"/>
      <c r="BD17" s="523"/>
      <c r="BE17" s="593"/>
      <c r="BF17" s="605"/>
      <c r="BG17" s="594"/>
      <c r="BH17" s="594"/>
      <c r="BI17" s="594">
        <v>0</v>
      </c>
      <c r="BJ17" s="594"/>
      <c r="BK17" s="594"/>
      <c r="BL17" s="736"/>
      <c r="BM17" s="605"/>
      <c r="BN17" s="605"/>
      <c r="BO17" s="593"/>
      <c r="BP17" s="594"/>
      <c r="BQ17" s="599"/>
      <c r="BR17" s="608"/>
      <c r="BS17" s="472"/>
      <c r="BT17" s="472"/>
      <c r="BU17" s="523"/>
      <c r="BV17" s="472"/>
      <c r="BW17" s="523"/>
      <c r="BX17" s="523"/>
      <c r="BY17" s="523"/>
      <c r="BZ17" s="601" t="str">
        <f>IFERROR(WWWW[[#This Row],['#_Water sources passed]]/WWWW[[#This Row],['#_Water sources tested for fecal coliform ]],"no test")</f>
        <v>no test</v>
      </c>
      <c r="CA17" s="599" t="str">
        <f>IFERROR(WWWW[[#This Row],['#_Household passed]]/WWWW[[#This Row],['#_Household water samples tested for fecal coliform]],"no test")</f>
        <v>no test</v>
      </c>
      <c r="CB17" s="600" t="str">
        <f>IF(AND(WWWW[[#This Row],[% of water sources passed]]="no test",WWWW[[#This Row],[% Household passed]]="no test"),"No Test","Tested")</f>
        <v>No Test</v>
      </c>
      <c r="CC17" s="600">
        <f>WWWW[[#This Row],['#_Constructed/existing protected hand dug well]]-WWWW[[#This Row],['#_Non-functional protected hand dug well]]</f>
        <v>0</v>
      </c>
      <c r="CD17" s="600">
        <f>(WWWW[[#This Row],['#_Constructed/Existing tube wells/boreholes/handpumps_WASH_agency]]+WWWW[[#This Row],['#_Non-Cluster partner water tube-wells/boreholes/handpumps]])-WWWW[[#This Row],['#_Non-functional tube wells/boreholes/handpumps]]</f>
        <v>1</v>
      </c>
      <c r="CE17" s="600">
        <f>WWWW[[#This Row],['#_Constructed/Existingwater storage tank with gravity fed reticulation system]]-WWWW[[#This Row],['#_Non-functional storage tank gravity fed reticulation system]]</f>
        <v>0</v>
      </c>
      <c r="CF17" s="478">
        <f>(WWWW[[#This Row],['#_Water_Liters_supplied_by_Water boating or water trucking]]/90)/15</f>
        <v>0</v>
      </c>
      <c r="CG17" s="478">
        <f>WWWW[[#This Row],['#_Water_Liters_from_Constructed/Existing water distribution system from river or natural spring]]/90/15</f>
        <v>0</v>
      </c>
      <c r="CH17" s="478">
        <f>WWWW[[#This Row],['#_of water points in TLS/CFS /THF]]*500</f>
        <v>0</v>
      </c>
      <c r="CI1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J1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K17" s="599">
        <f>IF(WWWW[[#This Row],[Location Type 1]]="Village",WWWW[[#This Row],[Access to safe drinking water for Village]],WWWW[[#This Row],[Access to safe drinking water for Camp]])</f>
        <v>0.22737608003638018</v>
      </c>
      <c r="CL17" s="597">
        <f>WWWW[[#This Row],[%Equitable and continuous access to sufficient quantity of safe drinking water]]*WWWW[[#This Row],[Total PoP ]]</f>
        <v>500</v>
      </c>
      <c r="CM17" s="599">
        <f>IF((WWWW[[#This Row],['#_Constructed/Existing protected/fenced ponds]]*250)/WWWW[[#This Row],[Total PoP ]]&gt;1,1,(WWWW[[#This Row],['#_Constructed/Existing protected/fenced ponds]]*250)/WWWW[[#This Row],[Total PoP ]])</f>
        <v>0</v>
      </c>
      <c r="CN17" s="597">
        <f>WWWW[[#This Row],[% Access to unimproved water points]]*WWWW[[#This Row],[Total PoP ]]</f>
        <v>0</v>
      </c>
      <c r="CO1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P1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Q17" s="597">
        <f>WWWW[[#This Row],[HRP1]]/500</f>
        <v>1</v>
      </c>
      <c r="CR17" s="602">
        <f>1-WWWW[[#This Row],[% Equitable and continuous access to sufficient quantity of domestic water]]</f>
        <v>0.77262391996361979</v>
      </c>
      <c r="CS17" s="597">
        <f>WWWW[[#This Row],[%equitable and continuous access to sufficient quantity of safe drinking and domestic water''s GAP]]*WWWW[[#This Row],[Total PoP ]]</f>
        <v>1699</v>
      </c>
      <c r="CT17" s="600">
        <f>IF(WWWW[[#This Row],[Total required water points]]-WWWW[[#This Row],['#Water points coverage]]&lt;0,0,WWWW[[#This Row],[Total required water points]]-WWWW[[#This Row],['#Water points coverage]])</f>
        <v>3</v>
      </c>
      <c r="CU17" s="600">
        <f>ROUND(IF(WWWW[[#This Row],[Total PoP ]]&lt;500,1,WWWW[[#This Row],[Total PoP ]]/500),0)</f>
        <v>4</v>
      </c>
      <c r="CV17" s="600">
        <f>(WWWW[[#This Row],['#_Constructed latrines_by_WASHAgencies]]+WWWW[[#This Row],['#_Non Cluster partner latrines]])-WWWW[[#This Row],['#_Non-functional latrines]]</f>
        <v>48</v>
      </c>
      <c r="CW17" s="70">
        <f>WWWW[[#This Row],[HRP2]]/WWWW[[#This Row],[Total PoP ]]</f>
        <v>0.43656207366984995</v>
      </c>
      <c r="CX1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960</v>
      </c>
      <c r="CY1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2098</v>
      </c>
      <c r="DA17" s="600">
        <f>IF(WWWW[[#This Row],['# of functional latrines in THF supported by WASH partners during the reporting period2]]="",0,WWWW[[#This Row],['# of functional latrines in THF supported by WASH partners during the reporting period2]]*50)</f>
        <v>0</v>
      </c>
      <c r="DB17" s="600">
        <f>WWWW[[#This Row],['# students access to functioning school latrines_HRP5]]+WWWW[[#This Row],['# People access to functioning latrines in THF_HRP5]]</f>
        <v>2098</v>
      </c>
      <c r="DC17" s="600">
        <f>ROUND(IF(WWWW[[#This Row],[Location Type 1]]="camp",WWWW[[#This Row],[Total PoP ]]/20,IF(WWWW[[#This Row],[Location Type 1]]="Temporary Location",WWWW[[#This Row],[Total PoP ]]/50,WWWW[[#This Row],[Total HH]])),0)</f>
        <v>110</v>
      </c>
      <c r="DD17" s="600">
        <f>IF(WWWW[[#This Row],[Total required Latrines]]-(WWWW[[#This Row],['#_Constructed latrines_by_WASHAgencies]]+WWWW[[#This Row],['#_Non Cluster partner latrines]])&lt;0,0,WWWW[[#This Row],[Total required Latrines]]-(WWWW[[#This Row],['#_Constructed latrines_by_WASHAgencies]]+WWWW[[#This Row],['#_Non Cluster partner latrines]]))</f>
        <v>62</v>
      </c>
      <c r="DE17" s="602">
        <f>1-WWWW[[#This Row],[% people access to functioning Latrine]]</f>
        <v>0.56343792633015011</v>
      </c>
      <c r="DF17" s="601">
        <f>IF(OR(WWWW[[#This Row],['#_Non-functional latrines]]="",WWWW[[#This Row],['#_Non-functional latrines]]=0),0,WWWW[[#This Row],['#_Non-functional latrines]]/(WWWW[[#This Row],['#_Constructed latrines_by_WASHAgencies]]+WWWW[[#This Row],['#_Non Cluster partner latrines]]))</f>
        <v>0</v>
      </c>
      <c r="DG17" s="597">
        <f>IF(500*(WWWW[[#This Row],['#_male hygiene promoters]]+WWWW[[#This Row],['#_female hygiene promoters]])&gt;WWWW[[#This Row],[Total PoP ]],WWWW[[#This Row],[Total PoP ]],500*(WWWW[[#This Row],['#_male hygiene promoters]]+WWWW[[#This Row],['#_female hygiene promoters]]))</f>
        <v>0</v>
      </c>
      <c r="DH1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 s="600">
        <f>IF(WWWW[[#This Row],['# People with access to soap]]&gt;WWWW[[#This Row],['# People with access to Sanity Pads]],WWWW[[#This Row],['# People with access to soap]],WWWW[[#This Row],['# People with access to Sanity Pads]])</f>
        <v>0</v>
      </c>
      <c r="DK1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 s="602">
        <f>IF(WWWW[[#This Row],[HRP3]]/WWWW[[#This Row],[Total PoP ]]&gt;1,1,WWWW[[#This Row],[HRP3]]/WWWW[[#This Row],[Total PoP ]])</f>
        <v>0</v>
      </c>
      <c r="DM17" s="601">
        <f>1-WWWW[[#This Row],[Hygiene Coverage%]]</f>
        <v>1</v>
      </c>
      <c r="DN17" s="599">
        <f>WWWW[[#This Row],['# people reached by regular dedicated hygiene promotion_5]]/WWWW[[#This Row],[Total PoP ]]</f>
        <v>0</v>
      </c>
      <c r="DO1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 s="600">
        <f>WWWW[[#This Row],['#_Constructed/Existing hand washing stations]]-WWWW[[#This Row],['#_Non-Functional_hand_washing_stations]]</f>
        <v>0</v>
      </c>
      <c r="DR17" s="597">
        <f>IF(WWWW[[#This Row],['# Functional hand washing stations during reporting period]]*20&gt;WWWW[[#This Row],[Total HH]],WWWW[[#This Row],[Total HH]],WWWW[[#This Row],['# Functional hand washing stations during reporting period]]*20)</f>
        <v>0</v>
      </c>
      <c r="DS17" s="597">
        <f>IF(WWWW[[#This Row],[Is sufficient soap available for TLS? (Yes/No)]]="yes",WWWW[[#This Row],['#_Constructed/Existing hand washing stations at TLS]],0)</f>
        <v>0</v>
      </c>
      <c r="DT17" s="479">
        <f>IF(WWWW[[#This Row],['# Functional hand washing stations during reporting period]]*100&gt;WWWW[[#This Row],[Total PoP ]],WWWW[[#This Row],[Total PoP ]],WWWW[[#This Row],['# Functional hand washing stations during reporting period]]*100)</f>
        <v>0</v>
      </c>
      <c r="DU17" s="479" t="str">
        <f>IF(OR(WWWW[[#This Row],['#_students at TLS_CFS]]="",WWWW[[#This Row],['#_students at TLS_CFS]]=0),"No","Yes")</f>
        <v>Yes</v>
      </c>
      <c r="DV1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2098</v>
      </c>
      <c r="DY17" s="593">
        <f>VLOOKUP(WWWW[[#This Row],[Site Name]],SiteDB6[[Site Name]:[CCCM Management]],6,FALSE)</f>
        <v>0</v>
      </c>
      <c r="DZ17" s="593">
        <f>VLOOKUP(WWWW[[#This Row],[Site Name]],SiteDB6[[Site Name]:[CCCM Focal Agency]],7,FALSE)</f>
        <v>0</v>
      </c>
      <c r="EA17" s="593" t="str">
        <f>VLOOKUP(WWWW[[#This Row],[Site Name]],SiteDB6[[Site Name]:[Location Type 1]],9,FALSE)</f>
        <v>Camp</v>
      </c>
      <c r="EB17" s="593" t="str">
        <f>VLOOKUP(WWWW[[#This Row],[Site Name]],SiteDB6[[Site Name]:[Type of Accommodation]],10,FALSE)</f>
        <v>School</v>
      </c>
      <c r="EC17" s="593" t="str">
        <f>VLOOKUP(WWWW[[#This Row],[Site Name]],SiteDB6[[Site Name]:[Ethnic or GCA/NGCA]],11,FALSE)</f>
        <v>NGCA</v>
      </c>
      <c r="ED17" s="593">
        <f>VLOOKUP(WWWW[[#This Row],[Site Name]],SiteDB6[[Site Name]:[Lat]],12,FALSE)</f>
        <v>0</v>
      </c>
      <c r="EE17" s="593">
        <f>VLOOKUP(WWWW[[#This Row],[Site Name]],SiteDB6[[Site Name]:[Long]],13,FALSE)</f>
        <v>0</v>
      </c>
      <c r="EF17" s="593">
        <f>VLOOKUP(WWWW[[#This Row],[Site Name]],SiteDB6[[Site Name]:[Pcode]],3,FALSE)</f>
        <v>0</v>
      </c>
      <c r="EG17" s="598" t="str">
        <f t="shared" si="0"/>
        <v>Covered</v>
      </c>
      <c r="EH17" s="598">
        <f>VLOOKUP(WWWW[[#This Row],[Site Name]],Site_DB!$C$389:$D$1120,2,FALSE)</f>
        <v>0</v>
      </c>
    </row>
    <row r="18" spans="1:138" hidden="1">
      <c r="A18" s="591" t="s">
        <v>3261</v>
      </c>
      <c r="B18" s="591" t="s">
        <v>144</v>
      </c>
      <c r="C18" s="592" t="s">
        <v>144</v>
      </c>
      <c r="D18" s="592"/>
      <c r="E18" s="592" t="s">
        <v>39</v>
      </c>
      <c r="F18" s="592" t="s">
        <v>162</v>
      </c>
      <c r="G18" s="721" t="str">
        <f>VLOOKUP(WWWW[[#This Row],[Site Name]],SiteDB6[[Site Name]:[Location Type]],8,FALSE)</f>
        <v>Camp_not registered</v>
      </c>
      <c r="H18" s="592" t="s">
        <v>2080</v>
      </c>
      <c r="I18" s="594">
        <v>51</v>
      </c>
      <c r="J18" s="594">
        <v>252</v>
      </c>
      <c r="K18" s="595"/>
      <c r="L18" s="596"/>
      <c r="M18" s="594"/>
      <c r="N18" s="594"/>
      <c r="O18" s="594"/>
      <c r="P18" s="594"/>
      <c r="Q18" s="597"/>
      <c r="R18" s="594"/>
      <c r="S18" s="594">
        <v>2</v>
      </c>
      <c r="T18" s="523">
        <v>0</v>
      </c>
      <c r="U18" s="594"/>
      <c r="V18" s="594"/>
      <c r="W18" s="594">
        <v>0</v>
      </c>
      <c r="X18" s="594"/>
      <c r="Y18" s="594"/>
      <c r="Z18" s="594"/>
      <c r="AA18" s="594"/>
      <c r="AB18" s="594"/>
      <c r="AC18" s="594"/>
      <c r="AD18" s="594"/>
      <c r="AE18" s="594"/>
      <c r="AF18" s="594"/>
      <c r="AG18" s="594"/>
      <c r="AH18" s="594">
        <v>0</v>
      </c>
      <c r="AI18" s="594"/>
      <c r="AJ18" s="594"/>
      <c r="AK18" s="594"/>
      <c r="AL18" s="594"/>
      <c r="AM18" s="594"/>
      <c r="AN18" s="594"/>
      <c r="AO18" s="598"/>
      <c r="AP18" s="594">
        <v>150</v>
      </c>
      <c r="AQ18" s="594"/>
      <c r="AR18" s="599"/>
      <c r="AS18" s="594"/>
      <c r="AT18" s="594"/>
      <c r="AU18" s="594"/>
      <c r="AV18" s="594"/>
      <c r="AW18" s="594">
        <v>0</v>
      </c>
      <c r="AX18" s="593"/>
      <c r="AY18" s="598"/>
      <c r="AZ18" s="594"/>
      <c r="BA18" s="594"/>
      <c r="BB18" s="594"/>
      <c r="BC18" s="594"/>
      <c r="BD18" s="523"/>
      <c r="BE18" s="593"/>
      <c r="BF18" s="594"/>
      <c r="BG18" s="594"/>
      <c r="BH18" s="594"/>
      <c r="BI18" s="594">
        <v>0</v>
      </c>
      <c r="BJ18" s="594"/>
      <c r="BK18" s="594"/>
      <c r="BL18" s="594"/>
      <c r="BM18" s="594"/>
      <c r="BN18" s="594"/>
      <c r="BO18" s="593"/>
      <c r="BP18" s="594"/>
      <c r="BQ18" s="599"/>
      <c r="BR18" s="593"/>
      <c r="BS18" s="472"/>
      <c r="BT18" s="472"/>
      <c r="BU18" s="523"/>
      <c r="BV18" s="472"/>
      <c r="BW18" s="523"/>
      <c r="BX18" s="523"/>
      <c r="BY18" s="523"/>
      <c r="BZ18" s="601" t="str">
        <f>IFERROR(WWWW[[#This Row],['#_Water sources passed]]/WWWW[[#This Row],['#_Water sources tested for fecal coliform ]],"no test")</f>
        <v>no test</v>
      </c>
      <c r="CA18" s="599" t="str">
        <f>IFERROR(WWWW[[#This Row],['#_Household passed]]/WWWW[[#This Row],['#_Household water samples tested for fecal coliform]],"no test")</f>
        <v>no test</v>
      </c>
      <c r="CB18" s="600" t="str">
        <f>IF(AND(WWWW[[#This Row],[% of water sources passed]]="no test",WWWW[[#This Row],[% Household passed]]="no test"),"No Test","Tested")</f>
        <v>No Test</v>
      </c>
      <c r="CC18" s="600">
        <f>WWWW[[#This Row],['#_Constructed/existing protected hand dug well]]-WWWW[[#This Row],['#_Non-functional protected hand dug well]]</f>
        <v>0</v>
      </c>
      <c r="CD18" s="600">
        <f>(WWWW[[#This Row],['#_Constructed/Existing tube wells/boreholes/handpumps_WASH_agency]]+WWWW[[#This Row],['#_Non-Cluster partner water tube-wells/boreholes/handpumps]])-WWWW[[#This Row],['#_Non-functional tube wells/boreholes/handpumps]]</f>
        <v>0</v>
      </c>
      <c r="CE18" s="600">
        <f>WWWW[[#This Row],['#_Constructed/Existingwater storage tank with gravity fed reticulation system]]-WWWW[[#This Row],['#_Non-functional storage tank gravity fed reticulation system]]</f>
        <v>0</v>
      </c>
      <c r="CF18" s="478">
        <f>(WWWW[[#This Row],['#_Water_Liters_supplied_by_Water boating or water trucking]]/90)/15</f>
        <v>0</v>
      </c>
      <c r="CG18" s="478">
        <f>WWWW[[#This Row],['#_Water_Liters_from_Constructed/Existing water distribution system from river or natural spring]]/90/15</f>
        <v>0</v>
      </c>
      <c r="CH18" s="478">
        <f>WWWW[[#This Row],['#_of water points in TLS/CFS /THF]]*500</f>
        <v>0</v>
      </c>
      <c r="CI1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 s="599">
        <f>IF(WWWW[[#This Row],[Location Type 1]]="Village",WWWW[[#This Row],[Access to safe drinking water for Village]],WWWW[[#This Row],[Access to safe drinking water for Camp]])</f>
        <v>0</v>
      </c>
      <c r="CL18" s="597">
        <f>WWWW[[#This Row],[%Equitable and continuous access to sufficient quantity of safe drinking water]]*WWWW[[#This Row],[Total PoP ]]</f>
        <v>0</v>
      </c>
      <c r="CM18" s="599">
        <f>IF((WWWW[[#This Row],['#_Constructed/Existing protected/fenced ponds]]*250)/WWWW[[#This Row],[Total PoP ]]&gt;1,1,(WWWW[[#This Row],['#_Constructed/Existing protected/fenced ponds]]*250)/WWWW[[#This Row],[Total PoP ]])</f>
        <v>0</v>
      </c>
      <c r="CN18" s="597">
        <f>WWWW[[#This Row],[% Access to unimproved water points]]*WWWW[[#This Row],[Total PoP ]]</f>
        <v>0</v>
      </c>
      <c r="CO1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 s="597">
        <f>WWWW[[#This Row],[HRP1]]/500</f>
        <v>0</v>
      </c>
      <c r="CR18" s="602">
        <f>1-WWWW[[#This Row],[% Equitable and continuous access to sufficient quantity of domestic water]]</f>
        <v>1</v>
      </c>
      <c r="CS18" s="597">
        <f>WWWW[[#This Row],[%equitable and continuous access to sufficient quantity of safe drinking and domestic water''s GAP]]*WWWW[[#This Row],[Total PoP ]]</f>
        <v>252</v>
      </c>
      <c r="CT18" s="600">
        <f>IF(WWWW[[#This Row],[Total required water points]]-WWWW[[#This Row],['#Water points coverage]]&lt;0,0,WWWW[[#This Row],[Total required water points]]-WWWW[[#This Row],['#Water points coverage]])</f>
        <v>1</v>
      </c>
      <c r="CU18" s="600">
        <f>ROUND(IF(WWWW[[#This Row],[Total PoP ]]&lt;500,1,WWWW[[#This Row],[Total PoP ]]/500),0)</f>
        <v>1</v>
      </c>
      <c r="CV18" s="600">
        <f>(WWWW[[#This Row],['#_Constructed latrines_by_WASHAgencies]]+WWWW[[#This Row],['#_Non Cluster partner latrines]])-WWWW[[#This Row],['#_Non-functional latrines]]</f>
        <v>150</v>
      </c>
      <c r="CW18" s="70">
        <f>WWWW[[#This Row],[HRP2]]/WWWW[[#This Row],[Total PoP ]]</f>
        <v>1</v>
      </c>
      <c r="CX1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252</v>
      </c>
      <c r="CY1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 s="600">
        <f>IF(WWWW[[#This Row],['# of functional latrines in THF supported by WASH partners during the reporting period2]]="",0,WWWW[[#This Row],['# of functional latrines in THF supported by WASH partners during the reporting period2]]*50)</f>
        <v>0</v>
      </c>
      <c r="DB18" s="600">
        <f>WWWW[[#This Row],['# students access to functioning school latrines_HRP5]]+WWWW[[#This Row],['# People access to functioning latrines in THF_HRP5]]</f>
        <v>0</v>
      </c>
      <c r="DC18" s="600">
        <f>ROUND(IF(WWWW[[#This Row],[Location Type 1]]="camp",WWWW[[#This Row],[Total PoP ]]/20,IF(WWWW[[#This Row],[Location Type 1]]="Temporary Location",WWWW[[#This Row],[Total PoP ]]/50,WWWW[[#This Row],[Total HH]])),0)</f>
        <v>13</v>
      </c>
      <c r="DD18" s="600">
        <f>IF(WWWW[[#This Row],[Total required Latrines]]-(WWWW[[#This Row],['#_Constructed latrines_by_WASHAgencies]]+WWWW[[#This Row],['#_Non Cluster partner latrines]])&lt;0,0,WWWW[[#This Row],[Total required Latrines]]-(WWWW[[#This Row],['#_Constructed latrines_by_WASHAgencies]]+WWWW[[#This Row],['#_Non Cluster partner latrines]]))</f>
        <v>0</v>
      </c>
      <c r="DE18" s="602">
        <f>1-WWWW[[#This Row],[% people access to functioning Latrine]]</f>
        <v>0</v>
      </c>
      <c r="DF18" s="601">
        <f>IF(OR(WWWW[[#This Row],['#_Non-functional latrines]]="",WWWW[[#This Row],['#_Non-functional latrines]]=0),0,WWWW[[#This Row],['#_Non-functional latrines]]/(WWWW[[#This Row],['#_Constructed latrines_by_WASHAgencies]]+WWWW[[#This Row],['#_Non Cluster partner latrines]]))</f>
        <v>0</v>
      </c>
      <c r="DG18" s="597">
        <f>IF(500*(WWWW[[#This Row],['#_male hygiene promoters]]+WWWW[[#This Row],['#_female hygiene promoters]])&gt;WWWW[[#This Row],[Total PoP ]],WWWW[[#This Row],[Total PoP ]],500*(WWWW[[#This Row],['#_male hygiene promoters]]+WWWW[[#This Row],['#_female hygiene promoters]]))</f>
        <v>0</v>
      </c>
      <c r="DH1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 s="600">
        <f>IF(WWWW[[#This Row],['# People with access to soap]]&gt;WWWW[[#This Row],['# People with access to Sanity Pads]],WWWW[[#This Row],['# People with access to soap]],WWWW[[#This Row],['# People with access to Sanity Pads]])</f>
        <v>0</v>
      </c>
      <c r="DK1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 s="602">
        <f>IF(WWWW[[#This Row],[HRP3]]/WWWW[[#This Row],[Total PoP ]]&gt;1,1,WWWW[[#This Row],[HRP3]]/WWWW[[#This Row],[Total PoP ]])</f>
        <v>0</v>
      </c>
      <c r="DM18" s="601">
        <f>1-WWWW[[#This Row],[Hygiene Coverage%]]</f>
        <v>1</v>
      </c>
      <c r="DN18" s="599">
        <f>WWWW[[#This Row],['# people reached by regular dedicated hygiene promotion_5]]/WWWW[[#This Row],[Total PoP ]]</f>
        <v>0</v>
      </c>
      <c r="DO1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 s="600">
        <f>WWWW[[#This Row],['#_Constructed/Existing hand washing stations]]-WWWW[[#This Row],['#_Non-Functional_hand_washing_stations]]</f>
        <v>0</v>
      </c>
      <c r="DR18" s="597">
        <f>IF(WWWW[[#This Row],['# Functional hand washing stations during reporting period]]*20&gt;WWWW[[#This Row],[Total HH]],WWWW[[#This Row],[Total HH]],WWWW[[#This Row],['# Functional hand washing stations during reporting period]]*20)</f>
        <v>0</v>
      </c>
      <c r="DS18" s="597">
        <f>IF(WWWW[[#This Row],[Is sufficient soap available for TLS? (Yes/No)]]="yes",WWWW[[#This Row],['#_Constructed/Existing hand washing stations at TLS]],0)</f>
        <v>0</v>
      </c>
      <c r="DT18" s="479">
        <f>IF(WWWW[[#This Row],['# Functional hand washing stations during reporting period]]*100&gt;WWWW[[#This Row],[Total PoP ]],WWWW[[#This Row],[Total PoP ]],WWWW[[#This Row],['# Functional hand washing stations during reporting period]]*100)</f>
        <v>0</v>
      </c>
      <c r="DU18" s="479" t="str">
        <f>IF(OR(WWWW[[#This Row],['#_students at TLS_CFS]]="",WWWW[[#This Row],['#_students at TLS_CFS]]=0),"No","Yes")</f>
        <v>No</v>
      </c>
      <c r="DV1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 s="593">
        <f>VLOOKUP(WWWW[[#This Row],[Site Name]],SiteDB6[[Site Name]:[CCCM Management]],6,FALSE)</f>
        <v>0</v>
      </c>
      <c r="DZ18" s="593">
        <f>VLOOKUP(WWWW[[#This Row],[Site Name]],SiteDB6[[Site Name]:[CCCM Focal Agency]],7,FALSE)</f>
        <v>0</v>
      </c>
      <c r="EA18" s="593" t="str">
        <f>VLOOKUP(WWWW[[#This Row],[Site Name]],SiteDB6[[Site Name]:[Location Type 1]],9,FALSE)</f>
        <v>Camp</v>
      </c>
      <c r="EB18" s="593" t="str">
        <f>VLOOKUP(WWWW[[#This Row],[Site Name]],SiteDB6[[Site Name]:[Type of Accommodation]],10,FALSE)</f>
        <v>Camp like setting</v>
      </c>
      <c r="EC18" s="593" t="str">
        <f>VLOOKUP(WWWW[[#This Row],[Site Name]],SiteDB6[[Site Name]:[Ethnic or GCA/NGCA]],11,FALSE)</f>
        <v>NGCA</v>
      </c>
      <c r="ED18" s="593">
        <f>VLOOKUP(WWWW[[#This Row],[Site Name]],SiteDB6[[Site Name]:[Lat]],12,FALSE)</f>
        <v>0</v>
      </c>
      <c r="EE18" s="593">
        <f>VLOOKUP(WWWW[[#This Row],[Site Name]],SiteDB6[[Site Name]:[Long]],13,FALSE)</f>
        <v>0</v>
      </c>
      <c r="EF18" s="593">
        <f>VLOOKUP(WWWW[[#This Row],[Site Name]],SiteDB6[[Site Name]:[Pcode]],3,FALSE)</f>
        <v>0</v>
      </c>
      <c r="EG18" s="598" t="str">
        <f t="shared" si="0"/>
        <v>Covered</v>
      </c>
      <c r="EH18" s="598"/>
    </row>
    <row r="19" spans="1:138" hidden="1">
      <c r="A19" s="591" t="s">
        <v>3261</v>
      </c>
      <c r="B19" s="591" t="s">
        <v>144</v>
      </c>
      <c r="C19" s="592" t="s">
        <v>144</v>
      </c>
      <c r="D19" s="404" t="s">
        <v>3277</v>
      </c>
      <c r="E19" s="592" t="s">
        <v>39</v>
      </c>
      <c r="F19" s="592" t="s">
        <v>162</v>
      </c>
      <c r="G19" s="721" t="str">
        <f>VLOOKUP(WWWW[[#This Row],[Site Name]],SiteDB6[[Site Name]:[Location Type]],8,FALSE)</f>
        <v>Camp</v>
      </c>
      <c r="H19" s="592" t="s">
        <v>166</v>
      </c>
      <c r="I19" s="720">
        <v>99</v>
      </c>
      <c r="J19" s="720">
        <v>547</v>
      </c>
      <c r="K19" s="717" t="s">
        <v>3278</v>
      </c>
      <c r="L19" s="718" t="s">
        <v>3279</v>
      </c>
      <c r="M19" s="594"/>
      <c r="N19" s="594"/>
      <c r="O19" s="594"/>
      <c r="P19" s="594"/>
      <c r="Q19" s="597" t="s">
        <v>43</v>
      </c>
      <c r="R19" s="594"/>
      <c r="S19" s="594">
        <v>3</v>
      </c>
      <c r="T19" s="523">
        <v>0</v>
      </c>
      <c r="U19" s="594"/>
      <c r="V19" s="594"/>
      <c r="W19" s="594">
        <v>3</v>
      </c>
      <c r="X19" s="594"/>
      <c r="Y19" s="594"/>
      <c r="Z19" s="594">
        <v>1</v>
      </c>
      <c r="AA19" s="594"/>
      <c r="AB19" s="594"/>
      <c r="AC19" s="594"/>
      <c r="AD19" s="594"/>
      <c r="AE19" s="594"/>
      <c r="AF19" s="594"/>
      <c r="AG19" s="594"/>
      <c r="AH19" s="594">
        <v>2</v>
      </c>
      <c r="AI19" s="594"/>
      <c r="AJ19" s="594"/>
      <c r="AK19" s="594"/>
      <c r="AL19" s="594"/>
      <c r="AM19" s="594"/>
      <c r="AN19" s="594"/>
      <c r="AO19" s="598"/>
      <c r="AP19" s="594"/>
      <c r="AQ19" s="594"/>
      <c r="AR19" s="599"/>
      <c r="AS19" s="594"/>
      <c r="AT19" s="594"/>
      <c r="AU19" s="594"/>
      <c r="AV19" s="594"/>
      <c r="AW19" s="594">
        <v>8</v>
      </c>
      <c r="AX19" s="593" t="s">
        <v>43</v>
      </c>
      <c r="AY19" s="598" t="s">
        <v>1195</v>
      </c>
      <c r="AZ19" s="594"/>
      <c r="BA19" s="594"/>
      <c r="BB19" s="594"/>
      <c r="BC19" s="594"/>
      <c r="BD19" s="523"/>
      <c r="BE19" s="593"/>
      <c r="BF19" s="594">
        <v>5</v>
      </c>
      <c r="BG19" s="594"/>
      <c r="BH19" s="594"/>
      <c r="BI19" s="594">
        <v>2</v>
      </c>
      <c r="BJ19" s="594"/>
      <c r="BK19" s="594"/>
      <c r="BL19" s="594">
        <v>1</v>
      </c>
      <c r="BM19" s="594"/>
      <c r="BN19" s="594"/>
      <c r="BO19" s="593"/>
      <c r="BP19" s="594"/>
      <c r="BQ19" s="599"/>
      <c r="BR19" s="593"/>
      <c r="BS19" s="472"/>
      <c r="BT19" s="472"/>
      <c r="BU19" s="523"/>
      <c r="BV19" s="472"/>
      <c r="BW19" s="523"/>
      <c r="BX19" s="523"/>
      <c r="BY19" s="523"/>
      <c r="BZ19" s="601" t="str">
        <f>IFERROR(WWWW[[#This Row],['#_Water sources passed]]/WWWW[[#This Row],['#_Water sources tested for fecal coliform ]],"no test")</f>
        <v>no test</v>
      </c>
      <c r="CA19" s="599" t="str">
        <f>IFERROR(WWWW[[#This Row],['#_Household passed]]/WWWW[[#This Row],['#_Household water samples tested for fecal coliform]],"no test")</f>
        <v>no test</v>
      </c>
      <c r="CB19" s="600" t="str">
        <f>IF(AND(WWWW[[#This Row],[% of water sources passed]]="no test",WWWW[[#This Row],[% Household passed]]="no test"),"No Test","Tested")</f>
        <v>No Test</v>
      </c>
      <c r="CC19" s="600">
        <f>WWWW[[#This Row],['#_Constructed/existing protected hand dug well]]-WWWW[[#This Row],['#_Non-functional protected hand dug well]]</f>
        <v>0</v>
      </c>
      <c r="CD19" s="600">
        <f>(WWWW[[#This Row],['#_Constructed/Existing tube wells/boreholes/handpumps_WASH_agency]]+WWWW[[#This Row],['#_Non-Cluster partner water tube-wells/boreholes/handpumps]])-WWWW[[#This Row],['#_Non-functional tube wells/boreholes/handpumps]]</f>
        <v>3</v>
      </c>
      <c r="CE19" s="600">
        <f>WWWW[[#This Row],['#_Constructed/Existingwater storage tank with gravity fed reticulation system]]-WWWW[[#This Row],['#_Non-functional storage tank gravity fed reticulation system]]</f>
        <v>0</v>
      </c>
      <c r="CF19" s="478">
        <f>(WWWW[[#This Row],['#_Water_Liters_supplied_by_Water boating or water trucking]]/90)/15</f>
        <v>0</v>
      </c>
      <c r="CG19" s="478">
        <f>WWWW[[#This Row],['#_Water_Liters_from_Constructed/Existing water distribution system from river or natural spring]]/90/15</f>
        <v>0</v>
      </c>
      <c r="CH19" s="478">
        <f>WWWW[[#This Row],['#_of water points in TLS/CFS /THF]]*500</f>
        <v>0</v>
      </c>
      <c r="CI1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 s="599">
        <f>IF(WWWW[[#This Row],[Location Type 1]]="Village",WWWW[[#This Row],[Access to safe drinking water for Village]],WWWW[[#This Row],[Access to safe drinking water for Camp]])</f>
        <v>1</v>
      </c>
      <c r="CL19" s="597">
        <f>WWWW[[#This Row],[%Equitable and continuous access to sufficient quantity of safe drinking water]]*WWWW[[#This Row],[Total PoP ]]</f>
        <v>547</v>
      </c>
      <c r="CM19" s="599">
        <f>IF((WWWW[[#This Row],['#_Constructed/Existing protected/fenced ponds]]*250)/WWWW[[#This Row],[Total PoP ]]&gt;1,1,(WWWW[[#This Row],['#_Constructed/Existing protected/fenced ponds]]*250)/WWWW[[#This Row],[Total PoP ]])</f>
        <v>0</v>
      </c>
      <c r="CN19" s="597">
        <f>WWWW[[#This Row],[% Access to unimproved water points]]*WWWW[[#This Row],[Total PoP ]]</f>
        <v>0</v>
      </c>
      <c r="CO1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19" s="597">
        <f>WWWW[[#This Row],[HRP1]]/500</f>
        <v>1.0940000000000001</v>
      </c>
      <c r="CR19" s="602">
        <f>1-WWWW[[#This Row],[% Equitable and continuous access to sufficient quantity of domestic water]]</f>
        <v>0</v>
      </c>
      <c r="CS19" s="597">
        <f>WWWW[[#This Row],[%equitable and continuous access to sufficient quantity of safe drinking and domestic water''s GAP]]*WWWW[[#This Row],[Total PoP ]]</f>
        <v>0</v>
      </c>
      <c r="CT19" s="600">
        <f>IF(WWWW[[#This Row],[Total required water points]]-WWWW[[#This Row],['#Water points coverage]]&lt;0,0,WWWW[[#This Row],[Total required water points]]-WWWW[[#This Row],['#Water points coverage]])</f>
        <v>0</v>
      </c>
      <c r="CU19" s="600">
        <f>ROUND(IF(WWWW[[#This Row],[Total PoP ]]&lt;500,1,WWWW[[#This Row],[Total PoP ]]/500),0)</f>
        <v>1</v>
      </c>
      <c r="CV19" s="600">
        <f>(WWWW[[#This Row],['#_Constructed latrines_by_WASHAgencies]]+WWWW[[#This Row],['#_Non Cluster partner latrines]])-WWWW[[#This Row],['#_Non-functional latrines]]</f>
        <v>0</v>
      </c>
      <c r="CW19" s="70">
        <f>WWWW[[#This Row],[HRP2]]/WWWW[[#This Row],[Total PoP ]]</f>
        <v>0</v>
      </c>
      <c r="CX1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 s="600">
        <f>IF(WWWW[[#This Row],['# of functional latrines in THF supported by WASH partners during the reporting period2]]="",0,WWWW[[#This Row],['# of functional latrines in THF supported by WASH partners during the reporting period2]]*50)</f>
        <v>0</v>
      </c>
      <c r="DB19" s="600">
        <f>WWWW[[#This Row],['# students access to functioning school latrines_HRP5]]+WWWW[[#This Row],['# People access to functioning latrines in THF_HRP5]]</f>
        <v>0</v>
      </c>
      <c r="DC19" s="600">
        <f>ROUND(IF(WWWW[[#This Row],[Location Type 1]]="camp",WWWW[[#This Row],[Total PoP ]]/20,IF(WWWW[[#This Row],[Location Type 1]]="Temporary Location",WWWW[[#This Row],[Total PoP ]]/50,WWWW[[#This Row],[Total HH]])),0)</f>
        <v>27</v>
      </c>
      <c r="DD19" s="600">
        <f>IF(WWWW[[#This Row],[Total required Latrines]]-(WWWW[[#This Row],['#_Constructed latrines_by_WASHAgencies]]+WWWW[[#This Row],['#_Non Cluster partner latrines]])&lt;0,0,WWWW[[#This Row],[Total required Latrines]]-(WWWW[[#This Row],['#_Constructed latrines_by_WASHAgencies]]+WWWW[[#This Row],['#_Non Cluster partner latrines]]))</f>
        <v>27</v>
      </c>
      <c r="DE19" s="602">
        <f>1-WWWW[[#This Row],[% people access to functioning Latrine]]</f>
        <v>1</v>
      </c>
      <c r="DF19" s="601">
        <f>IF(OR(WWWW[[#This Row],['#_Non-functional latrines]]="",WWWW[[#This Row],['#_Non-functional latrines]]=0),0,WWWW[[#This Row],['#_Non-functional latrines]]/(WWWW[[#This Row],['#_Constructed latrines_by_WASHAgencies]]+WWWW[[#This Row],['#_Non Cluster partner latrines]]))</f>
        <v>0</v>
      </c>
      <c r="DG19" s="597">
        <f>IF(500*(WWWW[[#This Row],['#_male hygiene promoters]]+WWWW[[#This Row],['#_female hygiene promoters]])&gt;WWWW[[#This Row],[Total PoP ]],WWWW[[#This Row],[Total PoP ]],500*(WWWW[[#This Row],['#_male hygiene promoters]]+WWWW[[#This Row],['#_female hygiene promoters]]))</f>
        <v>500</v>
      </c>
      <c r="DH1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 s="600">
        <f>IF(WWWW[[#This Row],['# People with access to soap]]&gt;WWWW[[#This Row],['# People with access to Sanity Pads]],WWWW[[#This Row],['# People with access to soap]],WWWW[[#This Row],['# People with access to Sanity Pads]])</f>
        <v>0</v>
      </c>
      <c r="DK19"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9" s="602">
        <f>IF(WWWW[[#This Row],[HRP3]]/WWWW[[#This Row],[Total PoP ]]&gt;1,1,WWWW[[#This Row],[HRP3]]/WWWW[[#This Row],[Total PoP ]])</f>
        <v>0.91407678244972579</v>
      </c>
      <c r="DM19" s="601">
        <f>1-WWWW[[#This Row],[Hygiene Coverage%]]</f>
        <v>8.5923217550274211E-2</v>
      </c>
      <c r="DN19" s="599">
        <f>WWWW[[#This Row],['# people reached by regular dedicated hygiene promotion_5]]/WWWW[[#This Row],[Total PoP ]]</f>
        <v>0.91407678244972579</v>
      </c>
      <c r="DO1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 s="600">
        <f>WWWW[[#This Row],['#_Constructed/Existing hand washing stations]]-WWWW[[#This Row],['#_Non-Functional_hand_washing_stations]]</f>
        <v>5</v>
      </c>
      <c r="DR19" s="597">
        <f>IF(WWWW[[#This Row],['# Functional hand washing stations during reporting period]]*20&gt;WWWW[[#This Row],[Total HH]],WWWW[[#This Row],[Total HH]],WWWW[[#This Row],['# Functional hand washing stations during reporting period]]*20)</f>
        <v>99</v>
      </c>
      <c r="DS19" s="597">
        <f>IF(WWWW[[#This Row],[Is sufficient soap available for TLS? (Yes/No)]]="yes",WWWW[[#This Row],['#_Constructed/Existing hand washing stations at TLS]],0)</f>
        <v>0</v>
      </c>
      <c r="DT19" s="479">
        <f>IF(WWWW[[#This Row],['# Functional hand washing stations during reporting period]]*100&gt;WWWW[[#This Row],[Total PoP ]],WWWW[[#This Row],[Total PoP ]],WWWW[[#This Row],['# Functional hand washing stations during reporting period]]*100)</f>
        <v>500</v>
      </c>
      <c r="DU19" s="479" t="str">
        <f>IF(OR(WWWW[[#This Row],['#_students at TLS_CFS]]="",WWWW[[#This Row],['#_students at TLS_CFS]]=0),"No","Yes")</f>
        <v>No</v>
      </c>
      <c r="DV1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 s="593" t="str">
        <f>VLOOKUP(WWWW[[#This Row],[Site Name]],SiteDB6[[Site Name]:[CCCM Management]],6,FALSE)</f>
        <v>Yes</v>
      </c>
      <c r="DZ19" s="593" t="str">
        <f>VLOOKUP(WWWW[[#This Row],[Site Name]],SiteDB6[[Site Name]:[CCCM Focal Agency]],7,FALSE)</f>
        <v>KBC-MYT</v>
      </c>
      <c r="EA19" s="593" t="str">
        <f>VLOOKUP(WWWW[[#This Row],[Site Name]],SiteDB6[[Site Name]:[Location Type 1]],9,FALSE)</f>
        <v>Camp</v>
      </c>
      <c r="EB19" s="593" t="str">
        <f>VLOOKUP(WWWW[[#This Row],[Site Name]],SiteDB6[[Site Name]:[Type of Accommodation]],10,FALSE)</f>
        <v>Camp</v>
      </c>
      <c r="EC19" s="593" t="str">
        <f>VLOOKUP(WWWW[[#This Row],[Site Name]],SiteDB6[[Site Name]:[Ethnic or GCA/NGCA]],11,FALSE)</f>
        <v>GCA</v>
      </c>
      <c r="ED19" s="593">
        <f>VLOOKUP(WWWW[[#This Row],[Site Name]],SiteDB6[[Site Name]:[Lat]],12,FALSE)</f>
        <v>25.362420757575801</v>
      </c>
      <c r="EE19" s="593">
        <f>VLOOKUP(WWWW[[#This Row],[Site Name]],SiteDB6[[Site Name]:[Long]],13,FALSE)</f>
        <v>97.409035000000003</v>
      </c>
      <c r="EF19" s="593" t="str">
        <f>VLOOKUP(WWWW[[#This Row],[Site Name]],SiteDB6[[Site Name]:[Pcode]],3,FALSE)</f>
        <v>MMR001CMP015</v>
      </c>
      <c r="EG19" s="598" t="str">
        <f t="shared" si="0"/>
        <v>Covered</v>
      </c>
      <c r="EH19" s="598" t="str">
        <f>VLOOKUP(WWWW[[#This Row],[Site Name]],SiteDB6[[Site Name]:[open in cccm?]],2,FALSE)</f>
        <v>cccm_2019OCT</v>
      </c>
    </row>
    <row r="20" spans="1:138" hidden="1">
      <c r="A20" s="591" t="s">
        <v>3261</v>
      </c>
      <c r="B20" s="591" t="s">
        <v>144</v>
      </c>
      <c r="C20" s="592" t="s">
        <v>144</v>
      </c>
      <c r="D20" s="404" t="s">
        <v>3277</v>
      </c>
      <c r="E20" s="592" t="s">
        <v>39</v>
      </c>
      <c r="F20" s="592" t="s">
        <v>162</v>
      </c>
      <c r="G20" s="721" t="str">
        <f>VLOOKUP(WWWW[[#This Row],[Site Name]],SiteDB6[[Site Name]:[Location Type]],8,FALSE)</f>
        <v>Camp</v>
      </c>
      <c r="H20" s="592" t="s">
        <v>167</v>
      </c>
      <c r="I20" s="594">
        <v>132</v>
      </c>
      <c r="J20" s="594">
        <v>676</v>
      </c>
      <c r="K20" s="717" t="s">
        <v>3278</v>
      </c>
      <c r="L20" s="718" t="s">
        <v>3279</v>
      </c>
      <c r="M20" s="594"/>
      <c r="N20" s="594"/>
      <c r="O20" s="594"/>
      <c r="P20" s="594"/>
      <c r="Q20" s="597" t="s">
        <v>43</v>
      </c>
      <c r="R20" s="594"/>
      <c r="S20" s="594">
        <v>3</v>
      </c>
      <c r="T20" s="523">
        <v>0</v>
      </c>
      <c r="U20" s="594"/>
      <c r="V20" s="594"/>
      <c r="W20" s="594">
        <v>3</v>
      </c>
      <c r="X20" s="594"/>
      <c r="Y20" s="594"/>
      <c r="Z20" s="594"/>
      <c r="AA20" s="594"/>
      <c r="AB20" s="594"/>
      <c r="AC20" s="594"/>
      <c r="AD20" s="594"/>
      <c r="AE20" s="594"/>
      <c r="AF20" s="594"/>
      <c r="AG20" s="594"/>
      <c r="AH20" s="594">
        <v>2</v>
      </c>
      <c r="AI20" s="594"/>
      <c r="AJ20" s="594"/>
      <c r="AK20" s="594"/>
      <c r="AL20" s="594"/>
      <c r="AM20" s="594"/>
      <c r="AN20" s="594"/>
      <c r="AO20" s="598"/>
      <c r="AP20" s="594">
        <v>16</v>
      </c>
      <c r="AQ20" s="594"/>
      <c r="AR20" s="599"/>
      <c r="AS20" s="594"/>
      <c r="AT20" s="594"/>
      <c r="AU20" s="594"/>
      <c r="AV20" s="594"/>
      <c r="AW20" s="594">
        <v>32</v>
      </c>
      <c r="AX20" s="593" t="s">
        <v>43</v>
      </c>
      <c r="AY20" s="598" t="s">
        <v>140</v>
      </c>
      <c r="AZ20" s="594"/>
      <c r="BA20" s="594"/>
      <c r="BB20" s="594"/>
      <c r="BC20" s="594"/>
      <c r="BD20" s="523"/>
      <c r="BE20" s="593"/>
      <c r="BF20" s="594">
        <v>4</v>
      </c>
      <c r="BG20" s="594"/>
      <c r="BH20" s="594"/>
      <c r="BI20" s="594">
        <v>2</v>
      </c>
      <c r="BJ20" s="594"/>
      <c r="BK20" s="594"/>
      <c r="BL20" s="594">
        <v>1</v>
      </c>
      <c r="BM20" s="594"/>
      <c r="BN20" s="594"/>
      <c r="BO20" s="593"/>
      <c r="BP20" s="594"/>
      <c r="BQ20" s="599"/>
      <c r="BR20" s="593"/>
      <c r="BS20" s="472"/>
      <c r="BT20" s="472"/>
      <c r="BU20" s="523"/>
      <c r="BV20" s="472"/>
      <c r="BW20" s="523"/>
      <c r="BX20" s="523"/>
      <c r="BY20" s="523"/>
      <c r="BZ20" s="601" t="str">
        <f>IFERROR(WWWW[[#This Row],['#_Water sources passed]]/WWWW[[#This Row],['#_Water sources tested for fecal coliform ]],"no test")</f>
        <v>no test</v>
      </c>
      <c r="CA20" s="599" t="str">
        <f>IFERROR(WWWW[[#This Row],['#_Household passed]]/WWWW[[#This Row],['#_Household water samples tested for fecal coliform]],"no test")</f>
        <v>no test</v>
      </c>
      <c r="CB20" s="600" t="str">
        <f>IF(AND(WWWW[[#This Row],[% of water sources passed]]="no test",WWWW[[#This Row],[% Household passed]]="no test"),"No Test","Tested")</f>
        <v>No Test</v>
      </c>
      <c r="CC20" s="600">
        <f>WWWW[[#This Row],['#_Constructed/existing protected hand dug well]]-WWWW[[#This Row],['#_Non-functional protected hand dug well]]</f>
        <v>0</v>
      </c>
      <c r="CD20" s="600">
        <f>(WWWW[[#This Row],['#_Constructed/Existing tube wells/boreholes/handpumps_WASH_agency]]+WWWW[[#This Row],['#_Non-Cluster partner water tube-wells/boreholes/handpumps]])-WWWW[[#This Row],['#_Non-functional tube wells/boreholes/handpumps]]</f>
        <v>3</v>
      </c>
      <c r="CE20" s="600">
        <f>WWWW[[#This Row],['#_Constructed/Existingwater storage tank with gravity fed reticulation system]]-WWWW[[#This Row],['#_Non-functional storage tank gravity fed reticulation system]]</f>
        <v>0</v>
      </c>
      <c r="CF20" s="478">
        <f>(WWWW[[#This Row],['#_Water_Liters_supplied_by_Water boating or water trucking]]/90)/15</f>
        <v>0</v>
      </c>
      <c r="CG20" s="478">
        <f>WWWW[[#This Row],['#_Water_Liters_from_Constructed/Existing water distribution system from river or natural spring]]/90/15</f>
        <v>0</v>
      </c>
      <c r="CH20" s="478">
        <f>WWWW[[#This Row],['#_of water points in TLS/CFS /THF]]*500</f>
        <v>0</v>
      </c>
      <c r="CI2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 s="599">
        <f>IF(WWWW[[#This Row],[Location Type 1]]="Village",WWWW[[#This Row],[Access to safe drinking water for Village]],WWWW[[#This Row],[Access to safe drinking water for Camp]])</f>
        <v>1</v>
      </c>
      <c r="CL20" s="597">
        <f>WWWW[[#This Row],[%Equitable and continuous access to sufficient quantity of safe drinking water]]*WWWW[[#This Row],[Total PoP ]]</f>
        <v>676</v>
      </c>
      <c r="CM20" s="599">
        <f>IF((WWWW[[#This Row],['#_Constructed/Existing protected/fenced ponds]]*250)/WWWW[[#This Row],[Total PoP ]]&gt;1,1,(WWWW[[#This Row],['#_Constructed/Existing protected/fenced ponds]]*250)/WWWW[[#This Row],[Total PoP ]])</f>
        <v>0</v>
      </c>
      <c r="CN20" s="597">
        <f>WWWW[[#This Row],[% Access to unimproved water points]]*WWWW[[#This Row],[Total PoP ]]</f>
        <v>0</v>
      </c>
      <c r="CO2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Q20" s="597">
        <f>WWWW[[#This Row],[HRP1]]/500</f>
        <v>1.3520000000000001</v>
      </c>
      <c r="CR20" s="602">
        <f>1-WWWW[[#This Row],[% Equitable and continuous access to sufficient quantity of domestic water]]</f>
        <v>0</v>
      </c>
      <c r="CS20" s="597">
        <f>WWWW[[#This Row],[%equitable and continuous access to sufficient quantity of safe drinking and domestic water''s GAP]]*WWWW[[#This Row],[Total PoP ]]</f>
        <v>0</v>
      </c>
      <c r="CT20" s="600">
        <f>IF(WWWW[[#This Row],[Total required water points]]-WWWW[[#This Row],['#Water points coverage]]&lt;0,0,WWWW[[#This Row],[Total required water points]]-WWWW[[#This Row],['#Water points coverage]])</f>
        <v>0</v>
      </c>
      <c r="CU20" s="600">
        <f>ROUND(IF(WWWW[[#This Row],[Total PoP ]]&lt;500,1,WWWW[[#This Row],[Total PoP ]]/500),0)</f>
        <v>1</v>
      </c>
      <c r="CV20" s="600">
        <f>(WWWW[[#This Row],['#_Constructed latrines_by_WASHAgencies]]+WWWW[[#This Row],['#_Non Cluster partner latrines]])-WWWW[[#This Row],['#_Non-functional latrines]]</f>
        <v>16</v>
      </c>
      <c r="CW20" s="70">
        <f>WWWW[[#This Row],[HRP2]]/WWWW[[#This Row],[Total PoP ]]</f>
        <v>0.47337278106508873</v>
      </c>
      <c r="CX2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 s="600">
        <f>IF(WWWW[[#This Row],['# of functional latrines in THF supported by WASH partners during the reporting period2]]="",0,WWWW[[#This Row],['# of functional latrines in THF supported by WASH partners during the reporting period2]]*50)</f>
        <v>0</v>
      </c>
      <c r="DB20" s="600">
        <f>WWWW[[#This Row],['# students access to functioning school latrines_HRP5]]+WWWW[[#This Row],['# People access to functioning latrines in THF_HRP5]]</f>
        <v>0</v>
      </c>
      <c r="DC20" s="600">
        <f>ROUND(IF(WWWW[[#This Row],[Location Type 1]]="camp",WWWW[[#This Row],[Total PoP ]]/20,IF(WWWW[[#This Row],[Location Type 1]]="Temporary Location",WWWW[[#This Row],[Total PoP ]]/50,WWWW[[#This Row],[Total HH]])),0)</f>
        <v>34</v>
      </c>
      <c r="DD20" s="600">
        <f>IF(WWWW[[#This Row],[Total required Latrines]]-(WWWW[[#This Row],['#_Constructed latrines_by_WASHAgencies]]+WWWW[[#This Row],['#_Non Cluster partner latrines]])&lt;0,0,WWWW[[#This Row],[Total required Latrines]]-(WWWW[[#This Row],['#_Constructed latrines_by_WASHAgencies]]+WWWW[[#This Row],['#_Non Cluster partner latrines]]))</f>
        <v>18</v>
      </c>
      <c r="DE20" s="602">
        <f>1-WWWW[[#This Row],[% people access to functioning Latrine]]</f>
        <v>0.52662721893491127</v>
      </c>
      <c r="DF20" s="601">
        <f>IF(OR(WWWW[[#This Row],['#_Non-functional latrines]]="",WWWW[[#This Row],['#_Non-functional latrines]]=0),0,WWWW[[#This Row],['#_Non-functional latrines]]/(WWWW[[#This Row],['#_Constructed latrines_by_WASHAgencies]]+WWWW[[#This Row],['#_Non Cluster partner latrines]]))</f>
        <v>0</v>
      </c>
      <c r="DG20" s="597">
        <f>IF(500*(WWWW[[#This Row],['#_male hygiene promoters]]+WWWW[[#This Row],['#_female hygiene promoters]])&gt;WWWW[[#This Row],[Total PoP ]],WWWW[[#This Row],[Total PoP ]],500*(WWWW[[#This Row],['#_male hygiene promoters]]+WWWW[[#This Row],['#_female hygiene promoters]]))</f>
        <v>500</v>
      </c>
      <c r="DH2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 s="600">
        <f>IF(WWWW[[#This Row],['# People with access to soap]]&gt;WWWW[[#This Row],['# People with access to Sanity Pads]],WWWW[[#This Row],['# People with access to soap]],WWWW[[#This Row],['# People with access to Sanity Pads]])</f>
        <v>0</v>
      </c>
      <c r="DK20"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0" s="602">
        <f>IF(WWWW[[#This Row],[HRP3]]/WWWW[[#This Row],[Total PoP ]]&gt;1,1,WWWW[[#This Row],[HRP3]]/WWWW[[#This Row],[Total PoP ]])</f>
        <v>0.73964497041420119</v>
      </c>
      <c r="DM20" s="601">
        <f>1-WWWW[[#This Row],[Hygiene Coverage%]]</f>
        <v>0.26035502958579881</v>
      </c>
      <c r="DN20" s="599">
        <f>WWWW[[#This Row],['# people reached by regular dedicated hygiene promotion_5]]/WWWW[[#This Row],[Total PoP ]]</f>
        <v>0.73964497041420119</v>
      </c>
      <c r="DO2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 s="600">
        <f>WWWW[[#This Row],['#_Constructed/Existing hand washing stations]]-WWWW[[#This Row],['#_Non-Functional_hand_washing_stations]]</f>
        <v>4</v>
      </c>
      <c r="DR20" s="597">
        <f>IF(WWWW[[#This Row],['# Functional hand washing stations during reporting period]]*20&gt;WWWW[[#This Row],[Total HH]],WWWW[[#This Row],[Total HH]],WWWW[[#This Row],['# Functional hand washing stations during reporting period]]*20)</f>
        <v>80</v>
      </c>
      <c r="DS20" s="597">
        <f>IF(WWWW[[#This Row],[Is sufficient soap available for TLS? (Yes/No)]]="yes",WWWW[[#This Row],['#_Constructed/Existing hand washing stations at TLS]],0)</f>
        <v>0</v>
      </c>
      <c r="DT20" s="479">
        <f>IF(WWWW[[#This Row],['# Functional hand washing stations during reporting period]]*100&gt;WWWW[[#This Row],[Total PoP ]],WWWW[[#This Row],[Total PoP ]],WWWW[[#This Row],['# Functional hand washing stations during reporting period]]*100)</f>
        <v>400</v>
      </c>
      <c r="DU20" s="479" t="str">
        <f>IF(OR(WWWW[[#This Row],['#_students at TLS_CFS]]="",WWWW[[#This Row],['#_students at TLS_CFS]]=0),"No","Yes")</f>
        <v>No</v>
      </c>
      <c r="DV2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 s="593" t="str">
        <f>VLOOKUP(WWWW[[#This Row],[Site Name]],SiteDB6[[Site Name]:[CCCM Management]],6,FALSE)</f>
        <v>Yes</v>
      </c>
      <c r="DZ20" s="593" t="str">
        <f>VLOOKUP(WWWW[[#This Row],[Site Name]],SiteDB6[[Site Name]:[CCCM Focal Agency]],7,FALSE)</f>
        <v>KBC-MYT</v>
      </c>
      <c r="EA20" s="593" t="str">
        <f>VLOOKUP(WWWW[[#This Row],[Site Name]],SiteDB6[[Site Name]:[Location Type 1]],9,FALSE)</f>
        <v>Camp</v>
      </c>
      <c r="EB20" s="593" t="str">
        <f>VLOOKUP(WWWW[[#This Row],[Site Name]],SiteDB6[[Site Name]:[Type of Accommodation]],10,FALSE)</f>
        <v>Camp</v>
      </c>
      <c r="EC20" s="593" t="str">
        <f>VLOOKUP(WWWW[[#This Row],[Site Name]],SiteDB6[[Site Name]:[Ethnic or GCA/NGCA]],11,FALSE)</f>
        <v>GCA</v>
      </c>
      <c r="ED20" s="593">
        <f>VLOOKUP(WWWW[[#This Row],[Site Name]],SiteDB6[[Site Name]:[Lat]],12,FALSE)</f>
        <v>25.3510167948718</v>
      </c>
      <c r="EE20" s="593">
        <f>VLOOKUP(WWWW[[#This Row],[Site Name]],SiteDB6[[Site Name]:[Long]],13,FALSE)</f>
        <v>97.403402307692303</v>
      </c>
      <c r="EF20" s="593" t="str">
        <f>VLOOKUP(WWWW[[#This Row],[Site Name]],SiteDB6[[Site Name]:[Pcode]],3,FALSE)</f>
        <v>MMR001CMP014</v>
      </c>
      <c r="EG20" s="598" t="str">
        <f t="shared" si="0"/>
        <v>Covered</v>
      </c>
      <c r="EH20" s="598" t="str">
        <f>VLOOKUP(WWWW[[#This Row],[Site Name]],SiteDB6[[Site Name]:[open in cccm?]],2,FALSE)</f>
        <v>cccm_2019OCT</v>
      </c>
    </row>
    <row r="21" spans="1:138" hidden="1">
      <c r="A21" s="591" t="s">
        <v>3261</v>
      </c>
      <c r="B21" s="591" t="s">
        <v>144</v>
      </c>
      <c r="C21" s="592" t="s">
        <v>144</v>
      </c>
      <c r="D21" s="404" t="s">
        <v>3277</v>
      </c>
      <c r="E21" s="592" t="s">
        <v>39</v>
      </c>
      <c r="F21" s="592" t="s">
        <v>176</v>
      </c>
      <c r="G21" s="721" t="str">
        <f>VLOOKUP(WWWW[[#This Row],[Site Name]],SiteDB6[[Site Name]:[Location Type]],8,FALSE)</f>
        <v>Camp</v>
      </c>
      <c r="H21" s="592" t="s">
        <v>177</v>
      </c>
      <c r="I21" s="594">
        <v>60</v>
      </c>
      <c r="J21" s="594">
        <v>289</v>
      </c>
      <c r="K21" s="407" t="s">
        <v>3278</v>
      </c>
      <c r="L21" s="56" t="s">
        <v>3279</v>
      </c>
      <c r="M21" s="594"/>
      <c r="N21" s="594"/>
      <c r="O21" s="594"/>
      <c r="P21" s="594"/>
      <c r="Q21" s="597" t="s">
        <v>43</v>
      </c>
      <c r="R21" s="594"/>
      <c r="S21" s="594">
        <v>5</v>
      </c>
      <c r="T21" s="523">
        <v>1</v>
      </c>
      <c r="U21" s="594"/>
      <c r="V21" s="594"/>
      <c r="W21" s="594"/>
      <c r="X21" s="594"/>
      <c r="Y21" s="594"/>
      <c r="Z21" s="594"/>
      <c r="AA21" s="594"/>
      <c r="AB21" s="594"/>
      <c r="AC21" s="594"/>
      <c r="AD21" s="594"/>
      <c r="AE21" s="594">
        <v>1</v>
      </c>
      <c r="AF21" s="594"/>
      <c r="AG21" s="594"/>
      <c r="AH21" s="594">
        <v>1</v>
      </c>
      <c r="AI21" s="594"/>
      <c r="AJ21" s="594"/>
      <c r="AK21" s="594"/>
      <c r="AL21" s="594"/>
      <c r="AM21" s="594"/>
      <c r="AN21" s="594"/>
      <c r="AO21" s="598"/>
      <c r="AP21" s="594">
        <v>12</v>
      </c>
      <c r="AQ21" s="594"/>
      <c r="AR21" s="599"/>
      <c r="AS21" s="594"/>
      <c r="AT21" s="594"/>
      <c r="AU21" s="594"/>
      <c r="AV21" s="594"/>
      <c r="AW21" s="594">
        <v>12</v>
      </c>
      <c r="AX21" s="593" t="s">
        <v>43</v>
      </c>
      <c r="AY21" s="598" t="s">
        <v>140</v>
      </c>
      <c r="AZ21" s="594"/>
      <c r="BA21" s="594"/>
      <c r="BB21" s="594"/>
      <c r="BC21" s="594"/>
      <c r="BD21" s="523"/>
      <c r="BE21" s="593"/>
      <c r="BF21" s="594">
        <v>4</v>
      </c>
      <c r="BG21" s="594"/>
      <c r="BH21" s="594"/>
      <c r="BI21" s="594">
        <v>2</v>
      </c>
      <c r="BJ21" s="594"/>
      <c r="BK21" s="594"/>
      <c r="BL21" s="594">
        <v>2</v>
      </c>
      <c r="BM21" s="720">
        <v>366</v>
      </c>
      <c r="BN21" s="720">
        <v>122</v>
      </c>
      <c r="BO21" s="593"/>
      <c r="BP21" s="594"/>
      <c r="BQ21" s="599"/>
      <c r="BR21" s="593"/>
      <c r="BS21" s="472"/>
      <c r="BT21" s="472"/>
      <c r="BU21" s="523"/>
      <c r="BV21" s="472"/>
      <c r="BW21" s="523"/>
      <c r="BX21" s="523"/>
      <c r="BY21" s="523"/>
      <c r="BZ21" s="601" t="str">
        <f>IFERROR(WWWW[[#This Row],['#_Water sources passed]]/WWWW[[#This Row],['#_Water sources tested for fecal coliform ]],"no test")</f>
        <v>no test</v>
      </c>
      <c r="CA21" s="599" t="str">
        <f>IFERROR(WWWW[[#This Row],['#_Household passed]]/WWWW[[#This Row],['#_Household water samples tested for fecal coliform]],"no test")</f>
        <v>no test</v>
      </c>
      <c r="CB21" s="600" t="str">
        <f>IF(AND(WWWW[[#This Row],[% of water sources passed]]="no test",WWWW[[#This Row],[% Household passed]]="no test"),"No Test","Tested")</f>
        <v>No Test</v>
      </c>
      <c r="CC21" s="600">
        <f>WWWW[[#This Row],['#_Constructed/existing protected hand dug well]]-WWWW[[#This Row],['#_Non-functional protected hand dug well]]</f>
        <v>1</v>
      </c>
      <c r="CD21" s="600">
        <f>(WWWW[[#This Row],['#_Constructed/Existing tube wells/boreholes/handpumps_WASH_agency]]+WWWW[[#This Row],['#_Non-Cluster partner water tube-wells/boreholes/handpumps]])-WWWW[[#This Row],['#_Non-functional tube wells/boreholes/handpumps]]</f>
        <v>0</v>
      </c>
      <c r="CE21" s="600">
        <f>WWWW[[#This Row],['#_Constructed/Existingwater storage tank with gravity fed reticulation system]]-WWWW[[#This Row],['#_Non-functional storage tank gravity fed reticulation system]]</f>
        <v>0</v>
      </c>
      <c r="CF21" s="478">
        <f>(WWWW[[#This Row],['#_Water_Liters_supplied_by_Water boating or water trucking]]/90)/15</f>
        <v>0</v>
      </c>
      <c r="CG21" s="478">
        <f>WWWW[[#This Row],['#_Water_Liters_from_Constructed/Existing water distribution system from river or natural spring]]/90/15</f>
        <v>0</v>
      </c>
      <c r="CH21" s="478">
        <f>WWWW[[#This Row],['#_of water points in TLS/CFS /THF]]*500</f>
        <v>0</v>
      </c>
      <c r="CI2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21" s="599">
        <f>IF(WWWW[[#This Row],[Location Type 1]]="Village",WWWW[[#This Row],[Access to safe drinking water for Village]],WWWW[[#This Row],[Access to safe drinking water for Camp]])</f>
        <v>1</v>
      </c>
      <c r="CL21" s="597">
        <f>WWWW[[#This Row],[%Equitable and continuous access to sufficient quantity of safe drinking water]]*WWWW[[#This Row],[Total PoP ]]</f>
        <v>289</v>
      </c>
      <c r="CM21" s="599">
        <f>IF((WWWW[[#This Row],['#_Constructed/Existing protected/fenced ponds]]*250)/WWWW[[#This Row],[Total PoP ]]&gt;1,1,(WWWW[[#This Row],['#_Constructed/Existing protected/fenced ponds]]*250)/WWWW[[#This Row],[Total PoP ]])</f>
        <v>0.86505190311418689</v>
      </c>
      <c r="CN21" s="597">
        <f>WWWW[[#This Row],[% Access to unimproved water points]]*WWWW[[#This Row],[Total PoP ]]</f>
        <v>250</v>
      </c>
      <c r="CO2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21" s="597">
        <f>WWWW[[#This Row],[HRP1]]/500</f>
        <v>0.57799999999999996</v>
      </c>
      <c r="CR21" s="602">
        <f>1-WWWW[[#This Row],[% Equitable and continuous access to sufficient quantity of domestic water]]</f>
        <v>0</v>
      </c>
      <c r="CS21" s="597">
        <f>WWWW[[#This Row],[%equitable and continuous access to sufficient quantity of safe drinking and domestic water''s GAP]]*WWWW[[#This Row],[Total PoP ]]</f>
        <v>0</v>
      </c>
      <c r="CT21" s="600">
        <f>IF(WWWW[[#This Row],[Total required water points]]-WWWW[[#This Row],['#Water points coverage]]&lt;0,0,WWWW[[#This Row],[Total required water points]]-WWWW[[#This Row],['#Water points coverage]])</f>
        <v>0.42200000000000004</v>
      </c>
      <c r="CU21" s="600">
        <f>ROUND(IF(WWWW[[#This Row],[Total PoP ]]&lt;500,1,WWWW[[#This Row],[Total PoP ]]/500),0)</f>
        <v>1</v>
      </c>
      <c r="CV21" s="600">
        <f>(WWWW[[#This Row],['#_Constructed latrines_by_WASHAgencies]]+WWWW[[#This Row],['#_Non Cluster partner latrines]])-WWWW[[#This Row],['#_Non-functional latrines]]</f>
        <v>12</v>
      </c>
      <c r="CW21" s="70">
        <f>WWWW[[#This Row],[HRP2]]/WWWW[[#This Row],[Total PoP ]]</f>
        <v>0.83044982698961933</v>
      </c>
      <c r="CX2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 s="600">
        <f>IF(WWWW[[#This Row],['# of functional latrines in THF supported by WASH partners during the reporting period2]]="",0,WWWW[[#This Row],['# of functional latrines in THF supported by WASH partners during the reporting period2]]*50)</f>
        <v>0</v>
      </c>
      <c r="DB21" s="600">
        <f>WWWW[[#This Row],['# students access to functioning school latrines_HRP5]]+WWWW[[#This Row],['# People access to functioning latrines in THF_HRP5]]</f>
        <v>0</v>
      </c>
      <c r="DC21" s="600">
        <f>ROUND(IF(WWWW[[#This Row],[Location Type 1]]="camp",WWWW[[#This Row],[Total PoP ]]/20,IF(WWWW[[#This Row],[Location Type 1]]="Temporary Location",WWWW[[#This Row],[Total PoP ]]/50,WWWW[[#This Row],[Total HH]])),0)</f>
        <v>14</v>
      </c>
      <c r="DD21" s="600">
        <f>IF(WWWW[[#This Row],[Total required Latrines]]-(WWWW[[#This Row],['#_Constructed latrines_by_WASHAgencies]]+WWWW[[#This Row],['#_Non Cluster partner latrines]])&lt;0,0,WWWW[[#This Row],[Total required Latrines]]-(WWWW[[#This Row],['#_Constructed latrines_by_WASHAgencies]]+WWWW[[#This Row],['#_Non Cluster partner latrines]]))</f>
        <v>2</v>
      </c>
      <c r="DE21" s="602">
        <f>1-WWWW[[#This Row],[% people access to functioning Latrine]]</f>
        <v>0.16955017301038067</v>
      </c>
      <c r="DF21" s="601">
        <f>IF(OR(WWWW[[#This Row],['#_Non-functional latrines]]="",WWWW[[#This Row],['#_Non-functional latrines]]=0),0,WWWW[[#This Row],['#_Non-functional latrines]]/(WWWW[[#This Row],['#_Constructed latrines_by_WASHAgencies]]+WWWW[[#This Row],['#_Non Cluster partner latrines]]))</f>
        <v>0</v>
      </c>
      <c r="DG21" s="597">
        <f>IF(500*(WWWW[[#This Row],['#_male hygiene promoters]]+WWWW[[#This Row],['#_female hygiene promoters]])&gt;WWWW[[#This Row],[Total PoP ]],WWWW[[#This Row],[Total PoP ]],500*(WWWW[[#This Row],['#_male hygiene promoters]]+WWWW[[#This Row],['#_female hygiene promoters]]))</f>
        <v>289</v>
      </c>
      <c r="DH2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289</v>
      </c>
      <c r="DI2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122</v>
      </c>
      <c r="DJ21" s="600">
        <f>IF(WWWW[[#This Row],['# People with access to soap]]&gt;WWWW[[#This Row],['# People with access to Sanity Pads]],WWWW[[#This Row],['# People with access to soap]],WWWW[[#This Row],['# People with access to Sanity Pads]])</f>
        <v>289</v>
      </c>
      <c r="DK21" s="600">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21" s="602">
        <f>IF(WWWW[[#This Row],[HRP3]]/WWWW[[#This Row],[Total PoP ]]&gt;1,1,WWWW[[#This Row],[HRP3]]/WWWW[[#This Row],[Total PoP ]])</f>
        <v>1</v>
      </c>
      <c r="DM21" s="601">
        <f>1-WWWW[[#This Row],[Hygiene Coverage%]]</f>
        <v>0</v>
      </c>
      <c r="DN21" s="599">
        <f>WWWW[[#This Row],['# people reached by regular dedicated hygiene promotion_5]]/WWWW[[#This Row],[Total PoP ]]</f>
        <v>1</v>
      </c>
      <c r="DO2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1" s="600">
        <f>WWWW[[#This Row],['#_Constructed/Existing hand washing stations]]-WWWW[[#This Row],['#_Non-Functional_hand_washing_stations]]</f>
        <v>4</v>
      </c>
      <c r="DR21" s="597">
        <f>IF(WWWW[[#This Row],['# Functional hand washing stations during reporting period]]*20&gt;WWWW[[#This Row],[Total HH]],WWWW[[#This Row],[Total HH]],WWWW[[#This Row],['# Functional hand washing stations during reporting period]]*20)</f>
        <v>60</v>
      </c>
      <c r="DS21" s="597">
        <f>IF(WWWW[[#This Row],[Is sufficient soap available for TLS? (Yes/No)]]="yes",WWWW[[#This Row],['#_Constructed/Existing hand washing stations at TLS]],0)</f>
        <v>0</v>
      </c>
      <c r="DT21" s="479">
        <f>IF(WWWW[[#This Row],['# Functional hand washing stations during reporting period]]*100&gt;WWWW[[#This Row],[Total PoP ]],WWWW[[#This Row],[Total PoP ]],WWWW[[#This Row],['# Functional hand washing stations during reporting period]]*100)</f>
        <v>289</v>
      </c>
      <c r="DU21" s="479" t="str">
        <f>IF(OR(WWWW[[#This Row],['#_students at TLS_CFS]]="",WWWW[[#This Row],['#_students at TLS_CFS]]=0),"No","Yes")</f>
        <v>No</v>
      </c>
      <c r="DV2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 s="593" t="str">
        <f>VLOOKUP(WWWW[[#This Row],[Site Name]],SiteDB6[[Site Name]:[CCCM Management]],6,FALSE)</f>
        <v>Yes</v>
      </c>
      <c r="DZ21" s="593" t="str">
        <f>VLOOKUP(WWWW[[#This Row],[Site Name]],SiteDB6[[Site Name]:[CCCM Focal Agency]],7,FALSE)</f>
        <v>KBC-MYT</v>
      </c>
      <c r="EA21" s="593" t="str">
        <f>VLOOKUP(WWWW[[#This Row],[Site Name]],SiteDB6[[Site Name]:[Location Type 1]],9,FALSE)</f>
        <v>Camp</v>
      </c>
      <c r="EB21" s="593" t="str">
        <f>VLOOKUP(WWWW[[#This Row],[Site Name]],SiteDB6[[Site Name]:[Type of Accommodation]],10,FALSE)</f>
        <v>Camp</v>
      </c>
      <c r="EC21" s="593" t="str">
        <f>VLOOKUP(WWWW[[#This Row],[Site Name]],SiteDB6[[Site Name]:[Ethnic or GCA/NGCA]],11,FALSE)</f>
        <v>GCA</v>
      </c>
      <c r="ED21" s="593">
        <f>VLOOKUP(WWWW[[#This Row],[Site Name]],SiteDB6[[Site Name]:[Lat]],12,FALSE)</f>
        <v>27.337499999999999</v>
      </c>
      <c r="EE21" s="593">
        <f>VLOOKUP(WWWW[[#This Row],[Site Name]],SiteDB6[[Site Name]:[Long]],13,FALSE)</f>
        <v>97.416121000000004</v>
      </c>
      <c r="EF21" s="593" t="str">
        <f>VLOOKUP(WWWW[[#This Row],[Site Name]],SiteDB6[[Site Name]:[Pcode]],3,FALSE)</f>
        <v>MMR001CMP234</v>
      </c>
      <c r="EG21" s="598" t="str">
        <f t="shared" si="0"/>
        <v>Covered</v>
      </c>
      <c r="EH21" s="598" t="str">
        <f>VLOOKUP(WWWW[[#This Row],[Site Name]],SiteDB6[[Site Name]:[open in cccm?]],2,FALSE)</f>
        <v>cccm_2019OCT</v>
      </c>
    </row>
    <row r="22" spans="1:138" hidden="1">
      <c r="A22" s="591" t="s">
        <v>3261</v>
      </c>
      <c r="B22" s="591" t="s">
        <v>144</v>
      </c>
      <c r="C22" s="592" t="s">
        <v>144</v>
      </c>
      <c r="D22" s="592" t="s">
        <v>3277</v>
      </c>
      <c r="E22" s="592" t="s">
        <v>39</v>
      </c>
      <c r="F22" s="592" t="s">
        <v>155</v>
      </c>
      <c r="G22" s="721" t="str">
        <f>VLOOKUP(WWWW[[#This Row],[Site Name]],SiteDB6[[Site Name]:[Location Type]],8,FALSE)</f>
        <v>Camp</v>
      </c>
      <c r="H22" s="592" t="s">
        <v>2175</v>
      </c>
      <c r="I22" s="594">
        <v>16</v>
      </c>
      <c r="J22" s="594">
        <v>78</v>
      </c>
      <c r="K22" s="717" t="s">
        <v>3278</v>
      </c>
      <c r="L22" s="718" t="s">
        <v>3279</v>
      </c>
      <c r="M22" s="594"/>
      <c r="N22" s="594"/>
      <c r="O22" s="594"/>
      <c r="P22" s="594"/>
      <c r="Q22" s="597" t="s">
        <v>43</v>
      </c>
      <c r="R22" s="594"/>
      <c r="S22" s="594">
        <v>5</v>
      </c>
      <c r="T22" s="523">
        <v>0</v>
      </c>
      <c r="U22" s="594"/>
      <c r="V22" s="594"/>
      <c r="W22" s="594">
        <v>1</v>
      </c>
      <c r="X22" s="594"/>
      <c r="Y22" s="594"/>
      <c r="Z22" s="594"/>
      <c r="AA22" s="594"/>
      <c r="AB22" s="594"/>
      <c r="AC22" s="594"/>
      <c r="AD22" s="594"/>
      <c r="AE22" s="594"/>
      <c r="AF22" s="594"/>
      <c r="AG22" s="594"/>
      <c r="AH22" s="594">
        <v>2</v>
      </c>
      <c r="AI22" s="594"/>
      <c r="AJ22" s="594"/>
      <c r="AK22" s="594"/>
      <c r="AL22" s="594"/>
      <c r="AM22" s="594"/>
      <c r="AN22" s="594"/>
      <c r="AO22" s="598"/>
      <c r="AP22" s="594">
        <v>2</v>
      </c>
      <c r="AQ22" s="594"/>
      <c r="AR22" s="599"/>
      <c r="AS22" s="594"/>
      <c r="AT22" s="594"/>
      <c r="AU22" s="594"/>
      <c r="AV22" s="594"/>
      <c r="AW22" s="594">
        <v>2</v>
      </c>
      <c r="AX22" s="593" t="s">
        <v>43</v>
      </c>
      <c r="AY22" s="598" t="s">
        <v>140</v>
      </c>
      <c r="AZ22" s="594"/>
      <c r="BA22" s="594"/>
      <c r="BB22" s="594"/>
      <c r="BC22" s="594"/>
      <c r="BD22" s="523"/>
      <c r="BE22" s="593"/>
      <c r="BF22" s="594">
        <v>2</v>
      </c>
      <c r="BG22" s="594"/>
      <c r="BH22" s="594"/>
      <c r="BI22" s="594">
        <v>2</v>
      </c>
      <c r="BJ22" s="594"/>
      <c r="BK22" s="594"/>
      <c r="BL22" s="594">
        <v>1</v>
      </c>
      <c r="BM22" s="594"/>
      <c r="BN22" s="594"/>
      <c r="BO22" s="593"/>
      <c r="BP22" s="594"/>
      <c r="BQ22" s="599"/>
      <c r="BR22" s="593"/>
      <c r="BS22" s="472"/>
      <c r="BT22" s="472"/>
      <c r="BU22" s="523"/>
      <c r="BV22" s="472"/>
      <c r="BW22" s="523"/>
      <c r="BX22" s="523"/>
      <c r="BY22" s="523"/>
      <c r="BZ22" s="601" t="str">
        <f>IFERROR(WWWW[[#This Row],['#_Water sources passed]]/WWWW[[#This Row],['#_Water sources tested for fecal coliform ]],"no test")</f>
        <v>no test</v>
      </c>
      <c r="CA22" s="599" t="str">
        <f>IFERROR(WWWW[[#This Row],['#_Household passed]]/WWWW[[#This Row],['#_Household water samples tested for fecal coliform]],"no test")</f>
        <v>no test</v>
      </c>
      <c r="CB22" s="600" t="str">
        <f>IF(AND(WWWW[[#This Row],[% of water sources passed]]="no test",WWWW[[#This Row],[% Household passed]]="no test"),"No Test","Tested")</f>
        <v>No Test</v>
      </c>
      <c r="CC22" s="600">
        <f>WWWW[[#This Row],['#_Constructed/existing protected hand dug well]]-WWWW[[#This Row],['#_Non-functional protected hand dug well]]</f>
        <v>0</v>
      </c>
      <c r="CD22" s="600">
        <f>(WWWW[[#This Row],['#_Constructed/Existing tube wells/boreholes/handpumps_WASH_agency]]+WWWW[[#This Row],['#_Non-Cluster partner water tube-wells/boreholes/handpumps]])-WWWW[[#This Row],['#_Non-functional tube wells/boreholes/handpumps]]</f>
        <v>1</v>
      </c>
      <c r="CE22" s="600">
        <f>WWWW[[#This Row],['#_Constructed/Existingwater storage tank with gravity fed reticulation system]]-WWWW[[#This Row],['#_Non-functional storage tank gravity fed reticulation system]]</f>
        <v>0</v>
      </c>
      <c r="CF22" s="478">
        <f>(WWWW[[#This Row],['#_Water_Liters_supplied_by_Water boating or water trucking]]/90)/15</f>
        <v>0</v>
      </c>
      <c r="CG22" s="478">
        <f>WWWW[[#This Row],['#_Water_Liters_from_Constructed/Existing water distribution system from river or natural spring]]/90/15</f>
        <v>0</v>
      </c>
      <c r="CH22" s="478">
        <f>WWWW[[#This Row],['#_of water points in TLS/CFS /THF]]*500</f>
        <v>0</v>
      </c>
      <c r="CI2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 s="599">
        <f>IF(WWWW[[#This Row],[Location Type 1]]="Village",WWWW[[#This Row],[Access to safe drinking water for Village]],WWWW[[#This Row],[Access to safe drinking water for Camp]])</f>
        <v>1</v>
      </c>
      <c r="CL22" s="597">
        <f>WWWW[[#This Row],[%Equitable and continuous access to sufficient quantity of safe drinking water]]*WWWW[[#This Row],[Total PoP ]]</f>
        <v>78</v>
      </c>
      <c r="CM22" s="599">
        <f>IF((WWWW[[#This Row],['#_Constructed/Existing protected/fenced ponds]]*250)/WWWW[[#This Row],[Total PoP ]]&gt;1,1,(WWWW[[#This Row],['#_Constructed/Existing protected/fenced ponds]]*250)/WWWW[[#This Row],[Total PoP ]])</f>
        <v>0</v>
      </c>
      <c r="CN22" s="597">
        <f>WWWW[[#This Row],[% Access to unimproved water points]]*WWWW[[#This Row],[Total PoP ]]</f>
        <v>0</v>
      </c>
      <c r="CO2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Q22" s="597">
        <f>WWWW[[#This Row],[HRP1]]/500</f>
        <v>0.156</v>
      </c>
      <c r="CR22" s="602">
        <f>1-WWWW[[#This Row],[% Equitable and continuous access to sufficient quantity of domestic water]]</f>
        <v>0</v>
      </c>
      <c r="CS22" s="597">
        <f>WWWW[[#This Row],[%equitable and continuous access to sufficient quantity of safe drinking and domestic water''s GAP]]*WWWW[[#This Row],[Total PoP ]]</f>
        <v>0</v>
      </c>
      <c r="CT22" s="600">
        <f>IF(WWWW[[#This Row],[Total required water points]]-WWWW[[#This Row],['#Water points coverage]]&lt;0,0,WWWW[[#This Row],[Total required water points]]-WWWW[[#This Row],['#Water points coverage]])</f>
        <v>0.84399999999999997</v>
      </c>
      <c r="CU22" s="600">
        <f>ROUND(IF(WWWW[[#This Row],[Total PoP ]]&lt;500,1,WWWW[[#This Row],[Total PoP ]]/500),0)</f>
        <v>1</v>
      </c>
      <c r="CV22" s="600">
        <f>(WWWW[[#This Row],['#_Constructed latrines_by_WASHAgencies]]+WWWW[[#This Row],['#_Non Cluster partner latrines]])-WWWW[[#This Row],['#_Non-functional latrines]]</f>
        <v>2</v>
      </c>
      <c r="CW22" s="70">
        <f>WWWW[[#This Row],[HRP2]]/WWWW[[#This Row],[Total PoP ]]</f>
        <v>0.51282051282051277</v>
      </c>
      <c r="CX2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 s="600">
        <f>IF(WWWW[[#This Row],['# of functional latrines in THF supported by WASH partners during the reporting period2]]="",0,WWWW[[#This Row],['# of functional latrines in THF supported by WASH partners during the reporting period2]]*50)</f>
        <v>0</v>
      </c>
      <c r="DB22" s="600">
        <f>WWWW[[#This Row],['# students access to functioning school latrines_HRP5]]+WWWW[[#This Row],['# People access to functioning latrines in THF_HRP5]]</f>
        <v>0</v>
      </c>
      <c r="DC22" s="600">
        <f>ROUND(IF(WWWW[[#This Row],[Location Type 1]]="camp",WWWW[[#This Row],[Total PoP ]]/20,IF(WWWW[[#This Row],[Location Type 1]]="Temporary Location",WWWW[[#This Row],[Total PoP ]]/50,WWWW[[#This Row],[Total HH]])),0)</f>
        <v>4</v>
      </c>
      <c r="DD22" s="600">
        <f>IF(WWWW[[#This Row],[Total required Latrines]]-(WWWW[[#This Row],['#_Constructed latrines_by_WASHAgencies]]+WWWW[[#This Row],['#_Non Cluster partner latrines]])&lt;0,0,WWWW[[#This Row],[Total required Latrines]]-(WWWW[[#This Row],['#_Constructed latrines_by_WASHAgencies]]+WWWW[[#This Row],['#_Non Cluster partner latrines]]))</f>
        <v>2</v>
      </c>
      <c r="DE22" s="602">
        <f>1-WWWW[[#This Row],[% people access to functioning Latrine]]</f>
        <v>0.48717948717948723</v>
      </c>
      <c r="DF22" s="601">
        <f>IF(OR(WWWW[[#This Row],['#_Non-functional latrines]]="",WWWW[[#This Row],['#_Non-functional latrines]]=0),0,WWWW[[#This Row],['#_Non-functional latrines]]/(WWWW[[#This Row],['#_Constructed latrines_by_WASHAgencies]]+WWWW[[#This Row],['#_Non Cluster partner latrines]]))</f>
        <v>0</v>
      </c>
      <c r="DG22" s="597">
        <f>IF(500*(WWWW[[#This Row],['#_male hygiene promoters]]+WWWW[[#This Row],['#_female hygiene promoters]])&gt;WWWW[[#This Row],[Total PoP ]],WWWW[[#This Row],[Total PoP ]],500*(WWWW[[#This Row],['#_male hygiene promoters]]+WWWW[[#This Row],['#_female hygiene promoters]]))</f>
        <v>78</v>
      </c>
      <c r="DH2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 s="600">
        <f>IF(WWWW[[#This Row],['# People with access to soap]]&gt;WWWW[[#This Row],['# People with access to Sanity Pads]],WWWW[[#This Row],['# People with access to soap]],WWWW[[#This Row],['# People with access to Sanity Pads]])</f>
        <v>0</v>
      </c>
      <c r="DK22" s="600">
        <f>IF(WWWW[[#This Row],['# people reached by regular dedicated hygiene promotion_5]]&gt;WWWW[[#This Row],['# People received regular supply of hygiene items_6]],WWWW[[#This Row],['# people reached by regular dedicated hygiene promotion_5]],WWWW[[#This Row],['# People received regular supply of hygiene items_6]])</f>
        <v>78</v>
      </c>
      <c r="DL22" s="602">
        <f>IF(WWWW[[#This Row],[HRP3]]/WWWW[[#This Row],[Total PoP ]]&gt;1,1,WWWW[[#This Row],[HRP3]]/WWWW[[#This Row],[Total PoP ]])</f>
        <v>1</v>
      </c>
      <c r="DM22" s="601">
        <f>1-WWWW[[#This Row],[Hygiene Coverage%]]</f>
        <v>0</v>
      </c>
      <c r="DN22" s="599">
        <f>WWWW[[#This Row],['# people reached by regular dedicated hygiene promotion_5]]/WWWW[[#This Row],[Total PoP ]]</f>
        <v>1</v>
      </c>
      <c r="DO2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 s="600">
        <f>WWWW[[#This Row],['#_Constructed/Existing hand washing stations]]-WWWW[[#This Row],['#_Non-Functional_hand_washing_stations]]</f>
        <v>2</v>
      </c>
      <c r="DR22" s="597">
        <f>IF(WWWW[[#This Row],['# Functional hand washing stations during reporting period]]*20&gt;WWWW[[#This Row],[Total HH]],WWWW[[#This Row],[Total HH]],WWWW[[#This Row],['# Functional hand washing stations during reporting period]]*20)</f>
        <v>16</v>
      </c>
      <c r="DS22" s="597">
        <f>IF(WWWW[[#This Row],[Is sufficient soap available for TLS? (Yes/No)]]="yes",WWWW[[#This Row],['#_Constructed/Existing hand washing stations at TLS]],0)</f>
        <v>0</v>
      </c>
      <c r="DT22" s="479">
        <f>IF(WWWW[[#This Row],['# Functional hand washing stations during reporting period]]*100&gt;WWWW[[#This Row],[Total PoP ]],WWWW[[#This Row],[Total PoP ]],WWWW[[#This Row],['# Functional hand washing stations during reporting period]]*100)</f>
        <v>78</v>
      </c>
      <c r="DU22" s="479" t="str">
        <f>IF(OR(WWWW[[#This Row],['#_students at TLS_CFS]]="",WWWW[[#This Row],['#_students at TLS_CFS]]=0),"No","Yes")</f>
        <v>No</v>
      </c>
      <c r="DV2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 s="593" t="str">
        <f>VLOOKUP(WWWW[[#This Row],[Site Name]],SiteDB6[[Site Name]:[CCCM Management]],6,FALSE)</f>
        <v>Yes</v>
      </c>
      <c r="DZ22" s="593" t="str">
        <f>VLOOKUP(WWWW[[#This Row],[Site Name]],SiteDB6[[Site Name]:[CCCM Focal Agency]],7,FALSE)</f>
        <v>KBC-MYT</v>
      </c>
      <c r="EA22" s="593" t="str">
        <f>VLOOKUP(WWWW[[#This Row],[Site Name]],SiteDB6[[Site Name]:[Location Type 1]],9,FALSE)</f>
        <v>Camp</v>
      </c>
      <c r="EB22" s="593" t="str">
        <f>VLOOKUP(WWWW[[#This Row],[Site Name]],SiteDB6[[Site Name]:[Type of Accommodation]],10,FALSE)</f>
        <v>Camp</v>
      </c>
      <c r="EC22" s="593" t="str">
        <f>VLOOKUP(WWWW[[#This Row],[Site Name]],SiteDB6[[Site Name]:[Ethnic or GCA/NGCA]],11,FALSE)</f>
        <v>GCA</v>
      </c>
      <c r="ED22" s="593">
        <f>VLOOKUP(WWWW[[#This Row],[Site Name]],SiteDB6[[Site Name]:[Lat]],12,FALSE)</f>
        <v>25.296579999999999</v>
      </c>
      <c r="EE22" s="593">
        <f>VLOOKUP(WWWW[[#This Row],[Site Name]],SiteDB6[[Site Name]:[Long]],13,FALSE)</f>
        <v>96.942279999999997</v>
      </c>
      <c r="EF22" s="593" t="str">
        <f>VLOOKUP(WWWW[[#This Row],[Site Name]],SiteDB6[[Site Name]:[Pcode]],3,FALSE)</f>
        <v>MMR001CMP077</v>
      </c>
      <c r="EG22" s="598" t="str">
        <f t="shared" si="0"/>
        <v>Covered</v>
      </c>
      <c r="EH22" s="598" t="str">
        <f>VLOOKUP(WWWW[[#This Row],[Site Name]],SiteDB6[[Site Name]:[open in cccm?]],2,FALSE)</f>
        <v>cccm_2019OCT</v>
      </c>
    </row>
    <row r="23" spans="1:138" hidden="1">
      <c r="A23" s="591" t="s">
        <v>3261</v>
      </c>
      <c r="B23" s="591" t="s">
        <v>144</v>
      </c>
      <c r="C23" s="592" t="s">
        <v>144</v>
      </c>
      <c r="D23" s="404" t="s">
        <v>3277</v>
      </c>
      <c r="E23" s="592" t="s">
        <v>39</v>
      </c>
      <c r="F23" s="592" t="s">
        <v>145</v>
      </c>
      <c r="G23" s="721" t="str">
        <f>VLOOKUP(WWWW[[#This Row],[Site Name]],SiteDB6[[Site Name]:[Location Type]],8,FALSE)</f>
        <v>Camp</v>
      </c>
      <c r="H23" s="592" t="s">
        <v>179</v>
      </c>
      <c r="I23" s="594">
        <v>28</v>
      </c>
      <c r="J23" s="594">
        <v>159</v>
      </c>
      <c r="K23" s="717" t="s">
        <v>3278</v>
      </c>
      <c r="L23" s="718" t="s">
        <v>3279</v>
      </c>
      <c r="M23" s="594"/>
      <c r="N23" s="594"/>
      <c r="O23" s="594"/>
      <c r="P23" s="594"/>
      <c r="Q23" s="597" t="s">
        <v>43</v>
      </c>
      <c r="R23" s="594"/>
      <c r="S23" s="594">
        <v>4</v>
      </c>
      <c r="T23" s="523">
        <v>2</v>
      </c>
      <c r="U23" s="594"/>
      <c r="V23" s="594"/>
      <c r="W23" s="594">
        <v>1</v>
      </c>
      <c r="X23" s="594"/>
      <c r="Y23" s="594"/>
      <c r="Z23" s="594"/>
      <c r="AA23" s="594">
        <v>0</v>
      </c>
      <c r="AB23" s="594"/>
      <c r="AC23" s="594"/>
      <c r="AD23" s="594"/>
      <c r="AE23" s="594"/>
      <c r="AF23" s="594"/>
      <c r="AG23" s="594"/>
      <c r="AH23" s="594">
        <v>3</v>
      </c>
      <c r="AI23" s="594"/>
      <c r="AJ23" s="594"/>
      <c r="AK23" s="594"/>
      <c r="AL23" s="594"/>
      <c r="AM23" s="594"/>
      <c r="AN23" s="594"/>
      <c r="AO23" s="598"/>
      <c r="AP23" s="594">
        <v>6</v>
      </c>
      <c r="AQ23" s="594"/>
      <c r="AR23" s="599"/>
      <c r="AS23" s="594"/>
      <c r="AT23" s="594"/>
      <c r="AU23" s="594"/>
      <c r="AV23" s="594"/>
      <c r="AW23" s="594">
        <v>6</v>
      </c>
      <c r="AX23" s="593" t="s">
        <v>43</v>
      </c>
      <c r="AY23" s="598" t="s">
        <v>140</v>
      </c>
      <c r="AZ23" s="594"/>
      <c r="BA23" s="594"/>
      <c r="BB23" s="594"/>
      <c r="BC23" s="594"/>
      <c r="BD23" s="523"/>
      <c r="BE23" s="593"/>
      <c r="BF23" s="594">
        <v>2</v>
      </c>
      <c r="BG23" s="594"/>
      <c r="BH23" s="594"/>
      <c r="BI23" s="594">
        <v>3</v>
      </c>
      <c r="BJ23" s="594"/>
      <c r="BK23" s="594"/>
      <c r="BL23" s="594">
        <v>1</v>
      </c>
      <c r="BM23" s="594"/>
      <c r="BN23" s="594"/>
      <c r="BO23" s="593"/>
      <c r="BP23" s="594"/>
      <c r="BQ23" s="599"/>
      <c r="BR23" s="593"/>
      <c r="BS23" s="472"/>
      <c r="BT23" s="472"/>
      <c r="BU23" s="523"/>
      <c r="BV23" s="472"/>
      <c r="BW23" s="523"/>
      <c r="BX23" s="523"/>
      <c r="BY23" s="523"/>
      <c r="BZ23" s="601" t="str">
        <f>IFERROR(WWWW[[#This Row],['#_Water sources passed]]/WWWW[[#This Row],['#_Water sources tested for fecal coliform ]],"no test")</f>
        <v>no test</v>
      </c>
      <c r="CA23" s="599" t="str">
        <f>IFERROR(WWWW[[#This Row],['#_Household passed]]/WWWW[[#This Row],['#_Household water samples tested for fecal coliform]],"no test")</f>
        <v>no test</v>
      </c>
      <c r="CB23" s="600" t="str">
        <f>IF(AND(WWWW[[#This Row],[% of water sources passed]]="no test",WWWW[[#This Row],[% Household passed]]="no test"),"No Test","Tested")</f>
        <v>No Test</v>
      </c>
      <c r="CC23" s="600">
        <f>WWWW[[#This Row],['#_Constructed/existing protected hand dug well]]-WWWW[[#This Row],['#_Non-functional protected hand dug well]]</f>
        <v>2</v>
      </c>
      <c r="CD23" s="600">
        <f>(WWWW[[#This Row],['#_Constructed/Existing tube wells/boreholes/handpumps_WASH_agency]]+WWWW[[#This Row],['#_Non-Cluster partner water tube-wells/boreholes/handpumps]])-WWWW[[#This Row],['#_Non-functional tube wells/boreholes/handpumps]]</f>
        <v>1</v>
      </c>
      <c r="CE23" s="600">
        <f>WWWW[[#This Row],['#_Constructed/Existingwater storage tank with gravity fed reticulation system]]-WWWW[[#This Row],['#_Non-functional storage tank gravity fed reticulation system]]</f>
        <v>0</v>
      </c>
      <c r="CF23" s="478">
        <f>(WWWW[[#This Row],['#_Water_Liters_supplied_by_Water boating or water trucking]]/90)/15</f>
        <v>0</v>
      </c>
      <c r="CG23" s="478">
        <f>WWWW[[#This Row],['#_Water_Liters_from_Constructed/Existing water distribution system from river or natural spring]]/90/15</f>
        <v>0</v>
      </c>
      <c r="CH23" s="478">
        <f>WWWW[[#This Row],['#_of water points in TLS/CFS /THF]]*500</f>
        <v>0</v>
      </c>
      <c r="CI2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 s="599">
        <f>IF(WWWW[[#This Row],[Location Type 1]]="Village",WWWW[[#This Row],[Access to safe drinking water for Village]],WWWW[[#This Row],[Access to safe drinking water for Camp]])</f>
        <v>1</v>
      </c>
      <c r="CL23" s="597">
        <f>WWWW[[#This Row],[%Equitable and continuous access to sufficient quantity of safe drinking water]]*WWWW[[#This Row],[Total PoP ]]</f>
        <v>159</v>
      </c>
      <c r="CM23" s="599">
        <f>IF((WWWW[[#This Row],['#_Constructed/Existing protected/fenced ponds]]*250)/WWWW[[#This Row],[Total PoP ]]&gt;1,1,(WWWW[[#This Row],['#_Constructed/Existing protected/fenced ponds]]*250)/WWWW[[#This Row],[Total PoP ]])</f>
        <v>0</v>
      </c>
      <c r="CN23" s="597">
        <f>WWWW[[#This Row],[% Access to unimproved water points]]*WWWW[[#This Row],[Total PoP ]]</f>
        <v>0</v>
      </c>
      <c r="CO2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Q23" s="597">
        <f>WWWW[[#This Row],[HRP1]]/500</f>
        <v>0.318</v>
      </c>
      <c r="CR23" s="602">
        <f>1-WWWW[[#This Row],[% Equitable and continuous access to sufficient quantity of domestic water]]</f>
        <v>0</v>
      </c>
      <c r="CS23" s="597">
        <f>WWWW[[#This Row],[%equitable and continuous access to sufficient quantity of safe drinking and domestic water''s GAP]]*WWWW[[#This Row],[Total PoP ]]</f>
        <v>0</v>
      </c>
      <c r="CT23" s="600">
        <f>IF(WWWW[[#This Row],[Total required water points]]-WWWW[[#This Row],['#Water points coverage]]&lt;0,0,WWWW[[#This Row],[Total required water points]]-WWWW[[#This Row],['#Water points coverage]])</f>
        <v>0.68199999999999994</v>
      </c>
      <c r="CU23" s="600">
        <f>ROUND(IF(WWWW[[#This Row],[Total PoP ]]&lt;500,1,WWWW[[#This Row],[Total PoP ]]/500),0)</f>
        <v>1</v>
      </c>
      <c r="CV23" s="600">
        <f>(WWWW[[#This Row],['#_Constructed latrines_by_WASHAgencies]]+WWWW[[#This Row],['#_Non Cluster partner latrines]])-WWWW[[#This Row],['#_Non-functional latrines]]</f>
        <v>6</v>
      </c>
      <c r="CW23" s="70">
        <f>WWWW[[#This Row],[HRP2]]/WWWW[[#This Row],[Total PoP ]]</f>
        <v>0.75471698113207553</v>
      </c>
      <c r="CX2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2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 s="600">
        <f>IF(WWWW[[#This Row],['# of functional latrines in THF supported by WASH partners during the reporting period2]]="",0,WWWW[[#This Row],['# of functional latrines in THF supported by WASH partners during the reporting period2]]*50)</f>
        <v>0</v>
      </c>
      <c r="DB23" s="600">
        <f>WWWW[[#This Row],['# students access to functioning school latrines_HRP5]]+WWWW[[#This Row],['# People access to functioning latrines in THF_HRP5]]</f>
        <v>0</v>
      </c>
      <c r="DC23" s="600">
        <f>ROUND(IF(WWWW[[#This Row],[Location Type 1]]="camp",WWWW[[#This Row],[Total PoP ]]/20,IF(WWWW[[#This Row],[Location Type 1]]="Temporary Location",WWWW[[#This Row],[Total PoP ]]/50,WWWW[[#This Row],[Total HH]])),0)</f>
        <v>8</v>
      </c>
      <c r="DD23" s="600">
        <f>IF(WWWW[[#This Row],[Total required Latrines]]-(WWWW[[#This Row],['#_Constructed latrines_by_WASHAgencies]]+WWWW[[#This Row],['#_Non Cluster partner latrines]])&lt;0,0,WWWW[[#This Row],[Total required Latrines]]-(WWWW[[#This Row],['#_Constructed latrines_by_WASHAgencies]]+WWWW[[#This Row],['#_Non Cluster partner latrines]]))</f>
        <v>2</v>
      </c>
      <c r="DE23" s="602">
        <f>1-WWWW[[#This Row],[% people access to functioning Latrine]]</f>
        <v>0.24528301886792447</v>
      </c>
      <c r="DF23" s="601">
        <f>IF(OR(WWWW[[#This Row],['#_Non-functional latrines]]="",WWWW[[#This Row],['#_Non-functional latrines]]=0),0,WWWW[[#This Row],['#_Non-functional latrines]]/(WWWW[[#This Row],['#_Constructed latrines_by_WASHAgencies]]+WWWW[[#This Row],['#_Non Cluster partner latrines]]))</f>
        <v>0</v>
      </c>
      <c r="DG23" s="597">
        <f>IF(500*(WWWW[[#This Row],['#_male hygiene promoters]]+WWWW[[#This Row],['#_female hygiene promoters]])&gt;WWWW[[#This Row],[Total PoP ]],WWWW[[#This Row],[Total PoP ]],500*(WWWW[[#This Row],['#_male hygiene promoters]]+WWWW[[#This Row],['#_female hygiene promoters]]))</f>
        <v>159</v>
      </c>
      <c r="DH2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 s="600">
        <f>IF(WWWW[[#This Row],['# People with access to soap]]&gt;WWWW[[#This Row],['# People with access to Sanity Pads]],WWWW[[#This Row],['# People with access to soap]],WWWW[[#This Row],['# People with access to Sanity Pads]])</f>
        <v>0</v>
      </c>
      <c r="DK23" s="600">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L23" s="602">
        <f>IF(WWWW[[#This Row],[HRP3]]/WWWW[[#This Row],[Total PoP ]]&gt;1,1,WWWW[[#This Row],[HRP3]]/WWWW[[#This Row],[Total PoP ]])</f>
        <v>1</v>
      </c>
      <c r="DM23" s="601">
        <f>1-WWWW[[#This Row],[Hygiene Coverage%]]</f>
        <v>0</v>
      </c>
      <c r="DN23" s="599">
        <f>WWWW[[#This Row],['# people reached by regular dedicated hygiene promotion_5]]/WWWW[[#This Row],[Total PoP ]]</f>
        <v>1</v>
      </c>
      <c r="DO2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 s="600">
        <f>WWWW[[#This Row],['#_Constructed/Existing hand washing stations]]-WWWW[[#This Row],['#_Non-Functional_hand_washing_stations]]</f>
        <v>2</v>
      </c>
      <c r="DR23" s="597">
        <f>IF(WWWW[[#This Row],['# Functional hand washing stations during reporting period]]*20&gt;WWWW[[#This Row],[Total HH]],WWWW[[#This Row],[Total HH]],WWWW[[#This Row],['# Functional hand washing stations during reporting period]]*20)</f>
        <v>28</v>
      </c>
      <c r="DS23" s="597">
        <f>IF(WWWW[[#This Row],[Is sufficient soap available for TLS? (Yes/No)]]="yes",WWWW[[#This Row],['#_Constructed/Existing hand washing stations at TLS]],0)</f>
        <v>0</v>
      </c>
      <c r="DT23" s="479">
        <f>IF(WWWW[[#This Row],['# Functional hand washing stations during reporting period]]*100&gt;WWWW[[#This Row],[Total PoP ]],WWWW[[#This Row],[Total PoP ]],WWWW[[#This Row],['# Functional hand washing stations during reporting period]]*100)</f>
        <v>159</v>
      </c>
      <c r="DU23" s="479" t="str">
        <f>IF(OR(WWWW[[#This Row],['#_students at TLS_CFS]]="",WWWW[[#This Row],['#_students at TLS_CFS]]=0),"No","Yes")</f>
        <v>No</v>
      </c>
      <c r="DV2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 s="593" t="str">
        <f>VLOOKUP(WWWW[[#This Row],[Site Name]],SiteDB6[[Site Name]:[CCCM Management]],6,FALSE)</f>
        <v>Yes</v>
      </c>
      <c r="DZ23" s="593" t="str">
        <f>VLOOKUP(WWWW[[#This Row],[Site Name]],SiteDB6[[Site Name]:[CCCM Focal Agency]],7,FALSE)</f>
        <v>KBC-MYT</v>
      </c>
      <c r="EA23" s="593" t="str">
        <f>VLOOKUP(WWWW[[#This Row],[Site Name]],SiteDB6[[Site Name]:[Location Type 1]],9,FALSE)</f>
        <v>Camp</v>
      </c>
      <c r="EB23" s="593" t="str">
        <f>VLOOKUP(WWWW[[#This Row],[Site Name]],SiteDB6[[Site Name]:[Type of Accommodation]],10,FALSE)</f>
        <v>Camp</v>
      </c>
      <c r="EC23" s="593" t="str">
        <f>VLOOKUP(WWWW[[#This Row],[Site Name]],SiteDB6[[Site Name]:[Ethnic or GCA/NGCA]],11,FALSE)</f>
        <v>GCA</v>
      </c>
      <c r="ED23" s="593">
        <f>VLOOKUP(WWWW[[#This Row],[Site Name]],SiteDB6[[Site Name]:[Lat]],12,FALSE)</f>
        <v>25.356632000000001</v>
      </c>
      <c r="EE23" s="593">
        <f>VLOOKUP(WWWW[[#This Row],[Site Name]],SiteDB6[[Site Name]:[Long]],13,FALSE)</f>
        <v>97.451965000000001</v>
      </c>
      <c r="EF23" s="593" t="str">
        <f>VLOOKUP(WWWW[[#This Row],[Site Name]],SiteDB6[[Site Name]:[Pcode]],3,FALSE)</f>
        <v>MMR001CMP027</v>
      </c>
      <c r="EG23" s="598" t="str">
        <f t="shared" si="0"/>
        <v>Covered</v>
      </c>
      <c r="EH23" s="598" t="str">
        <f>VLOOKUP(WWWW[[#This Row],[Site Name]],SiteDB6[[Site Name]:[open in cccm?]],2,FALSE)</f>
        <v>cccm_2019OCT</v>
      </c>
    </row>
    <row r="24" spans="1:138" hidden="1">
      <c r="A24" s="591" t="s">
        <v>3261</v>
      </c>
      <c r="B24" s="591" t="s">
        <v>144</v>
      </c>
      <c r="C24" s="592" t="s">
        <v>144</v>
      </c>
      <c r="D24" s="404" t="s">
        <v>3277</v>
      </c>
      <c r="E24" s="592" t="s">
        <v>39</v>
      </c>
      <c r="F24" s="592" t="s">
        <v>145</v>
      </c>
      <c r="G24" s="721" t="str">
        <f>VLOOKUP(WWWW[[#This Row],[Site Name]],SiteDB6[[Site Name]:[Location Type]],8,FALSE)</f>
        <v>Camp</v>
      </c>
      <c r="H24" s="592" t="s">
        <v>181</v>
      </c>
      <c r="I24" s="594">
        <v>494</v>
      </c>
      <c r="J24" s="594">
        <v>2500</v>
      </c>
      <c r="K24" s="717" t="s">
        <v>3278</v>
      </c>
      <c r="L24" s="718" t="s">
        <v>3279</v>
      </c>
      <c r="M24" s="594"/>
      <c r="N24" s="594"/>
      <c r="O24" s="594"/>
      <c r="P24" s="594"/>
      <c r="Q24" s="597" t="s">
        <v>43</v>
      </c>
      <c r="R24" s="594"/>
      <c r="S24" s="594">
        <v>5</v>
      </c>
      <c r="T24" s="523">
        <v>9</v>
      </c>
      <c r="U24" s="594"/>
      <c r="V24" s="594"/>
      <c r="W24" s="594">
        <v>2</v>
      </c>
      <c r="X24" s="594"/>
      <c r="Y24" s="594"/>
      <c r="Z24" s="594"/>
      <c r="AA24" s="594"/>
      <c r="AB24" s="594"/>
      <c r="AC24" s="594"/>
      <c r="AD24" s="720">
        <f>450*20</f>
        <v>9000</v>
      </c>
      <c r="AE24" s="594"/>
      <c r="AF24" s="594"/>
      <c r="AG24" s="594"/>
      <c r="AH24" s="594">
        <v>9</v>
      </c>
      <c r="AI24" s="594"/>
      <c r="AJ24" s="594"/>
      <c r="AK24" s="594"/>
      <c r="AL24" s="594"/>
      <c r="AM24" s="594"/>
      <c r="AN24" s="594"/>
      <c r="AO24" s="598"/>
      <c r="AP24" s="594">
        <v>130</v>
      </c>
      <c r="AQ24" s="594"/>
      <c r="AR24" s="599"/>
      <c r="AS24" s="594"/>
      <c r="AT24" s="594"/>
      <c r="AU24" s="594"/>
      <c r="AV24" s="594"/>
      <c r="AW24" s="594">
        <v>130</v>
      </c>
      <c r="AX24" s="593" t="s">
        <v>43</v>
      </c>
      <c r="AY24" s="598" t="s">
        <v>140</v>
      </c>
      <c r="AZ24" s="594"/>
      <c r="BA24" s="594"/>
      <c r="BB24" s="594"/>
      <c r="BC24" s="594"/>
      <c r="BD24" s="523"/>
      <c r="BE24" s="593"/>
      <c r="BF24" s="594">
        <v>2</v>
      </c>
      <c r="BG24" s="594"/>
      <c r="BH24" s="594"/>
      <c r="BI24" s="594">
        <v>6</v>
      </c>
      <c r="BJ24" s="594"/>
      <c r="BK24" s="594"/>
      <c r="BL24" s="594">
        <v>5</v>
      </c>
      <c r="BM24" s="594"/>
      <c r="BN24" s="594"/>
      <c r="BO24" s="593"/>
      <c r="BP24" s="594"/>
      <c r="BQ24" s="599"/>
      <c r="BR24" s="593"/>
      <c r="BS24" s="472"/>
      <c r="BT24" s="472"/>
      <c r="BU24" s="523"/>
      <c r="BV24" s="472"/>
      <c r="BW24" s="523"/>
      <c r="BX24" s="523"/>
      <c r="BY24" s="523"/>
      <c r="BZ24" s="601" t="str">
        <f>IFERROR(WWWW[[#This Row],['#_Water sources passed]]/WWWW[[#This Row],['#_Water sources tested for fecal coliform ]],"no test")</f>
        <v>no test</v>
      </c>
      <c r="CA24" s="599" t="str">
        <f>IFERROR(WWWW[[#This Row],['#_Household passed]]/WWWW[[#This Row],['#_Household water samples tested for fecal coliform]],"no test")</f>
        <v>no test</v>
      </c>
      <c r="CB24" s="600" t="str">
        <f>IF(AND(WWWW[[#This Row],[% of water sources passed]]="no test",WWWW[[#This Row],[% Household passed]]="no test"),"No Test","Tested")</f>
        <v>No Test</v>
      </c>
      <c r="CC24" s="600">
        <f>WWWW[[#This Row],['#_Constructed/existing protected hand dug well]]-WWWW[[#This Row],['#_Non-functional protected hand dug well]]</f>
        <v>9</v>
      </c>
      <c r="CD24" s="600">
        <f>(WWWW[[#This Row],['#_Constructed/Existing tube wells/boreholes/handpumps_WASH_agency]]+WWWW[[#This Row],['#_Non-Cluster partner water tube-wells/boreholes/handpumps]])-WWWW[[#This Row],['#_Non-functional tube wells/boreholes/handpumps]]</f>
        <v>2</v>
      </c>
      <c r="CE24" s="600">
        <f>WWWW[[#This Row],['#_Constructed/Existingwater storage tank with gravity fed reticulation system]]-WWWW[[#This Row],['#_Non-functional storage tank gravity fed reticulation system]]</f>
        <v>0</v>
      </c>
      <c r="CF24" s="478">
        <f>(WWWW[[#This Row],['#_Water_Liters_supplied_by_Water boating or water trucking]]/90)/15</f>
        <v>6.666666666666667</v>
      </c>
      <c r="CG24" s="478">
        <f>WWWW[[#This Row],['#_Water_Liters_from_Constructed/Existing water distribution system from river or natural spring]]/90/15</f>
        <v>0</v>
      </c>
      <c r="CH24" s="478">
        <f>WWWW[[#This Row],['#_of water points in TLS/CFS /THF]]*500</f>
        <v>0</v>
      </c>
      <c r="CI2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 s="599">
        <f>IF(WWWW[[#This Row],[Location Type 1]]="Village",WWWW[[#This Row],[Access to safe drinking water for Village]],WWWW[[#This Row],[Access to safe drinking water for Camp]])</f>
        <v>1</v>
      </c>
      <c r="CL24" s="597">
        <f>WWWW[[#This Row],[%Equitable and continuous access to sufficient quantity of safe drinking water]]*WWWW[[#This Row],[Total PoP ]]</f>
        <v>2500</v>
      </c>
      <c r="CM24" s="599">
        <f>IF((WWWW[[#This Row],['#_Constructed/Existing protected/fenced ponds]]*250)/WWWW[[#This Row],[Total PoP ]]&gt;1,1,(WWWW[[#This Row],['#_Constructed/Existing protected/fenced ponds]]*250)/WWWW[[#This Row],[Total PoP ]])</f>
        <v>0</v>
      </c>
      <c r="CN24" s="597">
        <f>WWWW[[#This Row],[% Access to unimproved water points]]*WWWW[[#This Row],[Total PoP ]]</f>
        <v>0</v>
      </c>
      <c r="CO2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Q24" s="597">
        <f>WWWW[[#This Row],[HRP1]]/500</f>
        <v>5</v>
      </c>
      <c r="CR24" s="602">
        <f>1-WWWW[[#This Row],[% Equitable and continuous access to sufficient quantity of domestic water]]</f>
        <v>0</v>
      </c>
      <c r="CS24" s="597">
        <f>WWWW[[#This Row],[%equitable and continuous access to sufficient quantity of safe drinking and domestic water''s GAP]]*WWWW[[#This Row],[Total PoP ]]</f>
        <v>0</v>
      </c>
      <c r="CT24" s="600">
        <f>IF(WWWW[[#This Row],[Total required water points]]-WWWW[[#This Row],['#Water points coverage]]&lt;0,0,WWWW[[#This Row],[Total required water points]]-WWWW[[#This Row],['#Water points coverage]])</f>
        <v>0</v>
      </c>
      <c r="CU24" s="600">
        <f>ROUND(IF(WWWW[[#This Row],[Total PoP ]]&lt;500,1,WWWW[[#This Row],[Total PoP ]]/500),0)</f>
        <v>5</v>
      </c>
      <c r="CV24" s="600">
        <f>(WWWW[[#This Row],['#_Constructed latrines_by_WASHAgencies]]+WWWW[[#This Row],['#_Non Cluster partner latrines]])-WWWW[[#This Row],['#_Non-functional latrines]]</f>
        <v>130</v>
      </c>
      <c r="CW24" s="70">
        <f>WWWW[[#This Row],[HRP2]]/WWWW[[#This Row],[Total PoP ]]</f>
        <v>1</v>
      </c>
      <c r="CX2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CY2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 s="600">
        <f>IF(WWWW[[#This Row],['# of functional latrines in THF supported by WASH partners during the reporting period2]]="",0,WWWW[[#This Row],['# of functional latrines in THF supported by WASH partners during the reporting period2]]*50)</f>
        <v>0</v>
      </c>
      <c r="DB24" s="600">
        <f>WWWW[[#This Row],['# students access to functioning school latrines_HRP5]]+WWWW[[#This Row],['# People access to functioning latrines in THF_HRP5]]</f>
        <v>0</v>
      </c>
      <c r="DC24" s="600">
        <f>ROUND(IF(WWWW[[#This Row],[Location Type 1]]="camp",WWWW[[#This Row],[Total PoP ]]/20,IF(WWWW[[#This Row],[Location Type 1]]="Temporary Location",WWWW[[#This Row],[Total PoP ]]/50,WWWW[[#This Row],[Total HH]])),0)</f>
        <v>125</v>
      </c>
      <c r="DD24" s="600">
        <f>IF(WWWW[[#This Row],[Total required Latrines]]-(WWWW[[#This Row],['#_Constructed latrines_by_WASHAgencies]]+WWWW[[#This Row],['#_Non Cluster partner latrines]])&lt;0,0,WWWW[[#This Row],[Total required Latrines]]-(WWWW[[#This Row],['#_Constructed latrines_by_WASHAgencies]]+WWWW[[#This Row],['#_Non Cluster partner latrines]]))</f>
        <v>0</v>
      </c>
      <c r="DE24" s="602">
        <f>1-WWWW[[#This Row],[% people access to functioning Latrine]]</f>
        <v>0</v>
      </c>
      <c r="DF24" s="601">
        <f>IF(OR(WWWW[[#This Row],['#_Non-functional latrines]]="",WWWW[[#This Row],['#_Non-functional latrines]]=0),0,WWWW[[#This Row],['#_Non-functional latrines]]/(WWWW[[#This Row],['#_Constructed latrines_by_WASHAgencies]]+WWWW[[#This Row],['#_Non Cluster partner latrines]]))</f>
        <v>0</v>
      </c>
      <c r="DG24" s="597">
        <f>IF(500*(WWWW[[#This Row],['#_male hygiene promoters]]+WWWW[[#This Row],['#_female hygiene promoters]])&gt;WWWW[[#This Row],[Total PoP ]],WWWW[[#This Row],[Total PoP ]],500*(WWWW[[#This Row],['#_male hygiene promoters]]+WWWW[[#This Row],['#_female hygiene promoters]]))</f>
        <v>2500</v>
      </c>
      <c r="DH2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 s="600">
        <f>IF(WWWW[[#This Row],['# People with access to soap]]&gt;WWWW[[#This Row],['# People with access to Sanity Pads]],WWWW[[#This Row],['# People with access to soap]],WWWW[[#This Row],['# People with access to Sanity Pads]])</f>
        <v>0</v>
      </c>
      <c r="DK24" s="600">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L24" s="602">
        <f>IF(WWWW[[#This Row],[HRP3]]/WWWW[[#This Row],[Total PoP ]]&gt;1,1,WWWW[[#This Row],[HRP3]]/WWWW[[#This Row],[Total PoP ]])</f>
        <v>1</v>
      </c>
      <c r="DM24" s="601">
        <f>1-WWWW[[#This Row],[Hygiene Coverage%]]</f>
        <v>0</v>
      </c>
      <c r="DN24" s="599">
        <f>WWWW[[#This Row],['# people reached by regular dedicated hygiene promotion_5]]/WWWW[[#This Row],[Total PoP ]]</f>
        <v>1</v>
      </c>
      <c r="DO2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 s="600">
        <f>WWWW[[#This Row],['#_Constructed/Existing hand washing stations]]-WWWW[[#This Row],['#_Non-Functional_hand_washing_stations]]</f>
        <v>2</v>
      </c>
      <c r="DR24" s="597">
        <f>IF(WWWW[[#This Row],['# Functional hand washing stations during reporting period]]*20&gt;WWWW[[#This Row],[Total HH]],WWWW[[#This Row],[Total HH]],WWWW[[#This Row],['# Functional hand washing stations during reporting period]]*20)</f>
        <v>40</v>
      </c>
      <c r="DS24" s="597">
        <f>IF(WWWW[[#This Row],[Is sufficient soap available for TLS? (Yes/No)]]="yes",WWWW[[#This Row],['#_Constructed/Existing hand washing stations at TLS]],0)</f>
        <v>0</v>
      </c>
      <c r="DT24" s="479">
        <f>IF(WWWW[[#This Row],['# Functional hand washing stations during reporting period]]*100&gt;WWWW[[#This Row],[Total PoP ]],WWWW[[#This Row],[Total PoP ]],WWWW[[#This Row],['# Functional hand washing stations during reporting period]]*100)</f>
        <v>200</v>
      </c>
      <c r="DU24" s="479" t="str">
        <f>IF(OR(WWWW[[#This Row],['#_students at TLS_CFS]]="",WWWW[[#This Row],['#_students at TLS_CFS]]=0),"No","Yes")</f>
        <v>No</v>
      </c>
      <c r="DV2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 s="593" t="str">
        <f>VLOOKUP(WWWW[[#This Row],[Site Name]],SiteDB6[[Site Name]:[CCCM Management]],6,FALSE)</f>
        <v>Yes</v>
      </c>
      <c r="DZ24" s="593" t="str">
        <f>VLOOKUP(WWWW[[#This Row],[Site Name]],SiteDB6[[Site Name]:[CCCM Focal Agency]],7,FALSE)</f>
        <v>KBC-MYT</v>
      </c>
      <c r="EA24" s="593" t="str">
        <f>VLOOKUP(WWWW[[#This Row],[Site Name]],SiteDB6[[Site Name]:[Location Type 1]],9,FALSE)</f>
        <v>Camp</v>
      </c>
      <c r="EB24" s="593" t="str">
        <f>VLOOKUP(WWWW[[#This Row],[Site Name]],SiteDB6[[Site Name]:[Type of Accommodation]],10,FALSE)</f>
        <v>Camp</v>
      </c>
      <c r="EC24" s="593" t="str">
        <f>VLOOKUP(WWWW[[#This Row],[Site Name]],SiteDB6[[Site Name]:[Ethnic or GCA/NGCA]],11,FALSE)</f>
        <v>GCA</v>
      </c>
      <c r="ED24" s="593">
        <f>VLOOKUP(WWWW[[#This Row],[Site Name]],SiteDB6[[Site Name]:[Lat]],12,FALSE)</f>
        <v>25.4118005797101</v>
      </c>
      <c r="EE24" s="593">
        <f>VLOOKUP(WWWW[[#This Row],[Site Name]],SiteDB6[[Site Name]:[Long]],13,FALSE)</f>
        <v>97.434855869565197</v>
      </c>
      <c r="EF24" s="593" t="str">
        <f>VLOOKUP(WWWW[[#This Row],[Site Name]],SiteDB6[[Site Name]:[Pcode]],3,FALSE)</f>
        <v>MMR001CMP040</v>
      </c>
      <c r="EG24" s="598" t="str">
        <f t="shared" si="0"/>
        <v>Covered</v>
      </c>
      <c r="EH24" s="598" t="str">
        <f>VLOOKUP(WWWW[[#This Row],[Site Name]],SiteDB6[[Site Name]:[open in cccm?]],2,FALSE)</f>
        <v>cccm_2019OCT</v>
      </c>
    </row>
    <row r="25" spans="1:138" hidden="1">
      <c r="A25" s="591" t="s">
        <v>3261</v>
      </c>
      <c r="B25" s="591" t="s">
        <v>144</v>
      </c>
      <c r="C25" s="592" t="s">
        <v>144</v>
      </c>
      <c r="D25" s="404" t="s">
        <v>3277</v>
      </c>
      <c r="E25" s="592" t="s">
        <v>39</v>
      </c>
      <c r="F25" s="592" t="s">
        <v>145</v>
      </c>
      <c r="G25" s="721" t="str">
        <f>VLOOKUP(WWWW[[#This Row],[Site Name]],SiteDB6[[Site Name]:[Location Type]],8,FALSE)</f>
        <v>Camp</v>
      </c>
      <c r="H25" s="592" t="s">
        <v>182</v>
      </c>
      <c r="I25" s="594">
        <v>43</v>
      </c>
      <c r="J25" s="594">
        <v>191</v>
      </c>
      <c r="K25" s="717" t="s">
        <v>3278</v>
      </c>
      <c r="L25" s="718" t="s">
        <v>3279</v>
      </c>
      <c r="M25" s="594"/>
      <c r="N25" s="594"/>
      <c r="O25" s="594"/>
      <c r="P25" s="594"/>
      <c r="Q25" s="597" t="s">
        <v>43</v>
      </c>
      <c r="R25" s="594"/>
      <c r="S25" s="594">
        <v>5</v>
      </c>
      <c r="T25" s="523">
        <v>1</v>
      </c>
      <c r="U25" s="594"/>
      <c r="V25" s="594"/>
      <c r="W25" s="594">
        <v>0</v>
      </c>
      <c r="X25" s="594"/>
      <c r="Y25" s="594"/>
      <c r="Z25" s="594"/>
      <c r="AA25" s="594"/>
      <c r="AB25" s="594"/>
      <c r="AC25" s="594"/>
      <c r="AD25" s="594"/>
      <c r="AE25" s="594"/>
      <c r="AF25" s="594"/>
      <c r="AG25" s="594"/>
      <c r="AH25" s="594">
        <v>2</v>
      </c>
      <c r="AI25" s="594"/>
      <c r="AJ25" s="594"/>
      <c r="AK25" s="594"/>
      <c r="AL25" s="594"/>
      <c r="AM25" s="594"/>
      <c r="AN25" s="594"/>
      <c r="AO25" s="598"/>
      <c r="AP25" s="594">
        <v>10</v>
      </c>
      <c r="AQ25" s="594"/>
      <c r="AR25" s="599"/>
      <c r="AS25" s="594"/>
      <c r="AT25" s="594"/>
      <c r="AU25" s="594"/>
      <c r="AV25" s="594"/>
      <c r="AW25" s="594">
        <v>10</v>
      </c>
      <c r="AX25" s="593" t="s">
        <v>43</v>
      </c>
      <c r="AY25" s="598" t="s">
        <v>140</v>
      </c>
      <c r="AZ25" s="594"/>
      <c r="BA25" s="594"/>
      <c r="BB25" s="594"/>
      <c r="BC25" s="594"/>
      <c r="BD25" s="523"/>
      <c r="BE25" s="593"/>
      <c r="BF25" s="594">
        <v>2</v>
      </c>
      <c r="BG25" s="594"/>
      <c r="BH25" s="594"/>
      <c r="BI25" s="594">
        <v>2</v>
      </c>
      <c r="BJ25" s="594"/>
      <c r="BK25" s="594"/>
      <c r="BL25" s="594">
        <v>1</v>
      </c>
      <c r="BM25" s="594"/>
      <c r="BN25" s="594"/>
      <c r="BO25" s="593"/>
      <c r="BP25" s="594"/>
      <c r="BQ25" s="599"/>
      <c r="BR25" s="593"/>
      <c r="BS25" s="472"/>
      <c r="BT25" s="472"/>
      <c r="BU25" s="523"/>
      <c r="BV25" s="472"/>
      <c r="BW25" s="523"/>
      <c r="BX25" s="523"/>
      <c r="BY25" s="523"/>
      <c r="BZ25" s="601" t="str">
        <f>IFERROR(WWWW[[#This Row],['#_Water sources passed]]/WWWW[[#This Row],['#_Water sources tested for fecal coliform ]],"no test")</f>
        <v>no test</v>
      </c>
      <c r="CA25" s="599" t="str">
        <f>IFERROR(WWWW[[#This Row],['#_Household passed]]/WWWW[[#This Row],['#_Household water samples tested for fecal coliform]],"no test")</f>
        <v>no test</v>
      </c>
      <c r="CB25" s="600" t="str">
        <f>IF(AND(WWWW[[#This Row],[% of water sources passed]]="no test",WWWW[[#This Row],[% Household passed]]="no test"),"No Test","Tested")</f>
        <v>No Test</v>
      </c>
      <c r="CC25" s="600">
        <f>WWWW[[#This Row],['#_Constructed/existing protected hand dug well]]-WWWW[[#This Row],['#_Non-functional protected hand dug well]]</f>
        <v>1</v>
      </c>
      <c r="CD25" s="600">
        <f>(WWWW[[#This Row],['#_Constructed/Existing tube wells/boreholes/handpumps_WASH_agency]]+WWWW[[#This Row],['#_Non-Cluster partner water tube-wells/boreholes/handpumps]])-WWWW[[#This Row],['#_Non-functional tube wells/boreholes/handpumps]]</f>
        <v>0</v>
      </c>
      <c r="CE25" s="600">
        <f>WWWW[[#This Row],['#_Constructed/Existingwater storage tank with gravity fed reticulation system]]-WWWW[[#This Row],['#_Non-functional storage tank gravity fed reticulation system]]</f>
        <v>0</v>
      </c>
      <c r="CF25" s="478">
        <f>(WWWW[[#This Row],['#_Water_Liters_supplied_by_Water boating or water trucking]]/90)/15</f>
        <v>0</v>
      </c>
      <c r="CG25" s="478">
        <f>WWWW[[#This Row],['#_Water_Liters_from_Constructed/Existing water distribution system from river or natural spring]]/90/15</f>
        <v>0</v>
      </c>
      <c r="CH25" s="478">
        <f>WWWW[[#This Row],['#_of water points in TLS/CFS /THF]]*500</f>
        <v>0</v>
      </c>
      <c r="CI2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 s="599">
        <f>IF(WWWW[[#This Row],[Location Type 1]]="Village",WWWW[[#This Row],[Access to safe drinking water for Village]],WWWW[[#This Row],[Access to safe drinking water for Camp]])</f>
        <v>1</v>
      </c>
      <c r="CL25" s="597">
        <f>WWWW[[#This Row],[%Equitable and continuous access to sufficient quantity of safe drinking water]]*WWWW[[#This Row],[Total PoP ]]</f>
        <v>191</v>
      </c>
      <c r="CM25" s="599">
        <f>IF((WWWW[[#This Row],['#_Constructed/Existing protected/fenced ponds]]*250)/WWWW[[#This Row],[Total PoP ]]&gt;1,1,(WWWW[[#This Row],['#_Constructed/Existing protected/fenced ponds]]*250)/WWWW[[#This Row],[Total PoP ]])</f>
        <v>0</v>
      </c>
      <c r="CN25" s="597">
        <f>WWWW[[#This Row],[% Access to unimproved water points]]*WWWW[[#This Row],[Total PoP ]]</f>
        <v>0</v>
      </c>
      <c r="CO2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Q25" s="597">
        <f>WWWW[[#This Row],[HRP1]]/500</f>
        <v>0.38200000000000001</v>
      </c>
      <c r="CR25" s="602">
        <f>1-WWWW[[#This Row],[% Equitable and continuous access to sufficient quantity of domestic water]]</f>
        <v>0</v>
      </c>
      <c r="CS25" s="597">
        <f>WWWW[[#This Row],[%equitable and continuous access to sufficient quantity of safe drinking and domestic water''s GAP]]*WWWW[[#This Row],[Total PoP ]]</f>
        <v>0</v>
      </c>
      <c r="CT25" s="600">
        <f>IF(WWWW[[#This Row],[Total required water points]]-WWWW[[#This Row],['#Water points coverage]]&lt;0,0,WWWW[[#This Row],[Total required water points]]-WWWW[[#This Row],['#Water points coverage]])</f>
        <v>0.61799999999999999</v>
      </c>
      <c r="CU25" s="600">
        <f>ROUND(IF(WWWW[[#This Row],[Total PoP ]]&lt;500,1,WWWW[[#This Row],[Total PoP ]]/500),0)</f>
        <v>1</v>
      </c>
      <c r="CV25" s="600">
        <f>(WWWW[[#This Row],['#_Constructed latrines_by_WASHAgencies]]+WWWW[[#This Row],['#_Non Cluster partner latrines]])-WWWW[[#This Row],['#_Non-functional latrines]]</f>
        <v>10</v>
      </c>
      <c r="CW25" s="70">
        <f>WWWW[[#This Row],[HRP2]]/WWWW[[#This Row],[Total PoP ]]</f>
        <v>1</v>
      </c>
      <c r="CX2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CY2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 s="600">
        <f>IF(WWWW[[#This Row],['# of functional latrines in THF supported by WASH partners during the reporting period2]]="",0,WWWW[[#This Row],['# of functional latrines in THF supported by WASH partners during the reporting period2]]*50)</f>
        <v>0</v>
      </c>
      <c r="DB25" s="600">
        <f>WWWW[[#This Row],['# students access to functioning school latrines_HRP5]]+WWWW[[#This Row],['# People access to functioning latrines in THF_HRP5]]</f>
        <v>0</v>
      </c>
      <c r="DC25" s="600">
        <f>ROUND(IF(WWWW[[#This Row],[Location Type 1]]="camp",WWWW[[#This Row],[Total PoP ]]/20,IF(WWWW[[#This Row],[Location Type 1]]="Temporary Location",WWWW[[#This Row],[Total PoP ]]/50,WWWW[[#This Row],[Total HH]])),0)</f>
        <v>10</v>
      </c>
      <c r="DD25" s="600">
        <f>IF(WWWW[[#This Row],[Total required Latrines]]-(WWWW[[#This Row],['#_Constructed latrines_by_WASHAgencies]]+WWWW[[#This Row],['#_Non Cluster partner latrines]])&lt;0,0,WWWW[[#This Row],[Total required Latrines]]-(WWWW[[#This Row],['#_Constructed latrines_by_WASHAgencies]]+WWWW[[#This Row],['#_Non Cluster partner latrines]]))</f>
        <v>0</v>
      </c>
      <c r="DE25" s="602">
        <f>1-WWWW[[#This Row],[% people access to functioning Latrine]]</f>
        <v>0</v>
      </c>
      <c r="DF25" s="601">
        <f>IF(OR(WWWW[[#This Row],['#_Non-functional latrines]]="",WWWW[[#This Row],['#_Non-functional latrines]]=0),0,WWWW[[#This Row],['#_Non-functional latrines]]/(WWWW[[#This Row],['#_Constructed latrines_by_WASHAgencies]]+WWWW[[#This Row],['#_Non Cluster partner latrines]]))</f>
        <v>0</v>
      </c>
      <c r="DG25" s="597">
        <f>IF(500*(WWWW[[#This Row],['#_male hygiene promoters]]+WWWW[[#This Row],['#_female hygiene promoters]])&gt;WWWW[[#This Row],[Total PoP ]],WWWW[[#This Row],[Total PoP ]],500*(WWWW[[#This Row],['#_male hygiene promoters]]+WWWW[[#This Row],['#_female hygiene promoters]]))</f>
        <v>191</v>
      </c>
      <c r="DH2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 s="600">
        <f>IF(WWWW[[#This Row],['# People with access to soap]]&gt;WWWW[[#This Row],['# People with access to Sanity Pads]],WWWW[[#This Row],['# People with access to soap]],WWWW[[#This Row],['# People with access to Sanity Pads]])</f>
        <v>0</v>
      </c>
      <c r="DK25" s="600">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L25" s="602">
        <f>IF(WWWW[[#This Row],[HRP3]]/WWWW[[#This Row],[Total PoP ]]&gt;1,1,WWWW[[#This Row],[HRP3]]/WWWW[[#This Row],[Total PoP ]])</f>
        <v>1</v>
      </c>
      <c r="DM25" s="601">
        <f>1-WWWW[[#This Row],[Hygiene Coverage%]]</f>
        <v>0</v>
      </c>
      <c r="DN25" s="599">
        <f>WWWW[[#This Row],['# people reached by regular dedicated hygiene promotion_5]]/WWWW[[#This Row],[Total PoP ]]</f>
        <v>1</v>
      </c>
      <c r="DO2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 s="600">
        <f>WWWW[[#This Row],['#_Constructed/Existing hand washing stations]]-WWWW[[#This Row],['#_Non-Functional_hand_washing_stations]]</f>
        <v>2</v>
      </c>
      <c r="DR25" s="597">
        <f>IF(WWWW[[#This Row],['# Functional hand washing stations during reporting period]]*20&gt;WWWW[[#This Row],[Total HH]],WWWW[[#This Row],[Total HH]],WWWW[[#This Row],['# Functional hand washing stations during reporting period]]*20)</f>
        <v>40</v>
      </c>
      <c r="DS25" s="597">
        <f>IF(WWWW[[#This Row],[Is sufficient soap available for TLS? (Yes/No)]]="yes",WWWW[[#This Row],['#_Constructed/Existing hand washing stations at TLS]],0)</f>
        <v>0</v>
      </c>
      <c r="DT25" s="479">
        <f>IF(WWWW[[#This Row],['# Functional hand washing stations during reporting period]]*100&gt;WWWW[[#This Row],[Total PoP ]],WWWW[[#This Row],[Total PoP ]],WWWW[[#This Row],['# Functional hand washing stations during reporting period]]*100)</f>
        <v>191</v>
      </c>
      <c r="DU25" s="479" t="str">
        <f>IF(OR(WWWW[[#This Row],['#_students at TLS_CFS]]="",WWWW[[#This Row],['#_students at TLS_CFS]]=0),"No","Yes")</f>
        <v>No</v>
      </c>
      <c r="DV2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 s="593" t="str">
        <f>VLOOKUP(WWWW[[#This Row],[Site Name]],SiteDB6[[Site Name]:[CCCM Management]],6,FALSE)</f>
        <v>Yes</v>
      </c>
      <c r="DZ25" s="593" t="str">
        <f>VLOOKUP(WWWW[[#This Row],[Site Name]],SiteDB6[[Site Name]:[CCCM Focal Agency]],7,FALSE)</f>
        <v>KBC-MYT</v>
      </c>
      <c r="EA25" s="593" t="str">
        <f>VLOOKUP(WWWW[[#This Row],[Site Name]],SiteDB6[[Site Name]:[Location Type 1]],9,FALSE)</f>
        <v>Camp</v>
      </c>
      <c r="EB25" s="593" t="str">
        <f>VLOOKUP(WWWW[[#This Row],[Site Name]],SiteDB6[[Site Name]:[Type of Accommodation]],10,FALSE)</f>
        <v>Camp</v>
      </c>
      <c r="EC25" s="593" t="str">
        <f>VLOOKUP(WWWW[[#This Row],[Site Name]],SiteDB6[[Site Name]:[Ethnic or GCA/NGCA]],11,FALSE)</f>
        <v>GCA</v>
      </c>
      <c r="ED25" s="593">
        <f>VLOOKUP(WWWW[[#This Row],[Site Name]],SiteDB6[[Site Name]:[Lat]],12,FALSE)</f>
        <v>25.409612685185198</v>
      </c>
      <c r="EE25" s="593">
        <f>VLOOKUP(WWWW[[#This Row],[Site Name]],SiteDB6[[Site Name]:[Long]],13,FALSE)</f>
        <v>97.426536944444507</v>
      </c>
      <c r="EF25" s="593" t="str">
        <f>VLOOKUP(WWWW[[#This Row],[Site Name]],SiteDB6[[Site Name]:[Pcode]],3,FALSE)</f>
        <v>MMR001CMP039</v>
      </c>
      <c r="EG25" s="598" t="str">
        <f t="shared" si="0"/>
        <v>Covered</v>
      </c>
      <c r="EH25" s="598" t="str">
        <f>VLOOKUP(WWWW[[#This Row],[Site Name]],SiteDB6[[Site Name]:[open in cccm?]],2,FALSE)</f>
        <v>cccm_2019OCT</v>
      </c>
    </row>
    <row r="26" spans="1:138" hidden="1">
      <c r="A26" s="591" t="s">
        <v>3261</v>
      </c>
      <c r="B26" s="591" t="s">
        <v>144</v>
      </c>
      <c r="C26" s="592" t="s">
        <v>144</v>
      </c>
      <c r="D26" s="592" t="s">
        <v>3277</v>
      </c>
      <c r="E26" s="592" t="s">
        <v>39</v>
      </c>
      <c r="F26" s="592" t="s">
        <v>40</v>
      </c>
      <c r="G26" s="721" t="str">
        <f>VLOOKUP(WWWW[[#This Row],[Site Name]],SiteDB6[[Site Name]:[Location Type]],8,FALSE)</f>
        <v>Camp</v>
      </c>
      <c r="H26" s="592" t="s">
        <v>186</v>
      </c>
      <c r="I26" s="594">
        <v>435</v>
      </c>
      <c r="J26" s="720">
        <v>1855</v>
      </c>
      <c r="K26" s="717" t="s">
        <v>3278</v>
      </c>
      <c r="L26" s="718" t="s">
        <v>3279</v>
      </c>
      <c r="M26" s="594"/>
      <c r="N26" s="594"/>
      <c r="O26" s="594"/>
      <c r="P26" s="594"/>
      <c r="Q26" s="597" t="s">
        <v>43</v>
      </c>
      <c r="R26" s="594"/>
      <c r="S26" s="594">
        <v>3</v>
      </c>
      <c r="T26" s="523">
        <v>0</v>
      </c>
      <c r="U26" s="594"/>
      <c r="V26" s="594"/>
      <c r="W26" s="594">
        <v>4</v>
      </c>
      <c r="X26" s="594"/>
      <c r="Y26" s="594"/>
      <c r="Z26" s="594"/>
      <c r="AA26" s="594"/>
      <c r="AB26" s="594"/>
      <c r="AC26" s="594"/>
      <c r="AD26" s="594"/>
      <c r="AE26" s="594"/>
      <c r="AF26" s="594"/>
      <c r="AG26" s="594"/>
      <c r="AH26" s="594"/>
      <c r="AI26" s="594"/>
      <c r="AJ26" s="594"/>
      <c r="AK26" s="594"/>
      <c r="AL26" s="594"/>
      <c r="AM26" s="594"/>
      <c r="AN26" s="594"/>
      <c r="AO26" s="598"/>
      <c r="AP26" s="594">
        <v>110</v>
      </c>
      <c r="AQ26" s="594"/>
      <c r="AR26" s="599"/>
      <c r="AS26" s="594"/>
      <c r="AT26" s="594"/>
      <c r="AU26" s="594"/>
      <c r="AV26" s="594"/>
      <c r="AW26" s="594">
        <v>110</v>
      </c>
      <c r="AX26" s="593" t="s">
        <v>43</v>
      </c>
      <c r="AY26" s="598" t="s">
        <v>140</v>
      </c>
      <c r="AZ26" s="594"/>
      <c r="BA26" s="594"/>
      <c r="BB26" s="594"/>
      <c r="BC26" s="594"/>
      <c r="BD26" s="523"/>
      <c r="BE26" s="593"/>
      <c r="BF26" s="594"/>
      <c r="BG26" s="594"/>
      <c r="BH26" s="594"/>
      <c r="BI26" s="594">
        <v>10</v>
      </c>
      <c r="BJ26" s="594"/>
      <c r="BK26" s="594"/>
      <c r="BL26" s="594">
        <v>6</v>
      </c>
      <c r="BM26" s="594"/>
      <c r="BN26" s="594"/>
      <c r="BO26" s="593"/>
      <c r="BP26" s="594"/>
      <c r="BQ26" s="599"/>
      <c r="BR26" s="593"/>
      <c r="BS26" s="472"/>
      <c r="BT26" s="472"/>
      <c r="BU26" s="523"/>
      <c r="BV26" s="472"/>
      <c r="BW26" s="523"/>
      <c r="BX26" s="523"/>
      <c r="BY26" s="523"/>
      <c r="BZ26" s="601" t="str">
        <f>IFERROR(WWWW[[#This Row],['#_Water sources passed]]/WWWW[[#This Row],['#_Water sources tested for fecal coliform ]],"no test")</f>
        <v>no test</v>
      </c>
      <c r="CA26" s="599" t="str">
        <f>IFERROR(WWWW[[#This Row],['#_Household passed]]/WWWW[[#This Row],['#_Household water samples tested for fecal coliform]],"no test")</f>
        <v>no test</v>
      </c>
      <c r="CB26" s="600" t="str">
        <f>IF(AND(WWWW[[#This Row],[% of water sources passed]]="no test",WWWW[[#This Row],[% Household passed]]="no test"),"No Test","Tested")</f>
        <v>No Test</v>
      </c>
      <c r="CC26" s="600">
        <f>WWWW[[#This Row],['#_Constructed/existing protected hand dug well]]-WWWW[[#This Row],['#_Non-functional protected hand dug well]]</f>
        <v>0</v>
      </c>
      <c r="CD26" s="600">
        <f>(WWWW[[#This Row],['#_Constructed/Existing tube wells/boreholes/handpumps_WASH_agency]]+WWWW[[#This Row],['#_Non-Cluster partner water tube-wells/boreholes/handpumps]])-WWWW[[#This Row],['#_Non-functional tube wells/boreholes/handpumps]]</f>
        <v>4</v>
      </c>
      <c r="CE26" s="600">
        <f>WWWW[[#This Row],['#_Constructed/Existingwater storage tank with gravity fed reticulation system]]-WWWW[[#This Row],['#_Non-functional storage tank gravity fed reticulation system]]</f>
        <v>0</v>
      </c>
      <c r="CF26" s="478">
        <f>(WWWW[[#This Row],['#_Water_Liters_supplied_by_Water boating or water trucking]]/90)/15</f>
        <v>0</v>
      </c>
      <c r="CG26" s="478">
        <f>WWWW[[#This Row],['#_Water_Liters_from_Constructed/Existing water distribution system from river or natural spring]]/90/15</f>
        <v>0</v>
      </c>
      <c r="CH26" s="478">
        <f>WWWW[[#This Row],['#_of water points in TLS/CFS /THF]]*500</f>
        <v>0</v>
      </c>
      <c r="CI2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0.53908355795148244</v>
      </c>
      <c r="CK26" s="599">
        <f>IF(WWWW[[#This Row],[Location Type 1]]="Village",WWWW[[#This Row],[Access to safe drinking water for Village]],WWWW[[#This Row],[Access to safe drinking water for Camp]])</f>
        <v>1</v>
      </c>
      <c r="CL26" s="597">
        <f>WWWW[[#This Row],[%Equitable and continuous access to sufficient quantity of safe drinking water]]*WWWW[[#This Row],[Total PoP ]]</f>
        <v>1855</v>
      </c>
      <c r="CM26" s="599">
        <f>IF((WWWW[[#This Row],['#_Constructed/Existing protected/fenced ponds]]*250)/WWWW[[#This Row],[Total PoP ]]&gt;1,1,(WWWW[[#This Row],['#_Constructed/Existing protected/fenced ponds]]*250)/WWWW[[#This Row],[Total PoP ]])</f>
        <v>0</v>
      </c>
      <c r="CN26" s="597">
        <f>WWWW[[#This Row],[% Access to unimproved water points]]*WWWW[[#This Row],[Total PoP ]]</f>
        <v>0</v>
      </c>
      <c r="CO2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1855</v>
      </c>
      <c r="CQ26" s="597">
        <f>WWWW[[#This Row],[HRP1]]/500</f>
        <v>3.71</v>
      </c>
      <c r="CR26" s="602">
        <f>1-WWWW[[#This Row],[% Equitable and continuous access to sufficient quantity of domestic water]]</f>
        <v>0</v>
      </c>
      <c r="CS26" s="597">
        <f>WWWW[[#This Row],[%equitable and continuous access to sufficient quantity of safe drinking and domestic water''s GAP]]*WWWW[[#This Row],[Total PoP ]]</f>
        <v>0</v>
      </c>
      <c r="CT26" s="600">
        <f>IF(WWWW[[#This Row],[Total required water points]]-WWWW[[#This Row],['#Water points coverage]]&lt;0,0,WWWW[[#This Row],[Total required water points]]-WWWW[[#This Row],['#Water points coverage]])</f>
        <v>0.29000000000000004</v>
      </c>
      <c r="CU26" s="600">
        <f>ROUND(IF(WWWW[[#This Row],[Total PoP ]]&lt;500,1,WWWW[[#This Row],[Total PoP ]]/500),0)</f>
        <v>4</v>
      </c>
      <c r="CV26" s="600">
        <f>(WWWW[[#This Row],['#_Constructed latrines_by_WASHAgencies]]+WWWW[[#This Row],['#_Non Cluster partner latrines]])-WWWW[[#This Row],['#_Non-functional latrines]]</f>
        <v>110</v>
      </c>
      <c r="CW26" s="70">
        <f>WWWW[[#This Row],[HRP2]]/WWWW[[#This Row],[Total PoP ]]</f>
        <v>1</v>
      </c>
      <c r="CX2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1855</v>
      </c>
      <c r="CY2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 s="600">
        <f>IF(WWWW[[#This Row],['# of functional latrines in THF supported by WASH partners during the reporting period2]]="",0,WWWW[[#This Row],['# of functional latrines in THF supported by WASH partners during the reporting period2]]*50)</f>
        <v>0</v>
      </c>
      <c r="DB26" s="600">
        <f>WWWW[[#This Row],['# students access to functioning school latrines_HRP5]]+WWWW[[#This Row],['# People access to functioning latrines in THF_HRP5]]</f>
        <v>0</v>
      </c>
      <c r="DC26" s="600">
        <f>ROUND(IF(WWWW[[#This Row],[Location Type 1]]="camp",WWWW[[#This Row],[Total PoP ]]/20,IF(WWWW[[#This Row],[Location Type 1]]="Temporary Location",WWWW[[#This Row],[Total PoP ]]/50,WWWW[[#This Row],[Total HH]])),0)</f>
        <v>93</v>
      </c>
      <c r="DD26" s="600">
        <f>IF(WWWW[[#This Row],[Total required Latrines]]-(WWWW[[#This Row],['#_Constructed latrines_by_WASHAgencies]]+WWWW[[#This Row],['#_Non Cluster partner latrines]])&lt;0,0,WWWW[[#This Row],[Total required Latrines]]-(WWWW[[#This Row],['#_Constructed latrines_by_WASHAgencies]]+WWWW[[#This Row],['#_Non Cluster partner latrines]]))</f>
        <v>0</v>
      </c>
      <c r="DE26" s="602">
        <f>1-WWWW[[#This Row],[% people access to functioning Latrine]]</f>
        <v>0</v>
      </c>
      <c r="DF26" s="601">
        <f>IF(OR(WWWW[[#This Row],['#_Non-functional latrines]]="",WWWW[[#This Row],['#_Non-functional latrines]]=0),0,WWWW[[#This Row],['#_Non-functional latrines]]/(WWWW[[#This Row],['#_Constructed latrines_by_WASHAgencies]]+WWWW[[#This Row],['#_Non Cluster partner latrines]]))</f>
        <v>0</v>
      </c>
      <c r="DG26" s="597">
        <f>IF(500*(WWWW[[#This Row],['#_male hygiene promoters]]+WWWW[[#This Row],['#_female hygiene promoters]])&gt;WWWW[[#This Row],[Total PoP ]],WWWW[[#This Row],[Total PoP ]],500*(WWWW[[#This Row],['#_male hygiene promoters]]+WWWW[[#This Row],['#_female hygiene promoters]]))</f>
        <v>1855</v>
      </c>
      <c r="DH2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 s="600">
        <f>IF(WWWW[[#This Row],['# People with access to soap]]&gt;WWWW[[#This Row],['# People with access to Sanity Pads]],WWWW[[#This Row],['# People with access to soap]],WWWW[[#This Row],['# People with access to Sanity Pads]])</f>
        <v>0</v>
      </c>
      <c r="DK26" s="600">
        <f>IF(WWWW[[#This Row],['# people reached by regular dedicated hygiene promotion_5]]&gt;WWWW[[#This Row],['# People received regular supply of hygiene items_6]],WWWW[[#This Row],['# people reached by regular dedicated hygiene promotion_5]],WWWW[[#This Row],['# People received regular supply of hygiene items_6]])</f>
        <v>1855</v>
      </c>
      <c r="DL26" s="602">
        <f>IF(WWWW[[#This Row],[HRP3]]/WWWW[[#This Row],[Total PoP ]]&gt;1,1,WWWW[[#This Row],[HRP3]]/WWWW[[#This Row],[Total PoP ]])</f>
        <v>1</v>
      </c>
      <c r="DM26" s="601">
        <f>1-WWWW[[#This Row],[Hygiene Coverage%]]</f>
        <v>0</v>
      </c>
      <c r="DN26" s="599">
        <f>WWWW[[#This Row],['# people reached by regular dedicated hygiene promotion_5]]/WWWW[[#This Row],[Total PoP ]]</f>
        <v>1</v>
      </c>
      <c r="DO2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 s="600">
        <f>WWWW[[#This Row],['#_Constructed/Existing hand washing stations]]-WWWW[[#This Row],['#_Non-Functional_hand_washing_stations]]</f>
        <v>0</v>
      </c>
      <c r="DR26" s="597">
        <f>IF(WWWW[[#This Row],['# Functional hand washing stations during reporting period]]*20&gt;WWWW[[#This Row],[Total HH]],WWWW[[#This Row],[Total HH]],WWWW[[#This Row],['# Functional hand washing stations during reporting period]]*20)</f>
        <v>0</v>
      </c>
      <c r="DS26" s="597">
        <f>IF(WWWW[[#This Row],[Is sufficient soap available for TLS? (Yes/No)]]="yes",WWWW[[#This Row],['#_Constructed/Existing hand washing stations at TLS]],0)</f>
        <v>0</v>
      </c>
      <c r="DT26" s="479">
        <f>IF(WWWW[[#This Row],['# Functional hand washing stations during reporting period]]*100&gt;WWWW[[#This Row],[Total PoP ]],WWWW[[#This Row],[Total PoP ]],WWWW[[#This Row],['# Functional hand washing stations during reporting period]]*100)</f>
        <v>0</v>
      </c>
      <c r="DU26" s="479" t="str">
        <f>IF(OR(WWWW[[#This Row],['#_students at TLS_CFS]]="",WWWW[[#This Row],['#_students at TLS_CFS]]=0),"No","Yes")</f>
        <v>No</v>
      </c>
      <c r="DV2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 s="593" t="str">
        <f>VLOOKUP(WWWW[[#This Row],[Site Name]],SiteDB6[[Site Name]:[CCCM Management]],6,FALSE)</f>
        <v>Yes</v>
      </c>
      <c r="DZ26" s="593" t="str">
        <f>VLOOKUP(WWWW[[#This Row],[Site Name]],SiteDB6[[Site Name]:[CCCM Focal Agency]],7,FALSE)</f>
        <v>KBC-BMO</v>
      </c>
      <c r="EA26" s="593" t="str">
        <f>VLOOKUP(WWWW[[#This Row],[Site Name]],SiteDB6[[Site Name]:[Location Type 1]],9,FALSE)</f>
        <v>Camp</v>
      </c>
      <c r="EB26" s="593" t="str">
        <f>VLOOKUP(WWWW[[#This Row],[Site Name]],SiteDB6[[Site Name]:[Type of Accommodation]],10,FALSE)</f>
        <v>Camp</v>
      </c>
      <c r="EC26" s="593" t="str">
        <f>VLOOKUP(WWWW[[#This Row],[Site Name]],SiteDB6[[Site Name]:[Ethnic or GCA/NGCA]],11,FALSE)</f>
        <v>GCA</v>
      </c>
      <c r="ED26" s="593">
        <f>VLOOKUP(WWWW[[#This Row],[Site Name]],SiteDB6[[Site Name]:[Lat]],12,FALSE)</f>
        <v>23.972453000000002</v>
      </c>
      <c r="EE26" s="593">
        <f>VLOOKUP(WWWW[[#This Row],[Site Name]],SiteDB6[[Site Name]:[Long]],13,FALSE)</f>
        <v>97.225881000000001</v>
      </c>
      <c r="EF26" s="593" t="str">
        <f>VLOOKUP(WWWW[[#This Row],[Site Name]],SiteDB6[[Site Name]:[Pcode]],3,FALSE)</f>
        <v>MMR001CMP218</v>
      </c>
      <c r="EG26" s="598" t="str">
        <f t="shared" si="0"/>
        <v>Covered</v>
      </c>
      <c r="EH26" s="598" t="str">
        <f>VLOOKUP(WWWW[[#This Row],[Site Name]],SiteDB6[[Site Name]:[open in cccm?]],2,FALSE)</f>
        <v>cccm_2019OCT</v>
      </c>
    </row>
    <row r="27" spans="1:138" hidden="1">
      <c r="A27" s="591" t="s">
        <v>3261</v>
      </c>
      <c r="B27" s="591" t="s">
        <v>144</v>
      </c>
      <c r="C27" s="592" t="s">
        <v>144</v>
      </c>
      <c r="D27" s="404" t="s">
        <v>3277</v>
      </c>
      <c r="E27" s="592" t="s">
        <v>39</v>
      </c>
      <c r="F27" s="592" t="s">
        <v>162</v>
      </c>
      <c r="G27" s="721" t="str">
        <f>VLOOKUP(WWWW[[#This Row],[Site Name]],SiteDB6[[Site Name]:[Location Type]],8,FALSE)</f>
        <v>Camp</v>
      </c>
      <c r="H27" s="592" t="s">
        <v>168</v>
      </c>
      <c r="I27" s="594">
        <v>61</v>
      </c>
      <c r="J27" s="594">
        <v>290</v>
      </c>
      <c r="K27" s="717" t="s">
        <v>3278</v>
      </c>
      <c r="L27" s="718" t="s">
        <v>3279</v>
      </c>
      <c r="M27" s="594"/>
      <c r="N27" s="594"/>
      <c r="O27" s="594"/>
      <c r="P27" s="594"/>
      <c r="Q27" s="597" t="s">
        <v>43</v>
      </c>
      <c r="R27" s="594"/>
      <c r="S27" s="594"/>
      <c r="T27" s="523">
        <v>1</v>
      </c>
      <c r="U27" s="594"/>
      <c r="V27" s="594"/>
      <c r="W27" s="594">
        <v>1</v>
      </c>
      <c r="X27" s="594"/>
      <c r="Y27" s="594"/>
      <c r="Z27" s="594"/>
      <c r="AA27" s="594"/>
      <c r="AB27" s="594"/>
      <c r="AC27" s="594"/>
      <c r="AD27" s="594"/>
      <c r="AE27" s="594"/>
      <c r="AF27" s="594"/>
      <c r="AG27" s="594"/>
      <c r="AH27" s="594">
        <v>2</v>
      </c>
      <c r="AI27" s="594"/>
      <c r="AJ27" s="594"/>
      <c r="AK27" s="594"/>
      <c r="AL27" s="594"/>
      <c r="AM27" s="594"/>
      <c r="AN27" s="594"/>
      <c r="AO27" s="598"/>
      <c r="AP27" s="594">
        <v>7</v>
      </c>
      <c r="AQ27" s="594"/>
      <c r="AR27" s="599"/>
      <c r="AS27" s="594"/>
      <c r="AT27" s="594"/>
      <c r="AU27" s="594"/>
      <c r="AV27" s="594"/>
      <c r="AW27" s="594">
        <v>7</v>
      </c>
      <c r="AX27" s="593" t="s">
        <v>43</v>
      </c>
      <c r="AY27" s="598" t="s">
        <v>1195</v>
      </c>
      <c r="AZ27" s="594"/>
      <c r="BA27" s="594"/>
      <c r="BB27" s="594"/>
      <c r="BC27" s="594"/>
      <c r="BD27" s="523"/>
      <c r="BE27" s="593"/>
      <c r="BF27" s="594">
        <v>3</v>
      </c>
      <c r="BG27" s="594"/>
      <c r="BH27" s="594"/>
      <c r="BI27" s="594">
        <v>3</v>
      </c>
      <c r="BJ27" s="594"/>
      <c r="BK27" s="594"/>
      <c r="BL27" s="594">
        <v>1</v>
      </c>
      <c r="BM27" s="594"/>
      <c r="BN27" s="594"/>
      <c r="BO27" s="593"/>
      <c r="BP27" s="594"/>
      <c r="BQ27" s="599"/>
      <c r="BR27" s="593"/>
      <c r="BS27" s="472"/>
      <c r="BT27" s="472"/>
      <c r="BU27" s="523"/>
      <c r="BV27" s="472"/>
      <c r="BW27" s="523"/>
      <c r="BX27" s="523"/>
      <c r="BY27" s="523"/>
      <c r="BZ27" s="601" t="str">
        <f>IFERROR(WWWW[[#This Row],['#_Water sources passed]]/WWWW[[#This Row],['#_Water sources tested for fecal coliform ]],"no test")</f>
        <v>no test</v>
      </c>
      <c r="CA27" s="599" t="str">
        <f>IFERROR(WWWW[[#This Row],['#_Household passed]]/WWWW[[#This Row],['#_Household water samples tested for fecal coliform]],"no test")</f>
        <v>no test</v>
      </c>
      <c r="CB27" s="600" t="str">
        <f>IF(AND(WWWW[[#This Row],[% of water sources passed]]="no test",WWWW[[#This Row],[% Household passed]]="no test"),"No Test","Tested")</f>
        <v>No Test</v>
      </c>
      <c r="CC27" s="600">
        <f>WWWW[[#This Row],['#_Constructed/existing protected hand dug well]]-WWWW[[#This Row],['#_Non-functional protected hand dug well]]</f>
        <v>1</v>
      </c>
      <c r="CD27" s="600">
        <f>(WWWW[[#This Row],['#_Constructed/Existing tube wells/boreholes/handpumps_WASH_agency]]+WWWW[[#This Row],['#_Non-Cluster partner water tube-wells/boreholes/handpumps]])-WWWW[[#This Row],['#_Non-functional tube wells/boreholes/handpumps]]</f>
        <v>1</v>
      </c>
      <c r="CE27" s="600">
        <f>WWWW[[#This Row],['#_Constructed/Existingwater storage tank with gravity fed reticulation system]]-WWWW[[#This Row],['#_Non-functional storage tank gravity fed reticulation system]]</f>
        <v>0</v>
      </c>
      <c r="CF27" s="478">
        <f>(WWWW[[#This Row],['#_Water_Liters_supplied_by_Water boating or water trucking]]/90)/15</f>
        <v>0</v>
      </c>
      <c r="CG27" s="478">
        <f>WWWW[[#This Row],['#_Water_Liters_from_Constructed/Existing water distribution system from river or natural spring]]/90/15</f>
        <v>0</v>
      </c>
      <c r="CH27" s="478">
        <f>WWWW[[#This Row],['#_of water points in TLS/CFS /THF]]*500</f>
        <v>0</v>
      </c>
      <c r="CI2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 s="599">
        <f>IF(WWWW[[#This Row],[Location Type 1]]="Village",WWWW[[#This Row],[Access to safe drinking water for Village]],WWWW[[#This Row],[Access to safe drinking water for Camp]])</f>
        <v>1</v>
      </c>
      <c r="CL27" s="597">
        <f>WWWW[[#This Row],[%Equitable and continuous access to sufficient quantity of safe drinking water]]*WWWW[[#This Row],[Total PoP ]]</f>
        <v>290</v>
      </c>
      <c r="CM27" s="599">
        <f>IF((WWWW[[#This Row],['#_Constructed/Existing protected/fenced ponds]]*250)/WWWW[[#This Row],[Total PoP ]]&gt;1,1,(WWWW[[#This Row],['#_Constructed/Existing protected/fenced ponds]]*250)/WWWW[[#This Row],[Total PoP ]])</f>
        <v>0</v>
      </c>
      <c r="CN27" s="597">
        <f>WWWW[[#This Row],[% Access to unimproved water points]]*WWWW[[#This Row],[Total PoP ]]</f>
        <v>0</v>
      </c>
      <c r="CO2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Q27" s="597">
        <f>WWWW[[#This Row],[HRP1]]/500</f>
        <v>0.57999999999999996</v>
      </c>
      <c r="CR27" s="602">
        <f>1-WWWW[[#This Row],[% Equitable and continuous access to sufficient quantity of domestic water]]</f>
        <v>0</v>
      </c>
      <c r="CS27" s="597">
        <f>WWWW[[#This Row],[%equitable and continuous access to sufficient quantity of safe drinking and domestic water''s GAP]]*WWWW[[#This Row],[Total PoP ]]</f>
        <v>0</v>
      </c>
      <c r="CT27" s="600">
        <f>IF(WWWW[[#This Row],[Total required water points]]-WWWW[[#This Row],['#Water points coverage]]&lt;0,0,WWWW[[#This Row],[Total required water points]]-WWWW[[#This Row],['#Water points coverage]])</f>
        <v>0.42000000000000004</v>
      </c>
      <c r="CU27" s="600">
        <f>ROUND(IF(WWWW[[#This Row],[Total PoP ]]&lt;500,1,WWWW[[#This Row],[Total PoP ]]/500),0)</f>
        <v>1</v>
      </c>
      <c r="CV27" s="600">
        <f>(WWWW[[#This Row],['#_Constructed latrines_by_WASHAgencies]]+WWWW[[#This Row],['#_Non Cluster partner latrines]])-WWWW[[#This Row],['#_Non-functional latrines]]</f>
        <v>7</v>
      </c>
      <c r="CW27" s="70">
        <f>WWWW[[#This Row],[HRP2]]/WWWW[[#This Row],[Total PoP ]]</f>
        <v>0.48275862068965519</v>
      </c>
      <c r="CX2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 s="600">
        <f>IF(WWWW[[#This Row],['# of functional latrines in THF supported by WASH partners during the reporting period2]]="",0,WWWW[[#This Row],['# of functional latrines in THF supported by WASH partners during the reporting period2]]*50)</f>
        <v>0</v>
      </c>
      <c r="DB27" s="600">
        <f>WWWW[[#This Row],['# students access to functioning school latrines_HRP5]]+WWWW[[#This Row],['# People access to functioning latrines in THF_HRP5]]</f>
        <v>0</v>
      </c>
      <c r="DC27" s="600">
        <f>ROUND(IF(WWWW[[#This Row],[Location Type 1]]="camp",WWWW[[#This Row],[Total PoP ]]/20,IF(WWWW[[#This Row],[Location Type 1]]="Temporary Location",WWWW[[#This Row],[Total PoP ]]/50,WWWW[[#This Row],[Total HH]])),0)</f>
        <v>15</v>
      </c>
      <c r="DD27" s="600">
        <f>IF(WWWW[[#This Row],[Total required Latrines]]-(WWWW[[#This Row],['#_Constructed latrines_by_WASHAgencies]]+WWWW[[#This Row],['#_Non Cluster partner latrines]])&lt;0,0,WWWW[[#This Row],[Total required Latrines]]-(WWWW[[#This Row],['#_Constructed latrines_by_WASHAgencies]]+WWWW[[#This Row],['#_Non Cluster partner latrines]]))</f>
        <v>8</v>
      </c>
      <c r="DE27" s="602">
        <f>1-WWWW[[#This Row],[% people access to functioning Latrine]]</f>
        <v>0.51724137931034475</v>
      </c>
      <c r="DF27" s="601">
        <f>IF(OR(WWWW[[#This Row],['#_Non-functional latrines]]="",WWWW[[#This Row],['#_Non-functional latrines]]=0),0,WWWW[[#This Row],['#_Non-functional latrines]]/(WWWW[[#This Row],['#_Constructed latrines_by_WASHAgencies]]+WWWW[[#This Row],['#_Non Cluster partner latrines]]))</f>
        <v>0</v>
      </c>
      <c r="DG27" s="597">
        <f>IF(500*(WWWW[[#This Row],['#_male hygiene promoters]]+WWWW[[#This Row],['#_female hygiene promoters]])&gt;WWWW[[#This Row],[Total PoP ]],WWWW[[#This Row],[Total PoP ]],500*(WWWW[[#This Row],['#_male hygiene promoters]]+WWWW[[#This Row],['#_female hygiene promoters]]))</f>
        <v>290</v>
      </c>
      <c r="DH2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 s="600">
        <f>IF(WWWW[[#This Row],['# People with access to soap]]&gt;WWWW[[#This Row],['# People with access to Sanity Pads]],WWWW[[#This Row],['# People with access to soap]],WWWW[[#This Row],['# People with access to Sanity Pads]])</f>
        <v>0</v>
      </c>
      <c r="DK27" s="600">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L27" s="602">
        <f>IF(WWWW[[#This Row],[HRP3]]/WWWW[[#This Row],[Total PoP ]]&gt;1,1,WWWW[[#This Row],[HRP3]]/WWWW[[#This Row],[Total PoP ]])</f>
        <v>1</v>
      </c>
      <c r="DM27" s="601">
        <f>1-WWWW[[#This Row],[Hygiene Coverage%]]</f>
        <v>0</v>
      </c>
      <c r="DN27" s="599">
        <f>WWWW[[#This Row],['# people reached by regular dedicated hygiene promotion_5]]/WWWW[[#This Row],[Total PoP ]]</f>
        <v>1</v>
      </c>
      <c r="DO2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 s="600">
        <f>WWWW[[#This Row],['#_Constructed/Existing hand washing stations]]-WWWW[[#This Row],['#_Non-Functional_hand_washing_stations]]</f>
        <v>3</v>
      </c>
      <c r="DR27" s="597">
        <f>IF(WWWW[[#This Row],['# Functional hand washing stations during reporting period]]*20&gt;WWWW[[#This Row],[Total HH]],WWWW[[#This Row],[Total HH]],WWWW[[#This Row],['# Functional hand washing stations during reporting period]]*20)</f>
        <v>60</v>
      </c>
      <c r="DS27" s="597">
        <f>IF(WWWW[[#This Row],[Is sufficient soap available for TLS? (Yes/No)]]="yes",WWWW[[#This Row],['#_Constructed/Existing hand washing stations at TLS]],0)</f>
        <v>0</v>
      </c>
      <c r="DT27" s="479">
        <f>IF(WWWW[[#This Row],['# Functional hand washing stations during reporting period]]*100&gt;WWWW[[#This Row],[Total PoP ]],WWWW[[#This Row],[Total PoP ]],WWWW[[#This Row],['# Functional hand washing stations during reporting period]]*100)</f>
        <v>290</v>
      </c>
      <c r="DU27" s="479" t="str">
        <f>IF(OR(WWWW[[#This Row],['#_students at TLS_CFS]]="",WWWW[[#This Row],['#_students at TLS_CFS]]=0),"No","Yes")</f>
        <v>No</v>
      </c>
      <c r="DV2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 s="593" t="str">
        <f>VLOOKUP(WWWW[[#This Row],[Site Name]],SiteDB6[[Site Name]:[CCCM Management]],6,FALSE)</f>
        <v>Yes</v>
      </c>
      <c r="DZ27" s="593" t="str">
        <f>VLOOKUP(WWWW[[#This Row],[Site Name]],SiteDB6[[Site Name]:[CCCM Focal Agency]],7,FALSE)</f>
        <v>KBC-MYT</v>
      </c>
      <c r="EA27" s="593" t="str">
        <f>VLOOKUP(WWWW[[#This Row],[Site Name]],SiteDB6[[Site Name]:[Location Type 1]],9,FALSE)</f>
        <v>Camp</v>
      </c>
      <c r="EB27" s="593" t="str">
        <f>VLOOKUP(WWWW[[#This Row],[Site Name]],SiteDB6[[Site Name]:[Type of Accommodation]],10,FALSE)</f>
        <v>Camp</v>
      </c>
      <c r="EC27" s="593" t="str">
        <f>VLOOKUP(WWWW[[#This Row],[Site Name]],SiteDB6[[Site Name]:[Ethnic or GCA/NGCA]],11,FALSE)</f>
        <v>GCA</v>
      </c>
      <c r="ED27" s="593">
        <f>VLOOKUP(WWWW[[#This Row],[Site Name]],SiteDB6[[Site Name]:[Lat]],12,FALSE)</f>
        <v>25.360463124999999</v>
      </c>
      <c r="EE27" s="593">
        <f>VLOOKUP(WWWW[[#This Row],[Site Name]],SiteDB6[[Site Name]:[Long]],13,FALSE)</f>
        <v>97.4113064583333</v>
      </c>
      <c r="EF27" s="593" t="str">
        <f>VLOOKUP(WWWW[[#This Row],[Site Name]],SiteDB6[[Site Name]:[Pcode]],3,FALSE)</f>
        <v>MMR001CMP016</v>
      </c>
      <c r="EG27" s="598" t="str">
        <f t="shared" si="0"/>
        <v>Covered</v>
      </c>
      <c r="EH27" s="598" t="str">
        <f>VLOOKUP(WWWW[[#This Row],[Site Name]],SiteDB6[[Site Name]:[open in cccm?]],2,FALSE)</f>
        <v>cccm_2019OCT</v>
      </c>
    </row>
    <row r="28" spans="1:138" hidden="1">
      <c r="A28" s="591" t="s">
        <v>3261</v>
      </c>
      <c r="B28" s="591" t="s">
        <v>144</v>
      </c>
      <c r="C28" s="592" t="s">
        <v>144</v>
      </c>
      <c r="D28" s="404" t="s">
        <v>3277</v>
      </c>
      <c r="E28" s="592" t="s">
        <v>39</v>
      </c>
      <c r="F28" s="592" t="s">
        <v>162</v>
      </c>
      <c r="G28" s="721" t="str">
        <f>VLOOKUP(WWWW[[#This Row],[Site Name]],SiteDB6[[Site Name]:[Location Type]],8,FALSE)</f>
        <v>Camp</v>
      </c>
      <c r="H28" s="592" t="s">
        <v>169</v>
      </c>
      <c r="I28" s="594">
        <v>101</v>
      </c>
      <c r="J28" s="594">
        <v>547</v>
      </c>
      <c r="K28" s="717" t="s">
        <v>3278</v>
      </c>
      <c r="L28" s="718" t="s">
        <v>3279</v>
      </c>
      <c r="M28" s="594"/>
      <c r="N28" s="594"/>
      <c r="O28" s="594"/>
      <c r="P28" s="594"/>
      <c r="Q28" s="597" t="s">
        <v>43</v>
      </c>
      <c r="R28" s="594"/>
      <c r="S28" s="594">
        <v>3</v>
      </c>
      <c r="T28" s="523">
        <v>0</v>
      </c>
      <c r="U28" s="594"/>
      <c r="V28" s="594"/>
      <c r="W28" s="594">
        <v>2</v>
      </c>
      <c r="X28" s="594"/>
      <c r="Y28" s="594"/>
      <c r="Z28" s="594"/>
      <c r="AA28" s="594"/>
      <c r="AB28" s="594"/>
      <c r="AC28" s="594"/>
      <c r="AD28" s="594"/>
      <c r="AE28" s="594"/>
      <c r="AF28" s="594"/>
      <c r="AG28" s="594"/>
      <c r="AH28" s="594">
        <v>3</v>
      </c>
      <c r="AI28" s="594"/>
      <c r="AJ28" s="594"/>
      <c r="AK28" s="594"/>
      <c r="AL28" s="594"/>
      <c r="AM28" s="594"/>
      <c r="AN28" s="594"/>
      <c r="AO28" s="598"/>
      <c r="AP28" s="594">
        <v>34</v>
      </c>
      <c r="AQ28" s="594"/>
      <c r="AR28" s="599"/>
      <c r="AS28" s="594"/>
      <c r="AT28" s="594"/>
      <c r="AU28" s="594"/>
      <c r="AV28" s="594"/>
      <c r="AW28" s="594">
        <v>34</v>
      </c>
      <c r="AX28" s="593" t="s">
        <v>43</v>
      </c>
      <c r="AY28" s="598" t="s">
        <v>1195</v>
      </c>
      <c r="AZ28" s="594"/>
      <c r="BA28" s="594"/>
      <c r="BB28" s="594"/>
      <c r="BC28" s="594"/>
      <c r="BD28" s="523"/>
      <c r="BE28" s="593"/>
      <c r="BF28" s="594">
        <v>2</v>
      </c>
      <c r="BG28" s="594"/>
      <c r="BH28" s="594"/>
      <c r="BI28" s="594">
        <v>2</v>
      </c>
      <c r="BJ28" s="594"/>
      <c r="BK28" s="594"/>
      <c r="BL28" s="594">
        <v>2</v>
      </c>
      <c r="BM28" s="594"/>
      <c r="BN28" s="594"/>
      <c r="BO28" s="593"/>
      <c r="BP28" s="594"/>
      <c r="BQ28" s="599"/>
      <c r="BR28" s="593"/>
      <c r="BS28" s="472"/>
      <c r="BT28" s="472"/>
      <c r="BU28" s="523"/>
      <c r="BV28" s="472"/>
      <c r="BW28" s="523"/>
      <c r="BX28" s="523"/>
      <c r="BY28" s="523"/>
      <c r="BZ28" s="601" t="str">
        <f>IFERROR(WWWW[[#This Row],['#_Water sources passed]]/WWWW[[#This Row],['#_Water sources tested for fecal coliform ]],"no test")</f>
        <v>no test</v>
      </c>
      <c r="CA28" s="599" t="str">
        <f>IFERROR(WWWW[[#This Row],['#_Household passed]]/WWWW[[#This Row],['#_Household water samples tested for fecal coliform]],"no test")</f>
        <v>no test</v>
      </c>
      <c r="CB28" s="600" t="str">
        <f>IF(AND(WWWW[[#This Row],[% of water sources passed]]="no test",WWWW[[#This Row],[% Household passed]]="no test"),"No Test","Tested")</f>
        <v>No Test</v>
      </c>
      <c r="CC28" s="600">
        <f>WWWW[[#This Row],['#_Constructed/existing protected hand dug well]]-WWWW[[#This Row],['#_Non-functional protected hand dug well]]</f>
        <v>0</v>
      </c>
      <c r="CD28" s="600">
        <f>(WWWW[[#This Row],['#_Constructed/Existing tube wells/boreholes/handpumps_WASH_agency]]+WWWW[[#This Row],['#_Non-Cluster partner water tube-wells/boreholes/handpumps]])-WWWW[[#This Row],['#_Non-functional tube wells/boreholes/handpumps]]</f>
        <v>2</v>
      </c>
      <c r="CE28" s="600">
        <f>WWWW[[#This Row],['#_Constructed/Existingwater storage tank with gravity fed reticulation system]]-WWWW[[#This Row],['#_Non-functional storage tank gravity fed reticulation system]]</f>
        <v>0</v>
      </c>
      <c r="CF28" s="478">
        <f>(WWWW[[#This Row],['#_Water_Liters_supplied_by_Water boating or water trucking]]/90)/15</f>
        <v>0</v>
      </c>
      <c r="CG28" s="478">
        <f>WWWW[[#This Row],['#_Water_Liters_from_Constructed/Existing water distribution system from river or natural spring]]/90/15</f>
        <v>0</v>
      </c>
      <c r="CH28" s="478">
        <f>WWWW[[#This Row],['#_of water points in TLS/CFS /THF]]*500</f>
        <v>0</v>
      </c>
      <c r="CI2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0.91407678244972579</v>
      </c>
      <c r="CK28" s="599">
        <f>IF(WWWW[[#This Row],[Location Type 1]]="Village",WWWW[[#This Row],[Access to safe drinking water for Village]],WWWW[[#This Row],[Access to safe drinking water for Camp]])</f>
        <v>1</v>
      </c>
      <c r="CL28" s="597">
        <f>WWWW[[#This Row],[%Equitable and continuous access to sufficient quantity of safe drinking water]]*WWWW[[#This Row],[Total PoP ]]</f>
        <v>547</v>
      </c>
      <c r="CM28" s="599">
        <f>IF((WWWW[[#This Row],['#_Constructed/Existing protected/fenced ponds]]*250)/WWWW[[#This Row],[Total PoP ]]&gt;1,1,(WWWW[[#This Row],['#_Constructed/Existing protected/fenced ponds]]*250)/WWWW[[#This Row],[Total PoP ]])</f>
        <v>0</v>
      </c>
      <c r="CN28" s="597">
        <f>WWWW[[#This Row],[% Access to unimproved water points]]*WWWW[[#This Row],[Total PoP ]]</f>
        <v>0</v>
      </c>
      <c r="CO2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8" s="597">
        <f>WWWW[[#This Row],[HRP1]]/500</f>
        <v>1.0940000000000001</v>
      </c>
      <c r="CR28" s="602">
        <f>1-WWWW[[#This Row],[% Equitable and continuous access to sufficient quantity of domestic water]]</f>
        <v>0</v>
      </c>
      <c r="CS28" s="597">
        <f>WWWW[[#This Row],[%equitable and continuous access to sufficient quantity of safe drinking and domestic water''s GAP]]*WWWW[[#This Row],[Total PoP ]]</f>
        <v>0</v>
      </c>
      <c r="CT28" s="600">
        <f>IF(WWWW[[#This Row],[Total required water points]]-WWWW[[#This Row],['#Water points coverage]]&lt;0,0,WWWW[[#This Row],[Total required water points]]-WWWW[[#This Row],['#Water points coverage]])</f>
        <v>0</v>
      </c>
      <c r="CU28" s="600">
        <f>ROUND(IF(WWWW[[#This Row],[Total PoP ]]&lt;500,1,WWWW[[#This Row],[Total PoP ]]/500),0)</f>
        <v>1</v>
      </c>
      <c r="CV28" s="600">
        <f>(WWWW[[#This Row],['#_Constructed latrines_by_WASHAgencies]]+WWWW[[#This Row],['#_Non Cluster partner latrines]])-WWWW[[#This Row],['#_Non-functional latrines]]</f>
        <v>34</v>
      </c>
      <c r="CW28" s="70">
        <f>WWWW[[#This Row],[HRP2]]/WWWW[[#This Row],[Total PoP ]]</f>
        <v>1</v>
      </c>
      <c r="CX2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 s="600">
        <f>IF(WWWW[[#This Row],['# of functional latrines in THF supported by WASH partners during the reporting period2]]="",0,WWWW[[#This Row],['# of functional latrines in THF supported by WASH partners during the reporting period2]]*50)</f>
        <v>0</v>
      </c>
      <c r="DB28" s="600">
        <f>WWWW[[#This Row],['# students access to functioning school latrines_HRP5]]+WWWW[[#This Row],['# People access to functioning latrines in THF_HRP5]]</f>
        <v>0</v>
      </c>
      <c r="DC28" s="600">
        <f>ROUND(IF(WWWW[[#This Row],[Location Type 1]]="camp",WWWW[[#This Row],[Total PoP ]]/20,IF(WWWW[[#This Row],[Location Type 1]]="Temporary Location",WWWW[[#This Row],[Total PoP ]]/50,WWWW[[#This Row],[Total HH]])),0)</f>
        <v>27</v>
      </c>
      <c r="DD28" s="600">
        <f>IF(WWWW[[#This Row],[Total required Latrines]]-(WWWW[[#This Row],['#_Constructed latrines_by_WASHAgencies]]+WWWW[[#This Row],['#_Non Cluster partner latrines]])&lt;0,0,WWWW[[#This Row],[Total required Latrines]]-(WWWW[[#This Row],['#_Constructed latrines_by_WASHAgencies]]+WWWW[[#This Row],['#_Non Cluster partner latrines]]))</f>
        <v>0</v>
      </c>
      <c r="DE28" s="602">
        <f>1-WWWW[[#This Row],[% people access to functioning Latrine]]</f>
        <v>0</v>
      </c>
      <c r="DF28" s="601">
        <f>IF(OR(WWWW[[#This Row],['#_Non-functional latrines]]="",WWWW[[#This Row],['#_Non-functional latrines]]=0),0,WWWW[[#This Row],['#_Non-functional latrines]]/(WWWW[[#This Row],['#_Constructed latrines_by_WASHAgencies]]+WWWW[[#This Row],['#_Non Cluster partner latrines]]))</f>
        <v>0</v>
      </c>
      <c r="DG28" s="597">
        <f>IF(500*(WWWW[[#This Row],['#_male hygiene promoters]]+WWWW[[#This Row],['#_female hygiene promoters]])&gt;WWWW[[#This Row],[Total PoP ]],WWWW[[#This Row],[Total PoP ]],500*(WWWW[[#This Row],['#_male hygiene promoters]]+WWWW[[#This Row],['#_female hygiene promoters]]))</f>
        <v>547</v>
      </c>
      <c r="DH2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 s="600">
        <f>IF(WWWW[[#This Row],['# People with access to soap]]&gt;WWWW[[#This Row],['# People with access to Sanity Pads]],WWWW[[#This Row],['# People with access to soap]],WWWW[[#This Row],['# People with access to Sanity Pads]])</f>
        <v>0</v>
      </c>
      <c r="DK28" s="600">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8" s="602">
        <f>IF(WWWW[[#This Row],[HRP3]]/WWWW[[#This Row],[Total PoP ]]&gt;1,1,WWWW[[#This Row],[HRP3]]/WWWW[[#This Row],[Total PoP ]])</f>
        <v>1</v>
      </c>
      <c r="DM28" s="601">
        <f>1-WWWW[[#This Row],[Hygiene Coverage%]]</f>
        <v>0</v>
      </c>
      <c r="DN28" s="599">
        <f>WWWW[[#This Row],['# people reached by regular dedicated hygiene promotion_5]]/WWWW[[#This Row],[Total PoP ]]</f>
        <v>1</v>
      </c>
      <c r="DO2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 s="600">
        <f>WWWW[[#This Row],['#_Constructed/Existing hand washing stations]]-WWWW[[#This Row],['#_Non-Functional_hand_washing_stations]]</f>
        <v>2</v>
      </c>
      <c r="DR28" s="597">
        <f>IF(WWWW[[#This Row],['# Functional hand washing stations during reporting period]]*20&gt;WWWW[[#This Row],[Total HH]],WWWW[[#This Row],[Total HH]],WWWW[[#This Row],['# Functional hand washing stations during reporting period]]*20)</f>
        <v>40</v>
      </c>
      <c r="DS28" s="597">
        <f>IF(WWWW[[#This Row],[Is sufficient soap available for TLS? (Yes/No)]]="yes",WWWW[[#This Row],['#_Constructed/Existing hand washing stations at TLS]],0)</f>
        <v>0</v>
      </c>
      <c r="DT28" s="479">
        <f>IF(WWWW[[#This Row],['# Functional hand washing stations during reporting period]]*100&gt;WWWW[[#This Row],[Total PoP ]],WWWW[[#This Row],[Total PoP ]],WWWW[[#This Row],['# Functional hand washing stations during reporting period]]*100)</f>
        <v>200</v>
      </c>
      <c r="DU28" s="479" t="str">
        <f>IF(OR(WWWW[[#This Row],['#_students at TLS_CFS]]="",WWWW[[#This Row],['#_students at TLS_CFS]]=0),"No","Yes")</f>
        <v>No</v>
      </c>
      <c r="DV2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 s="593" t="str">
        <f>VLOOKUP(WWWW[[#This Row],[Site Name]],SiteDB6[[Site Name]:[CCCM Management]],6,FALSE)</f>
        <v>Yes</v>
      </c>
      <c r="DZ28" s="593" t="str">
        <f>VLOOKUP(WWWW[[#This Row],[Site Name]],SiteDB6[[Site Name]:[CCCM Focal Agency]],7,FALSE)</f>
        <v>KBC-MYT</v>
      </c>
      <c r="EA28" s="593" t="str">
        <f>VLOOKUP(WWWW[[#This Row],[Site Name]],SiteDB6[[Site Name]:[Location Type 1]],9,FALSE)</f>
        <v>Camp</v>
      </c>
      <c r="EB28" s="593" t="str">
        <f>VLOOKUP(WWWW[[#This Row],[Site Name]],SiteDB6[[Site Name]:[Type of Accommodation]],10,FALSE)</f>
        <v>Camp</v>
      </c>
      <c r="EC28" s="593" t="str">
        <f>VLOOKUP(WWWW[[#This Row],[Site Name]],SiteDB6[[Site Name]:[Ethnic or GCA/NGCA]],11,FALSE)</f>
        <v>GCA</v>
      </c>
      <c r="ED28" s="593">
        <f>VLOOKUP(WWWW[[#This Row],[Site Name]],SiteDB6[[Site Name]:[Lat]],12,FALSE)</f>
        <v>25.428910999999999</v>
      </c>
      <c r="EE28" s="593">
        <f>VLOOKUP(WWWW[[#This Row],[Site Name]],SiteDB6[[Site Name]:[Long]],13,FALSE)</f>
        <v>97.418694000000002</v>
      </c>
      <c r="EF28" s="593" t="str">
        <f>VLOOKUP(WWWW[[#This Row],[Site Name]],SiteDB6[[Site Name]:[Pcode]],3,FALSE)</f>
        <v>MMR001CMP008</v>
      </c>
      <c r="EG28" s="598" t="str">
        <f t="shared" si="0"/>
        <v>Covered</v>
      </c>
      <c r="EH28" s="598" t="str">
        <f>VLOOKUP(WWWW[[#This Row],[Site Name]],SiteDB6[[Site Name]:[open in cccm?]],2,FALSE)</f>
        <v>cccm_2019OCT</v>
      </c>
    </row>
    <row r="29" spans="1:138" hidden="1">
      <c r="A29" s="591" t="s">
        <v>3261</v>
      </c>
      <c r="B29" s="591" t="s">
        <v>144</v>
      </c>
      <c r="C29" s="592" t="s">
        <v>144</v>
      </c>
      <c r="D29" s="404" t="s">
        <v>3277</v>
      </c>
      <c r="E29" s="592" t="s">
        <v>39</v>
      </c>
      <c r="F29" s="592" t="s">
        <v>198</v>
      </c>
      <c r="G29" s="721" t="str">
        <f>VLOOKUP(WWWW[[#This Row],[Site Name]],SiteDB6[[Site Name]:[Location Type]],8,FALSE)</f>
        <v>Camp_not registered</v>
      </c>
      <c r="H29" s="592" t="s">
        <v>3128</v>
      </c>
      <c r="I29" s="720">
        <v>37</v>
      </c>
      <c r="J29" s="720">
        <v>161</v>
      </c>
      <c r="K29" s="717" t="s">
        <v>3278</v>
      </c>
      <c r="L29" s="718" t="s">
        <v>3279</v>
      </c>
      <c r="M29" s="594"/>
      <c r="N29" s="594"/>
      <c r="O29" s="594"/>
      <c r="P29" s="594"/>
      <c r="Q29" s="597"/>
      <c r="R29" s="594"/>
      <c r="S29" s="594">
        <v>3</v>
      </c>
      <c r="T29" s="523"/>
      <c r="U29" s="594"/>
      <c r="V29" s="594"/>
      <c r="W29" s="594">
        <v>2</v>
      </c>
      <c r="X29" s="594"/>
      <c r="Y29" s="594"/>
      <c r="Z29" s="594"/>
      <c r="AA29" s="594"/>
      <c r="AB29" s="594"/>
      <c r="AC29" s="594"/>
      <c r="AD29" s="594"/>
      <c r="AE29" s="594"/>
      <c r="AF29" s="594"/>
      <c r="AG29" s="594"/>
      <c r="AH29" s="594">
        <v>2</v>
      </c>
      <c r="AI29" s="594"/>
      <c r="AJ29" s="594"/>
      <c r="AK29" s="594"/>
      <c r="AL29" s="594"/>
      <c r="AM29" s="594">
        <v>0</v>
      </c>
      <c r="AN29" s="594"/>
      <c r="AO29" s="598"/>
      <c r="AP29" s="594">
        <v>7</v>
      </c>
      <c r="AQ29" s="594"/>
      <c r="AR29" s="599"/>
      <c r="AS29" s="594"/>
      <c r="AT29" s="594"/>
      <c r="AU29" s="594"/>
      <c r="AV29" s="594"/>
      <c r="AW29" s="594">
        <v>6</v>
      </c>
      <c r="AX29" s="593" t="s">
        <v>43</v>
      </c>
      <c r="AY29" s="598" t="s">
        <v>140</v>
      </c>
      <c r="AZ29" s="594"/>
      <c r="BA29" s="594"/>
      <c r="BB29" s="594"/>
      <c r="BC29" s="594"/>
      <c r="BD29" s="523"/>
      <c r="BE29" s="593"/>
      <c r="BF29" s="594"/>
      <c r="BG29" s="594"/>
      <c r="BH29" s="594"/>
      <c r="BI29" s="594">
        <v>2</v>
      </c>
      <c r="BJ29" s="594"/>
      <c r="BK29" s="594"/>
      <c r="BL29" s="594">
        <v>1</v>
      </c>
      <c r="BM29" s="594"/>
      <c r="BN29" s="594"/>
      <c r="BO29" s="593"/>
      <c r="BP29" s="594"/>
      <c r="BQ29" s="599"/>
      <c r="BR29" s="593"/>
      <c r="BS29" s="472"/>
      <c r="BT29" s="472"/>
      <c r="BU29" s="523"/>
      <c r="BV29" s="472"/>
      <c r="BW29" s="523"/>
      <c r="BX29" s="523"/>
      <c r="BY29" s="523"/>
      <c r="BZ29" s="601" t="str">
        <f>IFERROR(WWWW[[#This Row],['#_Water sources passed]]/WWWW[[#This Row],['#_Water sources tested for fecal coliform ]],"no test")</f>
        <v>no test</v>
      </c>
      <c r="CA29" s="599" t="str">
        <f>IFERROR(WWWW[[#This Row],['#_Household passed]]/WWWW[[#This Row],['#_Household water samples tested for fecal coliform]],"no test")</f>
        <v>no test</v>
      </c>
      <c r="CB29" s="600" t="str">
        <f>IF(AND(WWWW[[#This Row],[% of water sources passed]]="no test",WWWW[[#This Row],[% Household passed]]="no test"),"No Test","Tested")</f>
        <v>No Test</v>
      </c>
      <c r="CC29" s="600">
        <f>WWWW[[#This Row],['#_Constructed/existing protected hand dug well]]-WWWW[[#This Row],['#_Non-functional protected hand dug well]]</f>
        <v>0</v>
      </c>
      <c r="CD29" s="600">
        <f>(WWWW[[#This Row],['#_Constructed/Existing tube wells/boreholes/handpumps_WASH_agency]]+WWWW[[#This Row],['#_Non-Cluster partner water tube-wells/boreholes/handpumps]])-WWWW[[#This Row],['#_Non-functional tube wells/boreholes/handpumps]]</f>
        <v>2</v>
      </c>
      <c r="CE29" s="600">
        <f>WWWW[[#This Row],['#_Constructed/Existingwater storage tank with gravity fed reticulation system]]-WWWW[[#This Row],['#_Non-functional storage tank gravity fed reticulation system]]</f>
        <v>0</v>
      </c>
      <c r="CF29" s="478">
        <f>(WWWW[[#This Row],['#_Water_Liters_supplied_by_Water boating or water trucking]]/90)/15</f>
        <v>0</v>
      </c>
      <c r="CG29" s="478">
        <f>WWWW[[#This Row],['#_Water_Liters_from_Constructed/Existing water distribution system from river or natural spring]]/90/15</f>
        <v>0</v>
      </c>
      <c r="CH29" s="478">
        <f>WWWW[[#This Row],['#_of water points in TLS/CFS /THF]]*500</f>
        <v>0</v>
      </c>
      <c r="CI2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 s="599">
        <f>IF(WWWW[[#This Row],[Location Type 1]]="Village",WWWW[[#This Row],[Access to safe drinking water for Village]],WWWW[[#This Row],[Access to safe drinking water for Camp]])</f>
        <v>1</v>
      </c>
      <c r="CL29" s="597">
        <f>WWWW[[#This Row],[%Equitable and continuous access to sufficient quantity of safe drinking water]]*WWWW[[#This Row],[Total PoP ]]</f>
        <v>161</v>
      </c>
      <c r="CM29" s="599">
        <f>IF((WWWW[[#This Row],['#_Constructed/Existing protected/fenced ponds]]*250)/WWWW[[#This Row],[Total PoP ]]&gt;1,1,(WWWW[[#This Row],['#_Constructed/Existing protected/fenced ponds]]*250)/WWWW[[#This Row],[Total PoP ]])</f>
        <v>0</v>
      </c>
      <c r="CN29" s="597">
        <f>WWWW[[#This Row],[% Access to unimproved water points]]*WWWW[[#This Row],[Total PoP ]]</f>
        <v>0</v>
      </c>
      <c r="CO2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29" s="597">
        <f>WWWW[[#This Row],[HRP1]]/500</f>
        <v>0.32200000000000001</v>
      </c>
      <c r="CR29" s="602">
        <f>1-WWWW[[#This Row],[% Equitable and continuous access to sufficient quantity of domestic water]]</f>
        <v>0</v>
      </c>
      <c r="CS29" s="597">
        <f>WWWW[[#This Row],[%equitable and continuous access to sufficient quantity of safe drinking and domestic water''s GAP]]*WWWW[[#This Row],[Total PoP ]]</f>
        <v>0</v>
      </c>
      <c r="CT29" s="600">
        <f>IF(WWWW[[#This Row],[Total required water points]]-WWWW[[#This Row],['#Water points coverage]]&lt;0,0,WWWW[[#This Row],[Total required water points]]-WWWW[[#This Row],['#Water points coverage]])</f>
        <v>0.67799999999999994</v>
      </c>
      <c r="CU29" s="600">
        <f>ROUND(IF(WWWW[[#This Row],[Total PoP ]]&lt;500,1,WWWW[[#This Row],[Total PoP ]]/500),0)</f>
        <v>1</v>
      </c>
      <c r="CV29" s="600">
        <f>(WWWW[[#This Row],['#_Constructed latrines_by_WASHAgencies]]+WWWW[[#This Row],['#_Non Cluster partner latrines]])-WWWW[[#This Row],['#_Non-functional latrines]]</f>
        <v>7</v>
      </c>
      <c r="CW29" s="70">
        <f>WWWW[[#This Row],[HRP2]]/WWWW[[#This Row],[Total PoP ]]</f>
        <v>0.86956521739130432</v>
      </c>
      <c r="CX2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 s="600">
        <f>IF(WWWW[[#This Row],['# of functional latrines in THF supported by WASH partners during the reporting period2]]="",0,WWWW[[#This Row],['# of functional latrines in THF supported by WASH partners during the reporting period2]]*50)</f>
        <v>0</v>
      </c>
      <c r="DB29" s="600">
        <f>WWWW[[#This Row],['# students access to functioning school latrines_HRP5]]+WWWW[[#This Row],['# People access to functioning latrines in THF_HRP5]]</f>
        <v>0</v>
      </c>
      <c r="DC29" s="600">
        <f>ROUND(IF(WWWW[[#This Row],[Location Type 1]]="camp",WWWW[[#This Row],[Total PoP ]]/20,IF(WWWW[[#This Row],[Location Type 1]]="Temporary Location",WWWW[[#This Row],[Total PoP ]]/50,WWWW[[#This Row],[Total HH]])),0)</f>
        <v>8</v>
      </c>
      <c r="DD29" s="600">
        <f>IF(WWWW[[#This Row],[Total required Latrines]]-(WWWW[[#This Row],['#_Constructed latrines_by_WASHAgencies]]+WWWW[[#This Row],['#_Non Cluster partner latrines]])&lt;0,0,WWWW[[#This Row],[Total required Latrines]]-(WWWW[[#This Row],['#_Constructed latrines_by_WASHAgencies]]+WWWW[[#This Row],['#_Non Cluster partner latrines]]))</f>
        <v>1</v>
      </c>
      <c r="DE29" s="602">
        <f>1-WWWW[[#This Row],[% people access to functioning Latrine]]</f>
        <v>0.13043478260869568</v>
      </c>
      <c r="DF29" s="601">
        <f>IF(OR(WWWW[[#This Row],['#_Non-functional latrines]]="",WWWW[[#This Row],['#_Non-functional latrines]]=0),0,WWWW[[#This Row],['#_Non-functional latrines]]/(WWWW[[#This Row],['#_Constructed latrines_by_WASHAgencies]]+WWWW[[#This Row],['#_Non Cluster partner latrines]]))</f>
        <v>0</v>
      </c>
      <c r="DG29" s="597">
        <f>IF(500*(WWWW[[#This Row],['#_male hygiene promoters]]+WWWW[[#This Row],['#_female hygiene promoters]])&gt;WWWW[[#This Row],[Total PoP ]],WWWW[[#This Row],[Total PoP ]],500*(WWWW[[#This Row],['#_male hygiene promoters]]+WWWW[[#This Row],['#_female hygiene promoters]]))</f>
        <v>161</v>
      </c>
      <c r="DH2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 s="600">
        <f>IF(WWWW[[#This Row],['# People with access to soap]]&gt;WWWW[[#This Row],['# People with access to Sanity Pads]],WWWW[[#This Row],['# People with access to soap]],WWWW[[#This Row],['# People with access to Sanity Pads]])</f>
        <v>0</v>
      </c>
      <c r="DK29" s="600">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29" s="602">
        <f>IF(WWWW[[#This Row],[HRP3]]/WWWW[[#This Row],[Total PoP ]]&gt;1,1,WWWW[[#This Row],[HRP3]]/WWWW[[#This Row],[Total PoP ]])</f>
        <v>1</v>
      </c>
      <c r="DM29" s="601">
        <f>1-WWWW[[#This Row],[Hygiene Coverage%]]</f>
        <v>0</v>
      </c>
      <c r="DN29" s="599">
        <f>WWWW[[#This Row],['# people reached by regular dedicated hygiene promotion_5]]/WWWW[[#This Row],[Total PoP ]]</f>
        <v>1</v>
      </c>
      <c r="DO2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 s="600">
        <f>WWWW[[#This Row],['#_Constructed/Existing hand washing stations]]-WWWW[[#This Row],['#_Non-Functional_hand_washing_stations]]</f>
        <v>0</v>
      </c>
      <c r="DR29" s="597">
        <f>IF(WWWW[[#This Row],['# Functional hand washing stations during reporting period]]*20&gt;WWWW[[#This Row],[Total HH]],WWWW[[#This Row],[Total HH]],WWWW[[#This Row],['# Functional hand washing stations during reporting period]]*20)</f>
        <v>0</v>
      </c>
      <c r="DS29" s="597">
        <f>IF(WWWW[[#This Row],[Is sufficient soap available for TLS? (Yes/No)]]="yes",WWWW[[#This Row],['#_Constructed/Existing hand washing stations at TLS]],0)</f>
        <v>0</v>
      </c>
      <c r="DT29" s="479">
        <f>IF(WWWW[[#This Row],['# Functional hand washing stations during reporting period]]*100&gt;WWWW[[#This Row],[Total PoP ]],WWWW[[#This Row],[Total PoP ]],WWWW[[#This Row],['# Functional hand washing stations during reporting period]]*100)</f>
        <v>0</v>
      </c>
      <c r="DU29" s="479" t="str">
        <f>IF(OR(WWWW[[#This Row],['#_students at TLS_CFS]]="",WWWW[[#This Row],['#_students at TLS_CFS]]=0),"No","Yes")</f>
        <v>No</v>
      </c>
      <c r="DV2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 s="593">
        <f>VLOOKUP(WWWW[[#This Row],[Site Name]],SiteDB6[[Site Name]:[CCCM Management]],6,FALSE)</f>
        <v>0</v>
      </c>
      <c r="DZ29" s="593">
        <f>VLOOKUP(WWWW[[#This Row],[Site Name]],SiteDB6[[Site Name]:[CCCM Focal Agency]],7,FALSE)</f>
        <v>0</v>
      </c>
      <c r="EA29" s="593" t="str">
        <f>VLOOKUP(WWWW[[#This Row],[Site Name]],SiteDB6[[Site Name]:[Location Type 1]],9,FALSE)</f>
        <v>Camp</v>
      </c>
      <c r="EB29" s="593" t="str">
        <f>VLOOKUP(WWWW[[#This Row],[Site Name]],SiteDB6[[Site Name]:[Type of Accommodation]],10,FALSE)</f>
        <v>Camp like setting</v>
      </c>
      <c r="EC29" s="593" t="str">
        <f>VLOOKUP(WWWW[[#This Row],[Site Name]],SiteDB6[[Site Name]:[Ethnic or GCA/NGCA]],11,FALSE)</f>
        <v>GCA</v>
      </c>
      <c r="ED29" s="593">
        <f>VLOOKUP(WWWW[[#This Row],[Site Name]],SiteDB6[[Site Name]:[Lat]],12,FALSE)</f>
        <v>0</v>
      </c>
      <c r="EE29" s="593">
        <f>VLOOKUP(WWWW[[#This Row],[Site Name]],SiteDB6[[Site Name]:[Long]],13,FALSE)</f>
        <v>0</v>
      </c>
      <c r="EF29" s="593">
        <f>VLOOKUP(WWWW[[#This Row],[Site Name]],SiteDB6[[Site Name]:[Pcode]],3,FALSE)</f>
        <v>0</v>
      </c>
      <c r="EG29" s="598" t="str">
        <f t="shared" si="0"/>
        <v>Covered</v>
      </c>
      <c r="EH29" s="598"/>
    </row>
    <row r="30" spans="1:138" hidden="1">
      <c r="A30" s="591" t="s">
        <v>3261</v>
      </c>
      <c r="B30" s="591" t="s">
        <v>144</v>
      </c>
      <c r="C30" s="592" t="s">
        <v>144</v>
      </c>
      <c r="D30" s="592" t="s">
        <v>3277</v>
      </c>
      <c r="E30" s="592" t="s">
        <v>39</v>
      </c>
      <c r="F30" s="592" t="s">
        <v>155</v>
      </c>
      <c r="G30" s="721" t="str">
        <f>VLOOKUP(WWWW[[#This Row],[Site Name]],SiteDB6[[Site Name]:[Location Type]],8,FALSE)</f>
        <v>Camp_not registered</v>
      </c>
      <c r="H30" s="592" t="s">
        <v>2073</v>
      </c>
      <c r="I30" s="594">
        <v>6</v>
      </c>
      <c r="J30" s="594">
        <v>36</v>
      </c>
      <c r="K30" s="717" t="s">
        <v>3278</v>
      </c>
      <c r="L30" s="718" t="s">
        <v>3279</v>
      </c>
      <c r="M30" s="594"/>
      <c r="N30" s="594"/>
      <c r="O30" s="594"/>
      <c r="P30" s="594"/>
      <c r="Q30" s="597" t="s">
        <v>43</v>
      </c>
      <c r="R30" s="594"/>
      <c r="S30" s="594">
        <v>4</v>
      </c>
      <c r="T30" s="523">
        <v>0</v>
      </c>
      <c r="U30" s="594"/>
      <c r="V30" s="594"/>
      <c r="W30" s="594">
        <v>1</v>
      </c>
      <c r="X30" s="594"/>
      <c r="Y30" s="594"/>
      <c r="Z30" s="594"/>
      <c r="AA30" s="594"/>
      <c r="AB30" s="594"/>
      <c r="AC30" s="594"/>
      <c r="AD30" s="594"/>
      <c r="AE30" s="594"/>
      <c r="AF30" s="594"/>
      <c r="AG30" s="594"/>
      <c r="AH30" s="594">
        <v>3</v>
      </c>
      <c r="AI30" s="594"/>
      <c r="AJ30" s="594"/>
      <c r="AK30" s="594"/>
      <c r="AL30" s="594"/>
      <c r="AM30" s="594"/>
      <c r="AN30" s="594"/>
      <c r="AO30" s="598"/>
      <c r="AP30" s="594">
        <v>2</v>
      </c>
      <c r="AQ30" s="594"/>
      <c r="AR30" s="599"/>
      <c r="AS30" s="594"/>
      <c r="AT30" s="594"/>
      <c r="AU30" s="594"/>
      <c r="AV30" s="594"/>
      <c r="AW30" s="594">
        <v>2</v>
      </c>
      <c r="AX30" s="593" t="s">
        <v>43</v>
      </c>
      <c r="AY30" s="598" t="s">
        <v>140</v>
      </c>
      <c r="AZ30" s="594"/>
      <c r="BA30" s="594"/>
      <c r="BB30" s="594"/>
      <c r="BC30" s="594"/>
      <c r="BD30" s="523"/>
      <c r="BE30" s="593"/>
      <c r="BF30" s="594">
        <v>1</v>
      </c>
      <c r="BG30" s="594"/>
      <c r="BH30" s="594"/>
      <c r="BI30" s="594">
        <v>0</v>
      </c>
      <c r="BJ30" s="594"/>
      <c r="BK30" s="594"/>
      <c r="BL30" s="594">
        <v>1</v>
      </c>
      <c r="BM30" s="594"/>
      <c r="BN30" s="594"/>
      <c r="BO30" s="593"/>
      <c r="BP30" s="594"/>
      <c r="BQ30" s="599"/>
      <c r="BR30" s="593"/>
      <c r="BS30" s="472"/>
      <c r="BT30" s="472"/>
      <c r="BU30" s="523"/>
      <c r="BV30" s="472"/>
      <c r="BW30" s="523"/>
      <c r="BX30" s="523"/>
      <c r="BY30" s="523"/>
      <c r="BZ30" s="601" t="str">
        <f>IFERROR(WWWW[[#This Row],['#_Water sources passed]]/WWWW[[#This Row],['#_Water sources tested for fecal coliform ]],"no test")</f>
        <v>no test</v>
      </c>
      <c r="CA30" s="599" t="str">
        <f>IFERROR(WWWW[[#This Row],['#_Household passed]]/WWWW[[#This Row],['#_Household water samples tested for fecal coliform]],"no test")</f>
        <v>no test</v>
      </c>
      <c r="CB30" s="600" t="str">
        <f>IF(AND(WWWW[[#This Row],[% of water sources passed]]="no test",WWWW[[#This Row],[% Household passed]]="no test"),"No Test","Tested")</f>
        <v>No Test</v>
      </c>
      <c r="CC30" s="600">
        <f>WWWW[[#This Row],['#_Constructed/existing protected hand dug well]]-WWWW[[#This Row],['#_Non-functional protected hand dug well]]</f>
        <v>0</v>
      </c>
      <c r="CD30" s="600">
        <f>(WWWW[[#This Row],['#_Constructed/Existing tube wells/boreholes/handpumps_WASH_agency]]+WWWW[[#This Row],['#_Non-Cluster partner water tube-wells/boreholes/handpumps]])-WWWW[[#This Row],['#_Non-functional tube wells/boreholes/handpumps]]</f>
        <v>1</v>
      </c>
      <c r="CE30" s="600">
        <f>WWWW[[#This Row],['#_Constructed/Existingwater storage tank with gravity fed reticulation system]]-WWWW[[#This Row],['#_Non-functional storage tank gravity fed reticulation system]]</f>
        <v>0</v>
      </c>
      <c r="CF30" s="478">
        <f>(WWWW[[#This Row],['#_Water_Liters_supplied_by_Water boating or water trucking]]/90)/15</f>
        <v>0</v>
      </c>
      <c r="CG30" s="478">
        <f>WWWW[[#This Row],['#_Water_Liters_from_Constructed/Existing water distribution system from river or natural spring]]/90/15</f>
        <v>0</v>
      </c>
      <c r="CH30" s="478">
        <f>WWWW[[#This Row],['#_of water points in TLS/CFS /THF]]*500</f>
        <v>0</v>
      </c>
      <c r="CI3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 s="599">
        <f>IF(WWWW[[#This Row],[Location Type 1]]="Village",WWWW[[#This Row],[Access to safe drinking water for Village]],WWWW[[#This Row],[Access to safe drinking water for Camp]])</f>
        <v>1</v>
      </c>
      <c r="CL30" s="597">
        <f>WWWW[[#This Row],[%Equitable and continuous access to sufficient quantity of safe drinking water]]*WWWW[[#This Row],[Total PoP ]]</f>
        <v>36</v>
      </c>
      <c r="CM30" s="599">
        <f>IF((WWWW[[#This Row],['#_Constructed/Existing protected/fenced ponds]]*250)/WWWW[[#This Row],[Total PoP ]]&gt;1,1,(WWWW[[#This Row],['#_Constructed/Existing protected/fenced ponds]]*250)/WWWW[[#This Row],[Total PoP ]])</f>
        <v>0</v>
      </c>
      <c r="CN30" s="597">
        <f>WWWW[[#This Row],[% Access to unimproved water points]]*WWWW[[#This Row],[Total PoP ]]</f>
        <v>0</v>
      </c>
      <c r="CO3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Q30" s="597">
        <f>WWWW[[#This Row],[HRP1]]/500</f>
        <v>7.1999999999999995E-2</v>
      </c>
      <c r="CR30" s="602">
        <f>1-WWWW[[#This Row],[% Equitable and continuous access to sufficient quantity of domestic water]]</f>
        <v>0</v>
      </c>
      <c r="CS30" s="597">
        <f>WWWW[[#This Row],[%equitable and continuous access to sufficient quantity of safe drinking and domestic water''s GAP]]*WWWW[[#This Row],[Total PoP ]]</f>
        <v>0</v>
      </c>
      <c r="CT30" s="600">
        <f>IF(WWWW[[#This Row],[Total required water points]]-WWWW[[#This Row],['#Water points coverage]]&lt;0,0,WWWW[[#This Row],[Total required water points]]-WWWW[[#This Row],['#Water points coverage]])</f>
        <v>0.92800000000000005</v>
      </c>
      <c r="CU30" s="600">
        <f>ROUND(IF(WWWW[[#This Row],[Total PoP ]]&lt;500,1,WWWW[[#This Row],[Total PoP ]]/500),0)</f>
        <v>1</v>
      </c>
      <c r="CV30" s="600">
        <f>(WWWW[[#This Row],['#_Constructed latrines_by_WASHAgencies]]+WWWW[[#This Row],['#_Non Cluster partner latrines]])-WWWW[[#This Row],['#_Non-functional latrines]]</f>
        <v>2</v>
      </c>
      <c r="CW30" s="70">
        <f>WWWW[[#This Row],[HRP2]]/WWWW[[#This Row],[Total PoP ]]</f>
        <v>1</v>
      </c>
      <c r="CX3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CY3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 s="600">
        <f>IF(WWWW[[#This Row],['# of functional latrines in THF supported by WASH partners during the reporting period2]]="",0,WWWW[[#This Row],['# of functional latrines in THF supported by WASH partners during the reporting period2]]*50)</f>
        <v>0</v>
      </c>
      <c r="DB30" s="600">
        <f>WWWW[[#This Row],['# students access to functioning school latrines_HRP5]]+WWWW[[#This Row],['# People access to functioning latrines in THF_HRP5]]</f>
        <v>0</v>
      </c>
      <c r="DC30" s="600">
        <f>ROUND(IF(WWWW[[#This Row],[Location Type 1]]="camp",WWWW[[#This Row],[Total PoP ]]/20,IF(WWWW[[#This Row],[Location Type 1]]="Temporary Location",WWWW[[#This Row],[Total PoP ]]/50,WWWW[[#This Row],[Total HH]])),0)</f>
        <v>2</v>
      </c>
      <c r="DD30" s="600">
        <f>IF(WWWW[[#This Row],[Total required Latrines]]-(WWWW[[#This Row],['#_Constructed latrines_by_WASHAgencies]]+WWWW[[#This Row],['#_Non Cluster partner latrines]])&lt;0,0,WWWW[[#This Row],[Total required Latrines]]-(WWWW[[#This Row],['#_Constructed latrines_by_WASHAgencies]]+WWWW[[#This Row],['#_Non Cluster partner latrines]]))</f>
        <v>0</v>
      </c>
      <c r="DE30" s="602">
        <f>1-WWWW[[#This Row],[% people access to functioning Latrine]]</f>
        <v>0</v>
      </c>
      <c r="DF30" s="601">
        <f>IF(OR(WWWW[[#This Row],['#_Non-functional latrines]]="",WWWW[[#This Row],['#_Non-functional latrines]]=0),0,WWWW[[#This Row],['#_Non-functional latrines]]/(WWWW[[#This Row],['#_Constructed latrines_by_WASHAgencies]]+WWWW[[#This Row],['#_Non Cluster partner latrines]]))</f>
        <v>0</v>
      </c>
      <c r="DG30" s="597">
        <f>IF(500*(WWWW[[#This Row],['#_male hygiene promoters]]+WWWW[[#This Row],['#_female hygiene promoters]])&gt;WWWW[[#This Row],[Total PoP ]],WWWW[[#This Row],[Total PoP ]],500*(WWWW[[#This Row],['#_male hygiene promoters]]+WWWW[[#This Row],['#_female hygiene promoters]]))</f>
        <v>36</v>
      </c>
      <c r="DH3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 s="600">
        <f>IF(WWWW[[#This Row],['# People with access to soap]]&gt;WWWW[[#This Row],['# People with access to Sanity Pads]],WWWW[[#This Row],['# People with access to soap]],WWWW[[#This Row],['# People with access to Sanity Pads]])</f>
        <v>0</v>
      </c>
      <c r="DK30" s="600">
        <f>IF(WWWW[[#This Row],['# people reached by regular dedicated hygiene promotion_5]]&gt;WWWW[[#This Row],['# People received regular supply of hygiene items_6]],WWWW[[#This Row],['# people reached by regular dedicated hygiene promotion_5]],WWWW[[#This Row],['# People received regular supply of hygiene items_6]])</f>
        <v>36</v>
      </c>
      <c r="DL30" s="602">
        <f>IF(WWWW[[#This Row],[HRP3]]/WWWW[[#This Row],[Total PoP ]]&gt;1,1,WWWW[[#This Row],[HRP3]]/WWWW[[#This Row],[Total PoP ]])</f>
        <v>1</v>
      </c>
      <c r="DM30" s="601">
        <f>1-WWWW[[#This Row],[Hygiene Coverage%]]</f>
        <v>0</v>
      </c>
      <c r="DN30" s="599">
        <f>WWWW[[#This Row],['# people reached by regular dedicated hygiene promotion_5]]/WWWW[[#This Row],[Total PoP ]]</f>
        <v>1</v>
      </c>
      <c r="DO3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 s="600">
        <f>WWWW[[#This Row],['#_Constructed/Existing hand washing stations]]-WWWW[[#This Row],['#_Non-Functional_hand_washing_stations]]</f>
        <v>1</v>
      </c>
      <c r="DR30" s="597">
        <f>IF(WWWW[[#This Row],['# Functional hand washing stations during reporting period]]*20&gt;WWWW[[#This Row],[Total HH]],WWWW[[#This Row],[Total HH]],WWWW[[#This Row],['# Functional hand washing stations during reporting period]]*20)</f>
        <v>6</v>
      </c>
      <c r="DS30" s="597">
        <f>IF(WWWW[[#This Row],[Is sufficient soap available for TLS? (Yes/No)]]="yes",WWWW[[#This Row],['#_Constructed/Existing hand washing stations at TLS]],0)</f>
        <v>0</v>
      </c>
      <c r="DT30" s="479">
        <f>IF(WWWW[[#This Row],['# Functional hand washing stations during reporting period]]*100&gt;WWWW[[#This Row],[Total PoP ]],WWWW[[#This Row],[Total PoP ]],WWWW[[#This Row],['# Functional hand washing stations during reporting period]]*100)</f>
        <v>36</v>
      </c>
      <c r="DU30" s="479" t="str">
        <f>IF(OR(WWWW[[#This Row],['#_students at TLS_CFS]]="",WWWW[[#This Row],['#_students at TLS_CFS]]=0),"No","Yes")</f>
        <v>No</v>
      </c>
      <c r="DV3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 s="593">
        <f>VLOOKUP(WWWW[[#This Row],[Site Name]],SiteDB6[[Site Name]:[CCCM Management]],6,FALSE)</f>
        <v>0</v>
      </c>
      <c r="DZ30" s="593">
        <f>VLOOKUP(WWWW[[#This Row],[Site Name]],SiteDB6[[Site Name]:[CCCM Focal Agency]],7,FALSE)</f>
        <v>0</v>
      </c>
      <c r="EA30" s="593" t="str">
        <f>VLOOKUP(WWWW[[#This Row],[Site Name]],SiteDB6[[Site Name]:[Location Type 1]],9,FALSE)</f>
        <v>Camp</v>
      </c>
      <c r="EB30" s="593" t="str">
        <f>VLOOKUP(WWWW[[#This Row],[Site Name]],SiteDB6[[Site Name]:[Type of Accommodation]],10,FALSE)</f>
        <v>Camp like setting</v>
      </c>
      <c r="EC30" s="593" t="str">
        <f>VLOOKUP(WWWW[[#This Row],[Site Name]],SiteDB6[[Site Name]:[Ethnic or GCA/NGCA]],11,FALSE)</f>
        <v>GCA</v>
      </c>
      <c r="ED30" s="593">
        <f>VLOOKUP(WWWW[[#This Row],[Site Name]],SiteDB6[[Site Name]:[Lat]],12,FALSE)</f>
        <v>0</v>
      </c>
      <c r="EE30" s="593">
        <f>VLOOKUP(WWWW[[#This Row],[Site Name]],SiteDB6[[Site Name]:[Long]],13,FALSE)</f>
        <v>0</v>
      </c>
      <c r="EF30" s="593">
        <f>VLOOKUP(WWWW[[#This Row],[Site Name]],SiteDB6[[Site Name]:[Pcode]],3,FALSE)</f>
        <v>0</v>
      </c>
      <c r="EG30" s="598" t="str">
        <f t="shared" si="0"/>
        <v>Covered</v>
      </c>
      <c r="EH30" s="598"/>
    </row>
    <row r="31" spans="1:138" hidden="1">
      <c r="A31" s="591" t="s">
        <v>3261</v>
      </c>
      <c r="B31" s="591" t="s">
        <v>144</v>
      </c>
      <c r="C31" s="592" t="s">
        <v>144</v>
      </c>
      <c r="D31" s="592" t="s">
        <v>3277</v>
      </c>
      <c r="E31" s="592" t="s">
        <v>39</v>
      </c>
      <c r="F31" s="592" t="s">
        <v>155</v>
      </c>
      <c r="G31" s="721" t="str">
        <f>VLOOKUP(WWWW[[#This Row],[Site Name]],SiteDB6[[Site Name]:[Location Type]],8,FALSE)</f>
        <v>Camp</v>
      </c>
      <c r="H31" s="592" t="s">
        <v>2174</v>
      </c>
      <c r="I31" s="594">
        <v>105</v>
      </c>
      <c r="J31" s="594">
        <v>474</v>
      </c>
      <c r="K31" s="717" t="s">
        <v>3278</v>
      </c>
      <c r="L31" s="718" t="s">
        <v>3279</v>
      </c>
      <c r="M31" s="594"/>
      <c r="N31" s="594"/>
      <c r="O31" s="594"/>
      <c r="P31" s="594"/>
      <c r="Q31" s="597" t="s">
        <v>43</v>
      </c>
      <c r="R31" s="594"/>
      <c r="S31" s="594">
        <v>4</v>
      </c>
      <c r="T31" s="523">
        <v>1</v>
      </c>
      <c r="U31" s="594"/>
      <c r="V31" s="594"/>
      <c r="W31" s="594"/>
      <c r="X31" s="594"/>
      <c r="Y31" s="594"/>
      <c r="Z31" s="594"/>
      <c r="AA31" s="594"/>
      <c r="AB31" s="594"/>
      <c r="AC31" s="594"/>
      <c r="AD31" s="594"/>
      <c r="AE31" s="594"/>
      <c r="AF31" s="594"/>
      <c r="AG31" s="594"/>
      <c r="AH31" s="594">
        <v>2</v>
      </c>
      <c r="AI31" s="594"/>
      <c r="AJ31" s="594"/>
      <c r="AK31" s="594"/>
      <c r="AL31" s="594"/>
      <c r="AM31" s="594"/>
      <c r="AN31" s="594"/>
      <c r="AO31" s="598"/>
      <c r="AP31" s="594">
        <v>13</v>
      </c>
      <c r="AQ31" s="594"/>
      <c r="AR31" s="599"/>
      <c r="AS31" s="594"/>
      <c r="AT31" s="594"/>
      <c r="AU31" s="594"/>
      <c r="AV31" s="594"/>
      <c r="AW31" s="594">
        <v>12</v>
      </c>
      <c r="AX31" s="593" t="s">
        <v>43</v>
      </c>
      <c r="AY31" s="598" t="s">
        <v>140</v>
      </c>
      <c r="AZ31" s="594"/>
      <c r="BA31" s="594"/>
      <c r="BB31" s="594"/>
      <c r="BC31" s="594"/>
      <c r="BD31" s="523"/>
      <c r="BE31" s="593"/>
      <c r="BF31" s="594">
        <v>3</v>
      </c>
      <c r="BG31" s="594"/>
      <c r="BH31" s="594"/>
      <c r="BI31" s="594">
        <v>3</v>
      </c>
      <c r="BJ31" s="594"/>
      <c r="BK31" s="594"/>
      <c r="BL31" s="594">
        <v>2</v>
      </c>
      <c r="BM31" s="594"/>
      <c r="BN31" s="594"/>
      <c r="BO31" s="593"/>
      <c r="BP31" s="594"/>
      <c r="BQ31" s="599"/>
      <c r="BR31" s="593"/>
      <c r="BS31" s="472"/>
      <c r="BT31" s="472"/>
      <c r="BU31" s="523"/>
      <c r="BV31" s="472"/>
      <c r="BW31" s="523"/>
      <c r="BX31" s="523"/>
      <c r="BY31" s="523"/>
      <c r="BZ31" s="601" t="str">
        <f>IFERROR(WWWW[[#This Row],['#_Water sources passed]]/WWWW[[#This Row],['#_Water sources tested for fecal coliform ]],"no test")</f>
        <v>no test</v>
      </c>
      <c r="CA31" s="599" t="str">
        <f>IFERROR(WWWW[[#This Row],['#_Household passed]]/WWWW[[#This Row],['#_Household water samples tested for fecal coliform]],"no test")</f>
        <v>no test</v>
      </c>
      <c r="CB31" s="600" t="str">
        <f>IF(AND(WWWW[[#This Row],[% of water sources passed]]="no test",WWWW[[#This Row],[% Household passed]]="no test"),"No Test","Tested")</f>
        <v>No Test</v>
      </c>
      <c r="CC31" s="600">
        <f>WWWW[[#This Row],['#_Constructed/existing protected hand dug well]]-WWWW[[#This Row],['#_Non-functional protected hand dug well]]</f>
        <v>1</v>
      </c>
      <c r="CD31" s="600">
        <f>(WWWW[[#This Row],['#_Constructed/Existing tube wells/boreholes/handpumps_WASH_agency]]+WWWW[[#This Row],['#_Non-Cluster partner water tube-wells/boreholes/handpumps]])-WWWW[[#This Row],['#_Non-functional tube wells/boreholes/handpumps]]</f>
        <v>0</v>
      </c>
      <c r="CE31" s="600">
        <f>WWWW[[#This Row],['#_Constructed/Existingwater storage tank with gravity fed reticulation system]]-WWWW[[#This Row],['#_Non-functional storage tank gravity fed reticulation system]]</f>
        <v>0</v>
      </c>
      <c r="CF31" s="478">
        <f>(WWWW[[#This Row],['#_Water_Liters_supplied_by_Water boating or water trucking]]/90)/15</f>
        <v>0</v>
      </c>
      <c r="CG31" s="478">
        <f>WWWW[[#This Row],['#_Water_Liters_from_Constructed/Existing water distribution system from river or natural spring]]/90/15</f>
        <v>0</v>
      </c>
      <c r="CH31" s="478">
        <f>WWWW[[#This Row],['#_of water points in TLS/CFS /THF]]*500</f>
        <v>0</v>
      </c>
      <c r="CI3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J3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K31" s="599">
        <f>IF(WWWW[[#This Row],[Location Type 1]]="Village",WWWW[[#This Row],[Access to safe drinking water for Village]],WWWW[[#This Row],[Access to safe drinking water for Camp]])</f>
        <v>0.84388185654008441</v>
      </c>
      <c r="CL31" s="597">
        <f>WWWW[[#This Row],[%Equitable and continuous access to sufficient quantity of safe drinking water]]*WWWW[[#This Row],[Total PoP ]]</f>
        <v>400</v>
      </c>
      <c r="CM31" s="599">
        <f>IF((WWWW[[#This Row],['#_Constructed/Existing protected/fenced ponds]]*250)/WWWW[[#This Row],[Total PoP ]]&gt;1,1,(WWWW[[#This Row],['#_Constructed/Existing protected/fenced ponds]]*250)/WWWW[[#This Row],[Total PoP ]])</f>
        <v>0</v>
      </c>
      <c r="CN31" s="597">
        <f>WWWW[[#This Row],[% Access to unimproved water points]]*WWWW[[#This Row],[Total PoP ]]</f>
        <v>0</v>
      </c>
      <c r="CO3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P3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31" s="597">
        <f>WWWW[[#This Row],[HRP1]]/500</f>
        <v>0.8</v>
      </c>
      <c r="CR31" s="602">
        <f>1-WWWW[[#This Row],[% Equitable and continuous access to sufficient quantity of domestic water]]</f>
        <v>0.15611814345991559</v>
      </c>
      <c r="CS31" s="597">
        <f>WWWW[[#This Row],[%equitable and continuous access to sufficient quantity of safe drinking and domestic water''s GAP]]*WWWW[[#This Row],[Total PoP ]]</f>
        <v>73.999999999999986</v>
      </c>
      <c r="CT31" s="600">
        <f>IF(WWWW[[#This Row],[Total required water points]]-WWWW[[#This Row],['#Water points coverage]]&lt;0,0,WWWW[[#This Row],[Total required water points]]-WWWW[[#This Row],['#Water points coverage]])</f>
        <v>0.19999999999999996</v>
      </c>
      <c r="CU31" s="600">
        <f>ROUND(IF(WWWW[[#This Row],[Total PoP ]]&lt;500,1,WWWW[[#This Row],[Total PoP ]]/500),0)</f>
        <v>1</v>
      </c>
      <c r="CV31" s="600">
        <f>(WWWW[[#This Row],['#_Constructed latrines_by_WASHAgencies]]+WWWW[[#This Row],['#_Non Cluster partner latrines]])-WWWW[[#This Row],['#_Non-functional latrines]]</f>
        <v>13</v>
      </c>
      <c r="CW31" s="70">
        <f>WWWW[[#This Row],[HRP2]]/WWWW[[#This Row],[Total PoP ]]</f>
        <v>0.54852320675105481</v>
      </c>
      <c r="CX3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3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 s="600">
        <f>IF(WWWW[[#This Row],['# of functional latrines in THF supported by WASH partners during the reporting period2]]="",0,WWWW[[#This Row],['# of functional latrines in THF supported by WASH partners during the reporting period2]]*50)</f>
        <v>0</v>
      </c>
      <c r="DB31" s="600">
        <f>WWWW[[#This Row],['# students access to functioning school latrines_HRP5]]+WWWW[[#This Row],['# People access to functioning latrines in THF_HRP5]]</f>
        <v>0</v>
      </c>
      <c r="DC31" s="600">
        <f>ROUND(IF(WWWW[[#This Row],[Location Type 1]]="camp",WWWW[[#This Row],[Total PoP ]]/20,IF(WWWW[[#This Row],[Location Type 1]]="Temporary Location",WWWW[[#This Row],[Total PoP ]]/50,WWWW[[#This Row],[Total HH]])),0)</f>
        <v>24</v>
      </c>
      <c r="DD31" s="600">
        <f>IF(WWWW[[#This Row],[Total required Latrines]]-(WWWW[[#This Row],['#_Constructed latrines_by_WASHAgencies]]+WWWW[[#This Row],['#_Non Cluster partner latrines]])&lt;0,0,WWWW[[#This Row],[Total required Latrines]]-(WWWW[[#This Row],['#_Constructed latrines_by_WASHAgencies]]+WWWW[[#This Row],['#_Non Cluster partner latrines]]))</f>
        <v>11</v>
      </c>
      <c r="DE31" s="602">
        <f>1-WWWW[[#This Row],[% people access to functioning Latrine]]</f>
        <v>0.45147679324894519</v>
      </c>
      <c r="DF31" s="601">
        <f>IF(OR(WWWW[[#This Row],['#_Non-functional latrines]]="",WWWW[[#This Row],['#_Non-functional latrines]]=0),0,WWWW[[#This Row],['#_Non-functional latrines]]/(WWWW[[#This Row],['#_Constructed latrines_by_WASHAgencies]]+WWWW[[#This Row],['#_Non Cluster partner latrines]]))</f>
        <v>0</v>
      </c>
      <c r="DG31" s="597">
        <f>IF(500*(WWWW[[#This Row],['#_male hygiene promoters]]+WWWW[[#This Row],['#_female hygiene promoters]])&gt;WWWW[[#This Row],[Total PoP ]],WWWW[[#This Row],[Total PoP ]],500*(WWWW[[#This Row],['#_male hygiene promoters]]+WWWW[[#This Row],['#_female hygiene promoters]]))</f>
        <v>474</v>
      </c>
      <c r="DH3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 s="600">
        <f>IF(WWWW[[#This Row],['# People with access to soap]]&gt;WWWW[[#This Row],['# People with access to Sanity Pads]],WWWW[[#This Row],['# People with access to soap]],WWWW[[#This Row],['# People with access to Sanity Pads]])</f>
        <v>0</v>
      </c>
      <c r="DK31" s="600">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L31" s="602">
        <f>IF(WWWW[[#This Row],[HRP3]]/WWWW[[#This Row],[Total PoP ]]&gt;1,1,WWWW[[#This Row],[HRP3]]/WWWW[[#This Row],[Total PoP ]])</f>
        <v>1</v>
      </c>
      <c r="DM31" s="601">
        <f>1-WWWW[[#This Row],[Hygiene Coverage%]]</f>
        <v>0</v>
      </c>
      <c r="DN31" s="599">
        <f>WWWW[[#This Row],['# people reached by regular dedicated hygiene promotion_5]]/WWWW[[#This Row],[Total PoP ]]</f>
        <v>1</v>
      </c>
      <c r="DO3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 s="600">
        <f>WWWW[[#This Row],['#_Constructed/Existing hand washing stations]]-WWWW[[#This Row],['#_Non-Functional_hand_washing_stations]]</f>
        <v>3</v>
      </c>
      <c r="DR31" s="597">
        <f>IF(WWWW[[#This Row],['# Functional hand washing stations during reporting period]]*20&gt;WWWW[[#This Row],[Total HH]],WWWW[[#This Row],[Total HH]],WWWW[[#This Row],['# Functional hand washing stations during reporting period]]*20)</f>
        <v>60</v>
      </c>
      <c r="DS31" s="597">
        <f>IF(WWWW[[#This Row],[Is sufficient soap available for TLS? (Yes/No)]]="yes",WWWW[[#This Row],['#_Constructed/Existing hand washing stations at TLS]],0)</f>
        <v>0</v>
      </c>
      <c r="DT31" s="479">
        <f>IF(WWWW[[#This Row],['# Functional hand washing stations during reporting period]]*100&gt;WWWW[[#This Row],[Total PoP ]],WWWW[[#This Row],[Total PoP ]],WWWW[[#This Row],['# Functional hand washing stations during reporting period]]*100)</f>
        <v>300</v>
      </c>
      <c r="DU31" s="479" t="str">
        <f>IF(OR(WWWW[[#This Row],['#_students at TLS_CFS]]="",WWWW[[#This Row],['#_students at TLS_CFS]]=0),"No","Yes")</f>
        <v>No</v>
      </c>
      <c r="DV3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 s="593">
        <f>VLOOKUP(WWWW[[#This Row],[Site Name]],SiteDB6[[Site Name]:[CCCM Management]],6,FALSE)</f>
        <v>0</v>
      </c>
      <c r="DZ31" s="593" t="str">
        <f>VLOOKUP(WWWW[[#This Row],[Site Name]],SiteDB6[[Site Name]:[CCCM Focal Agency]],7,FALSE)</f>
        <v>KBC-MYT</v>
      </c>
      <c r="EA31" s="593" t="str">
        <f>VLOOKUP(WWWW[[#This Row],[Site Name]],SiteDB6[[Site Name]:[Location Type 1]],9,FALSE)</f>
        <v>Camp</v>
      </c>
      <c r="EB31" s="593" t="str">
        <f>VLOOKUP(WWWW[[#This Row],[Site Name]],SiteDB6[[Site Name]:[Type of Accommodation]],10,FALSE)</f>
        <v>Camp</v>
      </c>
      <c r="EC31" s="593" t="str">
        <f>VLOOKUP(WWWW[[#This Row],[Site Name]],SiteDB6[[Site Name]:[Ethnic or GCA/NGCA]],11,FALSE)</f>
        <v>GCA</v>
      </c>
      <c r="ED31" s="593">
        <f>VLOOKUP(WWWW[[#This Row],[Site Name]],SiteDB6[[Site Name]:[Lat]],12,FALSE)</f>
        <v>25.379014999999999</v>
      </c>
      <c r="EE31" s="593">
        <f>VLOOKUP(WWWW[[#This Row],[Site Name]],SiteDB6[[Site Name]:[Long]],13,FALSE)</f>
        <v>97.104997409999996</v>
      </c>
      <c r="EF31" s="593" t="str">
        <f>VLOOKUP(WWWW[[#This Row],[Site Name]],SiteDB6[[Site Name]:[Pcode]],3,FALSE)</f>
        <v>MMR001CMP261</v>
      </c>
      <c r="EG31" s="598" t="str">
        <f t="shared" si="0"/>
        <v>Covered</v>
      </c>
      <c r="EH31" s="598" t="str">
        <f>VLOOKUP(WWWW[[#This Row],[Site Name]],SiteDB6[[Site Name]:[open in cccm?]],2,FALSE)</f>
        <v>cccm_2019OCT</v>
      </c>
    </row>
    <row r="32" spans="1:138" hidden="1">
      <c r="A32" s="591" t="s">
        <v>3261</v>
      </c>
      <c r="B32" s="591" t="s">
        <v>144</v>
      </c>
      <c r="C32" s="592" t="s">
        <v>144</v>
      </c>
      <c r="D32" s="592" t="s">
        <v>3277</v>
      </c>
      <c r="E32" s="592" t="s">
        <v>39</v>
      </c>
      <c r="F32" s="592" t="s">
        <v>155</v>
      </c>
      <c r="G32" s="721" t="str">
        <f>VLOOKUP(WWWW[[#This Row],[Site Name]],SiteDB6[[Site Name]:[Location Type]],8,FALSE)</f>
        <v>Camp</v>
      </c>
      <c r="H32" s="592" t="s">
        <v>158</v>
      </c>
      <c r="I32" s="594">
        <v>10</v>
      </c>
      <c r="J32" s="594">
        <v>41</v>
      </c>
      <c r="K32" s="717" t="s">
        <v>3278</v>
      </c>
      <c r="L32" s="718" t="s">
        <v>3279</v>
      </c>
      <c r="M32" s="594"/>
      <c r="N32" s="594"/>
      <c r="O32" s="594"/>
      <c r="P32" s="594"/>
      <c r="Q32" s="597" t="s">
        <v>43</v>
      </c>
      <c r="R32" s="594"/>
      <c r="S32" s="594">
        <v>4</v>
      </c>
      <c r="T32" s="523">
        <v>1</v>
      </c>
      <c r="U32" s="594"/>
      <c r="V32" s="594"/>
      <c r="W32" s="594"/>
      <c r="X32" s="594"/>
      <c r="Y32" s="594"/>
      <c r="Z32" s="594"/>
      <c r="AA32" s="594"/>
      <c r="AB32" s="594"/>
      <c r="AC32" s="594"/>
      <c r="AD32" s="594"/>
      <c r="AE32" s="594"/>
      <c r="AF32" s="594"/>
      <c r="AG32" s="594"/>
      <c r="AH32" s="594">
        <v>3</v>
      </c>
      <c r="AI32" s="594"/>
      <c r="AJ32" s="594"/>
      <c r="AK32" s="594"/>
      <c r="AL32" s="594"/>
      <c r="AM32" s="594"/>
      <c r="AN32" s="594"/>
      <c r="AO32" s="598"/>
      <c r="AP32" s="594">
        <v>3</v>
      </c>
      <c r="AQ32" s="594"/>
      <c r="AR32" s="599"/>
      <c r="AS32" s="594"/>
      <c r="AT32" s="594"/>
      <c r="AU32" s="594"/>
      <c r="AV32" s="594"/>
      <c r="AW32" s="594">
        <v>3</v>
      </c>
      <c r="AX32" s="593" t="s">
        <v>43</v>
      </c>
      <c r="AY32" s="598" t="s">
        <v>140</v>
      </c>
      <c r="AZ32" s="594"/>
      <c r="BA32" s="594"/>
      <c r="BB32" s="594"/>
      <c r="BC32" s="594"/>
      <c r="BD32" s="523"/>
      <c r="BE32" s="593"/>
      <c r="BF32" s="594">
        <v>2</v>
      </c>
      <c r="BG32" s="594"/>
      <c r="BH32" s="594"/>
      <c r="BI32" s="594">
        <v>2</v>
      </c>
      <c r="BJ32" s="594"/>
      <c r="BK32" s="594"/>
      <c r="BL32" s="594">
        <v>1</v>
      </c>
      <c r="BM32" s="594"/>
      <c r="BN32" s="594"/>
      <c r="BO32" s="593"/>
      <c r="BP32" s="594"/>
      <c r="BQ32" s="599"/>
      <c r="BR32" s="593"/>
      <c r="BS32" s="472"/>
      <c r="BT32" s="472"/>
      <c r="BU32" s="523"/>
      <c r="BV32" s="472"/>
      <c r="BW32" s="523"/>
      <c r="BX32" s="523"/>
      <c r="BY32" s="523"/>
      <c r="BZ32" s="601" t="str">
        <f>IFERROR(WWWW[[#This Row],['#_Water sources passed]]/WWWW[[#This Row],['#_Water sources tested for fecal coliform ]],"no test")</f>
        <v>no test</v>
      </c>
      <c r="CA32" s="599" t="str">
        <f>IFERROR(WWWW[[#This Row],['#_Household passed]]/WWWW[[#This Row],['#_Household water samples tested for fecal coliform]],"no test")</f>
        <v>no test</v>
      </c>
      <c r="CB32" s="600" t="str">
        <f>IF(AND(WWWW[[#This Row],[% of water sources passed]]="no test",WWWW[[#This Row],[% Household passed]]="no test"),"No Test","Tested")</f>
        <v>No Test</v>
      </c>
      <c r="CC32" s="600">
        <f>WWWW[[#This Row],['#_Constructed/existing protected hand dug well]]-WWWW[[#This Row],['#_Non-functional protected hand dug well]]</f>
        <v>1</v>
      </c>
      <c r="CD32" s="600">
        <f>(WWWW[[#This Row],['#_Constructed/Existing tube wells/boreholes/handpumps_WASH_agency]]+WWWW[[#This Row],['#_Non-Cluster partner water tube-wells/boreholes/handpumps]])-WWWW[[#This Row],['#_Non-functional tube wells/boreholes/handpumps]]</f>
        <v>0</v>
      </c>
      <c r="CE32" s="600">
        <f>WWWW[[#This Row],['#_Constructed/Existingwater storage tank with gravity fed reticulation system]]-WWWW[[#This Row],['#_Non-functional storage tank gravity fed reticulation system]]</f>
        <v>0</v>
      </c>
      <c r="CF32" s="478">
        <f>(WWWW[[#This Row],['#_Water_Liters_supplied_by_Water boating or water trucking]]/90)/15</f>
        <v>0</v>
      </c>
      <c r="CG32" s="478">
        <f>WWWW[[#This Row],['#_Water_Liters_from_Constructed/Existing water distribution system from river or natural spring]]/90/15</f>
        <v>0</v>
      </c>
      <c r="CH32" s="478">
        <f>WWWW[[#This Row],['#_of water points in TLS/CFS /THF]]*500</f>
        <v>0</v>
      </c>
      <c r="CI3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 s="599">
        <f>IF(WWWW[[#This Row],[Location Type 1]]="Village",WWWW[[#This Row],[Access to safe drinking water for Village]],WWWW[[#This Row],[Access to safe drinking water for Camp]])</f>
        <v>1</v>
      </c>
      <c r="CL32" s="597">
        <f>WWWW[[#This Row],[%Equitable and continuous access to sufficient quantity of safe drinking water]]*WWWW[[#This Row],[Total PoP ]]</f>
        <v>41</v>
      </c>
      <c r="CM32" s="599">
        <f>IF((WWWW[[#This Row],['#_Constructed/Existing protected/fenced ponds]]*250)/WWWW[[#This Row],[Total PoP ]]&gt;1,1,(WWWW[[#This Row],['#_Constructed/Existing protected/fenced ponds]]*250)/WWWW[[#This Row],[Total PoP ]])</f>
        <v>0</v>
      </c>
      <c r="CN32" s="597">
        <f>WWWW[[#This Row],[% Access to unimproved water points]]*WWWW[[#This Row],[Total PoP ]]</f>
        <v>0</v>
      </c>
      <c r="CO3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Q32" s="597">
        <f>WWWW[[#This Row],[HRP1]]/500</f>
        <v>8.2000000000000003E-2</v>
      </c>
      <c r="CR32" s="602">
        <f>1-WWWW[[#This Row],[% Equitable and continuous access to sufficient quantity of domestic water]]</f>
        <v>0</v>
      </c>
      <c r="CS32" s="597">
        <f>WWWW[[#This Row],[%equitable and continuous access to sufficient quantity of safe drinking and domestic water''s GAP]]*WWWW[[#This Row],[Total PoP ]]</f>
        <v>0</v>
      </c>
      <c r="CT32" s="600">
        <f>IF(WWWW[[#This Row],[Total required water points]]-WWWW[[#This Row],['#Water points coverage]]&lt;0,0,WWWW[[#This Row],[Total required water points]]-WWWW[[#This Row],['#Water points coverage]])</f>
        <v>0.91800000000000004</v>
      </c>
      <c r="CU32" s="600">
        <f>ROUND(IF(WWWW[[#This Row],[Total PoP ]]&lt;500,1,WWWW[[#This Row],[Total PoP ]]/500),0)</f>
        <v>1</v>
      </c>
      <c r="CV32" s="600">
        <f>(WWWW[[#This Row],['#_Constructed latrines_by_WASHAgencies]]+WWWW[[#This Row],['#_Non Cluster partner latrines]])-WWWW[[#This Row],['#_Non-functional latrines]]</f>
        <v>3</v>
      </c>
      <c r="CW32" s="70">
        <f>WWWW[[#This Row],[HRP2]]/WWWW[[#This Row],[Total PoP ]]</f>
        <v>1</v>
      </c>
      <c r="CX3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CY3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 s="600">
        <f>IF(WWWW[[#This Row],['# of functional latrines in THF supported by WASH partners during the reporting period2]]="",0,WWWW[[#This Row],['# of functional latrines in THF supported by WASH partners during the reporting period2]]*50)</f>
        <v>0</v>
      </c>
      <c r="DB32" s="600">
        <f>WWWW[[#This Row],['# students access to functioning school latrines_HRP5]]+WWWW[[#This Row],['# People access to functioning latrines in THF_HRP5]]</f>
        <v>0</v>
      </c>
      <c r="DC32" s="600">
        <f>ROUND(IF(WWWW[[#This Row],[Location Type 1]]="camp",WWWW[[#This Row],[Total PoP ]]/20,IF(WWWW[[#This Row],[Location Type 1]]="Temporary Location",WWWW[[#This Row],[Total PoP ]]/50,WWWW[[#This Row],[Total HH]])),0)</f>
        <v>2</v>
      </c>
      <c r="DD32" s="600">
        <f>IF(WWWW[[#This Row],[Total required Latrines]]-(WWWW[[#This Row],['#_Constructed latrines_by_WASHAgencies]]+WWWW[[#This Row],['#_Non Cluster partner latrines]])&lt;0,0,WWWW[[#This Row],[Total required Latrines]]-(WWWW[[#This Row],['#_Constructed latrines_by_WASHAgencies]]+WWWW[[#This Row],['#_Non Cluster partner latrines]]))</f>
        <v>0</v>
      </c>
      <c r="DE32" s="602">
        <f>1-WWWW[[#This Row],[% people access to functioning Latrine]]</f>
        <v>0</v>
      </c>
      <c r="DF32" s="601">
        <f>IF(OR(WWWW[[#This Row],['#_Non-functional latrines]]="",WWWW[[#This Row],['#_Non-functional latrines]]=0),0,WWWW[[#This Row],['#_Non-functional latrines]]/(WWWW[[#This Row],['#_Constructed latrines_by_WASHAgencies]]+WWWW[[#This Row],['#_Non Cluster partner latrines]]))</f>
        <v>0</v>
      </c>
      <c r="DG32" s="597">
        <f>IF(500*(WWWW[[#This Row],['#_male hygiene promoters]]+WWWW[[#This Row],['#_female hygiene promoters]])&gt;WWWW[[#This Row],[Total PoP ]],WWWW[[#This Row],[Total PoP ]],500*(WWWW[[#This Row],['#_male hygiene promoters]]+WWWW[[#This Row],['#_female hygiene promoters]]))</f>
        <v>41</v>
      </c>
      <c r="DH3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 s="600">
        <f>IF(WWWW[[#This Row],['# People with access to soap]]&gt;WWWW[[#This Row],['# People with access to Sanity Pads]],WWWW[[#This Row],['# People with access to soap]],WWWW[[#This Row],['# People with access to Sanity Pads]])</f>
        <v>0</v>
      </c>
      <c r="DK32" s="600">
        <f>IF(WWWW[[#This Row],['# people reached by regular dedicated hygiene promotion_5]]&gt;WWWW[[#This Row],['# People received regular supply of hygiene items_6]],WWWW[[#This Row],['# people reached by regular dedicated hygiene promotion_5]],WWWW[[#This Row],['# People received regular supply of hygiene items_6]])</f>
        <v>41</v>
      </c>
      <c r="DL32" s="602">
        <f>IF(WWWW[[#This Row],[HRP3]]/WWWW[[#This Row],[Total PoP ]]&gt;1,1,WWWW[[#This Row],[HRP3]]/WWWW[[#This Row],[Total PoP ]])</f>
        <v>1</v>
      </c>
      <c r="DM32" s="601">
        <f>1-WWWW[[#This Row],[Hygiene Coverage%]]</f>
        <v>0</v>
      </c>
      <c r="DN32" s="599">
        <f>WWWW[[#This Row],['# people reached by regular dedicated hygiene promotion_5]]/WWWW[[#This Row],[Total PoP ]]</f>
        <v>1</v>
      </c>
      <c r="DO3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 s="600">
        <f>WWWW[[#This Row],['#_Constructed/Existing hand washing stations]]-WWWW[[#This Row],['#_Non-Functional_hand_washing_stations]]</f>
        <v>2</v>
      </c>
      <c r="DR32" s="597">
        <f>IF(WWWW[[#This Row],['# Functional hand washing stations during reporting period]]*20&gt;WWWW[[#This Row],[Total HH]],WWWW[[#This Row],[Total HH]],WWWW[[#This Row],['# Functional hand washing stations during reporting period]]*20)</f>
        <v>10</v>
      </c>
      <c r="DS32" s="597">
        <f>IF(WWWW[[#This Row],[Is sufficient soap available for TLS? (Yes/No)]]="yes",WWWW[[#This Row],['#_Constructed/Existing hand washing stations at TLS]],0)</f>
        <v>0</v>
      </c>
      <c r="DT32" s="479">
        <f>IF(WWWW[[#This Row],['# Functional hand washing stations during reporting period]]*100&gt;WWWW[[#This Row],[Total PoP ]],WWWW[[#This Row],[Total PoP ]],WWWW[[#This Row],['# Functional hand washing stations during reporting period]]*100)</f>
        <v>41</v>
      </c>
      <c r="DU32" s="479" t="str">
        <f>IF(OR(WWWW[[#This Row],['#_students at TLS_CFS]]="",WWWW[[#This Row],['#_students at TLS_CFS]]=0),"No","Yes")</f>
        <v>No</v>
      </c>
      <c r="DV3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 s="593" t="str">
        <f>VLOOKUP(WWWW[[#This Row],[Site Name]],SiteDB6[[Site Name]:[CCCM Management]],6,FALSE)</f>
        <v>Yes</v>
      </c>
      <c r="DZ32" s="593" t="str">
        <f>VLOOKUP(WWWW[[#This Row],[Site Name]],SiteDB6[[Site Name]:[CCCM Focal Agency]],7,FALSE)</f>
        <v>KBC-MYT</v>
      </c>
      <c r="EA32" s="593" t="str">
        <f>VLOOKUP(WWWW[[#This Row],[Site Name]],SiteDB6[[Site Name]:[Location Type 1]],9,FALSE)</f>
        <v>Camp</v>
      </c>
      <c r="EB32" s="593" t="str">
        <f>VLOOKUP(WWWW[[#This Row],[Site Name]],SiteDB6[[Site Name]:[Type of Accommodation]],10,FALSE)</f>
        <v>Camp</v>
      </c>
      <c r="EC32" s="593" t="str">
        <f>VLOOKUP(WWWW[[#This Row],[Site Name]],SiteDB6[[Site Name]:[Ethnic or GCA/NGCA]],11,FALSE)</f>
        <v>GCA</v>
      </c>
      <c r="ED32" s="593">
        <f>VLOOKUP(WWWW[[#This Row],[Site Name]],SiteDB6[[Site Name]:[Lat]],12,FALSE)</f>
        <v>25.30442</v>
      </c>
      <c r="EE32" s="593">
        <f>VLOOKUP(WWWW[[#This Row],[Site Name]],SiteDB6[[Site Name]:[Long]],13,FALSE)</f>
        <v>96.948740000000001</v>
      </c>
      <c r="EF32" s="593" t="str">
        <f>VLOOKUP(WWWW[[#This Row],[Site Name]],SiteDB6[[Site Name]:[Pcode]],3,FALSE)</f>
        <v>MMR001CMP079</v>
      </c>
      <c r="EG32" s="598" t="str">
        <f t="shared" si="0"/>
        <v>Covered</v>
      </c>
      <c r="EH32" s="598" t="str">
        <f>VLOOKUP(WWWW[[#This Row],[Site Name]],SiteDB6[[Site Name]:[open in cccm?]],2,FALSE)</f>
        <v>cccm_2019OCT</v>
      </c>
    </row>
    <row r="33" spans="1:138" hidden="1">
      <c r="A33" s="591" t="s">
        <v>3261</v>
      </c>
      <c r="B33" s="591" t="s">
        <v>144</v>
      </c>
      <c r="C33" s="592" t="s">
        <v>144</v>
      </c>
      <c r="D33" s="404" t="s">
        <v>3277</v>
      </c>
      <c r="E33" s="592" t="s">
        <v>39</v>
      </c>
      <c r="F33" s="592" t="s">
        <v>160</v>
      </c>
      <c r="G33" s="721" t="str">
        <f>VLOOKUP(WWWW[[#This Row],[Site Name]],SiteDB6[[Site Name]:[Location Type]],8,FALSE)</f>
        <v>Camp</v>
      </c>
      <c r="H33" s="592" t="s">
        <v>161</v>
      </c>
      <c r="I33" s="594">
        <v>22</v>
      </c>
      <c r="J33" s="594">
        <v>113</v>
      </c>
      <c r="K33" s="407" t="s">
        <v>3278</v>
      </c>
      <c r="L33" s="56" t="s">
        <v>3279</v>
      </c>
      <c r="M33" s="594"/>
      <c r="N33" s="594"/>
      <c r="O33" s="594"/>
      <c r="P33" s="594"/>
      <c r="Q33" s="597" t="s">
        <v>43</v>
      </c>
      <c r="R33" s="594"/>
      <c r="S33" s="594">
        <v>4</v>
      </c>
      <c r="T33" s="523">
        <v>0</v>
      </c>
      <c r="U33" s="594"/>
      <c r="V33" s="594"/>
      <c r="W33" s="594">
        <v>3</v>
      </c>
      <c r="X33" s="594"/>
      <c r="Y33" s="594"/>
      <c r="Z33" s="594"/>
      <c r="AA33" s="594"/>
      <c r="AB33" s="594"/>
      <c r="AC33" s="594"/>
      <c r="AD33" s="594"/>
      <c r="AE33" s="594"/>
      <c r="AF33" s="594"/>
      <c r="AG33" s="594"/>
      <c r="AH33" s="594">
        <v>0</v>
      </c>
      <c r="AI33" s="594"/>
      <c r="AJ33" s="594"/>
      <c r="AK33" s="594"/>
      <c r="AL33" s="594"/>
      <c r="AM33" s="594"/>
      <c r="AN33" s="594"/>
      <c r="AO33" s="598"/>
      <c r="AP33" s="594">
        <v>5</v>
      </c>
      <c r="AQ33" s="594"/>
      <c r="AR33" s="599"/>
      <c r="AS33" s="594"/>
      <c r="AT33" s="594"/>
      <c r="AU33" s="594"/>
      <c r="AV33" s="594"/>
      <c r="AW33" s="594"/>
      <c r="AX33" s="593" t="s">
        <v>43</v>
      </c>
      <c r="AY33" s="598" t="s">
        <v>1195</v>
      </c>
      <c r="AZ33" s="594"/>
      <c r="BA33" s="594"/>
      <c r="BB33" s="594"/>
      <c r="BC33" s="594"/>
      <c r="BD33" s="523"/>
      <c r="BE33" s="593"/>
      <c r="BF33" s="594">
        <v>2</v>
      </c>
      <c r="BG33" s="594"/>
      <c r="BH33" s="594"/>
      <c r="BI33" s="594">
        <v>2</v>
      </c>
      <c r="BJ33" s="594"/>
      <c r="BK33" s="594"/>
      <c r="BL33" s="594">
        <v>1</v>
      </c>
      <c r="BM33" s="594"/>
      <c r="BN33" s="594"/>
      <c r="BO33" s="593"/>
      <c r="BP33" s="594"/>
      <c r="BQ33" s="599"/>
      <c r="BR33" s="593"/>
      <c r="BS33" s="472"/>
      <c r="BT33" s="472"/>
      <c r="BU33" s="523"/>
      <c r="BV33" s="472"/>
      <c r="BW33" s="523"/>
      <c r="BX33" s="523"/>
      <c r="BY33" s="523"/>
      <c r="BZ33" s="601" t="str">
        <f>IFERROR(WWWW[[#This Row],['#_Water sources passed]]/WWWW[[#This Row],['#_Water sources tested for fecal coliform ]],"no test")</f>
        <v>no test</v>
      </c>
      <c r="CA33" s="599" t="str">
        <f>IFERROR(WWWW[[#This Row],['#_Household passed]]/WWWW[[#This Row],['#_Household water samples tested for fecal coliform]],"no test")</f>
        <v>no test</v>
      </c>
      <c r="CB33" s="600" t="str">
        <f>IF(AND(WWWW[[#This Row],[% of water sources passed]]="no test",WWWW[[#This Row],[% Household passed]]="no test"),"No Test","Tested")</f>
        <v>No Test</v>
      </c>
      <c r="CC33" s="600">
        <f>WWWW[[#This Row],['#_Constructed/existing protected hand dug well]]-WWWW[[#This Row],['#_Non-functional protected hand dug well]]</f>
        <v>0</v>
      </c>
      <c r="CD33" s="600">
        <f>(WWWW[[#This Row],['#_Constructed/Existing tube wells/boreholes/handpumps_WASH_agency]]+WWWW[[#This Row],['#_Non-Cluster partner water tube-wells/boreholes/handpumps]])-WWWW[[#This Row],['#_Non-functional tube wells/boreholes/handpumps]]</f>
        <v>3</v>
      </c>
      <c r="CE33" s="600">
        <f>WWWW[[#This Row],['#_Constructed/Existingwater storage tank with gravity fed reticulation system]]-WWWW[[#This Row],['#_Non-functional storage tank gravity fed reticulation system]]</f>
        <v>0</v>
      </c>
      <c r="CF33" s="478">
        <f>(WWWW[[#This Row],['#_Water_Liters_supplied_by_Water boating or water trucking]]/90)/15</f>
        <v>0</v>
      </c>
      <c r="CG33" s="478">
        <f>WWWW[[#This Row],['#_Water_Liters_from_Constructed/Existing water distribution system from river or natural spring]]/90/15</f>
        <v>0</v>
      </c>
      <c r="CH33" s="478">
        <f>WWWW[[#This Row],['#_of water points in TLS/CFS /THF]]*500</f>
        <v>0</v>
      </c>
      <c r="CI3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 s="599">
        <f>IF(WWWW[[#This Row],[Location Type 1]]="Village",WWWW[[#This Row],[Access to safe drinking water for Village]],WWWW[[#This Row],[Access to safe drinking water for Camp]])</f>
        <v>1</v>
      </c>
      <c r="CL33" s="597">
        <f>WWWW[[#This Row],[%Equitable and continuous access to sufficient quantity of safe drinking water]]*WWWW[[#This Row],[Total PoP ]]</f>
        <v>113</v>
      </c>
      <c r="CM33" s="599">
        <f>IF((WWWW[[#This Row],['#_Constructed/Existing protected/fenced ponds]]*250)/WWWW[[#This Row],[Total PoP ]]&gt;1,1,(WWWW[[#This Row],['#_Constructed/Existing protected/fenced ponds]]*250)/WWWW[[#This Row],[Total PoP ]])</f>
        <v>0</v>
      </c>
      <c r="CN33" s="597">
        <f>WWWW[[#This Row],[% Access to unimproved water points]]*WWWW[[#This Row],[Total PoP ]]</f>
        <v>0</v>
      </c>
      <c r="CO3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Q33" s="597">
        <f>WWWW[[#This Row],[HRP1]]/500</f>
        <v>0.22600000000000001</v>
      </c>
      <c r="CR33" s="602">
        <f>1-WWWW[[#This Row],[% Equitable and continuous access to sufficient quantity of domestic water]]</f>
        <v>0</v>
      </c>
      <c r="CS33" s="597">
        <f>WWWW[[#This Row],[%equitable and continuous access to sufficient quantity of safe drinking and domestic water''s GAP]]*WWWW[[#This Row],[Total PoP ]]</f>
        <v>0</v>
      </c>
      <c r="CT33" s="600">
        <f>IF(WWWW[[#This Row],[Total required water points]]-WWWW[[#This Row],['#Water points coverage]]&lt;0,0,WWWW[[#This Row],[Total required water points]]-WWWW[[#This Row],['#Water points coverage]])</f>
        <v>0.77400000000000002</v>
      </c>
      <c r="CU33" s="600">
        <f>ROUND(IF(WWWW[[#This Row],[Total PoP ]]&lt;500,1,WWWW[[#This Row],[Total PoP ]]/500),0)</f>
        <v>1</v>
      </c>
      <c r="CV33" s="600">
        <f>(WWWW[[#This Row],['#_Constructed latrines_by_WASHAgencies]]+WWWW[[#This Row],['#_Non Cluster partner latrines]])-WWWW[[#This Row],['#_Non-functional latrines]]</f>
        <v>5</v>
      </c>
      <c r="CW33" s="70">
        <f>WWWW[[#This Row],[HRP2]]/WWWW[[#This Row],[Total PoP ]]</f>
        <v>0.88495575221238942</v>
      </c>
      <c r="CX3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3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 s="600">
        <f>IF(WWWW[[#This Row],['# of functional latrines in THF supported by WASH partners during the reporting period2]]="",0,WWWW[[#This Row],['# of functional latrines in THF supported by WASH partners during the reporting period2]]*50)</f>
        <v>0</v>
      </c>
      <c r="DB33" s="600">
        <f>WWWW[[#This Row],['# students access to functioning school latrines_HRP5]]+WWWW[[#This Row],['# People access to functioning latrines in THF_HRP5]]</f>
        <v>0</v>
      </c>
      <c r="DC33" s="600">
        <f>ROUND(IF(WWWW[[#This Row],[Location Type 1]]="camp",WWWW[[#This Row],[Total PoP ]]/20,IF(WWWW[[#This Row],[Location Type 1]]="Temporary Location",WWWW[[#This Row],[Total PoP ]]/50,WWWW[[#This Row],[Total HH]])),0)</f>
        <v>6</v>
      </c>
      <c r="DD33" s="600">
        <f>IF(WWWW[[#This Row],[Total required Latrines]]-(WWWW[[#This Row],['#_Constructed latrines_by_WASHAgencies]]+WWWW[[#This Row],['#_Non Cluster partner latrines]])&lt;0,0,WWWW[[#This Row],[Total required Latrines]]-(WWWW[[#This Row],['#_Constructed latrines_by_WASHAgencies]]+WWWW[[#This Row],['#_Non Cluster partner latrines]]))</f>
        <v>1</v>
      </c>
      <c r="DE33" s="602">
        <f>1-WWWW[[#This Row],[% people access to functioning Latrine]]</f>
        <v>0.11504424778761058</v>
      </c>
      <c r="DF33" s="601">
        <f>IF(OR(WWWW[[#This Row],['#_Non-functional latrines]]="",WWWW[[#This Row],['#_Non-functional latrines]]=0),0,WWWW[[#This Row],['#_Non-functional latrines]]/(WWWW[[#This Row],['#_Constructed latrines_by_WASHAgencies]]+WWWW[[#This Row],['#_Non Cluster partner latrines]]))</f>
        <v>0</v>
      </c>
      <c r="DG33" s="597">
        <f>IF(500*(WWWW[[#This Row],['#_male hygiene promoters]]+WWWW[[#This Row],['#_female hygiene promoters]])&gt;WWWW[[#This Row],[Total PoP ]],WWWW[[#This Row],[Total PoP ]],500*(WWWW[[#This Row],['#_male hygiene promoters]]+WWWW[[#This Row],['#_female hygiene promoters]]))</f>
        <v>113</v>
      </c>
      <c r="DH3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 s="600">
        <f>IF(WWWW[[#This Row],['# People with access to soap]]&gt;WWWW[[#This Row],['# People with access to Sanity Pads]],WWWW[[#This Row],['# People with access to soap]],WWWW[[#This Row],['# People with access to Sanity Pads]])</f>
        <v>0</v>
      </c>
      <c r="DK33" s="600">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L33" s="602">
        <f>IF(WWWW[[#This Row],[HRP3]]/WWWW[[#This Row],[Total PoP ]]&gt;1,1,WWWW[[#This Row],[HRP3]]/WWWW[[#This Row],[Total PoP ]])</f>
        <v>1</v>
      </c>
      <c r="DM33" s="601">
        <f>1-WWWW[[#This Row],[Hygiene Coverage%]]</f>
        <v>0</v>
      </c>
      <c r="DN33" s="599">
        <f>WWWW[[#This Row],['# people reached by regular dedicated hygiene promotion_5]]/WWWW[[#This Row],[Total PoP ]]</f>
        <v>1</v>
      </c>
      <c r="DO3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 s="600">
        <f>WWWW[[#This Row],['#_Constructed/Existing hand washing stations]]-WWWW[[#This Row],['#_Non-Functional_hand_washing_stations]]</f>
        <v>2</v>
      </c>
      <c r="DR33" s="597">
        <f>IF(WWWW[[#This Row],['# Functional hand washing stations during reporting period]]*20&gt;WWWW[[#This Row],[Total HH]],WWWW[[#This Row],[Total HH]],WWWW[[#This Row],['# Functional hand washing stations during reporting period]]*20)</f>
        <v>22</v>
      </c>
      <c r="DS33" s="597">
        <f>IF(WWWW[[#This Row],[Is sufficient soap available for TLS? (Yes/No)]]="yes",WWWW[[#This Row],['#_Constructed/Existing hand washing stations at TLS]],0)</f>
        <v>0</v>
      </c>
      <c r="DT33" s="479">
        <f>IF(WWWW[[#This Row],['# Functional hand washing stations during reporting period]]*100&gt;WWWW[[#This Row],[Total PoP ]],WWWW[[#This Row],[Total PoP ]],WWWW[[#This Row],['# Functional hand washing stations during reporting period]]*100)</f>
        <v>113</v>
      </c>
      <c r="DU33" s="479" t="str">
        <f>IF(OR(WWWW[[#This Row],['#_students at TLS_CFS]]="",WWWW[[#This Row],['#_students at TLS_CFS]]=0),"No","Yes")</f>
        <v>No</v>
      </c>
      <c r="DV3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 s="593" t="str">
        <f>VLOOKUP(WWWW[[#This Row],[Site Name]],SiteDB6[[Site Name]:[CCCM Management]],6,FALSE)</f>
        <v>Yes</v>
      </c>
      <c r="DZ33" s="593" t="str">
        <f>VLOOKUP(WWWW[[#This Row],[Site Name]],SiteDB6[[Site Name]:[CCCM Focal Agency]],7,FALSE)</f>
        <v>KBC-MYT</v>
      </c>
      <c r="EA33" s="593" t="str">
        <f>VLOOKUP(WWWW[[#This Row],[Site Name]],SiteDB6[[Site Name]:[Location Type 1]],9,FALSE)</f>
        <v>Camp</v>
      </c>
      <c r="EB33" s="593" t="str">
        <f>VLOOKUP(WWWW[[#This Row],[Site Name]],SiteDB6[[Site Name]:[Type of Accommodation]],10,FALSE)</f>
        <v>Camp</v>
      </c>
      <c r="EC33" s="593" t="str">
        <f>VLOOKUP(WWWW[[#This Row],[Site Name]],SiteDB6[[Site Name]:[Ethnic or GCA/NGCA]],11,FALSE)</f>
        <v>GCA</v>
      </c>
      <c r="ED33" s="593">
        <f>VLOOKUP(WWWW[[#This Row],[Site Name]],SiteDB6[[Site Name]:[Lat]],12,FALSE)</f>
        <v>24.998349999999999</v>
      </c>
      <c r="EE33" s="593">
        <f>VLOOKUP(WWWW[[#This Row],[Site Name]],SiteDB6[[Site Name]:[Long]],13,FALSE)</f>
        <v>96.364949999999993</v>
      </c>
      <c r="EF33" s="593" t="str">
        <f>VLOOKUP(WWWW[[#This Row],[Site Name]],SiteDB6[[Site Name]:[Pcode]],3,FALSE)</f>
        <v>MMR001CMP152</v>
      </c>
      <c r="EG33" s="598" t="str">
        <f t="shared" si="0"/>
        <v>Covered</v>
      </c>
      <c r="EH33" s="598" t="str">
        <f>VLOOKUP(WWWW[[#This Row],[Site Name]],SiteDB6[[Site Name]:[open in cccm?]],2,FALSE)</f>
        <v>cccm_2019OCT</v>
      </c>
    </row>
    <row r="34" spans="1:138" hidden="1">
      <c r="A34" s="591" t="s">
        <v>3261</v>
      </c>
      <c r="B34" s="591" t="s">
        <v>144</v>
      </c>
      <c r="C34" s="592" t="s">
        <v>144</v>
      </c>
      <c r="D34" s="592" t="s">
        <v>3280</v>
      </c>
      <c r="E34" s="592" t="s">
        <v>39</v>
      </c>
      <c r="F34" s="592" t="s">
        <v>187</v>
      </c>
      <c r="G34" s="721" t="str">
        <f>VLOOKUP(WWWW[[#This Row],[Site Name]],SiteDB6[[Site Name]:[Location Type]],8,FALSE)</f>
        <v>Camp</v>
      </c>
      <c r="H34" s="592" t="s">
        <v>188</v>
      </c>
      <c r="I34" s="594">
        <v>127</v>
      </c>
      <c r="J34" s="594">
        <v>547</v>
      </c>
      <c r="K34" s="717">
        <v>43475</v>
      </c>
      <c r="L34" s="718" t="s">
        <v>3281</v>
      </c>
      <c r="M34" s="594"/>
      <c r="N34" s="594"/>
      <c r="O34" s="594"/>
      <c r="P34" s="594"/>
      <c r="Q34" s="597" t="s">
        <v>43</v>
      </c>
      <c r="R34" s="594"/>
      <c r="S34" s="594">
        <v>3</v>
      </c>
      <c r="T34" s="523">
        <v>0</v>
      </c>
      <c r="U34" s="594"/>
      <c r="V34" s="594"/>
      <c r="W34" s="594">
        <v>0</v>
      </c>
      <c r="X34" s="594"/>
      <c r="Y34" s="594"/>
      <c r="Z34" s="594"/>
      <c r="AA34" s="594">
        <v>1</v>
      </c>
      <c r="AB34" s="594">
        <v>1</v>
      </c>
      <c r="AC34" s="594"/>
      <c r="AD34" s="594"/>
      <c r="AE34" s="594"/>
      <c r="AF34" s="594"/>
      <c r="AG34" s="594"/>
      <c r="AH34" s="594">
        <v>0</v>
      </c>
      <c r="AI34" s="594"/>
      <c r="AJ34" s="594"/>
      <c r="AK34" s="594"/>
      <c r="AL34" s="594"/>
      <c r="AM34" s="594"/>
      <c r="AN34" s="594"/>
      <c r="AO34" s="598"/>
      <c r="AP34" s="594">
        <v>90</v>
      </c>
      <c r="AQ34" s="594"/>
      <c r="AR34" s="599"/>
      <c r="AS34" s="594"/>
      <c r="AT34" s="594"/>
      <c r="AU34" s="594"/>
      <c r="AV34" s="594"/>
      <c r="AW34" s="594">
        <v>90</v>
      </c>
      <c r="AX34" s="593" t="s">
        <v>43</v>
      </c>
      <c r="AY34" s="598" t="s">
        <v>140</v>
      </c>
      <c r="AZ34" s="594"/>
      <c r="BA34" s="594"/>
      <c r="BB34" s="594"/>
      <c r="BC34" s="594"/>
      <c r="BD34" s="523"/>
      <c r="BE34" s="593"/>
      <c r="BF34" s="594">
        <v>90</v>
      </c>
      <c r="BG34" s="594"/>
      <c r="BH34" s="594"/>
      <c r="BI34" s="594">
        <v>0</v>
      </c>
      <c r="BJ34" s="594"/>
      <c r="BK34" s="594"/>
      <c r="BL34" s="736">
        <v>2</v>
      </c>
      <c r="BM34" s="594"/>
      <c r="BN34" s="594"/>
      <c r="BO34" s="593"/>
      <c r="BP34" s="594"/>
      <c r="BQ34" s="599"/>
      <c r="BR34" s="593"/>
      <c r="BS34" s="472"/>
      <c r="BT34" s="472"/>
      <c r="BU34" s="523"/>
      <c r="BV34" s="472"/>
      <c r="BW34" s="523"/>
      <c r="BX34" s="523"/>
      <c r="BY34" s="523"/>
      <c r="BZ34" s="601" t="str">
        <f>IFERROR(WWWW[[#This Row],['#_Water sources passed]]/WWWW[[#This Row],['#_Water sources tested for fecal coliform ]],"no test")</f>
        <v>no test</v>
      </c>
      <c r="CA34" s="599" t="str">
        <f>IFERROR(WWWW[[#This Row],['#_Household passed]]/WWWW[[#This Row],['#_Household water samples tested for fecal coliform]],"no test")</f>
        <v>no test</v>
      </c>
      <c r="CB34" s="600" t="str">
        <f>IF(AND(WWWW[[#This Row],[% of water sources passed]]="no test",WWWW[[#This Row],[% Household passed]]="no test"),"No Test","Tested")</f>
        <v>No Test</v>
      </c>
      <c r="CC34" s="600">
        <f>WWWW[[#This Row],['#_Constructed/existing protected hand dug well]]-WWWW[[#This Row],['#_Non-functional protected hand dug well]]</f>
        <v>0</v>
      </c>
      <c r="CD34" s="600">
        <f>(WWWW[[#This Row],['#_Constructed/Existing tube wells/boreholes/handpumps_WASH_agency]]+WWWW[[#This Row],['#_Non-Cluster partner water tube-wells/boreholes/handpumps]])-WWWW[[#This Row],['#_Non-functional tube wells/boreholes/handpumps]]</f>
        <v>0</v>
      </c>
      <c r="CE34" s="600">
        <f>WWWW[[#This Row],['#_Constructed/Existingwater storage tank with gravity fed reticulation system]]-WWWW[[#This Row],['#_Non-functional storage tank gravity fed reticulation system]]</f>
        <v>0</v>
      </c>
      <c r="CF34" s="478">
        <f>(WWWW[[#This Row],['#_Water_Liters_supplied_by_Water boating or water trucking]]/90)/15</f>
        <v>0</v>
      </c>
      <c r="CG34" s="478">
        <f>WWWW[[#This Row],['#_Water_Liters_from_Constructed/Existing water distribution system from river or natural spring]]/90/15</f>
        <v>0</v>
      </c>
      <c r="CH34" s="478">
        <f>WWWW[[#This Row],['#_of water points in TLS/CFS /THF]]*500</f>
        <v>0</v>
      </c>
      <c r="CI3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 s="599">
        <f>IF(WWWW[[#This Row],[Location Type 1]]="Village",WWWW[[#This Row],[Access to safe drinking water for Village]],WWWW[[#This Row],[Access to safe drinking water for Camp]])</f>
        <v>0</v>
      </c>
      <c r="CL34" s="597">
        <f>WWWW[[#This Row],[%Equitable and continuous access to sufficient quantity of safe drinking water]]*WWWW[[#This Row],[Total PoP ]]</f>
        <v>0</v>
      </c>
      <c r="CM34" s="599">
        <f>IF((WWWW[[#This Row],['#_Constructed/Existing protected/fenced ponds]]*250)/WWWW[[#This Row],[Total PoP ]]&gt;1,1,(WWWW[[#This Row],['#_Constructed/Existing protected/fenced ponds]]*250)/WWWW[[#This Row],[Total PoP ]])</f>
        <v>0</v>
      </c>
      <c r="CN34" s="597">
        <f>WWWW[[#This Row],[% Access to unimproved water points]]*WWWW[[#This Row],[Total PoP ]]</f>
        <v>0</v>
      </c>
      <c r="CO3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 s="597">
        <f>WWWW[[#This Row],[HRP1]]/500</f>
        <v>0</v>
      </c>
      <c r="CR34" s="602">
        <f>1-WWWW[[#This Row],[% Equitable and continuous access to sufficient quantity of domestic water]]</f>
        <v>1</v>
      </c>
      <c r="CS34" s="597">
        <f>WWWW[[#This Row],[%equitable and continuous access to sufficient quantity of safe drinking and domestic water''s GAP]]*WWWW[[#This Row],[Total PoP ]]</f>
        <v>547</v>
      </c>
      <c r="CT34" s="600">
        <f>IF(WWWW[[#This Row],[Total required water points]]-WWWW[[#This Row],['#Water points coverage]]&lt;0,0,WWWW[[#This Row],[Total required water points]]-WWWW[[#This Row],['#Water points coverage]])</f>
        <v>1</v>
      </c>
      <c r="CU34" s="600">
        <f>ROUND(IF(WWWW[[#This Row],[Total PoP ]]&lt;500,1,WWWW[[#This Row],[Total PoP ]]/500),0)</f>
        <v>1</v>
      </c>
      <c r="CV34" s="600">
        <f>(WWWW[[#This Row],['#_Constructed latrines_by_WASHAgencies]]+WWWW[[#This Row],['#_Non Cluster partner latrines]])-WWWW[[#This Row],['#_Non-functional latrines]]</f>
        <v>90</v>
      </c>
      <c r="CW34" s="70">
        <f>WWWW[[#This Row],[HRP2]]/WWWW[[#This Row],[Total PoP ]]</f>
        <v>1</v>
      </c>
      <c r="CX3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3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 s="600">
        <f>IF(WWWW[[#This Row],['# of functional latrines in THF supported by WASH partners during the reporting period2]]="",0,WWWW[[#This Row],['# of functional latrines in THF supported by WASH partners during the reporting period2]]*50)</f>
        <v>0</v>
      </c>
      <c r="DB34" s="600">
        <f>WWWW[[#This Row],['# students access to functioning school latrines_HRP5]]+WWWW[[#This Row],['# People access to functioning latrines in THF_HRP5]]</f>
        <v>0</v>
      </c>
      <c r="DC34" s="600">
        <f>ROUND(IF(WWWW[[#This Row],[Location Type 1]]="camp",WWWW[[#This Row],[Total PoP ]]/20,IF(WWWW[[#This Row],[Location Type 1]]="Temporary Location",WWWW[[#This Row],[Total PoP ]]/50,WWWW[[#This Row],[Total HH]])),0)</f>
        <v>27</v>
      </c>
      <c r="DD34" s="600">
        <f>IF(WWWW[[#This Row],[Total required Latrines]]-(WWWW[[#This Row],['#_Constructed latrines_by_WASHAgencies]]+WWWW[[#This Row],['#_Non Cluster partner latrines]])&lt;0,0,WWWW[[#This Row],[Total required Latrines]]-(WWWW[[#This Row],['#_Constructed latrines_by_WASHAgencies]]+WWWW[[#This Row],['#_Non Cluster partner latrines]]))</f>
        <v>0</v>
      </c>
      <c r="DE34" s="602">
        <f>1-WWWW[[#This Row],[% people access to functioning Latrine]]</f>
        <v>0</v>
      </c>
      <c r="DF34" s="601">
        <f>IF(OR(WWWW[[#This Row],['#_Non-functional latrines]]="",WWWW[[#This Row],['#_Non-functional latrines]]=0),0,WWWW[[#This Row],['#_Non-functional latrines]]/(WWWW[[#This Row],['#_Constructed latrines_by_WASHAgencies]]+WWWW[[#This Row],['#_Non Cluster partner latrines]]))</f>
        <v>0</v>
      </c>
      <c r="DG34" s="597">
        <f>IF(500*(WWWW[[#This Row],['#_male hygiene promoters]]+WWWW[[#This Row],['#_female hygiene promoters]])&gt;WWWW[[#This Row],[Total PoP ]],WWWW[[#This Row],[Total PoP ]],500*(WWWW[[#This Row],['#_male hygiene promoters]]+WWWW[[#This Row],['#_female hygiene promoters]]))</f>
        <v>547</v>
      </c>
      <c r="DH3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 s="600">
        <f>IF(WWWW[[#This Row],['# People with access to soap]]&gt;WWWW[[#This Row],['# People with access to Sanity Pads]],WWWW[[#This Row],['# People with access to soap]],WWWW[[#This Row],['# People with access to Sanity Pads]])</f>
        <v>0</v>
      </c>
      <c r="DK34" s="600">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34" s="602">
        <f>IF(WWWW[[#This Row],[HRP3]]/WWWW[[#This Row],[Total PoP ]]&gt;1,1,WWWW[[#This Row],[HRP3]]/WWWW[[#This Row],[Total PoP ]])</f>
        <v>1</v>
      </c>
      <c r="DM34" s="601">
        <f>1-WWWW[[#This Row],[Hygiene Coverage%]]</f>
        <v>0</v>
      </c>
      <c r="DN34" s="599">
        <f>WWWW[[#This Row],['# people reached by regular dedicated hygiene promotion_5]]/WWWW[[#This Row],[Total PoP ]]</f>
        <v>1</v>
      </c>
      <c r="DO3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 s="600">
        <f>WWWW[[#This Row],['#_Constructed/Existing hand washing stations]]-WWWW[[#This Row],['#_Non-Functional_hand_washing_stations]]</f>
        <v>90</v>
      </c>
      <c r="DR34" s="597">
        <f>IF(WWWW[[#This Row],['# Functional hand washing stations during reporting period]]*20&gt;WWWW[[#This Row],[Total HH]],WWWW[[#This Row],[Total HH]],WWWW[[#This Row],['# Functional hand washing stations during reporting period]]*20)</f>
        <v>127</v>
      </c>
      <c r="DS34" s="597">
        <f>IF(WWWW[[#This Row],[Is sufficient soap available for TLS? (Yes/No)]]="yes",WWWW[[#This Row],['#_Constructed/Existing hand washing stations at TLS]],0)</f>
        <v>0</v>
      </c>
      <c r="DT34" s="479">
        <f>IF(WWWW[[#This Row],['# Functional hand washing stations during reporting period]]*100&gt;WWWW[[#This Row],[Total PoP ]],WWWW[[#This Row],[Total PoP ]],WWWW[[#This Row],['# Functional hand washing stations during reporting period]]*100)</f>
        <v>547</v>
      </c>
      <c r="DU34" s="479" t="str">
        <f>IF(OR(WWWW[[#This Row],['#_students at TLS_CFS]]="",WWWW[[#This Row],['#_students at TLS_CFS]]=0),"No","Yes")</f>
        <v>No</v>
      </c>
      <c r="DV3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 s="593" t="str">
        <f>VLOOKUP(WWWW[[#This Row],[Site Name]],SiteDB6[[Site Name]:[CCCM Management]],6,FALSE)</f>
        <v>Yes</v>
      </c>
      <c r="DZ34" s="593" t="str">
        <f>VLOOKUP(WWWW[[#This Row],[Site Name]],SiteDB6[[Site Name]:[CCCM Focal Agency]],7,FALSE)</f>
        <v>KBC-MYT</v>
      </c>
      <c r="EA34" s="593" t="str">
        <f>VLOOKUP(WWWW[[#This Row],[Site Name]],SiteDB6[[Site Name]:[Location Type 1]],9,FALSE)</f>
        <v>Camp</v>
      </c>
      <c r="EB34" s="593" t="str">
        <f>VLOOKUP(WWWW[[#This Row],[Site Name]],SiteDB6[[Site Name]:[Type of Accommodation]],10,FALSE)</f>
        <v>Camp</v>
      </c>
      <c r="EC34" s="593" t="str">
        <f>VLOOKUP(WWWW[[#This Row],[Site Name]],SiteDB6[[Site Name]:[Ethnic or GCA/NGCA]],11,FALSE)</f>
        <v>NGCA</v>
      </c>
      <c r="ED34" s="593">
        <f>VLOOKUP(WWWW[[#This Row],[Site Name]],SiteDB6[[Site Name]:[Lat]],12,FALSE)</f>
        <v>26.569633</v>
      </c>
      <c r="EE34" s="593">
        <f>VLOOKUP(WWWW[[#This Row],[Site Name]],SiteDB6[[Site Name]:[Long]],13,FALSE)</f>
        <v>97.745480999999998</v>
      </c>
      <c r="EF34" s="593" t="str">
        <f>VLOOKUP(WWWW[[#This Row],[Site Name]],SiteDB6[[Site Name]:[Pcode]],3,FALSE)</f>
        <v>MMR001CMP238</v>
      </c>
      <c r="EG34" s="598" t="str">
        <f t="shared" si="0"/>
        <v>Covered</v>
      </c>
      <c r="EH34" s="598" t="str">
        <f>VLOOKUP(WWWW[[#This Row],[Site Name]],SiteDB6[[Site Name]:[open in cccm?]],2,FALSE)</f>
        <v>cccm_2019OCT</v>
      </c>
    </row>
    <row r="35" spans="1:138" hidden="1">
      <c r="A35" s="591" t="s">
        <v>3261</v>
      </c>
      <c r="B35" s="591" t="s">
        <v>144</v>
      </c>
      <c r="C35" s="592" t="s">
        <v>144</v>
      </c>
      <c r="D35" s="404" t="s">
        <v>3277</v>
      </c>
      <c r="E35" s="592" t="s">
        <v>39</v>
      </c>
      <c r="F35" s="592" t="s">
        <v>162</v>
      </c>
      <c r="G35" s="721" t="str">
        <f>VLOOKUP(WWWW[[#This Row],[Site Name]],SiteDB6[[Site Name]:[Location Type]],8,FALSE)</f>
        <v>Camp</v>
      </c>
      <c r="H35" s="592" t="s">
        <v>170</v>
      </c>
      <c r="I35" s="594">
        <v>67</v>
      </c>
      <c r="J35" s="594">
        <v>281</v>
      </c>
      <c r="K35" s="717" t="s">
        <v>3278</v>
      </c>
      <c r="L35" s="718" t="s">
        <v>3279</v>
      </c>
      <c r="M35" s="594"/>
      <c r="N35" s="594"/>
      <c r="O35" s="594"/>
      <c r="P35" s="594"/>
      <c r="Q35" s="597" t="s">
        <v>43</v>
      </c>
      <c r="R35" s="594"/>
      <c r="S35" s="594">
        <v>5</v>
      </c>
      <c r="T35" s="523">
        <v>1</v>
      </c>
      <c r="U35" s="594"/>
      <c r="V35" s="594"/>
      <c r="W35" s="594">
        <v>2</v>
      </c>
      <c r="X35" s="594"/>
      <c r="Y35" s="594"/>
      <c r="Z35" s="594"/>
      <c r="AA35" s="594"/>
      <c r="AB35" s="594"/>
      <c r="AC35" s="594"/>
      <c r="AD35" s="594"/>
      <c r="AE35" s="594"/>
      <c r="AF35" s="594"/>
      <c r="AG35" s="594"/>
      <c r="AH35" s="594">
        <v>3</v>
      </c>
      <c r="AI35" s="594"/>
      <c r="AJ35" s="594"/>
      <c r="AK35" s="594"/>
      <c r="AL35" s="594"/>
      <c r="AM35" s="594"/>
      <c r="AN35" s="594"/>
      <c r="AO35" s="598"/>
      <c r="AP35" s="594">
        <v>15</v>
      </c>
      <c r="AQ35" s="594"/>
      <c r="AR35" s="599"/>
      <c r="AS35" s="594"/>
      <c r="AT35" s="594"/>
      <c r="AU35" s="594"/>
      <c r="AV35" s="594"/>
      <c r="AW35" s="594">
        <v>15</v>
      </c>
      <c r="AX35" s="593" t="s">
        <v>43</v>
      </c>
      <c r="AY35" s="598" t="s">
        <v>140</v>
      </c>
      <c r="AZ35" s="594"/>
      <c r="BA35" s="594"/>
      <c r="BB35" s="594"/>
      <c r="BC35" s="594"/>
      <c r="BD35" s="523"/>
      <c r="BE35" s="593"/>
      <c r="BF35" s="594">
        <v>6</v>
      </c>
      <c r="BG35" s="594"/>
      <c r="BH35" s="594"/>
      <c r="BI35" s="594">
        <v>2</v>
      </c>
      <c r="BJ35" s="594"/>
      <c r="BK35" s="594"/>
      <c r="BL35" s="594">
        <v>1</v>
      </c>
      <c r="BM35" s="594"/>
      <c r="BN35" s="594"/>
      <c r="BO35" s="593"/>
      <c r="BP35" s="594"/>
      <c r="BQ35" s="599"/>
      <c r="BR35" s="593"/>
      <c r="BS35" s="472"/>
      <c r="BT35" s="472"/>
      <c r="BU35" s="523"/>
      <c r="BV35" s="472"/>
      <c r="BW35" s="523"/>
      <c r="BX35" s="523"/>
      <c r="BY35" s="523"/>
      <c r="BZ35" s="601" t="str">
        <f>IFERROR(WWWW[[#This Row],['#_Water sources passed]]/WWWW[[#This Row],['#_Water sources tested for fecal coliform ]],"no test")</f>
        <v>no test</v>
      </c>
      <c r="CA35" s="599" t="str">
        <f>IFERROR(WWWW[[#This Row],['#_Household passed]]/WWWW[[#This Row],['#_Household water samples tested for fecal coliform]],"no test")</f>
        <v>no test</v>
      </c>
      <c r="CB35" s="600" t="str">
        <f>IF(AND(WWWW[[#This Row],[% of water sources passed]]="no test",WWWW[[#This Row],[% Household passed]]="no test"),"No Test","Tested")</f>
        <v>No Test</v>
      </c>
      <c r="CC35" s="600">
        <f>WWWW[[#This Row],['#_Constructed/existing protected hand dug well]]-WWWW[[#This Row],['#_Non-functional protected hand dug well]]</f>
        <v>1</v>
      </c>
      <c r="CD35" s="600">
        <f>(WWWW[[#This Row],['#_Constructed/Existing tube wells/boreholes/handpumps_WASH_agency]]+WWWW[[#This Row],['#_Non-Cluster partner water tube-wells/boreholes/handpumps]])-WWWW[[#This Row],['#_Non-functional tube wells/boreholes/handpumps]]</f>
        <v>2</v>
      </c>
      <c r="CE35" s="600">
        <f>WWWW[[#This Row],['#_Constructed/Existingwater storage tank with gravity fed reticulation system]]-WWWW[[#This Row],['#_Non-functional storage tank gravity fed reticulation system]]</f>
        <v>0</v>
      </c>
      <c r="CF35" s="478">
        <f>(WWWW[[#This Row],['#_Water_Liters_supplied_by_Water boating or water trucking]]/90)/15</f>
        <v>0</v>
      </c>
      <c r="CG35" s="478">
        <f>WWWW[[#This Row],['#_Water_Liters_from_Constructed/Existing water distribution system from river or natural spring]]/90/15</f>
        <v>0</v>
      </c>
      <c r="CH35" s="478">
        <f>WWWW[[#This Row],['#_of water points in TLS/CFS /THF]]*500</f>
        <v>0</v>
      </c>
      <c r="CI3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 s="599">
        <f>IF(WWWW[[#This Row],[Location Type 1]]="Village",WWWW[[#This Row],[Access to safe drinking water for Village]],WWWW[[#This Row],[Access to safe drinking water for Camp]])</f>
        <v>1</v>
      </c>
      <c r="CL35" s="597">
        <f>WWWW[[#This Row],[%Equitable and continuous access to sufficient quantity of safe drinking water]]*WWWW[[#This Row],[Total PoP ]]</f>
        <v>281</v>
      </c>
      <c r="CM35" s="599">
        <f>IF((WWWW[[#This Row],['#_Constructed/Existing protected/fenced ponds]]*250)/WWWW[[#This Row],[Total PoP ]]&gt;1,1,(WWWW[[#This Row],['#_Constructed/Existing protected/fenced ponds]]*250)/WWWW[[#This Row],[Total PoP ]])</f>
        <v>0</v>
      </c>
      <c r="CN35" s="597">
        <f>WWWW[[#This Row],[% Access to unimproved water points]]*WWWW[[#This Row],[Total PoP ]]</f>
        <v>0</v>
      </c>
      <c r="CO3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Q35" s="597">
        <f>WWWW[[#This Row],[HRP1]]/500</f>
        <v>0.56200000000000006</v>
      </c>
      <c r="CR35" s="602">
        <f>1-WWWW[[#This Row],[% Equitable and continuous access to sufficient quantity of domestic water]]</f>
        <v>0</v>
      </c>
      <c r="CS35" s="597">
        <f>WWWW[[#This Row],[%equitable and continuous access to sufficient quantity of safe drinking and domestic water''s GAP]]*WWWW[[#This Row],[Total PoP ]]</f>
        <v>0</v>
      </c>
      <c r="CT35" s="600">
        <f>IF(WWWW[[#This Row],[Total required water points]]-WWWW[[#This Row],['#Water points coverage]]&lt;0,0,WWWW[[#This Row],[Total required water points]]-WWWW[[#This Row],['#Water points coverage]])</f>
        <v>0.43799999999999994</v>
      </c>
      <c r="CU35" s="600">
        <f>ROUND(IF(WWWW[[#This Row],[Total PoP ]]&lt;500,1,WWWW[[#This Row],[Total PoP ]]/500),0)</f>
        <v>1</v>
      </c>
      <c r="CV35" s="600">
        <f>(WWWW[[#This Row],['#_Constructed latrines_by_WASHAgencies]]+WWWW[[#This Row],['#_Non Cluster partner latrines]])-WWWW[[#This Row],['#_Non-functional latrines]]</f>
        <v>15</v>
      </c>
      <c r="CW35" s="70">
        <f>WWWW[[#This Row],[HRP2]]/WWWW[[#This Row],[Total PoP ]]</f>
        <v>1</v>
      </c>
      <c r="CX3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281</v>
      </c>
      <c r="CY3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 s="600">
        <f>IF(WWWW[[#This Row],['# of functional latrines in THF supported by WASH partners during the reporting period2]]="",0,WWWW[[#This Row],['# of functional latrines in THF supported by WASH partners during the reporting period2]]*50)</f>
        <v>0</v>
      </c>
      <c r="DB35" s="600">
        <f>WWWW[[#This Row],['# students access to functioning school latrines_HRP5]]+WWWW[[#This Row],['# People access to functioning latrines in THF_HRP5]]</f>
        <v>0</v>
      </c>
      <c r="DC35" s="600">
        <f>ROUND(IF(WWWW[[#This Row],[Location Type 1]]="camp",WWWW[[#This Row],[Total PoP ]]/20,IF(WWWW[[#This Row],[Location Type 1]]="Temporary Location",WWWW[[#This Row],[Total PoP ]]/50,WWWW[[#This Row],[Total HH]])),0)</f>
        <v>14</v>
      </c>
      <c r="DD35" s="600">
        <f>IF(WWWW[[#This Row],[Total required Latrines]]-(WWWW[[#This Row],['#_Constructed latrines_by_WASHAgencies]]+WWWW[[#This Row],['#_Non Cluster partner latrines]])&lt;0,0,WWWW[[#This Row],[Total required Latrines]]-(WWWW[[#This Row],['#_Constructed latrines_by_WASHAgencies]]+WWWW[[#This Row],['#_Non Cluster partner latrines]]))</f>
        <v>0</v>
      </c>
      <c r="DE35" s="602">
        <f>1-WWWW[[#This Row],[% people access to functioning Latrine]]</f>
        <v>0</v>
      </c>
      <c r="DF35" s="601">
        <f>IF(OR(WWWW[[#This Row],['#_Non-functional latrines]]="",WWWW[[#This Row],['#_Non-functional latrines]]=0),0,WWWW[[#This Row],['#_Non-functional latrines]]/(WWWW[[#This Row],['#_Constructed latrines_by_WASHAgencies]]+WWWW[[#This Row],['#_Non Cluster partner latrines]]))</f>
        <v>0</v>
      </c>
      <c r="DG35" s="597">
        <f>IF(500*(WWWW[[#This Row],['#_male hygiene promoters]]+WWWW[[#This Row],['#_female hygiene promoters]])&gt;WWWW[[#This Row],[Total PoP ]],WWWW[[#This Row],[Total PoP ]],500*(WWWW[[#This Row],['#_male hygiene promoters]]+WWWW[[#This Row],['#_female hygiene promoters]]))</f>
        <v>281</v>
      </c>
      <c r="DH3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 s="600">
        <f>IF(WWWW[[#This Row],['# People with access to soap]]&gt;WWWW[[#This Row],['# People with access to Sanity Pads]],WWWW[[#This Row],['# People with access to soap]],WWWW[[#This Row],['# People with access to Sanity Pads]])</f>
        <v>0</v>
      </c>
      <c r="DK35" s="600">
        <f>IF(WWWW[[#This Row],['# people reached by regular dedicated hygiene promotion_5]]&gt;WWWW[[#This Row],['# People received regular supply of hygiene items_6]],WWWW[[#This Row],['# people reached by regular dedicated hygiene promotion_5]],WWWW[[#This Row],['# People received regular supply of hygiene items_6]])</f>
        <v>281</v>
      </c>
      <c r="DL35" s="602">
        <f>IF(WWWW[[#This Row],[HRP3]]/WWWW[[#This Row],[Total PoP ]]&gt;1,1,WWWW[[#This Row],[HRP3]]/WWWW[[#This Row],[Total PoP ]])</f>
        <v>1</v>
      </c>
      <c r="DM35" s="601">
        <f>1-WWWW[[#This Row],[Hygiene Coverage%]]</f>
        <v>0</v>
      </c>
      <c r="DN35" s="599">
        <f>WWWW[[#This Row],['# people reached by regular dedicated hygiene promotion_5]]/WWWW[[#This Row],[Total PoP ]]</f>
        <v>1</v>
      </c>
      <c r="DO3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 s="600">
        <f>WWWW[[#This Row],['#_Constructed/Existing hand washing stations]]-WWWW[[#This Row],['#_Non-Functional_hand_washing_stations]]</f>
        <v>6</v>
      </c>
      <c r="DR35" s="597">
        <f>IF(WWWW[[#This Row],['# Functional hand washing stations during reporting period]]*20&gt;WWWW[[#This Row],[Total HH]],WWWW[[#This Row],[Total HH]],WWWW[[#This Row],['# Functional hand washing stations during reporting period]]*20)</f>
        <v>67</v>
      </c>
      <c r="DS35" s="597">
        <f>IF(WWWW[[#This Row],[Is sufficient soap available for TLS? (Yes/No)]]="yes",WWWW[[#This Row],['#_Constructed/Existing hand washing stations at TLS]],0)</f>
        <v>0</v>
      </c>
      <c r="DT35" s="479">
        <f>IF(WWWW[[#This Row],['# Functional hand washing stations during reporting period]]*100&gt;WWWW[[#This Row],[Total PoP ]],WWWW[[#This Row],[Total PoP ]],WWWW[[#This Row],['# Functional hand washing stations during reporting period]]*100)</f>
        <v>281</v>
      </c>
      <c r="DU35" s="479" t="str">
        <f>IF(OR(WWWW[[#This Row],['#_students at TLS_CFS]]="",WWWW[[#This Row],['#_students at TLS_CFS]]=0),"No","Yes")</f>
        <v>No</v>
      </c>
      <c r="DV3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 s="593" t="str">
        <f>VLOOKUP(WWWW[[#This Row],[Site Name]],SiteDB6[[Site Name]:[CCCM Management]],6,FALSE)</f>
        <v>Yes</v>
      </c>
      <c r="DZ35" s="593" t="str">
        <f>VLOOKUP(WWWW[[#This Row],[Site Name]],SiteDB6[[Site Name]:[CCCM Focal Agency]],7,FALSE)</f>
        <v>KBC-MYT</v>
      </c>
      <c r="EA35" s="593" t="str">
        <f>VLOOKUP(WWWW[[#This Row],[Site Name]],SiteDB6[[Site Name]:[Location Type 1]],9,FALSE)</f>
        <v>Camp</v>
      </c>
      <c r="EB35" s="593" t="str">
        <f>VLOOKUP(WWWW[[#This Row],[Site Name]],SiteDB6[[Site Name]:[Type of Accommodation]],10,FALSE)</f>
        <v>Camp</v>
      </c>
      <c r="EC35" s="593" t="str">
        <f>VLOOKUP(WWWW[[#This Row],[Site Name]],SiteDB6[[Site Name]:[Ethnic or GCA/NGCA]],11,FALSE)</f>
        <v>GCA</v>
      </c>
      <c r="ED35" s="593">
        <f>VLOOKUP(WWWW[[#This Row],[Site Name]],SiteDB6[[Site Name]:[Lat]],12,FALSE)</f>
        <v>25.422194000000001</v>
      </c>
      <c r="EE35" s="593">
        <f>VLOOKUP(WWWW[[#This Row],[Site Name]],SiteDB6[[Site Name]:[Long]],13,FALSE)</f>
        <v>97.394547000000003</v>
      </c>
      <c r="EF35" s="593" t="str">
        <f>VLOOKUP(WWWW[[#This Row],[Site Name]],SiteDB6[[Site Name]:[Pcode]],3,FALSE)</f>
        <v>MMR001CMP002</v>
      </c>
      <c r="EG35" s="598" t="str">
        <f t="shared" si="0"/>
        <v>Covered</v>
      </c>
      <c r="EH35" s="598" t="str">
        <f>VLOOKUP(WWWW[[#This Row],[Site Name]],SiteDB6[[Site Name]:[open in cccm?]],2,FALSE)</f>
        <v>cccm_2019OCT</v>
      </c>
    </row>
    <row r="36" spans="1:138" hidden="1">
      <c r="A36" s="591" t="s">
        <v>3261</v>
      </c>
      <c r="B36" s="591" t="s">
        <v>144</v>
      </c>
      <c r="C36" s="592" t="s">
        <v>144</v>
      </c>
      <c r="D36" s="592" t="s">
        <v>3280</v>
      </c>
      <c r="E36" s="592" t="s">
        <v>39</v>
      </c>
      <c r="F36" s="592" t="s">
        <v>145</v>
      </c>
      <c r="G36" s="721" t="str">
        <f>VLOOKUP(WWWW[[#This Row],[Site Name]],SiteDB6[[Site Name]:[Location Type]],8,FALSE)</f>
        <v>Camp</v>
      </c>
      <c r="H36" s="592" t="s">
        <v>183</v>
      </c>
      <c r="I36" s="594">
        <v>178</v>
      </c>
      <c r="J36" s="594">
        <v>846</v>
      </c>
      <c r="K36" s="717">
        <v>43475</v>
      </c>
      <c r="L36" s="718" t="s">
        <v>3281</v>
      </c>
      <c r="M36" s="594"/>
      <c r="N36" s="594"/>
      <c r="O36" s="594"/>
      <c r="P36" s="594"/>
      <c r="Q36" s="597" t="s">
        <v>43</v>
      </c>
      <c r="R36" s="594"/>
      <c r="S36" s="594">
        <v>1</v>
      </c>
      <c r="T36" s="523">
        <v>0</v>
      </c>
      <c r="U36" s="594"/>
      <c r="V36" s="594"/>
      <c r="W36" s="594">
        <v>0</v>
      </c>
      <c r="X36" s="594"/>
      <c r="Y36" s="594"/>
      <c r="Z36" s="594"/>
      <c r="AA36" s="594">
        <v>3</v>
      </c>
      <c r="AB36" s="594"/>
      <c r="AC36" s="594"/>
      <c r="AD36" s="594"/>
      <c r="AE36" s="594"/>
      <c r="AF36" s="594"/>
      <c r="AG36" s="594"/>
      <c r="AH36" s="594">
        <v>0</v>
      </c>
      <c r="AI36" s="594"/>
      <c r="AJ36" s="594"/>
      <c r="AK36" s="594"/>
      <c r="AL36" s="594"/>
      <c r="AM36" s="594"/>
      <c r="AN36" s="594"/>
      <c r="AO36" s="598"/>
      <c r="AP36" s="594">
        <v>150</v>
      </c>
      <c r="AQ36" s="594"/>
      <c r="AR36" s="599"/>
      <c r="AS36" s="594"/>
      <c r="AT36" s="594"/>
      <c r="AU36" s="594"/>
      <c r="AV36" s="594"/>
      <c r="AW36" s="594">
        <v>150</v>
      </c>
      <c r="AX36" s="593" t="s">
        <v>43</v>
      </c>
      <c r="AY36" s="598" t="s">
        <v>140</v>
      </c>
      <c r="AZ36" s="594"/>
      <c r="BA36" s="594"/>
      <c r="BB36" s="594"/>
      <c r="BC36" s="594"/>
      <c r="BD36" s="523"/>
      <c r="BE36" s="593"/>
      <c r="BF36" s="594">
        <v>150</v>
      </c>
      <c r="BG36" s="594"/>
      <c r="BH36" s="594"/>
      <c r="BI36" s="594">
        <v>4</v>
      </c>
      <c r="BJ36" s="594"/>
      <c r="BK36" s="594"/>
      <c r="BL36" s="736">
        <v>3</v>
      </c>
      <c r="BM36" s="594"/>
      <c r="BN36" s="594"/>
      <c r="BO36" s="593"/>
      <c r="BP36" s="594"/>
      <c r="BQ36" s="599"/>
      <c r="BR36" s="593"/>
      <c r="BS36" s="472"/>
      <c r="BT36" s="472"/>
      <c r="BU36" s="523"/>
      <c r="BV36" s="472"/>
      <c r="BW36" s="523"/>
      <c r="BX36" s="523"/>
      <c r="BY36" s="523"/>
      <c r="BZ36" s="601" t="str">
        <f>IFERROR(WWWW[[#This Row],['#_Water sources passed]]/WWWW[[#This Row],['#_Water sources tested for fecal coliform ]],"no test")</f>
        <v>no test</v>
      </c>
      <c r="CA36" s="599" t="str">
        <f>IFERROR(WWWW[[#This Row],['#_Household passed]]/WWWW[[#This Row],['#_Household water samples tested for fecal coliform]],"no test")</f>
        <v>no test</v>
      </c>
      <c r="CB36" s="600" t="str">
        <f>IF(AND(WWWW[[#This Row],[% of water sources passed]]="no test",WWWW[[#This Row],[% Household passed]]="no test"),"No Test","Tested")</f>
        <v>No Test</v>
      </c>
      <c r="CC36" s="600">
        <f>WWWW[[#This Row],['#_Constructed/existing protected hand dug well]]-WWWW[[#This Row],['#_Non-functional protected hand dug well]]</f>
        <v>0</v>
      </c>
      <c r="CD36" s="600">
        <f>(WWWW[[#This Row],['#_Constructed/Existing tube wells/boreholes/handpumps_WASH_agency]]+WWWW[[#This Row],['#_Non-Cluster partner water tube-wells/boreholes/handpumps]])-WWWW[[#This Row],['#_Non-functional tube wells/boreholes/handpumps]]</f>
        <v>0</v>
      </c>
      <c r="CE36" s="600">
        <f>WWWW[[#This Row],['#_Constructed/Existingwater storage tank with gravity fed reticulation system]]-WWWW[[#This Row],['#_Non-functional storage tank gravity fed reticulation system]]</f>
        <v>3</v>
      </c>
      <c r="CF36" s="478">
        <f>(WWWW[[#This Row],['#_Water_Liters_supplied_by_Water boating or water trucking]]/90)/15</f>
        <v>0</v>
      </c>
      <c r="CG36" s="478">
        <f>WWWW[[#This Row],['#_Water_Liters_from_Constructed/Existing water distribution system from river or natural spring]]/90/15</f>
        <v>0</v>
      </c>
      <c r="CH36" s="478">
        <f>WWWW[[#This Row],['#_of water points in TLS/CFS /THF]]*500</f>
        <v>0</v>
      </c>
      <c r="CI3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0.2364066193853428</v>
      </c>
      <c r="CJ3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0.2364066193853428</v>
      </c>
      <c r="CK36" s="599">
        <f>IF(WWWW[[#This Row],[Location Type 1]]="Village",WWWW[[#This Row],[Access to safe drinking water for Village]],WWWW[[#This Row],[Access to safe drinking water for Camp]])</f>
        <v>0.2364066193853428</v>
      </c>
      <c r="CL36" s="597">
        <f>WWWW[[#This Row],[%Equitable and continuous access to sufficient quantity of safe drinking water]]*WWWW[[#This Row],[Total PoP ]]</f>
        <v>200</v>
      </c>
      <c r="CM36" s="599">
        <f>IF((WWWW[[#This Row],['#_Constructed/Existing protected/fenced ponds]]*250)/WWWW[[#This Row],[Total PoP ]]&gt;1,1,(WWWW[[#This Row],['#_Constructed/Existing protected/fenced ponds]]*250)/WWWW[[#This Row],[Total PoP ]])</f>
        <v>0</v>
      </c>
      <c r="CN36" s="597">
        <f>WWWW[[#This Row],[% Access to unimproved water points]]*WWWW[[#This Row],[Total PoP ]]</f>
        <v>0</v>
      </c>
      <c r="CO3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P3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Q36" s="597">
        <f>WWWW[[#This Row],[HRP1]]/500</f>
        <v>0.4</v>
      </c>
      <c r="CR36" s="602">
        <f>1-WWWW[[#This Row],[% Equitable and continuous access to sufficient quantity of domestic water]]</f>
        <v>0.7635933806146572</v>
      </c>
      <c r="CS36" s="597">
        <f>WWWW[[#This Row],[%equitable and continuous access to sufficient quantity of safe drinking and domestic water''s GAP]]*WWWW[[#This Row],[Total PoP ]]</f>
        <v>646</v>
      </c>
      <c r="CT36" s="600">
        <f>IF(WWWW[[#This Row],[Total required water points]]-WWWW[[#This Row],['#Water points coverage]]&lt;0,0,WWWW[[#This Row],[Total required water points]]-WWWW[[#This Row],['#Water points coverage]])</f>
        <v>1.6</v>
      </c>
      <c r="CU36" s="600">
        <f>ROUND(IF(WWWW[[#This Row],[Total PoP ]]&lt;500,1,WWWW[[#This Row],[Total PoP ]]/500),0)</f>
        <v>2</v>
      </c>
      <c r="CV36" s="600">
        <f>(WWWW[[#This Row],['#_Constructed latrines_by_WASHAgencies]]+WWWW[[#This Row],['#_Non Cluster partner latrines]])-WWWW[[#This Row],['#_Non-functional latrines]]</f>
        <v>150</v>
      </c>
      <c r="CW36" s="70">
        <f>WWWW[[#This Row],[HRP2]]/WWWW[[#This Row],[Total PoP ]]</f>
        <v>0.88652482269503541</v>
      </c>
      <c r="CX3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CY3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 s="600">
        <f>IF(WWWW[[#This Row],['# of functional latrines in THF supported by WASH partners during the reporting period2]]="",0,WWWW[[#This Row],['# of functional latrines in THF supported by WASH partners during the reporting period2]]*50)</f>
        <v>0</v>
      </c>
      <c r="DB36" s="600">
        <f>WWWW[[#This Row],['# students access to functioning school latrines_HRP5]]+WWWW[[#This Row],['# People access to functioning latrines in THF_HRP5]]</f>
        <v>0</v>
      </c>
      <c r="DC36" s="600">
        <f>ROUND(IF(WWWW[[#This Row],[Location Type 1]]="camp",WWWW[[#This Row],[Total PoP ]]/20,IF(WWWW[[#This Row],[Location Type 1]]="Temporary Location",WWWW[[#This Row],[Total PoP ]]/50,WWWW[[#This Row],[Total HH]])),0)</f>
        <v>178</v>
      </c>
      <c r="DD36" s="600">
        <f>IF(WWWW[[#This Row],[Total required Latrines]]-(WWWW[[#This Row],['#_Constructed latrines_by_WASHAgencies]]+WWWW[[#This Row],['#_Non Cluster partner latrines]])&lt;0,0,WWWW[[#This Row],[Total required Latrines]]-(WWWW[[#This Row],['#_Constructed latrines_by_WASHAgencies]]+WWWW[[#This Row],['#_Non Cluster partner latrines]]))</f>
        <v>28</v>
      </c>
      <c r="DE36" s="602">
        <f>1-WWWW[[#This Row],[% people access to functioning Latrine]]</f>
        <v>0.11347517730496459</v>
      </c>
      <c r="DF36" s="601">
        <f>IF(OR(WWWW[[#This Row],['#_Non-functional latrines]]="",WWWW[[#This Row],['#_Non-functional latrines]]=0),0,WWWW[[#This Row],['#_Non-functional latrines]]/(WWWW[[#This Row],['#_Constructed latrines_by_WASHAgencies]]+WWWW[[#This Row],['#_Non Cluster partner latrines]]))</f>
        <v>0</v>
      </c>
      <c r="DG36" s="597">
        <f>IF(500*(WWWW[[#This Row],['#_male hygiene promoters]]+WWWW[[#This Row],['#_female hygiene promoters]])&gt;WWWW[[#This Row],[Total PoP ]],WWWW[[#This Row],[Total PoP ]],500*(WWWW[[#This Row],['#_male hygiene promoters]]+WWWW[[#This Row],['#_female hygiene promoters]]))</f>
        <v>846</v>
      </c>
      <c r="DH3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 s="600">
        <f>IF(WWWW[[#This Row],['# People with access to soap]]&gt;WWWW[[#This Row],['# People with access to Sanity Pads]],WWWW[[#This Row],['# People with access to soap]],WWWW[[#This Row],['# People with access to Sanity Pads]])</f>
        <v>0</v>
      </c>
      <c r="DK36" s="600">
        <f>IF(WWWW[[#This Row],['# people reached by regular dedicated hygiene promotion_5]]&gt;WWWW[[#This Row],['# People received regular supply of hygiene items_6]],WWWW[[#This Row],['# people reached by regular dedicated hygiene promotion_5]],WWWW[[#This Row],['# People received regular supply of hygiene items_6]])</f>
        <v>846</v>
      </c>
      <c r="DL36" s="602">
        <f>IF(WWWW[[#This Row],[HRP3]]/WWWW[[#This Row],[Total PoP ]]&gt;1,1,WWWW[[#This Row],[HRP3]]/WWWW[[#This Row],[Total PoP ]])</f>
        <v>1</v>
      </c>
      <c r="DM36" s="601">
        <f>1-WWWW[[#This Row],[Hygiene Coverage%]]</f>
        <v>0</v>
      </c>
      <c r="DN36" s="599">
        <f>WWWW[[#This Row],['# people reached by regular dedicated hygiene promotion_5]]/WWWW[[#This Row],[Total PoP ]]</f>
        <v>1</v>
      </c>
      <c r="DO3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 s="600">
        <f>WWWW[[#This Row],['#_Constructed/Existing hand washing stations]]-WWWW[[#This Row],['#_Non-Functional_hand_washing_stations]]</f>
        <v>150</v>
      </c>
      <c r="DR36" s="597">
        <f>IF(WWWW[[#This Row],['# Functional hand washing stations during reporting period]]*20&gt;WWWW[[#This Row],[Total HH]],WWWW[[#This Row],[Total HH]],WWWW[[#This Row],['# Functional hand washing stations during reporting period]]*20)</f>
        <v>178</v>
      </c>
      <c r="DS36" s="597">
        <f>IF(WWWW[[#This Row],[Is sufficient soap available for TLS? (Yes/No)]]="yes",WWWW[[#This Row],['#_Constructed/Existing hand washing stations at TLS]],0)</f>
        <v>0</v>
      </c>
      <c r="DT36" s="479">
        <f>IF(WWWW[[#This Row],['# Functional hand washing stations during reporting period]]*100&gt;WWWW[[#This Row],[Total PoP ]],WWWW[[#This Row],[Total PoP ]],WWWW[[#This Row],['# Functional hand washing stations during reporting period]]*100)</f>
        <v>846</v>
      </c>
      <c r="DU36" s="479" t="str">
        <f>IF(OR(WWWW[[#This Row],['#_students at TLS_CFS]]="",WWWW[[#This Row],['#_students at TLS_CFS]]=0),"No","Yes")</f>
        <v>No</v>
      </c>
      <c r="DV3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 s="593" t="str">
        <f>VLOOKUP(WWWW[[#This Row],[Site Name]],SiteDB6[[Site Name]:[CCCM Management]],6,FALSE)</f>
        <v>Yes</v>
      </c>
      <c r="DZ36" s="593" t="str">
        <f>VLOOKUP(WWWW[[#This Row],[Site Name]],SiteDB6[[Site Name]:[CCCM Focal Agency]],7,FALSE)</f>
        <v>KBC-MYT</v>
      </c>
      <c r="EA36" s="593" t="str">
        <f>VLOOKUP(WWWW[[#This Row],[Site Name]],SiteDB6[[Site Name]:[Location Type 1]],9,FALSE)</f>
        <v>Village Type Camp</v>
      </c>
      <c r="EB36" s="593" t="str">
        <f>VLOOKUP(WWWW[[#This Row],[Site Name]],SiteDB6[[Site Name]:[Type of Accommodation]],10,FALSE)</f>
        <v>Camp</v>
      </c>
      <c r="EC36" s="593" t="str">
        <f>VLOOKUP(WWWW[[#This Row],[Site Name]],SiteDB6[[Site Name]:[Ethnic or GCA/NGCA]],11,FALSE)</f>
        <v>NGCA</v>
      </c>
      <c r="ED36" s="593">
        <f>VLOOKUP(WWWW[[#This Row],[Site Name]],SiteDB6[[Site Name]:[Lat]],12,FALSE)</f>
        <v>24.831944</v>
      </c>
      <c r="EE36" s="593">
        <f>VLOOKUP(WWWW[[#This Row],[Site Name]],SiteDB6[[Site Name]:[Long]],13,FALSE)</f>
        <v>97.751389000000003</v>
      </c>
      <c r="EF36" s="593" t="str">
        <f>VLOOKUP(WWWW[[#This Row],[Site Name]],SiteDB6[[Site Name]:[Pcode]],3,FALSE)</f>
        <v>MMR001CMP120</v>
      </c>
      <c r="EG36" s="598" t="str">
        <f t="shared" si="0"/>
        <v>Covered</v>
      </c>
      <c r="EH36" s="598" t="str">
        <f>VLOOKUP(WWWW[[#This Row],[Site Name]],SiteDB6[[Site Name]:[open in cccm?]],2,FALSE)</f>
        <v>cccm_2019OCT</v>
      </c>
    </row>
    <row r="37" spans="1:138" hidden="1">
      <c r="A37" s="591" t="s">
        <v>3261</v>
      </c>
      <c r="B37" s="591" t="s">
        <v>144</v>
      </c>
      <c r="C37" s="592" t="s">
        <v>144</v>
      </c>
      <c r="D37" s="404" t="s">
        <v>302</v>
      </c>
      <c r="E37" s="788" t="s">
        <v>39</v>
      </c>
      <c r="F37" s="788" t="s">
        <v>217</v>
      </c>
      <c r="G37" s="721" t="str">
        <f>VLOOKUP(WWWW[[#This Row],[Site Name]],SiteDB6[[Site Name]:[Location Type]],8,FALSE)</f>
        <v>Camp</v>
      </c>
      <c r="H37" s="788" t="s">
        <v>2070</v>
      </c>
      <c r="I37" s="722">
        <v>228</v>
      </c>
      <c r="J37" s="722">
        <v>1015</v>
      </c>
      <c r="K37" s="723"/>
      <c r="L37" s="718">
        <v>43768</v>
      </c>
      <c r="M37" s="722"/>
      <c r="N37" s="722"/>
      <c r="O37" s="722"/>
      <c r="P37" s="722"/>
      <c r="Q37" s="725"/>
      <c r="R37" s="722"/>
      <c r="S37" s="722">
        <v>5</v>
      </c>
      <c r="T37" s="523">
        <v>13</v>
      </c>
      <c r="U37" s="722"/>
      <c r="V37" s="722"/>
      <c r="W37" s="722">
        <v>1</v>
      </c>
      <c r="X37" s="722"/>
      <c r="Y37" s="722"/>
      <c r="Z37" s="722"/>
      <c r="AA37" s="722"/>
      <c r="AB37" s="722"/>
      <c r="AC37" s="722"/>
      <c r="AD37" s="722"/>
      <c r="AE37" s="722"/>
      <c r="AF37" s="722"/>
      <c r="AG37" s="722"/>
      <c r="AH37" s="722"/>
      <c r="AI37" s="722"/>
      <c r="AJ37" s="722"/>
      <c r="AK37" s="722"/>
      <c r="AL37" s="722"/>
      <c r="AM37" s="722"/>
      <c r="AN37" s="722"/>
      <c r="AO37" s="726"/>
      <c r="AP37" s="722"/>
      <c r="AQ37" s="722"/>
      <c r="AR37" s="727"/>
      <c r="AS37" s="722"/>
      <c r="AT37" s="722"/>
      <c r="AU37" s="722"/>
      <c r="AV37" s="722"/>
      <c r="AW37" s="722"/>
      <c r="AX37" s="721"/>
      <c r="AY37" s="726"/>
      <c r="AZ37" s="722"/>
      <c r="BA37" s="722"/>
      <c r="BB37" s="722"/>
      <c r="BC37" s="523"/>
      <c r="BD37" s="523"/>
      <c r="BE37" s="721"/>
      <c r="BF37" s="722"/>
      <c r="BG37" s="722"/>
      <c r="BH37" s="722"/>
      <c r="BI37" s="722"/>
      <c r="BJ37" s="722"/>
      <c r="BK37" s="722"/>
      <c r="BL37" s="737"/>
      <c r="BM37" s="722"/>
      <c r="BN37" s="722"/>
      <c r="BO37" s="721"/>
      <c r="BP37" s="728"/>
      <c r="BQ37" s="727"/>
      <c r="BR37" s="721"/>
      <c r="BS37" s="472"/>
      <c r="BT37" s="472"/>
      <c r="BU37" s="474"/>
      <c r="BV37" s="472"/>
      <c r="BW37" s="523"/>
      <c r="BX37" s="523"/>
      <c r="BY37" s="523"/>
      <c r="BZ37" s="729" t="str">
        <f>IFERROR(WWWW[[#This Row],['#_Water sources passed]]/WWWW[[#This Row],['#_Water sources tested for fecal coliform ]],"no test")</f>
        <v>no test</v>
      </c>
      <c r="CA37" s="727" t="str">
        <f>IFERROR(WWWW[[#This Row],['#_Household passed]]/WWWW[[#This Row],['#_Household water samples tested for fecal coliform]],"no test")</f>
        <v>no test</v>
      </c>
      <c r="CB37" s="730" t="str">
        <f>IF(AND(WWWW[[#This Row],[% of water sources passed]]="no test",WWWW[[#This Row],[% Household passed]]="no test"),"No Test","Tested")</f>
        <v>No Test</v>
      </c>
      <c r="CC37" s="730">
        <f>WWWW[[#This Row],['#_Constructed/existing protected hand dug well]]-WWWW[[#This Row],['#_Non-functional protected hand dug well]]</f>
        <v>13</v>
      </c>
      <c r="CD37" s="730">
        <f>(WWWW[[#This Row],['#_Constructed/Existing tube wells/boreholes/handpumps_WASH_agency]]+WWWW[[#This Row],['#_Non-Cluster partner water tube-wells/boreholes/handpumps]])-WWWW[[#This Row],['#_Non-functional tube wells/boreholes/handpumps]]</f>
        <v>1</v>
      </c>
      <c r="CE37" s="730">
        <f>WWWW[[#This Row],['#_Constructed/Existingwater storage tank with gravity fed reticulation system]]-WWWW[[#This Row],['#_Non-functional storage tank gravity fed reticulation system]]</f>
        <v>0</v>
      </c>
      <c r="CF37" s="731">
        <f>(WWWW[[#This Row],['#_Water_Liters_supplied_by_Water boating or water trucking]]/90)/15</f>
        <v>0</v>
      </c>
      <c r="CG37" s="731">
        <f>WWWW[[#This Row],['#_Water_Liters_from_Constructed/Existing water distribution system from river or natural spring]]/90/15</f>
        <v>0</v>
      </c>
      <c r="CH37" s="478">
        <f>WWWW[[#This Row],['#_of water points in TLS/CFS /THF]]*500</f>
        <v>0</v>
      </c>
      <c r="CI37" s="73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 s="73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 s="727">
        <f>IF(WWWW[[#This Row],[Location Type 1]]="Village",WWWW[[#This Row],[Access to safe drinking water for Village]],WWWW[[#This Row],[Access to safe drinking water for Camp]])</f>
        <v>1</v>
      </c>
      <c r="CL37" s="725">
        <f>WWWW[[#This Row],[%Equitable and continuous access to sufficient quantity of safe drinking water]]*WWWW[[#This Row],[Total PoP ]]</f>
        <v>1015</v>
      </c>
      <c r="CM37" s="727">
        <f>IF((WWWW[[#This Row],['#_Constructed/Existing protected/fenced ponds]]*250)/WWWW[[#This Row],[Total PoP ]]&gt;1,1,(WWWW[[#This Row],['#_Constructed/Existing protected/fenced ponds]]*250)/WWWW[[#This Row],[Total PoP ]])</f>
        <v>0</v>
      </c>
      <c r="CN37" s="725">
        <f>WWWW[[#This Row],[% Access to unimproved water points]]*WWWW[[#This Row],[Total PoP ]]</f>
        <v>0</v>
      </c>
      <c r="CO37" s="72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 s="72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1015</v>
      </c>
      <c r="CQ37" s="725">
        <f>WWWW[[#This Row],[HRP1]]/500</f>
        <v>2.0299999999999998</v>
      </c>
      <c r="CR37" s="733">
        <f>1-WWWW[[#This Row],[% Equitable and continuous access to sufficient quantity of domestic water]]</f>
        <v>0</v>
      </c>
      <c r="CS37" s="725">
        <f>WWWW[[#This Row],[%equitable and continuous access to sufficient quantity of safe drinking and domestic water''s GAP]]*WWWW[[#This Row],[Total PoP ]]</f>
        <v>0</v>
      </c>
      <c r="CT37" s="730">
        <f>IF(WWWW[[#This Row],[Total required water points]]-WWWW[[#This Row],['#Water points coverage]]&lt;0,0,WWWW[[#This Row],[Total required water points]]-WWWW[[#This Row],['#Water points coverage]])</f>
        <v>0</v>
      </c>
      <c r="CU37" s="730">
        <f>ROUND(IF(WWWW[[#This Row],[Total PoP ]]&lt;500,1,WWWW[[#This Row],[Total PoP ]]/500),0)</f>
        <v>2</v>
      </c>
      <c r="CV37" s="730">
        <f>(WWWW[[#This Row],['#_Constructed latrines_by_WASHAgencies]]+WWWW[[#This Row],['#_Non Cluster partner latrines]])-WWWW[[#This Row],['#_Non-functional latrines]]</f>
        <v>0</v>
      </c>
      <c r="CW37" s="734">
        <f>WWWW[[#This Row],[HRP2]]/WWWW[[#This Row],[Total PoP ]]</f>
        <v>0</v>
      </c>
      <c r="CX37" s="735">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7" s="72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 s="73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 s="473">
        <f>IF(WWWW[[#This Row],['# of functional latrines in THF supported by WASH partners during the reporting period2]]="",0,WWWW[[#This Row],['# of functional latrines in THF supported by WASH partners during the reporting period2]]*50)</f>
        <v>0</v>
      </c>
      <c r="DB37" s="473">
        <f>WWWW[[#This Row],['# students access to functioning school latrines_HRP5]]+WWWW[[#This Row],['# People access to functioning latrines in THF_HRP5]]</f>
        <v>0</v>
      </c>
      <c r="DC37" s="730">
        <f>ROUND(IF(WWWW[[#This Row],[Location Type 1]]="camp",WWWW[[#This Row],[Total PoP ]]/20,IF(WWWW[[#This Row],[Location Type 1]]="Temporary Location",WWWW[[#This Row],[Total PoP ]]/50,(WWWW[[#This Row],[Total PoP ]]/6))),0)</f>
        <v>51</v>
      </c>
      <c r="DD37" s="730">
        <f>IF(WWWW[[#This Row],[Total required Latrines]]-(WWWW[[#This Row],['#_Constructed latrines_by_WASHAgencies]]+WWWW[[#This Row],['#_Non Cluster partner latrines]])&lt;0,0,WWWW[[#This Row],[Total required Latrines]]-(WWWW[[#This Row],['#_Constructed latrines_by_WASHAgencies]]+WWWW[[#This Row],['#_Non Cluster partner latrines]]))</f>
        <v>51</v>
      </c>
      <c r="DE37" s="733">
        <f>1-WWWW[[#This Row],[% people access to functioning Latrine]]</f>
        <v>1</v>
      </c>
      <c r="DF37" s="729">
        <f>IF(OR(WWWW[[#This Row],['#_Non-functional latrines]]="",WWWW[[#This Row],['#_Non-functional latrines]]=0),0,WWWW[[#This Row],['#_Non-functional latrines]]/(WWWW[[#This Row],['#_Constructed latrines_by_WASHAgencies]]+WWWW[[#This Row],['#_Non Cluster partner latrines]]))</f>
        <v>0</v>
      </c>
      <c r="DG37" s="725">
        <f>IF(500*(WWWW[[#This Row],['#_male hygiene promoters]]+WWWW[[#This Row],['#_female hygiene promoters]])&gt;WWWW[[#This Row],[Total PoP ]],WWWW[[#This Row],[Total PoP ]],500*(WWWW[[#This Row],['#_male hygiene promoters]]+WWWW[[#This Row],['#_female hygiene promoters]]))</f>
        <v>0</v>
      </c>
      <c r="DH37" s="7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 s="7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 s="730">
        <f>IF(WWWW[[#This Row],['# People with access to soap]]&gt;WWWW[[#This Row],['# People with access to Sanity Pads]],WWWW[[#This Row],['# People with access to soap]],WWWW[[#This Row],['# People with access to Sanity Pads]])</f>
        <v>0</v>
      </c>
      <c r="DK37" s="7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 s="733">
        <f>IF(WWWW[[#This Row],[HRP3]]/WWWW[[#This Row],[Total PoP ]]&gt;1,1,WWWW[[#This Row],[HRP3]]/WWWW[[#This Row],[Total PoP ]])</f>
        <v>0</v>
      </c>
      <c r="DM37" s="729">
        <f>1-WWWW[[#This Row],[Hygiene Coverage%]]</f>
        <v>1</v>
      </c>
      <c r="DN37" s="727">
        <f>WWWW[[#This Row],['# people reached by regular dedicated hygiene promotion_5]]/WWWW[[#This Row],[Total PoP ]]</f>
        <v>0</v>
      </c>
      <c r="DO37" s="727">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 s="727">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 s="730">
        <f>WWWW[[#This Row],['#_Constructed/Existing hand washing stations]]-WWWW[[#This Row],['#_Non-Functional_hand_washing_stations]]</f>
        <v>0</v>
      </c>
      <c r="DR37" s="725">
        <f>IF(WWWW[[#This Row],['# Functional hand washing stations during reporting period]]*20&gt;WWWW[[#This Row],[Total HH]],WWWW[[#This Row],[Total HH]],WWWW[[#This Row],['# Functional hand washing stations during reporting period]]*20)</f>
        <v>0</v>
      </c>
      <c r="DS37" s="725">
        <f>IF(WWWW[[#This Row],[Is sufficient soap available for TLS? (Yes/No)]]="yes",WWWW[[#This Row],['#_Constructed/Existing hand washing stations at TLS]],0)</f>
        <v>0</v>
      </c>
      <c r="DT37" s="479">
        <f>IF(WWWW[[#This Row],['# Functional hand washing stations during reporting period]]*100&gt;WWWW[[#This Row],[Total PoP ]],WWWW[[#This Row],[Total PoP ]],WWWW[[#This Row],['# Functional hand washing stations during reporting period]]*100)</f>
        <v>0</v>
      </c>
      <c r="DU37" s="479" t="str">
        <f>IF(OR(WWWW[[#This Row],['#_students at TLS_CFS]]="",WWWW[[#This Row],['#_students at TLS_CFS]]=0),"No","Yes")</f>
        <v>No</v>
      </c>
      <c r="DV3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 s="721">
        <f>VLOOKUP(WWWW[[#This Row],[Site Name]],SiteDB6[[Site Name]:[CCCM Management]],6,FALSE)</f>
        <v>0</v>
      </c>
      <c r="DZ37" s="721" t="str">
        <f>VLOOKUP(WWWW[[#This Row],[Site Name]],SiteDB6[[Site Name]:[CCCM Focal Agency]],7,FALSE)</f>
        <v>uncovered</v>
      </c>
      <c r="EA37" s="721" t="str">
        <f>VLOOKUP(WWWW[[#This Row],[Site Name]],SiteDB6[[Site Name]:[Location Type 1]],9,FALSE)</f>
        <v>Camp</v>
      </c>
      <c r="EB37" s="721" t="str">
        <f>VLOOKUP(WWWW[[#This Row],[Site Name]],SiteDB6[[Site Name]:[Type of Accommodation]],10,FALSE)</f>
        <v>Camp like setting</v>
      </c>
      <c r="EC37" s="721" t="str">
        <f>VLOOKUP(WWWW[[#This Row],[Site Name]],SiteDB6[[Site Name]:[Ethnic or GCA/NGCA]],11,FALSE)</f>
        <v>NGCA</v>
      </c>
      <c r="ED37" s="721">
        <f>VLOOKUP(WWWW[[#This Row],[Site Name]],SiteDB6[[Site Name]:[Lat]],12,FALSE)</f>
        <v>0</v>
      </c>
      <c r="EE37" s="721">
        <f>VLOOKUP(WWWW[[#This Row],[Site Name]],SiteDB6[[Site Name]:[Long]],13,FALSE)</f>
        <v>0</v>
      </c>
      <c r="EF37" s="721" t="str">
        <f>VLOOKUP(WWWW[[#This Row],[Site Name]],SiteDB6[[Site Name]:[Pcode]],3,FALSE)</f>
        <v>MMR001CMP273</v>
      </c>
      <c r="EG37" s="726" t="str">
        <f t="shared" si="0"/>
        <v>Covered</v>
      </c>
      <c r="EH37" s="726" t="str">
        <f>VLOOKUP(WWWW[[#This Row],[Site Name]],Site_DB!$C$389:$D$1120,2,FALSE)</f>
        <v>cccm_2019OCT</v>
      </c>
    </row>
    <row r="38" spans="1:138" hidden="1">
      <c r="A38" s="591" t="s">
        <v>3261</v>
      </c>
      <c r="B38" s="591" t="s">
        <v>144</v>
      </c>
      <c r="C38" s="592" t="s">
        <v>144</v>
      </c>
      <c r="D38" s="404" t="s">
        <v>3277</v>
      </c>
      <c r="E38" s="592" t="s">
        <v>39</v>
      </c>
      <c r="F38" s="592" t="s">
        <v>145</v>
      </c>
      <c r="G38" s="721" t="str">
        <f>VLOOKUP(WWWW[[#This Row],[Site Name]],SiteDB6[[Site Name]:[Location Type]],8,FALSE)</f>
        <v>Camp</v>
      </c>
      <c r="H38" s="592" t="s">
        <v>184</v>
      </c>
      <c r="I38" s="594">
        <v>60</v>
      </c>
      <c r="J38" s="594">
        <v>307</v>
      </c>
      <c r="K38" s="717" t="s">
        <v>3278</v>
      </c>
      <c r="L38" s="718" t="s">
        <v>3279</v>
      </c>
      <c r="M38" s="594"/>
      <c r="N38" s="594"/>
      <c r="O38" s="594"/>
      <c r="P38" s="594"/>
      <c r="Q38" s="597" t="s">
        <v>43</v>
      </c>
      <c r="R38" s="594"/>
      <c r="S38" s="594"/>
      <c r="T38" s="523">
        <v>2</v>
      </c>
      <c r="U38" s="594"/>
      <c r="V38" s="594"/>
      <c r="W38" s="594">
        <v>0</v>
      </c>
      <c r="X38" s="594"/>
      <c r="Y38" s="594"/>
      <c r="Z38" s="594"/>
      <c r="AA38" s="594"/>
      <c r="AB38" s="594"/>
      <c r="AC38" s="594"/>
      <c r="AD38" s="594"/>
      <c r="AE38" s="594"/>
      <c r="AF38" s="594"/>
      <c r="AG38" s="594"/>
      <c r="AH38" s="594">
        <v>1</v>
      </c>
      <c r="AI38" s="594"/>
      <c r="AJ38" s="594"/>
      <c r="AK38" s="594"/>
      <c r="AL38" s="594"/>
      <c r="AM38" s="594"/>
      <c r="AN38" s="594"/>
      <c r="AO38" s="598"/>
      <c r="AP38" s="594">
        <v>14</v>
      </c>
      <c r="AQ38" s="594"/>
      <c r="AR38" s="599"/>
      <c r="AS38" s="594"/>
      <c r="AT38" s="594"/>
      <c r="AU38" s="594"/>
      <c r="AV38" s="594"/>
      <c r="AW38" s="594">
        <v>10</v>
      </c>
      <c r="AX38" s="593" t="s">
        <v>43</v>
      </c>
      <c r="AY38" s="598" t="s">
        <v>140</v>
      </c>
      <c r="AZ38" s="594"/>
      <c r="BA38" s="594"/>
      <c r="BB38" s="594"/>
      <c r="BC38" s="594"/>
      <c r="BD38" s="523"/>
      <c r="BE38" s="593"/>
      <c r="BF38" s="594">
        <v>4</v>
      </c>
      <c r="BG38" s="594"/>
      <c r="BH38" s="594"/>
      <c r="BI38" s="594">
        <v>2</v>
      </c>
      <c r="BJ38" s="594"/>
      <c r="BK38" s="594"/>
      <c r="BL38" s="594">
        <v>1</v>
      </c>
      <c r="BM38" s="594"/>
      <c r="BN38" s="594"/>
      <c r="BO38" s="593"/>
      <c r="BP38" s="594"/>
      <c r="BQ38" s="599"/>
      <c r="BR38" s="593"/>
      <c r="BS38" s="472"/>
      <c r="BT38" s="472"/>
      <c r="BU38" s="523"/>
      <c r="BV38" s="472"/>
      <c r="BW38" s="523"/>
      <c r="BX38" s="523"/>
      <c r="BY38" s="523"/>
      <c r="BZ38" s="601" t="str">
        <f>IFERROR(WWWW[[#This Row],['#_Water sources passed]]/WWWW[[#This Row],['#_Water sources tested for fecal coliform ]],"no test")</f>
        <v>no test</v>
      </c>
      <c r="CA38" s="599" t="str">
        <f>IFERROR(WWWW[[#This Row],['#_Household passed]]/WWWW[[#This Row],['#_Household water samples tested for fecal coliform]],"no test")</f>
        <v>no test</v>
      </c>
      <c r="CB38" s="600" t="str">
        <f>IF(AND(WWWW[[#This Row],[% of water sources passed]]="no test",WWWW[[#This Row],[% Household passed]]="no test"),"No Test","Tested")</f>
        <v>No Test</v>
      </c>
      <c r="CC38" s="600">
        <f>WWWW[[#This Row],['#_Constructed/existing protected hand dug well]]-WWWW[[#This Row],['#_Non-functional protected hand dug well]]</f>
        <v>2</v>
      </c>
      <c r="CD38" s="600">
        <f>(WWWW[[#This Row],['#_Constructed/Existing tube wells/boreholes/handpumps_WASH_agency]]+WWWW[[#This Row],['#_Non-Cluster partner water tube-wells/boreholes/handpumps]])-WWWW[[#This Row],['#_Non-functional tube wells/boreholes/handpumps]]</f>
        <v>0</v>
      </c>
      <c r="CE38" s="600">
        <f>WWWW[[#This Row],['#_Constructed/Existingwater storage tank with gravity fed reticulation system]]-WWWW[[#This Row],['#_Non-functional storage tank gravity fed reticulation system]]</f>
        <v>0</v>
      </c>
      <c r="CF38" s="478">
        <f>(WWWW[[#This Row],['#_Water_Liters_supplied_by_Water boating or water trucking]]/90)/15</f>
        <v>0</v>
      </c>
      <c r="CG38" s="478">
        <f>WWWW[[#This Row],['#_Water_Liters_from_Constructed/Existing water distribution system from river or natural spring]]/90/15</f>
        <v>0</v>
      </c>
      <c r="CH38" s="478">
        <f>WWWW[[#This Row],['#_of water points in TLS/CFS /THF]]*500</f>
        <v>0</v>
      </c>
      <c r="CI3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 s="599">
        <f>IF(WWWW[[#This Row],[Location Type 1]]="Village",WWWW[[#This Row],[Access to safe drinking water for Village]],WWWW[[#This Row],[Access to safe drinking water for Camp]])</f>
        <v>1</v>
      </c>
      <c r="CL38" s="597">
        <f>WWWW[[#This Row],[%Equitable and continuous access to sufficient quantity of safe drinking water]]*WWWW[[#This Row],[Total PoP ]]</f>
        <v>307</v>
      </c>
      <c r="CM38" s="599">
        <f>IF((WWWW[[#This Row],['#_Constructed/Existing protected/fenced ponds]]*250)/WWWW[[#This Row],[Total PoP ]]&gt;1,1,(WWWW[[#This Row],['#_Constructed/Existing protected/fenced ponds]]*250)/WWWW[[#This Row],[Total PoP ]])</f>
        <v>0</v>
      </c>
      <c r="CN38" s="597">
        <f>WWWW[[#This Row],[% Access to unimproved water points]]*WWWW[[#This Row],[Total PoP ]]</f>
        <v>0</v>
      </c>
      <c r="CO3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Q38" s="597">
        <f>WWWW[[#This Row],[HRP1]]/500</f>
        <v>0.61399999999999999</v>
      </c>
      <c r="CR38" s="602">
        <f>1-WWWW[[#This Row],[% Equitable and continuous access to sufficient quantity of domestic water]]</f>
        <v>0</v>
      </c>
      <c r="CS38" s="597">
        <f>WWWW[[#This Row],[%equitable and continuous access to sufficient quantity of safe drinking and domestic water''s GAP]]*WWWW[[#This Row],[Total PoP ]]</f>
        <v>0</v>
      </c>
      <c r="CT38" s="600">
        <f>IF(WWWW[[#This Row],[Total required water points]]-WWWW[[#This Row],['#Water points coverage]]&lt;0,0,WWWW[[#This Row],[Total required water points]]-WWWW[[#This Row],['#Water points coverage]])</f>
        <v>0.38600000000000001</v>
      </c>
      <c r="CU38" s="600">
        <f>ROUND(IF(WWWW[[#This Row],[Total PoP ]]&lt;500,1,WWWW[[#This Row],[Total PoP ]]/500),0)</f>
        <v>1</v>
      </c>
      <c r="CV38" s="600">
        <f>(WWWW[[#This Row],['#_Constructed latrines_by_WASHAgencies]]+WWWW[[#This Row],['#_Non Cluster partner latrines]])-WWWW[[#This Row],['#_Non-functional latrines]]</f>
        <v>14</v>
      </c>
      <c r="CW38" s="70">
        <f>WWWW[[#This Row],[HRP2]]/WWWW[[#This Row],[Total PoP ]]</f>
        <v>0.91205211726384361</v>
      </c>
      <c r="CX3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 s="600">
        <f>IF(WWWW[[#This Row],['# of functional latrines in THF supported by WASH partners during the reporting period2]]="",0,WWWW[[#This Row],['# of functional latrines in THF supported by WASH partners during the reporting period2]]*50)</f>
        <v>0</v>
      </c>
      <c r="DB38" s="600">
        <f>WWWW[[#This Row],['# students access to functioning school latrines_HRP5]]+WWWW[[#This Row],['# People access to functioning latrines in THF_HRP5]]</f>
        <v>0</v>
      </c>
      <c r="DC38" s="600">
        <f>ROUND(IF(WWWW[[#This Row],[Location Type 1]]="camp",WWWW[[#This Row],[Total PoP ]]/20,IF(WWWW[[#This Row],[Location Type 1]]="Temporary Location",WWWW[[#This Row],[Total PoP ]]/50,WWWW[[#This Row],[Total HH]])),0)</f>
        <v>15</v>
      </c>
      <c r="DD38" s="600">
        <f>IF(WWWW[[#This Row],[Total required Latrines]]-(WWWW[[#This Row],['#_Constructed latrines_by_WASHAgencies]]+WWWW[[#This Row],['#_Non Cluster partner latrines]])&lt;0,0,WWWW[[#This Row],[Total required Latrines]]-(WWWW[[#This Row],['#_Constructed latrines_by_WASHAgencies]]+WWWW[[#This Row],['#_Non Cluster partner latrines]]))</f>
        <v>1</v>
      </c>
      <c r="DE38" s="602">
        <f>1-WWWW[[#This Row],[% people access to functioning Latrine]]</f>
        <v>8.7947882736156391E-2</v>
      </c>
      <c r="DF38" s="601">
        <f>IF(OR(WWWW[[#This Row],['#_Non-functional latrines]]="",WWWW[[#This Row],['#_Non-functional latrines]]=0),0,WWWW[[#This Row],['#_Non-functional latrines]]/(WWWW[[#This Row],['#_Constructed latrines_by_WASHAgencies]]+WWWW[[#This Row],['#_Non Cluster partner latrines]]))</f>
        <v>0</v>
      </c>
      <c r="DG38" s="597">
        <f>IF(500*(WWWW[[#This Row],['#_male hygiene promoters]]+WWWW[[#This Row],['#_female hygiene promoters]])&gt;WWWW[[#This Row],[Total PoP ]],WWWW[[#This Row],[Total PoP ]],500*(WWWW[[#This Row],['#_male hygiene promoters]]+WWWW[[#This Row],['#_female hygiene promoters]]))</f>
        <v>307</v>
      </c>
      <c r="DH3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 s="600">
        <f>IF(WWWW[[#This Row],['# People with access to soap]]&gt;WWWW[[#This Row],['# People with access to Sanity Pads]],WWWW[[#This Row],['# People with access to soap]],WWWW[[#This Row],['# People with access to Sanity Pads]])</f>
        <v>0</v>
      </c>
      <c r="DK38" s="600">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L38" s="602">
        <f>IF(WWWW[[#This Row],[HRP3]]/WWWW[[#This Row],[Total PoP ]]&gt;1,1,WWWW[[#This Row],[HRP3]]/WWWW[[#This Row],[Total PoP ]])</f>
        <v>1</v>
      </c>
      <c r="DM38" s="601">
        <f>1-WWWW[[#This Row],[Hygiene Coverage%]]</f>
        <v>0</v>
      </c>
      <c r="DN38" s="599">
        <f>WWWW[[#This Row],['# people reached by regular dedicated hygiene promotion_5]]/WWWW[[#This Row],[Total PoP ]]</f>
        <v>1</v>
      </c>
      <c r="DO3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 s="600">
        <f>WWWW[[#This Row],['#_Constructed/Existing hand washing stations]]-WWWW[[#This Row],['#_Non-Functional_hand_washing_stations]]</f>
        <v>4</v>
      </c>
      <c r="DR38" s="597">
        <f>IF(WWWW[[#This Row],['# Functional hand washing stations during reporting period]]*20&gt;WWWW[[#This Row],[Total HH]],WWWW[[#This Row],[Total HH]],WWWW[[#This Row],['# Functional hand washing stations during reporting period]]*20)</f>
        <v>60</v>
      </c>
      <c r="DS38" s="597">
        <f>IF(WWWW[[#This Row],[Is sufficient soap available for TLS? (Yes/No)]]="yes",WWWW[[#This Row],['#_Constructed/Existing hand washing stations at TLS]],0)</f>
        <v>0</v>
      </c>
      <c r="DT38" s="479">
        <f>IF(WWWW[[#This Row],['# Functional hand washing stations during reporting period]]*100&gt;WWWW[[#This Row],[Total PoP ]],WWWW[[#This Row],[Total PoP ]],WWWW[[#This Row],['# Functional hand washing stations during reporting period]]*100)</f>
        <v>307</v>
      </c>
      <c r="DU38" s="479" t="str">
        <f>IF(OR(WWWW[[#This Row],['#_students at TLS_CFS]]="",WWWW[[#This Row],['#_students at TLS_CFS]]=0),"No","Yes")</f>
        <v>No</v>
      </c>
      <c r="DV3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 s="593" t="str">
        <f>VLOOKUP(WWWW[[#This Row],[Site Name]],SiteDB6[[Site Name]:[CCCM Management]],6,FALSE)</f>
        <v>Yes</v>
      </c>
      <c r="DZ38" s="593" t="str">
        <f>VLOOKUP(WWWW[[#This Row],[Site Name]],SiteDB6[[Site Name]:[CCCM Focal Agency]],7,FALSE)</f>
        <v>KBC-MYT</v>
      </c>
      <c r="EA38" s="593" t="str">
        <f>VLOOKUP(WWWW[[#This Row],[Site Name]],SiteDB6[[Site Name]:[Location Type 1]],9,FALSE)</f>
        <v>Camp</v>
      </c>
      <c r="EB38" s="593" t="str">
        <f>VLOOKUP(WWWW[[#This Row],[Site Name]],SiteDB6[[Site Name]:[Type of Accommodation]],10,FALSE)</f>
        <v>Camp</v>
      </c>
      <c r="EC38" s="593" t="str">
        <f>VLOOKUP(WWWW[[#This Row],[Site Name]],SiteDB6[[Site Name]:[Ethnic or GCA/NGCA]],11,FALSE)</f>
        <v>GCA</v>
      </c>
      <c r="ED38" s="593">
        <f>VLOOKUP(WWWW[[#This Row],[Site Name]],SiteDB6[[Site Name]:[Lat]],12,FALSE)</f>
        <v>25.351724999999998</v>
      </c>
      <c r="EE38" s="593">
        <f>VLOOKUP(WWWW[[#This Row],[Site Name]],SiteDB6[[Site Name]:[Long]],13,FALSE)</f>
        <v>97.438432380952406</v>
      </c>
      <c r="EF38" s="593" t="str">
        <f>VLOOKUP(WWWW[[#This Row],[Site Name]],SiteDB6[[Site Name]:[Pcode]],3,FALSE)</f>
        <v>MMR001CMP025</v>
      </c>
      <c r="EG38" s="598" t="str">
        <f t="shared" si="0"/>
        <v>Covered</v>
      </c>
      <c r="EH38" s="598" t="str">
        <f>VLOOKUP(WWWW[[#This Row],[Site Name]],SiteDB6[[Site Name]:[open in cccm?]],2,FALSE)</f>
        <v>cccm_2019OCT</v>
      </c>
    </row>
    <row r="39" spans="1:138" hidden="1">
      <c r="A39" s="591" t="s">
        <v>3261</v>
      </c>
      <c r="B39" s="591" t="s">
        <v>144</v>
      </c>
      <c r="C39" s="592" t="s">
        <v>144</v>
      </c>
      <c r="D39" s="592" t="s">
        <v>3280</v>
      </c>
      <c r="E39" s="592" t="s">
        <v>39</v>
      </c>
      <c r="F39" s="592" t="s">
        <v>187</v>
      </c>
      <c r="G39" s="721" t="str">
        <f>VLOOKUP(WWWW[[#This Row],[Site Name]],SiteDB6[[Site Name]:[Location Type]],8,FALSE)</f>
        <v>Camp</v>
      </c>
      <c r="H39" s="592" t="s">
        <v>190</v>
      </c>
      <c r="I39" s="594">
        <v>63</v>
      </c>
      <c r="J39" s="594">
        <v>325</v>
      </c>
      <c r="K39" s="717">
        <v>43475</v>
      </c>
      <c r="L39" s="718" t="s">
        <v>3281</v>
      </c>
      <c r="M39" s="594"/>
      <c r="N39" s="594"/>
      <c r="O39" s="594"/>
      <c r="P39" s="594"/>
      <c r="Q39" s="597" t="s">
        <v>43</v>
      </c>
      <c r="R39" s="594"/>
      <c r="S39" s="594">
        <v>4</v>
      </c>
      <c r="T39" s="523">
        <v>0</v>
      </c>
      <c r="U39" s="594"/>
      <c r="V39" s="594"/>
      <c r="W39" s="594">
        <v>0</v>
      </c>
      <c r="X39" s="594"/>
      <c r="Y39" s="594"/>
      <c r="Z39" s="594"/>
      <c r="AA39" s="594">
        <v>1</v>
      </c>
      <c r="AB39" s="594">
        <v>1</v>
      </c>
      <c r="AC39" s="594"/>
      <c r="AD39" s="594"/>
      <c r="AE39" s="594"/>
      <c r="AF39" s="594"/>
      <c r="AG39" s="594"/>
      <c r="AH39" s="594">
        <v>0</v>
      </c>
      <c r="AI39" s="594"/>
      <c r="AJ39" s="594"/>
      <c r="AK39" s="594"/>
      <c r="AL39" s="594"/>
      <c r="AM39" s="594"/>
      <c r="AN39" s="594"/>
      <c r="AO39" s="598"/>
      <c r="AP39" s="594">
        <v>65</v>
      </c>
      <c r="AQ39" s="594"/>
      <c r="AR39" s="599"/>
      <c r="AS39" s="594"/>
      <c r="AT39" s="594"/>
      <c r="AU39" s="594"/>
      <c r="AV39" s="594"/>
      <c r="AW39" s="594">
        <v>65</v>
      </c>
      <c r="AX39" s="593" t="s">
        <v>43</v>
      </c>
      <c r="AY39" s="598" t="s">
        <v>140</v>
      </c>
      <c r="AZ39" s="594"/>
      <c r="BA39" s="594"/>
      <c r="BB39" s="594"/>
      <c r="BC39" s="594"/>
      <c r="BD39" s="523"/>
      <c r="BE39" s="593"/>
      <c r="BF39" s="594">
        <v>65</v>
      </c>
      <c r="BG39" s="594"/>
      <c r="BH39" s="594"/>
      <c r="BI39" s="594">
        <v>0</v>
      </c>
      <c r="BJ39" s="594"/>
      <c r="BK39" s="594"/>
      <c r="BL39" s="736">
        <v>2</v>
      </c>
      <c r="BM39" s="594"/>
      <c r="BN39" s="594"/>
      <c r="BO39" s="593"/>
      <c r="BP39" s="594"/>
      <c r="BQ39" s="599"/>
      <c r="BR39" s="593"/>
      <c r="BS39" s="472"/>
      <c r="BT39" s="472"/>
      <c r="BU39" s="523"/>
      <c r="BV39" s="472"/>
      <c r="BW39" s="523"/>
      <c r="BX39" s="523"/>
      <c r="BY39" s="523"/>
      <c r="BZ39" s="601" t="str">
        <f>IFERROR(WWWW[[#This Row],['#_Water sources passed]]/WWWW[[#This Row],['#_Water sources tested for fecal coliform ]],"no test")</f>
        <v>no test</v>
      </c>
      <c r="CA39" s="599" t="str">
        <f>IFERROR(WWWW[[#This Row],['#_Household passed]]/WWWW[[#This Row],['#_Household water samples tested for fecal coliform]],"no test")</f>
        <v>no test</v>
      </c>
      <c r="CB39" s="600" t="str">
        <f>IF(AND(WWWW[[#This Row],[% of water sources passed]]="no test",WWWW[[#This Row],[% Household passed]]="no test"),"No Test","Tested")</f>
        <v>No Test</v>
      </c>
      <c r="CC39" s="600">
        <f>WWWW[[#This Row],['#_Constructed/existing protected hand dug well]]-WWWW[[#This Row],['#_Non-functional protected hand dug well]]</f>
        <v>0</v>
      </c>
      <c r="CD39" s="600">
        <f>(WWWW[[#This Row],['#_Constructed/Existing tube wells/boreholes/handpumps_WASH_agency]]+WWWW[[#This Row],['#_Non-Cluster partner water tube-wells/boreholes/handpumps]])-WWWW[[#This Row],['#_Non-functional tube wells/boreholes/handpumps]]</f>
        <v>0</v>
      </c>
      <c r="CE39" s="600">
        <f>WWWW[[#This Row],['#_Constructed/Existingwater storage tank with gravity fed reticulation system]]-WWWW[[#This Row],['#_Non-functional storage tank gravity fed reticulation system]]</f>
        <v>0</v>
      </c>
      <c r="CF39" s="478">
        <f>(WWWW[[#This Row],['#_Water_Liters_supplied_by_Water boating or water trucking]]/90)/15</f>
        <v>0</v>
      </c>
      <c r="CG39" s="478">
        <f>WWWW[[#This Row],['#_Water_Liters_from_Constructed/Existing water distribution system from river or natural spring]]/90/15</f>
        <v>0</v>
      </c>
      <c r="CH39" s="478">
        <f>WWWW[[#This Row],['#_of water points in TLS/CFS /THF]]*500</f>
        <v>0</v>
      </c>
      <c r="CI3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9" s="599">
        <f>IF(WWWW[[#This Row],[Location Type 1]]="Village",WWWW[[#This Row],[Access to safe drinking water for Village]],WWWW[[#This Row],[Access to safe drinking water for Camp]])</f>
        <v>0</v>
      </c>
      <c r="CL39" s="597">
        <f>WWWW[[#This Row],[%Equitable and continuous access to sufficient quantity of safe drinking water]]*WWWW[[#This Row],[Total PoP ]]</f>
        <v>0</v>
      </c>
      <c r="CM39" s="599">
        <f>IF((WWWW[[#This Row],['#_Constructed/Existing protected/fenced ponds]]*250)/WWWW[[#This Row],[Total PoP ]]&gt;1,1,(WWWW[[#This Row],['#_Constructed/Existing protected/fenced ponds]]*250)/WWWW[[#This Row],[Total PoP ]])</f>
        <v>0</v>
      </c>
      <c r="CN39" s="597">
        <f>WWWW[[#This Row],[% Access to unimproved water points]]*WWWW[[#This Row],[Total PoP ]]</f>
        <v>0</v>
      </c>
      <c r="CO3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9" s="597">
        <f>WWWW[[#This Row],[HRP1]]/500</f>
        <v>0</v>
      </c>
      <c r="CR39" s="602">
        <f>1-WWWW[[#This Row],[% Equitable and continuous access to sufficient quantity of domestic water]]</f>
        <v>1</v>
      </c>
      <c r="CS39" s="597">
        <f>WWWW[[#This Row],[%equitable and continuous access to sufficient quantity of safe drinking and domestic water''s GAP]]*WWWW[[#This Row],[Total PoP ]]</f>
        <v>325</v>
      </c>
      <c r="CT39" s="600">
        <f>IF(WWWW[[#This Row],[Total required water points]]-WWWW[[#This Row],['#Water points coverage]]&lt;0,0,WWWW[[#This Row],[Total required water points]]-WWWW[[#This Row],['#Water points coverage]])</f>
        <v>1</v>
      </c>
      <c r="CU39" s="600">
        <f>ROUND(IF(WWWW[[#This Row],[Total PoP ]]&lt;500,1,WWWW[[#This Row],[Total PoP ]]/500),0)</f>
        <v>1</v>
      </c>
      <c r="CV39" s="600">
        <f>(WWWW[[#This Row],['#_Constructed latrines_by_WASHAgencies]]+WWWW[[#This Row],['#_Non Cluster partner latrines]])-WWWW[[#This Row],['#_Non-functional latrines]]</f>
        <v>65</v>
      </c>
      <c r="CW39" s="70">
        <f>WWWW[[#This Row],[HRP2]]/WWWW[[#This Row],[Total PoP ]]</f>
        <v>1</v>
      </c>
      <c r="CX3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CY3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 s="600">
        <f>IF(WWWW[[#This Row],['# of functional latrines in THF supported by WASH partners during the reporting period2]]="",0,WWWW[[#This Row],['# of functional latrines in THF supported by WASH partners during the reporting period2]]*50)</f>
        <v>0</v>
      </c>
      <c r="DB39" s="600">
        <f>WWWW[[#This Row],['# students access to functioning school latrines_HRP5]]+WWWW[[#This Row],['# People access to functioning latrines in THF_HRP5]]</f>
        <v>0</v>
      </c>
      <c r="DC39" s="600">
        <f>ROUND(IF(WWWW[[#This Row],[Location Type 1]]="camp",WWWW[[#This Row],[Total PoP ]]/20,IF(WWWW[[#This Row],[Location Type 1]]="Temporary Location",WWWW[[#This Row],[Total PoP ]]/50,WWWW[[#This Row],[Total HH]])),0)</f>
        <v>16</v>
      </c>
      <c r="DD39" s="600">
        <f>IF(WWWW[[#This Row],[Total required Latrines]]-(WWWW[[#This Row],['#_Constructed latrines_by_WASHAgencies]]+WWWW[[#This Row],['#_Non Cluster partner latrines]])&lt;0,0,WWWW[[#This Row],[Total required Latrines]]-(WWWW[[#This Row],['#_Constructed latrines_by_WASHAgencies]]+WWWW[[#This Row],['#_Non Cluster partner latrines]]))</f>
        <v>0</v>
      </c>
      <c r="DE39" s="602">
        <f>1-WWWW[[#This Row],[% people access to functioning Latrine]]</f>
        <v>0</v>
      </c>
      <c r="DF39" s="601">
        <f>IF(OR(WWWW[[#This Row],['#_Non-functional latrines]]="",WWWW[[#This Row],['#_Non-functional latrines]]=0),0,WWWW[[#This Row],['#_Non-functional latrines]]/(WWWW[[#This Row],['#_Constructed latrines_by_WASHAgencies]]+WWWW[[#This Row],['#_Non Cluster partner latrines]]))</f>
        <v>0</v>
      </c>
      <c r="DG39" s="597">
        <f>IF(500*(WWWW[[#This Row],['#_male hygiene promoters]]+WWWW[[#This Row],['#_female hygiene promoters]])&gt;WWWW[[#This Row],[Total PoP ]],WWWW[[#This Row],[Total PoP ]],500*(WWWW[[#This Row],['#_male hygiene promoters]]+WWWW[[#This Row],['#_female hygiene promoters]]))</f>
        <v>325</v>
      </c>
      <c r="DH3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 s="600">
        <f>IF(WWWW[[#This Row],['# People with access to soap]]&gt;WWWW[[#This Row],['# People with access to Sanity Pads]],WWWW[[#This Row],['# People with access to soap]],WWWW[[#This Row],['# People with access to Sanity Pads]])</f>
        <v>0</v>
      </c>
      <c r="DK39" s="600">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L39" s="602">
        <f>IF(WWWW[[#This Row],[HRP3]]/WWWW[[#This Row],[Total PoP ]]&gt;1,1,WWWW[[#This Row],[HRP3]]/WWWW[[#This Row],[Total PoP ]])</f>
        <v>1</v>
      </c>
      <c r="DM39" s="601">
        <f>1-WWWW[[#This Row],[Hygiene Coverage%]]</f>
        <v>0</v>
      </c>
      <c r="DN39" s="599">
        <f>WWWW[[#This Row],['# people reached by regular dedicated hygiene promotion_5]]/WWWW[[#This Row],[Total PoP ]]</f>
        <v>1</v>
      </c>
      <c r="DO3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 s="600">
        <f>WWWW[[#This Row],['#_Constructed/Existing hand washing stations]]-WWWW[[#This Row],['#_Non-Functional_hand_washing_stations]]</f>
        <v>65</v>
      </c>
      <c r="DR39" s="597">
        <f>IF(WWWW[[#This Row],['# Functional hand washing stations during reporting period]]*20&gt;WWWW[[#This Row],[Total HH]],WWWW[[#This Row],[Total HH]],WWWW[[#This Row],['# Functional hand washing stations during reporting period]]*20)</f>
        <v>63</v>
      </c>
      <c r="DS39" s="597">
        <f>IF(WWWW[[#This Row],[Is sufficient soap available for TLS? (Yes/No)]]="yes",WWWW[[#This Row],['#_Constructed/Existing hand washing stations at TLS]],0)</f>
        <v>0</v>
      </c>
      <c r="DT39" s="479">
        <f>IF(WWWW[[#This Row],['# Functional hand washing stations during reporting period]]*100&gt;WWWW[[#This Row],[Total PoP ]],WWWW[[#This Row],[Total PoP ]],WWWW[[#This Row],['# Functional hand washing stations during reporting period]]*100)</f>
        <v>325</v>
      </c>
      <c r="DU39" s="479" t="str">
        <f>IF(OR(WWWW[[#This Row],['#_students at TLS_CFS]]="",WWWW[[#This Row],['#_students at TLS_CFS]]=0),"No","Yes")</f>
        <v>No</v>
      </c>
      <c r="DV3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 s="593" t="str">
        <f>VLOOKUP(WWWW[[#This Row],[Site Name]],SiteDB6[[Site Name]:[CCCM Management]],6,FALSE)</f>
        <v>Yes</v>
      </c>
      <c r="DZ39" s="593" t="str">
        <f>VLOOKUP(WWWW[[#This Row],[Site Name]],SiteDB6[[Site Name]:[CCCM Focal Agency]],7,FALSE)</f>
        <v>KBC-MYT</v>
      </c>
      <c r="EA39" s="593" t="str">
        <f>VLOOKUP(WWWW[[#This Row],[Site Name]],SiteDB6[[Site Name]:[Location Type 1]],9,FALSE)</f>
        <v>Camp</v>
      </c>
      <c r="EB39" s="593" t="str">
        <f>VLOOKUP(WWWW[[#This Row],[Site Name]],SiteDB6[[Site Name]:[Type of Accommodation]],10,FALSE)</f>
        <v>Camp</v>
      </c>
      <c r="EC39" s="593" t="str">
        <f>VLOOKUP(WWWW[[#This Row],[Site Name]],SiteDB6[[Site Name]:[Ethnic or GCA/NGCA]],11,FALSE)</f>
        <v>NGCA</v>
      </c>
      <c r="ED39" s="593">
        <f>VLOOKUP(WWWW[[#This Row],[Site Name]],SiteDB6[[Site Name]:[Lat]],12,FALSE)</f>
        <v>26.548506</v>
      </c>
      <c r="EE39" s="593">
        <f>VLOOKUP(WWWW[[#This Row],[Site Name]],SiteDB6[[Site Name]:[Long]],13,FALSE)</f>
        <v>97.75609</v>
      </c>
      <c r="EF39" s="593" t="str">
        <f>VLOOKUP(WWWW[[#This Row],[Site Name]],SiteDB6[[Site Name]:[Pcode]],3,FALSE)</f>
        <v>MMR001CMP239</v>
      </c>
      <c r="EG39" s="598" t="str">
        <f t="shared" si="0"/>
        <v>Covered</v>
      </c>
      <c r="EH39" s="598" t="str">
        <f>VLOOKUP(WWWW[[#This Row],[Site Name]],SiteDB6[[Site Name]:[open in cccm?]],2,FALSE)</f>
        <v>cccm_2019OCT</v>
      </c>
    </row>
    <row r="40" spans="1:138" hidden="1">
      <c r="A40" s="591" t="s">
        <v>3261</v>
      </c>
      <c r="B40" s="591" t="s">
        <v>144</v>
      </c>
      <c r="C40" s="592" t="s">
        <v>144</v>
      </c>
      <c r="D40" s="592" t="s">
        <v>3277</v>
      </c>
      <c r="E40" s="592" t="s">
        <v>39</v>
      </c>
      <c r="F40" s="592" t="s">
        <v>155</v>
      </c>
      <c r="G40" s="721" t="str">
        <f>VLOOKUP(WWWW[[#This Row],[Site Name]],SiteDB6[[Site Name]:[Location Type]],8,FALSE)</f>
        <v>Camp</v>
      </c>
      <c r="H40" s="592" t="s">
        <v>159</v>
      </c>
      <c r="I40" s="594">
        <v>28</v>
      </c>
      <c r="J40" s="594">
        <v>136</v>
      </c>
      <c r="K40" s="717" t="s">
        <v>3278</v>
      </c>
      <c r="L40" s="718" t="s">
        <v>3279</v>
      </c>
      <c r="M40" s="594"/>
      <c r="N40" s="594"/>
      <c r="O40" s="594"/>
      <c r="P40" s="594"/>
      <c r="Q40" s="597" t="s">
        <v>43</v>
      </c>
      <c r="R40" s="594"/>
      <c r="S40" s="594">
        <v>1</v>
      </c>
      <c r="T40" s="523">
        <v>1</v>
      </c>
      <c r="U40" s="594"/>
      <c r="V40" s="594"/>
      <c r="W40" s="594">
        <v>1</v>
      </c>
      <c r="X40" s="594"/>
      <c r="Y40" s="594"/>
      <c r="Z40" s="594"/>
      <c r="AA40" s="594"/>
      <c r="AB40" s="594"/>
      <c r="AC40" s="594"/>
      <c r="AD40" s="594"/>
      <c r="AE40" s="594"/>
      <c r="AF40" s="594"/>
      <c r="AG40" s="594"/>
      <c r="AH40" s="594">
        <v>3</v>
      </c>
      <c r="AI40" s="594"/>
      <c r="AJ40" s="594"/>
      <c r="AK40" s="594"/>
      <c r="AL40" s="594"/>
      <c r="AM40" s="594"/>
      <c r="AN40" s="594"/>
      <c r="AO40" s="598"/>
      <c r="AP40" s="594">
        <v>12</v>
      </c>
      <c r="AQ40" s="594"/>
      <c r="AR40" s="599"/>
      <c r="AS40" s="594"/>
      <c r="AT40" s="594"/>
      <c r="AU40" s="594"/>
      <c r="AV40" s="594"/>
      <c r="AW40" s="594">
        <v>12</v>
      </c>
      <c r="AX40" s="593" t="s">
        <v>43</v>
      </c>
      <c r="AY40" s="598" t="s">
        <v>1195</v>
      </c>
      <c r="AZ40" s="594"/>
      <c r="BA40" s="594"/>
      <c r="BB40" s="594"/>
      <c r="BC40" s="594"/>
      <c r="BD40" s="523"/>
      <c r="BE40" s="593"/>
      <c r="BF40" s="594">
        <v>6</v>
      </c>
      <c r="BG40" s="594"/>
      <c r="BH40" s="594"/>
      <c r="BI40" s="594">
        <v>2</v>
      </c>
      <c r="BJ40" s="594"/>
      <c r="BK40" s="594"/>
      <c r="BL40" s="594">
        <v>1</v>
      </c>
      <c r="BM40" s="594"/>
      <c r="BN40" s="594"/>
      <c r="BO40" s="593"/>
      <c r="BP40" s="594"/>
      <c r="BQ40" s="599"/>
      <c r="BR40" s="593"/>
      <c r="BS40" s="472"/>
      <c r="BT40" s="472"/>
      <c r="BU40" s="523"/>
      <c r="BV40" s="472"/>
      <c r="BW40" s="523"/>
      <c r="BX40" s="523"/>
      <c r="BY40" s="523"/>
      <c r="BZ40" s="601" t="str">
        <f>IFERROR(WWWW[[#This Row],['#_Water sources passed]]/WWWW[[#This Row],['#_Water sources tested for fecal coliform ]],"no test")</f>
        <v>no test</v>
      </c>
      <c r="CA40" s="599" t="str">
        <f>IFERROR(WWWW[[#This Row],['#_Household passed]]/WWWW[[#This Row],['#_Household water samples tested for fecal coliform]],"no test")</f>
        <v>no test</v>
      </c>
      <c r="CB40" s="600" t="str">
        <f>IF(AND(WWWW[[#This Row],[% of water sources passed]]="no test",WWWW[[#This Row],[% Household passed]]="no test"),"No Test","Tested")</f>
        <v>No Test</v>
      </c>
      <c r="CC40" s="600">
        <f>WWWW[[#This Row],['#_Constructed/existing protected hand dug well]]-WWWW[[#This Row],['#_Non-functional protected hand dug well]]</f>
        <v>1</v>
      </c>
      <c r="CD40" s="600">
        <f>(WWWW[[#This Row],['#_Constructed/Existing tube wells/boreholes/handpumps_WASH_agency]]+WWWW[[#This Row],['#_Non-Cluster partner water tube-wells/boreholes/handpumps]])-WWWW[[#This Row],['#_Non-functional tube wells/boreholes/handpumps]]</f>
        <v>1</v>
      </c>
      <c r="CE40" s="600">
        <f>WWWW[[#This Row],['#_Constructed/Existingwater storage tank with gravity fed reticulation system]]-WWWW[[#This Row],['#_Non-functional storage tank gravity fed reticulation system]]</f>
        <v>0</v>
      </c>
      <c r="CF40" s="478">
        <f>(WWWW[[#This Row],['#_Water_Liters_supplied_by_Water boating or water trucking]]/90)/15</f>
        <v>0</v>
      </c>
      <c r="CG40" s="478">
        <f>WWWW[[#This Row],['#_Water_Liters_from_Constructed/Existing water distribution system from river or natural spring]]/90/15</f>
        <v>0</v>
      </c>
      <c r="CH40" s="478">
        <f>WWWW[[#This Row],['#_of water points in TLS/CFS /THF]]*500</f>
        <v>0</v>
      </c>
      <c r="CI4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0" s="599">
        <f>IF(WWWW[[#This Row],[Location Type 1]]="Village",WWWW[[#This Row],[Access to safe drinking water for Village]],WWWW[[#This Row],[Access to safe drinking water for Camp]])</f>
        <v>1</v>
      </c>
      <c r="CL40" s="597">
        <f>WWWW[[#This Row],[%Equitable and continuous access to sufficient quantity of safe drinking water]]*WWWW[[#This Row],[Total PoP ]]</f>
        <v>136</v>
      </c>
      <c r="CM40" s="599">
        <f>IF((WWWW[[#This Row],['#_Constructed/Existing protected/fenced ponds]]*250)/WWWW[[#This Row],[Total PoP ]]&gt;1,1,(WWWW[[#This Row],['#_Constructed/Existing protected/fenced ponds]]*250)/WWWW[[#This Row],[Total PoP ]])</f>
        <v>0</v>
      </c>
      <c r="CN40" s="597">
        <f>WWWW[[#This Row],[% Access to unimproved water points]]*WWWW[[#This Row],[Total PoP ]]</f>
        <v>0</v>
      </c>
      <c r="CO4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Q40" s="597">
        <f>WWWW[[#This Row],[HRP1]]/500</f>
        <v>0.27200000000000002</v>
      </c>
      <c r="CR40" s="602">
        <f>1-WWWW[[#This Row],[% Equitable and continuous access to sufficient quantity of domestic water]]</f>
        <v>0</v>
      </c>
      <c r="CS40" s="597">
        <f>WWWW[[#This Row],[%equitable and continuous access to sufficient quantity of safe drinking and domestic water''s GAP]]*WWWW[[#This Row],[Total PoP ]]</f>
        <v>0</v>
      </c>
      <c r="CT40" s="600">
        <f>IF(WWWW[[#This Row],[Total required water points]]-WWWW[[#This Row],['#Water points coverage]]&lt;0,0,WWWW[[#This Row],[Total required water points]]-WWWW[[#This Row],['#Water points coverage]])</f>
        <v>0.72799999999999998</v>
      </c>
      <c r="CU40" s="600">
        <f>ROUND(IF(WWWW[[#This Row],[Total PoP ]]&lt;500,1,WWWW[[#This Row],[Total PoP ]]/500),0)</f>
        <v>1</v>
      </c>
      <c r="CV40" s="600">
        <f>(WWWW[[#This Row],['#_Constructed latrines_by_WASHAgencies]]+WWWW[[#This Row],['#_Non Cluster partner latrines]])-WWWW[[#This Row],['#_Non-functional latrines]]</f>
        <v>12</v>
      </c>
      <c r="CW40" s="70">
        <f>WWWW[[#This Row],[HRP2]]/WWWW[[#This Row],[Total PoP ]]</f>
        <v>1</v>
      </c>
      <c r="CX4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CY4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 s="600">
        <f>IF(WWWW[[#This Row],['# of functional latrines in THF supported by WASH partners during the reporting period2]]="",0,WWWW[[#This Row],['# of functional latrines in THF supported by WASH partners during the reporting period2]]*50)</f>
        <v>0</v>
      </c>
      <c r="DB40" s="600">
        <f>WWWW[[#This Row],['# students access to functioning school latrines_HRP5]]+WWWW[[#This Row],['# People access to functioning latrines in THF_HRP5]]</f>
        <v>0</v>
      </c>
      <c r="DC40" s="600">
        <f>ROUND(IF(WWWW[[#This Row],[Location Type 1]]="camp",WWWW[[#This Row],[Total PoP ]]/20,IF(WWWW[[#This Row],[Location Type 1]]="Temporary Location",WWWW[[#This Row],[Total PoP ]]/50,WWWW[[#This Row],[Total HH]])),0)</f>
        <v>7</v>
      </c>
      <c r="DD40" s="600">
        <f>IF(WWWW[[#This Row],[Total required Latrines]]-(WWWW[[#This Row],['#_Constructed latrines_by_WASHAgencies]]+WWWW[[#This Row],['#_Non Cluster partner latrines]])&lt;0,0,WWWW[[#This Row],[Total required Latrines]]-(WWWW[[#This Row],['#_Constructed latrines_by_WASHAgencies]]+WWWW[[#This Row],['#_Non Cluster partner latrines]]))</f>
        <v>0</v>
      </c>
      <c r="DE40" s="602">
        <f>1-WWWW[[#This Row],[% people access to functioning Latrine]]</f>
        <v>0</v>
      </c>
      <c r="DF40" s="601">
        <f>IF(OR(WWWW[[#This Row],['#_Non-functional latrines]]="",WWWW[[#This Row],['#_Non-functional latrines]]=0),0,WWWW[[#This Row],['#_Non-functional latrines]]/(WWWW[[#This Row],['#_Constructed latrines_by_WASHAgencies]]+WWWW[[#This Row],['#_Non Cluster partner latrines]]))</f>
        <v>0</v>
      </c>
      <c r="DG40" s="597">
        <f>IF(500*(WWWW[[#This Row],['#_male hygiene promoters]]+WWWW[[#This Row],['#_female hygiene promoters]])&gt;WWWW[[#This Row],[Total PoP ]],WWWW[[#This Row],[Total PoP ]],500*(WWWW[[#This Row],['#_male hygiene promoters]]+WWWW[[#This Row],['#_female hygiene promoters]]))</f>
        <v>136</v>
      </c>
      <c r="DH4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 s="600">
        <f>IF(WWWW[[#This Row],['# People with access to soap]]&gt;WWWW[[#This Row],['# People with access to Sanity Pads]],WWWW[[#This Row],['# People with access to soap]],WWWW[[#This Row],['# People with access to Sanity Pads]])</f>
        <v>0</v>
      </c>
      <c r="DK40" s="600">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L40" s="602">
        <f>IF(WWWW[[#This Row],[HRP3]]/WWWW[[#This Row],[Total PoP ]]&gt;1,1,WWWW[[#This Row],[HRP3]]/WWWW[[#This Row],[Total PoP ]])</f>
        <v>1</v>
      </c>
      <c r="DM40" s="601">
        <f>1-WWWW[[#This Row],[Hygiene Coverage%]]</f>
        <v>0</v>
      </c>
      <c r="DN40" s="599">
        <f>WWWW[[#This Row],['# people reached by regular dedicated hygiene promotion_5]]/WWWW[[#This Row],[Total PoP ]]</f>
        <v>1</v>
      </c>
      <c r="DO4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 s="600">
        <f>WWWW[[#This Row],['#_Constructed/Existing hand washing stations]]-WWWW[[#This Row],['#_Non-Functional_hand_washing_stations]]</f>
        <v>6</v>
      </c>
      <c r="DR40" s="597">
        <f>IF(WWWW[[#This Row],['# Functional hand washing stations during reporting period]]*20&gt;WWWW[[#This Row],[Total HH]],WWWW[[#This Row],[Total HH]],WWWW[[#This Row],['# Functional hand washing stations during reporting period]]*20)</f>
        <v>28</v>
      </c>
      <c r="DS40" s="597">
        <f>IF(WWWW[[#This Row],[Is sufficient soap available for TLS? (Yes/No)]]="yes",WWWW[[#This Row],['#_Constructed/Existing hand washing stations at TLS]],0)</f>
        <v>0</v>
      </c>
      <c r="DT40" s="479">
        <f>IF(WWWW[[#This Row],['# Functional hand washing stations during reporting period]]*100&gt;WWWW[[#This Row],[Total PoP ]],WWWW[[#This Row],[Total PoP ]],WWWW[[#This Row],['# Functional hand washing stations during reporting period]]*100)</f>
        <v>136</v>
      </c>
      <c r="DU40" s="479" t="str">
        <f>IF(OR(WWWW[[#This Row],['#_students at TLS_CFS]]="",WWWW[[#This Row],['#_students at TLS_CFS]]=0),"No","Yes")</f>
        <v>No</v>
      </c>
      <c r="DV4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 s="593" t="str">
        <f>VLOOKUP(WWWW[[#This Row],[Site Name]],SiteDB6[[Site Name]:[CCCM Management]],6,FALSE)</f>
        <v>Yes</v>
      </c>
      <c r="DZ40" s="593" t="str">
        <f>VLOOKUP(WWWW[[#This Row],[Site Name]],SiteDB6[[Site Name]:[CCCM Focal Agency]],7,FALSE)</f>
        <v>KBC-MYT</v>
      </c>
      <c r="EA40" s="593" t="str">
        <f>VLOOKUP(WWWW[[#This Row],[Site Name]],SiteDB6[[Site Name]:[Location Type 1]],9,FALSE)</f>
        <v>Camp</v>
      </c>
      <c r="EB40" s="593" t="str">
        <f>VLOOKUP(WWWW[[#This Row],[Site Name]],SiteDB6[[Site Name]:[Type of Accommodation]],10,FALSE)</f>
        <v>Camp</v>
      </c>
      <c r="EC40" s="593" t="str">
        <f>VLOOKUP(WWWW[[#This Row],[Site Name]],SiteDB6[[Site Name]:[Ethnic or GCA/NGCA]],11,FALSE)</f>
        <v>GCA</v>
      </c>
      <c r="ED40" s="593">
        <f>VLOOKUP(WWWW[[#This Row],[Site Name]],SiteDB6[[Site Name]:[Lat]],12,FALSE)</f>
        <v>25.225000000000001</v>
      </c>
      <c r="EE40" s="593">
        <f>VLOOKUP(WWWW[[#This Row],[Site Name]],SiteDB6[[Site Name]:[Long]],13,FALSE)</f>
        <v>96.793999999999997</v>
      </c>
      <c r="EF40" s="593" t="str">
        <f>VLOOKUP(WWWW[[#This Row],[Site Name]],SiteDB6[[Site Name]:[Pcode]],3,FALSE)</f>
        <v>MMR001CMP236</v>
      </c>
      <c r="EG40" s="598" t="str">
        <f t="shared" si="0"/>
        <v>Covered</v>
      </c>
      <c r="EH40" s="598" t="str">
        <f>VLOOKUP(WWWW[[#This Row],[Site Name]],SiteDB6[[Site Name]:[open in cccm?]],2,FALSE)</f>
        <v>cccm_2019OCT</v>
      </c>
    </row>
    <row r="41" spans="1:138" hidden="1">
      <c r="A41" s="591" t="s">
        <v>3261</v>
      </c>
      <c r="B41" s="591" t="s">
        <v>144</v>
      </c>
      <c r="C41" s="592" t="s">
        <v>144</v>
      </c>
      <c r="D41" s="592" t="s">
        <v>3280</v>
      </c>
      <c r="E41" s="592" t="s">
        <v>39</v>
      </c>
      <c r="F41" s="592" t="s">
        <v>145</v>
      </c>
      <c r="G41" s="721" t="str">
        <f>VLOOKUP(WWWW[[#This Row],[Site Name]],SiteDB6[[Site Name]:[Location Type]],8,FALSE)</f>
        <v>Camp</v>
      </c>
      <c r="H41" s="592" t="s">
        <v>146</v>
      </c>
      <c r="I41" s="594">
        <v>391</v>
      </c>
      <c r="J41" s="594">
        <v>1775</v>
      </c>
      <c r="K41" s="717">
        <v>43475</v>
      </c>
      <c r="L41" s="718" t="s">
        <v>3281</v>
      </c>
      <c r="M41" s="594"/>
      <c r="N41" s="594"/>
      <c r="O41" s="594"/>
      <c r="P41" s="594"/>
      <c r="Q41" s="597" t="s">
        <v>43</v>
      </c>
      <c r="R41" s="594"/>
      <c r="S41" s="594">
        <v>4</v>
      </c>
      <c r="T41" s="523">
        <v>0</v>
      </c>
      <c r="U41" s="594"/>
      <c r="V41" s="594"/>
      <c r="W41" s="594">
        <v>0</v>
      </c>
      <c r="X41" s="594"/>
      <c r="Y41" s="594"/>
      <c r="Z41" s="594"/>
      <c r="AA41" s="594">
        <v>4</v>
      </c>
      <c r="AB41" s="594"/>
      <c r="AC41" s="594"/>
      <c r="AD41" s="594"/>
      <c r="AE41" s="594"/>
      <c r="AF41" s="594"/>
      <c r="AG41" s="594"/>
      <c r="AH41" s="594">
        <v>0</v>
      </c>
      <c r="AI41" s="594"/>
      <c r="AJ41" s="594"/>
      <c r="AK41" s="594"/>
      <c r="AL41" s="594"/>
      <c r="AM41" s="594"/>
      <c r="AN41" s="594"/>
      <c r="AO41" s="598"/>
      <c r="AP41" s="594">
        <v>391</v>
      </c>
      <c r="AQ41" s="594"/>
      <c r="AR41" s="599"/>
      <c r="AS41" s="594"/>
      <c r="AT41" s="594"/>
      <c r="AU41" s="594"/>
      <c r="AV41" s="594"/>
      <c r="AW41" s="594">
        <v>413</v>
      </c>
      <c r="AX41" s="593" t="s">
        <v>43</v>
      </c>
      <c r="AY41" s="598" t="s">
        <v>140</v>
      </c>
      <c r="AZ41" s="594"/>
      <c r="BA41" s="594"/>
      <c r="BB41" s="594"/>
      <c r="BC41" s="594"/>
      <c r="BD41" s="523"/>
      <c r="BE41" s="593"/>
      <c r="BF41" s="720">
        <v>413</v>
      </c>
      <c r="BG41" s="594"/>
      <c r="BH41" s="594"/>
      <c r="BI41" s="594">
        <v>9</v>
      </c>
      <c r="BJ41" s="594"/>
      <c r="BK41" s="594"/>
      <c r="BL41" s="736">
        <v>5</v>
      </c>
      <c r="BM41" s="594"/>
      <c r="BN41" s="594"/>
      <c r="BO41" s="593"/>
      <c r="BP41" s="594"/>
      <c r="BQ41" s="599"/>
      <c r="BR41" s="593"/>
      <c r="BS41" s="472"/>
      <c r="BT41" s="472"/>
      <c r="BU41" s="523"/>
      <c r="BV41" s="472"/>
      <c r="BW41" s="523"/>
      <c r="BX41" s="523"/>
      <c r="BY41" s="523"/>
      <c r="BZ41" s="601" t="str">
        <f>IFERROR(WWWW[[#This Row],['#_Water sources passed]]/WWWW[[#This Row],['#_Water sources tested for fecal coliform ]],"no test")</f>
        <v>no test</v>
      </c>
      <c r="CA41" s="599" t="str">
        <f>IFERROR(WWWW[[#This Row],['#_Household passed]]/WWWW[[#This Row],['#_Household water samples tested for fecal coliform]],"no test")</f>
        <v>no test</v>
      </c>
      <c r="CB41" s="600" t="str">
        <f>IF(AND(WWWW[[#This Row],[% of water sources passed]]="no test",WWWW[[#This Row],[% Household passed]]="no test"),"No Test","Tested")</f>
        <v>No Test</v>
      </c>
      <c r="CC41" s="600">
        <f>WWWW[[#This Row],['#_Constructed/existing protected hand dug well]]-WWWW[[#This Row],['#_Non-functional protected hand dug well]]</f>
        <v>0</v>
      </c>
      <c r="CD41" s="600">
        <f>(WWWW[[#This Row],['#_Constructed/Existing tube wells/boreholes/handpumps_WASH_agency]]+WWWW[[#This Row],['#_Non-Cluster partner water tube-wells/boreholes/handpumps]])-WWWW[[#This Row],['#_Non-functional tube wells/boreholes/handpumps]]</f>
        <v>0</v>
      </c>
      <c r="CE41" s="600">
        <f>WWWW[[#This Row],['#_Constructed/Existingwater storage tank with gravity fed reticulation system]]-WWWW[[#This Row],['#_Non-functional storage tank gravity fed reticulation system]]</f>
        <v>4</v>
      </c>
      <c r="CF41" s="478">
        <f>(WWWW[[#This Row],['#_Water_Liters_supplied_by_Water boating or water trucking]]/90)/15</f>
        <v>0</v>
      </c>
      <c r="CG41" s="478">
        <f>WWWW[[#This Row],['#_Water_Liters_from_Constructed/Existing water distribution system from river or natural spring]]/90/15</f>
        <v>0</v>
      </c>
      <c r="CH41" s="478">
        <f>WWWW[[#This Row],['#_of water points in TLS/CFS /THF]]*500</f>
        <v>0</v>
      </c>
      <c r="CI4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0.15023474178403756</v>
      </c>
      <c r="CJ4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0.15023474178403756</v>
      </c>
      <c r="CK41" s="599">
        <f>IF(WWWW[[#This Row],[Location Type 1]]="Village",WWWW[[#This Row],[Access to safe drinking water for Village]],WWWW[[#This Row],[Access to safe drinking water for Camp]])</f>
        <v>0.15023474178403756</v>
      </c>
      <c r="CL41" s="597">
        <f>WWWW[[#This Row],[%Equitable and continuous access to sufficient quantity of safe drinking water]]*WWWW[[#This Row],[Total PoP ]]</f>
        <v>266.66666666666669</v>
      </c>
      <c r="CM41" s="599">
        <f>IF((WWWW[[#This Row],['#_Constructed/Existing protected/fenced ponds]]*250)/WWWW[[#This Row],[Total PoP ]]&gt;1,1,(WWWW[[#This Row],['#_Constructed/Existing protected/fenced ponds]]*250)/WWWW[[#This Row],[Total PoP ]])</f>
        <v>0</v>
      </c>
      <c r="CN41" s="597">
        <f>WWWW[[#This Row],[% Access to unimproved water points]]*WWWW[[#This Row],[Total PoP ]]</f>
        <v>0</v>
      </c>
      <c r="CO4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P4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Q41" s="597">
        <f>WWWW[[#This Row],[HRP1]]/500</f>
        <v>0.53333333333333333</v>
      </c>
      <c r="CR41" s="602">
        <f>1-WWWW[[#This Row],[% Equitable and continuous access to sufficient quantity of domestic water]]</f>
        <v>0.84976525821596249</v>
      </c>
      <c r="CS41" s="597">
        <f>WWWW[[#This Row],[%equitable and continuous access to sufficient quantity of safe drinking and domestic water''s GAP]]*WWWW[[#This Row],[Total PoP ]]</f>
        <v>1508.3333333333335</v>
      </c>
      <c r="CT41" s="600">
        <f>IF(WWWW[[#This Row],[Total required water points]]-WWWW[[#This Row],['#Water points coverage]]&lt;0,0,WWWW[[#This Row],[Total required water points]]-WWWW[[#This Row],['#Water points coverage]])</f>
        <v>3.4666666666666668</v>
      </c>
      <c r="CU41" s="600">
        <f>ROUND(IF(WWWW[[#This Row],[Total PoP ]]&lt;500,1,WWWW[[#This Row],[Total PoP ]]/500),0)</f>
        <v>4</v>
      </c>
      <c r="CV41" s="600">
        <f>(WWWW[[#This Row],['#_Constructed latrines_by_WASHAgencies]]+WWWW[[#This Row],['#_Non Cluster partner latrines]])-WWWW[[#This Row],['#_Non-functional latrines]]</f>
        <v>391</v>
      </c>
      <c r="CW41" s="70">
        <f>WWWW[[#This Row],[HRP2]]/WWWW[[#This Row],[Total PoP ]]</f>
        <v>1</v>
      </c>
      <c r="CX4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1775</v>
      </c>
      <c r="CY4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 s="600">
        <f>IF(WWWW[[#This Row],['# of functional latrines in THF supported by WASH partners during the reporting period2]]="",0,WWWW[[#This Row],['# of functional latrines in THF supported by WASH partners during the reporting period2]]*50)</f>
        <v>0</v>
      </c>
      <c r="DB41" s="600">
        <f>WWWW[[#This Row],['# students access to functioning school latrines_HRP5]]+WWWW[[#This Row],['# People access to functioning latrines in THF_HRP5]]</f>
        <v>0</v>
      </c>
      <c r="DC41" s="600">
        <f>ROUND(IF(WWWW[[#This Row],[Location Type 1]]="camp",WWWW[[#This Row],[Total PoP ]]/20,IF(WWWW[[#This Row],[Location Type 1]]="Temporary Location",WWWW[[#This Row],[Total PoP ]]/50,WWWW[[#This Row],[Total HH]])),0)</f>
        <v>89</v>
      </c>
      <c r="DD41" s="600">
        <f>IF(WWWW[[#This Row],[Total required Latrines]]-(WWWW[[#This Row],['#_Constructed latrines_by_WASHAgencies]]+WWWW[[#This Row],['#_Non Cluster partner latrines]])&lt;0,0,WWWW[[#This Row],[Total required Latrines]]-(WWWW[[#This Row],['#_Constructed latrines_by_WASHAgencies]]+WWWW[[#This Row],['#_Non Cluster partner latrines]]))</f>
        <v>0</v>
      </c>
      <c r="DE41" s="602">
        <f>1-WWWW[[#This Row],[% people access to functioning Latrine]]</f>
        <v>0</v>
      </c>
      <c r="DF41" s="601">
        <f>IF(OR(WWWW[[#This Row],['#_Non-functional latrines]]="",WWWW[[#This Row],['#_Non-functional latrines]]=0),0,WWWW[[#This Row],['#_Non-functional latrines]]/(WWWW[[#This Row],['#_Constructed latrines_by_WASHAgencies]]+WWWW[[#This Row],['#_Non Cluster partner latrines]]))</f>
        <v>0</v>
      </c>
      <c r="DG41" s="597">
        <f>IF(500*(WWWW[[#This Row],['#_male hygiene promoters]]+WWWW[[#This Row],['#_female hygiene promoters]])&gt;WWWW[[#This Row],[Total PoP ]],WWWW[[#This Row],[Total PoP ]],500*(WWWW[[#This Row],['#_male hygiene promoters]]+WWWW[[#This Row],['#_female hygiene promoters]]))</f>
        <v>1775</v>
      </c>
      <c r="DH4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 s="600">
        <f>IF(WWWW[[#This Row],['# People with access to soap]]&gt;WWWW[[#This Row],['# People with access to Sanity Pads]],WWWW[[#This Row],['# People with access to soap]],WWWW[[#This Row],['# People with access to Sanity Pads]])</f>
        <v>0</v>
      </c>
      <c r="DK41" s="600">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DL41" s="602">
        <f>IF(WWWW[[#This Row],[HRP3]]/WWWW[[#This Row],[Total PoP ]]&gt;1,1,WWWW[[#This Row],[HRP3]]/WWWW[[#This Row],[Total PoP ]])</f>
        <v>1</v>
      </c>
      <c r="DM41" s="601">
        <f>1-WWWW[[#This Row],[Hygiene Coverage%]]</f>
        <v>0</v>
      </c>
      <c r="DN41" s="599">
        <f>WWWW[[#This Row],['# people reached by regular dedicated hygiene promotion_5]]/WWWW[[#This Row],[Total PoP ]]</f>
        <v>1</v>
      </c>
      <c r="DO4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 s="600">
        <f>WWWW[[#This Row],['#_Constructed/Existing hand washing stations]]-WWWW[[#This Row],['#_Non-Functional_hand_washing_stations]]</f>
        <v>413</v>
      </c>
      <c r="DR41" s="597">
        <f>IF(WWWW[[#This Row],['# Functional hand washing stations during reporting period]]*20&gt;WWWW[[#This Row],[Total HH]],WWWW[[#This Row],[Total HH]],WWWW[[#This Row],['# Functional hand washing stations during reporting period]]*20)</f>
        <v>391</v>
      </c>
      <c r="DS41" s="597">
        <f>IF(WWWW[[#This Row],[Is sufficient soap available for TLS? (Yes/No)]]="yes",WWWW[[#This Row],['#_Constructed/Existing hand washing stations at TLS]],0)</f>
        <v>0</v>
      </c>
      <c r="DT41" s="479">
        <f>IF(WWWW[[#This Row],['# Functional hand washing stations during reporting period]]*100&gt;WWWW[[#This Row],[Total PoP ]],WWWW[[#This Row],[Total PoP ]],WWWW[[#This Row],['# Functional hand washing stations during reporting period]]*100)</f>
        <v>1775</v>
      </c>
      <c r="DU41" s="479" t="str">
        <f>IF(OR(WWWW[[#This Row],['#_students at TLS_CFS]]="",WWWW[[#This Row],['#_students at TLS_CFS]]=0),"No","Yes")</f>
        <v>No</v>
      </c>
      <c r="DV4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 s="593" t="str">
        <f>VLOOKUP(WWWW[[#This Row],[Site Name]],SiteDB6[[Site Name]:[CCCM Management]],6,FALSE)</f>
        <v>Yes</v>
      </c>
      <c r="DZ41" s="593" t="str">
        <f>VLOOKUP(WWWW[[#This Row],[Site Name]],SiteDB6[[Site Name]:[CCCM Focal Agency]],7,FALSE)</f>
        <v>KBC-MYT</v>
      </c>
      <c r="EA41" s="593" t="str">
        <f>VLOOKUP(WWWW[[#This Row],[Site Name]],SiteDB6[[Site Name]:[Location Type 1]],9,FALSE)</f>
        <v>Camp</v>
      </c>
      <c r="EB41" s="593" t="str">
        <f>VLOOKUP(WWWW[[#This Row],[Site Name]],SiteDB6[[Site Name]:[Type of Accommodation]],10,FALSE)</f>
        <v>Camp</v>
      </c>
      <c r="EC41" s="593" t="str">
        <f>VLOOKUP(WWWW[[#This Row],[Site Name]],SiteDB6[[Site Name]:[Ethnic or GCA/NGCA]],11,FALSE)</f>
        <v>NGCA</v>
      </c>
      <c r="ED41" s="593">
        <f>VLOOKUP(WWWW[[#This Row],[Site Name]],SiteDB6[[Site Name]:[Lat]],12,FALSE)</f>
        <v>0</v>
      </c>
      <c r="EE41" s="593">
        <f>VLOOKUP(WWWW[[#This Row],[Site Name]],SiteDB6[[Site Name]:[Long]],13,FALSE)</f>
        <v>0</v>
      </c>
      <c r="EF41" s="593" t="str">
        <f>VLOOKUP(WWWW[[#This Row],[Site Name]],SiteDB6[[Site Name]:[Pcode]],3,FALSE)</f>
        <v>MMR001CMP249</v>
      </c>
      <c r="EG41" s="598" t="str">
        <f t="shared" si="0"/>
        <v>Covered</v>
      </c>
      <c r="EH41" s="598" t="str">
        <f>VLOOKUP(WWWW[[#This Row],[Site Name]],SiteDB6[[Site Name]:[open in cccm?]],2,FALSE)</f>
        <v>cccm_2019OCT</v>
      </c>
    </row>
    <row r="42" spans="1:138" hidden="1">
      <c r="A42" s="591" t="s">
        <v>3261</v>
      </c>
      <c r="B42" s="591" t="s">
        <v>144</v>
      </c>
      <c r="C42" s="592" t="s">
        <v>144</v>
      </c>
      <c r="D42" s="404" t="s">
        <v>3277</v>
      </c>
      <c r="E42" s="592" t="s">
        <v>39</v>
      </c>
      <c r="F42" s="592" t="s">
        <v>151</v>
      </c>
      <c r="G42" s="721" t="str">
        <f>VLOOKUP(WWWW[[#This Row],[Site Name]],SiteDB6[[Site Name]:[Location Type]],8,FALSE)</f>
        <v>Camp</v>
      </c>
      <c r="H42" s="592" t="s">
        <v>191</v>
      </c>
      <c r="I42" s="594">
        <v>28</v>
      </c>
      <c r="J42" s="594">
        <v>103</v>
      </c>
      <c r="K42" s="717" t="s">
        <v>3278</v>
      </c>
      <c r="L42" s="718" t="s">
        <v>3279</v>
      </c>
      <c r="M42" s="594"/>
      <c r="N42" s="594"/>
      <c r="O42" s="594"/>
      <c r="P42" s="594"/>
      <c r="Q42" s="597" t="s">
        <v>43</v>
      </c>
      <c r="R42" s="594"/>
      <c r="S42" s="594">
        <v>2</v>
      </c>
      <c r="T42" s="523">
        <v>1</v>
      </c>
      <c r="U42" s="594"/>
      <c r="V42" s="594"/>
      <c r="W42" s="594">
        <v>1</v>
      </c>
      <c r="X42" s="594"/>
      <c r="Y42" s="594"/>
      <c r="Z42" s="594"/>
      <c r="AA42" s="594"/>
      <c r="AB42" s="594"/>
      <c r="AC42" s="594"/>
      <c r="AD42" s="594"/>
      <c r="AE42" s="594"/>
      <c r="AF42" s="594"/>
      <c r="AG42" s="594"/>
      <c r="AH42" s="594">
        <v>0</v>
      </c>
      <c r="AI42" s="594"/>
      <c r="AJ42" s="594"/>
      <c r="AK42" s="594"/>
      <c r="AL42" s="594"/>
      <c r="AM42" s="594"/>
      <c r="AN42" s="594"/>
      <c r="AO42" s="598"/>
      <c r="AP42" s="594">
        <v>8</v>
      </c>
      <c r="AQ42" s="594"/>
      <c r="AR42" s="599"/>
      <c r="AS42" s="594"/>
      <c r="AT42" s="594"/>
      <c r="AU42" s="594"/>
      <c r="AV42" s="594"/>
      <c r="AW42" s="594">
        <v>8</v>
      </c>
      <c r="AX42" s="593" t="s">
        <v>43</v>
      </c>
      <c r="AY42" s="598" t="s">
        <v>1195</v>
      </c>
      <c r="AZ42" s="594"/>
      <c r="BA42" s="594"/>
      <c r="BB42" s="594"/>
      <c r="BC42" s="594"/>
      <c r="BD42" s="523"/>
      <c r="BE42" s="593"/>
      <c r="BF42" s="594">
        <v>2</v>
      </c>
      <c r="BG42" s="594"/>
      <c r="BH42" s="594"/>
      <c r="BI42" s="594">
        <v>2</v>
      </c>
      <c r="BJ42" s="594"/>
      <c r="BK42" s="594"/>
      <c r="BL42" s="594">
        <v>1</v>
      </c>
      <c r="BM42" s="594"/>
      <c r="BN42" s="594"/>
      <c r="BO42" s="593"/>
      <c r="BP42" s="594"/>
      <c r="BQ42" s="599"/>
      <c r="BR42" s="593"/>
      <c r="BS42" s="472"/>
      <c r="BT42" s="472"/>
      <c r="BU42" s="523"/>
      <c r="BV42" s="472"/>
      <c r="BW42" s="523"/>
      <c r="BX42" s="523"/>
      <c r="BY42" s="523"/>
      <c r="BZ42" s="601" t="str">
        <f>IFERROR(WWWW[[#This Row],['#_Water sources passed]]/WWWW[[#This Row],['#_Water sources tested for fecal coliform ]],"no test")</f>
        <v>no test</v>
      </c>
      <c r="CA42" s="599" t="str">
        <f>IFERROR(WWWW[[#This Row],['#_Household passed]]/WWWW[[#This Row],['#_Household water samples tested for fecal coliform]],"no test")</f>
        <v>no test</v>
      </c>
      <c r="CB42" s="600" t="str">
        <f>IF(AND(WWWW[[#This Row],[% of water sources passed]]="no test",WWWW[[#This Row],[% Household passed]]="no test"),"No Test","Tested")</f>
        <v>No Test</v>
      </c>
      <c r="CC42" s="600">
        <f>WWWW[[#This Row],['#_Constructed/existing protected hand dug well]]-WWWW[[#This Row],['#_Non-functional protected hand dug well]]</f>
        <v>1</v>
      </c>
      <c r="CD42" s="600">
        <f>(WWWW[[#This Row],['#_Constructed/Existing tube wells/boreholes/handpumps_WASH_agency]]+WWWW[[#This Row],['#_Non-Cluster partner water tube-wells/boreholes/handpumps]])-WWWW[[#This Row],['#_Non-functional tube wells/boreholes/handpumps]]</f>
        <v>1</v>
      </c>
      <c r="CE42" s="600">
        <f>WWWW[[#This Row],['#_Constructed/Existingwater storage tank with gravity fed reticulation system]]-WWWW[[#This Row],['#_Non-functional storage tank gravity fed reticulation system]]</f>
        <v>0</v>
      </c>
      <c r="CF42" s="478">
        <f>(WWWW[[#This Row],['#_Water_Liters_supplied_by_Water boating or water trucking]]/90)/15</f>
        <v>0</v>
      </c>
      <c r="CG42" s="478">
        <f>WWWW[[#This Row],['#_Water_Liters_from_Constructed/Existing water distribution system from river or natural spring]]/90/15</f>
        <v>0</v>
      </c>
      <c r="CH42" s="478">
        <f>WWWW[[#This Row],['#_of water points in TLS/CFS /THF]]*500</f>
        <v>0</v>
      </c>
      <c r="CI4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 s="599">
        <f>IF(WWWW[[#This Row],[Location Type 1]]="Village",WWWW[[#This Row],[Access to safe drinking water for Village]],WWWW[[#This Row],[Access to safe drinking water for Camp]])</f>
        <v>1</v>
      </c>
      <c r="CL42" s="597">
        <f>WWWW[[#This Row],[%Equitable and continuous access to sufficient quantity of safe drinking water]]*WWWW[[#This Row],[Total PoP ]]</f>
        <v>103</v>
      </c>
      <c r="CM42" s="599">
        <f>IF((WWWW[[#This Row],['#_Constructed/Existing protected/fenced ponds]]*250)/WWWW[[#This Row],[Total PoP ]]&gt;1,1,(WWWW[[#This Row],['#_Constructed/Existing protected/fenced ponds]]*250)/WWWW[[#This Row],[Total PoP ]])</f>
        <v>0</v>
      </c>
      <c r="CN42" s="597">
        <f>WWWW[[#This Row],[% Access to unimproved water points]]*WWWW[[#This Row],[Total PoP ]]</f>
        <v>0</v>
      </c>
      <c r="CO4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42" s="597">
        <f>WWWW[[#This Row],[HRP1]]/500</f>
        <v>0.20599999999999999</v>
      </c>
      <c r="CR42" s="602">
        <f>1-WWWW[[#This Row],[% Equitable and continuous access to sufficient quantity of domestic water]]</f>
        <v>0</v>
      </c>
      <c r="CS42" s="597">
        <f>WWWW[[#This Row],[%equitable and continuous access to sufficient quantity of safe drinking and domestic water''s GAP]]*WWWW[[#This Row],[Total PoP ]]</f>
        <v>0</v>
      </c>
      <c r="CT42" s="600">
        <f>IF(WWWW[[#This Row],[Total required water points]]-WWWW[[#This Row],['#Water points coverage]]&lt;0,0,WWWW[[#This Row],[Total required water points]]-WWWW[[#This Row],['#Water points coverage]])</f>
        <v>0.79400000000000004</v>
      </c>
      <c r="CU42" s="600">
        <f>ROUND(IF(WWWW[[#This Row],[Total PoP ]]&lt;500,1,WWWW[[#This Row],[Total PoP ]]/500),0)</f>
        <v>1</v>
      </c>
      <c r="CV42" s="600">
        <f>(WWWW[[#This Row],['#_Constructed latrines_by_WASHAgencies]]+WWWW[[#This Row],['#_Non Cluster partner latrines]])-WWWW[[#This Row],['#_Non-functional latrines]]</f>
        <v>8</v>
      </c>
      <c r="CW42" s="70">
        <f>WWWW[[#This Row],[HRP2]]/WWWW[[#This Row],[Total PoP ]]</f>
        <v>1</v>
      </c>
      <c r="CX4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CY4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 s="600">
        <f>IF(WWWW[[#This Row],['# of functional latrines in THF supported by WASH partners during the reporting period2]]="",0,WWWW[[#This Row],['# of functional latrines in THF supported by WASH partners during the reporting period2]]*50)</f>
        <v>0</v>
      </c>
      <c r="DB42" s="600">
        <f>WWWW[[#This Row],['# students access to functioning school latrines_HRP5]]+WWWW[[#This Row],['# People access to functioning latrines in THF_HRP5]]</f>
        <v>0</v>
      </c>
      <c r="DC42" s="600">
        <f>ROUND(IF(WWWW[[#This Row],[Location Type 1]]="camp",WWWW[[#This Row],[Total PoP ]]/20,IF(WWWW[[#This Row],[Location Type 1]]="Temporary Location",WWWW[[#This Row],[Total PoP ]]/50,WWWW[[#This Row],[Total HH]])),0)</f>
        <v>5</v>
      </c>
      <c r="DD42" s="600">
        <f>IF(WWWW[[#This Row],[Total required Latrines]]-(WWWW[[#This Row],['#_Constructed latrines_by_WASHAgencies]]+WWWW[[#This Row],['#_Non Cluster partner latrines]])&lt;0,0,WWWW[[#This Row],[Total required Latrines]]-(WWWW[[#This Row],['#_Constructed latrines_by_WASHAgencies]]+WWWW[[#This Row],['#_Non Cluster partner latrines]]))</f>
        <v>0</v>
      </c>
      <c r="DE42" s="602">
        <f>1-WWWW[[#This Row],[% people access to functioning Latrine]]</f>
        <v>0</v>
      </c>
      <c r="DF42" s="601">
        <f>IF(OR(WWWW[[#This Row],['#_Non-functional latrines]]="",WWWW[[#This Row],['#_Non-functional latrines]]=0),0,WWWW[[#This Row],['#_Non-functional latrines]]/(WWWW[[#This Row],['#_Constructed latrines_by_WASHAgencies]]+WWWW[[#This Row],['#_Non Cluster partner latrines]]))</f>
        <v>0</v>
      </c>
      <c r="DG42" s="597">
        <f>IF(500*(WWWW[[#This Row],['#_male hygiene promoters]]+WWWW[[#This Row],['#_female hygiene promoters]])&gt;WWWW[[#This Row],[Total PoP ]],WWWW[[#This Row],[Total PoP ]],500*(WWWW[[#This Row],['#_male hygiene promoters]]+WWWW[[#This Row],['#_female hygiene promoters]]))</f>
        <v>103</v>
      </c>
      <c r="DH4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 s="600">
        <f>IF(WWWW[[#This Row],['# People with access to soap]]&gt;WWWW[[#This Row],['# People with access to Sanity Pads]],WWWW[[#This Row],['# People with access to soap]],WWWW[[#This Row],['# People with access to Sanity Pads]])</f>
        <v>0</v>
      </c>
      <c r="DK42" s="600">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42" s="602">
        <f>IF(WWWW[[#This Row],[HRP3]]/WWWW[[#This Row],[Total PoP ]]&gt;1,1,WWWW[[#This Row],[HRP3]]/WWWW[[#This Row],[Total PoP ]])</f>
        <v>1</v>
      </c>
      <c r="DM42" s="601">
        <f>1-WWWW[[#This Row],[Hygiene Coverage%]]</f>
        <v>0</v>
      </c>
      <c r="DN42" s="599">
        <f>WWWW[[#This Row],['# people reached by regular dedicated hygiene promotion_5]]/WWWW[[#This Row],[Total PoP ]]</f>
        <v>1</v>
      </c>
      <c r="DO4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 s="600">
        <f>WWWW[[#This Row],['#_Constructed/Existing hand washing stations]]-WWWW[[#This Row],['#_Non-Functional_hand_washing_stations]]</f>
        <v>2</v>
      </c>
      <c r="DR42" s="597">
        <f>IF(WWWW[[#This Row],['# Functional hand washing stations during reporting period]]*20&gt;WWWW[[#This Row],[Total HH]],WWWW[[#This Row],[Total HH]],WWWW[[#This Row],['# Functional hand washing stations during reporting period]]*20)</f>
        <v>28</v>
      </c>
      <c r="DS42" s="597">
        <f>IF(WWWW[[#This Row],[Is sufficient soap available for TLS? (Yes/No)]]="yes",WWWW[[#This Row],['#_Constructed/Existing hand washing stations at TLS]],0)</f>
        <v>0</v>
      </c>
      <c r="DT42" s="479">
        <f>IF(WWWW[[#This Row],['# Functional hand washing stations during reporting period]]*100&gt;WWWW[[#This Row],[Total PoP ]],WWWW[[#This Row],[Total PoP ]],WWWW[[#This Row],['# Functional hand washing stations during reporting period]]*100)</f>
        <v>103</v>
      </c>
      <c r="DU42" s="479" t="str">
        <f>IF(OR(WWWW[[#This Row],['#_students at TLS_CFS]]="",WWWW[[#This Row],['#_students at TLS_CFS]]=0),"No","Yes")</f>
        <v>No</v>
      </c>
      <c r="DV4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 s="593" t="str">
        <f>VLOOKUP(WWWW[[#This Row],[Site Name]],SiteDB6[[Site Name]:[CCCM Management]],6,FALSE)</f>
        <v>Yes</v>
      </c>
      <c r="DZ42" s="593" t="str">
        <f>VLOOKUP(WWWW[[#This Row],[Site Name]],SiteDB6[[Site Name]:[CCCM Focal Agency]],7,FALSE)</f>
        <v>KBC-MYT</v>
      </c>
      <c r="EA42" s="593" t="str">
        <f>VLOOKUP(WWWW[[#This Row],[Site Name]],SiteDB6[[Site Name]:[Location Type 1]],9,FALSE)</f>
        <v>Camp</v>
      </c>
      <c r="EB42" s="593" t="str">
        <f>VLOOKUP(WWWW[[#This Row],[Site Name]],SiteDB6[[Site Name]:[Type of Accommodation]],10,FALSE)</f>
        <v>Camp</v>
      </c>
      <c r="EC42" s="593" t="str">
        <f>VLOOKUP(WWWW[[#This Row],[Site Name]],SiteDB6[[Site Name]:[Ethnic or GCA/NGCA]],11,FALSE)</f>
        <v>GCA</v>
      </c>
      <c r="ED42" s="593">
        <f>VLOOKUP(WWWW[[#This Row],[Site Name]],SiteDB6[[Site Name]:[Lat]],12,FALSE)</f>
        <v>25.920006000000001</v>
      </c>
      <c r="EE42" s="593">
        <f>VLOOKUP(WWWW[[#This Row],[Site Name]],SiteDB6[[Site Name]:[Long]],13,FALSE)</f>
        <v>96.662092000000001</v>
      </c>
      <c r="EF42" s="593" t="str">
        <f>VLOOKUP(WWWW[[#This Row],[Site Name]],SiteDB6[[Site Name]:[Pcode]],3,FALSE)</f>
        <v>MMR001CMP244</v>
      </c>
      <c r="EG42" s="598" t="str">
        <f t="shared" si="0"/>
        <v>Covered</v>
      </c>
      <c r="EH42" s="598" t="str">
        <f>VLOOKUP(WWWW[[#This Row],[Site Name]],SiteDB6[[Site Name]:[open in cccm?]],2,FALSE)</f>
        <v>cccm_2019OCT</v>
      </c>
    </row>
    <row r="43" spans="1:138" hidden="1">
      <c r="A43" s="591" t="s">
        <v>3261</v>
      </c>
      <c r="B43" s="591" t="s">
        <v>144</v>
      </c>
      <c r="C43" s="592" t="s">
        <v>144</v>
      </c>
      <c r="D43" s="404" t="s">
        <v>3277</v>
      </c>
      <c r="E43" s="592" t="s">
        <v>39</v>
      </c>
      <c r="F43" s="592" t="s">
        <v>151</v>
      </c>
      <c r="G43" s="721" t="str">
        <f>VLOOKUP(WWWW[[#This Row],[Site Name]],SiteDB6[[Site Name]:[Location Type]],8,FALSE)</f>
        <v>Camp_not registered</v>
      </c>
      <c r="H43" s="592" t="s">
        <v>194</v>
      </c>
      <c r="I43" s="594">
        <v>18</v>
      </c>
      <c r="J43" s="594">
        <v>80</v>
      </c>
      <c r="K43" s="717" t="s">
        <v>3278</v>
      </c>
      <c r="L43" s="718" t="s">
        <v>3279</v>
      </c>
      <c r="M43" s="594"/>
      <c r="N43" s="594"/>
      <c r="O43" s="594"/>
      <c r="P43" s="594"/>
      <c r="Q43" s="597" t="s">
        <v>43</v>
      </c>
      <c r="R43" s="594"/>
      <c r="S43" s="594">
        <v>2</v>
      </c>
      <c r="T43" s="523">
        <v>2</v>
      </c>
      <c r="U43" s="594"/>
      <c r="V43" s="594"/>
      <c r="W43" s="594"/>
      <c r="X43" s="594"/>
      <c r="Y43" s="594"/>
      <c r="Z43" s="594"/>
      <c r="AA43" s="594"/>
      <c r="AB43" s="594"/>
      <c r="AC43" s="594"/>
      <c r="AD43" s="594"/>
      <c r="AE43" s="594"/>
      <c r="AF43" s="594"/>
      <c r="AG43" s="594"/>
      <c r="AH43" s="594">
        <v>0</v>
      </c>
      <c r="AI43" s="594"/>
      <c r="AJ43" s="594"/>
      <c r="AK43" s="594"/>
      <c r="AL43" s="594"/>
      <c r="AM43" s="594"/>
      <c r="AN43" s="594"/>
      <c r="AO43" s="598"/>
      <c r="AP43" s="594">
        <v>4</v>
      </c>
      <c r="AQ43" s="594"/>
      <c r="AR43" s="599"/>
      <c r="AS43" s="594"/>
      <c r="AT43" s="594"/>
      <c r="AU43" s="594"/>
      <c r="AV43" s="594"/>
      <c r="AW43" s="594">
        <v>4</v>
      </c>
      <c r="AX43" s="593" t="s">
        <v>43</v>
      </c>
      <c r="AY43" s="598" t="s">
        <v>140</v>
      </c>
      <c r="AZ43" s="594"/>
      <c r="BA43" s="594"/>
      <c r="BB43" s="594"/>
      <c r="BC43" s="594"/>
      <c r="BD43" s="523"/>
      <c r="BE43" s="593"/>
      <c r="BF43" s="594">
        <v>2</v>
      </c>
      <c r="BG43" s="594"/>
      <c r="BH43" s="594"/>
      <c r="BI43" s="594">
        <v>1</v>
      </c>
      <c r="BJ43" s="594"/>
      <c r="BK43" s="594"/>
      <c r="BL43" s="594">
        <v>1</v>
      </c>
      <c r="BM43" s="594"/>
      <c r="BN43" s="594"/>
      <c r="BO43" s="593"/>
      <c r="BP43" s="594"/>
      <c r="BQ43" s="599"/>
      <c r="BR43" s="593"/>
      <c r="BS43" s="472"/>
      <c r="BT43" s="472"/>
      <c r="BU43" s="523"/>
      <c r="BV43" s="472"/>
      <c r="BW43" s="523"/>
      <c r="BX43" s="523"/>
      <c r="BY43" s="523"/>
      <c r="BZ43" s="601" t="str">
        <f>IFERROR(WWWW[[#This Row],['#_Water sources passed]]/WWWW[[#This Row],['#_Water sources tested for fecal coliform ]],"no test")</f>
        <v>no test</v>
      </c>
      <c r="CA43" s="599" t="str">
        <f>IFERROR(WWWW[[#This Row],['#_Household passed]]/WWWW[[#This Row],['#_Household water samples tested for fecal coliform]],"no test")</f>
        <v>no test</v>
      </c>
      <c r="CB43" s="600" t="str">
        <f>IF(AND(WWWW[[#This Row],[% of water sources passed]]="no test",WWWW[[#This Row],[% Household passed]]="no test"),"No Test","Tested")</f>
        <v>No Test</v>
      </c>
      <c r="CC43" s="600">
        <f>WWWW[[#This Row],['#_Constructed/existing protected hand dug well]]-WWWW[[#This Row],['#_Non-functional protected hand dug well]]</f>
        <v>2</v>
      </c>
      <c r="CD43" s="600">
        <f>(WWWW[[#This Row],['#_Constructed/Existing tube wells/boreholes/handpumps_WASH_agency]]+WWWW[[#This Row],['#_Non-Cluster partner water tube-wells/boreholes/handpumps]])-WWWW[[#This Row],['#_Non-functional tube wells/boreholes/handpumps]]</f>
        <v>0</v>
      </c>
      <c r="CE43" s="600">
        <f>WWWW[[#This Row],['#_Constructed/Existingwater storage tank with gravity fed reticulation system]]-WWWW[[#This Row],['#_Non-functional storage tank gravity fed reticulation system]]</f>
        <v>0</v>
      </c>
      <c r="CF43" s="478">
        <f>(WWWW[[#This Row],['#_Water_Liters_supplied_by_Water boating or water trucking]]/90)/15</f>
        <v>0</v>
      </c>
      <c r="CG43" s="478">
        <f>WWWW[[#This Row],['#_Water_Liters_from_Constructed/Existing water distribution system from river or natural spring]]/90/15</f>
        <v>0</v>
      </c>
      <c r="CH43" s="478">
        <f>WWWW[[#This Row],['#_of water points in TLS/CFS /THF]]*500</f>
        <v>0</v>
      </c>
      <c r="CI4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 s="599">
        <f>IF(WWWW[[#This Row],[Location Type 1]]="Village",WWWW[[#This Row],[Access to safe drinking water for Village]],WWWW[[#This Row],[Access to safe drinking water for Camp]])</f>
        <v>1</v>
      </c>
      <c r="CL43" s="597">
        <f>WWWW[[#This Row],[%Equitable and continuous access to sufficient quantity of safe drinking water]]*WWWW[[#This Row],[Total PoP ]]</f>
        <v>80</v>
      </c>
      <c r="CM43" s="599">
        <f>IF((WWWW[[#This Row],['#_Constructed/Existing protected/fenced ponds]]*250)/WWWW[[#This Row],[Total PoP ]]&gt;1,1,(WWWW[[#This Row],['#_Constructed/Existing protected/fenced ponds]]*250)/WWWW[[#This Row],[Total PoP ]])</f>
        <v>0</v>
      </c>
      <c r="CN43" s="597">
        <f>WWWW[[#This Row],[% Access to unimproved water points]]*WWWW[[#This Row],[Total PoP ]]</f>
        <v>0</v>
      </c>
      <c r="CO4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Q43" s="597">
        <f>WWWW[[#This Row],[HRP1]]/500</f>
        <v>0.16</v>
      </c>
      <c r="CR43" s="602">
        <f>1-WWWW[[#This Row],[% Equitable and continuous access to sufficient quantity of domestic water]]</f>
        <v>0</v>
      </c>
      <c r="CS43" s="597">
        <f>WWWW[[#This Row],[%equitable and continuous access to sufficient quantity of safe drinking and domestic water''s GAP]]*WWWW[[#This Row],[Total PoP ]]</f>
        <v>0</v>
      </c>
      <c r="CT43" s="600">
        <f>IF(WWWW[[#This Row],[Total required water points]]-WWWW[[#This Row],['#Water points coverage]]&lt;0,0,WWWW[[#This Row],[Total required water points]]-WWWW[[#This Row],['#Water points coverage]])</f>
        <v>0.84</v>
      </c>
      <c r="CU43" s="600">
        <f>ROUND(IF(WWWW[[#This Row],[Total PoP ]]&lt;500,1,WWWW[[#This Row],[Total PoP ]]/500),0)</f>
        <v>1</v>
      </c>
      <c r="CV43" s="600">
        <f>(WWWW[[#This Row],['#_Constructed latrines_by_WASHAgencies]]+WWWW[[#This Row],['#_Non Cluster partner latrines]])-WWWW[[#This Row],['#_Non-functional latrines]]</f>
        <v>4</v>
      </c>
      <c r="CW43" s="70">
        <f>WWWW[[#This Row],[HRP2]]/WWWW[[#This Row],[Total PoP ]]</f>
        <v>1</v>
      </c>
      <c r="CX4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4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 s="600">
        <f>IF(WWWW[[#This Row],['# of functional latrines in THF supported by WASH partners during the reporting period2]]="",0,WWWW[[#This Row],['# of functional latrines in THF supported by WASH partners during the reporting period2]]*50)</f>
        <v>0</v>
      </c>
      <c r="DB43" s="600">
        <f>WWWW[[#This Row],['# students access to functioning school latrines_HRP5]]+WWWW[[#This Row],['# People access to functioning latrines in THF_HRP5]]</f>
        <v>0</v>
      </c>
      <c r="DC43" s="600">
        <f>ROUND(IF(WWWW[[#This Row],[Location Type 1]]="camp",WWWW[[#This Row],[Total PoP ]]/20,IF(WWWW[[#This Row],[Location Type 1]]="Temporary Location",WWWW[[#This Row],[Total PoP ]]/50,WWWW[[#This Row],[Total HH]])),0)</f>
        <v>4</v>
      </c>
      <c r="DD43" s="600">
        <f>IF(WWWW[[#This Row],[Total required Latrines]]-(WWWW[[#This Row],['#_Constructed latrines_by_WASHAgencies]]+WWWW[[#This Row],['#_Non Cluster partner latrines]])&lt;0,0,WWWW[[#This Row],[Total required Latrines]]-(WWWW[[#This Row],['#_Constructed latrines_by_WASHAgencies]]+WWWW[[#This Row],['#_Non Cluster partner latrines]]))</f>
        <v>0</v>
      </c>
      <c r="DE43" s="602">
        <f>1-WWWW[[#This Row],[% people access to functioning Latrine]]</f>
        <v>0</v>
      </c>
      <c r="DF43" s="601">
        <f>IF(OR(WWWW[[#This Row],['#_Non-functional latrines]]="",WWWW[[#This Row],['#_Non-functional latrines]]=0),0,WWWW[[#This Row],['#_Non-functional latrines]]/(WWWW[[#This Row],['#_Constructed latrines_by_WASHAgencies]]+WWWW[[#This Row],['#_Non Cluster partner latrines]]))</f>
        <v>0</v>
      </c>
      <c r="DG43" s="597">
        <f>IF(500*(WWWW[[#This Row],['#_male hygiene promoters]]+WWWW[[#This Row],['#_female hygiene promoters]])&gt;WWWW[[#This Row],[Total PoP ]],WWWW[[#This Row],[Total PoP ]],500*(WWWW[[#This Row],['#_male hygiene promoters]]+WWWW[[#This Row],['#_female hygiene promoters]]))</f>
        <v>80</v>
      </c>
      <c r="DH4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 s="600">
        <f>IF(WWWW[[#This Row],['# People with access to soap]]&gt;WWWW[[#This Row],['# People with access to Sanity Pads]],WWWW[[#This Row],['# People with access to soap]],WWWW[[#This Row],['# People with access to Sanity Pads]])</f>
        <v>0</v>
      </c>
      <c r="DK43" s="600">
        <f>IF(WWWW[[#This Row],['# people reached by regular dedicated hygiene promotion_5]]&gt;WWWW[[#This Row],['# People received regular supply of hygiene items_6]],WWWW[[#This Row],['# people reached by regular dedicated hygiene promotion_5]],WWWW[[#This Row],['# People received regular supply of hygiene items_6]])</f>
        <v>80</v>
      </c>
      <c r="DL43" s="602">
        <f>IF(WWWW[[#This Row],[HRP3]]/WWWW[[#This Row],[Total PoP ]]&gt;1,1,WWWW[[#This Row],[HRP3]]/WWWW[[#This Row],[Total PoP ]])</f>
        <v>1</v>
      </c>
      <c r="DM43" s="601">
        <f>1-WWWW[[#This Row],[Hygiene Coverage%]]</f>
        <v>0</v>
      </c>
      <c r="DN43" s="599">
        <f>WWWW[[#This Row],['# people reached by regular dedicated hygiene promotion_5]]/WWWW[[#This Row],[Total PoP ]]</f>
        <v>1</v>
      </c>
      <c r="DO4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 s="600">
        <f>WWWW[[#This Row],['#_Constructed/Existing hand washing stations]]-WWWW[[#This Row],['#_Non-Functional_hand_washing_stations]]</f>
        <v>2</v>
      </c>
      <c r="DR43" s="597">
        <f>IF(WWWW[[#This Row],['# Functional hand washing stations during reporting period]]*20&gt;WWWW[[#This Row],[Total HH]],WWWW[[#This Row],[Total HH]],WWWW[[#This Row],['# Functional hand washing stations during reporting period]]*20)</f>
        <v>18</v>
      </c>
      <c r="DS43" s="597">
        <f>IF(WWWW[[#This Row],[Is sufficient soap available for TLS? (Yes/No)]]="yes",WWWW[[#This Row],['#_Constructed/Existing hand washing stations at TLS]],0)</f>
        <v>0</v>
      </c>
      <c r="DT43" s="479">
        <f>IF(WWWW[[#This Row],['# Functional hand washing stations during reporting period]]*100&gt;WWWW[[#This Row],[Total PoP ]],WWWW[[#This Row],[Total PoP ]],WWWW[[#This Row],['# Functional hand washing stations during reporting period]]*100)</f>
        <v>80</v>
      </c>
      <c r="DU43" s="479" t="str">
        <f>IF(OR(WWWW[[#This Row],['#_students at TLS_CFS]]="",WWWW[[#This Row],['#_students at TLS_CFS]]=0),"No","Yes")</f>
        <v>No</v>
      </c>
      <c r="DV4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 s="593">
        <f>VLOOKUP(WWWW[[#This Row],[Site Name]],SiteDB6[[Site Name]:[CCCM Management]],6,FALSE)</f>
        <v>0</v>
      </c>
      <c r="DZ43" s="593">
        <f>VLOOKUP(WWWW[[#This Row],[Site Name]],SiteDB6[[Site Name]:[CCCM Focal Agency]],7,FALSE)</f>
        <v>0</v>
      </c>
      <c r="EA43" s="593" t="str">
        <f>VLOOKUP(WWWW[[#This Row],[Site Name]],SiteDB6[[Site Name]:[Location Type 1]],9,FALSE)</f>
        <v>Camp</v>
      </c>
      <c r="EB43" s="593" t="str">
        <f>VLOOKUP(WWWW[[#This Row],[Site Name]],SiteDB6[[Site Name]:[Type of Accommodation]],10,FALSE)</f>
        <v>Camp</v>
      </c>
      <c r="EC43" s="593" t="str">
        <f>VLOOKUP(WWWW[[#This Row],[Site Name]],SiteDB6[[Site Name]:[Ethnic or GCA/NGCA]],11,FALSE)</f>
        <v>GCA</v>
      </c>
      <c r="ED43" s="593">
        <f>VLOOKUP(WWWW[[#This Row],[Site Name]],SiteDB6[[Site Name]:[Lat]],12,FALSE)</f>
        <v>0</v>
      </c>
      <c r="EE43" s="593">
        <f>VLOOKUP(WWWW[[#This Row],[Site Name]],SiteDB6[[Site Name]:[Long]],13,FALSE)</f>
        <v>0</v>
      </c>
      <c r="EF43" s="593">
        <f>VLOOKUP(WWWW[[#This Row],[Site Name]],SiteDB6[[Site Name]:[Pcode]],3,FALSE)</f>
        <v>0</v>
      </c>
      <c r="EG43" s="598" t="str">
        <f t="shared" si="0"/>
        <v>Covered</v>
      </c>
      <c r="EH43" s="598">
        <f>VLOOKUP(WWWW[[#This Row],[Site Name]],Site_DB!$C$389:$D$1120,2,FALSE)</f>
        <v>0</v>
      </c>
    </row>
    <row r="44" spans="1:138" hidden="1">
      <c r="A44" s="591" t="s">
        <v>3261</v>
      </c>
      <c r="B44" s="591" t="s">
        <v>144</v>
      </c>
      <c r="C44" s="592" t="s">
        <v>144</v>
      </c>
      <c r="D44" s="404" t="s">
        <v>3277</v>
      </c>
      <c r="E44" s="592" t="s">
        <v>39</v>
      </c>
      <c r="F44" s="592" t="s">
        <v>162</v>
      </c>
      <c r="G44" s="721" t="str">
        <f>VLOOKUP(WWWW[[#This Row],[Site Name]],SiteDB6[[Site Name]:[Location Type]],8,FALSE)</f>
        <v>Camp</v>
      </c>
      <c r="H44" s="592" t="s">
        <v>171</v>
      </c>
      <c r="I44" s="594">
        <v>107</v>
      </c>
      <c r="J44" s="594">
        <v>534</v>
      </c>
      <c r="K44" s="717" t="s">
        <v>3278</v>
      </c>
      <c r="L44" s="718" t="s">
        <v>3279</v>
      </c>
      <c r="M44" s="594"/>
      <c r="N44" s="594"/>
      <c r="O44" s="594"/>
      <c r="P44" s="594"/>
      <c r="Q44" s="597" t="s">
        <v>43</v>
      </c>
      <c r="R44" s="594"/>
      <c r="S44" s="594"/>
      <c r="T44" s="523">
        <v>1</v>
      </c>
      <c r="U44" s="594"/>
      <c r="V44" s="594"/>
      <c r="W44" s="594">
        <v>1</v>
      </c>
      <c r="X44" s="594"/>
      <c r="Y44" s="594"/>
      <c r="Z44" s="594"/>
      <c r="AA44" s="594"/>
      <c r="AB44" s="594"/>
      <c r="AC44" s="594"/>
      <c r="AD44" s="594"/>
      <c r="AE44" s="594"/>
      <c r="AF44" s="594"/>
      <c r="AG44" s="594"/>
      <c r="AH44" s="594">
        <v>2</v>
      </c>
      <c r="AI44" s="594"/>
      <c r="AJ44" s="594"/>
      <c r="AK44" s="594"/>
      <c r="AL44" s="594"/>
      <c r="AM44" s="594"/>
      <c r="AN44" s="594"/>
      <c r="AO44" s="598"/>
      <c r="AP44" s="594">
        <v>13</v>
      </c>
      <c r="AQ44" s="594"/>
      <c r="AR44" s="599"/>
      <c r="AS44" s="594"/>
      <c r="AT44" s="594"/>
      <c r="AU44" s="594"/>
      <c r="AV44" s="594"/>
      <c r="AW44" s="594">
        <v>13</v>
      </c>
      <c r="AX44" s="593" t="s">
        <v>43</v>
      </c>
      <c r="AY44" s="598" t="s">
        <v>140</v>
      </c>
      <c r="AZ44" s="594"/>
      <c r="BA44" s="594"/>
      <c r="BB44" s="594"/>
      <c r="BC44" s="594"/>
      <c r="BD44" s="523"/>
      <c r="BE44" s="593"/>
      <c r="BF44" s="594">
        <v>4</v>
      </c>
      <c r="BG44" s="594"/>
      <c r="BH44" s="594"/>
      <c r="BI44" s="594">
        <v>2</v>
      </c>
      <c r="BJ44" s="594"/>
      <c r="BK44" s="594"/>
      <c r="BL44" s="594">
        <v>2</v>
      </c>
      <c r="BM44" s="594"/>
      <c r="BN44" s="594"/>
      <c r="BO44" s="593"/>
      <c r="BP44" s="594"/>
      <c r="BQ44" s="599"/>
      <c r="BR44" s="593"/>
      <c r="BS44" s="472"/>
      <c r="BT44" s="472"/>
      <c r="BU44" s="523"/>
      <c r="BV44" s="472"/>
      <c r="BW44" s="523"/>
      <c r="BX44" s="523"/>
      <c r="BY44" s="523"/>
      <c r="BZ44" s="601" t="str">
        <f>IFERROR(WWWW[[#This Row],['#_Water sources passed]]/WWWW[[#This Row],['#_Water sources tested for fecal coliform ]],"no test")</f>
        <v>no test</v>
      </c>
      <c r="CA44" s="599" t="str">
        <f>IFERROR(WWWW[[#This Row],['#_Household passed]]/WWWW[[#This Row],['#_Household water samples tested for fecal coliform]],"no test")</f>
        <v>no test</v>
      </c>
      <c r="CB44" s="600" t="str">
        <f>IF(AND(WWWW[[#This Row],[% of water sources passed]]="no test",WWWW[[#This Row],[% Household passed]]="no test"),"No Test","Tested")</f>
        <v>No Test</v>
      </c>
      <c r="CC44" s="600">
        <f>WWWW[[#This Row],['#_Constructed/existing protected hand dug well]]-WWWW[[#This Row],['#_Non-functional protected hand dug well]]</f>
        <v>1</v>
      </c>
      <c r="CD44" s="600">
        <f>(WWWW[[#This Row],['#_Constructed/Existing tube wells/boreholes/handpumps_WASH_agency]]+WWWW[[#This Row],['#_Non-Cluster partner water tube-wells/boreholes/handpumps]])-WWWW[[#This Row],['#_Non-functional tube wells/boreholes/handpumps]]</f>
        <v>1</v>
      </c>
      <c r="CE44" s="600">
        <f>WWWW[[#This Row],['#_Constructed/Existingwater storage tank with gravity fed reticulation system]]-WWWW[[#This Row],['#_Non-functional storage tank gravity fed reticulation system]]</f>
        <v>0</v>
      </c>
      <c r="CF44" s="478">
        <f>(WWWW[[#This Row],['#_Water_Liters_supplied_by_Water boating or water trucking]]/90)/15</f>
        <v>0</v>
      </c>
      <c r="CG44" s="478">
        <f>WWWW[[#This Row],['#_Water_Liters_from_Constructed/Existing water distribution system from river or natural spring]]/90/15</f>
        <v>0</v>
      </c>
      <c r="CH44" s="478">
        <f>WWWW[[#This Row],['#_of water points in TLS/CFS /THF]]*500</f>
        <v>0</v>
      </c>
      <c r="CI4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0.93632958801498123</v>
      </c>
      <c r="CK44" s="599">
        <f>IF(WWWW[[#This Row],[Location Type 1]]="Village",WWWW[[#This Row],[Access to safe drinking water for Village]],WWWW[[#This Row],[Access to safe drinking water for Camp]])</f>
        <v>1</v>
      </c>
      <c r="CL44" s="597">
        <f>WWWW[[#This Row],[%Equitable and continuous access to sufficient quantity of safe drinking water]]*WWWW[[#This Row],[Total PoP ]]</f>
        <v>534</v>
      </c>
      <c r="CM44" s="599">
        <f>IF((WWWW[[#This Row],['#_Constructed/Existing protected/fenced ponds]]*250)/WWWW[[#This Row],[Total PoP ]]&gt;1,1,(WWWW[[#This Row],['#_Constructed/Existing protected/fenced ponds]]*250)/WWWW[[#This Row],[Total PoP ]])</f>
        <v>0</v>
      </c>
      <c r="CN44" s="597">
        <f>WWWW[[#This Row],[% Access to unimproved water points]]*WWWW[[#This Row],[Total PoP ]]</f>
        <v>0</v>
      </c>
      <c r="CO4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Q44" s="597">
        <f>WWWW[[#This Row],[HRP1]]/500</f>
        <v>1.0680000000000001</v>
      </c>
      <c r="CR44" s="602">
        <f>1-WWWW[[#This Row],[% Equitable and continuous access to sufficient quantity of domestic water]]</f>
        <v>0</v>
      </c>
      <c r="CS44" s="597">
        <f>WWWW[[#This Row],[%equitable and continuous access to sufficient quantity of safe drinking and domestic water''s GAP]]*WWWW[[#This Row],[Total PoP ]]</f>
        <v>0</v>
      </c>
      <c r="CT44" s="600">
        <f>IF(WWWW[[#This Row],[Total required water points]]-WWWW[[#This Row],['#Water points coverage]]&lt;0,0,WWWW[[#This Row],[Total required water points]]-WWWW[[#This Row],['#Water points coverage]])</f>
        <v>0</v>
      </c>
      <c r="CU44" s="600">
        <f>ROUND(IF(WWWW[[#This Row],[Total PoP ]]&lt;500,1,WWWW[[#This Row],[Total PoP ]]/500),0)</f>
        <v>1</v>
      </c>
      <c r="CV44" s="600">
        <f>(WWWW[[#This Row],['#_Constructed latrines_by_WASHAgencies]]+WWWW[[#This Row],['#_Non Cluster partner latrines]])-WWWW[[#This Row],['#_Non-functional latrines]]</f>
        <v>13</v>
      </c>
      <c r="CW44" s="70">
        <f>WWWW[[#This Row],[HRP2]]/WWWW[[#This Row],[Total PoP ]]</f>
        <v>0.48689138576779029</v>
      </c>
      <c r="CX4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4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 s="600">
        <f>IF(WWWW[[#This Row],['# of functional latrines in THF supported by WASH partners during the reporting period2]]="",0,WWWW[[#This Row],['# of functional latrines in THF supported by WASH partners during the reporting period2]]*50)</f>
        <v>0</v>
      </c>
      <c r="DB44" s="600">
        <f>WWWW[[#This Row],['# students access to functioning school latrines_HRP5]]+WWWW[[#This Row],['# People access to functioning latrines in THF_HRP5]]</f>
        <v>0</v>
      </c>
      <c r="DC44" s="600">
        <f>ROUND(IF(WWWW[[#This Row],[Location Type 1]]="camp",WWWW[[#This Row],[Total PoP ]]/20,IF(WWWW[[#This Row],[Location Type 1]]="Temporary Location",WWWW[[#This Row],[Total PoP ]]/50,WWWW[[#This Row],[Total HH]])),0)</f>
        <v>27</v>
      </c>
      <c r="DD44" s="600">
        <f>IF(WWWW[[#This Row],[Total required Latrines]]-(WWWW[[#This Row],['#_Constructed latrines_by_WASHAgencies]]+WWWW[[#This Row],['#_Non Cluster partner latrines]])&lt;0,0,WWWW[[#This Row],[Total required Latrines]]-(WWWW[[#This Row],['#_Constructed latrines_by_WASHAgencies]]+WWWW[[#This Row],['#_Non Cluster partner latrines]]))</f>
        <v>14</v>
      </c>
      <c r="DE44" s="602">
        <f>1-WWWW[[#This Row],[% people access to functioning Latrine]]</f>
        <v>0.51310861423220966</v>
      </c>
      <c r="DF44" s="601">
        <f>IF(OR(WWWW[[#This Row],['#_Non-functional latrines]]="",WWWW[[#This Row],['#_Non-functional latrines]]=0),0,WWWW[[#This Row],['#_Non-functional latrines]]/(WWWW[[#This Row],['#_Constructed latrines_by_WASHAgencies]]+WWWW[[#This Row],['#_Non Cluster partner latrines]]))</f>
        <v>0</v>
      </c>
      <c r="DG44" s="597">
        <f>IF(500*(WWWW[[#This Row],['#_male hygiene promoters]]+WWWW[[#This Row],['#_female hygiene promoters]])&gt;WWWW[[#This Row],[Total PoP ]],WWWW[[#This Row],[Total PoP ]],500*(WWWW[[#This Row],['#_male hygiene promoters]]+WWWW[[#This Row],['#_female hygiene promoters]]))</f>
        <v>534</v>
      </c>
      <c r="DH4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 s="600">
        <f>IF(WWWW[[#This Row],['# People with access to soap]]&gt;WWWW[[#This Row],['# People with access to Sanity Pads]],WWWW[[#This Row],['# People with access to soap]],WWWW[[#This Row],['# People with access to Sanity Pads]])</f>
        <v>0</v>
      </c>
      <c r="DK44" s="600">
        <f>IF(WWWW[[#This Row],['# people reached by regular dedicated hygiene promotion_5]]&gt;WWWW[[#This Row],['# People received regular supply of hygiene items_6]],WWWW[[#This Row],['# people reached by regular dedicated hygiene promotion_5]],WWWW[[#This Row],['# People received regular supply of hygiene items_6]])</f>
        <v>534</v>
      </c>
      <c r="DL44" s="602">
        <f>IF(WWWW[[#This Row],[HRP3]]/WWWW[[#This Row],[Total PoP ]]&gt;1,1,WWWW[[#This Row],[HRP3]]/WWWW[[#This Row],[Total PoP ]])</f>
        <v>1</v>
      </c>
      <c r="DM44" s="601">
        <f>1-WWWW[[#This Row],[Hygiene Coverage%]]</f>
        <v>0</v>
      </c>
      <c r="DN44" s="599">
        <f>WWWW[[#This Row],['# people reached by regular dedicated hygiene promotion_5]]/WWWW[[#This Row],[Total PoP ]]</f>
        <v>1</v>
      </c>
      <c r="DO4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 s="600">
        <f>WWWW[[#This Row],['#_Constructed/Existing hand washing stations]]-WWWW[[#This Row],['#_Non-Functional_hand_washing_stations]]</f>
        <v>4</v>
      </c>
      <c r="DR44" s="597">
        <f>IF(WWWW[[#This Row],['# Functional hand washing stations during reporting period]]*20&gt;WWWW[[#This Row],[Total HH]],WWWW[[#This Row],[Total HH]],WWWW[[#This Row],['# Functional hand washing stations during reporting period]]*20)</f>
        <v>80</v>
      </c>
      <c r="DS44" s="597">
        <f>IF(WWWW[[#This Row],[Is sufficient soap available for TLS? (Yes/No)]]="yes",WWWW[[#This Row],['#_Constructed/Existing hand washing stations at TLS]],0)</f>
        <v>0</v>
      </c>
      <c r="DT44" s="479">
        <f>IF(WWWW[[#This Row],['# Functional hand washing stations during reporting period]]*100&gt;WWWW[[#This Row],[Total PoP ]],WWWW[[#This Row],[Total PoP ]],WWWW[[#This Row],['# Functional hand washing stations during reporting period]]*100)</f>
        <v>400</v>
      </c>
      <c r="DU44" s="479" t="str">
        <f>IF(OR(WWWW[[#This Row],['#_students at TLS_CFS]]="",WWWW[[#This Row],['#_students at TLS_CFS]]=0),"No","Yes")</f>
        <v>No</v>
      </c>
      <c r="DV4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 s="593" t="str">
        <f>VLOOKUP(WWWW[[#This Row],[Site Name]],SiteDB6[[Site Name]:[CCCM Management]],6,FALSE)</f>
        <v>Yes</v>
      </c>
      <c r="DZ44" s="593" t="str">
        <f>VLOOKUP(WWWW[[#This Row],[Site Name]],SiteDB6[[Site Name]:[CCCM Focal Agency]],7,FALSE)</f>
        <v>KBC-MYT</v>
      </c>
      <c r="EA44" s="593" t="str">
        <f>VLOOKUP(WWWW[[#This Row],[Site Name]],SiteDB6[[Site Name]:[Location Type 1]],9,FALSE)</f>
        <v>Camp</v>
      </c>
      <c r="EB44" s="593" t="str">
        <f>VLOOKUP(WWWW[[#This Row],[Site Name]],SiteDB6[[Site Name]:[Type of Accommodation]],10,FALSE)</f>
        <v>Camp</v>
      </c>
      <c r="EC44" s="593" t="str">
        <f>VLOOKUP(WWWW[[#This Row],[Site Name]],SiteDB6[[Site Name]:[Ethnic or GCA/NGCA]],11,FALSE)</f>
        <v>GCA</v>
      </c>
      <c r="ED44" s="593">
        <f>VLOOKUP(WWWW[[#This Row],[Site Name]],SiteDB6[[Site Name]:[Lat]],12,FALSE)</f>
        <v>25.412313000000001</v>
      </c>
      <c r="EE44" s="593">
        <f>VLOOKUP(WWWW[[#This Row],[Site Name]],SiteDB6[[Site Name]:[Long]],13,FALSE)</f>
        <v>97.399628000000007</v>
      </c>
      <c r="EF44" s="593" t="str">
        <f>VLOOKUP(WWWW[[#This Row],[Site Name]],SiteDB6[[Site Name]:[Pcode]],3,FALSE)</f>
        <v>MMR001CMP006</v>
      </c>
      <c r="EG44" s="598" t="str">
        <f t="shared" si="0"/>
        <v>Covered</v>
      </c>
      <c r="EH44" s="598" t="str">
        <f>VLOOKUP(WWWW[[#This Row],[Site Name]],SiteDB6[[Site Name]:[open in cccm?]],2,FALSE)</f>
        <v>cccm_2019OCT</v>
      </c>
    </row>
    <row r="45" spans="1:138" hidden="1">
      <c r="A45" s="591" t="s">
        <v>3261</v>
      </c>
      <c r="B45" s="591" t="s">
        <v>144</v>
      </c>
      <c r="C45" s="592" t="s">
        <v>144</v>
      </c>
      <c r="D45" s="592"/>
      <c r="E45" s="592" t="s">
        <v>39</v>
      </c>
      <c r="F45" s="592" t="s">
        <v>145</v>
      </c>
      <c r="G45" s="721" t="str">
        <f>VLOOKUP(WWWW[[#This Row],[Site Name]],SiteDB6[[Site Name]:[Location Type]],8,FALSE)</f>
        <v>Camp</v>
      </c>
      <c r="H45" s="592" t="s">
        <v>185</v>
      </c>
      <c r="I45" s="594">
        <v>179</v>
      </c>
      <c r="J45" s="594">
        <v>958</v>
      </c>
      <c r="K45" s="717"/>
      <c r="L45" s="718"/>
      <c r="M45" s="594"/>
      <c r="N45" s="594"/>
      <c r="O45" s="594"/>
      <c r="P45" s="594"/>
      <c r="Q45" s="597" t="s">
        <v>43</v>
      </c>
      <c r="R45" s="594"/>
      <c r="S45" s="594">
        <v>5</v>
      </c>
      <c r="T45" s="523">
        <v>0</v>
      </c>
      <c r="U45" s="594"/>
      <c r="V45" s="594"/>
      <c r="W45" s="594">
        <v>0</v>
      </c>
      <c r="X45" s="594"/>
      <c r="Y45" s="594"/>
      <c r="Z45" s="594"/>
      <c r="AA45" s="594">
        <v>1</v>
      </c>
      <c r="AB45" s="594">
        <v>1</v>
      </c>
      <c r="AC45" s="594"/>
      <c r="AD45" s="594"/>
      <c r="AE45" s="594"/>
      <c r="AF45" s="594"/>
      <c r="AG45" s="594"/>
      <c r="AH45" s="594">
        <v>0</v>
      </c>
      <c r="AI45" s="594"/>
      <c r="AJ45" s="594"/>
      <c r="AK45" s="594"/>
      <c r="AL45" s="594"/>
      <c r="AM45" s="594"/>
      <c r="AN45" s="594"/>
      <c r="AO45" s="598"/>
      <c r="AP45" s="594">
        <v>158</v>
      </c>
      <c r="AQ45" s="594"/>
      <c r="AR45" s="599"/>
      <c r="AS45" s="594"/>
      <c r="AT45" s="594"/>
      <c r="AU45" s="594"/>
      <c r="AV45" s="594"/>
      <c r="AW45" s="594">
        <v>158</v>
      </c>
      <c r="AX45" s="593" t="s">
        <v>43</v>
      </c>
      <c r="AY45" s="598" t="s">
        <v>140</v>
      </c>
      <c r="AZ45" s="594"/>
      <c r="BA45" s="594"/>
      <c r="BB45" s="594"/>
      <c r="BC45" s="594"/>
      <c r="BD45" s="523"/>
      <c r="BE45" s="593"/>
      <c r="BF45" s="720">
        <v>158</v>
      </c>
      <c r="BG45" s="594"/>
      <c r="BH45" s="594"/>
      <c r="BI45" s="594">
        <v>4</v>
      </c>
      <c r="BJ45" s="594"/>
      <c r="BK45" s="594"/>
      <c r="BL45" s="594"/>
      <c r="BM45" s="594"/>
      <c r="BN45" s="594"/>
      <c r="BO45" s="593"/>
      <c r="BP45" s="594"/>
      <c r="BQ45" s="599"/>
      <c r="BR45" s="593"/>
      <c r="BS45" s="472"/>
      <c r="BT45" s="472"/>
      <c r="BU45" s="523"/>
      <c r="BV45" s="472"/>
      <c r="BW45" s="523"/>
      <c r="BX45" s="523"/>
      <c r="BY45" s="523"/>
      <c r="BZ45" s="601" t="str">
        <f>IFERROR(WWWW[[#This Row],['#_Water sources passed]]/WWWW[[#This Row],['#_Water sources tested for fecal coliform ]],"no test")</f>
        <v>no test</v>
      </c>
      <c r="CA45" s="599" t="str">
        <f>IFERROR(WWWW[[#This Row],['#_Household passed]]/WWWW[[#This Row],['#_Household water samples tested for fecal coliform]],"no test")</f>
        <v>no test</v>
      </c>
      <c r="CB45" s="600" t="str">
        <f>IF(AND(WWWW[[#This Row],[% of water sources passed]]="no test",WWWW[[#This Row],[% Household passed]]="no test"),"No Test","Tested")</f>
        <v>No Test</v>
      </c>
      <c r="CC45" s="600">
        <f>WWWW[[#This Row],['#_Constructed/existing protected hand dug well]]-WWWW[[#This Row],['#_Non-functional protected hand dug well]]</f>
        <v>0</v>
      </c>
      <c r="CD45" s="600">
        <f>(WWWW[[#This Row],['#_Constructed/Existing tube wells/boreholes/handpumps_WASH_agency]]+WWWW[[#This Row],['#_Non-Cluster partner water tube-wells/boreholes/handpumps]])-WWWW[[#This Row],['#_Non-functional tube wells/boreholes/handpumps]]</f>
        <v>0</v>
      </c>
      <c r="CE45" s="600">
        <f>WWWW[[#This Row],['#_Constructed/Existingwater storage tank with gravity fed reticulation system]]-WWWW[[#This Row],['#_Non-functional storage tank gravity fed reticulation system]]</f>
        <v>0</v>
      </c>
      <c r="CF45" s="478">
        <f>(WWWW[[#This Row],['#_Water_Liters_supplied_by_Water boating or water trucking]]/90)/15</f>
        <v>0</v>
      </c>
      <c r="CG45" s="478">
        <f>WWWW[[#This Row],['#_Water_Liters_from_Constructed/Existing water distribution system from river or natural spring]]/90/15</f>
        <v>0</v>
      </c>
      <c r="CH45" s="478">
        <f>WWWW[[#This Row],['#_of water points in TLS/CFS /THF]]*500</f>
        <v>0</v>
      </c>
      <c r="CI4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5" s="599">
        <f>IF(WWWW[[#This Row],[Location Type 1]]="Village",WWWW[[#This Row],[Access to safe drinking water for Village]],WWWW[[#This Row],[Access to safe drinking water for Camp]])</f>
        <v>0</v>
      </c>
      <c r="CL45" s="597">
        <f>WWWW[[#This Row],[%Equitable and continuous access to sufficient quantity of safe drinking water]]*WWWW[[#This Row],[Total PoP ]]</f>
        <v>0</v>
      </c>
      <c r="CM45" s="599">
        <f>IF((WWWW[[#This Row],['#_Constructed/Existing protected/fenced ponds]]*250)/WWWW[[#This Row],[Total PoP ]]&gt;1,1,(WWWW[[#This Row],['#_Constructed/Existing protected/fenced ponds]]*250)/WWWW[[#This Row],[Total PoP ]])</f>
        <v>0</v>
      </c>
      <c r="CN45" s="597">
        <f>WWWW[[#This Row],[% Access to unimproved water points]]*WWWW[[#This Row],[Total PoP ]]</f>
        <v>0</v>
      </c>
      <c r="CO4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5" s="597">
        <f>WWWW[[#This Row],[HRP1]]/500</f>
        <v>0</v>
      </c>
      <c r="CR45" s="602">
        <f>1-WWWW[[#This Row],[% Equitable and continuous access to sufficient quantity of domestic water]]</f>
        <v>1</v>
      </c>
      <c r="CS45" s="597">
        <f>WWWW[[#This Row],[%equitable and continuous access to sufficient quantity of safe drinking and domestic water''s GAP]]*WWWW[[#This Row],[Total PoP ]]</f>
        <v>958</v>
      </c>
      <c r="CT45" s="600">
        <f>IF(WWWW[[#This Row],[Total required water points]]-WWWW[[#This Row],['#Water points coverage]]&lt;0,0,WWWW[[#This Row],[Total required water points]]-WWWW[[#This Row],['#Water points coverage]])</f>
        <v>2</v>
      </c>
      <c r="CU45" s="600">
        <f>ROUND(IF(WWWW[[#This Row],[Total PoP ]]&lt;500,1,WWWW[[#This Row],[Total PoP ]]/500),0)</f>
        <v>2</v>
      </c>
      <c r="CV45" s="600">
        <f>(WWWW[[#This Row],['#_Constructed latrines_by_WASHAgencies]]+WWWW[[#This Row],['#_Non Cluster partner latrines]])-WWWW[[#This Row],['#_Non-functional latrines]]</f>
        <v>158</v>
      </c>
      <c r="CW45" s="70">
        <f>WWWW[[#This Row],[HRP2]]/WWWW[[#This Row],[Total PoP ]]</f>
        <v>1</v>
      </c>
      <c r="CX4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CY4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 s="600">
        <f>IF(WWWW[[#This Row],['# of functional latrines in THF supported by WASH partners during the reporting period2]]="",0,WWWW[[#This Row],['# of functional latrines in THF supported by WASH partners during the reporting period2]]*50)</f>
        <v>0</v>
      </c>
      <c r="DB45" s="600">
        <f>WWWW[[#This Row],['# students access to functioning school latrines_HRP5]]+WWWW[[#This Row],['# People access to functioning latrines in THF_HRP5]]</f>
        <v>0</v>
      </c>
      <c r="DC45" s="600">
        <f>ROUND(IF(WWWW[[#This Row],[Location Type 1]]="camp",WWWW[[#This Row],[Total PoP ]]/20,IF(WWWW[[#This Row],[Location Type 1]]="Temporary Location",WWWW[[#This Row],[Total PoP ]]/50,WWWW[[#This Row],[Total HH]])),0)</f>
        <v>48</v>
      </c>
      <c r="DD45" s="600">
        <f>IF(WWWW[[#This Row],[Total required Latrines]]-(WWWW[[#This Row],['#_Constructed latrines_by_WASHAgencies]]+WWWW[[#This Row],['#_Non Cluster partner latrines]])&lt;0,0,WWWW[[#This Row],[Total required Latrines]]-(WWWW[[#This Row],['#_Constructed latrines_by_WASHAgencies]]+WWWW[[#This Row],['#_Non Cluster partner latrines]]))</f>
        <v>0</v>
      </c>
      <c r="DE45" s="602">
        <f>1-WWWW[[#This Row],[% people access to functioning Latrine]]</f>
        <v>0</v>
      </c>
      <c r="DF45" s="601">
        <f>IF(OR(WWWW[[#This Row],['#_Non-functional latrines]]="",WWWW[[#This Row],['#_Non-functional latrines]]=0),0,WWWW[[#This Row],['#_Non-functional latrines]]/(WWWW[[#This Row],['#_Constructed latrines_by_WASHAgencies]]+WWWW[[#This Row],['#_Non Cluster partner latrines]]))</f>
        <v>0</v>
      </c>
      <c r="DG45" s="597">
        <f>IF(500*(WWWW[[#This Row],['#_male hygiene promoters]]+WWWW[[#This Row],['#_female hygiene promoters]])&gt;WWWW[[#This Row],[Total PoP ]],WWWW[[#This Row],[Total PoP ]],500*(WWWW[[#This Row],['#_male hygiene promoters]]+WWWW[[#This Row],['#_female hygiene promoters]]))</f>
        <v>0</v>
      </c>
      <c r="DH4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 s="600">
        <f>IF(WWWW[[#This Row],['# People with access to soap]]&gt;WWWW[[#This Row],['# People with access to Sanity Pads]],WWWW[[#This Row],['# People with access to soap]],WWWW[[#This Row],['# People with access to Sanity Pads]])</f>
        <v>0</v>
      </c>
      <c r="DK4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5" s="602">
        <f>IF(WWWW[[#This Row],[HRP3]]/WWWW[[#This Row],[Total PoP ]]&gt;1,1,WWWW[[#This Row],[HRP3]]/WWWW[[#This Row],[Total PoP ]])</f>
        <v>0</v>
      </c>
      <c r="DM45" s="601">
        <f>1-WWWW[[#This Row],[Hygiene Coverage%]]</f>
        <v>1</v>
      </c>
      <c r="DN45" s="599">
        <f>WWWW[[#This Row],['# people reached by regular dedicated hygiene promotion_5]]/WWWW[[#This Row],[Total PoP ]]</f>
        <v>0</v>
      </c>
      <c r="DO4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 s="600">
        <f>WWWW[[#This Row],['#_Constructed/Existing hand washing stations]]-WWWW[[#This Row],['#_Non-Functional_hand_washing_stations]]</f>
        <v>158</v>
      </c>
      <c r="DR45" s="597">
        <f>IF(WWWW[[#This Row],['# Functional hand washing stations during reporting period]]*20&gt;WWWW[[#This Row],[Total HH]],WWWW[[#This Row],[Total HH]],WWWW[[#This Row],['# Functional hand washing stations during reporting period]]*20)</f>
        <v>179</v>
      </c>
      <c r="DS45" s="597">
        <f>IF(WWWW[[#This Row],[Is sufficient soap available for TLS? (Yes/No)]]="yes",WWWW[[#This Row],['#_Constructed/Existing hand washing stations at TLS]],0)</f>
        <v>0</v>
      </c>
      <c r="DT45" s="479">
        <f>IF(WWWW[[#This Row],['# Functional hand washing stations during reporting period]]*100&gt;WWWW[[#This Row],[Total PoP ]],WWWW[[#This Row],[Total PoP ]],WWWW[[#This Row],['# Functional hand washing stations during reporting period]]*100)</f>
        <v>958</v>
      </c>
      <c r="DU45" s="479" t="str">
        <f>IF(OR(WWWW[[#This Row],['#_students at TLS_CFS]]="",WWWW[[#This Row],['#_students at TLS_CFS]]=0),"No","Yes")</f>
        <v>No</v>
      </c>
      <c r="DV4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 s="593" t="str">
        <f>VLOOKUP(WWWW[[#This Row],[Site Name]],SiteDB6[[Site Name]:[CCCM Management]],6,FALSE)</f>
        <v>Yes</v>
      </c>
      <c r="DZ45" s="593" t="str">
        <f>VLOOKUP(WWWW[[#This Row],[Site Name]],SiteDB6[[Site Name]:[CCCM Focal Agency]],7,FALSE)</f>
        <v>KBC-MYT</v>
      </c>
      <c r="EA45" s="593" t="str">
        <f>VLOOKUP(WWWW[[#This Row],[Site Name]],SiteDB6[[Site Name]:[Location Type 1]],9,FALSE)</f>
        <v>Camp</v>
      </c>
      <c r="EB45" s="593" t="str">
        <f>VLOOKUP(WWWW[[#This Row],[Site Name]],SiteDB6[[Site Name]:[Type of Accommodation]],10,FALSE)</f>
        <v>Camp</v>
      </c>
      <c r="EC45" s="593" t="str">
        <f>VLOOKUP(WWWW[[#This Row],[Site Name]],SiteDB6[[Site Name]:[Ethnic or GCA/NGCA]],11,FALSE)</f>
        <v>GCA</v>
      </c>
      <c r="ED45" s="593">
        <f>VLOOKUP(WWWW[[#This Row],[Site Name]],SiteDB6[[Site Name]:[Lat]],12,FALSE)</f>
        <v>25.418084</v>
      </c>
      <c r="EE45" s="593">
        <f>VLOOKUP(WWWW[[#This Row],[Site Name]],SiteDB6[[Site Name]:[Long]],13,FALSE)</f>
        <v>98.025662999999994</v>
      </c>
      <c r="EF45" s="593" t="str">
        <f>VLOOKUP(WWWW[[#This Row],[Site Name]],SiteDB6[[Site Name]:[Pcode]],3,FALSE)</f>
        <v>MMR001CMP041</v>
      </c>
      <c r="EG45" s="598" t="str">
        <f t="shared" si="0"/>
        <v>Covered</v>
      </c>
      <c r="EH45" s="598" t="str">
        <f>VLOOKUP(WWWW[[#This Row],[Site Name]],SiteDB6[[Site Name]:[open in cccm?]],2,FALSE)</f>
        <v>cccm_2019OCT</v>
      </c>
    </row>
    <row r="46" spans="1:138" hidden="1">
      <c r="A46" s="591" t="s">
        <v>3261</v>
      </c>
      <c r="B46" s="591" t="s">
        <v>144</v>
      </c>
      <c r="C46" s="592" t="s">
        <v>144</v>
      </c>
      <c r="D46" s="404" t="s">
        <v>3277</v>
      </c>
      <c r="E46" s="592" t="s">
        <v>39</v>
      </c>
      <c r="F46" s="592" t="s">
        <v>162</v>
      </c>
      <c r="G46" s="721" t="str">
        <f>VLOOKUP(WWWW[[#This Row],[Site Name]],SiteDB6[[Site Name]:[Location Type]],8,FALSE)</f>
        <v>Camp</v>
      </c>
      <c r="H46" s="592" t="s">
        <v>172</v>
      </c>
      <c r="I46" s="594">
        <v>93</v>
      </c>
      <c r="J46" s="594">
        <v>499</v>
      </c>
      <c r="K46" s="717" t="s">
        <v>3278</v>
      </c>
      <c r="L46" s="718" t="s">
        <v>3279</v>
      </c>
      <c r="M46" s="594"/>
      <c r="N46" s="594"/>
      <c r="O46" s="594"/>
      <c r="P46" s="594"/>
      <c r="Q46" s="597" t="s">
        <v>43</v>
      </c>
      <c r="R46" s="594"/>
      <c r="S46" s="594">
        <v>4</v>
      </c>
      <c r="T46" s="523">
        <v>2</v>
      </c>
      <c r="U46" s="594"/>
      <c r="V46" s="594"/>
      <c r="W46" s="594">
        <v>2</v>
      </c>
      <c r="X46" s="594"/>
      <c r="Y46" s="594"/>
      <c r="Z46" s="594"/>
      <c r="AA46" s="594"/>
      <c r="AB46" s="594"/>
      <c r="AC46" s="594"/>
      <c r="AD46" s="594"/>
      <c r="AE46" s="594"/>
      <c r="AF46" s="594"/>
      <c r="AG46" s="594"/>
      <c r="AH46" s="594">
        <v>2</v>
      </c>
      <c r="AI46" s="594"/>
      <c r="AJ46" s="594"/>
      <c r="AK46" s="594"/>
      <c r="AL46" s="594"/>
      <c r="AM46" s="594"/>
      <c r="AN46" s="594"/>
      <c r="AO46" s="598"/>
      <c r="AP46" s="594">
        <v>17</v>
      </c>
      <c r="AQ46" s="594"/>
      <c r="AR46" s="599"/>
      <c r="AS46" s="594"/>
      <c r="AT46" s="594"/>
      <c r="AU46" s="594"/>
      <c r="AV46" s="594"/>
      <c r="AW46" s="594">
        <v>17</v>
      </c>
      <c r="AX46" s="593" t="s">
        <v>43</v>
      </c>
      <c r="AY46" s="598" t="s">
        <v>140</v>
      </c>
      <c r="AZ46" s="594"/>
      <c r="BA46" s="594"/>
      <c r="BB46" s="594"/>
      <c r="BC46" s="594"/>
      <c r="BD46" s="523"/>
      <c r="BE46" s="593"/>
      <c r="BF46" s="594">
        <v>4</v>
      </c>
      <c r="BG46" s="594"/>
      <c r="BH46" s="594"/>
      <c r="BI46" s="594">
        <v>2</v>
      </c>
      <c r="BJ46" s="594"/>
      <c r="BK46" s="594"/>
      <c r="BL46" s="594">
        <v>2</v>
      </c>
      <c r="BM46" s="594"/>
      <c r="BN46" s="594"/>
      <c r="BO46" s="593"/>
      <c r="BP46" s="594"/>
      <c r="BQ46" s="599"/>
      <c r="BR46" s="593"/>
      <c r="BS46" s="472"/>
      <c r="BT46" s="472"/>
      <c r="BU46" s="523"/>
      <c r="BV46" s="472"/>
      <c r="BW46" s="523"/>
      <c r="BX46" s="523"/>
      <c r="BY46" s="523"/>
      <c r="BZ46" s="601" t="str">
        <f>IFERROR(WWWW[[#This Row],['#_Water sources passed]]/WWWW[[#This Row],['#_Water sources tested for fecal coliform ]],"no test")</f>
        <v>no test</v>
      </c>
      <c r="CA46" s="599" t="str">
        <f>IFERROR(WWWW[[#This Row],['#_Household passed]]/WWWW[[#This Row],['#_Household water samples tested for fecal coliform]],"no test")</f>
        <v>no test</v>
      </c>
      <c r="CB46" s="600" t="str">
        <f>IF(AND(WWWW[[#This Row],[% of water sources passed]]="no test",WWWW[[#This Row],[% Household passed]]="no test"),"No Test","Tested")</f>
        <v>No Test</v>
      </c>
      <c r="CC46" s="600">
        <f>WWWW[[#This Row],['#_Constructed/existing protected hand dug well]]-WWWW[[#This Row],['#_Non-functional protected hand dug well]]</f>
        <v>2</v>
      </c>
      <c r="CD46" s="600">
        <f>(WWWW[[#This Row],['#_Constructed/Existing tube wells/boreholes/handpumps_WASH_agency]]+WWWW[[#This Row],['#_Non-Cluster partner water tube-wells/boreholes/handpumps]])-WWWW[[#This Row],['#_Non-functional tube wells/boreholes/handpumps]]</f>
        <v>2</v>
      </c>
      <c r="CE46" s="600">
        <f>WWWW[[#This Row],['#_Constructed/Existingwater storage tank with gravity fed reticulation system]]-WWWW[[#This Row],['#_Non-functional storage tank gravity fed reticulation system]]</f>
        <v>0</v>
      </c>
      <c r="CF46" s="478">
        <f>(WWWW[[#This Row],['#_Water_Liters_supplied_by_Water boating or water trucking]]/90)/15</f>
        <v>0</v>
      </c>
      <c r="CG46" s="478">
        <f>WWWW[[#This Row],['#_Water_Liters_from_Constructed/Existing water distribution system from river or natural spring]]/90/15</f>
        <v>0</v>
      </c>
      <c r="CH46" s="478">
        <f>WWWW[[#This Row],['#_of water points in TLS/CFS /THF]]*500</f>
        <v>0</v>
      </c>
      <c r="CI4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 s="599">
        <f>IF(WWWW[[#This Row],[Location Type 1]]="Village",WWWW[[#This Row],[Access to safe drinking water for Village]],WWWW[[#This Row],[Access to safe drinking water for Camp]])</f>
        <v>1</v>
      </c>
      <c r="CL46" s="597">
        <f>WWWW[[#This Row],[%Equitable and continuous access to sufficient quantity of safe drinking water]]*WWWW[[#This Row],[Total PoP ]]</f>
        <v>499</v>
      </c>
      <c r="CM46" s="599">
        <f>IF((WWWW[[#This Row],['#_Constructed/Existing protected/fenced ponds]]*250)/WWWW[[#This Row],[Total PoP ]]&gt;1,1,(WWWW[[#This Row],['#_Constructed/Existing protected/fenced ponds]]*250)/WWWW[[#This Row],[Total PoP ]])</f>
        <v>0</v>
      </c>
      <c r="CN46" s="597">
        <f>WWWW[[#This Row],[% Access to unimproved water points]]*WWWW[[#This Row],[Total PoP ]]</f>
        <v>0</v>
      </c>
      <c r="CO4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Q46" s="597">
        <f>WWWW[[#This Row],[HRP1]]/500</f>
        <v>0.998</v>
      </c>
      <c r="CR46" s="602">
        <f>1-WWWW[[#This Row],[% Equitable and continuous access to sufficient quantity of domestic water]]</f>
        <v>0</v>
      </c>
      <c r="CS46" s="597">
        <f>WWWW[[#This Row],[%equitable and continuous access to sufficient quantity of safe drinking and domestic water''s GAP]]*WWWW[[#This Row],[Total PoP ]]</f>
        <v>0</v>
      </c>
      <c r="CT46" s="600">
        <f>IF(WWWW[[#This Row],[Total required water points]]-WWWW[[#This Row],['#Water points coverage]]&lt;0,0,WWWW[[#This Row],[Total required water points]]-WWWW[[#This Row],['#Water points coverage]])</f>
        <v>2.0000000000000018E-3</v>
      </c>
      <c r="CU46" s="600">
        <f>ROUND(IF(WWWW[[#This Row],[Total PoP ]]&lt;500,1,WWWW[[#This Row],[Total PoP ]]/500),0)</f>
        <v>1</v>
      </c>
      <c r="CV46" s="600">
        <f>(WWWW[[#This Row],['#_Constructed latrines_by_WASHAgencies]]+WWWW[[#This Row],['#_Non Cluster partner latrines]])-WWWW[[#This Row],['#_Non-functional latrines]]</f>
        <v>17</v>
      </c>
      <c r="CW46" s="70">
        <f>WWWW[[#This Row],[HRP2]]/WWWW[[#This Row],[Total PoP ]]</f>
        <v>0.68136272545090182</v>
      </c>
      <c r="CX4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CY4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 s="600">
        <f>IF(WWWW[[#This Row],['# of functional latrines in THF supported by WASH partners during the reporting period2]]="",0,WWWW[[#This Row],['# of functional latrines in THF supported by WASH partners during the reporting period2]]*50)</f>
        <v>0</v>
      </c>
      <c r="DB46" s="600">
        <f>WWWW[[#This Row],['# students access to functioning school latrines_HRP5]]+WWWW[[#This Row],['# People access to functioning latrines in THF_HRP5]]</f>
        <v>0</v>
      </c>
      <c r="DC46" s="600">
        <f>ROUND(IF(WWWW[[#This Row],[Location Type 1]]="camp",WWWW[[#This Row],[Total PoP ]]/20,IF(WWWW[[#This Row],[Location Type 1]]="Temporary Location",WWWW[[#This Row],[Total PoP ]]/50,WWWW[[#This Row],[Total HH]])),0)</f>
        <v>25</v>
      </c>
      <c r="DD46" s="600">
        <f>IF(WWWW[[#This Row],[Total required Latrines]]-(WWWW[[#This Row],['#_Constructed latrines_by_WASHAgencies]]+WWWW[[#This Row],['#_Non Cluster partner latrines]])&lt;0,0,WWWW[[#This Row],[Total required Latrines]]-(WWWW[[#This Row],['#_Constructed latrines_by_WASHAgencies]]+WWWW[[#This Row],['#_Non Cluster partner latrines]]))</f>
        <v>8</v>
      </c>
      <c r="DE46" s="602">
        <f>1-WWWW[[#This Row],[% people access to functioning Latrine]]</f>
        <v>0.31863727454909818</v>
      </c>
      <c r="DF46" s="601">
        <f>IF(OR(WWWW[[#This Row],['#_Non-functional latrines]]="",WWWW[[#This Row],['#_Non-functional latrines]]=0),0,WWWW[[#This Row],['#_Non-functional latrines]]/(WWWW[[#This Row],['#_Constructed latrines_by_WASHAgencies]]+WWWW[[#This Row],['#_Non Cluster partner latrines]]))</f>
        <v>0</v>
      </c>
      <c r="DG46" s="597">
        <f>IF(500*(WWWW[[#This Row],['#_male hygiene promoters]]+WWWW[[#This Row],['#_female hygiene promoters]])&gt;WWWW[[#This Row],[Total PoP ]],WWWW[[#This Row],[Total PoP ]],500*(WWWW[[#This Row],['#_male hygiene promoters]]+WWWW[[#This Row],['#_female hygiene promoters]]))</f>
        <v>499</v>
      </c>
      <c r="DH4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 s="600">
        <f>IF(WWWW[[#This Row],['# People with access to soap]]&gt;WWWW[[#This Row],['# People with access to Sanity Pads]],WWWW[[#This Row],['# People with access to soap]],WWWW[[#This Row],['# People with access to Sanity Pads]])</f>
        <v>0</v>
      </c>
      <c r="DK46" s="600">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L46" s="602">
        <f>IF(WWWW[[#This Row],[HRP3]]/WWWW[[#This Row],[Total PoP ]]&gt;1,1,WWWW[[#This Row],[HRP3]]/WWWW[[#This Row],[Total PoP ]])</f>
        <v>1</v>
      </c>
      <c r="DM46" s="601">
        <f>1-WWWW[[#This Row],[Hygiene Coverage%]]</f>
        <v>0</v>
      </c>
      <c r="DN46" s="599">
        <f>WWWW[[#This Row],['# people reached by regular dedicated hygiene promotion_5]]/WWWW[[#This Row],[Total PoP ]]</f>
        <v>1</v>
      </c>
      <c r="DO4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 s="600">
        <f>WWWW[[#This Row],['#_Constructed/Existing hand washing stations]]-WWWW[[#This Row],['#_Non-Functional_hand_washing_stations]]</f>
        <v>4</v>
      </c>
      <c r="DR46" s="597">
        <f>IF(WWWW[[#This Row],['# Functional hand washing stations during reporting period]]*20&gt;WWWW[[#This Row],[Total HH]],WWWW[[#This Row],[Total HH]],WWWW[[#This Row],['# Functional hand washing stations during reporting period]]*20)</f>
        <v>80</v>
      </c>
      <c r="DS46" s="597">
        <f>IF(WWWW[[#This Row],[Is sufficient soap available for TLS? (Yes/No)]]="yes",WWWW[[#This Row],['#_Constructed/Existing hand washing stations at TLS]],0)</f>
        <v>0</v>
      </c>
      <c r="DT46" s="479">
        <f>IF(WWWW[[#This Row],['# Functional hand washing stations during reporting period]]*100&gt;WWWW[[#This Row],[Total PoP ]],WWWW[[#This Row],[Total PoP ]],WWWW[[#This Row],['# Functional hand washing stations during reporting period]]*100)</f>
        <v>400</v>
      </c>
      <c r="DU46" s="479" t="str">
        <f>IF(OR(WWWW[[#This Row],['#_students at TLS_CFS]]="",WWWW[[#This Row],['#_students at TLS_CFS]]=0),"No","Yes")</f>
        <v>No</v>
      </c>
      <c r="DV4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 s="593" t="str">
        <f>VLOOKUP(WWWW[[#This Row],[Site Name]],SiteDB6[[Site Name]:[CCCM Management]],6,FALSE)</f>
        <v>Yes</v>
      </c>
      <c r="DZ46" s="593" t="str">
        <f>VLOOKUP(WWWW[[#This Row],[Site Name]],SiteDB6[[Site Name]:[CCCM Focal Agency]],7,FALSE)</f>
        <v>KBC-MYT</v>
      </c>
      <c r="EA46" s="593" t="str">
        <f>VLOOKUP(WWWW[[#This Row],[Site Name]],SiteDB6[[Site Name]:[Location Type 1]],9,FALSE)</f>
        <v>Camp</v>
      </c>
      <c r="EB46" s="593" t="str">
        <f>VLOOKUP(WWWW[[#This Row],[Site Name]],SiteDB6[[Site Name]:[Type of Accommodation]],10,FALSE)</f>
        <v>Camp</v>
      </c>
      <c r="EC46" s="593" t="str">
        <f>VLOOKUP(WWWW[[#This Row],[Site Name]],SiteDB6[[Site Name]:[Ethnic or GCA/NGCA]],11,FALSE)</f>
        <v>GCA</v>
      </c>
      <c r="ED46" s="593">
        <f>VLOOKUP(WWWW[[#This Row],[Site Name]],SiteDB6[[Site Name]:[Lat]],12,FALSE)</f>
        <v>25.440928</v>
      </c>
      <c r="EE46" s="593">
        <f>VLOOKUP(WWWW[[#This Row],[Site Name]],SiteDB6[[Site Name]:[Long]],13,FALSE)</f>
        <v>97.419403000000003</v>
      </c>
      <c r="EF46" s="593" t="str">
        <f>VLOOKUP(WWWW[[#This Row],[Site Name]],SiteDB6[[Site Name]:[Pcode]],3,FALSE)</f>
        <v>MMR001CMP009</v>
      </c>
      <c r="EG46" s="598" t="str">
        <f t="shared" si="0"/>
        <v>Covered</v>
      </c>
      <c r="EH46" s="598" t="str">
        <f>VLOOKUP(WWWW[[#This Row],[Site Name]],SiteDB6[[Site Name]:[open in cccm?]],2,FALSE)</f>
        <v>cccm_2019OCT</v>
      </c>
    </row>
    <row r="47" spans="1:138" hidden="1">
      <c r="A47" s="591" t="s">
        <v>3261</v>
      </c>
      <c r="B47" s="591" t="s">
        <v>144</v>
      </c>
      <c r="C47" s="592" t="s">
        <v>144</v>
      </c>
      <c r="D47" s="592"/>
      <c r="E47" s="788" t="s">
        <v>39</v>
      </c>
      <c r="F47" s="788" t="s">
        <v>217</v>
      </c>
      <c r="G47" s="721" t="str">
        <f>VLOOKUP(WWWW[[#This Row],[Site Name]],SiteDB6[[Site Name]:[Location Type]],8,FALSE)</f>
        <v>Camp_not registered</v>
      </c>
      <c r="H47" s="788" t="s">
        <v>2077</v>
      </c>
      <c r="I47" s="722">
        <v>63</v>
      </c>
      <c r="J47" s="722">
        <v>270</v>
      </c>
      <c r="K47" s="723"/>
      <c r="L47" s="724"/>
      <c r="M47" s="722"/>
      <c r="N47" s="722"/>
      <c r="O47" s="722"/>
      <c r="P47" s="722"/>
      <c r="Q47" s="725"/>
      <c r="R47" s="722"/>
      <c r="S47" s="722"/>
      <c r="T47" s="523"/>
      <c r="U47" s="722"/>
      <c r="V47" s="722"/>
      <c r="W47" s="722"/>
      <c r="X47" s="722"/>
      <c r="Y47" s="722"/>
      <c r="Z47" s="722"/>
      <c r="AA47" s="722"/>
      <c r="AB47" s="722"/>
      <c r="AC47" s="722"/>
      <c r="AD47" s="722"/>
      <c r="AE47" s="722"/>
      <c r="AF47" s="722"/>
      <c r="AG47" s="722"/>
      <c r="AH47" s="722"/>
      <c r="AI47" s="722"/>
      <c r="AJ47" s="722"/>
      <c r="AK47" s="722"/>
      <c r="AL47" s="722"/>
      <c r="AM47" s="722"/>
      <c r="AN47" s="722"/>
      <c r="AO47" s="726"/>
      <c r="AP47" s="722"/>
      <c r="AQ47" s="722"/>
      <c r="AR47" s="727"/>
      <c r="AS47" s="722"/>
      <c r="AT47" s="722"/>
      <c r="AU47" s="722"/>
      <c r="AV47" s="722"/>
      <c r="AW47" s="722"/>
      <c r="AX47" s="721"/>
      <c r="AY47" s="726"/>
      <c r="AZ47" s="722"/>
      <c r="BA47" s="722"/>
      <c r="BB47" s="722"/>
      <c r="BC47" s="523"/>
      <c r="BD47" s="523"/>
      <c r="BE47" s="721"/>
      <c r="BF47" s="722"/>
      <c r="BG47" s="722"/>
      <c r="BH47" s="722"/>
      <c r="BI47" s="722"/>
      <c r="BJ47" s="722"/>
      <c r="BK47" s="722"/>
      <c r="BL47" s="722"/>
      <c r="BM47" s="722"/>
      <c r="BN47" s="722"/>
      <c r="BO47" s="721"/>
      <c r="BP47" s="728"/>
      <c r="BQ47" s="727"/>
      <c r="BR47" s="721"/>
      <c r="BS47" s="472"/>
      <c r="BT47" s="472"/>
      <c r="BU47" s="474"/>
      <c r="BV47" s="472"/>
      <c r="BW47" s="523"/>
      <c r="BX47" s="523"/>
      <c r="BY47" s="523"/>
      <c r="BZ47" s="729" t="str">
        <f>IFERROR(WWWW[[#This Row],['#_Water sources passed]]/WWWW[[#This Row],['#_Water sources tested for fecal coliform ]],"no test")</f>
        <v>no test</v>
      </c>
      <c r="CA47" s="727" t="str">
        <f>IFERROR(WWWW[[#This Row],['#_Household passed]]/WWWW[[#This Row],['#_Household water samples tested for fecal coliform]],"no test")</f>
        <v>no test</v>
      </c>
      <c r="CB47" s="730" t="str">
        <f>IF(AND(WWWW[[#This Row],[% of water sources passed]]="no test",WWWW[[#This Row],[% Household passed]]="no test"),"No Test","Tested")</f>
        <v>No Test</v>
      </c>
      <c r="CC47" s="730">
        <f>WWWW[[#This Row],['#_Constructed/existing protected hand dug well]]-WWWW[[#This Row],['#_Non-functional protected hand dug well]]</f>
        <v>0</v>
      </c>
      <c r="CD47" s="730">
        <f>(WWWW[[#This Row],['#_Constructed/Existing tube wells/boreholes/handpumps_WASH_agency]]+WWWW[[#This Row],['#_Non-Cluster partner water tube-wells/boreholes/handpumps]])-WWWW[[#This Row],['#_Non-functional tube wells/boreholes/handpumps]]</f>
        <v>0</v>
      </c>
      <c r="CE47" s="730">
        <f>WWWW[[#This Row],['#_Constructed/Existingwater storage tank with gravity fed reticulation system]]-WWWW[[#This Row],['#_Non-functional storage tank gravity fed reticulation system]]</f>
        <v>0</v>
      </c>
      <c r="CF47" s="731">
        <f>(WWWW[[#This Row],['#_Water_Liters_supplied_by_Water boating or water trucking]]/90)/15</f>
        <v>0</v>
      </c>
      <c r="CG47" s="731">
        <f>WWWW[[#This Row],['#_Water_Liters_from_Constructed/Existing water distribution system from river or natural spring]]/90/15</f>
        <v>0</v>
      </c>
      <c r="CH47" s="478">
        <f>WWWW[[#This Row],['#_of water points in TLS/CFS /THF]]*500</f>
        <v>0</v>
      </c>
      <c r="CI47" s="73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7" s="73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7" s="727">
        <f>IF(WWWW[[#This Row],[Location Type 1]]="Village",WWWW[[#This Row],[Access to safe drinking water for Village]],WWWW[[#This Row],[Access to safe drinking water for Camp]])</f>
        <v>0</v>
      </c>
      <c r="CL47" s="725">
        <f>WWWW[[#This Row],[%Equitable and continuous access to sufficient quantity of safe drinking water]]*WWWW[[#This Row],[Total PoP ]]</f>
        <v>0</v>
      </c>
      <c r="CM47" s="727">
        <f>IF((WWWW[[#This Row],['#_Constructed/Existing protected/fenced ponds]]*250)/WWWW[[#This Row],[Total PoP ]]&gt;1,1,(WWWW[[#This Row],['#_Constructed/Existing protected/fenced ponds]]*250)/WWWW[[#This Row],[Total PoP ]])</f>
        <v>0</v>
      </c>
      <c r="CN47" s="725">
        <f>WWWW[[#This Row],[% Access to unimproved water points]]*WWWW[[#This Row],[Total PoP ]]</f>
        <v>0</v>
      </c>
      <c r="CO47" s="72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7" s="72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7" s="725">
        <f>WWWW[[#This Row],[HRP1]]/500</f>
        <v>0</v>
      </c>
      <c r="CR47" s="733">
        <f>1-WWWW[[#This Row],[% Equitable and continuous access to sufficient quantity of domestic water]]</f>
        <v>1</v>
      </c>
      <c r="CS47" s="725">
        <f>WWWW[[#This Row],[%equitable and continuous access to sufficient quantity of safe drinking and domestic water''s GAP]]*WWWW[[#This Row],[Total PoP ]]</f>
        <v>270</v>
      </c>
      <c r="CT47" s="730">
        <f>IF(WWWW[[#This Row],[Total required water points]]-WWWW[[#This Row],['#Water points coverage]]&lt;0,0,WWWW[[#This Row],[Total required water points]]-WWWW[[#This Row],['#Water points coverage]])</f>
        <v>1</v>
      </c>
      <c r="CU47" s="730">
        <f>ROUND(IF(WWWW[[#This Row],[Total PoP ]]&lt;500,1,WWWW[[#This Row],[Total PoP ]]/500),0)</f>
        <v>1</v>
      </c>
      <c r="CV47" s="730">
        <f>(WWWW[[#This Row],['#_Constructed latrines_by_WASHAgencies]]+WWWW[[#This Row],['#_Non Cluster partner latrines]])-WWWW[[#This Row],['#_Non-functional latrines]]</f>
        <v>0</v>
      </c>
      <c r="CW47" s="734">
        <f>WWWW[[#This Row],[HRP2]]/WWWW[[#This Row],[Total PoP ]]</f>
        <v>0</v>
      </c>
      <c r="CX47" s="735">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7" s="72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 s="73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 s="473">
        <f>IF(WWWW[[#This Row],['# of functional latrines in THF supported by WASH partners during the reporting period2]]="",0,WWWW[[#This Row],['# of functional latrines in THF supported by WASH partners during the reporting period2]]*50)</f>
        <v>0</v>
      </c>
      <c r="DB47" s="473">
        <f>WWWW[[#This Row],['# students access to functioning school latrines_HRP5]]+WWWW[[#This Row],['# People access to functioning latrines in THF_HRP5]]</f>
        <v>0</v>
      </c>
      <c r="DC47" s="730">
        <f>ROUND(IF(WWWW[[#This Row],[Location Type 1]]="camp",WWWW[[#This Row],[Total PoP ]]/20,IF(WWWW[[#This Row],[Location Type 1]]="Temporary Location",WWWW[[#This Row],[Total PoP ]]/50,(WWWW[[#This Row],[Total PoP ]]/6))),0)</f>
        <v>14</v>
      </c>
      <c r="DD47" s="730">
        <f>IF(WWWW[[#This Row],[Total required Latrines]]-(WWWW[[#This Row],['#_Constructed latrines_by_WASHAgencies]]+WWWW[[#This Row],['#_Non Cluster partner latrines]])&lt;0,0,WWWW[[#This Row],[Total required Latrines]]-(WWWW[[#This Row],['#_Constructed latrines_by_WASHAgencies]]+WWWW[[#This Row],['#_Non Cluster partner latrines]]))</f>
        <v>14</v>
      </c>
      <c r="DE47" s="733">
        <f>1-WWWW[[#This Row],[% people access to functioning Latrine]]</f>
        <v>1</v>
      </c>
      <c r="DF47" s="729">
        <f>IF(OR(WWWW[[#This Row],['#_Non-functional latrines]]="",WWWW[[#This Row],['#_Non-functional latrines]]=0),0,WWWW[[#This Row],['#_Non-functional latrines]]/(WWWW[[#This Row],['#_Constructed latrines_by_WASHAgencies]]+WWWW[[#This Row],['#_Non Cluster partner latrines]]))</f>
        <v>0</v>
      </c>
      <c r="DG47" s="725">
        <f>IF(500*(WWWW[[#This Row],['#_male hygiene promoters]]+WWWW[[#This Row],['#_female hygiene promoters]])&gt;WWWW[[#This Row],[Total PoP ]],WWWW[[#This Row],[Total PoP ]],500*(WWWW[[#This Row],['#_male hygiene promoters]]+WWWW[[#This Row],['#_female hygiene promoters]]))</f>
        <v>0</v>
      </c>
      <c r="DH47" s="7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7" s="7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 s="730">
        <f>IF(WWWW[[#This Row],['# People with access to soap]]&gt;WWWW[[#This Row],['# People with access to Sanity Pads]],WWWW[[#This Row],['# People with access to soap]],WWWW[[#This Row],['# People with access to Sanity Pads]])</f>
        <v>0</v>
      </c>
      <c r="DK47" s="7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7" s="733">
        <f>IF(WWWW[[#This Row],[HRP3]]/WWWW[[#This Row],[Total PoP ]]&gt;1,1,WWWW[[#This Row],[HRP3]]/WWWW[[#This Row],[Total PoP ]])</f>
        <v>0</v>
      </c>
      <c r="DM47" s="729">
        <f>1-WWWW[[#This Row],[Hygiene Coverage%]]</f>
        <v>1</v>
      </c>
      <c r="DN47" s="727">
        <f>WWWW[[#This Row],['# people reached by regular dedicated hygiene promotion_5]]/WWWW[[#This Row],[Total PoP ]]</f>
        <v>0</v>
      </c>
      <c r="DO47" s="727">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7" s="727">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 s="730">
        <f>WWWW[[#This Row],['#_Constructed/Existing hand washing stations]]-WWWW[[#This Row],['#_Non-Functional_hand_washing_stations]]</f>
        <v>0</v>
      </c>
      <c r="DR47" s="725">
        <f>IF(WWWW[[#This Row],['# Functional hand washing stations during reporting period]]*20&gt;WWWW[[#This Row],[Total HH]],WWWW[[#This Row],[Total HH]],WWWW[[#This Row],['# Functional hand washing stations during reporting period]]*20)</f>
        <v>0</v>
      </c>
      <c r="DS47" s="725">
        <f>IF(WWWW[[#This Row],[Is sufficient soap available for TLS? (Yes/No)]]="yes",WWWW[[#This Row],['#_Constructed/Existing hand washing stations at TLS]],0)</f>
        <v>0</v>
      </c>
      <c r="DT47" s="479">
        <f>IF(WWWW[[#This Row],['# Functional hand washing stations during reporting period]]*100&gt;WWWW[[#This Row],[Total PoP ]],WWWW[[#This Row],[Total PoP ]],WWWW[[#This Row],['# Functional hand washing stations during reporting period]]*100)</f>
        <v>0</v>
      </c>
      <c r="DU47" s="479" t="str">
        <f>IF(OR(WWWW[[#This Row],['#_students at TLS_CFS]]="",WWWW[[#This Row],['#_students at TLS_CFS]]=0),"No","Yes")</f>
        <v>No</v>
      </c>
      <c r="DV4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 s="721">
        <f>VLOOKUP(WWWW[[#This Row],[Site Name]],SiteDB6[[Site Name]:[CCCM Management]],6,FALSE)</f>
        <v>0</v>
      </c>
      <c r="DZ47" s="721">
        <f>VLOOKUP(WWWW[[#This Row],[Site Name]],SiteDB6[[Site Name]:[CCCM Focal Agency]],7,FALSE)</f>
        <v>0</v>
      </c>
      <c r="EA47" s="721" t="str">
        <f>VLOOKUP(WWWW[[#This Row],[Site Name]],SiteDB6[[Site Name]:[Location Type 1]],9,FALSE)</f>
        <v>Camp</v>
      </c>
      <c r="EB47" s="721" t="str">
        <f>VLOOKUP(WWWW[[#This Row],[Site Name]],SiteDB6[[Site Name]:[Type of Accommodation]],10,FALSE)</f>
        <v>Camp like setting</v>
      </c>
      <c r="EC47" s="721" t="str">
        <f>VLOOKUP(WWWW[[#This Row],[Site Name]],SiteDB6[[Site Name]:[Ethnic or GCA/NGCA]],11,FALSE)</f>
        <v>NGCA</v>
      </c>
      <c r="ED47" s="721">
        <f>VLOOKUP(WWWW[[#This Row],[Site Name]],SiteDB6[[Site Name]:[Lat]],12,FALSE)</f>
        <v>0</v>
      </c>
      <c r="EE47" s="721">
        <f>VLOOKUP(WWWW[[#This Row],[Site Name]],SiteDB6[[Site Name]:[Long]],13,FALSE)</f>
        <v>0</v>
      </c>
      <c r="EF47" s="721">
        <f>VLOOKUP(WWWW[[#This Row],[Site Name]],SiteDB6[[Site Name]:[Pcode]],3,FALSE)</f>
        <v>0</v>
      </c>
      <c r="EG47" s="726" t="str">
        <f t="shared" si="0"/>
        <v>Covered</v>
      </c>
      <c r="EH47" s="726">
        <f>VLOOKUP(WWWW[[#This Row],[Site Name]],Site_DB!$C$389:$D$1120,2,FALSE)</f>
        <v>0</v>
      </c>
    </row>
    <row r="48" spans="1:138" hidden="1">
      <c r="A48" s="591" t="s">
        <v>3261</v>
      </c>
      <c r="B48" s="591" t="s">
        <v>144</v>
      </c>
      <c r="C48" s="592" t="s">
        <v>144</v>
      </c>
      <c r="D48" s="404" t="s">
        <v>3277</v>
      </c>
      <c r="E48" s="592" t="s">
        <v>39</v>
      </c>
      <c r="F48" s="592" t="s">
        <v>162</v>
      </c>
      <c r="G48" s="721" t="str">
        <f>VLOOKUP(WWWW[[#This Row],[Site Name]],SiteDB6[[Site Name]:[Location Type]],8,FALSE)</f>
        <v>Camp</v>
      </c>
      <c r="H48" s="592" t="s">
        <v>173</v>
      </c>
      <c r="I48" s="594">
        <v>69</v>
      </c>
      <c r="J48" s="594">
        <v>351</v>
      </c>
      <c r="K48" s="717" t="s">
        <v>3278</v>
      </c>
      <c r="L48" s="718" t="s">
        <v>3279</v>
      </c>
      <c r="M48" s="594"/>
      <c r="N48" s="594"/>
      <c r="O48" s="594"/>
      <c r="P48" s="594"/>
      <c r="Q48" s="597" t="s">
        <v>43</v>
      </c>
      <c r="R48" s="594"/>
      <c r="S48" s="594">
        <v>2</v>
      </c>
      <c r="T48" s="523">
        <v>0</v>
      </c>
      <c r="U48" s="594"/>
      <c r="V48" s="594"/>
      <c r="W48" s="594">
        <v>2</v>
      </c>
      <c r="X48" s="594"/>
      <c r="Y48" s="594"/>
      <c r="Z48" s="594"/>
      <c r="AA48" s="594"/>
      <c r="AB48" s="594"/>
      <c r="AC48" s="594"/>
      <c r="AD48" s="594"/>
      <c r="AE48" s="594"/>
      <c r="AF48" s="594"/>
      <c r="AG48" s="594"/>
      <c r="AH48" s="594">
        <v>2</v>
      </c>
      <c r="AI48" s="594"/>
      <c r="AJ48" s="594"/>
      <c r="AK48" s="594"/>
      <c r="AL48" s="594"/>
      <c r="AM48" s="594"/>
      <c r="AN48" s="594"/>
      <c r="AO48" s="598"/>
      <c r="AP48" s="594">
        <v>11</v>
      </c>
      <c r="AQ48" s="594"/>
      <c r="AR48" s="599"/>
      <c r="AS48" s="594"/>
      <c r="AT48" s="594"/>
      <c r="AU48" s="594"/>
      <c r="AV48" s="594"/>
      <c r="AW48" s="594">
        <v>11</v>
      </c>
      <c r="AX48" s="593" t="s">
        <v>43</v>
      </c>
      <c r="AY48" s="598" t="s">
        <v>140</v>
      </c>
      <c r="AZ48" s="594"/>
      <c r="BA48" s="594"/>
      <c r="BB48" s="594"/>
      <c r="BC48" s="594"/>
      <c r="BD48" s="523"/>
      <c r="BE48" s="593"/>
      <c r="BF48" s="594">
        <v>2</v>
      </c>
      <c r="BG48" s="594"/>
      <c r="BH48" s="594"/>
      <c r="BI48" s="594">
        <v>2</v>
      </c>
      <c r="BJ48" s="594"/>
      <c r="BK48" s="594"/>
      <c r="BL48" s="594">
        <v>1</v>
      </c>
      <c r="BM48" s="594"/>
      <c r="BN48" s="594"/>
      <c r="BO48" s="593"/>
      <c r="BP48" s="594"/>
      <c r="BQ48" s="599"/>
      <c r="BR48" s="593"/>
      <c r="BS48" s="472"/>
      <c r="BT48" s="472"/>
      <c r="BU48" s="523"/>
      <c r="BV48" s="472"/>
      <c r="BW48" s="523"/>
      <c r="BX48" s="523"/>
      <c r="BY48" s="523"/>
      <c r="BZ48" s="601" t="str">
        <f>IFERROR(WWWW[[#This Row],['#_Water sources passed]]/WWWW[[#This Row],['#_Water sources tested for fecal coliform ]],"no test")</f>
        <v>no test</v>
      </c>
      <c r="CA48" s="599" t="str">
        <f>IFERROR(WWWW[[#This Row],['#_Household passed]]/WWWW[[#This Row],['#_Household water samples tested for fecal coliform]],"no test")</f>
        <v>no test</v>
      </c>
      <c r="CB48" s="600" t="str">
        <f>IF(AND(WWWW[[#This Row],[% of water sources passed]]="no test",WWWW[[#This Row],[% Household passed]]="no test"),"No Test","Tested")</f>
        <v>No Test</v>
      </c>
      <c r="CC48" s="600">
        <f>WWWW[[#This Row],['#_Constructed/existing protected hand dug well]]-WWWW[[#This Row],['#_Non-functional protected hand dug well]]</f>
        <v>0</v>
      </c>
      <c r="CD48" s="600">
        <f>(WWWW[[#This Row],['#_Constructed/Existing tube wells/boreholes/handpumps_WASH_agency]]+WWWW[[#This Row],['#_Non-Cluster partner water tube-wells/boreholes/handpumps]])-WWWW[[#This Row],['#_Non-functional tube wells/boreholes/handpumps]]</f>
        <v>2</v>
      </c>
      <c r="CE48" s="600">
        <f>WWWW[[#This Row],['#_Constructed/Existingwater storage tank with gravity fed reticulation system]]-WWWW[[#This Row],['#_Non-functional storage tank gravity fed reticulation system]]</f>
        <v>0</v>
      </c>
      <c r="CF48" s="478">
        <f>(WWWW[[#This Row],['#_Water_Liters_supplied_by_Water boating or water trucking]]/90)/15</f>
        <v>0</v>
      </c>
      <c r="CG48" s="478">
        <f>WWWW[[#This Row],['#_Water_Liters_from_Constructed/Existing water distribution system from river or natural spring]]/90/15</f>
        <v>0</v>
      </c>
      <c r="CH48" s="478">
        <f>WWWW[[#This Row],['#_of water points in TLS/CFS /THF]]*500</f>
        <v>0</v>
      </c>
      <c r="CI4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 s="599">
        <f>IF(WWWW[[#This Row],[Location Type 1]]="Village",WWWW[[#This Row],[Access to safe drinking water for Village]],WWWW[[#This Row],[Access to safe drinking water for Camp]])</f>
        <v>1</v>
      </c>
      <c r="CL48" s="597">
        <f>WWWW[[#This Row],[%Equitable and continuous access to sufficient quantity of safe drinking water]]*WWWW[[#This Row],[Total PoP ]]</f>
        <v>351</v>
      </c>
      <c r="CM48" s="599">
        <f>IF((WWWW[[#This Row],['#_Constructed/Existing protected/fenced ponds]]*250)/WWWW[[#This Row],[Total PoP ]]&gt;1,1,(WWWW[[#This Row],['#_Constructed/Existing protected/fenced ponds]]*250)/WWWW[[#This Row],[Total PoP ]])</f>
        <v>0</v>
      </c>
      <c r="CN48" s="597">
        <f>WWWW[[#This Row],[% Access to unimproved water points]]*WWWW[[#This Row],[Total PoP ]]</f>
        <v>0</v>
      </c>
      <c r="CO4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Q48" s="597">
        <f>WWWW[[#This Row],[HRP1]]/500</f>
        <v>0.70199999999999996</v>
      </c>
      <c r="CR48" s="602">
        <f>1-WWWW[[#This Row],[% Equitable and continuous access to sufficient quantity of domestic water]]</f>
        <v>0</v>
      </c>
      <c r="CS48" s="597">
        <f>WWWW[[#This Row],[%equitable and continuous access to sufficient quantity of safe drinking and domestic water''s GAP]]*WWWW[[#This Row],[Total PoP ]]</f>
        <v>0</v>
      </c>
      <c r="CT48" s="600">
        <f>IF(WWWW[[#This Row],[Total required water points]]-WWWW[[#This Row],['#Water points coverage]]&lt;0,0,WWWW[[#This Row],[Total required water points]]-WWWW[[#This Row],['#Water points coverage]])</f>
        <v>0.29800000000000004</v>
      </c>
      <c r="CU48" s="600">
        <f>ROUND(IF(WWWW[[#This Row],[Total PoP ]]&lt;500,1,WWWW[[#This Row],[Total PoP ]]/500),0)</f>
        <v>1</v>
      </c>
      <c r="CV48" s="600">
        <f>(WWWW[[#This Row],['#_Constructed latrines_by_WASHAgencies]]+WWWW[[#This Row],['#_Non Cluster partner latrines]])-WWWW[[#This Row],['#_Non-functional latrines]]</f>
        <v>11</v>
      </c>
      <c r="CW48" s="70">
        <f>WWWW[[#This Row],[HRP2]]/WWWW[[#This Row],[Total PoP ]]</f>
        <v>0.62678062678062674</v>
      </c>
      <c r="CX4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CY4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 s="600">
        <f>IF(WWWW[[#This Row],['# of functional latrines in THF supported by WASH partners during the reporting period2]]="",0,WWWW[[#This Row],['# of functional latrines in THF supported by WASH partners during the reporting period2]]*50)</f>
        <v>0</v>
      </c>
      <c r="DB48" s="600">
        <f>WWWW[[#This Row],['# students access to functioning school latrines_HRP5]]+WWWW[[#This Row],['# People access to functioning latrines in THF_HRP5]]</f>
        <v>0</v>
      </c>
      <c r="DC48" s="600">
        <f>ROUND(IF(WWWW[[#This Row],[Location Type 1]]="camp",WWWW[[#This Row],[Total PoP ]]/20,IF(WWWW[[#This Row],[Location Type 1]]="Temporary Location",WWWW[[#This Row],[Total PoP ]]/50,WWWW[[#This Row],[Total HH]])),0)</f>
        <v>18</v>
      </c>
      <c r="DD48" s="600">
        <f>IF(WWWW[[#This Row],[Total required Latrines]]-(WWWW[[#This Row],['#_Constructed latrines_by_WASHAgencies]]+WWWW[[#This Row],['#_Non Cluster partner latrines]])&lt;0,0,WWWW[[#This Row],[Total required Latrines]]-(WWWW[[#This Row],['#_Constructed latrines_by_WASHAgencies]]+WWWW[[#This Row],['#_Non Cluster partner latrines]]))</f>
        <v>7</v>
      </c>
      <c r="DE48" s="602">
        <f>1-WWWW[[#This Row],[% people access to functioning Latrine]]</f>
        <v>0.37321937321937326</v>
      </c>
      <c r="DF48" s="601">
        <f>IF(OR(WWWW[[#This Row],['#_Non-functional latrines]]="",WWWW[[#This Row],['#_Non-functional latrines]]=0),0,WWWW[[#This Row],['#_Non-functional latrines]]/(WWWW[[#This Row],['#_Constructed latrines_by_WASHAgencies]]+WWWW[[#This Row],['#_Non Cluster partner latrines]]))</f>
        <v>0</v>
      </c>
      <c r="DG48" s="597">
        <f>IF(500*(WWWW[[#This Row],['#_male hygiene promoters]]+WWWW[[#This Row],['#_female hygiene promoters]])&gt;WWWW[[#This Row],[Total PoP ]],WWWW[[#This Row],[Total PoP ]],500*(WWWW[[#This Row],['#_male hygiene promoters]]+WWWW[[#This Row],['#_female hygiene promoters]]))</f>
        <v>351</v>
      </c>
      <c r="DH4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 s="600">
        <f>IF(WWWW[[#This Row],['# People with access to soap]]&gt;WWWW[[#This Row],['# People with access to Sanity Pads]],WWWW[[#This Row],['# People with access to soap]],WWWW[[#This Row],['# People with access to Sanity Pads]])</f>
        <v>0</v>
      </c>
      <c r="DK48" s="600">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L48" s="602">
        <f>IF(WWWW[[#This Row],[HRP3]]/WWWW[[#This Row],[Total PoP ]]&gt;1,1,WWWW[[#This Row],[HRP3]]/WWWW[[#This Row],[Total PoP ]])</f>
        <v>1</v>
      </c>
      <c r="DM48" s="601">
        <f>1-WWWW[[#This Row],[Hygiene Coverage%]]</f>
        <v>0</v>
      </c>
      <c r="DN48" s="599">
        <f>WWWW[[#This Row],['# people reached by regular dedicated hygiene promotion_5]]/WWWW[[#This Row],[Total PoP ]]</f>
        <v>1</v>
      </c>
      <c r="DO4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 s="600">
        <f>WWWW[[#This Row],['#_Constructed/Existing hand washing stations]]-WWWW[[#This Row],['#_Non-Functional_hand_washing_stations]]</f>
        <v>2</v>
      </c>
      <c r="DR48" s="597">
        <f>IF(WWWW[[#This Row],['# Functional hand washing stations during reporting period]]*20&gt;WWWW[[#This Row],[Total HH]],WWWW[[#This Row],[Total HH]],WWWW[[#This Row],['# Functional hand washing stations during reporting period]]*20)</f>
        <v>40</v>
      </c>
      <c r="DS48" s="597">
        <f>IF(WWWW[[#This Row],[Is sufficient soap available for TLS? (Yes/No)]]="yes",WWWW[[#This Row],['#_Constructed/Existing hand washing stations at TLS]],0)</f>
        <v>0</v>
      </c>
      <c r="DT48" s="479">
        <f>IF(WWWW[[#This Row],['# Functional hand washing stations during reporting period]]*100&gt;WWWW[[#This Row],[Total PoP ]],WWWW[[#This Row],[Total PoP ]],WWWW[[#This Row],['# Functional hand washing stations during reporting period]]*100)</f>
        <v>200</v>
      </c>
      <c r="DU48" s="479" t="str">
        <f>IF(OR(WWWW[[#This Row],['#_students at TLS_CFS]]="",WWWW[[#This Row],['#_students at TLS_CFS]]=0),"No","Yes")</f>
        <v>No</v>
      </c>
      <c r="DV4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 s="593" t="str">
        <f>VLOOKUP(WWWW[[#This Row],[Site Name]],SiteDB6[[Site Name]:[CCCM Management]],6,FALSE)</f>
        <v>Yes</v>
      </c>
      <c r="DZ48" s="593" t="str">
        <f>VLOOKUP(WWWW[[#This Row],[Site Name]],SiteDB6[[Site Name]:[CCCM Focal Agency]],7,FALSE)</f>
        <v>KBC-MYT</v>
      </c>
      <c r="EA48" s="593" t="str">
        <f>VLOOKUP(WWWW[[#This Row],[Site Name]],SiteDB6[[Site Name]:[Location Type 1]],9,FALSE)</f>
        <v>Camp</v>
      </c>
      <c r="EB48" s="593" t="str">
        <f>VLOOKUP(WWWW[[#This Row],[Site Name]],SiteDB6[[Site Name]:[Type of Accommodation]],10,FALSE)</f>
        <v>Camp</v>
      </c>
      <c r="EC48" s="593" t="str">
        <f>VLOOKUP(WWWW[[#This Row],[Site Name]],SiteDB6[[Site Name]:[Ethnic or GCA/NGCA]],11,FALSE)</f>
        <v>GCA</v>
      </c>
      <c r="ED48" s="593">
        <f>VLOOKUP(WWWW[[#This Row],[Site Name]],SiteDB6[[Site Name]:[Lat]],12,FALSE)</f>
        <v>25.415482000000001</v>
      </c>
      <c r="EE48" s="593">
        <f>VLOOKUP(WWWW[[#This Row],[Site Name]],SiteDB6[[Site Name]:[Long]],13,FALSE)</f>
        <v>97.386718999999999</v>
      </c>
      <c r="EF48" s="593" t="str">
        <f>VLOOKUP(WWWW[[#This Row],[Site Name]],SiteDB6[[Site Name]:[Pcode]],3,FALSE)</f>
        <v>MMR001CMP001</v>
      </c>
      <c r="EG48" s="598" t="str">
        <f t="shared" si="0"/>
        <v>Covered</v>
      </c>
      <c r="EH48" s="598" t="str">
        <f>VLOOKUP(WWWW[[#This Row],[Site Name]],SiteDB6[[Site Name]:[open in cccm?]],2,FALSE)</f>
        <v>cccm_2019OCT</v>
      </c>
    </row>
    <row r="49" spans="1:138" hidden="1">
      <c r="A49" s="591" t="s">
        <v>3261</v>
      </c>
      <c r="B49" s="591" t="s">
        <v>144</v>
      </c>
      <c r="C49" s="592" t="s">
        <v>144</v>
      </c>
      <c r="D49" s="404" t="s">
        <v>3277</v>
      </c>
      <c r="E49" s="592" t="s">
        <v>39</v>
      </c>
      <c r="F49" s="592" t="s">
        <v>162</v>
      </c>
      <c r="G49" s="721" t="str">
        <f>VLOOKUP(WWWW[[#This Row],[Site Name]],SiteDB6[[Site Name]:[Location Type]],8,FALSE)</f>
        <v>Camp</v>
      </c>
      <c r="H49" s="592" t="s">
        <v>174</v>
      </c>
      <c r="I49" s="594">
        <v>30</v>
      </c>
      <c r="J49" s="594">
        <v>165</v>
      </c>
      <c r="K49" s="717" t="s">
        <v>3278</v>
      </c>
      <c r="L49" s="718" t="s">
        <v>3279</v>
      </c>
      <c r="M49" s="594"/>
      <c r="N49" s="594"/>
      <c r="O49" s="594"/>
      <c r="P49" s="594"/>
      <c r="Q49" s="597" t="s">
        <v>43</v>
      </c>
      <c r="R49" s="594"/>
      <c r="S49" s="594">
        <v>3</v>
      </c>
      <c r="T49" s="523">
        <v>0</v>
      </c>
      <c r="U49" s="594"/>
      <c r="V49" s="594"/>
      <c r="W49" s="594">
        <v>2</v>
      </c>
      <c r="X49" s="594"/>
      <c r="Y49" s="594"/>
      <c r="Z49" s="594"/>
      <c r="AA49" s="594"/>
      <c r="AB49" s="594"/>
      <c r="AC49" s="594"/>
      <c r="AD49" s="594"/>
      <c r="AE49" s="594"/>
      <c r="AF49" s="594"/>
      <c r="AG49" s="594"/>
      <c r="AH49" s="594">
        <v>3</v>
      </c>
      <c r="AI49" s="594"/>
      <c r="AJ49" s="594"/>
      <c r="AK49" s="594"/>
      <c r="AL49" s="594"/>
      <c r="AM49" s="594"/>
      <c r="AN49" s="594"/>
      <c r="AO49" s="598"/>
      <c r="AP49" s="594">
        <v>5</v>
      </c>
      <c r="AQ49" s="594"/>
      <c r="AR49" s="599"/>
      <c r="AS49" s="594"/>
      <c r="AT49" s="594"/>
      <c r="AU49" s="594"/>
      <c r="AV49" s="594"/>
      <c r="AW49" s="594">
        <v>5</v>
      </c>
      <c r="AX49" s="593" t="s">
        <v>43</v>
      </c>
      <c r="AY49" s="598" t="s">
        <v>140</v>
      </c>
      <c r="AZ49" s="594"/>
      <c r="BA49" s="594"/>
      <c r="BB49" s="594"/>
      <c r="BC49" s="594"/>
      <c r="BD49" s="523"/>
      <c r="BE49" s="593"/>
      <c r="BF49" s="594">
        <v>2</v>
      </c>
      <c r="BG49" s="594"/>
      <c r="BH49" s="594"/>
      <c r="BI49" s="594">
        <v>2</v>
      </c>
      <c r="BJ49" s="594"/>
      <c r="BK49" s="594"/>
      <c r="BL49" s="594">
        <v>1</v>
      </c>
      <c r="BM49" s="594"/>
      <c r="BN49" s="594"/>
      <c r="BO49" s="593"/>
      <c r="BP49" s="594"/>
      <c r="BQ49" s="599"/>
      <c r="BR49" s="593"/>
      <c r="BS49" s="472"/>
      <c r="BT49" s="472"/>
      <c r="BU49" s="523"/>
      <c r="BV49" s="472"/>
      <c r="BW49" s="523"/>
      <c r="BX49" s="523"/>
      <c r="BY49" s="523"/>
      <c r="BZ49" s="601" t="str">
        <f>IFERROR(WWWW[[#This Row],['#_Water sources passed]]/WWWW[[#This Row],['#_Water sources tested for fecal coliform ]],"no test")</f>
        <v>no test</v>
      </c>
      <c r="CA49" s="599" t="str">
        <f>IFERROR(WWWW[[#This Row],['#_Household passed]]/WWWW[[#This Row],['#_Household water samples tested for fecal coliform]],"no test")</f>
        <v>no test</v>
      </c>
      <c r="CB49" s="600" t="str">
        <f>IF(AND(WWWW[[#This Row],[% of water sources passed]]="no test",WWWW[[#This Row],[% Household passed]]="no test"),"No Test","Tested")</f>
        <v>No Test</v>
      </c>
      <c r="CC49" s="600">
        <f>WWWW[[#This Row],['#_Constructed/existing protected hand dug well]]-WWWW[[#This Row],['#_Non-functional protected hand dug well]]</f>
        <v>0</v>
      </c>
      <c r="CD49" s="600">
        <f>(WWWW[[#This Row],['#_Constructed/Existing tube wells/boreholes/handpumps_WASH_agency]]+WWWW[[#This Row],['#_Non-Cluster partner water tube-wells/boreholes/handpumps]])-WWWW[[#This Row],['#_Non-functional tube wells/boreholes/handpumps]]</f>
        <v>2</v>
      </c>
      <c r="CE49" s="600">
        <f>WWWW[[#This Row],['#_Constructed/Existingwater storage tank with gravity fed reticulation system]]-WWWW[[#This Row],['#_Non-functional storage tank gravity fed reticulation system]]</f>
        <v>0</v>
      </c>
      <c r="CF49" s="478">
        <f>(WWWW[[#This Row],['#_Water_Liters_supplied_by_Water boating or water trucking]]/90)/15</f>
        <v>0</v>
      </c>
      <c r="CG49" s="478">
        <f>WWWW[[#This Row],['#_Water_Liters_from_Constructed/Existing water distribution system from river or natural spring]]/90/15</f>
        <v>0</v>
      </c>
      <c r="CH49" s="478">
        <f>WWWW[[#This Row],['#_of water points in TLS/CFS /THF]]*500</f>
        <v>0</v>
      </c>
      <c r="CI4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 s="599">
        <f>IF(WWWW[[#This Row],[Location Type 1]]="Village",WWWW[[#This Row],[Access to safe drinking water for Village]],WWWW[[#This Row],[Access to safe drinking water for Camp]])</f>
        <v>1</v>
      </c>
      <c r="CL49" s="597">
        <f>WWWW[[#This Row],[%Equitable and continuous access to sufficient quantity of safe drinking water]]*WWWW[[#This Row],[Total PoP ]]</f>
        <v>165</v>
      </c>
      <c r="CM49" s="599">
        <f>IF((WWWW[[#This Row],['#_Constructed/Existing protected/fenced ponds]]*250)/WWWW[[#This Row],[Total PoP ]]&gt;1,1,(WWWW[[#This Row],['#_Constructed/Existing protected/fenced ponds]]*250)/WWWW[[#This Row],[Total PoP ]])</f>
        <v>0</v>
      </c>
      <c r="CN49" s="597">
        <f>WWWW[[#This Row],[% Access to unimproved water points]]*WWWW[[#This Row],[Total PoP ]]</f>
        <v>0</v>
      </c>
      <c r="CO4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Q49" s="597">
        <f>WWWW[[#This Row],[HRP1]]/500</f>
        <v>0.33</v>
      </c>
      <c r="CR49" s="602">
        <f>1-WWWW[[#This Row],[% Equitable and continuous access to sufficient quantity of domestic water]]</f>
        <v>0</v>
      </c>
      <c r="CS49" s="597">
        <f>WWWW[[#This Row],[%equitable and continuous access to sufficient quantity of safe drinking and domestic water''s GAP]]*WWWW[[#This Row],[Total PoP ]]</f>
        <v>0</v>
      </c>
      <c r="CT49" s="600">
        <f>IF(WWWW[[#This Row],[Total required water points]]-WWWW[[#This Row],['#Water points coverage]]&lt;0,0,WWWW[[#This Row],[Total required water points]]-WWWW[[#This Row],['#Water points coverage]])</f>
        <v>0.66999999999999993</v>
      </c>
      <c r="CU49" s="600">
        <f>ROUND(IF(WWWW[[#This Row],[Total PoP ]]&lt;500,1,WWWW[[#This Row],[Total PoP ]]/500),0)</f>
        <v>1</v>
      </c>
      <c r="CV49" s="600">
        <f>(WWWW[[#This Row],['#_Constructed latrines_by_WASHAgencies]]+WWWW[[#This Row],['#_Non Cluster partner latrines]])-WWWW[[#This Row],['#_Non-functional latrines]]</f>
        <v>5</v>
      </c>
      <c r="CW49" s="70">
        <f>WWWW[[#This Row],[HRP2]]/WWWW[[#This Row],[Total PoP ]]</f>
        <v>0.60606060606060608</v>
      </c>
      <c r="CX4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4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 s="600">
        <f>IF(WWWW[[#This Row],['# of functional latrines in THF supported by WASH partners during the reporting period2]]="",0,WWWW[[#This Row],['# of functional latrines in THF supported by WASH partners during the reporting period2]]*50)</f>
        <v>0</v>
      </c>
      <c r="DB49" s="600">
        <f>WWWW[[#This Row],['# students access to functioning school latrines_HRP5]]+WWWW[[#This Row],['# People access to functioning latrines in THF_HRP5]]</f>
        <v>0</v>
      </c>
      <c r="DC49" s="600">
        <f>ROUND(IF(WWWW[[#This Row],[Location Type 1]]="camp",WWWW[[#This Row],[Total PoP ]]/20,IF(WWWW[[#This Row],[Location Type 1]]="Temporary Location",WWWW[[#This Row],[Total PoP ]]/50,WWWW[[#This Row],[Total HH]])),0)</f>
        <v>8</v>
      </c>
      <c r="DD49" s="600">
        <f>IF(WWWW[[#This Row],[Total required Latrines]]-(WWWW[[#This Row],['#_Constructed latrines_by_WASHAgencies]]+WWWW[[#This Row],['#_Non Cluster partner latrines]])&lt;0,0,WWWW[[#This Row],[Total required Latrines]]-(WWWW[[#This Row],['#_Constructed latrines_by_WASHAgencies]]+WWWW[[#This Row],['#_Non Cluster partner latrines]]))</f>
        <v>3</v>
      </c>
      <c r="DE49" s="602">
        <f>1-WWWW[[#This Row],[% people access to functioning Latrine]]</f>
        <v>0.39393939393939392</v>
      </c>
      <c r="DF49" s="601">
        <f>IF(OR(WWWW[[#This Row],['#_Non-functional latrines]]="",WWWW[[#This Row],['#_Non-functional latrines]]=0),0,WWWW[[#This Row],['#_Non-functional latrines]]/(WWWW[[#This Row],['#_Constructed latrines_by_WASHAgencies]]+WWWW[[#This Row],['#_Non Cluster partner latrines]]))</f>
        <v>0</v>
      </c>
      <c r="DG49" s="597">
        <f>IF(500*(WWWW[[#This Row],['#_male hygiene promoters]]+WWWW[[#This Row],['#_female hygiene promoters]])&gt;WWWW[[#This Row],[Total PoP ]],WWWW[[#This Row],[Total PoP ]],500*(WWWW[[#This Row],['#_male hygiene promoters]]+WWWW[[#This Row],['#_female hygiene promoters]]))</f>
        <v>165</v>
      </c>
      <c r="DH4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 s="600">
        <f>IF(WWWW[[#This Row],['# People with access to soap]]&gt;WWWW[[#This Row],['# People with access to Sanity Pads]],WWWW[[#This Row],['# People with access to soap]],WWWW[[#This Row],['# People with access to Sanity Pads]])</f>
        <v>0</v>
      </c>
      <c r="DK49" s="600">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L49" s="602">
        <f>IF(WWWW[[#This Row],[HRP3]]/WWWW[[#This Row],[Total PoP ]]&gt;1,1,WWWW[[#This Row],[HRP3]]/WWWW[[#This Row],[Total PoP ]])</f>
        <v>1</v>
      </c>
      <c r="DM49" s="601">
        <f>1-WWWW[[#This Row],[Hygiene Coverage%]]</f>
        <v>0</v>
      </c>
      <c r="DN49" s="599">
        <f>WWWW[[#This Row],['# people reached by regular dedicated hygiene promotion_5]]/WWWW[[#This Row],[Total PoP ]]</f>
        <v>1</v>
      </c>
      <c r="DO4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 s="600">
        <f>WWWW[[#This Row],['#_Constructed/Existing hand washing stations]]-WWWW[[#This Row],['#_Non-Functional_hand_washing_stations]]</f>
        <v>2</v>
      </c>
      <c r="DR49" s="597">
        <f>IF(WWWW[[#This Row],['# Functional hand washing stations during reporting period]]*20&gt;WWWW[[#This Row],[Total HH]],WWWW[[#This Row],[Total HH]],WWWW[[#This Row],['# Functional hand washing stations during reporting period]]*20)</f>
        <v>30</v>
      </c>
      <c r="DS49" s="597">
        <f>IF(WWWW[[#This Row],[Is sufficient soap available for TLS? (Yes/No)]]="yes",WWWW[[#This Row],['#_Constructed/Existing hand washing stations at TLS]],0)</f>
        <v>0</v>
      </c>
      <c r="DT49" s="479">
        <f>IF(WWWW[[#This Row],['# Functional hand washing stations during reporting period]]*100&gt;WWWW[[#This Row],[Total PoP ]],WWWW[[#This Row],[Total PoP ]],WWWW[[#This Row],['# Functional hand washing stations during reporting period]]*100)</f>
        <v>165</v>
      </c>
      <c r="DU49" s="479" t="str">
        <f>IF(OR(WWWW[[#This Row],['#_students at TLS_CFS]]="",WWWW[[#This Row],['#_students at TLS_CFS]]=0),"No","Yes")</f>
        <v>No</v>
      </c>
      <c r="DV4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 s="593" t="str">
        <f>VLOOKUP(WWWW[[#This Row],[Site Name]],SiteDB6[[Site Name]:[CCCM Management]],6,FALSE)</f>
        <v>Yes</v>
      </c>
      <c r="DZ49" s="593" t="str">
        <f>VLOOKUP(WWWW[[#This Row],[Site Name]],SiteDB6[[Site Name]:[CCCM Focal Agency]],7,FALSE)</f>
        <v>KBC-MYT</v>
      </c>
      <c r="EA49" s="593" t="str">
        <f>VLOOKUP(WWWW[[#This Row],[Site Name]],SiteDB6[[Site Name]:[Location Type 1]],9,FALSE)</f>
        <v>Camp</v>
      </c>
      <c r="EB49" s="593" t="str">
        <f>VLOOKUP(WWWW[[#This Row],[Site Name]],SiteDB6[[Site Name]:[Type of Accommodation]],10,FALSE)</f>
        <v>Camp</v>
      </c>
      <c r="EC49" s="593" t="str">
        <f>VLOOKUP(WWWW[[#This Row],[Site Name]],SiteDB6[[Site Name]:[Ethnic or GCA/NGCA]],11,FALSE)</f>
        <v>GCA</v>
      </c>
      <c r="ED49" s="593">
        <f>VLOOKUP(WWWW[[#This Row],[Site Name]],SiteDB6[[Site Name]:[Lat]],12,FALSE)</f>
        <v>25.404752999999999</v>
      </c>
      <c r="EE49" s="593">
        <f>VLOOKUP(WWWW[[#This Row],[Site Name]],SiteDB6[[Site Name]:[Long]],13,FALSE)</f>
        <v>97.377662999999998</v>
      </c>
      <c r="EF49" s="593" t="str">
        <f>VLOOKUP(WWWW[[#This Row],[Site Name]],SiteDB6[[Site Name]:[Pcode]],3,FALSE)</f>
        <v>MMR001CMP003</v>
      </c>
      <c r="EG49" s="598" t="str">
        <f t="shared" si="0"/>
        <v>Covered</v>
      </c>
      <c r="EH49" s="598" t="str">
        <f>VLOOKUP(WWWW[[#This Row],[Site Name]],SiteDB6[[Site Name]:[open in cccm?]],2,FALSE)</f>
        <v>cccm_2019OCT</v>
      </c>
    </row>
    <row r="50" spans="1:138" hidden="1">
      <c r="A50" s="591" t="s">
        <v>3261</v>
      </c>
      <c r="B50" s="591" t="s">
        <v>144</v>
      </c>
      <c r="C50" s="592" t="s">
        <v>144</v>
      </c>
      <c r="D50" s="404" t="s">
        <v>3277</v>
      </c>
      <c r="E50" s="592" t="s">
        <v>39</v>
      </c>
      <c r="F50" s="592" t="s">
        <v>162</v>
      </c>
      <c r="G50" s="721" t="str">
        <f>VLOOKUP(WWWW[[#This Row],[Site Name]],SiteDB6[[Site Name]:[Location Type]],8,FALSE)</f>
        <v>Camp</v>
      </c>
      <c r="H50" s="592" t="s">
        <v>175</v>
      </c>
      <c r="I50" s="594">
        <v>43</v>
      </c>
      <c r="J50" s="594">
        <v>219</v>
      </c>
      <c r="K50" s="717" t="s">
        <v>3278</v>
      </c>
      <c r="L50" s="718" t="s">
        <v>3279</v>
      </c>
      <c r="M50" s="594"/>
      <c r="N50" s="594"/>
      <c r="O50" s="594"/>
      <c r="P50" s="594"/>
      <c r="Q50" s="597" t="s">
        <v>43</v>
      </c>
      <c r="R50" s="594"/>
      <c r="S50" s="594">
        <v>5</v>
      </c>
      <c r="T50" s="523">
        <v>0</v>
      </c>
      <c r="U50" s="594"/>
      <c r="V50" s="594"/>
      <c r="W50" s="594">
        <v>2</v>
      </c>
      <c r="X50" s="594"/>
      <c r="Y50" s="594"/>
      <c r="Z50" s="594"/>
      <c r="AA50" s="594"/>
      <c r="AB50" s="594"/>
      <c r="AC50" s="594"/>
      <c r="AD50" s="594"/>
      <c r="AE50" s="594"/>
      <c r="AF50" s="594"/>
      <c r="AG50" s="594"/>
      <c r="AH50" s="594">
        <v>3</v>
      </c>
      <c r="AI50" s="594"/>
      <c r="AJ50" s="594"/>
      <c r="AK50" s="594"/>
      <c r="AL50" s="594"/>
      <c r="AM50" s="594"/>
      <c r="AN50" s="594"/>
      <c r="AO50" s="598"/>
      <c r="AP50" s="594">
        <v>13</v>
      </c>
      <c r="AQ50" s="594"/>
      <c r="AR50" s="599"/>
      <c r="AS50" s="594"/>
      <c r="AT50" s="594"/>
      <c r="AU50" s="594"/>
      <c r="AV50" s="594"/>
      <c r="AW50" s="594">
        <v>13</v>
      </c>
      <c r="AX50" s="593" t="s">
        <v>43</v>
      </c>
      <c r="AY50" s="598" t="s">
        <v>140</v>
      </c>
      <c r="AZ50" s="594"/>
      <c r="BA50" s="594"/>
      <c r="BB50" s="594"/>
      <c r="BC50" s="594"/>
      <c r="BD50" s="523"/>
      <c r="BE50" s="593"/>
      <c r="BF50" s="594">
        <v>2</v>
      </c>
      <c r="BG50" s="594"/>
      <c r="BH50" s="594"/>
      <c r="BI50" s="594">
        <v>3</v>
      </c>
      <c r="BJ50" s="594"/>
      <c r="BK50" s="594"/>
      <c r="BL50" s="594">
        <v>1</v>
      </c>
      <c r="BM50" s="594"/>
      <c r="BN50" s="594"/>
      <c r="BO50" s="593"/>
      <c r="BP50" s="594"/>
      <c r="BQ50" s="599"/>
      <c r="BR50" s="593"/>
      <c r="BS50" s="472"/>
      <c r="BT50" s="472"/>
      <c r="BU50" s="523"/>
      <c r="BV50" s="472"/>
      <c r="BW50" s="523"/>
      <c r="BX50" s="523"/>
      <c r="BY50" s="523"/>
      <c r="BZ50" s="601" t="str">
        <f>IFERROR(WWWW[[#This Row],['#_Water sources passed]]/WWWW[[#This Row],['#_Water sources tested for fecal coliform ]],"no test")</f>
        <v>no test</v>
      </c>
      <c r="CA50" s="599" t="str">
        <f>IFERROR(WWWW[[#This Row],['#_Household passed]]/WWWW[[#This Row],['#_Household water samples tested for fecal coliform]],"no test")</f>
        <v>no test</v>
      </c>
      <c r="CB50" s="600" t="str">
        <f>IF(AND(WWWW[[#This Row],[% of water sources passed]]="no test",WWWW[[#This Row],[% Household passed]]="no test"),"No Test","Tested")</f>
        <v>No Test</v>
      </c>
      <c r="CC50" s="600">
        <f>WWWW[[#This Row],['#_Constructed/existing protected hand dug well]]-WWWW[[#This Row],['#_Non-functional protected hand dug well]]</f>
        <v>0</v>
      </c>
      <c r="CD50" s="600">
        <f>(WWWW[[#This Row],['#_Constructed/Existing tube wells/boreholes/handpumps_WASH_agency]]+WWWW[[#This Row],['#_Non-Cluster partner water tube-wells/boreholes/handpumps]])-WWWW[[#This Row],['#_Non-functional tube wells/boreholes/handpumps]]</f>
        <v>2</v>
      </c>
      <c r="CE50" s="600">
        <f>WWWW[[#This Row],['#_Constructed/Existingwater storage tank with gravity fed reticulation system]]-WWWW[[#This Row],['#_Non-functional storage tank gravity fed reticulation system]]</f>
        <v>0</v>
      </c>
      <c r="CF50" s="478">
        <f>(WWWW[[#This Row],['#_Water_Liters_supplied_by_Water boating or water trucking]]/90)/15</f>
        <v>0</v>
      </c>
      <c r="CG50" s="478">
        <f>WWWW[[#This Row],['#_Water_Liters_from_Constructed/Existing water distribution system from river or natural spring]]/90/15</f>
        <v>0</v>
      </c>
      <c r="CH50" s="478">
        <f>WWWW[[#This Row],['#_of water points in TLS/CFS /THF]]*500</f>
        <v>0</v>
      </c>
      <c r="CI5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0" s="599">
        <f>IF(WWWW[[#This Row],[Location Type 1]]="Village",WWWW[[#This Row],[Access to safe drinking water for Village]],WWWW[[#This Row],[Access to safe drinking water for Camp]])</f>
        <v>1</v>
      </c>
      <c r="CL50" s="597">
        <f>WWWW[[#This Row],[%Equitable and continuous access to sufficient quantity of safe drinking water]]*WWWW[[#This Row],[Total PoP ]]</f>
        <v>219</v>
      </c>
      <c r="CM50" s="599">
        <f>IF((WWWW[[#This Row],['#_Constructed/Existing protected/fenced ponds]]*250)/WWWW[[#This Row],[Total PoP ]]&gt;1,1,(WWWW[[#This Row],['#_Constructed/Existing protected/fenced ponds]]*250)/WWWW[[#This Row],[Total PoP ]])</f>
        <v>0</v>
      </c>
      <c r="CN50" s="597">
        <f>WWWW[[#This Row],[% Access to unimproved water points]]*WWWW[[#This Row],[Total PoP ]]</f>
        <v>0</v>
      </c>
      <c r="CO5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Q50" s="597">
        <f>WWWW[[#This Row],[HRP1]]/500</f>
        <v>0.438</v>
      </c>
      <c r="CR50" s="602">
        <f>1-WWWW[[#This Row],[% Equitable and continuous access to sufficient quantity of domestic water]]</f>
        <v>0</v>
      </c>
      <c r="CS50" s="597">
        <f>WWWW[[#This Row],[%equitable and continuous access to sufficient quantity of safe drinking and domestic water''s GAP]]*WWWW[[#This Row],[Total PoP ]]</f>
        <v>0</v>
      </c>
      <c r="CT50" s="600">
        <f>IF(WWWW[[#This Row],[Total required water points]]-WWWW[[#This Row],['#Water points coverage]]&lt;0,0,WWWW[[#This Row],[Total required water points]]-WWWW[[#This Row],['#Water points coverage]])</f>
        <v>0.56200000000000006</v>
      </c>
      <c r="CU50" s="600">
        <f>ROUND(IF(WWWW[[#This Row],[Total PoP ]]&lt;500,1,WWWW[[#This Row],[Total PoP ]]/500),0)</f>
        <v>1</v>
      </c>
      <c r="CV50" s="600">
        <f>(WWWW[[#This Row],['#_Constructed latrines_by_WASHAgencies]]+WWWW[[#This Row],['#_Non Cluster partner latrines]])-WWWW[[#This Row],['#_Non-functional latrines]]</f>
        <v>13</v>
      </c>
      <c r="CW50" s="70">
        <f>WWWW[[#This Row],[HRP2]]/WWWW[[#This Row],[Total PoP ]]</f>
        <v>1</v>
      </c>
      <c r="CX5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CY5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 s="600">
        <f>IF(WWWW[[#This Row],['# of functional latrines in THF supported by WASH partners during the reporting period2]]="",0,WWWW[[#This Row],['# of functional latrines in THF supported by WASH partners during the reporting period2]]*50)</f>
        <v>0</v>
      </c>
      <c r="DB50" s="600">
        <f>WWWW[[#This Row],['# students access to functioning school latrines_HRP5]]+WWWW[[#This Row],['# People access to functioning latrines in THF_HRP5]]</f>
        <v>0</v>
      </c>
      <c r="DC50" s="600">
        <f>ROUND(IF(WWWW[[#This Row],[Location Type 1]]="camp",WWWW[[#This Row],[Total PoP ]]/20,IF(WWWW[[#This Row],[Location Type 1]]="Temporary Location",WWWW[[#This Row],[Total PoP ]]/50,WWWW[[#This Row],[Total HH]])),0)</f>
        <v>11</v>
      </c>
      <c r="DD50" s="600">
        <f>IF(WWWW[[#This Row],[Total required Latrines]]-(WWWW[[#This Row],['#_Constructed latrines_by_WASHAgencies]]+WWWW[[#This Row],['#_Non Cluster partner latrines]])&lt;0,0,WWWW[[#This Row],[Total required Latrines]]-(WWWW[[#This Row],['#_Constructed latrines_by_WASHAgencies]]+WWWW[[#This Row],['#_Non Cluster partner latrines]]))</f>
        <v>0</v>
      </c>
      <c r="DE50" s="602">
        <f>1-WWWW[[#This Row],[% people access to functioning Latrine]]</f>
        <v>0</v>
      </c>
      <c r="DF50" s="601">
        <f>IF(OR(WWWW[[#This Row],['#_Non-functional latrines]]="",WWWW[[#This Row],['#_Non-functional latrines]]=0),0,WWWW[[#This Row],['#_Non-functional latrines]]/(WWWW[[#This Row],['#_Constructed latrines_by_WASHAgencies]]+WWWW[[#This Row],['#_Non Cluster partner latrines]]))</f>
        <v>0</v>
      </c>
      <c r="DG50" s="597">
        <f>IF(500*(WWWW[[#This Row],['#_male hygiene promoters]]+WWWW[[#This Row],['#_female hygiene promoters]])&gt;WWWW[[#This Row],[Total PoP ]],WWWW[[#This Row],[Total PoP ]],500*(WWWW[[#This Row],['#_male hygiene promoters]]+WWWW[[#This Row],['#_female hygiene promoters]]))</f>
        <v>219</v>
      </c>
      <c r="DH5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 s="600">
        <f>IF(WWWW[[#This Row],['# People with access to soap]]&gt;WWWW[[#This Row],['# People with access to Sanity Pads]],WWWW[[#This Row],['# People with access to soap]],WWWW[[#This Row],['# People with access to Sanity Pads]])</f>
        <v>0</v>
      </c>
      <c r="DK50" s="600">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L50" s="602">
        <f>IF(WWWW[[#This Row],[HRP3]]/WWWW[[#This Row],[Total PoP ]]&gt;1,1,WWWW[[#This Row],[HRP3]]/WWWW[[#This Row],[Total PoP ]])</f>
        <v>1</v>
      </c>
      <c r="DM50" s="601">
        <f>1-WWWW[[#This Row],[Hygiene Coverage%]]</f>
        <v>0</v>
      </c>
      <c r="DN50" s="599">
        <f>WWWW[[#This Row],['# people reached by regular dedicated hygiene promotion_5]]/WWWW[[#This Row],[Total PoP ]]</f>
        <v>1</v>
      </c>
      <c r="DO5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 s="600">
        <f>WWWW[[#This Row],['#_Constructed/Existing hand washing stations]]-WWWW[[#This Row],['#_Non-Functional_hand_washing_stations]]</f>
        <v>2</v>
      </c>
      <c r="DR50" s="597">
        <f>IF(WWWW[[#This Row],['# Functional hand washing stations during reporting period]]*20&gt;WWWW[[#This Row],[Total HH]],WWWW[[#This Row],[Total HH]],WWWW[[#This Row],['# Functional hand washing stations during reporting period]]*20)</f>
        <v>40</v>
      </c>
      <c r="DS50" s="597">
        <f>IF(WWWW[[#This Row],[Is sufficient soap available for TLS? (Yes/No)]]="yes",WWWW[[#This Row],['#_Constructed/Existing hand washing stations at TLS]],0)</f>
        <v>0</v>
      </c>
      <c r="DT50" s="479">
        <f>IF(WWWW[[#This Row],['# Functional hand washing stations during reporting period]]*100&gt;WWWW[[#This Row],[Total PoP ]],WWWW[[#This Row],[Total PoP ]],WWWW[[#This Row],['# Functional hand washing stations during reporting period]]*100)</f>
        <v>200</v>
      </c>
      <c r="DU50" s="479" t="str">
        <f>IF(OR(WWWW[[#This Row],['#_students at TLS_CFS]]="",WWWW[[#This Row],['#_students at TLS_CFS]]=0),"No","Yes")</f>
        <v>No</v>
      </c>
      <c r="DV5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 s="593" t="str">
        <f>VLOOKUP(WWWW[[#This Row],[Site Name]],SiteDB6[[Site Name]:[CCCM Management]],6,FALSE)</f>
        <v>Yes</v>
      </c>
      <c r="DZ50" s="593" t="str">
        <f>VLOOKUP(WWWW[[#This Row],[Site Name]],SiteDB6[[Site Name]:[CCCM Focal Agency]],7,FALSE)</f>
        <v>KBC-MYT</v>
      </c>
      <c r="EA50" s="593" t="str">
        <f>VLOOKUP(WWWW[[#This Row],[Site Name]],SiteDB6[[Site Name]:[Location Type 1]],9,FALSE)</f>
        <v>Camp</v>
      </c>
      <c r="EB50" s="593" t="str">
        <f>VLOOKUP(WWWW[[#This Row],[Site Name]],SiteDB6[[Site Name]:[Type of Accommodation]],10,FALSE)</f>
        <v>Camp</v>
      </c>
      <c r="EC50" s="593" t="str">
        <f>VLOOKUP(WWWW[[#This Row],[Site Name]],SiteDB6[[Site Name]:[Ethnic or GCA/NGCA]],11,FALSE)</f>
        <v>GCA</v>
      </c>
      <c r="ED50" s="593">
        <f>VLOOKUP(WWWW[[#This Row],[Site Name]],SiteDB6[[Site Name]:[Lat]],12,FALSE)</f>
        <v>25.437125999999999</v>
      </c>
      <c r="EE50" s="593">
        <f>VLOOKUP(WWWW[[#This Row],[Site Name]],SiteDB6[[Site Name]:[Long]],13,FALSE)</f>
        <v>97.387276</v>
      </c>
      <c r="EF50" s="593" t="str">
        <f>VLOOKUP(WWWW[[#This Row],[Site Name]],SiteDB6[[Site Name]:[Pcode]],3,FALSE)</f>
        <v>MMR001CMP005</v>
      </c>
      <c r="EG50" s="598" t="str">
        <f t="shared" si="0"/>
        <v>Covered</v>
      </c>
      <c r="EH50" s="598" t="str">
        <f>VLOOKUP(WWWW[[#This Row],[Site Name]],SiteDB6[[Site Name]:[open in cccm?]],2,FALSE)</f>
        <v>cccm_2019OCT</v>
      </c>
    </row>
    <row r="51" spans="1:138" hidden="1">
      <c r="A51" s="591" t="s">
        <v>3261</v>
      </c>
      <c r="B51" s="591" t="s">
        <v>144</v>
      </c>
      <c r="C51" s="592" t="s">
        <v>144</v>
      </c>
      <c r="D51" s="592"/>
      <c r="E51" s="592" t="s">
        <v>39</v>
      </c>
      <c r="F51" s="592" t="s">
        <v>162</v>
      </c>
      <c r="G51" s="721" t="str">
        <f>VLOOKUP(WWWW[[#This Row],[Site Name]],SiteDB6[[Site Name]:[Location Type]],8,FALSE)</f>
        <v>Camp</v>
      </c>
      <c r="H51" s="592" t="s">
        <v>2006</v>
      </c>
      <c r="I51" s="594">
        <v>18</v>
      </c>
      <c r="J51" s="594">
        <v>87</v>
      </c>
      <c r="K51" s="595"/>
      <c r="L51" s="596"/>
      <c r="M51" s="594"/>
      <c r="N51" s="594"/>
      <c r="O51" s="594"/>
      <c r="P51" s="594"/>
      <c r="Q51" s="597" t="s">
        <v>43</v>
      </c>
      <c r="R51" s="594"/>
      <c r="S51" s="594"/>
      <c r="T51" s="523">
        <v>0</v>
      </c>
      <c r="U51" s="594"/>
      <c r="V51" s="594"/>
      <c r="W51" s="594">
        <v>0</v>
      </c>
      <c r="X51" s="594"/>
      <c r="Y51" s="594"/>
      <c r="Z51" s="594"/>
      <c r="AA51" s="594">
        <v>1</v>
      </c>
      <c r="AB51" s="594"/>
      <c r="AC51" s="594"/>
      <c r="AD51" s="594"/>
      <c r="AE51" s="594"/>
      <c r="AF51" s="594"/>
      <c r="AG51" s="594"/>
      <c r="AH51" s="594">
        <v>0</v>
      </c>
      <c r="AI51" s="594"/>
      <c r="AJ51" s="594"/>
      <c r="AK51" s="594"/>
      <c r="AL51" s="594"/>
      <c r="AM51" s="594"/>
      <c r="AN51" s="594"/>
      <c r="AO51" s="598"/>
      <c r="AP51" s="594">
        <v>10</v>
      </c>
      <c r="AQ51" s="594"/>
      <c r="AR51" s="599"/>
      <c r="AS51" s="594"/>
      <c r="AT51" s="594"/>
      <c r="AU51" s="594"/>
      <c r="AV51" s="594"/>
      <c r="AW51" s="594">
        <v>10</v>
      </c>
      <c r="AX51" s="593" t="s">
        <v>43</v>
      </c>
      <c r="AY51" s="598" t="s">
        <v>140</v>
      </c>
      <c r="AZ51" s="594"/>
      <c r="BA51" s="594"/>
      <c r="BB51" s="594"/>
      <c r="BC51" s="594"/>
      <c r="BD51" s="523"/>
      <c r="BE51" s="593"/>
      <c r="BF51" s="594">
        <v>2</v>
      </c>
      <c r="BG51" s="594"/>
      <c r="BH51" s="594"/>
      <c r="BI51" s="594">
        <v>0</v>
      </c>
      <c r="BJ51" s="594"/>
      <c r="BK51" s="594"/>
      <c r="BL51" s="594"/>
      <c r="BM51" s="594"/>
      <c r="BN51" s="594"/>
      <c r="BO51" s="593"/>
      <c r="BP51" s="594"/>
      <c r="BQ51" s="599"/>
      <c r="BR51" s="593"/>
      <c r="BS51" s="472"/>
      <c r="BT51" s="472"/>
      <c r="BU51" s="523"/>
      <c r="BV51" s="472"/>
      <c r="BW51" s="523"/>
      <c r="BX51" s="523"/>
      <c r="BY51" s="523"/>
      <c r="BZ51" s="601" t="str">
        <f>IFERROR(WWWW[[#This Row],['#_Water sources passed]]/WWWW[[#This Row],['#_Water sources tested for fecal coliform ]],"no test")</f>
        <v>no test</v>
      </c>
      <c r="CA51" s="599" t="str">
        <f>IFERROR(WWWW[[#This Row],['#_Household passed]]/WWWW[[#This Row],['#_Household water samples tested for fecal coliform]],"no test")</f>
        <v>no test</v>
      </c>
      <c r="CB51" s="600" t="str">
        <f>IF(AND(WWWW[[#This Row],[% of water sources passed]]="no test",WWWW[[#This Row],[% Household passed]]="no test"),"No Test","Tested")</f>
        <v>No Test</v>
      </c>
      <c r="CC51" s="600">
        <f>WWWW[[#This Row],['#_Constructed/existing protected hand dug well]]-WWWW[[#This Row],['#_Non-functional protected hand dug well]]</f>
        <v>0</v>
      </c>
      <c r="CD51" s="600">
        <f>(WWWW[[#This Row],['#_Constructed/Existing tube wells/boreholes/handpumps_WASH_agency]]+WWWW[[#This Row],['#_Non-Cluster partner water tube-wells/boreholes/handpumps]])-WWWW[[#This Row],['#_Non-functional tube wells/boreholes/handpumps]]</f>
        <v>0</v>
      </c>
      <c r="CE51" s="600">
        <f>WWWW[[#This Row],['#_Constructed/Existingwater storage tank with gravity fed reticulation system]]-WWWW[[#This Row],['#_Non-functional storage tank gravity fed reticulation system]]</f>
        <v>1</v>
      </c>
      <c r="CF51" s="478">
        <f>(WWWW[[#This Row],['#_Water_Liters_supplied_by_Water boating or water trucking]]/90)/15</f>
        <v>0</v>
      </c>
      <c r="CG51" s="478">
        <f>WWWW[[#This Row],['#_Water_Liters_from_Constructed/Existing water distribution system from river or natural spring]]/90/15</f>
        <v>0</v>
      </c>
      <c r="CH51" s="478">
        <f>WWWW[[#This Row],['#_of water points in TLS/CFS /THF]]*500</f>
        <v>0</v>
      </c>
      <c r="CI5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0.76628352490421459</v>
      </c>
      <c r="CJ5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0.76628352490421459</v>
      </c>
      <c r="CK51" s="599">
        <f>IF(WWWW[[#This Row],[Location Type 1]]="Village",WWWW[[#This Row],[Access to safe drinking water for Village]],WWWW[[#This Row],[Access to safe drinking water for Camp]])</f>
        <v>0.76628352490421459</v>
      </c>
      <c r="CL51" s="597">
        <f>WWWW[[#This Row],[%Equitable and continuous access to sufficient quantity of safe drinking water]]*WWWW[[#This Row],[Total PoP ]]</f>
        <v>66.666666666666671</v>
      </c>
      <c r="CM51" s="599">
        <f>IF((WWWW[[#This Row],['#_Constructed/Existing protected/fenced ponds]]*250)/WWWW[[#This Row],[Total PoP ]]&gt;1,1,(WWWW[[#This Row],['#_Constructed/Existing protected/fenced ponds]]*250)/WWWW[[#This Row],[Total PoP ]])</f>
        <v>0</v>
      </c>
      <c r="CN51" s="597">
        <f>WWWW[[#This Row],[% Access to unimproved water points]]*WWWW[[#This Row],[Total PoP ]]</f>
        <v>0</v>
      </c>
      <c r="CO5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P5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1" s="597">
        <f>WWWW[[#This Row],[HRP1]]/500</f>
        <v>0.13333333333333333</v>
      </c>
      <c r="CR51" s="602">
        <f>1-WWWW[[#This Row],[% Equitable and continuous access to sufficient quantity of domestic water]]</f>
        <v>0.23371647509578541</v>
      </c>
      <c r="CS51" s="597">
        <f>WWWW[[#This Row],[%equitable and continuous access to sufficient quantity of safe drinking and domestic water''s GAP]]*WWWW[[#This Row],[Total PoP ]]</f>
        <v>20.333333333333332</v>
      </c>
      <c r="CT51" s="600">
        <f>IF(WWWW[[#This Row],[Total required water points]]-WWWW[[#This Row],['#Water points coverage]]&lt;0,0,WWWW[[#This Row],[Total required water points]]-WWWW[[#This Row],['#Water points coverage]])</f>
        <v>0.8666666666666667</v>
      </c>
      <c r="CU51" s="600">
        <f>ROUND(IF(WWWW[[#This Row],[Total PoP ]]&lt;500,1,WWWW[[#This Row],[Total PoP ]]/500),0)</f>
        <v>1</v>
      </c>
      <c r="CV51" s="600">
        <f>(WWWW[[#This Row],['#_Constructed latrines_by_WASHAgencies]]+WWWW[[#This Row],['#_Non Cluster partner latrines]])-WWWW[[#This Row],['#_Non-functional latrines]]</f>
        <v>10</v>
      </c>
      <c r="CW51" s="70">
        <f>WWWW[[#This Row],[HRP2]]/WWWW[[#This Row],[Total PoP ]]</f>
        <v>1</v>
      </c>
      <c r="CX5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v>
      </c>
      <c r="CY5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 s="600">
        <f>IF(WWWW[[#This Row],['# of functional latrines in THF supported by WASH partners during the reporting period2]]="",0,WWWW[[#This Row],['# of functional latrines in THF supported by WASH partners during the reporting period2]]*50)</f>
        <v>0</v>
      </c>
      <c r="DB51" s="600">
        <f>WWWW[[#This Row],['# students access to functioning school latrines_HRP5]]+WWWW[[#This Row],['# People access to functioning latrines in THF_HRP5]]</f>
        <v>0</v>
      </c>
      <c r="DC51" s="600">
        <f>ROUND(IF(WWWW[[#This Row],[Location Type 1]]="camp",WWWW[[#This Row],[Total PoP ]]/20,IF(WWWW[[#This Row],[Location Type 1]]="Temporary Location",WWWW[[#This Row],[Total PoP ]]/50,WWWW[[#This Row],[Total HH]])),0)</f>
        <v>4</v>
      </c>
      <c r="DD51" s="600">
        <f>IF(WWWW[[#This Row],[Total required Latrines]]-(WWWW[[#This Row],['#_Constructed latrines_by_WASHAgencies]]+WWWW[[#This Row],['#_Non Cluster partner latrines]])&lt;0,0,WWWW[[#This Row],[Total required Latrines]]-(WWWW[[#This Row],['#_Constructed latrines_by_WASHAgencies]]+WWWW[[#This Row],['#_Non Cluster partner latrines]]))</f>
        <v>0</v>
      </c>
      <c r="DE51" s="602">
        <f>1-WWWW[[#This Row],[% people access to functioning Latrine]]</f>
        <v>0</v>
      </c>
      <c r="DF51" s="601">
        <f>IF(OR(WWWW[[#This Row],['#_Non-functional latrines]]="",WWWW[[#This Row],['#_Non-functional latrines]]=0),0,WWWW[[#This Row],['#_Non-functional latrines]]/(WWWW[[#This Row],['#_Constructed latrines_by_WASHAgencies]]+WWWW[[#This Row],['#_Non Cluster partner latrines]]))</f>
        <v>0</v>
      </c>
      <c r="DG51" s="597">
        <f>IF(500*(WWWW[[#This Row],['#_male hygiene promoters]]+WWWW[[#This Row],['#_female hygiene promoters]])&gt;WWWW[[#This Row],[Total PoP ]],WWWW[[#This Row],[Total PoP ]],500*(WWWW[[#This Row],['#_male hygiene promoters]]+WWWW[[#This Row],['#_female hygiene promoters]]))</f>
        <v>0</v>
      </c>
      <c r="DH5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 s="600">
        <f>IF(WWWW[[#This Row],['# People with access to soap]]&gt;WWWW[[#This Row],['# People with access to Sanity Pads]],WWWW[[#This Row],['# People with access to soap]],WWWW[[#This Row],['# People with access to Sanity Pads]])</f>
        <v>0</v>
      </c>
      <c r="DK5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1" s="602">
        <f>IF(WWWW[[#This Row],[HRP3]]/WWWW[[#This Row],[Total PoP ]]&gt;1,1,WWWW[[#This Row],[HRP3]]/WWWW[[#This Row],[Total PoP ]])</f>
        <v>0</v>
      </c>
      <c r="DM51" s="601">
        <f>1-WWWW[[#This Row],[Hygiene Coverage%]]</f>
        <v>1</v>
      </c>
      <c r="DN51" s="599">
        <f>WWWW[[#This Row],['# people reached by regular dedicated hygiene promotion_5]]/WWWW[[#This Row],[Total PoP ]]</f>
        <v>0</v>
      </c>
      <c r="DO5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 s="600">
        <f>WWWW[[#This Row],['#_Constructed/Existing hand washing stations]]-WWWW[[#This Row],['#_Non-Functional_hand_washing_stations]]</f>
        <v>2</v>
      </c>
      <c r="DR51" s="597">
        <f>IF(WWWW[[#This Row],['# Functional hand washing stations during reporting period]]*20&gt;WWWW[[#This Row],[Total HH]],WWWW[[#This Row],[Total HH]],WWWW[[#This Row],['# Functional hand washing stations during reporting period]]*20)</f>
        <v>18</v>
      </c>
      <c r="DS51" s="597">
        <f>IF(WWWW[[#This Row],[Is sufficient soap available for TLS? (Yes/No)]]="yes",WWWW[[#This Row],['#_Constructed/Existing hand washing stations at TLS]],0)</f>
        <v>0</v>
      </c>
      <c r="DT51" s="479">
        <f>IF(WWWW[[#This Row],['# Functional hand washing stations during reporting period]]*100&gt;WWWW[[#This Row],[Total PoP ]],WWWW[[#This Row],[Total PoP ]],WWWW[[#This Row],['# Functional hand washing stations during reporting period]]*100)</f>
        <v>87</v>
      </c>
      <c r="DU51" s="479" t="str">
        <f>IF(OR(WWWW[[#This Row],['#_students at TLS_CFS]]="",WWWW[[#This Row],['#_students at TLS_CFS]]=0),"No","Yes")</f>
        <v>No</v>
      </c>
      <c r="DV5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 s="593">
        <f>VLOOKUP(WWWW[[#This Row],[Site Name]],SiteDB6[[Site Name]:[CCCM Management]],6,FALSE)</f>
        <v>0</v>
      </c>
      <c r="DZ51" s="593" t="str">
        <f>VLOOKUP(WWWW[[#This Row],[Site Name]],SiteDB6[[Site Name]:[CCCM Focal Agency]],7,FALSE)</f>
        <v>uncovered</v>
      </c>
      <c r="EA51" s="593" t="str">
        <f>VLOOKUP(WWWW[[#This Row],[Site Name]],SiteDB6[[Site Name]:[Location Type 1]],9,FALSE)</f>
        <v>Camp</v>
      </c>
      <c r="EB51" s="593" t="str">
        <f>VLOOKUP(WWWW[[#This Row],[Site Name]],SiteDB6[[Site Name]:[Type of Accommodation]],10,FALSE)</f>
        <v>Camp like setting</v>
      </c>
      <c r="EC51" s="593" t="str">
        <f>VLOOKUP(WWWW[[#This Row],[Site Name]],SiteDB6[[Site Name]:[Ethnic or GCA/NGCA]],11,FALSE)</f>
        <v>GCA</v>
      </c>
      <c r="ED51" s="593">
        <f>VLOOKUP(WWWW[[#This Row],[Site Name]],SiteDB6[[Site Name]:[Lat]],12,FALSE)</f>
        <v>0</v>
      </c>
      <c r="EE51" s="593">
        <f>VLOOKUP(WWWW[[#This Row],[Site Name]],SiteDB6[[Site Name]:[Long]],13,FALSE)</f>
        <v>0</v>
      </c>
      <c r="EF51" s="593" t="str">
        <f>VLOOKUP(WWWW[[#This Row],[Site Name]],SiteDB6[[Site Name]:[Pcode]],3,FALSE)</f>
        <v>MMR001CMP267</v>
      </c>
      <c r="EG51" s="598" t="str">
        <f t="shared" si="0"/>
        <v>Covered</v>
      </c>
      <c r="EH51" s="598" t="str">
        <f>VLOOKUP(WWWW[[#This Row],[Site Name]],SiteDB6[[Site Name]:[open in cccm?]],2,FALSE)</f>
        <v>cccm_2019OCT</v>
      </c>
    </row>
    <row r="52" spans="1:138" hidden="1">
      <c r="A52" s="591" t="s">
        <v>3261</v>
      </c>
      <c r="B52" s="591" t="s">
        <v>144</v>
      </c>
      <c r="C52" s="592" t="s">
        <v>144</v>
      </c>
      <c r="D52" s="404" t="s">
        <v>3277</v>
      </c>
      <c r="E52" s="592" t="s">
        <v>39</v>
      </c>
      <c r="F52" s="592" t="s">
        <v>162</v>
      </c>
      <c r="G52" s="721" t="str">
        <f>VLOOKUP(WWWW[[#This Row],[Site Name]],SiteDB6[[Site Name]:[Location Type]],8,FALSE)</f>
        <v>Camp</v>
      </c>
      <c r="H52" s="592" t="s">
        <v>2176</v>
      </c>
      <c r="I52" s="594">
        <v>169</v>
      </c>
      <c r="J52" s="594">
        <v>724</v>
      </c>
      <c r="K52" s="717" t="s">
        <v>3278</v>
      </c>
      <c r="L52" s="718" t="s">
        <v>3279</v>
      </c>
      <c r="M52" s="594"/>
      <c r="N52" s="594"/>
      <c r="O52" s="594"/>
      <c r="P52" s="594"/>
      <c r="Q52" s="597" t="s">
        <v>43</v>
      </c>
      <c r="R52" s="594"/>
      <c r="S52" s="594">
        <v>5</v>
      </c>
      <c r="T52" s="523">
        <v>1</v>
      </c>
      <c r="U52" s="594">
        <v>1</v>
      </c>
      <c r="V52" s="594"/>
      <c r="W52" s="594">
        <v>1</v>
      </c>
      <c r="X52" s="594"/>
      <c r="Y52" s="594">
        <v>1</v>
      </c>
      <c r="Z52" s="594"/>
      <c r="AA52" s="594"/>
      <c r="AB52" s="594"/>
      <c r="AC52" s="594"/>
      <c r="AD52" s="720">
        <f>1700*6</f>
        <v>10200</v>
      </c>
      <c r="AE52" s="594"/>
      <c r="AF52" s="594"/>
      <c r="AG52" s="594"/>
      <c r="AH52" s="594">
        <v>4</v>
      </c>
      <c r="AI52" s="594"/>
      <c r="AJ52" s="594"/>
      <c r="AK52" s="594"/>
      <c r="AL52" s="594"/>
      <c r="AM52" s="594"/>
      <c r="AN52" s="594"/>
      <c r="AO52" s="598"/>
      <c r="AP52" s="594">
        <v>28</v>
      </c>
      <c r="AQ52" s="594"/>
      <c r="AR52" s="599"/>
      <c r="AS52" s="594"/>
      <c r="AT52" s="594"/>
      <c r="AU52" s="594"/>
      <c r="AV52" s="594"/>
      <c r="AW52" s="594">
        <v>10</v>
      </c>
      <c r="AX52" s="593" t="s">
        <v>43</v>
      </c>
      <c r="AY52" s="598" t="s">
        <v>140</v>
      </c>
      <c r="AZ52" s="594"/>
      <c r="BA52" s="594"/>
      <c r="BB52" s="594"/>
      <c r="BC52" s="594"/>
      <c r="BD52" s="523"/>
      <c r="BE52" s="593"/>
      <c r="BF52" s="594">
        <v>2</v>
      </c>
      <c r="BG52" s="594"/>
      <c r="BH52" s="594"/>
      <c r="BI52" s="594">
        <v>0</v>
      </c>
      <c r="BJ52" s="594"/>
      <c r="BK52" s="594"/>
      <c r="BL52" s="594">
        <v>2</v>
      </c>
      <c r="BM52" s="594"/>
      <c r="BN52" s="594"/>
      <c r="BO52" s="593"/>
      <c r="BP52" s="594"/>
      <c r="BQ52" s="599"/>
      <c r="BR52" s="593"/>
      <c r="BS52" s="472"/>
      <c r="BT52" s="472"/>
      <c r="BU52" s="523"/>
      <c r="BV52" s="472"/>
      <c r="BW52" s="523"/>
      <c r="BX52" s="523"/>
      <c r="BY52" s="523"/>
      <c r="BZ52" s="601" t="str">
        <f>IFERROR(WWWW[[#This Row],['#_Water sources passed]]/WWWW[[#This Row],['#_Water sources tested for fecal coliform ]],"no test")</f>
        <v>no test</v>
      </c>
      <c r="CA52" s="599" t="str">
        <f>IFERROR(WWWW[[#This Row],['#_Household passed]]/WWWW[[#This Row],['#_Household water samples tested for fecal coliform]],"no test")</f>
        <v>no test</v>
      </c>
      <c r="CB52" s="600" t="str">
        <f>IF(AND(WWWW[[#This Row],[% of water sources passed]]="no test",WWWW[[#This Row],[% Household passed]]="no test"),"No Test","Tested")</f>
        <v>No Test</v>
      </c>
      <c r="CC52" s="600">
        <f>WWWW[[#This Row],['#_Constructed/existing protected hand dug well]]-WWWW[[#This Row],['#_Non-functional protected hand dug well]]</f>
        <v>0</v>
      </c>
      <c r="CD52" s="600">
        <f>(WWWW[[#This Row],['#_Constructed/Existing tube wells/boreholes/handpumps_WASH_agency]]+WWWW[[#This Row],['#_Non-Cluster partner water tube-wells/boreholes/handpumps]])-WWWW[[#This Row],['#_Non-functional tube wells/boreholes/handpumps]]</f>
        <v>0</v>
      </c>
      <c r="CE52" s="600">
        <f>WWWW[[#This Row],['#_Constructed/Existingwater storage tank with gravity fed reticulation system]]-WWWW[[#This Row],['#_Non-functional storage tank gravity fed reticulation system]]</f>
        <v>0</v>
      </c>
      <c r="CF52" s="478">
        <f>(WWWW[[#This Row],['#_Water_Liters_supplied_by_Water boating or water trucking]]/90)/15</f>
        <v>7.5555555555555554</v>
      </c>
      <c r="CG52" s="478">
        <f>WWWW[[#This Row],['#_Water_Liters_from_Constructed/Existing water distribution system from river or natural spring]]/90/15</f>
        <v>0</v>
      </c>
      <c r="CH52" s="478">
        <f>WWWW[[#This Row],['#_of water points in TLS/CFS /THF]]*500</f>
        <v>0</v>
      </c>
      <c r="CI5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1.0435850214855739E-2</v>
      </c>
      <c r="CJ5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1.0435850214855739E-2</v>
      </c>
      <c r="CK52" s="599">
        <f>IF(WWWW[[#This Row],[Location Type 1]]="Village",WWWW[[#This Row],[Access to safe drinking water for Village]],WWWW[[#This Row],[Access to safe drinking water for Camp]])</f>
        <v>1.0435850214855739E-2</v>
      </c>
      <c r="CL52" s="597">
        <f>WWWW[[#This Row],[%Equitable and continuous access to sufficient quantity of safe drinking water]]*WWWW[[#This Row],[Total PoP ]]</f>
        <v>7.5555555555555554</v>
      </c>
      <c r="CM52" s="599">
        <f>IF((WWWW[[#This Row],['#_Constructed/Existing protected/fenced ponds]]*250)/WWWW[[#This Row],[Total PoP ]]&gt;1,1,(WWWW[[#This Row],['#_Constructed/Existing protected/fenced ponds]]*250)/WWWW[[#This Row],[Total PoP ]])</f>
        <v>0</v>
      </c>
      <c r="CN52" s="597">
        <f>WWWW[[#This Row],[% Access to unimproved water points]]*WWWW[[#This Row],[Total PoP ]]</f>
        <v>0</v>
      </c>
      <c r="CO5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1.0435850214855739E-2</v>
      </c>
      <c r="CP5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7.5555555555555554</v>
      </c>
      <c r="CQ52" s="597">
        <f>WWWW[[#This Row],[HRP1]]/500</f>
        <v>1.511111111111111E-2</v>
      </c>
      <c r="CR52" s="602">
        <f>1-WWWW[[#This Row],[% Equitable and continuous access to sufficient quantity of domestic water]]</f>
        <v>0.98956414978514429</v>
      </c>
      <c r="CS52" s="597">
        <f>WWWW[[#This Row],[%equitable and continuous access to sufficient quantity of safe drinking and domestic water''s GAP]]*WWWW[[#This Row],[Total PoP ]]</f>
        <v>716.44444444444446</v>
      </c>
      <c r="CT52" s="600">
        <f>IF(WWWW[[#This Row],[Total required water points]]-WWWW[[#This Row],['#Water points coverage]]&lt;0,0,WWWW[[#This Row],[Total required water points]]-WWWW[[#This Row],['#Water points coverage]])</f>
        <v>0.98488888888888892</v>
      </c>
      <c r="CU52" s="600">
        <f>ROUND(IF(WWWW[[#This Row],[Total PoP ]]&lt;500,1,WWWW[[#This Row],[Total PoP ]]/500),0)</f>
        <v>1</v>
      </c>
      <c r="CV52" s="600">
        <f>(WWWW[[#This Row],['#_Constructed latrines_by_WASHAgencies]]+WWWW[[#This Row],['#_Non Cluster partner latrines]])-WWWW[[#This Row],['#_Non-functional latrines]]</f>
        <v>28</v>
      </c>
      <c r="CW52" s="70">
        <f>WWWW[[#This Row],[HRP2]]/WWWW[[#This Row],[Total PoP ]]</f>
        <v>0.77348066298342544</v>
      </c>
      <c r="CX5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 s="600">
        <f>IF(WWWW[[#This Row],['# of functional latrines in THF supported by WASH partners during the reporting period2]]="",0,WWWW[[#This Row],['# of functional latrines in THF supported by WASH partners during the reporting period2]]*50)</f>
        <v>0</v>
      </c>
      <c r="DB52" s="600">
        <f>WWWW[[#This Row],['# students access to functioning school latrines_HRP5]]+WWWW[[#This Row],['# People access to functioning latrines in THF_HRP5]]</f>
        <v>0</v>
      </c>
      <c r="DC52" s="600">
        <f>ROUND(IF(WWWW[[#This Row],[Location Type 1]]="camp",WWWW[[#This Row],[Total PoP ]]/20,IF(WWWW[[#This Row],[Location Type 1]]="Temporary Location",WWWW[[#This Row],[Total PoP ]]/50,WWWW[[#This Row],[Total HH]])),0)</f>
        <v>36</v>
      </c>
      <c r="DD52" s="600">
        <f>IF(WWWW[[#This Row],[Total required Latrines]]-(WWWW[[#This Row],['#_Constructed latrines_by_WASHAgencies]]+WWWW[[#This Row],['#_Non Cluster partner latrines]])&lt;0,0,WWWW[[#This Row],[Total required Latrines]]-(WWWW[[#This Row],['#_Constructed latrines_by_WASHAgencies]]+WWWW[[#This Row],['#_Non Cluster partner latrines]]))</f>
        <v>8</v>
      </c>
      <c r="DE52" s="602">
        <f>1-WWWW[[#This Row],[% people access to functioning Latrine]]</f>
        <v>0.22651933701657456</v>
      </c>
      <c r="DF52" s="601">
        <f>IF(OR(WWWW[[#This Row],['#_Non-functional latrines]]="",WWWW[[#This Row],['#_Non-functional latrines]]=0),0,WWWW[[#This Row],['#_Non-functional latrines]]/(WWWW[[#This Row],['#_Constructed latrines_by_WASHAgencies]]+WWWW[[#This Row],['#_Non Cluster partner latrines]]))</f>
        <v>0</v>
      </c>
      <c r="DG52" s="597">
        <f>IF(500*(WWWW[[#This Row],['#_male hygiene promoters]]+WWWW[[#This Row],['#_female hygiene promoters]])&gt;WWWW[[#This Row],[Total PoP ]],WWWW[[#This Row],[Total PoP ]],500*(WWWW[[#This Row],['#_male hygiene promoters]]+WWWW[[#This Row],['#_female hygiene promoters]]))</f>
        <v>724</v>
      </c>
      <c r="DH5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 s="600">
        <f>IF(WWWW[[#This Row],['# People with access to soap]]&gt;WWWW[[#This Row],['# People with access to Sanity Pads]],WWWW[[#This Row],['# People with access to soap]],WWWW[[#This Row],['# People with access to Sanity Pads]])</f>
        <v>0</v>
      </c>
      <c r="DK52" s="600">
        <f>IF(WWWW[[#This Row],['# people reached by regular dedicated hygiene promotion_5]]&gt;WWWW[[#This Row],['# People received regular supply of hygiene items_6]],WWWW[[#This Row],['# people reached by regular dedicated hygiene promotion_5]],WWWW[[#This Row],['# People received regular supply of hygiene items_6]])</f>
        <v>724</v>
      </c>
      <c r="DL52" s="602">
        <f>IF(WWWW[[#This Row],[HRP3]]/WWWW[[#This Row],[Total PoP ]]&gt;1,1,WWWW[[#This Row],[HRP3]]/WWWW[[#This Row],[Total PoP ]])</f>
        <v>1</v>
      </c>
      <c r="DM52" s="601">
        <f>1-WWWW[[#This Row],[Hygiene Coverage%]]</f>
        <v>0</v>
      </c>
      <c r="DN52" s="599">
        <f>WWWW[[#This Row],['# people reached by regular dedicated hygiene promotion_5]]/WWWW[[#This Row],[Total PoP ]]</f>
        <v>1</v>
      </c>
      <c r="DO5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 s="600">
        <f>WWWW[[#This Row],['#_Constructed/Existing hand washing stations]]-WWWW[[#This Row],['#_Non-Functional_hand_washing_stations]]</f>
        <v>2</v>
      </c>
      <c r="DR52" s="597">
        <f>IF(WWWW[[#This Row],['# Functional hand washing stations during reporting period]]*20&gt;WWWW[[#This Row],[Total HH]],WWWW[[#This Row],[Total HH]],WWWW[[#This Row],['# Functional hand washing stations during reporting period]]*20)</f>
        <v>40</v>
      </c>
      <c r="DS52" s="597">
        <f>IF(WWWW[[#This Row],[Is sufficient soap available for TLS? (Yes/No)]]="yes",WWWW[[#This Row],['#_Constructed/Existing hand washing stations at TLS]],0)</f>
        <v>0</v>
      </c>
      <c r="DT52" s="479">
        <f>IF(WWWW[[#This Row],['# Functional hand washing stations during reporting period]]*100&gt;WWWW[[#This Row],[Total PoP ]],WWWW[[#This Row],[Total PoP ]],WWWW[[#This Row],['# Functional hand washing stations during reporting period]]*100)</f>
        <v>200</v>
      </c>
      <c r="DU52" s="479" t="str">
        <f>IF(OR(WWWW[[#This Row],['#_students at TLS_CFS]]="",WWWW[[#This Row],['#_students at TLS_CFS]]=0),"No","Yes")</f>
        <v>No</v>
      </c>
      <c r="DV5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 s="593" t="str">
        <f>VLOOKUP(WWWW[[#This Row],[Site Name]],SiteDB6[[Site Name]:[CCCM Management]],6,FALSE)</f>
        <v>Yes</v>
      </c>
      <c r="DZ52" s="593" t="str">
        <f>VLOOKUP(WWWW[[#This Row],[Site Name]],SiteDB6[[Site Name]:[CCCM Focal Agency]],7,FALSE)</f>
        <v>KBC-MYT</v>
      </c>
      <c r="EA52" s="593" t="str">
        <f>VLOOKUP(WWWW[[#This Row],[Site Name]],SiteDB6[[Site Name]:[Location Type 1]],9,FALSE)</f>
        <v>Camp</v>
      </c>
      <c r="EB52" s="593" t="str">
        <f>VLOOKUP(WWWW[[#This Row],[Site Name]],SiteDB6[[Site Name]:[Type of Accommodation]],10,FALSE)</f>
        <v>Camp</v>
      </c>
      <c r="EC52" s="593" t="str">
        <f>VLOOKUP(WWWW[[#This Row],[Site Name]],SiteDB6[[Site Name]:[Ethnic or GCA/NGCA]],11,FALSE)</f>
        <v>GCA</v>
      </c>
      <c r="ED52" s="593">
        <f>VLOOKUP(WWWW[[#This Row],[Site Name]],SiteDB6[[Site Name]:[Lat]],12,FALSE)</f>
        <v>25.480989999999998</v>
      </c>
      <c r="EE52" s="593">
        <f>VLOOKUP(WWWW[[#This Row],[Site Name]],SiteDB6[[Site Name]:[Long]],13,FALSE)</f>
        <v>97.431079999999994</v>
      </c>
      <c r="EF52" s="593" t="str">
        <f>VLOOKUP(WWWW[[#This Row],[Site Name]],SiteDB6[[Site Name]:[Pcode]],3,FALSE)</f>
        <v>MMR001CMP263</v>
      </c>
      <c r="EG52" s="598" t="str">
        <f t="shared" si="0"/>
        <v>Covered</v>
      </c>
      <c r="EH52" s="598" t="str">
        <f>VLOOKUP(WWWW[[#This Row],[Site Name]],SiteDB6[[Site Name]:[open in cccm?]],2,FALSE)</f>
        <v>cccm_2019OCT</v>
      </c>
    </row>
    <row r="53" spans="1:138" hidden="1">
      <c r="A53" s="591" t="s">
        <v>3261</v>
      </c>
      <c r="B53" s="591" t="s">
        <v>144</v>
      </c>
      <c r="C53" s="592" t="s">
        <v>144</v>
      </c>
      <c r="D53" s="404" t="s">
        <v>3277</v>
      </c>
      <c r="E53" s="592" t="s">
        <v>39</v>
      </c>
      <c r="F53" s="592" t="s">
        <v>145</v>
      </c>
      <c r="G53" s="721" t="str">
        <f>VLOOKUP(WWWW[[#This Row],[Site Name]],SiteDB6[[Site Name]:[Location Type]],8,FALSE)</f>
        <v>Camp</v>
      </c>
      <c r="H53" s="592" t="s">
        <v>2173</v>
      </c>
      <c r="I53" s="594">
        <v>79</v>
      </c>
      <c r="J53" s="594">
        <v>356</v>
      </c>
      <c r="K53" s="717" t="s">
        <v>3278</v>
      </c>
      <c r="L53" s="718" t="s">
        <v>3279</v>
      </c>
      <c r="M53" s="594"/>
      <c r="N53" s="594"/>
      <c r="O53" s="594"/>
      <c r="P53" s="594"/>
      <c r="Q53" s="597" t="s">
        <v>43</v>
      </c>
      <c r="R53" s="594"/>
      <c r="S53" s="594"/>
      <c r="T53" s="523">
        <v>0</v>
      </c>
      <c r="U53" s="594"/>
      <c r="V53" s="594"/>
      <c r="W53" s="594">
        <v>1</v>
      </c>
      <c r="X53" s="594"/>
      <c r="Y53" s="594"/>
      <c r="Z53" s="594"/>
      <c r="AA53" s="594"/>
      <c r="AB53" s="594"/>
      <c r="AC53" s="594"/>
      <c r="AD53" s="594"/>
      <c r="AE53" s="594"/>
      <c r="AF53" s="594"/>
      <c r="AG53" s="594"/>
      <c r="AH53" s="594">
        <v>3</v>
      </c>
      <c r="AI53" s="594"/>
      <c r="AJ53" s="594"/>
      <c r="AK53" s="594"/>
      <c r="AL53" s="594"/>
      <c r="AM53" s="594"/>
      <c r="AN53" s="594"/>
      <c r="AO53" s="598"/>
      <c r="AP53" s="594">
        <v>8</v>
      </c>
      <c r="AQ53" s="594"/>
      <c r="AR53" s="599"/>
      <c r="AS53" s="594"/>
      <c r="AT53" s="594"/>
      <c r="AU53" s="594"/>
      <c r="AV53" s="594"/>
      <c r="AW53" s="594">
        <v>6</v>
      </c>
      <c r="AX53" s="593" t="s">
        <v>43</v>
      </c>
      <c r="AY53" s="598" t="s">
        <v>140</v>
      </c>
      <c r="AZ53" s="594"/>
      <c r="BA53" s="594"/>
      <c r="BB53" s="594"/>
      <c r="BC53" s="594"/>
      <c r="BD53" s="523"/>
      <c r="BE53" s="593"/>
      <c r="BF53" s="594">
        <v>4</v>
      </c>
      <c r="BG53" s="594"/>
      <c r="BH53" s="594"/>
      <c r="BI53" s="594">
        <v>0</v>
      </c>
      <c r="BJ53" s="594"/>
      <c r="BK53" s="594"/>
      <c r="BL53" s="594">
        <v>1</v>
      </c>
      <c r="BM53" s="594"/>
      <c r="BN53" s="594"/>
      <c r="BO53" s="593"/>
      <c r="BP53" s="594"/>
      <c r="BQ53" s="599"/>
      <c r="BR53" s="593"/>
      <c r="BS53" s="472"/>
      <c r="BT53" s="472"/>
      <c r="BU53" s="523"/>
      <c r="BV53" s="472"/>
      <c r="BW53" s="523"/>
      <c r="BX53" s="523"/>
      <c r="BY53" s="523"/>
      <c r="BZ53" s="601" t="str">
        <f>IFERROR(WWWW[[#This Row],['#_Water sources passed]]/WWWW[[#This Row],['#_Water sources tested for fecal coliform ]],"no test")</f>
        <v>no test</v>
      </c>
      <c r="CA53" s="599" t="str">
        <f>IFERROR(WWWW[[#This Row],['#_Household passed]]/WWWW[[#This Row],['#_Household water samples tested for fecal coliform]],"no test")</f>
        <v>no test</v>
      </c>
      <c r="CB53" s="600" t="str">
        <f>IF(AND(WWWW[[#This Row],[% of water sources passed]]="no test",WWWW[[#This Row],[% Household passed]]="no test"),"No Test","Tested")</f>
        <v>No Test</v>
      </c>
      <c r="CC53" s="600">
        <f>WWWW[[#This Row],['#_Constructed/existing protected hand dug well]]-WWWW[[#This Row],['#_Non-functional protected hand dug well]]</f>
        <v>0</v>
      </c>
      <c r="CD53" s="600">
        <f>(WWWW[[#This Row],['#_Constructed/Existing tube wells/boreholes/handpumps_WASH_agency]]+WWWW[[#This Row],['#_Non-Cluster partner water tube-wells/boreholes/handpumps]])-WWWW[[#This Row],['#_Non-functional tube wells/boreholes/handpumps]]</f>
        <v>1</v>
      </c>
      <c r="CE53" s="600">
        <f>WWWW[[#This Row],['#_Constructed/Existingwater storage tank with gravity fed reticulation system]]-WWWW[[#This Row],['#_Non-functional storage tank gravity fed reticulation system]]</f>
        <v>0</v>
      </c>
      <c r="CF53" s="478">
        <f>(WWWW[[#This Row],['#_Water_Liters_supplied_by_Water boating or water trucking]]/90)/15</f>
        <v>0</v>
      </c>
      <c r="CG53" s="478">
        <f>WWWW[[#This Row],['#_Water_Liters_from_Constructed/Existing water distribution system from river or natural spring]]/90/15</f>
        <v>0</v>
      </c>
      <c r="CH53" s="478">
        <f>WWWW[[#This Row],['#_of water points in TLS/CFS /THF]]*500</f>
        <v>0</v>
      </c>
      <c r="CI5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0.702247191011236</v>
      </c>
      <c r="CK53" s="599">
        <f>IF(WWWW[[#This Row],[Location Type 1]]="Village",WWWW[[#This Row],[Access to safe drinking water for Village]],WWWW[[#This Row],[Access to safe drinking water for Camp]])</f>
        <v>1</v>
      </c>
      <c r="CL53" s="597">
        <f>WWWW[[#This Row],[%Equitable and continuous access to sufficient quantity of safe drinking water]]*WWWW[[#This Row],[Total PoP ]]</f>
        <v>356</v>
      </c>
      <c r="CM53" s="599">
        <f>IF((WWWW[[#This Row],['#_Constructed/Existing protected/fenced ponds]]*250)/WWWW[[#This Row],[Total PoP ]]&gt;1,1,(WWWW[[#This Row],['#_Constructed/Existing protected/fenced ponds]]*250)/WWWW[[#This Row],[Total PoP ]])</f>
        <v>0</v>
      </c>
      <c r="CN53" s="597">
        <f>WWWW[[#This Row],[% Access to unimproved water points]]*WWWW[[#This Row],[Total PoP ]]</f>
        <v>0</v>
      </c>
      <c r="CO5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Q53" s="597">
        <f>WWWW[[#This Row],[HRP1]]/500</f>
        <v>0.71199999999999997</v>
      </c>
      <c r="CR53" s="602">
        <f>1-WWWW[[#This Row],[% Equitable and continuous access to sufficient quantity of domestic water]]</f>
        <v>0</v>
      </c>
      <c r="CS53" s="597">
        <f>WWWW[[#This Row],[%equitable and continuous access to sufficient quantity of safe drinking and domestic water''s GAP]]*WWWW[[#This Row],[Total PoP ]]</f>
        <v>0</v>
      </c>
      <c r="CT53" s="600">
        <f>IF(WWWW[[#This Row],[Total required water points]]-WWWW[[#This Row],['#Water points coverage]]&lt;0,0,WWWW[[#This Row],[Total required water points]]-WWWW[[#This Row],['#Water points coverage]])</f>
        <v>0.28800000000000003</v>
      </c>
      <c r="CU53" s="600">
        <f>ROUND(IF(WWWW[[#This Row],[Total PoP ]]&lt;500,1,WWWW[[#This Row],[Total PoP ]]/500),0)</f>
        <v>1</v>
      </c>
      <c r="CV53" s="600">
        <f>(WWWW[[#This Row],['#_Constructed latrines_by_WASHAgencies]]+WWWW[[#This Row],['#_Non Cluster partner latrines]])-WWWW[[#This Row],['#_Non-functional latrines]]</f>
        <v>8</v>
      </c>
      <c r="CW53" s="70">
        <f>WWWW[[#This Row],[HRP2]]/WWWW[[#This Row],[Total PoP ]]</f>
        <v>0.449438202247191</v>
      </c>
      <c r="CX5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5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 s="600">
        <f>IF(WWWW[[#This Row],['# of functional latrines in THF supported by WASH partners during the reporting period2]]="",0,WWWW[[#This Row],['# of functional latrines in THF supported by WASH partners during the reporting period2]]*50)</f>
        <v>0</v>
      </c>
      <c r="DB53" s="600">
        <f>WWWW[[#This Row],['# students access to functioning school latrines_HRP5]]+WWWW[[#This Row],['# People access to functioning latrines in THF_HRP5]]</f>
        <v>0</v>
      </c>
      <c r="DC53" s="600">
        <f>ROUND(IF(WWWW[[#This Row],[Location Type 1]]="camp",WWWW[[#This Row],[Total PoP ]]/20,IF(WWWW[[#This Row],[Location Type 1]]="Temporary Location",WWWW[[#This Row],[Total PoP ]]/50,WWWW[[#This Row],[Total HH]])),0)</f>
        <v>18</v>
      </c>
      <c r="DD53" s="600">
        <f>IF(WWWW[[#This Row],[Total required Latrines]]-(WWWW[[#This Row],['#_Constructed latrines_by_WASHAgencies]]+WWWW[[#This Row],['#_Non Cluster partner latrines]])&lt;0,0,WWWW[[#This Row],[Total required Latrines]]-(WWWW[[#This Row],['#_Constructed latrines_by_WASHAgencies]]+WWWW[[#This Row],['#_Non Cluster partner latrines]]))</f>
        <v>10</v>
      </c>
      <c r="DE53" s="602">
        <f>1-WWWW[[#This Row],[% people access to functioning Latrine]]</f>
        <v>0.550561797752809</v>
      </c>
      <c r="DF53" s="601">
        <f>IF(OR(WWWW[[#This Row],['#_Non-functional latrines]]="",WWWW[[#This Row],['#_Non-functional latrines]]=0),0,WWWW[[#This Row],['#_Non-functional latrines]]/(WWWW[[#This Row],['#_Constructed latrines_by_WASHAgencies]]+WWWW[[#This Row],['#_Non Cluster partner latrines]]))</f>
        <v>0</v>
      </c>
      <c r="DG53" s="597">
        <f>IF(500*(WWWW[[#This Row],['#_male hygiene promoters]]+WWWW[[#This Row],['#_female hygiene promoters]])&gt;WWWW[[#This Row],[Total PoP ]],WWWW[[#This Row],[Total PoP ]],500*(WWWW[[#This Row],['#_male hygiene promoters]]+WWWW[[#This Row],['#_female hygiene promoters]]))</f>
        <v>356</v>
      </c>
      <c r="DH5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 s="600">
        <f>IF(WWWW[[#This Row],['# People with access to soap]]&gt;WWWW[[#This Row],['# People with access to Sanity Pads]],WWWW[[#This Row],['# People with access to soap]],WWWW[[#This Row],['# People with access to Sanity Pads]])</f>
        <v>0</v>
      </c>
      <c r="DK53" s="600">
        <f>IF(WWWW[[#This Row],['# people reached by regular dedicated hygiene promotion_5]]&gt;WWWW[[#This Row],['# People received regular supply of hygiene items_6]],WWWW[[#This Row],['# people reached by regular dedicated hygiene promotion_5]],WWWW[[#This Row],['# People received regular supply of hygiene items_6]])</f>
        <v>356</v>
      </c>
      <c r="DL53" s="602">
        <f>IF(WWWW[[#This Row],[HRP3]]/WWWW[[#This Row],[Total PoP ]]&gt;1,1,WWWW[[#This Row],[HRP3]]/WWWW[[#This Row],[Total PoP ]])</f>
        <v>1</v>
      </c>
      <c r="DM53" s="601">
        <f>1-WWWW[[#This Row],[Hygiene Coverage%]]</f>
        <v>0</v>
      </c>
      <c r="DN53" s="599">
        <f>WWWW[[#This Row],['# people reached by regular dedicated hygiene promotion_5]]/WWWW[[#This Row],[Total PoP ]]</f>
        <v>1</v>
      </c>
      <c r="DO5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 s="600">
        <f>WWWW[[#This Row],['#_Constructed/Existing hand washing stations]]-WWWW[[#This Row],['#_Non-Functional_hand_washing_stations]]</f>
        <v>4</v>
      </c>
      <c r="DR53" s="597">
        <f>IF(WWWW[[#This Row],['# Functional hand washing stations during reporting period]]*20&gt;WWWW[[#This Row],[Total HH]],WWWW[[#This Row],[Total HH]],WWWW[[#This Row],['# Functional hand washing stations during reporting period]]*20)</f>
        <v>79</v>
      </c>
      <c r="DS53" s="597">
        <f>IF(WWWW[[#This Row],[Is sufficient soap available for TLS? (Yes/No)]]="yes",WWWW[[#This Row],['#_Constructed/Existing hand washing stations at TLS]],0)</f>
        <v>0</v>
      </c>
      <c r="DT53" s="479">
        <f>IF(WWWW[[#This Row],['# Functional hand washing stations during reporting period]]*100&gt;WWWW[[#This Row],[Total PoP ]],WWWW[[#This Row],[Total PoP ]],WWWW[[#This Row],['# Functional hand washing stations during reporting period]]*100)</f>
        <v>356</v>
      </c>
      <c r="DU53" s="479" t="str">
        <f>IF(OR(WWWW[[#This Row],['#_students at TLS_CFS]]="",WWWW[[#This Row],['#_students at TLS_CFS]]=0),"No","Yes")</f>
        <v>No</v>
      </c>
      <c r="DV5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 s="593" t="str">
        <f>VLOOKUP(WWWW[[#This Row],[Site Name]],SiteDB6[[Site Name]:[CCCM Management]],6,FALSE)</f>
        <v>Yes</v>
      </c>
      <c r="DZ53" s="593" t="str">
        <f>VLOOKUP(WWWW[[#This Row],[Site Name]],SiteDB6[[Site Name]:[CCCM Focal Agency]],7,FALSE)</f>
        <v>KBC-MYT</v>
      </c>
      <c r="EA53" s="593" t="str">
        <f>VLOOKUP(WWWW[[#This Row],[Site Name]],SiteDB6[[Site Name]:[Location Type 1]],9,FALSE)</f>
        <v>Camp</v>
      </c>
      <c r="EB53" s="593" t="str">
        <f>VLOOKUP(WWWW[[#This Row],[Site Name]],SiteDB6[[Site Name]:[Type of Accommodation]],10,FALSE)</f>
        <v>Camp</v>
      </c>
      <c r="EC53" s="593" t="str">
        <f>VLOOKUP(WWWW[[#This Row],[Site Name]],SiteDB6[[Site Name]:[Ethnic or GCA/NGCA]],11,FALSE)</f>
        <v>GCA</v>
      </c>
      <c r="ED53" s="593">
        <f>VLOOKUP(WWWW[[#This Row],[Site Name]],SiteDB6[[Site Name]:[Lat]],12,FALSE)</f>
        <v>0</v>
      </c>
      <c r="EE53" s="593">
        <f>VLOOKUP(WWWW[[#This Row],[Site Name]],SiteDB6[[Site Name]:[Long]],13,FALSE)</f>
        <v>0</v>
      </c>
      <c r="EF53" s="593" t="str">
        <f>VLOOKUP(WWWW[[#This Row],[Site Name]],SiteDB6[[Site Name]:[Pcode]],3,FALSE)</f>
        <v>MMR001CMP269</v>
      </c>
      <c r="EG53" s="598" t="str">
        <f t="shared" si="0"/>
        <v>Covered</v>
      </c>
      <c r="EH53" s="598" t="str">
        <f>VLOOKUP(WWWW[[#This Row],[Site Name]],SiteDB6[[Site Name]:[open in cccm?]],2,FALSE)</f>
        <v>cccm_2019OCT</v>
      </c>
    </row>
    <row r="54" spans="1:138" hidden="1">
      <c r="A54" s="591" t="s">
        <v>3261</v>
      </c>
      <c r="B54" s="591" t="s">
        <v>144</v>
      </c>
      <c r="C54" s="592" t="s">
        <v>144</v>
      </c>
      <c r="D54" s="592"/>
      <c r="E54" s="592" t="s">
        <v>39</v>
      </c>
      <c r="F54" s="592" t="s">
        <v>217</v>
      </c>
      <c r="G54" s="721" t="str">
        <f>VLOOKUP(WWWW[[#This Row],[Site Name]],SiteDB6[[Site Name]:[Location Type]],8,FALSE)</f>
        <v>Camp_not registered</v>
      </c>
      <c r="H54" s="404" t="s">
        <v>2075</v>
      </c>
      <c r="I54" s="594">
        <v>78</v>
      </c>
      <c r="J54" s="594">
        <v>324</v>
      </c>
      <c r="K54" s="595"/>
      <c r="L54" s="596"/>
      <c r="M54" s="594">
        <v>442</v>
      </c>
      <c r="N54" s="594"/>
      <c r="O54" s="594"/>
      <c r="P54" s="594"/>
      <c r="Q54" s="597"/>
      <c r="R54" s="594"/>
      <c r="S54" s="594">
        <v>3</v>
      </c>
      <c r="T54" s="523"/>
      <c r="U54" s="594"/>
      <c r="V54" s="594"/>
      <c r="W54" s="594"/>
      <c r="X54" s="594"/>
      <c r="Y54" s="594"/>
      <c r="Z54" s="594"/>
      <c r="AA54" s="594"/>
      <c r="AB54" s="594"/>
      <c r="AC54" s="594"/>
      <c r="AD54" s="594"/>
      <c r="AE54" s="594"/>
      <c r="AF54" s="594"/>
      <c r="AG54" s="594"/>
      <c r="AH54" s="594">
        <v>0</v>
      </c>
      <c r="AI54" s="594"/>
      <c r="AJ54" s="594"/>
      <c r="AK54" s="594"/>
      <c r="AL54" s="594"/>
      <c r="AM54" s="594"/>
      <c r="AN54" s="594"/>
      <c r="AO54" s="598"/>
      <c r="AP54" s="594"/>
      <c r="AQ54" s="594"/>
      <c r="AR54" s="599"/>
      <c r="AS54" s="594"/>
      <c r="AT54" s="594"/>
      <c r="AU54" s="594"/>
      <c r="AV54" s="594"/>
      <c r="AW54" s="594"/>
      <c r="AX54" s="593" t="s">
        <v>43</v>
      </c>
      <c r="AY54" s="598" t="s">
        <v>143</v>
      </c>
      <c r="AZ54" s="594"/>
      <c r="BA54" s="594"/>
      <c r="BB54" s="594"/>
      <c r="BC54" s="594"/>
      <c r="BD54" s="523"/>
      <c r="BE54" s="593"/>
      <c r="BF54" s="594"/>
      <c r="BG54" s="594"/>
      <c r="BH54" s="594"/>
      <c r="BI54" s="594">
        <v>0</v>
      </c>
      <c r="BJ54" s="594"/>
      <c r="BK54" s="594"/>
      <c r="BL54" s="594"/>
      <c r="BM54" s="594"/>
      <c r="BN54" s="594"/>
      <c r="BO54" s="593"/>
      <c r="BP54" s="594"/>
      <c r="BQ54" s="599"/>
      <c r="BR54" s="593"/>
      <c r="BS54" s="472"/>
      <c r="BT54" s="472"/>
      <c r="BU54" s="523"/>
      <c r="BV54" s="472"/>
      <c r="BW54" s="523"/>
      <c r="BX54" s="523"/>
      <c r="BY54" s="523"/>
      <c r="BZ54" s="601" t="str">
        <f>IFERROR(WWWW[[#This Row],['#_Water sources passed]]/WWWW[[#This Row],['#_Water sources tested for fecal coliform ]],"no test")</f>
        <v>no test</v>
      </c>
      <c r="CA54" s="599" t="str">
        <f>IFERROR(WWWW[[#This Row],['#_Household passed]]/WWWW[[#This Row],['#_Household water samples tested for fecal coliform]],"no test")</f>
        <v>no test</v>
      </c>
      <c r="CB54" s="600" t="str">
        <f>IF(AND(WWWW[[#This Row],[% of water sources passed]]="no test",WWWW[[#This Row],[% Household passed]]="no test"),"No Test","Tested")</f>
        <v>No Test</v>
      </c>
      <c r="CC54" s="600">
        <f>WWWW[[#This Row],['#_Constructed/existing protected hand dug well]]-WWWW[[#This Row],['#_Non-functional protected hand dug well]]</f>
        <v>0</v>
      </c>
      <c r="CD54" s="600">
        <f>(WWWW[[#This Row],['#_Constructed/Existing tube wells/boreholes/handpumps_WASH_agency]]+WWWW[[#This Row],['#_Non-Cluster partner water tube-wells/boreholes/handpumps]])-WWWW[[#This Row],['#_Non-functional tube wells/boreholes/handpumps]]</f>
        <v>0</v>
      </c>
      <c r="CE54" s="600">
        <f>WWWW[[#This Row],['#_Constructed/Existingwater storage tank with gravity fed reticulation system]]-WWWW[[#This Row],['#_Non-functional storage tank gravity fed reticulation system]]</f>
        <v>0</v>
      </c>
      <c r="CF54" s="478">
        <f>(WWWW[[#This Row],['#_Water_Liters_supplied_by_Water boating or water trucking]]/90)/15</f>
        <v>0</v>
      </c>
      <c r="CG54" s="478">
        <f>WWWW[[#This Row],['#_Water_Liters_from_Constructed/Existing water distribution system from river or natural spring]]/90/15</f>
        <v>0</v>
      </c>
      <c r="CH54" s="478">
        <f>WWWW[[#This Row],['#_of water points in TLS/CFS /THF]]*500</f>
        <v>0</v>
      </c>
      <c r="CI5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 s="599">
        <f>IF(WWWW[[#This Row],[Location Type 1]]="Village",WWWW[[#This Row],[Access to safe drinking water for Village]],WWWW[[#This Row],[Access to safe drinking water for Camp]])</f>
        <v>0</v>
      </c>
      <c r="CL54" s="597">
        <f>WWWW[[#This Row],[%Equitable and continuous access to sufficient quantity of safe drinking water]]*WWWW[[#This Row],[Total PoP ]]</f>
        <v>0</v>
      </c>
      <c r="CM54" s="599">
        <f>IF((WWWW[[#This Row],['#_Constructed/Existing protected/fenced ponds]]*250)/WWWW[[#This Row],[Total PoP ]]&gt;1,1,(WWWW[[#This Row],['#_Constructed/Existing protected/fenced ponds]]*250)/WWWW[[#This Row],[Total PoP ]])</f>
        <v>0</v>
      </c>
      <c r="CN54" s="597">
        <f>WWWW[[#This Row],[% Access to unimproved water points]]*WWWW[[#This Row],[Total PoP ]]</f>
        <v>0</v>
      </c>
      <c r="CO5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 s="597">
        <f>WWWW[[#This Row],[HRP1]]/500</f>
        <v>0</v>
      </c>
      <c r="CR54" s="602">
        <f>1-WWWW[[#This Row],[% Equitable and continuous access to sufficient quantity of domestic water]]</f>
        <v>1</v>
      </c>
      <c r="CS54" s="597">
        <f>WWWW[[#This Row],[%equitable and continuous access to sufficient quantity of safe drinking and domestic water''s GAP]]*WWWW[[#This Row],[Total PoP ]]</f>
        <v>324</v>
      </c>
      <c r="CT54" s="600">
        <f>IF(WWWW[[#This Row],[Total required water points]]-WWWW[[#This Row],['#Water points coverage]]&lt;0,0,WWWW[[#This Row],[Total required water points]]-WWWW[[#This Row],['#Water points coverage]])</f>
        <v>1</v>
      </c>
      <c r="CU54" s="600">
        <f>ROUND(IF(WWWW[[#This Row],[Total PoP ]]&lt;500,1,WWWW[[#This Row],[Total PoP ]]/500),0)</f>
        <v>1</v>
      </c>
      <c r="CV54" s="600">
        <f>(WWWW[[#This Row],['#_Constructed latrines_by_WASHAgencies]]+WWWW[[#This Row],['#_Non Cluster partner latrines]])-WWWW[[#This Row],['#_Non-functional latrines]]</f>
        <v>0</v>
      </c>
      <c r="CW54" s="70">
        <f>WWWW[[#This Row],[HRP2]]/WWWW[[#This Row],[Total PoP ]]</f>
        <v>0</v>
      </c>
      <c r="CX5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 s="600">
        <f>IF(WWWW[[#This Row],['# of functional latrines in THF supported by WASH partners during the reporting period2]]="",0,WWWW[[#This Row],['# of functional latrines in THF supported by WASH partners during the reporting period2]]*50)</f>
        <v>0</v>
      </c>
      <c r="DB54" s="600">
        <f>WWWW[[#This Row],['# students access to functioning school latrines_HRP5]]+WWWW[[#This Row],['# People access to functioning latrines in THF_HRP5]]</f>
        <v>0</v>
      </c>
      <c r="DC54" s="600">
        <f>ROUND(IF(WWWW[[#This Row],[Location Type 1]]="camp",WWWW[[#This Row],[Total PoP ]]/20,IF(WWWW[[#This Row],[Location Type 1]]="Temporary Location",WWWW[[#This Row],[Total PoP ]]/50,WWWW[[#This Row],[Total HH]])),0)</f>
        <v>16</v>
      </c>
      <c r="DD54" s="600">
        <f>IF(WWWW[[#This Row],[Total required Latrines]]-(WWWW[[#This Row],['#_Constructed latrines_by_WASHAgencies]]+WWWW[[#This Row],['#_Non Cluster partner latrines]])&lt;0,0,WWWW[[#This Row],[Total required Latrines]]-(WWWW[[#This Row],['#_Constructed latrines_by_WASHAgencies]]+WWWW[[#This Row],['#_Non Cluster partner latrines]]))</f>
        <v>16</v>
      </c>
      <c r="DE54" s="602">
        <f>1-WWWW[[#This Row],[% people access to functioning Latrine]]</f>
        <v>1</v>
      </c>
      <c r="DF54" s="601">
        <f>IF(OR(WWWW[[#This Row],['#_Non-functional latrines]]="",WWWW[[#This Row],['#_Non-functional latrines]]=0),0,WWWW[[#This Row],['#_Non-functional latrines]]/(WWWW[[#This Row],['#_Constructed latrines_by_WASHAgencies]]+WWWW[[#This Row],['#_Non Cluster partner latrines]]))</f>
        <v>0</v>
      </c>
      <c r="DG54" s="597">
        <f>IF(500*(WWWW[[#This Row],['#_male hygiene promoters]]+WWWW[[#This Row],['#_female hygiene promoters]])&gt;WWWW[[#This Row],[Total PoP ]],WWWW[[#This Row],[Total PoP ]],500*(WWWW[[#This Row],['#_male hygiene promoters]]+WWWW[[#This Row],['#_female hygiene promoters]]))</f>
        <v>0</v>
      </c>
      <c r="DH5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 s="600">
        <f>IF(WWWW[[#This Row],['# People with access to soap]]&gt;WWWW[[#This Row],['# People with access to Sanity Pads]],WWWW[[#This Row],['# People with access to soap]],WWWW[[#This Row],['# People with access to Sanity Pads]])</f>
        <v>0</v>
      </c>
      <c r="DK5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 s="602">
        <f>IF(WWWW[[#This Row],[HRP3]]/WWWW[[#This Row],[Total PoP ]]&gt;1,1,WWWW[[#This Row],[HRP3]]/WWWW[[#This Row],[Total PoP ]])</f>
        <v>0</v>
      </c>
      <c r="DM54" s="601">
        <f>1-WWWW[[#This Row],[Hygiene Coverage%]]</f>
        <v>1</v>
      </c>
      <c r="DN54" s="599">
        <f>WWWW[[#This Row],['# people reached by regular dedicated hygiene promotion_5]]/WWWW[[#This Row],[Total PoP ]]</f>
        <v>0</v>
      </c>
      <c r="DO5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 s="600">
        <f>WWWW[[#This Row],['#_Constructed/Existing hand washing stations]]-WWWW[[#This Row],['#_Non-Functional_hand_washing_stations]]</f>
        <v>0</v>
      </c>
      <c r="DR54" s="597">
        <f>IF(WWWW[[#This Row],['# Functional hand washing stations during reporting period]]*20&gt;WWWW[[#This Row],[Total HH]],WWWW[[#This Row],[Total HH]],WWWW[[#This Row],['# Functional hand washing stations during reporting period]]*20)</f>
        <v>0</v>
      </c>
      <c r="DS54" s="597">
        <f>IF(WWWW[[#This Row],[Is sufficient soap available for TLS? (Yes/No)]]="yes",WWWW[[#This Row],['#_Constructed/Existing hand washing stations at TLS]],0)</f>
        <v>0</v>
      </c>
      <c r="DT54" s="479">
        <f>IF(WWWW[[#This Row],['# Functional hand washing stations during reporting period]]*100&gt;WWWW[[#This Row],[Total PoP ]],WWWW[[#This Row],[Total PoP ]],WWWW[[#This Row],['# Functional hand washing stations during reporting period]]*100)</f>
        <v>0</v>
      </c>
      <c r="DU54" s="479" t="str">
        <f>IF(OR(WWWW[[#This Row],['#_students at TLS_CFS]]="",WWWW[[#This Row],['#_students at TLS_CFS]]=0),"No","Yes")</f>
        <v>Yes</v>
      </c>
      <c r="DV5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 s="593">
        <f>VLOOKUP(WWWW[[#This Row],[Site Name]],SiteDB6[[Site Name]:[CCCM Management]],6,FALSE)</f>
        <v>0</v>
      </c>
      <c r="DZ54" s="593">
        <f>VLOOKUP(WWWW[[#This Row],[Site Name]],SiteDB6[[Site Name]:[CCCM Focal Agency]],7,FALSE)</f>
        <v>0</v>
      </c>
      <c r="EA54" s="593" t="str">
        <f>VLOOKUP(WWWW[[#This Row],[Site Name]],SiteDB6[[Site Name]:[Location Type 1]],9,FALSE)</f>
        <v>Camp</v>
      </c>
      <c r="EB54" s="593" t="str">
        <f>VLOOKUP(WWWW[[#This Row],[Site Name]],SiteDB6[[Site Name]:[Type of Accommodation]],10,FALSE)</f>
        <v>Camp like setting</v>
      </c>
      <c r="EC54" s="593" t="str">
        <f>VLOOKUP(WWWW[[#This Row],[Site Name]],SiteDB6[[Site Name]:[Ethnic or GCA/NGCA]],11,FALSE)</f>
        <v>NGCA</v>
      </c>
      <c r="ED54" s="593">
        <f>VLOOKUP(WWWW[[#This Row],[Site Name]],SiteDB6[[Site Name]:[Lat]],12,FALSE)</f>
        <v>0</v>
      </c>
      <c r="EE54" s="593">
        <f>VLOOKUP(WWWW[[#This Row],[Site Name]],SiteDB6[[Site Name]:[Long]],13,FALSE)</f>
        <v>0</v>
      </c>
      <c r="EF54" s="593">
        <f>VLOOKUP(WWWW[[#This Row],[Site Name]],SiteDB6[[Site Name]:[Pcode]],3,FALSE)</f>
        <v>0</v>
      </c>
      <c r="EG54" s="598" t="str">
        <f t="shared" si="0"/>
        <v>Covered</v>
      </c>
      <c r="EH54" s="598">
        <f>VLOOKUP(WWWW[[#This Row],[Site Name]],SiteDB6[[Site Name]:[open in cccm?]],2,FALSE)</f>
        <v>0</v>
      </c>
    </row>
    <row r="55" spans="1:138" hidden="1">
      <c r="A55" s="591" t="s">
        <v>3261</v>
      </c>
      <c r="B55" s="591" t="s">
        <v>38</v>
      </c>
      <c r="C55" s="592" t="s">
        <v>38</v>
      </c>
      <c r="D55" s="592" t="s">
        <v>3049</v>
      </c>
      <c r="E55" s="592" t="s">
        <v>39</v>
      </c>
      <c r="F55" s="592" t="s">
        <v>145</v>
      </c>
      <c r="G55" s="721" t="str">
        <f>VLOOKUP(WWWW[[#This Row],[Site Name]],SiteDB6[[Site Name]:[Location Type]],8,FALSE)</f>
        <v>Camp</v>
      </c>
      <c r="H55" s="592" t="s">
        <v>239</v>
      </c>
      <c r="I55" s="594">
        <v>101</v>
      </c>
      <c r="J55" s="594">
        <v>458</v>
      </c>
      <c r="K55" s="595" t="s">
        <v>3048</v>
      </c>
      <c r="L55" s="596" t="s">
        <v>3047</v>
      </c>
      <c r="M55" s="594">
        <v>48</v>
      </c>
      <c r="N55" s="594"/>
      <c r="O55" s="594"/>
      <c r="P55" s="594"/>
      <c r="Q55" s="597" t="s">
        <v>43</v>
      </c>
      <c r="R55" s="594"/>
      <c r="S55" s="594"/>
      <c r="T55" s="523"/>
      <c r="U55" s="594"/>
      <c r="V55" s="594"/>
      <c r="W55" s="594"/>
      <c r="X55" s="594"/>
      <c r="Y55" s="594"/>
      <c r="Z55" s="594"/>
      <c r="AA55" s="594">
        <v>1</v>
      </c>
      <c r="AB55" s="594"/>
      <c r="AC55" s="594"/>
      <c r="AD55" s="594"/>
      <c r="AE55" s="594"/>
      <c r="AF55" s="594"/>
      <c r="AG55" s="594"/>
      <c r="AH55" s="594"/>
      <c r="AI55" s="594"/>
      <c r="AJ55" s="594"/>
      <c r="AK55" s="594"/>
      <c r="AL55" s="594"/>
      <c r="AM55" s="594">
        <v>4</v>
      </c>
      <c r="AN55" s="594"/>
      <c r="AO55" s="598"/>
      <c r="AP55" s="594">
        <v>90</v>
      </c>
      <c r="AQ55" s="594"/>
      <c r="AR55" s="599"/>
      <c r="AS55" s="594"/>
      <c r="AT55" s="594"/>
      <c r="AU55" s="594"/>
      <c r="AV55" s="594"/>
      <c r="AW55" s="594"/>
      <c r="AX55" s="593" t="s">
        <v>43</v>
      </c>
      <c r="AY55" s="598" t="s">
        <v>140</v>
      </c>
      <c r="AZ55" s="594">
        <v>0</v>
      </c>
      <c r="BA55" s="594"/>
      <c r="BB55" s="594"/>
      <c r="BC55" s="594"/>
      <c r="BD55" s="523"/>
      <c r="BE55" s="593"/>
      <c r="BF55" s="594">
        <v>2</v>
      </c>
      <c r="BG55" s="594"/>
      <c r="BH55" s="594"/>
      <c r="BI55" s="594">
        <v>3</v>
      </c>
      <c r="BJ55" s="594"/>
      <c r="BK55" s="594"/>
      <c r="BL55" s="594">
        <v>2</v>
      </c>
      <c r="BM55" s="594"/>
      <c r="BN55" s="594"/>
      <c r="BO55" s="593" t="s">
        <v>139</v>
      </c>
      <c r="BP55" s="594"/>
      <c r="BQ55" s="599"/>
      <c r="BR55" s="593"/>
      <c r="BS55" s="472">
        <v>0.75</v>
      </c>
      <c r="BT55" s="472">
        <v>0.65</v>
      </c>
      <c r="BU55" s="523">
        <v>6</v>
      </c>
      <c r="BV55" s="472">
        <v>0.7</v>
      </c>
      <c r="BW55" s="523"/>
      <c r="BX55" s="523"/>
      <c r="BY55" s="523"/>
      <c r="BZ55" s="601" t="str">
        <f>IFERROR(WWWW[[#This Row],['#_Water sources passed]]/WWWW[[#This Row],['#_Water sources tested for fecal coliform ]],"no test")</f>
        <v>no test</v>
      </c>
      <c r="CA55" s="599" t="str">
        <f>IFERROR(WWWW[[#This Row],['#_Household passed]]/WWWW[[#This Row],['#_Household water samples tested for fecal coliform]],"no test")</f>
        <v>no test</v>
      </c>
      <c r="CB55" s="600" t="str">
        <f>IF(AND(WWWW[[#This Row],[% of water sources passed]]="no test",WWWW[[#This Row],[% Household passed]]="no test"),"No Test","Tested")</f>
        <v>No Test</v>
      </c>
      <c r="CC55" s="600">
        <f>WWWW[[#This Row],['#_Constructed/existing protected hand dug well]]-WWWW[[#This Row],['#_Non-functional protected hand dug well]]</f>
        <v>0</v>
      </c>
      <c r="CD55" s="600">
        <f>(WWWW[[#This Row],['#_Constructed/Existing tube wells/boreholes/handpumps_WASH_agency]]+WWWW[[#This Row],['#_Non-Cluster partner water tube-wells/boreholes/handpumps]])-WWWW[[#This Row],['#_Non-functional tube wells/boreholes/handpumps]]</f>
        <v>0</v>
      </c>
      <c r="CE55" s="600">
        <f>WWWW[[#This Row],['#_Constructed/Existingwater storage tank with gravity fed reticulation system]]-WWWW[[#This Row],['#_Non-functional storage tank gravity fed reticulation system]]</f>
        <v>1</v>
      </c>
      <c r="CF55" s="478">
        <f>(WWWW[[#This Row],['#_Water_Liters_supplied_by_Water boating or water trucking]]/90)/15</f>
        <v>0</v>
      </c>
      <c r="CG55" s="478">
        <f>WWWW[[#This Row],['#_Water_Liters_from_Constructed/Existing water distribution system from river or natural spring]]/90/15</f>
        <v>0</v>
      </c>
      <c r="CH55" s="478">
        <f>WWWW[[#This Row],['#_of water points in TLS/CFS /THF]]*500</f>
        <v>0</v>
      </c>
      <c r="CI5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5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55" s="599">
        <f>IF(WWWW[[#This Row],[Location Type 1]]="Village",WWWW[[#This Row],[Access to safe drinking water for Village]],WWWW[[#This Row],[Access to safe drinking water for Camp]])</f>
        <v>0.14556040756914121</v>
      </c>
      <c r="CL55" s="597">
        <f>WWWW[[#This Row],[%Equitable and continuous access to sufficient quantity of safe drinking water]]*WWWW[[#This Row],[Total PoP ]]</f>
        <v>66.666666666666671</v>
      </c>
      <c r="CM55" s="599">
        <f>IF((WWWW[[#This Row],['#_Constructed/Existing protected/fenced ponds]]*250)/WWWW[[#This Row],[Total PoP ]]&gt;1,1,(WWWW[[#This Row],['#_Constructed/Existing protected/fenced ponds]]*250)/WWWW[[#This Row],[Total PoP ]])</f>
        <v>0</v>
      </c>
      <c r="CN55" s="597">
        <f>WWWW[[#This Row],[% Access to unimproved water points]]*WWWW[[#This Row],[Total PoP ]]</f>
        <v>0</v>
      </c>
      <c r="CO5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5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5" s="597">
        <f>WWWW[[#This Row],[HRP1]]/500</f>
        <v>0.13333333333333333</v>
      </c>
      <c r="CR55" s="602">
        <f>1-WWWW[[#This Row],[% Equitable and continuous access to sufficient quantity of domestic water]]</f>
        <v>0.85443959243085876</v>
      </c>
      <c r="CS55" s="597">
        <f>WWWW[[#This Row],[%equitable and continuous access to sufficient quantity of safe drinking and domestic water''s GAP]]*WWWW[[#This Row],[Total PoP ]]</f>
        <v>391.33333333333331</v>
      </c>
      <c r="CT55" s="600">
        <f>IF(WWWW[[#This Row],[Total required water points]]-WWWW[[#This Row],['#Water points coverage]]&lt;0,0,WWWW[[#This Row],[Total required water points]]-WWWW[[#This Row],['#Water points coverage]])</f>
        <v>0.8666666666666667</v>
      </c>
      <c r="CU55" s="600">
        <f>ROUND(IF(WWWW[[#This Row],[Total PoP ]]&lt;500,1,WWWW[[#This Row],[Total PoP ]]/500),0)</f>
        <v>1</v>
      </c>
      <c r="CV55" s="600">
        <f>(WWWW[[#This Row],['#_Constructed latrines_by_WASHAgencies]]+WWWW[[#This Row],['#_Non Cluster partner latrines]])-WWWW[[#This Row],['#_Non-functional latrines]]</f>
        <v>90</v>
      </c>
      <c r="CW55" s="70">
        <f>WWWW[[#This Row],[HRP2]]/WWWW[[#This Row],[Total PoP ]]</f>
        <v>1</v>
      </c>
      <c r="CX5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5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 s="600">
        <f>IF(WWWW[[#This Row],['# of functional latrines in THF supported by WASH partners during the reporting period2]]="",0,WWWW[[#This Row],['# of functional latrines in THF supported by WASH partners during the reporting period2]]*50)</f>
        <v>0</v>
      </c>
      <c r="DB55" s="600">
        <f>WWWW[[#This Row],['# students access to functioning school latrines_HRP5]]+WWWW[[#This Row],['# People access to functioning latrines in THF_HRP5]]</f>
        <v>0</v>
      </c>
      <c r="DC55" s="600">
        <f>ROUND(IF(WWWW[[#This Row],[Location Type 1]]="camp",WWWW[[#This Row],[Total PoP ]]/20,IF(WWWW[[#This Row],[Location Type 1]]="Temporary Location",WWWW[[#This Row],[Total PoP ]]/50,WWWW[[#This Row],[Total HH]])),0)</f>
        <v>23</v>
      </c>
      <c r="DD55" s="600">
        <f>IF(WWWW[[#This Row],[Total required Latrines]]-(WWWW[[#This Row],['#_Constructed latrines_by_WASHAgencies]]+WWWW[[#This Row],['#_Non Cluster partner latrines]])&lt;0,0,WWWW[[#This Row],[Total required Latrines]]-(WWWW[[#This Row],['#_Constructed latrines_by_WASHAgencies]]+WWWW[[#This Row],['#_Non Cluster partner latrines]]))</f>
        <v>0</v>
      </c>
      <c r="DE55" s="602">
        <f>1-WWWW[[#This Row],[% people access to functioning Latrine]]</f>
        <v>0</v>
      </c>
      <c r="DF55" s="601">
        <f>IF(OR(WWWW[[#This Row],['#_Non-functional latrines]]="",WWWW[[#This Row],['#_Non-functional latrines]]=0),0,WWWW[[#This Row],['#_Non-functional latrines]]/(WWWW[[#This Row],['#_Constructed latrines_by_WASHAgencies]]+WWWW[[#This Row],['#_Non Cluster partner latrines]]))</f>
        <v>0</v>
      </c>
      <c r="DG55" s="597">
        <f>IF(500*(WWWW[[#This Row],['#_male hygiene promoters]]+WWWW[[#This Row],['#_female hygiene promoters]])&gt;WWWW[[#This Row],[Total PoP ]],WWWW[[#This Row],[Total PoP ]],500*(WWWW[[#This Row],['#_male hygiene promoters]]+WWWW[[#This Row],['#_female hygiene promoters]]))</f>
        <v>458</v>
      </c>
      <c r="DH5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 s="600">
        <f>IF(WWWW[[#This Row],['# People with access to soap]]&gt;WWWW[[#This Row],['# People with access to Sanity Pads]],WWWW[[#This Row],['# People with access to soap]],WWWW[[#This Row],['# People with access to Sanity Pads]])</f>
        <v>0</v>
      </c>
      <c r="DK55" s="600">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55" s="602">
        <f>IF(WWWW[[#This Row],[HRP3]]/WWWW[[#This Row],[Total PoP ]]&gt;1,1,WWWW[[#This Row],[HRP3]]/WWWW[[#This Row],[Total PoP ]])</f>
        <v>1</v>
      </c>
      <c r="DM55" s="601">
        <f>1-WWWW[[#This Row],[Hygiene Coverage%]]</f>
        <v>0</v>
      </c>
      <c r="DN55" s="599">
        <f>WWWW[[#This Row],['# people reached by regular dedicated hygiene promotion_5]]/WWWW[[#This Row],[Total PoP ]]</f>
        <v>1</v>
      </c>
      <c r="DO5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 s="600">
        <f>WWWW[[#This Row],['#_Constructed/Existing hand washing stations]]-WWWW[[#This Row],['#_Non-Functional_hand_washing_stations]]</f>
        <v>2</v>
      </c>
      <c r="DR55" s="597">
        <f>IF(WWWW[[#This Row],['# Functional hand washing stations during reporting period]]*20&gt;WWWW[[#This Row],[Total HH]],WWWW[[#This Row],[Total HH]],WWWW[[#This Row],['# Functional hand washing stations during reporting period]]*20)</f>
        <v>40</v>
      </c>
      <c r="DS55" s="597">
        <f>IF(WWWW[[#This Row],[Is sufficient soap available for TLS? (Yes/No)]]="yes",WWWW[[#This Row],['#_Constructed/Existing hand washing stations at TLS]],0)</f>
        <v>0</v>
      </c>
      <c r="DT55" s="479">
        <f>IF(WWWW[[#This Row],['# Functional hand washing stations during reporting period]]*100&gt;WWWW[[#This Row],[Total PoP ]],WWWW[[#This Row],[Total PoP ]],WWWW[[#This Row],['# Functional hand washing stations during reporting period]]*100)</f>
        <v>200</v>
      </c>
      <c r="DU55" s="479" t="str">
        <f>IF(OR(WWWW[[#This Row],['#_students at TLS_CFS]]="",WWWW[[#This Row],['#_students at TLS_CFS]]=0),"No","Yes")</f>
        <v>Yes</v>
      </c>
      <c r="DV55" s="472">
        <f>IF(WWWW[[#This Row],['#_of_affected_people_surveyed_who_report_feeling_informed_about_the_different_WASH_services_available_to_them]]="","",WWWW[[#This Row],['#_of_affected_people_surveyed_who_report_feeling_informed_about_the_different_WASH_services_available_to_them]]/WWWW[[#This Row],[Total PoP ]])</f>
        <v>1.3100436681222707E-2</v>
      </c>
      <c r="DW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 s="593" t="str">
        <f>VLOOKUP(WWWW[[#This Row],[Site Name]],SiteDB6[[Site Name]:[CCCM Management]],6,FALSE)</f>
        <v>Yes</v>
      </c>
      <c r="DZ55" s="593" t="str">
        <f>VLOOKUP(WWWW[[#This Row],[Site Name]],SiteDB6[[Site Name]:[CCCM Focal Agency]],7,FALSE)</f>
        <v>KMSS-MYT</v>
      </c>
      <c r="EA55" s="593" t="str">
        <f>VLOOKUP(WWWW[[#This Row],[Site Name]],SiteDB6[[Site Name]:[Location Type 1]],9,FALSE)</f>
        <v>Camp</v>
      </c>
      <c r="EB55" s="593" t="str">
        <f>VLOOKUP(WWWW[[#This Row],[Site Name]],SiteDB6[[Site Name]:[Type of Accommodation]],10,FALSE)</f>
        <v>Camp</v>
      </c>
      <c r="EC55" s="593" t="str">
        <f>VLOOKUP(WWWW[[#This Row],[Site Name]],SiteDB6[[Site Name]:[Ethnic or GCA/NGCA]],11,FALSE)</f>
        <v>NGCA</v>
      </c>
      <c r="ED55" s="593">
        <f>VLOOKUP(WWWW[[#This Row],[Site Name]],SiteDB6[[Site Name]:[Lat]],12,FALSE)</f>
        <v>25.220278</v>
      </c>
      <c r="EE55" s="593">
        <f>VLOOKUP(WWWW[[#This Row],[Site Name]],SiteDB6[[Site Name]:[Long]],13,FALSE)</f>
        <v>97.915833000000006</v>
      </c>
      <c r="EF55" s="593" t="str">
        <f>VLOOKUP(WWWW[[#This Row],[Site Name]],SiteDB6[[Site Name]:[Pcode]],3,FALSE)</f>
        <v>MMR001CMP113</v>
      </c>
      <c r="EG55" s="598" t="str">
        <f t="shared" si="0"/>
        <v>Covered</v>
      </c>
      <c r="EH55" s="598" t="str">
        <f>VLOOKUP(WWWW[[#This Row],[Site Name]],SiteDB6[[Site Name]:[open in cccm?]],2,FALSE)</f>
        <v>cccm_2019OCT</v>
      </c>
    </row>
    <row r="56" spans="1:138" hidden="1">
      <c r="A56" s="591" t="s">
        <v>3261</v>
      </c>
      <c r="B56" s="591" t="s">
        <v>38</v>
      </c>
      <c r="C56" s="592" t="s">
        <v>38</v>
      </c>
      <c r="D56" s="592" t="s">
        <v>3049</v>
      </c>
      <c r="E56" s="592" t="s">
        <v>39</v>
      </c>
      <c r="F56" s="592" t="s">
        <v>208</v>
      </c>
      <c r="G56" s="721" t="str">
        <f>VLOOKUP(WWWW[[#This Row],[Site Name]],SiteDB6[[Site Name]:[Location Type]],8,FALSE)</f>
        <v>Camp</v>
      </c>
      <c r="H56" s="592" t="s">
        <v>235</v>
      </c>
      <c r="I56" s="594">
        <v>101</v>
      </c>
      <c r="J56" s="594">
        <v>458</v>
      </c>
      <c r="K56" s="595" t="s">
        <v>3046</v>
      </c>
      <c r="L56" s="596" t="s">
        <v>3047</v>
      </c>
      <c r="M56" s="594">
        <v>260</v>
      </c>
      <c r="N56" s="594"/>
      <c r="O56" s="594"/>
      <c r="P56" s="594"/>
      <c r="Q56" s="597" t="s">
        <v>43</v>
      </c>
      <c r="R56" s="594"/>
      <c r="S56" s="594">
        <v>4</v>
      </c>
      <c r="T56" s="523"/>
      <c r="U56" s="594"/>
      <c r="V56" s="594"/>
      <c r="W56" s="594"/>
      <c r="X56" s="594"/>
      <c r="Y56" s="594"/>
      <c r="Z56" s="594"/>
      <c r="AA56" s="594">
        <v>1</v>
      </c>
      <c r="AB56" s="594"/>
      <c r="AC56" s="594"/>
      <c r="AD56" s="594"/>
      <c r="AE56" s="594"/>
      <c r="AF56" s="594"/>
      <c r="AG56" s="594"/>
      <c r="AH56" s="594"/>
      <c r="AI56" s="594"/>
      <c r="AJ56" s="594"/>
      <c r="AK56" s="594"/>
      <c r="AL56" s="594"/>
      <c r="AM56" s="594">
        <v>3</v>
      </c>
      <c r="AN56" s="594"/>
      <c r="AO56" s="598"/>
      <c r="AP56" s="594">
        <v>86</v>
      </c>
      <c r="AQ56" s="594"/>
      <c r="AR56" s="599"/>
      <c r="AS56" s="594"/>
      <c r="AT56" s="594"/>
      <c r="AU56" s="594"/>
      <c r="AV56" s="594"/>
      <c r="AW56" s="594"/>
      <c r="AX56" s="593" t="s">
        <v>43</v>
      </c>
      <c r="AY56" s="598" t="s">
        <v>140</v>
      </c>
      <c r="AZ56" s="594">
        <v>3</v>
      </c>
      <c r="BA56" s="594"/>
      <c r="BB56" s="594"/>
      <c r="BC56" s="594"/>
      <c r="BD56" s="523"/>
      <c r="BE56" s="593"/>
      <c r="BF56" s="594"/>
      <c r="BG56" s="594"/>
      <c r="BH56" s="594"/>
      <c r="BI56" s="594">
        <v>3</v>
      </c>
      <c r="BJ56" s="594"/>
      <c r="BK56" s="594"/>
      <c r="BL56" s="594">
        <v>2</v>
      </c>
      <c r="BM56" s="594"/>
      <c r="BN56" s="594"/>
      <c r="BO56" s="593" t="s">
        <v>139</v>
      </c>
      <c r="BP56" s="594"/>
      <c r="BQ56" s="599"/>
      <c r="BR56" s="593"/>
      <c r="BS56" s="472">
        <v>0.75</v>
      </c>
      <c r="BT56" s="472">
        <v>0.6</v>
      </c>
      <c r="BU56" s="523">
        <v>5</v>
      </c>
      <c r="BV56" s="472">
        <v>0.6</v>
      </c>
      <c r="BW56" s="523"/>
      <c r="BX56" s="523"/>
      <c r="BY56" s="523"/>
      <c r="BZ56" s="601" t="str">
        <f>IFERROR(WWWW[[#This Row],['#_Water sources passed]]/WWWW[[#This Row],['#_Water sources tested for fecal coliform ]],"no test")</f>
        <v>no test</v>
      </c>
      <c r="CA56" s="599" t="str">
        <f>IFERROR(WWWW[[#This Row],['#_Household passed]]/WWWW[[#This Row],['#_Household water samples tested for fecal coliform]],"no test")</f>
        <v>no test</v>
      </c>
      <c r="CB56" s="600" t="str">
        <f>IF(AND(WWWW[[#This Row],[% of water sources passed]]="no test",WWWW[[#This Row],[% Household passed]]="no test"),"No Test","Tested")</f>
        <v>No Test</v>
      </c>
      <c r="CC56" s="600">
        <f>WWWW[[#This Row],['#_Constructed/existing protected hand dug well]]-WWWW[[#This Row],['#_Non-functional protected hand dug well]]</f>
        <v>0</v>
      </c>
      <c r="CD56" s="600">
        <f>(WWWW[[#This Row],['#_Constructed/Existing tube wells/boreholes/handpumps_WASH_agency]]+WWWW[[#This Row],['#_Non-Cluster partner water tube-wells/boreholes/handpumps]])-WWWW[[#This Row],['#_Non-functional tube wells/boreholes/handpumps]]</f>
        <v>0</v>
      </c>
      <c r="CE56" s="600">
        <f>WWWW[[#This Row],['#_Constructed/Existingwater storage tank with gravity fed reticulation system]]-WWWW[[#This Row],['#_Non-functional storage tank gravity fed reticulation system]]</f>
        <v>1</v>
      </c>
      <c r="CF56" s="478">
        <f>(WWWW[[#This Row],['#_Water_Liters_supplied_by_Water boating or water trucking]]/90)/15</f>
        <v>0</v>
      </c>
      <c r="CG56" s="478">
        <f>WWWW[[#This Row],['#_Water_Liters_from_Constructed/Existing water distribution system from river or natural spring]]/90/15</f>
        <v>0</v>
      </c>
      <c r="CH56" s="478">
        <f>WWWW[[#This Row],['#_of water points in TLS/CFS /THF]]*500</f>
        <v>0</v>
      </c>
      <c r="CI5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5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56" s="599">
        <f>IF(WWWW[[#This Row],[Location Type 1]]="Village",WWWW[[#This Row],[Access to safe drinking water for Village]],WWWW[[#This Row],[Access to safe drinking water for Camp]])</f>
        <v>0.14556040756914121</v>
      </c>
      <c r="CL56" s="597">
        <f>WWWW[[#This Row],[%Equitable and continuous access to sufficient quantity of safe drinking water]]*WWWW[[#This Row],[Total PoP ]]</f>
        <v>66.666666666666671</v>
      </c>
      <c r="CM56" s="599">
        <f>IF((WWWW[[#This Row],['#_Constructed/Existing protected/fenced ponds]]*250)/WWWW[[#This Row],[Total PoP ]]&gt;1,1,(WWWW[[#This Row],['#_Constructed/Existing protected/fenced ponds]]*250)/WWWW[[#This Row],[Total PoP ]])</f>
        <v>0</v>
      </c>
      <c r="CN56" s="597">
        <f>WWWW[[#This Row],[% Access to unimproved water points]]*WWWW[[#This Row],[Total PoP ]]</f>
        <v>0</v>
      </c>
      <c r="CO5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5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6" s="597">
        <f>WWWW[[#This Row],[HRP1]]/500</f>
        <v>0.13333333333333333</v>
      </c>
      <c r="CR56" s="602">
        <f>1-WWWW[[#This Row],[% Equitable and continuous access to sufficient quantity of domestic water]]</f>
        <v>0.85443959243085876</v>
      </c>
      <c r="CS56" s="597">
        <f>WWWW[[#This Row],[%equitable and continuous access to sufficient quantity of safe drinking and domestic water''s GAP]]*WWWW[[#This Row],[Total PoP ]]</f>
        <v>391.33333333333331</v>
      </c>
      <c r="CT56" s="600">
        <f>IF(WWWW[[#This Row],[Total required water points]]-WWWW[[#This Row],['#Water points coverage]]&lt;0,0,WWWW[[#This Row],[Total required water points]]-WWWW[[#This Row],['#Water points coverage]])</f>
        <v>0.8666666666666667</v>
      </c>
      <c r="CU56" s="600">
        <f>ROUND(IF(WWWW[[#This Row],[Total PoP ]]&lt;500,1,WWWW[[#This Row],[Total PoP ]]/500),0)</f>
        <v>1</v>
      </c>
      <c r="CV56" s="600">
        <f>(WWWW[[#This Row],['#_Constructed latrines_by_WASHAgencies]]+WWWW[[#This Row],['#_Non Cluster partner latrines]])-WWWW[[#This Row],['#_Non-functional latrines]]</f>
        <v>86</v>
      </c>
      <c r="CW56" s="70">
        <f>WWWW[[#This Row],[HRP2]]/WWWW[[#This Row],[Total PoP ]]</f>
        <v>1</v>
      </c>
      <c r="CX5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5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 s="600">
        <f>IF(WWWW[[#This Row],['# of functional latrines in THF supported by WASH partners during the reporting period2]]="",0,WWWW[[#This Row],['# of functional latrines in THF supported by WASH partners during the reporting period2]]*50)</f>
        <v>0</v>
      </c>
      <c r="DB56" s="600">
        <f>WWWW[[#This Row],['# students access to functioning school latrines_HRP5]]+WWWW[[#This Row],['# People access to functioning latrines in THF_HRP5]]</f>
        <v>0</v>
      </c>
      <c r="DC56" s="600">
        <f>ROUND(IF(WWWW[[#This Row],[Location Type 1]]="camp",WWWW[[#This Row],[Total PoP ]]/20,IF(WWWW[[#This Row],[Location Type 1]]="Temporary Location",WWWW[[#This Row],[Total PoP ]]/50,WWWW[[#This Row],[Total HH]])),0)</f>
        <v>23</v>
      </c>
      <c r="DD56" s="600">
        <f>IF(WWWW[[#This Row],[Total required Latrines]]-(WWWW[[#This Row],['#_Constructed latrines_by_WASHAgencies]]+WWWW[[#This Row],['#_Non Cluster partner latrines]])&lt;0,0,WWWW[[#This Row],[Total required Latrines]]-(WWWW[[#This Row],['#_Constructed latrines_by_WASHAgencies]]+WWWW[[#This Row],['#_Non Cluster partner latrines]]))</f>
        <v>0</v>
      </c>
      <c r="DE56" s="602">
        <f>1-WWWW[[#This Row],[% people access to functioning Latrine]]</f>
        <v>0</v>
      </c>
      <c r="DF56" s="601">
        <f>IF(OR(WWWW[[#This Row],['#_Non-functional latrines]]="",WWWW[[#This Row],['#_Non-functional latrines]]=0),0,WWWW[[#This Row],['#_Non-functional latrines]]/(WWWW[[#This Row],['#_Constructed latrines_by_WASHAgencies]]+WWWW[[#This Row],['#_Non Cluster partner latrines]]))</f>
        <v>0</v>
      </c>
      <c r="DG56" s="597">
        <f>IF(500*(WWWW[[#This Row],['#_male hygiene promoters]]+WWWW[[#This Row],['#_female hygiene promoters]])&gt;WWWW[[#This Row],[Total PoP ]],WWWW[[#This Row],[Total PoP ]],500*(WWWW[[#This Row],['#_male hygiene promoters]]+WWWW[[#This Row],['#_female hygiene promoters]]))</f>
        <v>458</v>
      </c>
      <c r="DH5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 s="600">
        <f>IF(WWWW[[#This Row],['# People with access to soap]]&gt;WWWW[[#This Row],['# People with access to Sanity Pads]],WWWW[[#This Row],['# People with access to soap]],WWWW[[#This Row],['# People with access to Sanity Pads]])</f>
        <v>0</v>
      </c>
      <c r="DK56" s="600">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56" s="602">
        <f>IF(WWWW[[#This Row],[HRP3]]/WWWW[[#This Row],[Total PoP ]]&gt;1,1,WWWW[[#This Row],[HRP3]]/WWWW[[#This Row],[Total PoP ]])</f>
        <v>1</v>
      </c>
      <c r="DM56" s="601">
        <f>1-WWWW[[#This Row],[Hygiene Coverage%]]</f>
        <v>0</v>
      </c>
      <c r="DN56" s="599">
        <f>WWWW[[#This Row],['# people reached by regular dedicated hygiene promotion_5]]/WWWW[[#This Row],[Total PoP ]]</f>
        <v>1</v>
      </c>
      <c r="DO5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 s="600">
        <f>WWWW[[#This Row],['#_Constructed/Existing hand washing stations]]-WWWW[[#This Row],['#_Non-Functional_hand_washing_stations]]</f>
        <v>0</v>
      </c>
      <c r="DR56" s="597">
        <f>IF(WWWW[[#This Row],['# Functional hand washing stations during reporting period]]*20&gt;WWWW[[#This Row],[Total HH]],WWWW[[#This Row],[Total HH]],WWWW[[#This Row],['# Functional hand washing stations during reporting period]]*20)</f>
        <v>0</v>
      </c>
      <c r="DS56" s="597">
        <f>IF(WWWW[[#This Row],[Is sufficient soap available for TLS? (Yes/No)]]="yes",WWWW[[#This Row],['#_Constructed/Existing hand washing stations at TLS]],0)</f>
        <v>0</v>
      </c>
      <c r="DT56" s="479">
        <f>IF(WWWW[[#This Row],['# Functional hand washing stations during reporting period]]*100&gt;WWWW[[#This Row],[Total PoP ]],WWWW[[#This Row],[Total PoP ]],WWWW[[#This Row],['# Functional hand washing stations during reporting period]]*100)</f>
        <v>0</v>
      </c>
      <c r="DU56" s="479" t="str">
        <f>IF(OR(WWWW[[#This Row],['#_students at TLS_CFS]]="",WWWW[[#This Row],['#_students at TLS_CFS]]=0),"No","Yes")</f>
        <v>Yes</v>
      </c>
      <c r="DV56" s="472">
        <f>IF(WWWW[[#This Row],['#_of_affected_people_surveyed_who_report_feeling_informed_about_the_different_WASH_services_available_to_them]]="","",WWWW[[#This Row],['#_of_affected_people_surveyed_who_report_feeling_informed_about_the_different_WASH_services_available_to_them]]/WWWW[[#This Row],[Total PoP ]])</f>
        <v>1.0917030567685589E-2</v>
      </c>
      <c r="DW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 s="593" t="str">
        <f>VLOOKUP(WWWW[[#This Row],[Site Name]],SiteDB6[[Site Name]:[CCCM Management]],6,FALSE)</f>
        <v>Yes</v>
      </c>
      <c r="DZ56" s="593" t="str">
        <f>VLOOKUP(WWWW[[#This Row],[Site Name]],SiteDB6[[Site Name]:[CCCM Focal Agency]],7,FALSE)</f>
        <v>KMSS-MYT</v>
      </c>
      <c r="EA56" s="593" t="str">
        <f>VLOOKUP(WWWW[[#This Row],[Site Name]],SiteDB6[[Site Name]:[Location Type 1]],9,FALSE)</f>
        <v>Camp</v>
      </c>
      <c r="EB56" s="593" t="str">
        <f>VLOOKUP(WWWW[[#This Row],[Site Name]],SiteDB6[[Site Name]:[Type of Accommodation]],10,FALSE)</f>
        <v>Camp</v>
      </c>
      <c r="EC56" s="593" t="str">
        <f>VLOOKUP(WWWW[[#This Row],[Site Name]],SiteDB6[[Site Name]:[Ethnic or GCA/NGCA]],11,FALSE)</f>
        <v>NGCA</v>
      </c>
      <c r="ED56" s="593">
        <f>VLOOKUP(WWWW[[#This Row],[Site Name]],SiteDB6[[Site Name]:[Lat]],12,FALSE)</f>
        <v>24.461033</v>
      </c>
      <c r="EE56" s="593">
        <f>VLOOKUP(WWWW[[#This Row],[Site Name]],SiteDB6[[Site Name]:[Long]],13,FALSE)</f>
        <v>97.537099999999995</v>
      </c>
      <c r="EF56" s="593" t="str">
        <f>VLOOKUP(WWWW[[#This Row],[Site Name]],SiteDB6[[Site Name]:[Pcode]],3,FALSE)</f>
        <v>MMR001CMP123</v>
      </c>
      <c r="EG56" s="598" t="str">
        <f t="shared" si="0"/>
        <v>Covered</v>
      </c>
      <c r="EH56" s="598" t="str">
        <f>VLOOKUP(WWWW[[#This Row],[Site Name]],SiteDB6[[Site Name]:[open in cccm?]],2,FALSE)</f>
        <v>cccm_2019OCT</v>
      </c>
    </row>
    <row r="57" spans="1:138" hidden="1">
      <c r="A57" s="591" t="s">
        <v>3261</v>
      </c>
      <c r="B57" s="591" t="s">
        <v>38</v>
      </c>
      <c r="C57" s="592" t="s">
        <v>38</v>
      </c>
      <c r="D57" s="592" t="s">
        <v>717</v>
      </c>
      <c r="E57" s="592" t="s">
        <v>39</v>
      </c>
      <c r="F57" s="592" t="s">
        <v>162</v>
      </c>
      <c r="G57" s="721" t="str">
        <f>VLOOKUP(WWWW[[#This Row],[Site Name]],SiteDB6[[Site Name]:[Location Type]],8,FALSE)</f>
        <v>Camp</v>
      </c>
      <c r="H57" s="592" t="s">
        <v>236</v>
      </c>
      <c r="I57" s="594">
        <v>90</v>
      </c>
      <c r="J57" s="594">
        <v>430</v>
      </c>
      <c r="K57" s="595">
        <v>43525</v>
      </c>
      <c r="L57" s="596">
        <v>44196</v>
      </c>
      <c r="M57" s="594"/>
      <c r="N57" s="594"/>
      <c r="O57" s="594"/>
      <c r="P57" s="594"/>
      <c r="Q57" s="597" t="s">
        <v>43</v>
      </c>
      <c r="R57" s="594"/>
      <c r="S57" s="594"/>
      <c r="T57" s="523">
        <v>1</v>
      </c>
      <c r="U57" s="594"/>
      <c r="V57" s="594"/>
      <c r="W57" s="594"/>
      <c r="X57" s="594"/>
      <c r="Y57" s="594"/>
      <c r="Z57" s="594"/>
      <c r="AA57" s="594"/>
      <c r="AB57" s="594"/>
      <c r="AC57" s="594"/>
      <c r="AD57" s="594"/>
      <c r="AE57" s="594"/>
      <c r="AF57" s="594"/>
      <c r="AG57" s="594"/>
      <c r="AH57" s="594"/>
      <c r="AI57" s="594"/>
      <c r="AJ57" s="594"/>
      <c r="AK57" s="594"/>
      <c r="AL57" s="594"/>
      <c r="AM57" s="594"/>
      <c r="AN57" s="594"/>
      <c r="AO57" s="598"/>
      <c r="AP57" s="594">
        <v>22</v>
      </c>
      <c r="AQ57" s="594"/>
      <c r="AR57" s="599"/>
      <c r="AS57" s="594"/>
      <c r="AT57" s="594"/>
      <c r="AU57" s="594"/>
      <c r="AV57" s="594"/>
      <c r="AW57" s="594"/>
      <c r="AX57" s="593" t="s">
        <v>43</v>
      </c>
      <c r="AY57" s="598" t="s">
        <v>140</v>
      </c>
      <c r="AZ57" s="594"/>
      <c r="BA57" s="594"/>
      <c r="BB57" s="594"/>
      <c r="BC57" s="594"/>
      <c r="BD57" s="523"/>
      <c r="BE57" s="593"/>
      <c r="BF57" s="594"/>
      <c r="BG57" s="594"/>
      <c r="BH57" s="594"/>
      <c r="BI57" s="594">
        <v>3</v>
      </c>
      <c r="BJ57" s="594"/>
      <c r="BK57" s="594"/>
      <c r="BL57" s="594">
        <v>2</v>
      </c>
      <c r="BM57" s="594"/>
      <c r="BN57" s="594"/>
      <c r="BO57" s="593"/>
      <c r="BP57" s="594"/>
      <c r="BQ57" s="599"/>
      <c r="BR57" s="593"/>
      <c r="BS57" s="472">
        <v>0.7</v>
      </c>
      <c r="BT57" s="472">
        <v>0.65</v>
      </c>
      <c r="BU57" s="523">
        <v>9</v>
      </c>
      <c r="BV57" s="472">
        <v>0.75</v>
      </c>
      <c r="BW57" s="523"/>
      <c r="BX57" s="523"/>
      <c r="BY57" s="523"/>
      <c r="BZ57" s="601" t="str">
        <f>IFERROR(WWWW[[#This Row],['#_Water sources passed]]/WWWW[[#This Row],['#_Water sources tested for fecal coliform ]],"no test")</f>
        <v>no test</v>
      </c>
      <c r="CA57" s="599" t="str">
        <f>IFERROR(WWWW[[#This Row],['#_Household passed]]/WWWW[[#This Row],['#_Household water samples tested for fecal coliform]],"no test")</f>
        <v>no test</v>
      </c>
      <c r="CB57" s="600" t="str">
        <f>IF(AND(WWWW[[#This Row],[% of water sources passed]]="no test",WWWW[[#This Row],[% Household passed]]="no test"),"No Test","Tested")</f>
        <v>No Test</v>
      </c>
      <c r="CC57" s="600">
        <f>WWWW[[#This Row],['#_Constructed/existing protected hand dug well]]-WWWW[[#This Row],['#_Non-functional protected hand dug well]]</f>
        <v>1</v>
      </c>
      <c r="CD57" s="600">
        <f>(WWWW[[#This Row],['#_Constructed/Existing tube wells/boreholes/handpumps_WASH_agency]]+WWWW[[#This Row],['#_Non-Cluster partner water tube-wells/boreholes/handpumps]])-WWWW[[#This Row],['#_Non-functional tube wells/boreholes/handpumps]]</f>
        <v>0</v>
      </c>
      <c r="CE57" s="600">
        <f>WWWW[[#This Row],['#_Constructed/Existingwater storage tank with gravity fed reticulation system]]-WWWW[[#This Row],['#_Non-functional storage tank gravity fed reticulation system]]</f>
        <v>0</v>
      </c>
      <c r="CF57" s="478">
        <f>(WWWW[[#This Row],['#_Water_Liters_supplied_by_Water boating or water trucking]]/90)/15</f>
        <v>0</v>
      </c>
      <c r="CG57" s="478">
        <f>WWWW[[#This Row],['#_Water_Liters_from_Constructed/Existing water distribution system from river or natural spring]]/90/15</f>
        <v>0</v>
      </c>
      <c r="CH57" s="478">
        <f>WWWW[[#This Row],['#_of water points in TLS/CFS /THF]]*500</f>
        <v>0</v>
      </c>
      <c r="CI5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0.93023255813953487</v>
      </c>
      <c r="CJ5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0.58139534883720934</v>
      </c>
      <c r="CK57" s="599">
        <f>IF(WWWW[[#This Row],[Location Type 1]]="Village",WWWW[[#This Row],[Access to safe drinking water for Village]],WWWW[[#This Row],[Access to safe drinking water for Camp]])</f>
        <v>0.93023255813953487</v>
      </c>
      <c r="CL57" s="597">
        <f>WWWW[[#This Row],[%Equitable and continuous access to sufficient quantity of safe drinking water]]*WWWW[[#This Row],[Total PoP ]]</f>
        <v>400</v>
      </c>
      <c r="CM57" s="599">
        <f>IF((WWWW[[#This Row],['#_Constructed/Existing protected/fenced ponds]]*250)/WWWW[[#This Row],[Total PoP ]]&gt;1,1,(WWWW[[#This Row],['#_Constructed/Existing protected/fenced ponds]]*250)/WWWW[[#This Row],[Total PoP ]])</f>
        <v>0</v>
      </c>
      <c r="CN57" s="597">
        <f>WWWW[[#This Row],[% Access to unimproved water points]]*WWWW[[#This Row],[Total PoP ]]</f>
        <v>0</v>
      </c>
      <c r="CO5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P5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57" s="597">
        <f>WWWW[[#This Row],[HRP1]]/500</f>
        <v>0.8</v>
      </c>
      <c r="CR57" s="602">
        <f>1-WWWW[[#This Row],[% Equitable and continuous access to sufficient quantity of domestic water]]</f>
        <v>6.9767441860465129E-2</v>
      </c>
      <c r="CS57" s="597">
        <f>WWWW[[#This Row],[%equitable and continuous access to sufficient quantity of safe drinking and domestic water''s GAP]]*WWWW[[#This Row],[Total PoP ]]</f>
        <v>30.000000000000007</v>
      </c>
      <c r="CT57" s="600">
        <f>IF(WWWW[[#This Row],[Total required water points]]-WWWW[[#This Row],['#Water points coverage]]&lt;0,0,WWWW[[#This Row],[Total required water points]]-WWWW[[#This Row],['#Water points coverage]])</f>
        <v>0.19999999999999996</v>
      </c>
      <c r="CU57" s="600">
        <f>ROUND(IF(WWWW[[#This Row],[Total PoP ]]&lt;500,1,WWWW[[#This Row],[Total PoP ]]/500),0)</f>
        <v>1</v>
      </c>
      <c r="CV57" s="600">
        <f>(WWWW[[#This Row],['#_Constructed latrines_by_WASHAgencies]]+WWWW[[#This Row],['#_Non Cluster partner latrines]])-WWWW[[#This Row],['#_Non-functional latrines]]</f>
        <v>22</v>
      </c>
      <c r="CW57" s="70">
        <f>WWWW[[#This Row],[HRP2]]/WWWW[[#This Row],[Total PoP ]]</f>
        <v>1</v>
      </c>
      <c r="CX5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430</v>
      </c>
      <c r="CY5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 s="600">
        <f>IF(WWWW[[#This Row],['# of functional latrines in THF supported by WASH partners during the reporting period2]]="",0,WWWW[[#This Row],['# of functional latrines in THF supported by WASH partners during the reporting period2]]*50)</f>
        <v>0</v>
      </c>
      <c r="DB57" s="600">
        <f>WWWW[[#This Row],['# students access to functioning school latrines_HRP5]]+WWWW[[#This Row],['# People access to functioning latrines in THF_HRP5]]</f>
        <v>0</v>
      </c>
      <c r="DC57" s="600">
        <f>ROUND(IF(WWWW[[#This Row],[Location Type 1]]="camp",WWWW[[#This Row],[Total PoP ]]/20,IF(WWWW[[#This Row],[Location Type 1]]="Temporary Location",WWWW[[#This Row],[Total PoP ]]/50,WWWW[[#This Row],[Total HH]])),0)</f>
        <v>22</v>
      </c>
      <c r="DD57" s="600">
        <f>IF(WWWW[[#This Row],[Total required Latrines]]-(WWWW[[#This Row],['#_Constructed latrines_by_WASHAgencies]]+WWWW[[#This Row],['#_Non Cluster partner latrines]])&lt;0,0,WWWW[[#This Row],[Total required Latrines]]-(WWWW[[#This Row],['#_Constructed latrines_by_WASHAgencies]]+WWWW[[#This Row],['#_Non Cluster partner latrines]]))</f>
        <v>0</v>
      </c>
      <c r="DE57" s="602">
        <f>1-WWWW[[#This Row],[% people access to functioning Latrine]]</f>
        <v>0</v>
      </c>
      <c r="DF57" s="601">
        <f>IF(OR(WWWW[[#This Row],['#_Non-functional latrines]]="",WWWW[[#This Row],['#_Non-functional latrines]]=0),0,WWWW[[#This Row],['#_Non-functional latrines]]/(WWWW[[#This Row],['#_Constructed latrines_by_WASHAgencies]]+WWWW[[#This Row],['#_Non Cluster partner latrines]]))</f>
        <v>0</v>
      </c>
      <c r="DG57" s="597">
        <f>IF(500*(WWWW[[#This Row],['#_male hygiene promoters]]+WWWW[[#This Row],['#_female hygiene promoters]])&gt;WWWW[[#This Row],[Total PoP ]],WWWW[[#This Row],[Total PoP ]],500*(WWWW[[#This Row],['#_male hygiene promoters]]+WWWW[[#This Row],['#_female hygiene promoters]]))</f>
        <v>430</v>
      </c>
      <c r="DH5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 s="600">
        <f>IF(WWWW[[#This Row],['# People with access to soap]]&gt;WWWW[[#This Row],['# People with access to Sanity Pads]],WWWW[[#This Row],['# People with access to soap]],WWWW[[#This Row],['# People with access to Sanity Pads]])</f>
        <v>0</v>
      </c>
      <c r="DK57" s="600">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L57" s="602">
        <f>IF(WWWW[[#This Row],[HRP3]]/WWWW[[#This Row],[Total PoP ]]&gt;1,1,WWWW[[#This Row],[HRP3]]/WWWW[[#This Row],[Total PoP ]])</f>
        <v>1</v>
      </c>
      <c r="DM57" s="601">
        <f>1-WWWW[[#This Row],[Hygiene Coverage%]]</f>
        <v>0</v>
      </c>
      <c r="DN57" s="599">
        <f>WWWW[[#This Row],['# people reached by regular dedicated hygiene promotion_5]]/WWWW[[#This Row],[Total PoP ]]</f>
        <v>1</v>
      </c>
      <c r="DO5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 s="600">
        <f>WWWW[[#This Row],['#_Constructed/Existing hand washing stations]]-WWWW[[#This Row],['#_Non-Functional_hand_washing_stations]]</f>
        <v>0</v>
      </c>
      <c r="DR57" s="597">
        <f>IF(WWWW[[#This Row],['# Functional hand washing stations during reporting period]]*20&gt;WWWW[[#This Row],[Total HH]],WWWW[[#This Row],[Total HH]],WWWW[[#This Row],['# Functional hand washing stations during reporting period]]*20)</f>
        <v>0</v>
      </c>
      <c r="DS57" s="597">
        <f>IF(WWWW[[#This Row],[Is sufficient soap available for TLS? (Yes/No)]]="yes",WWWW[[#This Row],['#_Constructed/Existing hand washing stations at TLS]],0)</f>
        <v>0</v>
      </c>
      <c r="DT57" s="479">
        <f>IF(WWWW[[#This Row],['# Functional hand washing stations during reporting period]]*100&gt;WWWW[[#This Row],[Total PoP ]],WWWW[[#This Row],[Total PoP ]],WWWW[[#This Row],['# Functional hand washing stations during reporting period]]*100)</f>
        <v>0</v>
      </c>
      <c r="DU57" s="479" t="str">
        <f>IF(OR(WWWW[[#This Row],['#_students at TLS_CFS]]="",WWWW[[#This Row],['#_students at TLS_CFS]]=0),"No","Yes")</f>
        <v>No</v>
      </c>
      <c r="DV57" s="472">
        <f>IF(WWWW[[#This Row],['#_of_affected_people_surveyed_who_report_feeling_informed_about_the_different_WASH_services_available_to_them]]="","",WWWW[[#This Row],['#_of_affected_people_surveyed_who_report_feeling_informed_about_the_different_WASH_services_available_to_them]]/WWWW[[#This Row],[Total PoP ]])</f>
        <v>2.0930232558139535E-2</v>
      </c>
      <c r="DW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 s="593" t="str">
        <f>VLOOKUP(WWWW[[#This Row],[Site Name]],SiteDB6[[Site Name]:[CCCM Management]],6,FALSE)</f>
        <v>Yes</v>
      </c>
      <c r="DZ57" s="593" t="str">
        <f>VLOOKUP(WWWW[[#This Row],[Site Name]],SiteDB6[[Site Name]:[CCCM Focal Agency]],7,FALSE)</f>
        <v>KMSS-MYT</v>
      </c>
      <c r="EA57" s="593" t="str">
        <f>VLOOKUP(WWWW[[#This Row],[Site Name]],SiteDB6[[Site Name]:[Location Type 1]],9,FALSE)</f>
        <v>Camp</v>
      </c>
      <c r="EB57" s="593" t="str">
        <f>VLOOKUP(WWWW[[#This Row],[Site Name]],SiteDB6[[Site Name]:[Type of Accommodation]],10,FALSE)</f>
        <v>Camp</v>
      </c>
      <c r="EC57" s="593" t="str">
        <f>VLOOKUP(WWWW[[#This Row],[Site Name]],SiteDB6[[Site Name]:[Ethnic or GCA/NGCA]],11,FALSE)</f>
        <v>GCA</v>
      </c>
      <c r="ED57" s="593">
        <f>VLOOKUP(WWWW[[#This Row],[Site Name]],SiteDB6[[Site Name]:[Lat]],12,FALSE)</f>
        <v>25.403476999999999</v>
      </c>
      <c r="EE57" s="593">
        <f>VLOOKUP(WWWW[[#This Row],[Site Name]],SiteDB6[[Site Name]:[Long]],13,FALSE)</f>
        <v>97.373361000000003</v>
      </c>
      <c r="EF57" s="593" t="str">
        <f>VLOOKUP(WWWW[[#This Row],[Site Name]],SiteDB6[[Site Name]:[Pcode]],3,FALSE)</f>
        <v>MMR001CMP019</v>
      </c>
      <c r="EG57" s="598" t="str">
        <f t="shared" si="0"/>
        <v>Covered</v>
      </c>
      <c r="EH57" s="598" t="str">
        <f>VLOOKUP(WWWW[[#This Row],[Site Name]],SiteDB6[[Site Name]:[open in cccm?]],2,FALSE)</f>
        <v>cccm_2019OCT</v>
      </c>
    </row>
    <row r="58" spans="1:138" hidden="1">
      <c r="A58" s="591" t="s">
        <v>3261</v>
      </c>
      <c r="B58" s="591" t="s">
        <v>38</v>
      </c>
      <c r="C58" s="592" t="s">
        <v>38</v>
      </c>
      <c r="D58" s="592" t="s">
        <v>244</v>
      </c>
      <c r="E58" s="592" t="s">
        <v>39</v>
      </c>
      <c r="F58" s="592" t="s">
        <v>208</v>
      </c>
      <c r="G58" s="721" t="str">
        <f>VLOOKUP(WWWW[[#This Row],[Site Name]],SiteDB6[[Site Name]:[Location Type]],8,FALSE)</f>
        <v>Camp</v>
      </c>
      <c r="H58" s="592" t="s">
        <v>293</v>
      </c>
      <c r="I58" s="594">
        <v>1490</v>
      </c>
      <c r="J58" s="594">
        <v>8486</v>
      </c>
      <c r="K58" s="595">
        <v>43435</v>
      </c>
      <c r="L58" s="596">
        <v>43799</v>
      </c>
      <c r="M58" s="594">
        <v>1340</v>
      </c>
      <c r="N58" s="594"/>
      <c r="O58" s="594"/>
      <c r="P58" s="594"/>
      <c r="Q58" s="597" t="s">
        <v>43</v>
      </c>
      <c r="R58" s="594"/>
      <c r="S58" s="594"/>
      <c r="T58" s="523">
        <v>1</v>
      </c>
      <c r="U58" s="594"/>
      <c r="V58" s="594"/>
      <c r="W58" s="594"/>
      <c r="X58" s="594"/>
      <c r="Y58" s="594"/>
      <c r="Z58" s="594"/>
      <c r="AA58" s="594"/>
      <c r="AB58" s="594"/>
      <c r="AC58" s="594"/>
      <c r="AD58" s="594"/>
      <c r="AE58" s="594"/>
      <c r="AF58" s="594"/>
      <c r="AG58" s="594"/>
      <c r="AH58" s="594"/>
      <c r="AI58" s="594"/>
      <c r="AJ58" s="594"/>
      <c r="AK58" s="594"/>
      <c r="AL58" s="594"/>
      <c r="AM58" s="594">
        <v>3</v>
      </c>
      <c r="AN58" s="594"/>
      <c r="AO58" s="598"/>
      <c r="AP58" s="594">
        <v>22</v>
      </c>
      <c r="AQ58" s="594"/>
      <c r="AR58" s="599"/>
      <c r="AS58" s="594"/>
      <c r="AT58" s="594"/>
      <c r="AU58" s="594"/>
      <c r="AV58" s="594"/>
      <c r="AW58" s="594"/>
      <c r="AX58" s="593" t="s">
        <v>43</v>
      </c>
      <c r="AY58" s="598" t="s">
        <v>140</v>
      </c>
      <c r="AZ58" s="594">
        <v>6</v>
      </c>
      <c r="BA58" s="594"/>
      <c r="BB58" s="594"/>
      <c r="BC58" s="594"/>
      <c r="BD58" s="523"/>
      <c r="BE58" s="593"/>
      <c r="BF58" s="594"/>
      <c r="BG58" s="594"/>
      <c r="BH58" s="594"/>
      <c r="BI58" s="594">
        <v>3</v>
      </c>
      <c r="BJ58" s="594"/>
      <c r="BK58" s="594"/>
      <c r="BL58" s="594">
        <v>2</v>
      </c>
      <c r="BM58" s="594"/>
      <c r="BN58" s="594"/>
      <c r="BO58" s="593" t="s">
        <v>139</v>
      </c>
      <c r="BP58" s="594"/>
      <c r="BQ58" s="599"/>
      <c r="BR58" s="593"/>
      <c r="BS58" s="472"/>
      <c r="BT58" s="472"/>
      <c r="BU58" s="523"/>
      <c r="BV58" s="472"/>
      <c r="BW58" s="523"/>
      <c r="BX58" s="523"/>
      <c r="BY58" s="523"/>
      <c r="BZ58" s="601" t="str">
        <f>IFERROR(WWWW[[#This Row],['#_Water sources passed]]/WWWW[[#This Row],['#_Water sources tested for fecal coliform ]],"no test")</f>
        <v>no test</v>
      </c>
      <c r="CA58" s="599" t="str">
        <f>IFERROR(WWWW[[#This Row],['#_Household passed]]/WWWW[[#This Row],['#_Household water samples tested for fecal coliform]],"no test")</f>
        <v>no test</v>
      </c>
      <c r="CB58" s="600" t="str">
        <f>IF(AND(WWWW[[#This Row],[% of water sources passed]]="no test",WWWW[[#This Row],[% Household passed]]="no test"),"No Test","Tested")</f>
        <v>No Test</v>
      </c>
      <c r="CC58" s="600">
        <f>WWWW[[#This Row],['#_Constructed/existing protected hand dug well]]-WWWW[[#This Row],['#_Non-functional protected hand dug well]]</f>
        <v>1</v>
      </c>
      <c r="CD58" s="600">
        <f>(WWWW[[#This Row],['#_Constructed/Existing tube wells/boreholes/handpumps_WASH_agency]]+WWWW[[#This Row],['#_Non-Cluster partner water tube-wells/boreholes/handpumps]])-WWWW[[#This Row],['#_Non-functional tube wells/boreholes/handpumps]]</f>
        <v>0</v>
      </c>
      <c r="CE58" s="600">
        <f>WWWW[[#This Row],['#_Constructed/Existingwater storage tank with gravity fed reticulation system]]-WWWW[[#This Row],['#_Non-functional storage tank gravity fed reticulation system]]</f>
        <v>0</v>
      </c>
      <c r="CF58" s="478">
        <f>(WWWW[[#This Row],['#_Water_Liters_supplied_by_Water boating or water trucking]]/90)/15</f>
        <v>0</v>
      </c>
      <c r="CG58" s="478">
        <f>WWWW[[#This Row],['#_Water_Liters_from_Constructed/Existing water distribution system from river or natural spring]]/90/15</f>
        <v>0</v>
      </c>
      <c r="CH58" s="478">
        <f>WWWW[[#This Row],['#_of water points in TLS/CFS /THF]]*500</f>
        <v>0</v>
      </c>
      <c r="CI5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J5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K58" s="599">
        <f>IF(WWWW[[#This Row],[Location Type 1]]="Village",WWWW[[#This Row],[Access to safe drinking water for Village]],WWWW[[#This Row],[Access to safe drinking water for Camp]])</f>
        <v>4.7136460051850106E-2</v>
      </c>
      <c r="CL58" s="597">
        <f>WWWW[[#This Row],[%Equitable and continuous access to sufficient quantity of safe drinking water]]*WWWW[[#This Row],[Total PoP ]]</f>
        <v>400</v>
      </c>
      <c r="CM58" s="599">
        <f>IF((WWWW[[#This Row],['#_Constructed/Existing protected/fenced ponds]]*250)/WWWW[[#This Row],[Total PoP ]]&gt;1,1,(WWWW[[#This Row],['#_Constructed/Existing protected/fenced ponds]]*250)/WWWW[[#This Row],[Total PoP ]])</f>
        <v>0</v>
      </c>
      <c r="CN58" s="597">
        <f>WWWW[[#This Row],[% Access to unimproved water points]]*WWWW[[#This Row],[Total PoP ]]</f>
        <v>0</v>
      </c>
      <c r="CO5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P5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58" s="597">
        <f>WWWW[[#This Row],[HRP1]]/500</f>
        <v>0.8</v>
      </c>
      <c r="CR58" s="602">
        <f>1-WWWW[[#This Row],[% Equitable and continuous access to sufficient quantity of domestic water]]</f>
        <v>0.95286353994814987</v>
      </c>
      <c r="CS58" s="597">
        <f>WWWW[[#This Row],[%equitable and continuous access to sufficient quantity of safe drinking and domestic water''s GAP]]*WWWW[[#This Row],[Total PoP ]]</f>
        <v>8086</v>
      </c>
      <c r="CT58" s="600">
        <f>IF(WWWW[[#This Row],[Total required water points]]-WWWW[[#This Row],['#Water points coverage]]&lt;0,0,WWWW[[#This Row],[Total required water points]]-WWWW[[#This Row],['#Water points coverage]])</f>
        <v>16.2</v>
      </c>
      <c r="CU58" s="600">
        <f>ROUND(IF(WWWW[[#This Row],[Total PoP ]]&lt;500,1,WWWW[[#This Row],[Total PoP ]]/500),0)</f>
        <v>17</v>
      </c>
      <c r="CV58" s="600">
        <f>(WWWW[[#This Row],['#_Constructed latrines_by_WASHAgencies]]+WWWW[[#This Row],['#_Non Cluster partner latrines]])-WWWW[[#This Row],['#_Non-functional latrines]]</f>
        <v>22</v>
      </c>
      <c r="CW58" s="70">
        <f>WWWW[[#This Row],[HRP2]]/WWWW[[#This Row],[Total PoP ]]</f>
        <v>6.5991044072590155E-2</v>
      </c>
      <c r="CX5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 s="600">
        <f>IF(WWWW[[#This Row],['# of functional latrines in THF supported by WASH partners during the reporting period2]]="",0,WWWW[[#This Row],['# of functional latrines in THF supported by WASH partners during the reporting period2]]*50)</f>
        <v>0</v>
      </c>
      <c r="DB58" s="600">
        <f>WWWW[[#This Row],['# students access to functioning school latrines_HRP5]]+WWWW[[#This Row],['# People access to functioning latrines in THF_HRP5]]</f>
        <v>0</v>
      </c>
      <c r="DC58" s="600">
        <f>ROUND(IF(WWWW[[#This Row],[Location Type 1]]="camp",WWWW[[#This Row],[Total PoP ]]/20,IF(WWWW[[#This Row],[Location Type 1]]="Temporary Location",WWWW[[#This Row],[Total PoP ]]/50,WWWW[[#This Row],[Total HH]])),0)</f>
        <v>424</v>
      </c>
      <c r="DD58" s="600">
        <f>IF(WWWW[[#This Row],[Total required Latrines]]-(WWWW[[#This Row],['#_Constructed latrines_by_WASHAgencies]]+WWWW[[#This Row],['#_Non Cluster partner latrines]])&lt;0,0,WWWW[[#This Row],[Total required Latrines]]-(WWWW[[#This Row],['#_Constructed latrines_by_WASHAgencies]]+WWWW[[#This Row],['#_Non Cluster partner latrines]]))</f>
        <v>402</v>
      </c>
      <c r="DE58" s="602">
        <f>1-WWWW[[#This Row],[% people access to functioning Latrine]]</f>
        <v>0.93400895592740985</v>
      </c>
      <c r="DF58" s="601">
        <f>IF(OR(WWWW[[#This Row],['#_Non-functional latrines]]="",WWWW[[#This Row],['#_Non-functional latrines]]=0),0,WWWW[[#This Row],['#_Non-functional latrines]]/(WWWW[[#This Row],['#_Constructed latrines_by_WASHAgencies]]+WWWW[[#This Row],['#_Non Cluster partner latrines]]))</f>
        <v>0</v>
      </c>
      <c r="DG58" s="597">
        <f>IF(500*(WWWW[[#This Row],['#_male hygiene promoters]]+WWWW[[#This Row],['#_female hygiene promoters]])&gt;WWWW[[#This Row],[Total PoP ]],WWWW[[#This Row],[Total PoP ]],500*(WWWW[[#This Row],['#_male hygiene promoters]]+WWWW[[#This Row],['#_female hygiene promoters]]))</f>
        <v>1000</v>
      </c>
      <c r="DH5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 s="600">
        <f>IF(WWWW[[#This Row],['# People with access to soap]]&gt;WWWW[[#This Row],['# People with access to Sanity Pads]],WWWW[[#This Row],['# People with access to soap]],WWWW[[#This Row],['# People with access to Sanity Pads]])</f>
        <v>0</v>
      </c>
      <c r="DK58" s="600">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L58" s="602">
        <f>IF(WWWW[[#This Row],[HRP3]]/WWWW[[#This Row],[Total PoP ]]&gt;1,1,WWWW[[#This Row],[HRP3]]/WWWW[[#This Row],[Total PoP ]])</f>
        <v>0.11784115012962526</v>
      </c>
      <c r="DM58" s="601">
        <f>1-WWWW[[#This Row],[Hygiene Coverage%]]</f>
        <v>0.88215884987037474</v>
      </c>
      <c r="DN58" s="599">
        <f>WWWW[[#This Row],['# people reached by regular dedicated hygiene promotion_5]]/WWWW[[#This Row],[Total PoP ]]</f>
        <v>0.11784115012962526</v>
      </c>
      <c r="DO5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 s="600">
        <f>WWWW[[#This Row],['#_Constructed/Existing hand washing stations]]-WWWW[[#This Row],['#_Non-Functional_hand_washing_stations]]</f>
        <v>0</v>
      </c>
      <c r="DR58" s="597">
        <f>IF(WWWW[[#This Row],['# Functional hand washing stations during reporting period]]*20&gt;WWWW[[#This Row],[Total HH]],WWWW[[#This Row],[Total HH]],WWWW[[#This Row],['# Functional hand washing stations during reporting period]]*20)</f>
        <v>0</v>
      </c>
      <c r="DS58" s="597">
        <f>IF(WWWW[[#This Row],[Is sufficient soap available for TLS? (Yes/No)]]="yes",WWWW[[#This Row],['#_Constructed/Existing hand washing stations at TLS]],0)</f>
        <v>0</v>
      </c>
      <c r="DT58" s="479">
        <f>IF(WWWW[[#This Row],['# Functional hand washing stations during reporting period]]*100&gt;WWWW[[#This Row],[Total PoP ]],WWWW[[#This Row],[Total PoP ]],WWWW[[#This Row],['# Functional hand washing stations during reporting period]]*100)</f>
        <v>0</v>
      </c>
      <c r="DU58" s="479" t="str">
        <f>IF(OR(WWWW[[#This Row],['#_students at TLS_CFS]]="",WWWW[[#This Row],['#_students at TLS_CFS]]=0),"No","Yes")</f>
        <v>Yes</v>
      </c>
      <c r="DV5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 s="593" t="str">
        <f>VLOOKUP(WWWW[[#This Row],[Site Name]],SiteDB6[[Site Name]:[CCCM Management]],6,FALSE)</f>
        <v>Yes</v>
      </c>
      <c r="DZ58" s="593" t="str">
        <f>VLOOKUP(WWWW[[#This Row],[Site Name]],SiteDB6[[Site Name]:[CCCM Focal Agency]],7,FALSE)</f>
        <v>KMSS-MYT</v>
      </c>
      <c r="EA58" s="593" t="str">
        <f>VLOOKUP(WWWW[[#This Row],[Site Name]],SiteDB6[[Site Name]:[Location Type 1]],9,FALSE)</f>
        <v>Camp</v>
      </c>
      <c r="EB58" s="593" t="str">
        <f>VLOOKUP(WWWW[[#This Row],[Site Name]],SiteDB6[[Site Name]:[Type of Accommodation]],10,FALSE)</f>
        <v>Camp</v>
      </c>
      <c r="EC58" s="593" t="str">
        <f>VLOOKUP(WWWW[[#This Row],[Site Name]],SiteDB6[[Site Name]:[Ethnic or GCA/NGCA]],11,FALSE)</f>
        <v>NGCA</v>
      </c>
      <c r="ED58" s="593">
        <f>VLOOKUP(WWWW[[#This Row],[Site Name]],SiteDB6[[Site Name]:[Lat]],12,FALSE)</f>
        <v>24.688338999999999</v>
      </c>
      <c r="EE58" s="593">
        <f>VLOOKUP(WWWW[[#This Row],[Site Name]],SiteDB6[[Site Name]:[Long]],13,FALSE)</f>
        <v>97.568331999999998</v>
      </c>
      <c r="EF58" s="593" t="str">
        <f>VLOOKUP(WWWW[[#This Row],[Site Name]],SiteDB6[[Site Name]:[Pcode]],3,FALSE)</f>
        <v>MMR001CMP121</v>
      </c>
      <c r="EG58" s="598" t="str">
        <f t="shared" si="0"/>
        <v>Covered</v>
      </c>
      <c r="EH58" s="598" t="str">
        <f>VLOOKUP(WWWW[[#This Row],[Site Name]],SiteDB6[[Site Name]:[open in cccm?]],2,FALSE)</f>
        <v>cccm_2019OCT</v>
      </c>
    </row>
    <row r="59" spans="1:138" hidden="1">
      <c r="A59" s="591" t="s">
        <v>3261</v>
      </c>
      <c r="B59" s="591" t="s">
        <v>38</v>
      </c>
      <c r="C59" s="592" t="s">
        <v>38</v>
      </c>
      <c r="D59" s="592" t="s">
        <v>323</v>
      </c>
      <c r="E59" s="592" t="s">
        <v>39</v>
      </c>
      <c r="F59" s="592" t="s">
        <v>162</v>
      </c>
      <c r="G59" s="721" t="str">
        <f>VLOOKUP(WWWW[[#This Row],[Site Name]],SiteDB6[[Site Name]:[Location Type]],8,FALSE)</f>
        <v>Camp</v>
      </c>
      <c r="H59" s="592" t="s">
        <v>1111</v>
      </c>
      <c r="I59" s="594">
        <v>14</v>
      </c>
      <c r="J59" s="594">
        <v>39</v>
      </c>
      <c r="K59" s="595">
        <v>43374</v>
      </c>
      <c r="L59" s="596">
        <v>43830</v>
      </c>
      <c r="M59" s="594"/>
      <c r="N59" s="594"/>
      <c r="O59" s="594"/>
      <c r="P59" s="594"/>
      <c r="Q59" s="479" t="s">
        <v>43</v>
      </c>
      <c r="R59" s="594"/>
      <c r="S59" s="594">
        <v>4</v>
      </c>
      <c r="T59" s="523"/>
      <c r="U59" s="594"/>
      <c r="V59" s="594"/>
      <c r="W59" s="594">
        <v>1</v>
      </c>
      <c r="X59" s="594"/>
      <c r="Y59" s="594"/>
      <c r="Z59" s="594"/>
      <c r="AA59" s="594"/>
      <c r="AB59" s="594"/>
      <c r="AC59" s="594"/>
      <c r="AD59" s="594"/>
      <c r="AE59" s="594"/>
      <c r="AF59" s="594"/>
      <c r="AG59" s="594"/>
      <c r="AH59" s="594"/>
      <c r="AI59" s="594"/>
      <c r="AJ59" s="594"/>
      <c r="AK59" s="594"/>
      <c r="AL59" s="594"/>
      <c r="AM59" s="594"/>
      <c r="AN59" s="594"/>
      <c r="AO59" s="598"/>
      <c r="AP59" s="594">
        <v>4</v>
      </c>
      <c r="AQ59" s="594"/>
      <c r="AR59" s="599"/>
      <c r="AS59" s="594"/>
      <c r="AT59" s="594">
        <v>2</v>
      </c>
      <c r="AU59" s="594"/>
      <c r="AV59" s="594"/>
      <c r="AW59" s="594"/>
      <c r="AX59" s="593" t="s">
        <v>139</v>
      </c>
      <c r="AY59" s="598" t="s">
        <v>139</v>
      </c>
      <c r="AZ59" s="594"/>
      <c r="BA59" s="594"/>
      <c r="BB59" s="594"/>
      <c r="BC59" s="594"/>
      <c r="BD59" s="523"/>
      <c r="BE59" s="593"/>
      <c r="BF59" s="594">
        <v>2</v>
      </c>
      <c r="BG59" s="594"/>
      <c r="BH59" s="594"/>
      <c r="BI59" s="594">
        <v>2</v>
      </c>
      <c r="BJ59" s="594"/>
      <c r="BK59" s="594"/>
      <c r="BL59" s="594">
        <v>1</v>
      </c>
      <c r="BM59" s="594"/>
      <c r="BN59" s="594"/>
      <c r="BO59" s="593"/>
      <c r="BP59" s="594"/>
      <c r="BQ59" s="599"/>
      <c r="BR59" s="593"/>
      <c r="BS59" s="472">
        <v>0.5</v>
      </c>
      <c r="BT59" s="472">
        <v>0.5</v>
      </c>
      <c r="BU59" s="523">
        <v>16</v>
      </c>
      <c r="BV59" s="472">
        <v>0.7</v>
      </c>
      <c r="BW59" s="523"/>
      <c r="BX59" s="523"/>
      <c r="BY59" s="523"/>
      <c r="BZ59" s="601" t="str">
        <f>IFERROR(WWWW[[#This Row],['#_Water sources passed]]/WWWW[[#This Row],['#_Water sources tested for fecal coliform ]],"no test")</f>
        <v>no test</v>
      </c>
      <c r="CA59" s="599" t="str">
        <f>IFERROR(WWWW[[#This Row],['#_Household passed]]/WWWW[[#This Row],['#_Household water samples tested for fecal coliform]],"no test")</f>
        <v>no test</v>
      </c>
      <c r="CB59" s="600" t="str">
        <f>IF(AND(WWWW[[#This Row],[% of water sources passed]]="no test",WWWW[[#This Row],[% Household passed]]="no test"),"No Test","Tested")</f>
        <v>No Test</v>
      </c>
      <c r="CC59" s="600">
        <f>WWWW[[#This Row],['#_Constructed/existing protected hand dug well]]-WWWW[[#This Row],['#_Non-functional protected hand dug well]]</f>
        <v>0</v>
      </c>
      <c r="CD59" s="600">
        <f>(WWWW[[#This Row],['#_Constructed/Existing tube wells/boreholes/handpumps_WASH_agency]]+WWWW[[#This Row],['#_Non-Cluster partner water tube-wells/boreholes/handpumps]])-WWWW[[#This Row],['#_Non-functional tube wells/boreholes/handpumps]]</f>
        <v>1</v>
      </c>
      <c r="CE59" s="600">
        <f>WWWW[[#This Row],['#_Constructed/Existingwater storage tank with gravity fed reticulation system]]-WWWW[[#This Row],['#_Non-functional storage tank gravity fed reticulation system]]</f>
        <v>0</v>
      </c>
      <c r="CF59" s="478">
        <f>(WWWW[[#This Row],['#_Water_Liters_supplied_by_Water boating or water trucking]]/90)/15</f>
        <v>0</v>
      </c>
      <c r="CG59" s="478">
        <f>WWWW[[#This Row],['#_Water_Liters_from_Constructed/Existing water distribution system from river or natural spring]]/90/15</f>
        <v>0</v>
      </c>
      <c r="CH59" s="478">
        <f>WWWW[[#This Row],['#_of water points in TLS/CFS /THF]]*500</f>
        <v>0</v>
      </c>
      <c r="CI5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 s="599">
        <f>IF(WWWW[[#This Row],[Location Type 1]]="Village",WWWW[[#This Row],[Access to safe drinking water for Village]],WWWW[[#This Row],[Access to safe drinking water for Camp]])</f>
        <v>1</v>
      </c>
      <c r="CL59" s="597">
        <f>WWWW[[#This Row],[%Equitable and continuous access to sufficient quantity of safe drinking water]]*WWWW[[#This Row],[Total PoP ]]</f>
        <v>39</v>
      </c>
      <c r="CM59" s="599">
        <f>IF((WWWW[[#This Row],['#_Constructed/Existing protected/fenced ponds]]*250)/WWWW[[#This Row],[Total PoP ]]&gt;1,1,(WWWW[[#This Row],['#_Constructed/Existing protected/fenced ponds]]*250)/WWWW[[#This Row],[Total PoP ]])</f>
        <v>0</v>
      </c>
      <c r="CN59" s="597">
        <f>WWWW[[#This Row],[% Access to unimproved water points]]*WWWW[[#This Row],[Total PoP ]]</f>
        <v>0</v>
      </c>
      <c r="CO5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Q59" s="597">
        <f>WWWW[[#This Row],[HRP1]]/500</f>
        <v>7.8E-2</v>
      </c>
      <c r="CR59" s="602">
        <f>1-WWWW[[#This Row],[% Equitable and continuous access to sufficient quantity of domestic water]]</f>
        <v>0</v>
      </c>
      <c r="CS59" s="597">
        <f>WWWW[[#This Row],[%equitable and continuous access to sufficient quantity of safe drinking and domestic water''s GAP]]*WWWW[[#This Row],[Total PoP ]]</f>
        <v>0</v>
      </c>
      <c r="CT59" s="600">
        <f>IF(WWWW[[#This Row],[Total required water points]]-WWWW[[#This Row],['#Water points coverage]]&lt;0,0,WWWW[[#This Row],[Total required water points]]-WWWW[[#This Row],['#Water points coverage]])</f>
        <v>0.92200000000000004</v>
      </c>
      <c r="CU59" s="600">
        <f>ROUND(IF(WWWW[[#This Row],[Total PoP ]]&lt;500,1,WWWW[[#This Row],[Total PoP ]]/500),0)</f>
        <v>1</v>
      </c>
      <c r="CV59" s="600">
        <f>(WWWW[[#This Row],['#_Constructed latrines_by_WASHAgencies]]+WWWW[[#This Row],['#_Non Cluster partner latrines]])-WWWW[[#This Row],['#_Non-functional latrines]]</f>
        <v>4</v>
      </c>
      <c r="CW59" s="70">
        <f>WWWW[[#This Row],[HRP2]]/WWWW[[#This Row],[Total PoP ]]</f>
        <v>1</v>
      </c>
      <c r="CX5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v>
      </c>
      <c r="CY5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 s="600">
        <f>IF(WWWW[[#This Row],['# of functional latrines in THF supported by WASH partners during the reporting period2]]="",0,WWWW[[#This Row],['# of functional latrines in THF supported by WASH partners during the reporting period2]]*50)</f>
        <v>0</v>
      </c>
      <c r="DB59" s="600">
        <f>WWWW[[#This Row],['# students access to functioning school latrines_HRP5]]+WWWW[[#This Row],['# People access to functioning latrines in THF_HRP5]]</f>
        <v>0</v>
      </c>
      <c r="DC59" s="600">
        <f>ROUND(IF(WWWW[[#This Row],[Location Type 1]]="camp",WWWW[[#This Row],[Total PoP ]]/20,IF(WWWW[[#This Row],[Location Type 1]]="Temporary Location",WWWW[[#This Row],[Total PoP ]]/50,WWWW[[#This Row],[Total HH]])),0)</f>
        <v>2</v>
      </c>
      <c r="DD59" s="600">
        <f>IF(WWWW[[#This Row],[Total required Latrines]]-(WWWW[[#This Row],['#_Constructed latrines_by_WASHAgencies]]+WWWW[[#This Row],['#_Non Cluster partner latrines]])&lt;0,0,WWWW[[#This Row],[Total required Latrines]]-(WWWW[[#This Row],['#_Constructed latrines_by_WASHAgencies]]+WWWW[[#This Row],['#_Non Cluster partner latrines]]))</f>
        <v>0</v>
      </c>
      <c r="DE59" s="602">
        <f>1-WWWW[[#This Row],[% people access to functioning Latrine]]</f>
        <v>0</v>
      </c>
      <c r="DF59" s="601">
        <f>IF(OR(WWWW[[#This Row],['#_Non-functional latrines]]="",WWWW[[#This Row],['#_Non-functional latrines]]=0),0,WWWW[[#This Row],['#_Non-functional latrines]]/(WWWW[[#This Row],['#_Constructed latrines_by_WASHAgencies]]+WWWW[[#This Row],['#_Non Cluster partner latrines]]))</f>
        <v>0</v>
      </c>
      <c r="DG59" s="597">
        <f>IF(500*(WWWW[[#This Row],['#_male hygiene promoters]]+WWWW[[#This Row],['#_female hygiene promoters]])&gt;WWWW[[#This Row],[Total PoP ]],WWWW[[#This Row],[Total PoP ]],500*(WWWW[[#This Row],['#_male hygiene promoters]]+WWWW[[#This Row],['#_female hygiene promoters]]))</f>
        <v>39</v>
      </c>
      <c r="DH5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 s="600">
        <f>IF(WWWW[[#This Row],['# People with access to soap]]&gt;WWWW[[#This Row],['# People with access to Sanity Pads]],WWWW[[#This Row],['# People with access to soap]],WWWW[[#This Row],['# People with access to Sanity Pads]])</f>
        <v>0</v>
      </c>
      <c r="DK59" s="600">
        <f>IF(WWWW[[#This Row],['# people reached by regular dedicated hygiene promotion_5]]&gt;WWWW[[#This Row],['# People received regular supply of hygiene items_6]],WWWW[[#This Row],['# people reached by regular dedicated hygiene promotion_5]],WWWW[[#This Row],['# People received regular supply of hygiene items_6]])</f>
        <v>39</v>
      </c>
      <c r="DL59" s="602">
        <f>IF(WWWW[[#This Row],[HRP3]]/WWWW[[#This Row],[Total PoP ]]&gt;1,1,WWWW[[#This Row],[HRP3]]/WWWW[[#This Row],[Total PoP ]])</f>
        <v>1</v>
      </c>
      <c r="DM59" s="601">
        <f>1-WWWW[[#This Row],[Hygiene Coverage%]]</f>
        <v>0</v>
      </c>
      <c r="DN59" s="599">
        <f>WWWW[[#This Row],['# people reached by regular dedicated hygiene promotion_5]]/WWWW[[#This Row],[Total PoP ]]</f>
        <v>1</v>
      </c>
      <c r="DO5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 s="600">
        <f>WWWW[[#This Row],['#_Constructed/Existing hand washing stations]]-WWWW[[#This Row],['#_Non-Functional_hand_washing_stations]]</f>
        <v>2</v>
      </c>
      <c r="DR59" s="597">
        <f>IF(WWWW[[#This Row],['# Functional hand washing stations during reporting period]]*20&gt;WWWW[[#This Row],[Total HH]],WWWW[[#This Row],[Total HH]],WWWW[[#This Row],['# Functional hand washing stations during reporting period]]*20)</f>
        <v>14</v>
      </c>
      <c r="DS59" s="597">
        <f>IF(WWWW[[#This Row],[Is sufficient soap available for TLS? (Yes/No)]]="yes",WWWW[[#This Row],['#_Constructed/Existing hand washing stations at TLS]],0)</f>
        <v>0</v>
      </c>
      <c r="DT59" s="479">
        <f>IF(WWWW[[#This Row],['# Functional hand washing stations during reporting period]]*100&gt;WWWW[[#This Row],[Total PoP ]],WWWW[[#This Row],[Total PoP ]],WWWW[[#This Row],['# Functional hand washing stations during reporting period]]*100)</f>
        <v>39</v>
      </c>
      <c r="DU59" s="479" t="str">
        <f>IF(OR(WWWW[[#This Row],['#_students at TLS_CFS]]="",WWWW[[#This Row],['#_students at TLS_CFS]]=0),"No","Yes")</f>
        <v>No</v>
      </c>
      <c r="DV59" s="472">
        <f>IF(WWWW[[#This Row],['#_of_affected_people_surveyed_who_report_feeling_informed_about_the_different_WASH_services_available_to_them]]="","",WWWW[[#This Row],['#_of_affected_people_surveyed_who_report_feeling_informed_about_the_different_WASH_services_available_to_them]]/WWWW[[#This Row],[Total PoP ]])</f>
        <v>0.41025641025641024</v>
      </c>
      <c r="DW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 s="593">
        <f>VLOOKUP(WWWW[[#This Row],[Site Name]],SiteDB6[[Site Name]:[CCCM Management]],6,FALSE)</f>
        <v>0</v>
      </c>
      <c r="DZ59" s="593" t="str">
        <f>VLOOKUP(WWWW[[#This Row],[Site Name]],SiteDB6[[Site Name]:[CCCM Focal Agency]],7,FALSE)</f>
        <v>KMSS-MYT</v>
      </c>
      <c r="EA59" s="593" t="str">
        <f>VLOOKUP(WWWW[[#This Row],[Site Name]],SiteDB6[[Site Name]:[Location Type 1]],9,FALSE)</f>
        <v>Camp</v>
      </c>
      <c r="EB59" s="593" t="str">
        <f>VLOOKUP(WWWW[[#This Row],[Site Name]],SiteDB6[[Site Name]:[Type of Accommodation]],10,FALSE)</f>
        <v>Camp</v>
      </c>
      <c r="EC59" s="593" t="str">
        <f>VLOOKUP(WWWW[[#This Row],[Site Name]],SiteDB6[[Site Name]:[Ethnic or GCA/NGCA]],11,FALSE)</f>
        <v>GCA</v>
      </c>
      <c r="ED59" s="593">
        <f>VLOOKUP(WWWW[[#This Row],[Site Name]],SiteDB6[[Site Name]:[Lat]],12,FALSE)</f>
        <v>0</v>
      </c>
      <c r="EE59" s="593">
        <f>VLOOKUP(WWWW[[#This Row],[Site Name]],SiteDB6[[Site Name]:[Long]],13,FALSE)</f>
        <v>0</v>
      </c>
      <c r="EF59" s="593" t="str">
        <f>VLOOKUP(WWWW[[#This Row],[Site Name]],SiteDB6[[Site Name]:[Pcode]],3,FALSE)</f>
        <v>MMR001CMP256</v>
      </c>
      <c r="EG59" s="598" t="str">
        <f t="shared" si="0"/>
        <v>Covered</v>
      </c>
      <c r="EH59" s="598" t="str">
        <f>VLOOKUP(WWWW[[#This Row],[Site Name]],SiteDB6[[Site Name]:[open in cccm?]],2,FALSE)</f>
        <v>cccm_2019OCT</v>
      </c>
    </row>
    <row r="60" spans="1:138" hidden="1">
      <c r="A60" s="591" t="s">
        <v>3261</v>
      </c>
      <c r="B60" s="591" t="s">
        <v>38</v>
      </c>
      <c r="C60" s="592" t="s">
        <v>38</v>
      </c>
      <c r="D60" s="592" t="s">
        <v>323</v>
      </c>
      <c r="E60" s="592" t="s">
        <v>39</v>
      </c>
      <c r="F60" s="592" t="s">
        <v>151</v>
      </c>
      <c r="G60" s="721" t="str">
        <f>VLOOKUP(WWWW[[#This Row],[Site Name]],SiteDB6[[Site Name]:[Location Type]],8,FALSE)</f>
        <v>Camp</v>
      </c>
      <c r="H60" s="592" t="s">
        <v>2021</v>
      </c>
      <c r="I60" s="594">
        <v>16</v>
      </c>
      <c r="J60" s="594">
        <v>63</v>
      </c>
      <c r="K60" s="595">
        <v>43374</v>
      </c>
      <c r="L60" s="596">
        <v>43830</v>
      </c>
      <c r="M60" s="594"/>
      <c r="N60" s="594"/>
      <c r="O60" s="594"/>
      <c r="P60" s="594"/>
      <c r="Q60" s="597" t="s">
        <v>43</v>
      </c>
      <c r="R60" s="594"/>
      <c r="S60" s="594">
        <v>5</v>
      </c>
      <c r="T60" s="523"/>
      <c r="U60" s="594"/>
      <c r="V60" s="594"/>
      <c r="W60" s="594">
        <v>1</v>
      </c>
      <c r="X60" s="594">
        <v>1</v>
      </c>
      <c r="Y60" s="594"/>
      <c r="Z60" s="594"/>
      <c r="AA60" s="594"/>
      <c r="AB60" s="594"/>
      <c r="AC60" s="594"/>
      <c r="AD60" s="594"/>
      <c r="AE60" s="594"/>
      <c r="AF60" s="594"/>
      <c r="AG60" s="594"/>
      <c r="AH60" s="594"/>
      <c r="AI60" s="594"/>
      <c r="AJ60" s="594"/>
      <c r="AK60" s="594"/>
      <c r="AL60" s="594"/>
      <c r="AM60" s="594"/>
      <c r="AN60" s="594"/>
      <c r="AO60" s="501"/>
      <c r="AP60" s="594">
        <v>4</v>
      </c>
      <c r="AQ60" s="594"/>
      <c r="AR60" s="599"/>
      <c r="AS60" s="594"/>
      <c r="AT60" s="594">
        <v>2</v>
      </c>
      <c r="AU60" s="594"/>
      <c r="AV60" s="594"/>
      <c r="AW60" s="594"/>
      <c r="AX60" s="593" t="s">
        <v>43</v>
      </c>
      <c r="AY60" s="598" t="s">
        <v>139</v>
      </c>
      <c r="AZ60" s="594"/>
      <c r="BA60" s="594"/>
      <c r="BB60" s="594"/>
      <c r="BC60" s="594"/>
      <c r="BD60" s="523"/>
      <c r="BE60" s="593"/>
      <c r="BF60" s="594"/>
      <c r="BG60" s="594"/>
      <c r="BH60" s="594"/>
      <c r="BI60" s="594">
        <v>2</v>
      </c>
      <c r="BJ60" s="594"/>
      <c r="BK60" s="594">
        <v>1</v>
      </c>
      <c r="BL60" s="523">
        <v>1</v>
      </c>
      <c r="BM60" s="523">
        <v>16</v>
      </c>
      <c r="BN60" s="523">
        <v>16</v>
      </c>
      <c r="BO60" s="593"/>
      <c r="BP60" s="594"/>
      <c r="BQ60" s="599"/>
      <c r="BR60" s="593"/>
      <c r="BS60" s="472">
        <v>0.6</v>
      </c>
      <c r="BT60" s="472">
        <v>0.4</v>
      </c>
      <c r="BU60" s="523">
        <v>31</v>
      </c>
      <c r="BV60" s="472">
        <v>0.6</v>
      </c>
      <c r="BW60" s="523"/>
      <c r="BX60" s="523"/>
      <c r="BY60" s="523"/>
      <c r="BZ60" s="601" t="str">
        <f>IFERROR(WWWW[[#This Row],['#_Water sources passed]]/WWWW[[#This Row],['#_Water sources tested for fecal coliform ]],"no test")</f>
        <v>no test</v>
      </c>
      <c r="CA60" s="599" t="str">
        <f>IFERROR(WWWW[[#This Row],['#_Household passed]]/WWWW[[#This Row],['#_Household water samples tested for fecal coliform]],"no test")</f>
        <v>no test</v>
      </c>
      <c r="CB60" s="600" t="str">
        <f>IF(AND(WWWW[[#This Row],[% of water sources passed]]="no test",WWWW[[#This Row],[% Household passed]]="no test"),"No Test","Tested")</f>
        <v>No Test</v>
      </c>
      <c r="CC60" s="600">
        <f>WWWW[[#This Row],['#_Constructed/existing protected hand dug well]]-WWWW[[#This Row],['#_Non-functional protected hand dug well]]</f>
        <v>0</v>
      </c>
      <c r="CD60" s="600">
        <f>(WWWW[[#This Row],['#_Constructed/Existing tube wells/boreholes/handpumps_WASH_agency]]+WWWW[[#This Row],['#_Non-Cluster partner water tube-wells/boreholes/handpumps]])-WWWW[[#This Row],['#_Non-functional tube wells/boreholes/handpumps]]</f>
        <v>2</v>
      </c>
      <c r="CE60" s="600">
        <f>WWWW[[#This Row],['#_Constructed/Existingwater storage tank with gravity fed reticulation system]]-WWWW[[#This Row],['#_Non-functional storage tank gravity fed reticulation system]]</f>
        <v>0</v>
      </c>
      <c r="CF60" s="478">
        <f>(WWWW[[#This Row],['#_Water_Liters_supplied_by_Water boating or water trucking]]/90)/15</f>
        <v>0</v>
      </c>
      <c r="CG60" s="478">
        <f>WWWW[[#This Row],['#_Water_Liters_from_Constructed/Existing water distribution system from river or natural spring]]/90/15</f>
        <v>0</v>
      </c>
      <c r="CH60" s="478">
        <f>WWWW[[#This Row],['#_of water points in TLS/CFS /THF]]*500</f>
        <v>0</v>
      </c>
      <c r="CI6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0" s="599">
        <f>IF(WWWW[[#This Row],[Location Type 1]]="Village",WWWW[[#This Row],[Access to safe drinking water for Village]],WWWW[[#This Row],[Access to safe drinking water for Camp]])</f>
        <v>1</v>
      </c>
      <c r="CL60" s="597">
        <f>WWWW[[#This Row],[%Equitable and continuous access to sufficient quantity of safe drinking water]]*WWWW[[#This Row],[Total PoP ]]</f>
        <v>63</v>
      </c>
      <c r="CM60" s="599">
        <f>IF((WWWW[[#This Row],['#_Constructed/Existing protected/fenced ponds]]*250)/WWWW[[#This Row],[Total PoP ]]&gt;1,1,(WWWW[[#This Row],['#_Constructed/Existing protected/fenced ponds]]*250)/WWWW[[#This Row],[Total PoP ]])</f>
        <v>0</v>
      </c>
      <c r="CN60" s="597">
        <f>WWWW[[#This Row],[% Access to unimproved water points]]*WWWW[[#This Row],[Total PoP ]]</f>
        <v>0</v>
      </c>
      <c r="CO6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Q60" s="597">
        <f>WWWW[[#This Row],[HRP1]]/500</f>
        <v>0.126</v>
      </c>
      <c r="CR60" s="602">
        <f>1-WWWW[[#This Row],[% Equitable and continuous access to sufficient quantity of domestic water]]</f>
        <v>0</v>
      </c>
      <c r="CS60" s="597">
        <f>WWWW[[#This Row],[%equitable and continuous access to sufficient quantity of safe drinking and domestic water''s GAP]]*WWWW[[#This Row],[Total PoP ]]</f>
        <v>0</v>
      </c>
      <c r="CT60" s="600">
        <f>IF(WWWW[[#This Row],[Total required water points]]-WWWW[[#This Row],['#Water points coverage]]&lt;0,0,WWWW[[#This Row],[Total required water points]]-WWWW[[#This Row],['#Water points coverage]])</f>
        <v>0.874</v>
      </c>
      <c r="CU60" s="600">
        <f>ROUND(IF(WWWW[[#This Row],[Total PoP ]]&lt;500,1,WWWW[[#This Row],[Total PoP ]]/500),0)</f>
        <v>1</v>
      </c>
      <c r="CV60" s="600">
        <f>(WWWW[[#This Row],['#_Constructed latrines_by_WASHAgencies]]+WWWW[[#This Row],['#_Non Cluster partner latrines]])-WWWW[[#This Row],['#_Non-functional latrines]]</f>
        <v>4</v>
      </c>
      <c r="CW60" s="70">
        <f>WWWW[[#This Row],[HRP2]]/WWWW[[#This Row],[Total PoP ]]</f>
        <v>1</v>
      </c>
      <c r="CX6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63</v>
      </c>
      <c r="CY6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0" s="600">
        <f>IF(WWWW[[#This Row],['# of functional latrines in THF supported by WASH partners during the reporting period2]]="",0,WWWW[[#This Row],['# of functional latrines in THF supported by WASH partners during the reporting period2]]*50)</f>
        <v>0</v>
      </c>
      <c r="DB60" s="600">
        <f>WWWW[[#This Row],['# students access to functioning school latrines_HRP5]]+WWWW[[#This Row],['# People access to functioning latrines in THF_HRP5]]</f>
        <v>0</v>
      </c>
      <c r="DC60" s="600">
        <f>ROUND(IF(WWWW[[#This Row],[Location Type 1]]="camp",WWWW[[#This Row],[Total PoP ]]/20,IF(WWWW[[#This Row],[Location Type 1]]="Temporary Location",WWWW[[#This Row],[Total PoP ]]/50,WWWW[[#This Row],[Total HH]])),0)</f>
        <v>3</v>
      </c>
      <c r="DD60" s="600">
        <f>IF(WWWW[[#This Row],[Total required Latrines]]-(WWWW[[#This Row],['#_Constructed latrines_by_WASHAgencies]]+WWWW[[#This Row],['#_Non Cluster partner latrines]])&lt;0,0,WWWW[[#This Row],[Total required Latrines]]-(WWWW[[#This Row],['#_Constructed latrines_by_WASHAgencies]]+WWWW[[#This Row],['#_Non Cluster partner latrines]]))</f>
        <v>0</v>
      </c>
      <c r="DE60" s="602">
        <f>1-WWWW[[#This Row],[% people access to functioning Latrine]]</f>
        <v>0</v>
      </c>
      <c r="DF60" s="601">
        <f>IF(OR(WWWW[[#This Row],['#_Non-functional latrines]]="",WWWW[[#This Row],['#_Non-functional latrines]]=0),0,WWWW[[#This Row],['#_Non-functional latrines]]/(WWWW[[#This Row],['#_Constructed latrines_by_WASHAgencies]]+WWWW[[#This Row],['#_Non Cluster partner latrines]]))</f>
        <v>0</v>
      </c>
      <c r="DG60" s="597">
        <f>IF(500*(WWWW[[#This Row],['#_male hygiene promoters]]+WWWW[[#This Row],['#_female hygiene promoters]])&gt;WWWW[[#This Row],[Total PoP ]],WWWW[[#This Row],[Total PoP ]],500*(WWWW[[#This Row],['#_male hygiene promoters]]+WWWW[[#This Row],['#_female hygiene promoters]]))</f>
        <v>63</v>
      </c>
      <c r="DH6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v>
      </c>
      <c r="DI6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v>
      </c>
      <c r="DJ60" s="600">
        <f>IF(WWWW[[#This Row],['# People with access to soap]]&gt;WWWW[[#This Row],['# People with access to Sanity Pads]],WWWW[[#This Row],['# People with access to soap]],WWWW[[#This Row],['# People with access to Sanity Pads]])</f>
        <v>63</v>
      </c>
      <c r="DK60" s="600">
        <f>IF(WWWW[[#This Row],['# people reached by regular dedicated hygiene promotion_5]]&gt;WWWW[[#This Row],['# People received regular supply of hygiene items_6]],WWWW[[#This Row],['# people reached by regular dedicated hygiene promotion_5]],WWWW[[#This Row],['# People received regular supply of hygiene items_6]])</f>
        <v>63</v>
      </c>
      <c r="DL60" s="602">
        <f>IF(WWWW[[#This Row],[HRP3]]/WWWW[[#This Row],[Total PoP ]]&gt;1,1,WWWW[[#This Row],[HRP3]]/WWWW[[#This Row],[Total PoP ]])</f>
        <v>1</v>
      </c>
      <c r="DM60" s="601">
        <f>1-WWWW[[#This Row],[Hygiene Coverage%]]</f>
        <v>0</v>
      </c>
      <c r="DN60" s="599">
        <f>WWWW[[#This Row],['# people reached by regular dedicated hygiene promotion_5]]/WWWW[[#This Row],[Total PoP ]]</f>
        <v>1</v>
      </c>
      <c r="DO6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6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60" s="600">
        <f>WWWW[[#This Row],['#_Constructed/Existing hand washing stations]]-WWWW[[#This Row],['#_Non-Functional_hand_washing_stations]]</f>
        <v>0</v>
      </c>
      <c r="DR60" s="597">
        <f>IF(WWWW[[#This Row],['# Functional hand washing stations during reporting period]]*20&gt;WWWW[[#This Row],[Total HH]],WWWW[[#This Row],[Total HH]],WWWW[[#This Row],['# Functional hand washing stations during reporting period]]*20)</f>
        <v>0</v>
      </c>
      <c r="DS60" s="597">
        <f>IF(WWWW[[#This Row],[Is sufficient soap available for TLS? (Yes/No)]]="yes",WWWW[[#This Row],['#_Constructed/Existing hand washing stations at TLS]],0)</f>
        <v>0</v>
      </c>
      <c r="DT60" s="479">
        <f>IF(WWWW[[#This Row],['# Functional hand washing stations during reporting period]]*100&gt;WWWW[[#This Row],[Total PoP ]],WWWW[[#This Row],[Total PoP ]],WWWW[[#This Row],['# Functional hand washing stations during reporting period]]*100)</f>
        <v>0</v>
      </c>
      <c r="DU60" s="479" t="str">
        <f>IF(OR(WWWW[[#This Row],['#_students at TLS_CFS]]="",WWWW[[#This Row],['#_students at TLS_CFS]]=0),"No","Yes")</f>
        <v>No</v>
      </c>
      <c r="DV60" s="472">
        <f>IF(WWWW[[#This Row],['#_of_affected_people_surveyed_who_report_feeling_informed_about_the_different_WASH_services_available_to_them]]="","",WWWW[[#This Row],['#_of_affected_people_surveyed_who_report_feeling_informed_about_the_different_WASH_services_available_to_them]]/WWWW[[#This Row],[Total PoP ]])</f>
        <v>0.49206349206349204</v>
      </c>
      <c r="DW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0" s="593">
        <f>VLOOKUP(WWWW[[#This Row],[Site Name]],SiteDB6[[Site Name]:[CCCM Management]],6,FALSE)</f>
        <v>0</v>
      </c>
      <c r="DZ60" s="593" t="str">
        <f>VLOOKUP(WWWW[[#This Row],[Site Name]],SiteDB6[[Site Name]:[CCCM Focal Agency]],7,FALSE)</f>
        <v>KMSS-MYT</v>
      </c>
      <c r="EA60" s="593" t="str">
        <f>VLOOKUP(WWWW[[#This Row],[Site Name]],SiteDB6[[Site Name]:[Location Type 1]],9,FALSE)</f>
        <v>Camp</v>
      </c>
      <c r="EB60" s="593" t="str">
        <f>VLOOKUP(WWWW[[#This Row],[Site Name]],SiteDB6[[Site Name]:[Type of Accommodation]],10,FALSE)</f>
        <v>Camp</v>
      </c>
      <c r="EC60" s="593" t="str">
        <f>VLOOKUP(WWWW[[#This Row],[Site Name]],SiteDB6[[Site Name]:[Ethnic or GCA/NGCA]],11,FALSE)</f>
        <v>GCA</v>
      </c>
      <c r="ED60" s="593">
        <f>VLOOKUP(WWWW[[#This Row],[Site Name]],SiteDB6[[Site Name]:[Lat]],12,FALSE)</f>
        <v>0</v>
      </c>
      <c r="EE60" s="593">
        <f>VLOOKUP(WWWW[[#This Row],[Site Name]],SiteDB6[[Site Name]:[Long]],13,FALSE)</f>
        <v>0</v>
      </c>
      <c r="EF60" s="593" t="str">
        <f>VLOOKUP(WWWW[[#This Row],[Site Name]],SiteDB6[[Site Name]:[Pcode]],3,FALSE)</f>
        <v>MMR001CMP270</v>
      </c>
      <c r="EG60" s="598" t="str">
        <f t="shared" si="0"/>
        <v>Covered</v>
      </c>
      <c r="EH60" s="598" t="str">
        <f>VLOOKUP(WWWW[[#This Row],[Site Name]],SiteDB6[[Site Name]:[open in cccm?]],2,FALSE)</f>
        <v>cccm_2019OCT</v>
      </c>
    </row>
    <row r="61" spans="1:138" hidden="1">
      <c r="A61" s="591" t="s">
        <v>3261</v>
      </c>
      <c r="B61" s="591" t="s">
        <v>38</v>
      </c>
      <c r="C61" s="592" t="s">
        <v>38</v>
      </c>
      <c r="D61" s="592" t="s">
        <v>323</v>
      </c>
      <c r="E61" s="592" t="s">
        <v>39</v>
      </c>
      <c r="F61" s="592" t="s">
        <v>155</v>
      </c>
      <c r="G61" s="721" t="str">
        <f>VLOOKUP(WWWW[[#This Row],[Site Name]],SiteDB6[[Site Name]:[Location Type]],8,FALSE)</f>
        <v>Camp</v>
      </c>
      <c r="H61" s="592" t="s">
        <v>2003</v>
      </c>
      <c r="I61" s="594">
        <v>79</v>
      </c>
      <c r="J61" s="594">
        <v>396</v>
      </c>
      <c r="K61" s="595">
        <v>43374</v>
      </c>
      <c r="L61" s="596">
        <v>43830</v>
      </c>
      <c r="M61" s="594"/>
      <c r="N61" s="594"/>
      <c r="O61" s="594"/>
      <c r="P61" s="594"/>
      <c r="Q61" s="479" t="s">
        <v>43</v>
      </c>
      <c r="R61" s="594"/>
      <c r="S61" s="594">
        <v>3</v>
      </c>
      <c r="T61" s="523"/>
      <c r="U61" s="594"/>
      <c r="V61" s="594"/>
      <c r="W61" s="594">
        <v>1</v>
      </c>
      <c r="X61" s="594">
        <v>1</v>
      </c>
      <c r="Y61" s="594"/>
      <c r="Z61" s="594"/>
      <c r="AA61" s="594"/>
      <c r="AB61" s="594"/>
      <c r="AC61" s="594"/>
      <c r="AD61" s="594"/>
      <c r="AE61" s="594"/>
      <c r="AF61" s="594"/>
      <c r="AG61" s="594"/>
      <c r="AH61" s="594"/>
      <c r="AI61" s="594"/>
      <c r="AJ61" s="594"/>
      <c r="AK61" s="594"/>
      <c r="AL61" s="594"/>
      <c r="AM61" s="594"/>
      <c r="AN61" s="594"/>
      <c r="AO61" s="501" t="s">
        <v>3143</v>
      </c>
      <c r="AP61" s="594">
        <v>6</v>
      </c>
      <c r="AQ61" s="594"/>
      <c r="AR61" s="599"/>
      <c r="AS61" s="594"/>
      <c r="AT61" s="594"/>
      <c r="AU61" s="594"/>
      <c r="AV61" s="594"/>
      <c r="AW61" s="594"/>
      <c r="AX61" s="593" t="s">
        <v>43</v>
      </c>
      <c r="AY61" s="598" t="s">
        <v>1195</v>
      </c>
      <c r="AZ61" s="594"/>
      <c r="BA61" s="594"/>
      <c r="BB61" s="594"/>
      <c r="BC61" s="594"/>
      <c r="BD61" s="523"/>
      <c r="BE61" s="593"/>
      <c r="BF61" s="594"/>
      <c r="BG61" s="594"/>
      <c r="BH61" s="594"/>
      <c r="BI61" s="594">
        <v>2</v>
      </c>
      <c r="BJ61" s="594"/>
      <c r="BK61" s="594"/>
      <c r="BL61" s="594">
        <v>1</v>
      </c>
      <c r="BM61" s="594"/>
      <c r="BN61" s="594"/>
      <c r="BO61" s="593"/>
      <c r="BP61" s="594"/>
      <c r="BQ61" s="599"/>
      <c r="BR61" s="593"/>
      <c r="BS61" s="472">
        <v>0.6</v>
      </c>
      <c r="BT61" s="472">
        <v>0.7</v>
      </c>
      <c r="BU61" s="523">
        <v>198</v>
      </c>
      <c r="BV61" s="472">
        <v>0.5</v>
      </c>
      <c r="BW61" s="523"/>
      <c r="BX61" s="523"/>
      <c r="BY61" s="523"/>
      <c r="BZ61" s="601" t="str">
        <f>IFERROR(WWWW[[#This Row],['#_Water sources passed]]/WWWW[[#This Row],['#_Water sources tested for fecal coliform ]],"no test")</f>
        <v>no test</v>
      </c>
      <c r="CA61" s="599" t="str">
        <f>IFERROR(WWWW[[#This Row],['#_Household passed]]/WWWW[[#This Row],['#_Household water samples tested for fecal coliform]],"no test")</f>
        <v>no test</v>
      </c>
      <c r="CB61" s="600" t="str">
        <f>IF(AND(WWWW[[#This Row],[% of water sources passed]]="no test",WWWW[[#This Row],[% Household passed]]="no test"),"No Test","Tested")</f>
        <v>No Test</v>
      </c>
      <c r="CC61" s="600">
        <f>WWWW[[#This Row],['#_Constructed/existing protected hand dug well]]-WWWW[[#This Row],['#_Non-functional protected hand dug well]]</f>
        <v>0</v>
      </c>
      <c r="CD61" s="600">
        <f>(WWWW[[#This Row],['#_Constructed/Existing tube wells/boreholes/handpumps_WASH_agency]]+WWWW[[#This Row],['#_Non-Cluster partner water tube-wells/boreholes/handpumps]])-WWWW[[#This Row],['#_Non-functional tube wells/boreholes/handpumps]]</f>
        <v>2</v>
      </c>
      <c r="CE61" s="600">
        <f>WWWW[[#This Row],['#_Constructed/Existingwater storage tank with gravity fed reticulation system]]-WWWW[[#This Row],['#_Non-functional storage tank gravity fed reticulation system]]</f>
        <v>0</v>
      </c>
      <c r="CF61" s="478">
        <f>(WWWW[[#This Row],['#_Water_Liters_supplied_by_Water boating or water trucking]]/90)/15</f>
        <v>0</v>
      </c>
      <c r="CG61" s="478">
        <f>WWWW[[#This Row],['#_Water_Liters_from_Constructed/Existing water distribution system from river or natural spring]]/90/15</f>
        <v>0</v>
      </c>
      <c r="CH61" s="478">
        <f>WWWW[[#This Row],['#_of water points in TLS/CFS /THF]]*500</f>
        <v>0</v>
      </c>
      <c r="CI6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1" s="599">
        <f>IF(WWWW[[#This Row],[Location Type 1]]="Village",WWWW[[#This Row],[Access to safe drinking water for Village]],WWWW[[#This Row],[Access to safe drinking water for Camp]])</f>
        <v>1</v>
      </c>
      <c r="CL61" s="597">
        <f>WWWW[[#This Row],[%Equitable and continuous access to sufficient quantity of safe drinking water]]*WWWW[[#This Row],[Total PoP ]]</f>
        <v>396</v>
      </c>
      <c r="CM61" s="599">
        <f>IF((WWWW[[#This Row],['#_Constructed/Existing protected/fenced ponds]]*250)/WWWW[[#This Row],[Total PoP ]]&gt;1,1,(WWWW[[#This Row],['#_Constructed/Existing protected/fenced ponds]]*250)/WWWW[[#This Row],[Total PoP ]])</f>
        <v>0</v>
      </c>
      <c r="CN61" s="597">
        <f>WWWW[[#This Row],[% Access to unimproved water points]]*WWWW[[#This Row],[Total PoP ]]</f>
        <v>0</v>
      </c>
      <c r="CO6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Q61" s="597">
        <f>WWWW[[#This Row],[HRP1]]/500</f>
        <v>0.79200000000000004</v>
      </c>
      <c r="CR61" s="602">
        <f>1-WWWW[[#This Row],[% Equitable and continuous access to sufficient quantity of domestic water]]</f>
        <v>0</v>
      </c>
      <c r="CS61" s="597">
        <f>WWWW[[#This Row],[%equitable and continuous access to sufficient quantity of safe drinking and domestic water''s GAP]]*WWWW[[#This Row],[Total PoP ]]</f>
        <v>0</v>
      </c>
      <c r="CT61" s="600">
        <f>IF(WWWW[[#This Row],[Total required water points]]-WWWW[[#This Row],['#Water points coverage]]&lt;0,0,WWWW[[#This Row],[Total required water points]]-WWWW[[#This Row],['#Water points coverage]])</f>
        <v>0.20799999999999996</v>
      </c>
      <c r="CU61" s="600">
        <f>ROUND(IF(WWWW[[#This Row],[Total PoP ]]&lt;500,1,WWWW[[#This Row],[Total PoP ]]/500),0)</f>
        <v>1</v>
      </c>
      <c r="CV61" s="600">
        <f>(WWWW[[#This Row],['#_Constructed latrines_by_WASHAgencies]]+WWWW[[#This Row],['#_Non Cluster partner latrines]])-WWWW[[#This Row],['#_Non-functional latrines]]</f>
        <v>6</v>
      </c>
      <c r="CW61" s="70">
        <f>WWWW[[#This Row],[HRP2]]/WWWW[[#This Row],[Total PoP ]]</f>
        <v>0.30303030303030304</v>
      </c>
      <c r="CX6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6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1" s="600">
        <f>IF(WWWW[[#This Row],['# of functional latrines in THF supported by WASH partners during the reporting period2]]="",0,WWWW[[#This Row],['# of functional latrines in THF supported by WASH partners during the reporting period2]]*50)</f>
        <v>0</v>
      </c>
      <c r="DB61" s="600">
        <f>WWWW[[#This Row],['# students access to functioning school latrines_HRP5]]+WWWW[[#This Row],['# People access to functioning latrines in THF_HRP5]]</f>
        <v>0</v>
      </c>
      <c r="DC61" s="600">
        <f>ROUND(IF(WWWW[[#This Row],[Location Type 1]]="camp",WWWW[[#This Row],[Total PoP ]]/20,IF(WWWW[[#This Row],[Location Type 1]]="Temporary Location",WWWW[[#This Row],[Total PoP ]]/50,WWWW[[#This Row],[Total HH]])),0)</f>
        <v>20</v>
      </c>
      <c r="DD61" s="600">
        <f>IF(WWWW[[#This Row],[Total required Latrines]]-(WWWW[[#This Row],['#_Constructed latrines_by_WASHAgencies]]+WWWW[[#This Row],['#_Non Cluster partner latrines]])&lt;0,0,WWWW[[#This Row],[Total required Latrines]]-(WWWW[[#This Row],['#_Constructed latrines_by_WASHAgencies]]+WWWW[[#This Row],['#_Non Cluster partner latrines]]))</f>
        <v>14</v>
      </c>
      <c r="DE61" s="602">
        <f>1-WWWW[[#This Row],[% people access to functioning Latrine]]</f>
        <v>0.69696969696969702</v>
      </c>
      <c r="DF61" s="601">
        <f>IF(OR(WWWW[[#This Row],['#_Non-functional latrines]]="",WWWW[[#This Row],['#_Non-functional latrines]]=0),0,WWWW[[#This Row],['#_Non-functional latrines]]/(WWWW[[#This Row],['#_Constructed latrines_by_WASHAgencies]]+WWWW[[#This Row],['#_Non Cluster partner latrines]]))</f>
        <v>0</v>
      </c>
      <c r="DG61" s="597">
        <f>IF(500*(WWWW[[#This Row],['#_male hygiene promoters]]+WWWW[[#This Row],['#_female hygiene promoters]])&gt;WWWW[[#This Row],[Total PoP ]],WWWW[[#This Row],[Total PoP ]],500*(WWWW[[#This Row],['#_male hygiene promoters]]+WWWW[[#This Row],['#_female hygiene promoters]]))</f>
        <v>396</v>
      </c>
      <c r="DH6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1" s="600">
        <f>IF(WWWW[[#This Row],['# People with access to soap]]&gt;WWWW[[#This Row],['# People with access to Sanity Pads]],WWWW[[#This Row],['# People with access to soap]],WWWW[[#This Row],['# People with access to Sanity Pads]])</f>
        <v>0</v>
      </c>
      <c r="DK61" s="600">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L61" s="602">
        <f>IF(WWWW[[#This Row],[HRP3]]/WWWW[[#This Row],[Total PoP ]]&gt;1,1,WWWW[[#This Row],[HRP3]]/WWWW[[#This Row],[Total PoP ]])</f>
        <v>1</v>
      </c>
      <c r="DM61" s="601">
        <f>1-WWWW[[#This Row],[Hygiene Coverage%]]</f>
        <v>0</v>
      </c>
      <c r="DN61" s="599">
        <f>WWWW[[#This Row],['# people reached by regular dedicated hygiene promotion_5]]/WWWW[[#This Row],[Total PoP ]]</f>
        <v>1</v>
      </c>
      <c r="DO6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1" s="600">
        <f>WWWW[[#This Row],['#_Constructed/Existing hand washing stations]]-WWWW[[#This Row],['#_Non-Functional_hand_washing_stations]]</f>
        <v>0</v>
      </c>
      <c r="DR61" s="597">
        <f>IF(WWWW[[#This Row],['# Functional hand washing stations during reporting period]]*20&gt;WWWW[[#This Row],[Total HH]],WWWW[[#This Row],[Total HH]],WWWW[[#This Row],['# Functional hand washing stations during reporting period]]*20)</f>
        <v>0</v>
      </c>
      <c r="DS61" s="597">
        <f>IF(WWWW[[#This Row],[Is sufficient soap available for TLS? (Yes/No)]]="yes",WWWW[[#This Row],['#_Constructed/Existing hand washing stations at TLS]],0)</f>
        <v>0</v>
      </c>
      <c r="DT61" s="479">
        <f>IF(WWWW[[#This Row],['# Functional hand washing stations during reporting period]]*100&gt;WWWW[[#This Row],[Total PoP ]],WWWW[[#This Row],[Total PoP ]],WWWW[[#This Row],['# Functional hand washing stations during reporting period]]*100)</f>
        <v>0</v>
      </c>
      <c r="DU61" s="479" t="str">
        <f>IF(OR(WWWW[[#This Row],['#_students at TLS_CFS]]="",WWWW[[#This Row],['#_students at TLS_CFS]]=0),"No","Yes")</f>
        <v>No</v>
      </c>
      <c r="DV61" s="472">
        <f>IF(WWWW[[#This Row],['#_of_affected_people_surveyed_who_report_feeling_informed_about_the_different_WASH_services_available_to_them]]="","",WWWW[[#This Row],['#_of_affected_people_surveyed_who_report_feeling_informed_about_the_different_WASH_services_available_to_them]]/WWWW[[#This Row],[Total PoP ]])</f>
        <v>0.5</v>
      </c>
      <c r="DW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1" s="593">
        <f>VLOOKUP(WWWW[[#This Row],[Site Name]],SiteDB6[[Site Name]:[CCCM Management]],6,FALSE)</f>
        <v>0</v>
      </c>
      <c r="DZ61" s="593" t="str">
        <f>VLOOKUP(WWWW[[#This Row],[Site Name]],SiteDB6[[Site Name]:[CCCM Focal Agency]],7,FALSE)</f>
        <v>KMSS-MYT</v>
      </c>
      <c r="EA61" s="593" t="str">
        <f>VLOOKUP(WWWW[[#This Row],[Site Name]],SiteDB6[[Site Name]:[Location Type 1]],9,FALSE)</f>
        <v>Camp</v>
      </c>
      <c r="EB61" s="593" t="str">
        <f>VLOOKUP(WWWW[[#This Row],[Site Name]],SiteDB6[[Site Name]:[Type of Accommodation]],10,FALSE)</f>
        <v>Camp</v>
      </c>
      <c r="EC61" s="593" t="str">
        <f>VLOOKUP(WWWW[[#This Row],[Site Name]],SiteDB6[[Site Name]:[Ethnic or GCA/NGCA]],11,FALSE)</f>
        <v>GCA</v>
      </c>
      <c r="ED61" s="593">
        <f>VLOOKUP(WWWW[[#This Row],[Site Name]],SiteDB6[[Site Name]:[Lat]],12,FALSE)</f>
        <v>25.383465999999999</v>
      </c>
      <c r="EE61" s="593">
        <f>VLOOKUP(WWWW[[#This Row],[Site Name]],SiteDB6[[Site Name]:[Long]],13,FALSE)</f>
        <v>97.013800000000003</v>
      </c>
      <c r="EF61" s="593" t="str">
        <f>VLOOKUP(WWWW[[#This Row],[Site Name]],SiteDB6[[Site Name]:[Pcode]],3,FALSE)</f>
        <v>MMR001CMP260</v>
      </c>
      <c r="EG61" s="598" t="str">
        <f t="shared" si="0"/>
        <v>Covered</v>
      </c>
      <c r="EH61" s="598" t="str">
        <f>VLOOKUP(WWWW[[#This Row],[Site Name]],SiteDB6[[Site Name]:[open in cccm?]],2,FALSE)</f>
        <v>cccm_2019OCT</v>
      </c>
    </row>
    <row r="62" spans="1:138" hidden="1">
      <c r="A62" s="591" t="s">
        <v>3261</v>
      </c>
      <c r="B62" s="591" t="s">
        <v>38</v>
      </c>
      <c r="C62" s="592" t="s">
        <v>38</v>
      </c>
      <c r="D62" s="592" t="s">
        <v>323</v>
      </c>
      <c r="E62" s="592" t="s">
        <v>39</v>
      </c>
      <c r="F62" s="592" t="s">
        <v>151</v>
      </c>
      <c r="G62" s="721" t="str">
        <f>VLOOKUP(WWWW[[#This Row],[Site Name]],SiteDB6[[Site Name]:[Location Type]],8,FALSE)</f>
        <v>Camp</v>
      </c>
      <c r="H62" s="592" t="s">
        <v>2019</v>
      </c>
      <c r="I62" s="594">
        <v>48</v>
      </c>
      <c r="J62" s="594">
        <v>218</v>
      </c>
      <c r="K62" s="595">
        <v>43374</v>
      </c>
      <c r="L62" s="596">
        <v>43830</v>
      </c>
      <c r="M62" s="594"/>
      <c r="N62" s="594"/>
      <c r="O62" s="594"/>
      <c r="P62" s="594"/>
      <c r="Q62" s="597" t="s">
        <v>43</v>
      </c>
      <c r="R62" s="594"/>
      <c r="S62" s="594">
        <v>4</v>
      </c>
      <c r="T62" s="523"/>
      <c r="U62" s="594"/>
      <c r="V62" s="594"/>
      <c r="W62" s="594"/>
      <c r="X62" s="594"/>
      <c r="Y62" s="594"/>
      <c r="Z62" s="594"/>
      <c r="AA62" s="594">
        <v>1</v>
      </c>
      <c r="AB62" s="594"/>
      <c r="AC62" s="594">
        <v>10</v>
      </c>
      <c r="AD62" s="594"/>
      <c r="AE62" s="594"/>
      <c r="AF62" s="594"/>
      <c r="AG62" s="594"/>
      <c r="AH62" s="594"/>
      <c r="AI62" s="594"/>
      <c r="AJ62" s="594"/>
      <c r="AK62" s="594"/>
      <c r="AL62" s="594"/>
      <c r="AM62" s="594"/>
      <c r="AN62" s="594"/>
      <c r="AO62" s="598"/>
      <c r="AP62" s="594">
        <v>8</v>
      </c>
      <c r="AQ62" s="594">
        <v>4</v>
      </c>
      <c r="AR62" s="599"/>
      <c r="AS62" s="594"/>
      <c r="AT62" s="594"/>
      <c r="AU62" s="594"/>
      <c r="AV62" s="594"/>
      <c r="AW62" s="594"/>
      <c r="AX62" s="593" t="s">
        <v>43</v>
      </c>
      <c r="AY62" s="598" t="s">
        <v>139</v>
      </c>
      <c r="AZ62" s="594"/>
      <c r="BA62" s="594"/>
      <c r="BB62" s="594"/>
      <c r="BC62" s="594"/>
      <c r="BD62" s="523"/>
      <c r="BE62" s="593"/>
      <c r="BF62" s="594"/>
      <c r="BG62" s="594"/>
      <c r="BH62" s="594"/>
      <c r="BI62" s="594">
        <v>2</v>
      </c>
      <c r="BJ62" s="594"/>
      <c r="BK62" s="594">
        <v>1</v>
      </c>
      <c r="BL62" s="523">
        <v>1</v>
      </c>
      <c r="BM62" s="523">
        <v>48</v>
      </c>
      <c r="BN62" s="523">
        <v>48</v>
      </c>
      <c r="BO62" s="593"/>
      <c r="BP62" s="594"/>
      <c r="BQ62" s="599"/>
      <c r="BR62" s="593"/>
      <c r="BS62" s="472">
        <v>0.75</v>
      </c>
      <c r="BT62" s="472">
        <v>0.5</v>
      </c>
      <c r="BU62" s="523">
        <v>109</v>
      </c>
      <c r="BV62" s="472">
        <v>0.7</v>
      </c>
      <c r="BW62" s="523"/>
      <c r="BX62" s="523"/>
      <c r="BY62" s="523"/>
      <c r="BZ62" s="601" t="str">
        <f>IFERROR(WWWW[[#This Row],['#_Water sources passed]]/WWWW[[#This Row],['#_Water sources tested for fecal coliform ]],"no test")</f>
        <v>no test</v>
      </c>
      <c r="CA62" s="599" t="str">
        <f>IFERROR(WWWW[[#This Row],['#_Household passed]]/WWWW[[#This Row],['#_Household water samples tested for fecal coliform]],"no test")</f>
        <v>no test</v>
      </c>
      <c r="CB62" s="600" t="str">
        <f>IF(AND(WWWW[[#This Row],[% of water sources passed]]="no test",WWWW[[#This Row],[% Household passed]]="no test"),"No Test","Tested")</f>
        <v>No Test</v>
      </c>
      <c r="CC62" s="600">
        <f>WWWW[[#This Row],['#_Constructed/existing protected hand dug well]]-WWWW[[#This Row],['#_Non-functional protected hand dug well]]</f>
        <v>0</v>
      </c>
      <c r="CD62" s="600">
        <f>(WWWW[[#This Row],['#_Constructed/Existing tube wells/boreholes/handpumps_WASH_agency]]+WWWW[[#This Row],['#_Non-Cluster partner water tube-wells/boreholes/handpumps]])-WWWW[[#This Row],['#_Non-functional tube wells/boreholes/handpumps]]</f>
        <v>0</v>
      </c>
      <c r="CE62" s="600">
        <f>WWWW[[#This Row],['#_Constructed/Existingwater storage tank with gravity fed reticulation system]]-WWWW[[#This Row],['#_Non-functional storage tank gravity fed reticulation system]]</f>
        <v>1</v>
      </c>
      <c r="CF62" s="478">
        <f>(WWWW[[#This Row],['#_Water_Liters_supplied_by_Water boating or water trucking]]/90)/15</f>
        <v>0</v>
      </c>
      <c r="CG62" s="478">
        <f>WWWW[[#This Row],['#_Water_Liters_from_Constructed/Existing water distribution system from river or natural spring]]/90/15</f>
        <v>0</v>
      </c>
      <c r="CH62" s="478">
        <f>WWWW[[#This Row],['#_of water points in TLS/CFS /THF]]*500</f>
        <v>0</v>
      </c>
      <c r="CI6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0.30581039755351686</v>
      </c>
      <c r="CJ6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0.30581039755351686</v>
      </c>
      <c r="CK62" s="599">
        <f>IF(WWWW[[#This Row],[Location Type 1]]="Village",WWWW[[#This Row],[Access to safe drinking water for Village]],WWWW[[#This Row],[Access to safe drinking water for Camp]])</f>
        <v>0.30581039755351686</v>
      </c>
      <c r="CL62" s="597">
        <f>WWWW[[#This Row],[%Equitable and continuous access to sufficient quantity of safe drinking water]]*WWWW[[#This Row],[Total PoP ]]</f>
        <v>66.666666666666671</v>
      </c>
      <c r="CM62" s="599">
        <f>IF((WWWW[[#This Row],['#_Constructed/Existing protected/fenced ponds]]*250)/WWWW[[#This Row],[Total PoP ]]&gt;1,1,(WWWW[[#This Row],['#_Constructed/Existing protected/fenced ponds]]*250)/WWWW[[#This Row],[Total PoP ]])</f>
        <v>0</v>
      </c>
      <c r="CN62" s="597">
        <f>WWWW[[#This Row],[% Access to unimproved water points]]*WWWW[[#This Row],[Total PoP ]]</f>
        <v>0</v>
      </c>
      <c r="CO6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0.30581039755351686</v>
      </c>
      <c r="CP6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62" s="597">
        <f>WWWW[[#This Row],[HRP1]]/500</f>
        <v>0.13333333333333333</v>
      </c>
      <c r="CR62" s="602">
        <f>1-WWWW[[#This Row],[% Equitable and continuous access to sufficient quantity of domestic water]]</f>
        <v>0.69418960244648309</v>
      </c>
      <c r="CS62" s="597">
        <f>WWWW[[#This Row],[%equitable and continuous access to sufficient quantity of safe drinking and domestic water''s GAP]]*WWWW[[#This Row],[Total PoP ]]</f>
        <v>151.33333333333331</v>
      </c>
      <c r="CT62" s="600">
        <f>IF(WWWW[[#This Row],[Total required water points]]-WWWW[[#This Row],['#Water points coverage]]&lt;0,0,WWWW[[#This Row],[Total required water points]]-WWWW[[#This Row],['#Water points coverage]])</f>
        <v>0.8666666666666667</v>
      </c>
      <c r="CU62" s="600">
        <f>ROUND(IF(WWWW[[#This Row],[Total PoP ]]&lt;500,1,WWWW[[#This Row],[Total PoP ]]/500),0)</f>
        <v>1</v>
      </c>
      <c r="CV62" s="600">
        <f>(WWWW[[#This Row],['#_Constructed latrines_by_WASHAgencies]]+WWWW[[#This Row],['#_Non Cluster partner latrines]])-WWWW[[#This Row],['#_Non-functional latrines]]</f>
        <v>12</v>
      </c>
      <c r="CW62" s="70">
        <f>WWWW[[#This Row],[HRP2]]/WWWW[[#This Row],[Total PoP ]]</f>
        <v>1</v>
      </c>
      <c r="CX6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6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2" s="600">
        <f>IF(WWWW[[#This Row],['# of functional latrines in THF supported by WASH partners during the reporting period2]]="",0,WWWW[[#This Row],['# of functional latrines in THF supported by WASH partners during the reporting period2]]*50)</f>
        <v>0</v>
      </c>
      <c r="DB62" s="600">
        <f>WWWW[[#This Row],['# students access to functioning school latrines_HRP5]]+WWWW[[#This Row],['# People access to functioning latrines in THF_HRP5]]</f>
        <v>0</v>
      </c>
      <c r="DC62" s="600">
        <f>ROUND(IF(WWWW[[#This Row],[Location Type 1]]="camp",WWWW[[#This Row],[Total PoP ]]/20,IF(WWWW[[#This Row],[Location Type 1]]="Temporary Location",WWWW[[#This Row],[Total PoP ]]/50,WWWW[[#This Row],[Total HH]])),0)</f>
        <v>11</v>
      </c>
      <c r="DD62" s="600">
        <f>IF(WWWW[[#This Row],[Total required Latrines]]-(WWWW[[#This Row],['#_Constructed latrines_by_WASHAgencies]]+WWWW[[#This Row],['#_Non Cluster partner latrines]])&lt;0,0,WWWW[[#This Row],[Total required Latrines]]-(WWWW[[#This Row],['#_Constructed latrines_by_WASHAgencies]]+WWWW[[#This Row],['#_Non Cluster partner latrines]]))</f>
        <v>0</v>
      </c>
      <c r="DE62" s="602">
        <f>1-WWWW[[#This Row],[% people access to functioning Latrine]]</f>
        <v>0</v>
      </c>
      <c r="DF62" s="601">
        <f>IF(OR(WWWW[[#This Row],['#_Non-functional latrines]]="",WWWW[[#This Row],['#_Non-functional latrines]]=0),0,WWWW[[#This Row],['#_Non-functional latrines]]/(WWWW[[#This Row],['#_Constructed latrines_by_WASHAgencies]]+WWWW[[#This Row],['#_Non Cluster partner latrines]]))</f>
        <v>0</v>
      </c>
      <c r="DG62" s="597">
        <f>IF(500*(WWWW[[#This Row],['#_male hygiene promoters]]+WWWW[[#This Row],['#_female hygiene promoters]])&gt;WWWW[[#This Row],[Total PoP ]],WWWW[[#This Row],[Total PoP ]],500*(WWWW[[#This Row],['#_male hygiene promoters]]+WWWW[[#This Row],['#_female hygiene promoters]]))</f>
        <v>218</v>
      </c>
      <c r="DH6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I6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48</v>
      </c>
      <c r="DJ62" s="600">
        <f>IF(WWWW[[#This Row],['# People with access to soap]]&gt;WWWW[[#This Row],['# People with access to Sanity Pads]],WWWW[[#This Row],['# People with access to soap]],WWWW[[#This Row],['# People with access to Sanity Pads]])</f>
        <v>218</v>
      </c>
      <c r="DK62" s="600">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62" s="602">
        <f>IF(WWWW[[#This Row],[HRP3]]/WWWW[[#This Row],[Total PoP ]]&gt;1,1,WWWW[[#This Row],[HRP3]]/WWWW[[#This Row],[Total PoP ]])</f>
        <v>1</v>
      </c>
      <c r="DM62" s="601">
        <f>1-WWWW[[#This Row],[Hygiene Coverage%]]</f>
        <v>0</v>
      </c>
      <c r="DN62" s="599">
        <f>WWWW[[#This Row],['# people reached by regular dedicated hygiene promotion_5]]/WWWW[[#This Row],[Total PoP ]]</f>
        <v>1</v>
      </c>
      <c r="DO6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6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62" s="600">
        <f>WWWW[[#This Row],['#_Constructed/Existing hand washing stations]]-WWWW[[#This Row],['#_Non-Functional_hand_washing_stations]]</f>
        <v>0</v>
      </c>
      <c r="DR62" s="597">
        <f>IF(WWWW[[#This Row],['# Functional hand washing stations during reporting period]]*20&gt;WWWW[[#This Row],[Total HH]],WWWW[[#This Row],[Total HH]],WWWW[[#This Row],['# Functional hand washing stations during reporting period]]*20)</f>
        <v>0</v>
      </c>
      <c r="DS62" s="597">
        <f>IF(WWWW[[#This Row],[Is sufficient soap available for TLS? (Yes/No)]]="yes",WWWW[[#This Row],['#_Constructed/Existing hand washing stations at TLS]],0)</f>
        <v>0</v>
      </c>
      <c r="DT62" s="479">
        <f>IF(WWWW[[#This Row],['# Functional hand washing stations during reporting period]]*100&gt;WWWW[[#This Row],[Total PoP ]],WWWW[[#This Row],[Total PoP ]],WWWW[[#This Row],['# Functional hand washing stations during reporting period]]*100)</f>
        <v>0</v>
      </c>
      <c r="DU62" s="479" t="str">
        <f>IF(OR(WWWW[[#This Row],['#_students at TLS_CFS]]="",WWWW[[#This Row],['#_students at TLS_CFS]]=0),"No","Yes")</f>
        <v>No</v>
      </c>
      <c r="DV62" s="472">
        <f>IF(WWWW[[#This Row],['#_of_affected_people_surveyed_who_report_feeling_informed_about_the_different_WASH_services_available_to_them]]="","",WWWW[[#This Row],['#_of_affected_people_surveyed_who_report_feeling_informed_about_the_different_WASH_services_available_to_them]]/WWWW[[#This Row],[Total PoP ]])</f>
        <v>0.5</v>
      </c>
      <c r="DW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2" s="593">
        <f>VLOOKUP(WWWW[[#This Row],[Site Name]],SiteDB6[[Site Name]:[CCCM Management]],6,FALSE)</f>
        <v>0</v>
      </c>
      <c r="DZ62" s="593" t="str">
        <f>VLOOKUP(WWWW[[#This Row],[Site Name]],SiteDB6[[Site Name]:[CCCM Focal Agency]],7,FALSE)</f>
        <v>KMSS-MYT</v>
      </c>
      <c r="EA62" s="593" t="str">
        <f>VLOOKUP(WWWW[[#This Row],[Site Name]],SiteDB6[[Site Name]:[Location Type 1]],9,FALSE)</f>
        <v>Camp</v>
      </c>
      <c r="EB62" s="593" t="str">
        <f>VLOOKUP(WWWW[[#This Row],[Site Name]],SiteDB6[[Site Name]:[Type of Accommodation]],10,FALSE)</f>
        <v>Camp</v>
      </c>
      <c r="EC62" s="593" t="str">
        <f>VLOOKUP(WWWW[[#This Row],[Site Name]],SiteDB6[[Site Name]:[Ethnic or GCA/NGCA]],11,FALSE)</f>
        <v>GCA</v>
      </c>
      <c r="ED62" s="593">
        <f>VLOOKUP(WWWW[[#This Row],[Site Name]],SiteDB6[[Site Name]:[Lat]],12,FALSE)</f>
        <v>0</v>
      </c>
      <c r="EE62" s="593">
        <f>VLOOKUP(WWWW[[#This Row],[Site Name]],SiteDB6[[Site Name]:[Long]],13,FALSE)</f>
        <v>0</v>
      </c>
      <c r="EF62" s="593" t="str">
        <f>VLOOKUP(WWWW[[#This Row],[Site Name]],SiteDB6[[Site Name]:[Pcode]],3,FALSE)</f>
        <v>MMR001CMP268</v>
      </c>
      <c r="EG62" s="598" t="str">
        <f t="shared" si="0"/>
        <v>Covered</v>
      </c>
      <c r="EH62" s="598" t="str">
        <f>VLOOKUP(WWWW[[#This Row],[Site Name]],SiteDB6[[Site Name]:[open in cccm?]],2,FALSE)</f>
        <v>cccm_2019OCT</v>
      </c>
    </row>
    <row r="63" spans="1:138" hidden="1">
      <c r="A63" s="591" t="s">
        <v>3261</v>
      </c>
      <c r="B63" s="591" t="s">
        <v>38</v>
      </c>
      <c r="C63" s="592" t="s">
        <v>38</v>
      </c>
      <c r="D63" s="592" t="s">
        <v>717</v>
      </c>
      <c r="E63" s="592" t="s">
        <v>39</v>
      </c>
      <c r="F63" s="592" t="s">
        <v>151</v>
      </c>
      <c r="G63" s="721" t="str">
        <f>VLOOKUP(WWWW[[#This Row],[Site Name]],SiteDB6[[Site Name]:[Location Type]],8,FALSE)</f>
        <v>Camp_not registered</v>
      </c>
      <c r="H63" s="592" t="s">
        <v>2071</v>
      </c>
      <c r="I63" s="594">
        <v>72</v>
      </c>
      <c r="J63" s="594">
        <v>329</v>
      </c>
      <c r="K63" s="595">
        <v>43525</v>
      </c>
      <c r="L63" s="596">
        <v>44196</v>
      </c>
      <c r="M63" s="594"/>
      <c r="N63" s="594"/>
      <c r="O63" s="594"/>
      <c r="P63" s="594"/>
      <c r="Q63" s="597" t="s">
        <v>43</v>
      </c>
      <c r="R63" s="594"/>
      <c r="S63" s="594">
        <v>2</v>
      </c>
      <c r="T63" s="523">
        <v>2</v>
      </c>
      <c r="U63" s="594"/>
      <c r="V63" s="594"/>
      <c r="W63" s="594"/>
      <c r="X63" s="594"/>
      <c r="Y63" s="594"/>
      <c r="Z63" s="594"/>
      <c r="AA63" s="594">
        <v>1</v>
      </c>
      <c r="AB63" s="594"/>
      <c r="AC63" s="594"/>
      <c r="AD63" s="594"/>
      <c r="AE63" s="594"/>
      <c r="AF63" s="594"/>
      <c r="AG63" s="594"/>
      <c r="AH63" s="594"/>
      <c r="AI63" s="594"/>
      <c r="AJ63" s="594"/>
      <c r="AK63" s="594"/>
      <c r="AL63" s="594"/>
      <c r="AM63" s="594"/>
      <c r="AN63" s="594"/>
      <c r="AO63" s="501"/>
      <c r="AP63" s="594">
        <v>12</v>
      </c>
      <c r="AQ63" s="594"/>
      <c r="AR63" s="599"/>
      <c r="AS63" s="594">
        <v>4</v>
      </c>
      <c r="AT63" s="594">
        <v>2</v>
      </c>
      <c r="AU63" s="594"/>
      <c r="AV63" s="594"/>
      <c r="AW63" s="594"/>
      <c r="AX63" s="593" t="s">
        <v>43</v>
      </c>
      <c r="AY63" s="598" t="s">
        <v>140</v>
      </c>
      <c r="AZ63" s="594"/>
      <c r="BA63" s="594"/>
      <c r="BB63" s="594"/>
      <c r="BC63" s="594"/>
      <c r="BD63" s="523"/>
      <c r="BE63" s="593"/>
      <c r="BF63" s="594"/>
      <c r="BG63" s="594"/>
      <c r="BH63" s="594"/>
      <c r="BI63" s="594">
        <v>2</v>
      </c>
      <c r="BJ63" s="594">
        <v>1</v>
      </c>
      <c r="BK63" s="594">
        <v>1</v>
      </c>
      <c r="BL63" s="594"/>
      <c r="BM63" s="594"/>
      <c r="BN63" s="594"/>
      <c r="BO63" s="593"/>
      <c r="BP63" s="594"/>
      <c r="BQ63" s="599"/>
      <c r="BR63" s="593"/>
      <c r="BS63" s="472">
        <v>0.5</v>
      </c>
      <c r="BT63" s="472">
        <v>0.4</v>
      </c>
      <c r="BU63" s="523">
        <v>30</v>
      </c>
      <c r="BV63" s="472">
        <v>0.5</v>
      </c>
      <c r="BW63" s="523"/>
      <c r="BX63" s="523"/>
      <c r="BY63" s="523"/>
      <c r="BZ63" s="601" t="str">
        <f>IFERROR(WWWW[[#This Row],['#_Water sources passed]]/WWWW[[#This Row],['#_Water sources tested for fecal coliform ]],"no test")</f>
        <v>no test</v>
      </c>
      <c r="CA63" s="599" t="str">
        <f>IFERROR(WWWW[[#This Row],['#_Household passed]]/WWWW[[#This Row],['#_Household water samples tested for fecal coliform]],"no test")</f>
        <v>no test</v>
      </c>
      <c r="CB63" s="600" t="str">
        <f>IF(AND(WWWW[[#This Row],[% of water sources passed]]="no test",WWWW[[#This Row],[% Household passed]]="no test"),"No Test","Tested")</f>
        <v>No Test</v>
      </c>
      <c r="CC63" s="600">
        <f>WWWW[[#This Row],['#_Constructed/existing protected hand dug well]]-WWWW[[#This Row],['#_Non-functional protected hand dug well]]</f>
        <v>2</v>
      </c>
      <c r="CD63" s="600">
        <f>(WWWW[[#This Row],['#_Constructed/Existing tube wells/boreholes/handpumps_WASH_agency]]+WWWW[[#This Row],['#_Non-Cluster partner water tube-wells/boreholes/handpumps]])-WWWW[[#This Row],['#_Non-functional tube wells/boreholes/handpumps]]</f>
        <v>0</v>
      </c>
      <c r="CE63" s="600">
        <f>WWWW[[#This Row],['#_Constructed/Existingwater storage tank with gravity fed reticulation system]]-WWWW[[#This Row],['#_Non-functional storage tank gravity fed reticulation system]]</f>
        <v>1</v>
      </c>
      <c r="CF63" s="478">
        <f>(WWWW[[#This Row],['#_Water_Liters_supplied_by_Water boating or water trucking]]/90)/15</f>
        <v>0</v>
      </c>
      <c r="CG63" s="478">
        <f>WWWW[[#This Row],['#_Water_Liters_from_Constructed/Existing water distribution system from river or natural spring]]/90/15</f>
        <v>0</v>
      </c>
      <c r="CH63" s="478">
        <f>WWWW[[#This Row],['#_of water points in TLS/CFS /THF]]*500</f>
        <v>0</v>
      </c>
      <c r="CI6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3" s="599">
        <f>IF(WWWW[[#This Row],[Location Type 1]]="Village",WWWW[[#This Row],[Access to safe drinking water for Village]],WWWW[[#This Row],[Access to safe drinking water for Camp]])</f>
        <v>1</v>
      </c>
      <c r="CL63" s="597">
        <f>WWWW[[#This Row],[%Equitable and continuous access to sufficient quantity of safe drinking water]]*WWWW[[#This Row],[Total PoP ]]</f>
        <v>329</v>
      </c>
      <c r="CM63" s="599">
        <f>IF((WWWW[[#This Row],['#_Constructed/Existing protected/fenced ponds]]*250)/WWWW[[#This Row],[Total PoP ]]&gt;1,1,(WWWW[[#This Row],['#_Constructed/Existing protected/fenced ponds]]*250)/WWWW[[#This Row],[Total PoP ]])</f>
        <v>0</v>
      </c>
      <c r="CN63" s="597">
        <f>WWWW[[#This Row],[% Access to unimproved water points]]*WWWW[[#This Row],[Total PoP ]]</f>
        <v>0</v>
      </c>
      <c r="CO6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Q63" s="597">
        <f>WWWW[[#This Row],[HRP1]]/500</f>
        <v>0.65800000000000003</v>
      </c>
      <c r="CR63" s="602">
        <f>1-WWWW[[#This Row],[% Equitable and continuous access to sufficient quantity of domestic water]]</f>
        <v>0</v>
      </c>
      <c r="CS63" s="597">
        <f>WWWW[[#This Row],[%equitable and continuous access to sufficient quantity of safe drinking and domestic water''s GAP]]*WWWW[[#This Row],[Total PoP ]]</f>
        <v>0</v>
      </c>
      <c r="CT63" s="600">
        <f>IF(WWWW[[#This Row],[Total required water points]]-WWWW[[#This Row],['#Water points coverage]]&lt;0,0,WWWW[[#This Row],[Total required water points]]-WWWW[[#This Row],['#Water points coverage]])</f>
        <v>0.34199999999999997</v>
      </c>
      <c r="CU63" s="600">
        <f>ROUND(IF(WWWW[[#This Row],[Total PoP ]]&lt;500,1,WWWW[[#This Row],[Total PoP ]]/500),0)</f>
        <v>1</v>
      </c>
      <c r="CV63" s="600">
        <f>(WWWW[[#This Row],['#_Constructed latrines_by_WASHAgencies]]+WWWW[[#This Row],['#_Non Cluster partner latrines]])-WWWW[[#This Row],['#_Non-functional latrines]]</f>
        <v>8</v>
      </c>
      <c r="CW63" s="70">
        <f>WWWW[[#This Row],[HRP2]]/WWWW[[#This Row],[Total PoP ]]</f>
        <v>0.48632218844984804</v>
      </c>
      <c r="CX6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6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3" s="600">
        <f>IF(WWWW[[#This Row],['# of functional latrines in THF supported by WASH partners during the reporting period2]]="",0,WWWW[[#This Row],['# of functional latrines in THF supported by WASH partners during the reporting period2]]*50)</f>
        <v>0</v>
      </c>
      <c r="DB63" s="600">
        <f>WWWW[[#This Row],['# students access to functioning school latrines_HRP5]]+WWWW[[#This Row],['# People access to functioning latrines in THF_HRP5]]</f>
        <v>0</v>
      </c>
      <c r="DC63" s="600">
        <f>ROUND(IF(WWWW[[#This Row],[Location Type 1]]="camp",WWWW[[#This Row],[Total PoP ]]/20,IF(WWWW[[#This Row],[Location Type 1]]="Temporary Location",WWWW[[#This Row],[Total PoP ]]/50,WWWW[[#This Row],[Total HH]])),0)</f>
        <v>16</v>
      </c>
      <c r="DD63" s="600">
        <f>IF(WWWW[[#This Row],[Total required Latrines]]-(WWWW[[#This Row],['#_Constructed latrines_by_WASHAgencies]]+WWWW[[#This Row],['#_Non Cluster partner latrines]])&lt;0,0,WWWW[[#This Row],[Total required Latrines]]-(WWWW[[#This Row],['#_Constructed latrines_by_WASHAgencies]]+WWWW[[#This Row],['#_Non Cluster partner latrines]]))</f>
        <v>4</v>
      </c>
      <c r="DE63" s="602">
        <f>1-WWWW[[#This Row],[% people access to functioning Latrine]]</f>
        <v>0.51367781155015191</v>
      </c>
      <c r="DF63" s="601">
        <f>IF(OR(WWWW[[#This Row],['#_Non-functional latrines]]="",WWWW[[#This Row],['#_Non-functional latrines]]=0),0,WWWW[[#This Row],['#_Non-functional latrines]]/(WWWW[[#This Row],['#_Constructed latrines_by_WASHAgencies]]+WWWW[[#This Row],['#_Non Cluster partner latrines]]))</f>
        <v>0.33333333333333331</v>
      </c>
      <c r="DG63" s="597">
        <f>IF(500*(WWWW[[#This Row],['#_male hygiene promoters]]+WWWW[[#This Row],['#_female hygiene promoters]])&gt;WWWW[[#This Row],[Total PoP ]],WWWW[[#This Row],[Total PoP ]],500*(WWWW[[#This Row],['#_male hygiene promoters]]+WWWW[[#This Row],['#_female hygiene promoters]]))</f>
        <v>329</v>
      </c>
      <c r="DH6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3" s="600">
        <f>IF(WWWW[[#This Row],['# People with access to soap]]&gt;WWWW[[#This Row],['# People with access to Sanity Pads]],WWWW[[#This Row],['# People with access to soap]],WWWW[[#This Row],['# People with access to Sanity Pads]])</f>
        <v>0</v>
      </c>
      <c r="DK63" s="600">
        <f>IF(WWWW[[#This Row],['# people reached by regular dedicated hygiene promotion_5]]&gt;WWWW[[#This Row],['# People received regular supply of hygiene items_6]],WWWW[[#This Row],['# people reached by regular dedicated hygiene promotion_5]],WWWW[[#This Row],['# People received regular supply of hygiene items_6]])</f>
        <v>329</v>
      </c>
      <c r="DL63" s="602">
        <f>IF(WWWW[[#This Row],[HRP3]]/WWWW[[#This Row],[Total PoP ]]&gt;1,1,WWWW[[#This Row],[HRP3]]/WWWW[[#This Row],[Total PoP ]])</f>
        <v>1</v>
      </c>
      <c r="DM63" s="601">
        <f>1-WWWW[[#This Row],[Hygiene Coverage%]]</f>
        <v>0</v>
      </c>
      <c r="DN63" s="599">
        <f>WWWW[[#This Row],['# people reached by regular dedicated hygiene promotion_5]]/WWWW[[#This Row],[Total PoP ]]</f>
        <v>1</v>
      </c>
      <c r="DO6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3" s="600">
        <f>WWWW[[#This Row],['#_Constructed/Existing hand washing stations]]-WWWW[[#This Row],['#_Non-Functional_hand_washing_stations]]</f>
        <v>0</v>
      </c>
      <c r="DR63" s="597">
        <f>IF(WWWW[[#This Row],['# Functional hand washing stations during reporting period]]*20&gt;WWWW[[#This Row],[Total HH]],WWWW[[#This Row],[Total HH]],WWWW[[#This Row],['# Functional hand washing stations during reporting period]]*20)</f>
        <v>0</v>
      </c>
      <c r="DS63" s="597">
        <f>IF(WWWW[[#This Row],[Is sufficient soap available for TLS? (Yes/No)]]="yes",WWWW[[#This Row],['#_Constructed/Existing hand washing stations at TLS]],0)</f>
        <v>0</v>
      </c>
      <c r="DT63" s="479">
        <f>IF(WWWW[[#This Row],['# Functional hand washing stations during reporting period]]*100&gt;WWWW[[#This Row],[Total PoP ]],WWWW[[#This Row],[Total PoP ]],WWWW[[#This Row],['# Functional hand washing stations during reporting period]]*100)</f>
        <v>0</v>
      </c>
      <c r="DU63" s="479" t="str">
        <f>IF(OR(WWWW[[#This Row],['#_students at TLS_CFS]]="",WWWW[[#This Row],['#_students at TLS_CFS]]=0),"No","Yes")</f>
        <v>No</v>
      </c>
      <c r="DV63" s="472">
        <f>IF(WWWW[[#This Row],['#_of_affected_people_surveyed_who_report_feeling_informed_about_the_different_WASH_services_available_to_them]]="","",WWWW[[#This Row],['#_of_affected_people_surveyed_who_report_feeling_informed_about_the_different_WASH_services_available_to_them]]/WWWW[[#This Row],[Total PoP ]])</f>
        <v>9.1185410334346503E-2</v>
      </c>
      <c r="DW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3" s="593">
        <f>VLOOKUP(WWWW[[#This Row],[Site Name]],SiteDB6[[Site Name]:[CCCM Management]],6,FALSE)</f>
        <v>0</v>
      </c>
      <c r="DZ63" s="593">
        <f>VLOOKUP(WWWW[[#This Row],[Site Name]],SiteDB6[[Site Name]:[CCCM Focal Agency]],7,FALSE)</f>
        <v>0</v>
      </c>
      <c r="EA63" s="593" t="str">
        <f>VLOOKUP(WWWW[[#This Row],[Site Name]],SiteDB6[[Site Name]:[Location Type 1]],9,FALSE)</f>
        <v>Camp</v>
      </c>
      <c r="EB63" s="593" t="str">
        <f>VLOOKUP(WWWW[[#This Row],[Site Name]],SiteDB6[[Site Name]:[Type of Accommodation]],10,FALSE)</f>
        <v>Camp like setting</v>
      </c>
      <c r="EC63" s="593" t="str">
        <f>VLOOKUP(WWWW[[#This Row],[Site Name]],SiteDB6[[Site Name]:[Ethnic or GCA/NGCA]],11,FALSE)</f>
        <v>GCA</v>
      </c>
      <c r="ED63" s="593">
        <f>VLOOKUP(WWWW[[#This Row],[Site Name]],SiteDB6[[Site Name]:[Lat]],12,FALSE)</f>
        <v>0</v>
      </c>
      <c r="EE63" s="593">
        <f>VLOOKUP(WWWW[[#This Row],[Site Name]],SiteDB6[[Site Name]:[Long]],13,FALSE)</f>
        <v>0</v>
      </c>
      <c r="EF63" s="593">
        <f>VLOOKUP(WWWW[[#This Row],[Site Name]],SiteDB6[[Site Name]:[Pcode]],3,FALSE)</f>
        <v>0</v>
      </c>
      <c r="EG63" s="598" t="str">
        <f t="shared" si="0"/>
        <v>Covered</v>
      </c>
      <c r="EH63" s="598"/>
    </row>
    <row r="64" spans="1:138" hidden="1">
      <c r="A64" s="591" t="s">
        <v>3261</v>
      </c>
      <c r="B64" s="591" t="s">
        <v>38</v>
      </c>
      <c r="C64" s="592" t="s">
        <v>38</v>
      </c>
      <c r="D64" s="592" t="s">
        <v>3049</v>
      </c>
      <c r="E64" s="592" t="s">
        <v>39</v>
      </c>
      <c r="F64" s="592" t="s">
        <v>145</v>
      </c>
      <c r="G64" s="721" t="str">
        <f>VLOOKUP(WWWW[[#This Row],[Site Name]],SiteDB6[[Site Name]:[Location Type]],8,FALSE)</f>
        <v>Camp</v>
      </c>
      <c r="H64" s="592" t="s">
        <v>240</v>
      </c>
      <c r="I64" s="594">
        <v>283</v>
      </c>
      <c r="J64" s="594">
        <v>1481</v>
      </c>
      <c r="K64" s="407" t="s">
        <v>3283</v>
      </c>
      <c r="L64" s="56" t="s">
        <v>3282</v>
      </c>
      <c r="M64" s="594">
        <v>85</v>
      </c>
      <c r="N64" s="594"/>
      <c r="O64" s="594"/>
      <c r="P64" s="594"/>
      <c r="Q64" s="597" t="s">
        <v>43</v>
      </c>
      <c r="R64" s="594"/>
      <c r="S64" s="594">
        <v>4</v>
      </c>
      <c r="T64" s="523">
        <v>10</v>
      </c>
      <c r="U64" s="594"/>
      <c r="V64" s="594"/>
      <c r="W64" s="594"/>
      <c r="X64" s="594"/>
      <c r="Y64" s="594"/>
      <c r="Z64" s="594"/>
      <c r="AA64" s="594"/>
      <c r="AB64" s="594"/>
      <c r="AC64" s="594"/>
      <c r="AD64" s="594"/>
      <c r="AE64" s="594"/>
      <c r="AF64" s="594"/>
      <c r="AG64" s="594"/>
      <c r="AH64" s="594"/>
      <c r="AI64" s="594"/>
      <c r="AJ64" s="594"/>
      <c r="AK64" s="594"/>
      <c r="AL64" s="594"/>
      <c r="AM64" s="594">
        <v>2</v>
      </c>
      <c r="AN64" s="594"/>
      <c r="AO64" s="598"/>
      <c r="AP64" s="594">
        <v>97</v>
      </c>
      <c r="AQ64" s="594"/>
      <c r="AR64" s="599"/>
      <c r="AS64" s="594"/>
      <c r="AT64" s="594"/>
      <c r="AU64" s="594"/>
      <c r="AV64" s="594"/>
      <c r="AW64" s="594"/>
      <c r="AX64" s="593" t="s">
        <v>43</v>
      </c>
      <c r="AY64" s="598" t="s">
        <v>140</v>
      </c>
      <c r="AZ64" s="594">
        <v>4</v>
      </c>
      <c r="BA64" s="594"/>
      <c r="BB64" s="594"/>
      <c r="BC64" s="594"/>
      <c r="BD64" s="523"/>
      <c r="BE64" s="593"/>
      <c r="BF64" s="594"/>
      <c r="BG64" s="594"/>
      <c r="BH64" s="594"/>
      <c r="BI64" s="594">
        <v>6</v>
      </c>
      <c r="BJ64" s="594"/>
      <c r="BK64" s="594"/>
      <c r="BL64" s="594">
        <v>4</v>
      </c>
      <c r="BM64" s="594"/>
      <c r="BN64" s="594"/>
      <c r="BO64" s="593" t="s">
        <v>139</v>
      </c>
      <c r="BP64" s="594"/>
      <c r="BQ64" s="599"/>
      <c r="BR64" s="593"/>
      <c r="BS64" s="472">
        <v>0.65</v>
      </c>
      <c r="BT64" s="472">
        <v>0.6</v>
      </c>
      <c r="BU64" s="523">
        <v>12</v>
      </c>
      <c r="BV64" s="472">
        <v>0.65</v>
      </c>
      <c r="BW64" s="523"/>
      <c r="BX64" s="523"/>
      <c r="BY64" s="523"/>
      <c r="BZ64" s="601" t="str">
        <f>IFERROR(WWWW[[#This Row],['#_Water sources passed]]/WWWW[[#This Row],['#_Water sources tested for fecal coliform ]],"no test")</f>
        <v>no test</v>
      </c>
      <c r="CA64" s="599" t="str">
        <f>IFERROR(WWWW[[#This Row],['#_Household passed]]/WWWW[[#This Row],['#_Household water samples tested for fecal coliform]],"no test")</f>
        <v>no test</v>
      </c>
      <c r="CB64" s="600" t="str">
        <f>IF(AND(WWWW[[#This Row],[% of water sources passed]]="no test",WWWW[[#This Row],[% Household passed]]="no test"),"No Test","Tested")</f>
        <v>No Test</v>
      </c>
      <c r="CC64" s="600">
        <f>WWWW[[#This Row],['#_Constructed/existing protected hand dug well]]-WWWW[[#This Row],['#_Non-functional protected hand dug well]]</f>
        <v>10</v>
      </c>
      <c r="CD64" s="600">
        <f>(WWWW[[#This Row],['#_Constructed/Existing tube wells/boreholes/handpumps_WASH_agency]]+WWWW[[#This Row],['#_Non-Cluster partner water tube-wells/boreholes/handpumps]])-WWWW[[#This Row],['#_Non-functional tube wells/boreholes/handpumps]]</f>
        <v>0</v>
      </c>
      <c r="CE64" s="600">
        <f>WWWW[[#This Row],['#_Constructed/Existingwater storage tank with gravity fed reticulation system]]-WWWW[[#This Row],['#_Non-functional storage tank gravity fed reticulation system]]</f>
        <v>0</v>
      </c>
      <c r="CF64" s="478">
        <f>(WWWW[[#This Row],['#_Water_Liters_supplied_by_Water boating or water trucking]]/90)/15</f>
        <v>0</v>
      </c>
      <c r="CG64" s="478">
        <f>WWWW[[#This Row],['#_Water_Liters_from_Constructed/Existing water distribution system from river or natural spring]]/90/15</f>
        <v>0</v>
      </c>
      <c r="CH64" s="478">
        <f>WWWW[[#This Row],['#_of water points in TLS/CFS /THF]]*500</f>
        <v>0</v>
      </c>
      <c r="CI6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4" s="599">
        <f>IF(WWWW[[#This Row],[Location Type 1]]="Village",WWWW[[#This Row],[Access to safe drinking water for Village]],WWWW[[#This Row],[Access to safe drinking water for Camp]])</f>
        <v>1</v>
      </c>
      <c r="CL64" s="597">
        <f>WWWW[[#This Row],[%Equitable and continuous access to sufficient quantity of safe drinking water]]*WWWW[[#This Row],[Total PoP ]]</f>
        <v>1481</v>
      </c>
      <c r="CM64" s="599">
        <f>IF((WWWW[[#This Row],['#_Constructed/Existing protected/fenced ponds]]*250)/WWWW[[#This Row],[Total PoP ]]&gt;1,1,(WWWW[[#This Row],['#_Constructed/Existing protected/fenced ponds]]*250)/WWWW[[#This Row],[Total PoP ]])</f>
        <v>0</v>
      </c>
      <c r="CN64" s="597">
        <f>WWWW[[#This Row],[% Access to unimproved water points]]*WWWW[[#This Row],[Total PoP ]]</f>
        <v>0</v>
      </c>
      <c r="CO6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Q64" s="597">
        <f>WWWW[[#This Row],[HRP1]]/500</f>
        <v>2.9620000000000002</v>
      </c>
      <c r="CR64" s="602">
        <f>1-WWWW[[#This Row],[% Equitable and continuous access to sufficient quantity of domestic water]]</f>
        <v>0</v>
      </c>
      <c r="CS64" s="597">
        <f>WWWW[[#This Row],[%equitable and continuous access to sufficient quantity of safe drinking and domestic water''s GAP]]*WWWW[[#This Row],[Total PoP ]]</f>
        <v>0</v>
      </c>
      <c r="CT64" s="600">
        <f>IF(WWWW[[#This Row],[Total required water points]]-WWWW[[#This Row],['#Water points coverage]]&lt;0,0,WWWW[[#This Row],[Total required water points]]-WWWW[[#This Row],['#Water points coverage]])</f>
        <v>3.7999999999999812E-2</v>
      </c>
      <c r="CU64" s="600">
        <f>ROUND(IF(WWWW[[#This Row],[Total PoP ]]&lt;500,1,WWWW[[#This Row],[Total PoP ]]/500),0)</f>
        <v>3</v>
      </c>
      <c r="CV64" s="600">
        <f>(WWWW[[#This Row],['#_Constructed latrines_by_WASHAgencies]]+WWWW[[#This Row],['#_Non Cluster partner latrines]])-WWWW[[#This Row],['#_Non-functional latrines]]</f>
        <v>97</v>
      </c>
      <c r="CW64" s="70">
        <f>WWWW[[#This Row],[HRP2]]/WWWW[[#This Row],[Total PoP ]]</f>
        <v>1</v>
      </c>
      <c r="CX6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1481</v>
      </c>
      <c r="CY6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4" s="600">
        <f>IF(WWWW[[#This Row],['# of functional latrines in THF supported by WASH partners during the reporting period2]]="",0,WWWW[[#This Row],['# of functional latrines in THF supported by WASH partners during the reporting period2]]*50)</f>
        <v>0</v>
      </c>
      <c r="DB64" s="600">
        <f>WWWW[[#This Row],['# students access to functioning school latrines_HRP5]]+WWWW[[#This Row],['# People access to functioning latrines in THF_HRP5]]</f>
        <v>0</v>
      </c>
      <c r="DC64" s="600">
        <f>ROUND(IF(WWWW[[#This Row],[Location Type 1]]="camp",WWWW[[#This Row],[Total PoP ]]/20,IF(WWWW[[#This Row],[Location Type 1]]="Temporary Location",WWWW[[#This Row],[Total PoP ]]/50,WWWW[[#This Row],[Total HH]])),0)</f>
        <v>74</v>
      </c>
      <c r="DD64" s="600">
        <f>IF(WWWW[[#This Row],[Total required Latrines]]-(WWWW[[#This Row],['#_Constructed latrines_by_WASHAgencies]]+WWWW[[#This Row],['#_Non Cluster partner latrines]])&lt;0,0,WWWW[[#This Row],[Total required Latrines]]-(WWWW[[#This Row],['#_Constructed latrines_by_WASHAgencies]]+WWWW[[#This Row],['#_Non Cluster partner latrines]]))</f>
        <v>0</v>
      </c>
      <c r="DE64" s="602">
        <f>1-WWWW[[#This Row],[% people access to functioning Latrine]]</f>
        <v>0</v>
      </c>
      <c r="DF64" s="601">
        <f>IF(OR(WWWW[[#This Row],['#_Non-functional latrines]]="",WWWW[[#This Row],['#_Non-functional latrines]]=0),0,WWWW[[#This Row],['#_Non-functional latrines]]/(WWWW[[#This Row],['#_Constructed latrines_by_WASHAgencies]]+WWWW[[#This Row],['#_Non Cluster partner latrines]]))</f>
        <v>0</v>
      </c>
      <c r="DG64" s="597">
        <f>IF(500*(WWWW[[#This Row],['#_male hygiene promoters]]+WWWW[[#This Row],['#_female hygiene promoters]])&gt;WWWW[[#This Row],[Total PoP ]],WWWW[[#This Row],[Total PoP ]],500*(WWWW[[#This Row],['#_male hygiene promoters]]+WWWW[[#This Row],['#_female hygiene promoters]]))</f>
        <v>1481</v>
      </c>
      <c r="DH6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4" s="600">
        <f>IF(WWWW[[#This Row],['# People with access to soap]]&gt;WWWW[[#This Row],['# People with access to Sanity Pads]],WWWW[[#This Row],['# People with access to soap]],WWWW[[#This Row],['# People with access to Sanity Pads]])</f>
        <v>0</v>
      </c>
      <c r="DK64" s="600">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DL64" s="602">
        <f>IF(WWWW[[#This Row],[HRP3]]/WWWW[[#This Row],[Total PoP ]]&gt;1,1,WWWW[[#This Row],[HRP3]]/WWWW[[#This Row],[Total PoP ]])</f>
        <v>1</v>
      </c>
      <c r="DM64" s="601">
        <f>1-WWWW[[#This Row],[Hygiene Coverage%]]</f>
        <v>0</v>
      </c>
      <c r="DN64" s="599">
        <f>WWWW[[#This Row],['# people reached by regular dedicated hygiene promotion_5]]/WWWW[[#This Row],[Total PoP ]]</f>
        <v>1</v>
      </c>
      <c r="DO6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4" s="600">
        <f>WWWW[[#This Row],['#_Constructed/Existing hand washing stations]]-WWWW[[#This Row],['#_Non-Functional_hand_washing_stations]]</f>
        <v>0</v>
      </c>
      <c r="DR64" s="597">
        <f>IF(WWWW[[#This Row],['# Functional hand washing stations during reporting period]]*20&gt;WWWW[[#This Row],[Total HH]],WWWW[[#This Row],[Total HH]],WWWW[[#This Row],['# Functional hand washing stations during reporting period]]*20)</f>
        <v>0</v>
      </c>
      <c r="DS64" s="597">
        <f>IF(WWWW[[#This Row],[Is sufficient soap available for TLS? (Yes/No)]]="yes",WWWW[[#This Row],['#_Constructed/Existing hand washing stations at TLS]],0)</f>
        <v>0</v>
      </c>
      <c r="DT64" s="479">
        <f>IF(WWWW[[#This Row],['# Functional hand washing stations during reporting period]]*100&gt;WWWW[[#This Row],[Total PoP ]],WWWW[[#This Row],[Total PoP ]],WWWW[[#This Row],['# Functional hand washing stations during reporting period]]*100)</f>
        <v>0</v>
      </c>
      <c r="DU64" s="479" t="str">
        <f>IF(OR(WWWW[[#This Row],['#_students at TLS_CFS]]="",WWWW[[#This Row],['#_students at TLS_CFS]]=0),"No","Yes")</f>
        <v>Yes</v>
      </c>
      <c r="DV64" s="472">
        <f>IF(WWWW[[#This Row],['#_of_affected_people_surveyed_who_report_feeling_informed_about_the_different_WASH_services_available_to_them]]="","",WWWW[[#This Row],['#_of_affected_people_surveyed_who_report_feeling_informed_about_the_different_WASH_services_available_to_them]]/WWWW[[#This Row],[Total PoP ]])</f>
        <v>8.1026333558406483E-3</v>
      </c>
      <c r="DW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4" s="593" t="str">
        <f>VLOOKUP(WWWW[[#This Row],[Site Name]],SiteDB6[[Site Name]:[CCCM Management]],6,FALSE)</f>
        <v>Yes</v>
      </c>
      <c r="DZ64" s="593" t="str">
        <f>VLOOKUP(WWWW[[#This Row],[Site Name]],SiteDB6[[Site Name]:[CCCM Focal Agency]],7,FALSE)</f>
        <v>KMSS-MYT</v>
      </c>
      <c r="EA64" s="593" t="str">
        <f>VLOOKUP(WWWW[[#This Row],[Site Name]],SiteDB6[[Site Name]:[Location Type 1]],9,FALSE)</f>
        <v>Camp</v>
      </c>
      <c r="EB64" s="593" t="str">
        <f>VLOOKUP(WWWW[[#This Row],[Site Name]],SiteDB6[[Site Name]:[Type of Accommodation]],10,FALSE)</f>
        <v>Camp</v>
      </c>
      <c r="EC64" s="593" t="str">
        <f>VLOOKUP(WWWW[[#This Row],[Site Name]],SiteDB6[[Site Name]:[Ethnic or GCA/NGCA]],11,FALSE)</f>
        <v>GCA</v>
      </c>
      <c r="ED64" s="593">
        <f>VLOOKUP(WWWW[[#This Row],[Site Name]],SiteDB6[[Site Name]:[Lat]],12,FALSE)</f>
        <v>25.415667500000001</v>
      </c>
      <c r="EE64" s="593">
        <f>VLOOKUP(WWWW[[#This Row],[Site Name]],SiteDB6[[Site Name]:[Long]],13,FALSE)</f>
        <v>97.437782499999997</v>
      </c>
      <c r="EF64" s="593" t="str">
        <f>VLOOKUP(WWWW[[#This Row],[Site Name]],SiteDB6[[Site Name]:[Pcode]],3,FALSE)</f>
        <v>MMR001CMP029</v>
      </c>
      <c r="EG64" s="598" t="str">
        <f t="shared" si="0"/>
        <v>Covered</v>
      </c>
      <c r="EH64" s="598" t="str">
        <f>VLOOKUP(WWWW[[#This Row],[Site Name]],SiteDB6[[Site Name]:[open in cccm?]],2,FALSE)</f>
        <v>cccm_2019OCT</v>
      </c>
    </row>
    <row r="65" spans="1:138" hidden="1">
      <c r="A65" s="591" t="s">
        <v>3261</v>
      </c>
      <c r="B65" s="591" t="s">
        <v>38</v>
      </c>
      <c r="C65" s="592" t="s">
        <v>38</v>
      </c>
      <c r="D65" s="592" t="s">
        <v>717</v>
      </c>
      <c r="E65" s="592" t="s">
        <v>39</v>
      </c>
      <c r="F65" s="592" t="s">
        <v>40</v>
      </c>
      <c r="G65" s="721" t="str">
        <f>VLOOKUP(WWWW[[#This Row],[Site Name]],SiteDB6[[Site Name]:[Location Type]],8,FALSE)</f>
        <v>Camp</v>
      </c>
      <c r="H65" s="592" t="s">
        <v>41</v>
      </c>
      <c r="I65" s="594">
        <v>154</v>
      </c>
      <c r="J65" s="594">
        <v>694</v>
      </c>
      <c r="K65" s="595">
        <v>43525</v>
      </c>
      <c r="L65" s="596">
        <v>44196</v>
      </c>
      <c r="M65" s="594"/>
      <c r="N65" s="594"/>
      <c r="O65" s="594"/>
      <c r="P65" s="594"/>
      <c r="Q65" s="479" t="s">
        <v>43</v>
      </c>
      <c r="R65" s="594"/>
      <c r="S65" s="594"/>
      <c r="T65" s="523">
        <v>1</v>
      </c>
      <c r="U65" s="594"/>
      <c r="V65" s="594"/>
      <c r="W65" s="594">
        <v>3</v>
      </c>
      <c r="X65" s="594">
        <v>2</v>
      </c>
      <c r="Y65" s="594"/>
      <c r="Z65" s="594"/>
      <c r="AA65" s="594"/>
      <c r="AB65" s="594"/>
      <c r="AC65" s="594"/>
      <c r="AD65" s="594"/>
      <c r="AE65" s="594"/>
      <c r="AF65" s="594"/>
      <c r="AG65" s="594"/>
      <c r="AH65" s="594"/>
      <c r="AI65" s="594"/>
      <c r="AJ65" s="594"/>
      <c r="AK65" s="594"/>
      <c r="AL65" s="594"/>
      <c r="AM65" s="594"/>
      <c r="AN65" s="594"/>
      <c r="AO65" s="598"/>
      <c r="AP65" s="594">
        <v>61</v>
      </c>
      <c r="AQ65" s="594"/>
      <c r="AR65" s="599"/>
      <c r="AS65" s="594"/>
      <c r="AT65" s="594"/>
      <c r="AU65" s="594"/>
      <c r="AV65" s="594"/>
      <c r="AW65" s="594"/>
      <c r="AX65" s="593" t="s">
        <v>43</v>
      </c>
      <c r="AY65" s="598" t="s">
        <v>140</v>
      </c>
      <c r="AZ65" s="594"/>
      <c r="BA65" s="594"/>
      <c r="BB65" s="594"/>
      <c r="BC65" s="594"/>
      <c r="BD65" s="523"/>
      <c r="BE65" s="593"/>
      <c r="BF65" s="594">
        <v>10</v>
      </c>
      <c r="BG65" s="594"/>
      <c r="BH65" s="594"/>
      <c r="BI65" s="594">
        <v>7</v>
      </c>
      <c r="BJ65" s="594"/>
      <c r="BK65" s="594"/>
      <c r="BL65" s="594">
        <v>2</v>
      </c>
      <c r="BM65" s="594"/>
      <c r="BN65" s="594"/>
      <c r="BO65" s="593"/>
      <c r="BP65" s="594"/>
      <c r="BQ65" s="599"/>
      <c r="BR65" s="593"/>
      <c r="BS65" s="472">
        <v>0.7</v>
      </c>
      <c r="BT65" s="472">
        <v>0.7</v>
      </c>
      <c r="BU65" s="523">
        <v>8</v>
      </c>
      <c r="BV65" s="472">
        <v>0.7</v>
      </c>
      <c r="BW65" s="523"/>
      <c r="BX65" s="523"/>
      <c r="BY65" s="523"/>
      <c r="BZ65" s="601" t="str">
        <f>IFERROR(WWWW[[#This Row],['#_Water sources passed]]/WWWW[[#This Row],['#_Water sources tested for fecal coliform ]],"no test")</f>
        <v>no test</v>
      </c>
      <c r="CA65" s="599" t="str">
        <f>IFERROR(WWWW[[#This Row],['#_Household passed]]/WWWW[[#This Row],['#_Household water samples tested for fecal coliform]],"no test")</f>
        <v>no test</v>
      </c>
      <c r="CB65" s="600" t="str">
        <f>IF(AND(WWWW[[#This Row],[% of water sources passed]]="no test",WWWW[[#This Row],[% Household passed]]="no test"),"No Test","Tested")</f>
        <v>No Test</v>
      </c>
      <c r="CC65" s="600">
        <f>WWWW[[#This Row],['#_Constructed/existing protected hand dug well]]-WWWW[[#This Row],['#_Non-functional protected hand dug well]]</f>
        <v>1</v>
      </c>
      <c r="CD65" s="600">
        <f>(WWWW[[#This Row],['#_Constructed/Existing tube wells/boreholes/handpumps_WASH_agency]]+WWWW[[#This Row],['#_Non-Cluster partner water tube-wells/boreholes/handpumps]])-WWWW[[#This Row],['#_Non-functional tube wells/boreholes/handpumps]]</f>
        <v>5</v>
      </c>
      <c r="CE65" s="600">
        <f>WWWW[[#This Row],['#_Constructed/Existingwater storage tank with gravity fed reticulation system]]-WWWW[[#This Row],['#_Non-functional storage tank gravity fed reticulation system]]</f>
        <v>0</v>
      </c>
      <c r="CF65" s="478">
        <f>(WWWW[[#This Row],['#_Water_Liters_supplied_by_Water boating or water trucking]]/90)/15</f>
        <v>0</v>
      </c>
      <c r="CG65" s="478">
        <f>WWWW[[#This Row],['#_Water_Liters_from_Constructed/Existing water distribution system from river or natural spring]]/90/15</f>
        <v>0</v>
      </c>
      <c r="CH65" s="478">
        <f>WWWW[[#This Row],['#_of water points in TLS/CFS /THF]]*500</f>
        <v>0</v>
      </c>
      <c r="CI6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5" s="599">
        <f>IF(WWWW[[#This Row],[Location Type 1]]="Village",WWWW[[#This Row],[Access to safe drinking water for Village]],WWWW[[#This Row],[Access to safe drinking water for Camp]])</f>
        <v>1</v>
      </c>
      <c r="CL65" s="597">
        <f>WWWW[[#This Row],[%Equitable and continuous access to sufficient quantity of safe drinking water]]*WWWW[[#This Row],[Total PoP ]]</f>
        <v>694</v>
      </c>
      <c r="CM65" s="599">
        <f>IF((WWWW[[#This Row],['#_Constructed/Existing protected/fenced ponds]]*250)/WWWW[[#This Row],[Total PoP ]]&gt;1,1,(WWWW[[#This Row],['#_Constructed/Existing protected/fenced ponds]]*250)/WWWW[[#This Row],[Total PoP ]])</f>
        <v>0</v>
      </c>
      <c r="CN65" s="597">
        <f>WWWW[[#This Row],[% Access to unimproved water points]]*WWWW[[#This Row],[Total PoP ]]</f>
        <v>0</v>
      </c>
      <c r="CO6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Q65" s="597">
        <f>WWWW[[#This Row],[HRP1]]/500</f>
        <v>1.3879999999999999</v>
      </c>
      <c r="CR65" s="602">
        <f>1-WWWW[[#This Row],[% Equitable and continuous access to sufficient quantity of domestic water]]</f>
        <v>0</v>
      </c>
      <c r="CS65" s="597">
        <f>WWWW[[#This Row],[%equitable and continuous access to sufficient quantity of safe drinking and domestic water''s GAP]]*WWWW[[#This Row],[Total PoP ]]</f>
        <v>0</v>
      </c>
      <c r="CT65" s="600">
        <f>IF(WWWW[[#This Row],[Total required water points]]-WWWW[[#This Row],['#Water points coverage]]&lt;0,0,WWWW[[#This Row],[Total required water points]]-WWWW[[#This Row],['#Water points coverage]])</f>
        <v>0</v>
      </c>
      <c r="CU65" s="600">
        <f>ROUND(IF(WWWW[[#This Row],[Total PoP ]]&lt;500,1,WWWW[[#This Row],[Total PoP ]]/500),0)</f>
        <v>1</v>
      </c>
      <c r="CV65" s="600">
        <f>(WWWW[[#This Row],['#_Constructed latrines_by_WASHAgencies]]+WWWW[[#This Row],['#_Non Cluster partner latrines]])-WWWW[[#This Row],['#_Non-functional latrines]]</f>
        <v>61</v>
      </c>
      <c r="CW65" s="70">
        <f>WWWW[[#This Row],[HRP2]]/WWWW[[#This Row],[Total PoP ]]</f>
        <v>1</v>
      </c>
      <c r="CX6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CY6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5" s="600">
        <f>IF(WWWW[[#This Row],['# of functional latrines in THF supported by WASH partners during the reporting period2]]="",0,WWWW[[#This Row],['# of functional latrines in THF supported by WASH partners during the reporting period2]]*50)</f>
        <v>0</v>
      </c>
      <c r="DB65" s="600">
        <f>WWWW[[#This Row],['# students access to functioning school latrines_HRP5]]+WWWW[[#This Row],['# People access to functioning latrines in THF_HRP5]]</f>
        <v>0</v>
      </c>
      <c r="DC65" s="600">
        <f>ROUND(IF(WWWW[[#This Row],[Location Type 1]]="camp",WWWW[[#This Row],[Total PoP ]]/20,IF(WWWW[[#This Row],[Location Type 1]]="Temporary Location",WWWW[[#This Row],[Total PoP ]]/50,WWWW[[#This Row],[Total HH]])),0)</f>
        <v>35</v>
      </c>
      <c r="DD65" s="600">
        <f>IF(WWWW[[#This Row],[Total required Latrines]]-(WWWW[[#This Row],['#_Constructed latrines_by_WASHAgencies]]+WWWW[[#This Row],['#_Non Cluster partner latrines]])&lt;0,0,WWWW[[#This Row],[Total required Latrines]]-(WWWW[[#This Row],['#_Constructed latrines_by_WASHAgencies]]+WWWW[[#This Row],['#_Non Cluster partner latrines]]))</f>
        <v>0</v>
      </c>
      <c r="DE65" s="602">
        <f>1-WWWW[[#This Row],[% people access to functioning Latrine]]</f>
        <v>0</v>
      </c>
      <c r="DF65" s="601">
        <f>IF(OR(WWWW[[#This Row],['#_Non-functional latrines]]="",WWWW[[#This Row],['#_Non-functional latrines]]=0),0,WWWW[[#This Row],['#_Non-functional latrines]]/(WWWW[[#This Row],['#_Constructed latrines_by_WASHAgencies]]+WWWW[[#This Row],['#_Non Cluster partner latrines]]))</f>
        <v>0</v>
      </c>
      <c r="DG65" s="597">
        <f>IF(500*(WWWW[[#This Row],['#_male hygiene promoters]]+WWWW[[#This Row],['#_female hygiene promoters]])&gt;WWWW[[#This Row],[Total PoP ]],WWWW[[#This Row],[Total PoP ]],500*(WWWW[[#This Row],['#_male hygiene promoters]]+WWWW[[#This Row],['#_female hygiene promoters]]))</f>
        <v>694</v>
      </c>
      <c r="DH6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5" s="600">
        <f>IF(WWWW[[#This Row],['# People with access to soap]]&gt;WWWW[[#This Row],['# People with access to Sanity Pads]],WWWW[[#This Row],['# People with access to soap]],WWWW[[#This Row],['# People with access to Sanity Pads]])</f>
        <v>0</v>
      </c>
      <c r="DK65" s="600">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L65" s="602">
        <f>IF(WWWW[[#This Row],[HRP3]]/WWWW[[#This Row],[Total PoP ]]&gt;1,1,WWWW[[#This Row],[HRP3]]/WWWW[[#This Row],[Total PoP ]])</f>
        <v>1</v>
      </c>
      <c r="DM65" s="601">
        <f>1-WWWW[[#This Row],[Hygiene Coverage%]]</f>
        <v>0</v>
      </c>
      <c r="DN65" s="599">
        <f>WWWW[[#This Row],['# people reached by regular dedicated hygiene promotion_5]]/WWWW[[#This Row],[Total PoP ]]</f>
        <v>1</v>
      </c>
      <c r="DO6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5" s="600">
        <f>WWWW[[#This Row],['#_Constructed/Existing hand washing stations]]-WWWW[[#This Row],['#_Non-Functional_hand_washing_stations]]</f>
        <v>10</v>
      </c>
      <c r="DR65" s="597">
        <f>IF(WWWW[[#This Row],['# Functional hand washing stations during reporting period]]*20&gt;WWWW[[#This Row],[Total HH]],WWWW[[#This Row],[Total HH]],WWWW[[#This Row],['# Functional hand washing stations during reporting period]]*20)</f>
        <v>154</v>
      </c>
      <c r="DS65" s="597">
        <f>IF(WWWW[[#This Row],[Is sufficient soap available for TLS? (Yes/No)]]="yes",WWWW[[#This Row],['#_Constructed/Existing hand washing stations at TLS]],0)</f>
        <v>0</v>
      </c>
      <c r="DT65" s="479">
        <f>IF(WWWW[[#This Row],['# Functional hand washing stations during reporting period]]*100&gt;WWWW[[#This Row],[Total PoP ]],WWWW[[#This Row],[Total PoP ]],WWWW[[#This Row],['# Functional hand washing stations during reporting period]]*100)</f>
        <v>694</v>
      </c>
      <c r="DU65" s="479" t="str">
        <f>IF(OR(WWWW[[#This Row],['#_students at TLS_CFS]]="",WWWW[[#This Row],['#_students at TLS_CFS]]=0),"No","Yes")</f>
        <v>No</v>
      </c>
      <c r="DV65" s="472">
        <f>IF(WWWW[[#This Row],['#_of_affected_people_surveyed_who_report_feeling_informed_about_the_different_WASH_services_available_to_them]]="","",WWWW[[#This Row],['#_of_affected_people_surveyed_who_report_feeling_informed_about_the_different_WASH_services_available_to_them]]/WWWW[[#This Row],[Total PoP ]])</f>
        <v>1.1527377521613832E-2</v>
      </c>
      <c r="DW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5" s="593" t="str">
        <f>VLOOKUP(WWWW[[#This Row],[Site Name]],SiteDB6[[Site Name]:[CCCM Management]],6,FALSE)</f>
        <v>Yes</v>
      </c>
      <c r="DZ65" s="593" t="str">
        <f>VLOOKUP(WWWW[[#This Row],[Site Name]],SiteDB6[[Site Name]:[CCCM Focal Agency]],7,FALSE)</f>
        <v>KMSS-BMO</v>
      </c>
      <c r="EA65" s="593" t="str">
        <f>VLOOKUP(WWWW[[#This Row],[Site Name]],SiteDB6[[Site Name]:[Location Type 1]],9,FALSE)</f>
        <v>Camp</v>
      </c>
      <c r="EB65" s="593" t="str">
        <f>VLOOKUP(WWWW[[#This Row],[Site Name]],SiteDB6[[Site Name]:[Type of Accommodation]],10,FALSE)</f>
        <v>Camp</v>
      </c>
      <c r="EC65" s="593" t="str">
        <f>VLOOKUP(WWWW[[#This Row],[Site Name]],SiteDB6[[Site Name]:[Ethnic or GCA/NGCA]],11,FALSE)</f>
        <v>GCA</v>
      </c>
      <c r="ED65" s="593">
        <f>VLOOKUP(WWWW[[#This Row],[Site Name]],SiteDB6[[Site Name]:[Lat]],12,FALSE)</f>
        <v>23.976571</v>
      </c>
      <c r="EE65" s="593">
        <f>VLOOKUP(WWWW[[#This Row],[Site Name]],SiteDB6[[Site Name]:[Long]],13,FALSE)</f>
        <v>97.227057000000002</v>
      </c>
      <c r="EF65" s="593" t="str">
        <f>VLOOKUP(WWWW[[#This Row],[Site Name]],SiteDB6[[Site Name]:[Pcode]],3,FALSE)</f>
        <v>MMR001CMP223</v>
      </c>
      <c r="EG65" s="598" t="str">
        <f t="shared" si="0"/>
        <v>Covered</v>
      </c>
      <c r="EH65" s="598" t="str">
        <f>VLOOKUP(WWWW[[#This Row],[Site Name]],SiteDB6[[Site Name]:[open in cccm?]],2,FALSE)</f>
        <v>cccm_2019OCT</v>
      </c>
    </row>
    <row r="66" spans="1:138" hidden="1">
      <c r="A66" s="591" t="s">
        <v>3261</v>
      </c>
      <c r="B66" s="591" t="s">
        <v>38</v>
      </c>
      <c r="C66" s="592" t="s">
        <v>38</v>
      </c>
      <c r="D66" s="592" t="s">
        <v>323</v>
      </c>
      <c r="E66" s="592" t="s">
        <v>39</v>
      </c>
      <c r="F66" s="592" t="s">
        <v>155</v>
      </c>
      <c r="G66" s="721" t="str">
        <f>VLOOKUP(WWWW[[#This Row],[Site Name]],SiteDB6[[Site Name]:[Location Type]],8,FALSE)</f>
        <v>Camp</v>
      </c>
      <c r="H66" s="592" t="s">
        <v>2002</v>
      </c>
      <c r="I66" s="594">
        <v>45</v>
      </c>
      <c r="J66" s="594">
        <v>235</v>
      </c>
      <c r="K66" s="595">
        <v>43374</v>
      </c>
      <c r="L66" s="596">
        <v>43830</v>
      </c>
      <c r="M66" s="594"/>
      <c r="N66" s="594"/>
      <c r="O66" s="594"/>
      <c r="P66" s="594"/>
      <c r="Q66" s="479" t="s">
        <v>43</v>
      </c>
      <c r="R66" s="594"/>
      <c r="S66" s="594">
        <v>3</v>
      </c>
      <c r="T66" s="523"/>
      <c r="U66" s="594"/>
      <c r="V66" s="594"/>
      <c r="W66" s="594"/>
      <c r="X66" s="594">
        <v>2</v>
      </c>
      <c r="Y66" s="594"/>
      <c r="Z66" s="594"/>
      <c r="AA66" s="594"/>
      <c r="AB66" s="594"/>
      <c r="AC66" s="594"/>
      <c r="AD66" s="594"/>
      <c r="AE66" s="594"/>
      <c r="AF66" s="594"/>
      <c r="AG66" s="594"/>
      <c r="AH66" s="594"/>
      <c r="AI66" s="594"/>
      <c r="AJ66" s="594"/>
      <c r="AK66" s="594"/>
      <c r="AL66" s="594"/>
      <c r="AM66" s="594"/>
      <c r="AN66" s="594"/>
      <c r="AO66" s="501" t="s">
        <v>3143</v>
      </c>
      <c r="AP66" s="594">
        <v>8</v>
      </c>
      <c r="AQ66" s="594"/>
      <c r="AR66" s="599"/>
      <c r="AS66" s="594"/>
      <c r="AT66" s="594">
        <v>4</v>
      </c>
      <c r="AU66" s="594"/>
      <c r="AV66" s="594"/>
      <c r="AW66" s="594"/>
      <c r="AX66" s="593" t="s">
        <v>43</v>
      </c>
      <c r="AY66" s="598" t="s">
        <v>1195</v>
      </c>
      <c r="AZ66" s="594"/>
      <c r="BA66" s="594"/>
      <c r="BB66" s="594"/>
      <c r="BC66" s="594"/>
      <c r="BD66" s="523"/>
      <c r="BE66" s="593"/>
      <c r="BF66" s="594"/>
      <c r="BG66" s="594"/>
      <c r="BH66" s="594"/>
      <c r="BI66" s="594">
        <v>2</v>
      </c>
      <c r="BJ66" s="594"/>
      <c r="BK66" s="594"/>
      <c r="BL66" s="594">
        <v>1</v>
      </c>
      <c r="BM66" s="594"/>
      <c r="BN66" s="594"/>
      <c r="BO66" s="593"/>
      <c r="BP66" s="594"/>
      <c r="BQ66" s="599"/>
      <c r="BR66" s="593"/>
      <c r="BS66" s="472">
        <v>0.6</v>
      </c>
      <c r="BT66" s="472">
        <v>0.7</v>
      </c>
      <c r="BU66" s="523">
        <v>117</v>
      </c>
      <c r="BV66" s="472">
        <v>0.4</v>
      </c>
      <c r="BW66" s="523"/>
      <c r="BX66" s="523"/>
      <c r="BY66" s="523"/>
      <c r="BZ66" s="601" t="str">
        <f>IFERROR(WWWW[[#This Row],['#_Water sources passed]]/WWWW[[#This Row],['#_Water sources tested for fecal coliform ]],"no test")</f>
        <v>no test</v>
      </c>
      <c r="CA66" s="599" t="str">
        <f>IFERROR(WWWW[[#This Row],['#_Household passed]]/WWWW[[#This Row],['#_Household water samples tested for fecal coliform]],"no test")</f>
        <v>no test</v>
      </c>
      <c r="CB66" s="600" t="str">
        <f>IF(AND(WWWW[[#This Row],[% of water sources passed]]="no test",WWWW[[#This Row],[% Household passed]]="no test"),"No Test","Tested")</f>
        <v>No Test</v>
      </c>
      <c r="CC66" s="600">
        <f>WWWW[[#This Row],['#_Constructed/existing protected hand dug well]]-WWWW[[#This Row],['#_Non-functional protected hand dug well]]</f>
        <v>0</v>
      </c>
      <c r="CD66" s="600">
        <f>(WWWW[[#This Row],['#_Constructed/Existing tube wells/boreholes/handpumps_WASH_agency]]+WWWW[[#This Row],['#_Non-Cluster partner water tube-wells/boreholes/handpumps]])-WWWW[[#This Row],['#_Non-functional tube wells/boreholes/handpumps]]</f>
        <v>2</v>
      </c>
      <c r="CE66" s="600">
        <f>WWWW[[#This Row],['#_Constructed/Existingwater storage tank with gravity fed reticulation system]]-WWWW[[#This Row],['#_Non-functional storage tank gravity fed reticulation system]]</f>
        <v>0</v>
      </c>
      <c r="CF66" s="478">
        <f>(WWWW[[#This Row],['#_Water_Liters_supplied_by_Water boating or water trucking]]/90)/15</f>
        <v>0</v>
      </c>
      <c r="CG66" s="478">
        <f>WWWW[[#This Row],['#_Water_Liters_from_Constructed/Existing water distribution system from river or natural spring]]/90/15</f>
        <v>0</v>
      </c>
      <c r="CH66" s="478">
        <f>WWWW[[#This Row],['#_of water points in TLS/CFS /THF]]*500</f>
        <v>0</v>
      </c>
      <c r="CI6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6" s="599">
        <f>IF(WWWW[[#This Row],[Location Type 1]]="Village",WWWW[[#This Row],[Access to safe drinking water for Village]],WWWW[[#This Row],[Access to safe drinking water for Camp]])</f>
        <v>1</v>
      </c>
      <c r="CL66" s="597">
        <f>WWWW[[#This Row],[%Equitable and continuous access to sufficient quantity of safe drinking water]]*WWWW[[#This Row],[Total PoP ]]</f>
        <v>235</v>
      </c>
      <c r="CM66" s="599">
        <f>IF((WWWW[[#This Row],['#_Constructed/Existing protected/fenced ponds]]*250)/WWWW[[#This Row],[Total PoP ]]&gt;1,1,(WWWW[[#This Row],['#_Constructed/Existing protected/fenced ponds]]*250)/WWWW[[#This Row],[Total PoP ]])</f>
        <v>0</v>
      </c>
      <c r="CN66" s="597">
        <f>WWWW[[#This Row],[% Access to unimproved water points]]*WWWW[[#This Row],[Total PoP ]]</f>
        <v>0</v>
      </c>
      <c r="CO6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66" s="597">
        <f>WWWW[[#This Row],[HRP1]]/500</f>
        <v>0.47</v>
      </c>
      <c r="CR66" s="602">
        <f>1-WWWW[[#This Row],[% Equitable and continuous access to sufficient quantity of domestic water]]</f>
        <v>0</v>
      </c>
      <c r="CS66" s="597">
        <f>WWWW[[#This Row],[%equitable and continuous access to sufficient quantity of safe drinking and domestic water''s GAP]]*WWWW[[#This Row],[Total PoP ]]</f>
        <v>0</v>
      </c>
      <c r="CT66" s="600">
        <f>IF(WWWW[[#This Row],[Total required water points]]-WWWW[[#This Row],['#Water points coverage]]&lt;0,0,WWWW[[#This Row],[Total required water points]]-WWWW[[#This Row],['#Water points coverage]])</f>
        <v>0.53</v>
      </c>
      <c r="CU66" s="600">
        <f>ROUND(IF(WWWW[[#This Row],[Total PoP ]]&lt;500,1,WWWW[[#This Row],[Total PoP ]]/500),0)</f>
        <v>1</v>
      </c>
      <c r="CV66" s="600">
        <f>(WWWW[[#This Row],['#_Constructed latrines_by_WASHAgencies]]+WWWW[[#This Row],['#_Non Cluster partner latrines]])-WWWW[[#This Row],['#_Non-functional latrines]]</f>
        <v>8</v>
      </c>
      <c r="CW66" s="70">
        <f>WWWW[[#This Row],[HRP2]]/WWWW[[#This Row],[Total PoP ]]</f>
        <v>0.68085106382978722</v>
      </c>
      <c r="CX6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6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6" s="600">
        <f>IF(WWWW[[#This Row],['# of functional latrines in THF supported by WASH partners during the reporting period2]]="",0,WWWW[[#This Row],['# of functional latrines in THF supported by WASH partners during the reporting period2]]*50)</f>
        <v>0</v>
      </c>
      <c r="DB66" s="600">
        <f>WWWW[[#This Row],['# students access to functioning school latrines_HRP5]]+WWWW[[#This Row],['# People access to functioning latrines in THF_HRP5]]</f>
        <v>0</v>
      </c>
      <c r="DC66" s="600">
        <f>ROUND(IF(WWWW[[#This Row],[Location Type 1]]="camp",WWWW[[#This Row],[Total PoP ]]/20,IF(WWWW[[#This Row],[Location Type 1]]="Temporary Location",WWWW[[#This Row],[Total PoP ]]/50,WWWW[[#This Row],[Total HH]])),0)</f>
        <v>12</v>
      </c>
      <c r="DD66" s="600">
        <f>IF(WWWW[[#This Row],[Total required Latrines]]-(WWWW[[#This Row],['#_Constructed latrines_by_WASHAgencies]]+WWWW[[#This Row],['#_Non Cluster partner latrines]])&lt;0,0,WWWW[[#This Row],[Total required Latrines]]-(WWWW[[#This Row],['#_Constructed latrines_by_WASHAgencies]]+WWWW[[#This Row],['#_Non Cluster partner latrines]]))</f>
        <v>4</v>
      </c>
      <c r="DE66" s="602">
        <f>1-WWWW[[#This Row],[% people access to functioning Latrine]]</f>
        <v>0.31914893617021278</v>
      </c>
      <c r="DF66" s="601">
        <f>IF(OR(WWWW[[#This Row],['#_Non-functional latrines]]="",WWWW[[#This Row],['#_Non-functional latrines]]=0),0,WWWW[[#This Row],['#_Non-functional latrines]]/(WWWW[[#This Row],['#_Constructed latrines_by_WASHAgencies]]+WWWW[[#This Row],['#_Non Cluster partner latrines]]))</f>
        <v>0</v>
      </c>
      <c r="DG66" s="597">
        <f>IF(500*(WWWW[[#This Row],['#_male hygiene promoters]]+WWWW[[#This Row],['#_female hygiene promoters]])&gt;WWWW[[#This Row],[Total PoP ]],WWWW[[#This Row],[Total PoP ]],500*(WWWW[[#This Row],['#_male hygiene promoters]]+WWWW[[#This Row],['#_female hygiene promoters]]))</f>
        <v>235</v>
      </c>
      <c r="DH6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6" s="600">
        <f>IF(WWWW[[#This Row],['# People with access to soap]]&gt;WWWW[[#This Row],['# People with access to Sanity Pads]],WWWW[[#This Row],['# People with access to soap]],WWWW[[#This Row],['# People with access to Sanity Pads]])</f>
        <v>0</v>
      </c>
      <c r="DK66" s="600">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66" s="602">
        <f>IF(WWWW[[#This Row],[HRP3]]/WWWW[[#This Row],[Total PoP ]]&gt;1,1,WWWW[[#This Row],[HRP3]]/WWWW[[#This Row],[Total PoP ]])</f>
        <v>1</v>
      </c>
      <c r="DM66" s="601">
        <f>1-WWWW[[#This Row],[Hygiene Coverage%]]</f>
        <v>0</v>
      </c>
      <c r="DN66" s="599">
        <f>WWWW[[#This Row],['# people reached by regular dedicated hygiene promotion_5]]/WWWW[[#This Row],[Total PoP ]]</f>
        <v>1</v>
      </c>
      <c r="DO6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6" s="600">
        <f>WWWW[[#This Row],['#_Constructed/Existing hand washing stations]]-WWWW[[#This Row],['#_Non-Functional_hand_washing_stations]]</f>
        <v>0</v>
      </c>
      <c r="DR66" s="597">
        <f>IF(WWWW[[#This Row],['# Functional hand washing stations during reporting period]]*20&gt;WWWW[[#This Row],[Total HH]],WWWW[[#This Row],[Total HH]],WWWW[[#This Row],['# Functional hand washing stations during reporting period]]*20)</f>
        <v>0</v>
      </c>
      <c r="DS66" s="597">
        <f>IF(WWWW[[#This Row],[Is sufficient soap available for TLS? (Yes/No)]]="yes",WWWW[[#This Row],['#_Constructed/Existing hand washing stations at TLS]],0)</f>
        <v>0</v>
      </c>
      <c r="DT66" s="479">
        <f>IF(WWWW[[#This Row],['# Functional hand washing stations during reporting period]]*100&gt;WWWW[[#This Row],[Total PoP ]],WWWW[[#This Row],[Total PoP ]],WWWW[[#This Row],['# Functional hand washing stations during reporting period]]*100)</f>
        <v>0</v>
      </c>
      <c r="DU66" s="479" t="str">
        <f>IF(OR(WWWW[[#This Row],['#_students at TLS_CFS]]="",WWWW[[#This Row],['#_students at TLS_CFS]]=0),"No","Yes")</f>
        <v>No</v>
      </c>
      <c r="DV66" s="472">
        <f>IF(WWWW[[#This Row],['#_of_affected_people_surveyed_who_report_feeling_informed_about_the_different_WASH_services_available_to_them]]="","",WWWW[[#This Row],['#_of_affected_people_surveyed_who_report_feeling_informed_about_the_different_WASH_services_available_to_them]]/WWWW[[#This Row],[Total PoP ]])</f>
        <v>0.49787234042553191</v>
      </c>
      <c r="DW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6" s="593">
        <f>VLOOKUP(WWWW[[#This Row],[Site Name]],SiteDB6[[Site Name]:[CCCM Management]],6,FALSE)</f>
        <v>0</v>
      </c>
      <c r="DZ66" s="593" t="str">
        <f>VLOOKUP(WWWW[[#This Row],[Site Name]],SiteDB6[[Site Name]:[CCCM Focal Agency]],7,FALSE)</f>
        <v>KMSS-MYT</v>
      </c>
      <c r="EA66" s="593" t="str">
        <f>VLOOKUP(WWWW[[#This Row],[Site Name]],SiteDB6[[Site Name]:[Location Type 1]],9,FALSE)</f>
        <v>Camp</v>
      </c>
      <c r="EB66" s="593" t="str">
        <f>VLOOKUP(WWWW[[#This Row],[Site Name]],SiteDB6[[Site Name]:[Type of Accommodation]],10,FALSE)</f>
        <v>Camp</v>
      </c>
      <c r="EC66" s="593" t="str">
        <f>VLOOKUP(WWWW[[#This Row],[Site Name]],SiteDB6[[Site Name]:[Ethnic or GCA/NGCA]],11,FALSE)</f>
        <v>GCA</v>
      </c>
      <c r="ED66" s="593">
        <f>VLOOKUP(WWWW[[#This Row],[Site Name]],SiteDB6[[Site Name]:[Lat]],12,FALSE)</f>
        <v>25.370330525559201</v>
      </c>
      <c r="EE66" s="593">
        <f>VLOOKUP(WWWW[[#This Row],[Site Name]],SiteDB6[[Site Name]:[Long]],13,FALSE)</f>
        <v>97.010629910000006</v>
      </c>
      <c r="EF66" s="593" t="str">
        <f>VLOOKUP(WWWW[[#This Row],[Site Name]],SiteDB6[[Site Name]:[Pcode]],3,FALSE)</f>
        <v>MMR001CMP259</v>
      </c>
      <c r="EG66" s="598" t="str">
        <f t="shared" si="0"/>
        <v>Covered</v>
      </c>
      <c r="EH66" s="598" t="str">
        <f>VLOOKUP(WWWW[[#This Row],[Site Name]],SiteDB6[[Site Name]:[open in cccm?]],2,FALSE)</f>
        <v>cccm_2019OCT</v>
      </c>
    </row>
    <row r="67" spans="1:138" s="470" customFormat="1" hidden="1">
      <c r="A67" s="591" t="s">
        <v>3261</v>
      </c>
      <c r="B67" s="591" t="s">
        <v>38</v>
      </c>
      <c r="C67" s="592" t="s">
        <v>38</v>
      </c>
      <c r="D67" s="592" t="s">
        <v>717</v>
      </c>
      <c r="E67" s="592" t="s">
        <v>39</v>
      </c>
      <c r="F67" s="592" t="s">
        <v>162</v>
      </c>
      <c r="G67" s="721" t="str">
        <f>VLOOKUP(WWWW[[#This Row],[Site Name]],SiteDB6[[Site Name]:[Location Type]],8,FALSE)</f>
        <v>Camp</v>
      </c>
      <c r="H67" s="592" t="s">
        <v>237</v>
      </c>
      <c r="I67" s="594">
        <v>63</v>
      </c>
      <c r="J67" s="594">
        <v>309</v>
      </c>
      <c r="K67" s="595">
        <v>43525</v>
      </c>
      <c r="L67" s="596">
        <v>44196</v>
      </c>
      <c r="M67" s="594"/>
      <c r="N67" s="594"/>
      <c r="O67" s="594"/>
      <c r="P67" s="594"/>
      <c r="Q67" s="597" t="s">
        <v>43</v>
      </c>
      <c r="R67" s="594"/>
      <c r="S67" s="594"/>
      <c r="T67" s="523"/>
      <c r="U67" s="594"/>
      <c r="V67" s="594"/>
      <c r="W67" s="594">
        <v>4</v>
      </c>
      <c r="X67" s="594"/>
      <c r="Y67" s="594"/>
      <c r="Z67" s="594"/>
      <c r="AA67" s="594"/>
      <c r="AB67" s="594"/>
      <c r="AC67" s="594"/>
      <c r="AD67" s="594"/>
      <c r="AE67" s="594"/>
      <c r="AF67" s="594"/>
      <c r="AG67" s="594"/>
      <c r="AH67" s="594"/>
      <c r="AI67" s="594"/>
      <c r="AJ67" s="594"/>
      <c r="AK67" s="594"/>
      <c r="AL67" s="594"/>
      <c r="AM67" s="594"/>
      <c r="AN67" s="594"/>
      <c r="AO67" s="598"/>
      <c r="AP67" s="594">
        <v>20</v>
      </c>
      <c r="AQ67" s="594"/>
      <c r="AR67" s="599"/>
      <c r="AS67" s="594"/>
      <c r="AT67" s="594"/>
      <c r="AU67" s="594"/>
      <c r="AV67" s="594"/>
      <c r="AW67" s="594"/>
      <c r="AX67" s="593" t="s">
        <v>43</v>
      </c>
      <c r="AY67" s="598" t="s">
        <v>140</v>
      </c>
      <c r="AZ67" s="594"/>
      <c r="BA67" s="594"/>
      <c r="BB67" s="594"/>
      <c r="BC67" s="594"/>
      <c r="BD67" s="523"/>
      <c r="BE67" s="593"/>
      <c r="BF67" s="594"/>
      <c r="BG67" s="594"/>
      <c r="BH67" s="594"/>
      <c r="BI67" s="594">
        <v>2</v>
      </c>
      <c r="BJ67" s="594"/>
      <c r="BK67" s="594">
        <v>1</v>
      </c>
      <c r="BL67" s="594">
        <v>1</v>
      </c>
      <c r="BM67" s="594"/>
      <c r="BN67" s="594"/>
      <c r="BO67" s="593"/>
      <c r="BP67" s="594"/>
      <c r="BQ67" s="599"/>
      <c r="BR67" s="593"/>
      <c r="BS67" s="472">
        <v>0.65</v>
      </c>
      <c r="BT67" s="472">
        <v>0.75</v>
      </c>
      <c r="BU67" s="523">
        <v>3</v>
      </c>
      <c r="BV67" s="472">
        <v>0.75</v>
      </c>
      <c r="BW67" s="523"/>
      <c r="BX67" s="523"/>
      <c r="BY67" s="523"/>
      <c r="BZ67" s="601" t="str">
        <f>IFERROR(WWWW[[#This Row],['#_Water sources passed]]/WWWW[[#This Row],['#_Water sources tested for fecal coliform ]],"no test")</f>
        <v>no test</v>
      </c>
      <c r="CA67" s="599" t="str">
        <f>IFERROR(WWWW[[#This Row],['#_Household passed]]/WWWW[[#This Row],['#_Household water samples tested for fecal coliform]],"no test")</f>
        <v>no test</v>
      </c>
      <c r="CB67" s="600" t="str">
        <f>IF(AND(WWWW[[#This Row],[% of water sources passed]]="no test",WWWW[[#This Row],[% Household passed]]="no test"),"No Test","Tested")</f>
        <v>No Test</v>
      </c>
      <c r="CC67" s="600">
        <f>WWWW[[#This Row],['#_Constructed/existing protected hand dug well]]-WWWW[[#This Row],['#_Non-functional protected hand dug well]]</f>
        <v>0</v>
      </c>
      <c r="CD67" s="600">
        <f>(WWWW[[#This Row],['#_Constructed/Existing tube wells/boreholes/handpumps_WASH_agency]]+WWWW[[#This Row],['#_Non-Cluster partner water tube-wells/boreholes/handpumps]])-WWWW[[#This Row],['#_Non-functional tube wells/boreholes/handpumps]]</f>
        <v>4</v>
      </c>
      <c r="CE67" s="600">
        <f>WWWW[[#This Row],['#_Constructed/Existingwater storage tank with gravity fed reticulation system]]-WWWW[[#This Row],['#_Non-functional storage tank gravity fed reticulation system]]</f>
        <v>0</v>
      </c>
      <c r="CF67" s="478">
        <f>(WWWW[[#This Row],['#_Water_Liters_supplied_by_Water boating or water trucking]]/90)/15</f>
        <v>0</v>
      </c>
      <c r="CG67" s="478">
        <f>WWWW[[#This Row],['#_Water_Liters_from_Constructed/Existing water distribution system from river or natural spring]]/90/15</f>
        <v>0</v>
      </c>
      <c r="CH67" s="478">
        <f>WWWW[[#This Row],['#_of water points in TLS/CFS /THF]]*500</f>
        <v>0</v>
      </c>
      <c r="CI6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7" s="599">
        <f>IF(WWWW[[#This Row],[Location Type 1]]="Village",WWWW[[#This Row],[Access to safe drinking water for Village]],WWWW[[#This Row],[Access to safe drinking water for Camp]])</f>
        <v>1</v>
      </c>
      <c r="CL67" s="597">
        <f>WWWW[[#This Row],[%Equitable and continuous access to sufficient quantity of safe drinking water]]*WWWW[[#This Row],[Total PoP ]]</f>
        <v>309</v>
      </c>
      <c r="CM67" s="599">
        <f>IF((WWWW[[#This Row],['#_Constructed/Existing protected/fenced ponds]]*250)/WWWW[[#This Row],[Total PoP ]]&gt;1,1,(WWWW[[#This Row],['#_Constructed/Existing protected/fenced ponds]]*250)/WWWW[[#This Row],[Total PoP ]])</f>
        <v>0</v>
      </c>
      <c r="CN67" s="597">
        <f>WWWW[[#This Row],[% Access to unimproved water points]]*WWWW[[#This Row],[Total PoP ]]</f>
        <v>0</v>
      </c>
      <c r="CO6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Q67" s="597">
        <f>WWWW[[#This Row],[HRP1]]/500</f>
        <v>0.61799999999999999</v>
      </c>
      <c r="CR67" s="602">
        <f>1-WWWW[[#This Row],[% Equitable and continuous access to sufficient quantity of domestic water]]</f>
        <v>0</v>
      </c>
      <c r="CS67" s="597">
        <f>WWWW[[#This Row],[%equitable and continuous access to sufficient quantity of safe drinking and domestic water''s GAP]]*WWWW[[#This Row],[Total PoP ]]</f>
        <v>0</v>
      </c>
      <c r="CT67" s="600">
        <f>IF(WWWW[[#This Row],[Total required water points]]-WWWW[[#This Row],['#Water points coverage]]&lt;0,0,WWWW[[#This Row],[Total required water points]]-WWWW[[#This Row],['#Water points coverage]])</f>
        <v>0.38200000000000001</v>
      </c>
      <c r="CU67" s="600">
        <f>ROUND(IF(WWWW[[#This Row],[Total PoP ]]&lt;500,1,WWWW[[#This Row],[Total PoP ]]/500),0)</f>
        <v>1</v>
      </c>
      <c r="CV67" s="600">
        <f>(WWWW[[#This Row],['#_Constructed latrines_by_WASHAgencies]]+WWWW[[#This Row],['#_Non Cluster partner latrines]])-WWWW[[#This Row],['#_Non-functional latrines]]</f>
        <v>20</v>
      </c>
      <c r="CW67" s="70">
        <f>WWWW[[#This Row],[HRP2]]/WWWW[[#This Row],[Total PoP ]]</f>
        <v>1</v>
      </c>
      <c r="CX6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CY6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7" s="600">
        <f>IF(WWWW[[#This Row],['# of functional latrines in THF supported by WASH partners during the reporting period2]]="",0,WWWW[[#This Row],['# of functional latrines in THF supported by WASH partners during the reporting period2]]*50)</f>
        <v>0</v>
      </c>
      <c r="DB67" s="600">
        <f>WWWW[[#This Row],['# students access to functioning school latrines_HRP5]]+WWWW[[#This Row],['# People access to functioning latrines in THF_HRP5]]</f>
        <v>0</v>
      </c>
      <c r="DC67" s="600">
        <f>ROUND(IF(WWWW[[#This Row],[Location Type 1]]="camp",WWWW[[#This Row],[Total PoP ]]/20,IF(WWWW[[#This Row],[Location Type 1]]="Temporary Location",WWWW[[#This Row],[Total PoP ]]/50,WWWW[[#This Row],[Total HH]])),0)</f>
        <v>15</v>
      </c>
      <c r="DD67" s="600">
        <f>IF(WWWW[[#This Row],[Total required Latrines]]-(WWWW[[#This Row],['#_Constructed latrines_by_WASHAgencies]]+WWWW[[#This Row],['#_Non Cluster partner latrines]])&lt;0,0,WWWW[[#This Row],[Total required Latrines]]-(WWWW[[#This Row],['#_Constructed latrines_by_WASHAgencies]]+WWWW[[#This Row],['#_Non Cluster partner latrines]]))</f>
        <v>0</v>
      </c>
      <c r="DE67" s="602">
        <f>1-WWWW[[#This Row],[% people access to functioning Latrine]]</f>
        <v>0</v>
      </c>
      <c r="DF67" s="601">
        <f>IF(OR(WWWW[[#This Row],['#_Non-functional latrines]]="",WWWW[[#This Row],['#_Non-functional latrines]]=0),0,WWWW[[#This Row],['#_Non-functional latrines]]/(WWWW[[#This Row],['#_Constructed latrines_by_WASHAgencies]]+WWWW[[#This Row],['#_Non Cluster partner latrines]]))</f>
        <v>0</v>
      </c>
      <c r="DG67" s="597">
        <f>IF(500*(WWWW[[#This Row],['#_male hygiene promoters]]+WWWW[[#This Row],['#_female hygiene promoters]])&gt;WWWW[[#This Row],[Total PoP ]],WWWW[[#This Row],[Total PoP ]],500*(WWWW[[#This Row],['#_male hygiene promoters]]+WWWW[[#This Row],['#_female hygiene promoters]]))</f>
        <v>309</v>
      </c>
      <c r="DH6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7" s="600">
        <f>IF(WWWW[[#This Row],['# People with access to soap]]&gt;WWWW[[#This Row],['# People with access to Sanity Pads]],WWWW[[#This Row],['# People with access to soap]],WWWW[[#This Row],['# People with access to Sanity Pads]])</f>
        <v>0</v>
      </c>
      <c r="DK67" s="600">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L67" s="602">
        <f>IF(WWWW[[#This Row],[HRP3]]/WWWW[[#This Row],[Total PoP ]]&gt;1,1,WWWW[[#This Row],[HRP3]]/WWWW[[#This Row],[Total PoP ]])</f>
        <v>1</v>
      </c>
      <c r="DM67" s="601">
        <f>1-WWWW[[#This Row],[Hygiene Coverage%]]</f>
        <v>0</v>
      </c>
      <c r="DN67" s="599">
        <f>WWWW[[#This Row],['# people reached by regular dedicated hygiene promotion_5]]/WWWW[[#This Row],[Total PoP ]]</f>
        <v>1</v>
      </c>
      <c r="DO6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7" s="600">
        <f>WWWW[[#This Row],['#_Constructed/Existing hand washing stations]]-WWWW[[#This Row],['#_Non-Functional_hand_washing_stations]]</f>
        <v>0</v>
      </c>
      <c r="DR67" s="597">
        <f>IF(WWWW[[#This Row],['# Functional hand washing stations during reporting period]]*20&gt;WWWW[[#This Row],[Total HH]],WWWW[[#This Row],[Total HH]],WWWW[[#This Row],['# Functional hand washing stations during reporting period]]*20)</f>
        <v>0</v>
      </c>
      <c r="DS67" s="597">
        <f>IF(WWWW[[#This Row],[Is sufficient soap available for TLS? (Yes/No)]]="yes",WWWW[[#This Row],['#_Constructed/Existing hand washing stations at TLS]],0)</f>
        <v>0</v>
      </c>
      <c r="DT67" s="479">
        <f>IF(WWWW[[#This Row],['# Functional hand washing stations during reporting period]]*100&gt;WWWW[[#This Row],[Total PoP ]],WWWW[[#This Row],[Total PoP ]],WWWW[[#This Row],['# Functional hand washing stations during reporting period]]*100)</f>
        <v>0</v>
      </c>
      <c r="DU67" s="479" t="str">
        <f>IF(OR(WWWW[[#This Row],['#_students at TLS_CFS]]="",WWWW[[#This Row],['#_students at TLS_CFS]]=0),"No","Yes")</f>
        <v>No</v>
      </c>
      <c r="DV67" s="472">
        <f>IF(WWWW[[#This Row],['#_of_affected_people_surveyed_who_report_feeling_informed_about_the_different_WASH_services_available_to_them]]="","",WWWW[[#This Row],['#_of_affected_people_surveyed_who_report_feeling_informed_about_the_different_WASH_services_available_to_them]]/WWWW[[#This Row],[Total PoP ]])</f>
        <v>9.7087378640776691E-3</v>
      </c>
      <c r="DW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7" s="593" t="str">
        <f>VLOOKUP(WWWW[[#This Row],[Site Name]],SiteDB6[[Site Name]:[CCCM Management]],6,FALSE)</f>
        <v>Yes</v>
      </c>
      <c r="DZ67" s="593" t="str">
        <f>VLOOKUP(WWWW[[#This Row],[Site Name]],SiteDB6[[Site Name]:[CCCM Focal Agency]],7,FALSE)</f>
        <v>KMSS-MYT</v>
      </c>
      <c r="EA67" s="593" t="str">
        <f>VLOOKUP(WWWW[[#This Row],[Site Name]],SiteDB6[[Site Name]:[Location Type 1]],9,FALSE)</f>
        <v>Camp</v>
      </c>
      <c r="EB67" s="593" t="str">
        <f>VLOOKUP(WWWW[[#This Row],[Site Name]],SiteDB6[[Site Name]:[Type of Accommodation]],10,FALSE)</f>
        <v>Camp</v>
      </c>
      <c r="EC67" s="593" t="str">
        <f>VLOOKUP(WWWW[[#This Row],[Site Name]],SiteDB6[[Site Name]:[Ethnic or GCA/NGCA]],11,FALSE)</f>
        <v>GCA</v>
      </c>
      <c r="ED67" s="593">
        <f>VLOOKUP(WWWW[[#This Row],[Site Name]],SiteDB6[[Site Name]:[Lat]],12,FALSE)</f>
        <v>25.410569299999999</v>
      </c>
      <c r="EE67" s="593">
        <f>VLOOKUP(WWWW[[#This Row],[Site Name]],SiteDB6[[Site Name]:[Long]],13,FALSE)</f>
        <v>97.359320179999997</v>
      </c>
      <c r="EF67" s="593" t="str">
        <f>VLOOKUP(WWWW[[#This Row],[Site Name]],SiteDB6[[Site Name]:[Pcode]],3,FALSE)</f>
        <v>MMR001CMP024</v>
      </c>
      <c r="EG67" s="598" t="str">
        <f t="shared" si="0"/>
        <v>Covered</v>
      </c>
      <c r="EH67" s="598" t="str">
        <f>VLOOKUP(WWWW[[#This Row],[Site Name]],SiteDB6[[Site Name]:[open in cccm?]],2,FALSE)</f>
        <v>cccm_2019OCT</v>
      </c>
    </row>
    <row r="68" spans="1:138" hidden="1">
      <c r="A68" s="591" t="s">
        <v>3261</v>
      </c>
      <c r="B68" s="591" t="s">
        <v>38</v>
      </c>
      <c r="C68" s="592" t="s">
        <v>38</v>
      </c>
      <c r="D68" s="592" t="s">
        <v>717</v>
      </c>
      <c r="E68" s="592" t="s">
        <v>39</v>
      </c>
      <c r="F68" s="592" t="s">
        <v>151</v>
      </c>
      <c r="G68" s="721" t="str">
        <f>VLOOKUP(WWWW[[#This Row],[Site Name]],SiteDB6[[Site Name]:[Location Type]],8,FALSE)</f>
        <v>Camp</v>
      </c>
      <c r="H68" s="592" t="s">
        <v>234</v>
      </c>
      <c r="I68" s="594">
        <v>50</v>
      </c>
      <c r="J68" s="594">
        <v>218</v>
      </c>
      <c r="K68" s="595">
        <v>43525</v>
      </c>
      <c r="L68" s="596">
        <v>44196</v>
      </c>
      <c r="M68" s="594"/>
      <c r="N68" s="594"/>
      <c r="O68" s="594"/>
      <c r="P68" s="594"/>
      <c r="Q68" s="597" t="s">
        <v>43</v>
      </c>
      <c r="R68" s="594"/>
      <c r="S68" s="594">
        <v>1</v>
      </c>
      <c r="T68" s="523">
        <v>1</v>
      </c>
      <c r="U68" s="594"/>
      <c r="V68" s="594"/>
      <c r="W68" s="594"/>
      <c r="X68" s="594"/>
      <c r="Y68" s="594"/>
      <c r="Z68" s="594"/>
      <c r="AA68" s="594"/>
      <c r="AB68" s="594"/>
      <c r="AC68" s="594"/>
      <c r="AD68" s="594"/>
      <c r="AE68" s="594"/>
      <c r="AF68" s="594"/>
      <c r="AG68" s="594"/>
      <c r="AH68" s="594"/>
      <c r="AI68" s="594"/>
      <c r="AJ68" s="594"/>
      <c r="AK68" s="594"/>
      <c r="AL68" s="594"/>
      <c r="AM68" s="594"/>
      <c r="AN68" s="594"/>
      <c r="AO68" s="598"/>
      <c r="AP68" s="594">
        <v>16</v>
      </c>
      <c r="AQ68" s="594"/>
      <c r="AR68" s="599"/>
      <c r="AS68" s="594"/>
      <c r="AT68" s="594"/>
      <c r="AU68" s="594">
        <v>10</v>
      </c>
      <c r="AV68" s="594"/>
      <c r="AW68" s="594"/>
      <c r="AX68" s="593" t="s">
        <v>43</v>
      </c>
      <c r="AY68" s="598" t="s">
        <v>140</v>
      </c>
      <c r="AZ68" s="594"/>
      <c r="BA68" s="594"/>
      <c r="BB68" s="594"/>
      <c r="BC68" s="594"/>
      <c r="BD68" s="523"/>
      <c r="BE68" s="593"/>
      <c r="BF68" s="594"/>
      <c r="BG68" s="594"/>
      <c r="BH68" s="594"/>
      <c r="BI68" s="594">
        <v>2</v>
      </c>
      <c r="BJ68" s="594"/>
      <c r="BK68" s="594">
        <v>2</v>
      </c>
      <c r="BL68" s="594"/>
      <c r="BM68" s="594"/>
      <c r="BN68" s="594"/>
      <c r="BO68" s="593"/>
      <c r="BP68" s="594"/>
      <c r="BQ68" s="599"/>
      <c r="BR68" s="593"/>
      <c r="BS68" s="472">
        <v>0.75</v>
      </c>
      <c r="BT68" s="472">
        <v>0.65</v>
      </c>
      <c r="BU68" s="523">
        <v>7</v>
      </c>
      <c r="BV68" s="472">
        <v>0.6</v>
      </c>
      <c r="BW68" s="523"/>
      <c r="BX68" s="523"/>
      <c r="BY68" s="523"/>
      <c r="BZ68" s="601" t="str">
        <f>IFERROR(WWWW[[#This Row],['#_Water sources passed]]/WWWW[[#This Row],['#_Water sources tested for fecal coliform ]],"no test")</f>
        <v>no test</v>
      </c>
      <c r="CA68" s="599" t="str">
        <f>IFERROR(WWWW[[#This Row],['#_Household passed]]/WWWW[[#This Row],['#_Household water samples tested for fecal coliform]],"no test")</f>
        <v>no test</v>
      </c>
      <c r="CB68" s="600" t="str">
        <f>IF(AND(WWWW[[#This Row],[% of water sources passed]]="no test",WWWW[[#This Row],[% Household passed]]="no test"),"No Test","Tested")</f>
        <v>No Test</v>
      </c>
      <c r="CC68" s="600">
        <f>WWWW[[#This Row],['#_Constructed/existing protected hand dug well]]-WWWW[[#This Row],['#_Non-functional protected hand dug well]]</f>
        <v>1</v>
      </c>
      <c r="CD68" s="600">
        <f>(WWWW[[#This Row],['#_Constructed/Existing tube wells/boreholes/handpumps_WASH_agency]]+WWWW[[#This Row],['#_Non-Cluster partner water tube-wells/boreholes/handpumps]])-WWWW[[#This Row],['#_Non-functional tube wells/boreholes/handpumps]]</f>
        <v>0</v>
      </c>
      <c r="CE68" s="600">
        <f>WWWW[[#This Row],['#_Constructed/Existingwater storage tank with gravity fed reticulation system]]-WWWW[[#This Row],['#_Non-functional storage tank gravity fed reticulation system]]</f>
        <v>0</v>
      </c>
      <c r="CF68" s="478">
        <f>(WWWW[[#This Row],['#_Water_Liters_supplied_by_Water boating or water trucking]]/90)/15</f>
        <v>0</v>
      </c>
      <c r="CG68" s="478">
        <f>WWWW[[#This Row],['#_Water_Liters_from_Constructed/Existing water distribution system from river or natural spring]]/90/15</f>
        <v>0</v>
      </c>
      <c r="CH68" s="478">
        <f>WWWW[[#This Row],['#_of water points in TLS/CFS /THF]]*500</f>
        <v>0</v>
      </c>
      <c r="CI6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8" s="599">
        <f>IF(WWWW[[#This Row],[Location Type 1]]="Village",WWWW[[#This Row],[Access to safe drinking water for Village]],WWWW[[#This Row],[Access to safe drinking water for Camp]])</f>
        <v>1</v>
      </c>
      <c r="CL68" s="597">
        <f>WWWW[[#This Row],[%Equitable and continuous access to sufficient quantity of safe drinking water]]*WWWW[[#This Row],[Total PoP ]]</f>
        <v>218</v>
      </c>
      <c r="CM68" s="599">
        <f>IF((WWWW[[#This Row],['#_Constructed/Existing protected/fenced ponds]]*250)/WWWW[[#This Row],[Total PoP ]]&gt;1,1,(WWWW[[#This Row],['#_Constructed/Existing protected/fenced ponds]]*250)/WWWW[[#This Row],[Total PoP ]])</f>
        <v>0</v>
      </c>
      <c r="CN68" s="597">
        <f>WWWW[[#This Row],[% Access to unimproved water points]]*WWWW[[#This Row],[Total PoP ]]</f>
        <v>0</v>
      </c>
      <c r="CO6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68" s="597">
        <f>WWWW[[#This Row],[HRP1]]/500</f>
        <v>0.436</v>
      </c>
      <c r="CR68" s="602">
        <f>1-WWWW[[#This Row],[% Equitable and continuous access to sufficient quantity of domestic water]]</f>
        <v>0</v>
      </c>
      <c r="CS68" s="597">
        <f>WWWW[[#This Row],[%equitable and continuous access to sufficient quantity of safe drinking and domestic water''s GAP]]*WWWW[[#This Row],[Total PoP ]]</f>
        <v>0</v>
      </c>
      <c r="CT68" s="600">
        <f>IF(WWWW[[#This Row],[Total required water points]]-WWWW[[#This Row],['#Water points coverage]]&lt;0,0,WWWW[[#This Row],[Total required water points]]-WWWW[[#This Row],['#Water points coverage]])</f>
        <v>0.56400000000000006</v>
      </c>
      <c r="CU68" s="600">
        <f>ROUND(IF(WWWW[[#This Row],[Total PoP ]]&lt;500,1,WWWW[[#This Row],[Total PoP ]]/500),0)</f>
        <v>1</v>
      </c>
      <c r="CV68" s="600">
        <f>(WWWW[[#This Row],['#_Constructed latrines_by_WASHAgencies]]+WWWW[[#This Row],['#_Non Cluster partner latrines]])-WWWW[[#This Row],['#_Non-functional latrines]]</f>
        <v>16</v>
      </c>
      <c r="CW68" s="70">
        <f>WWWW[[#This Row],[HRP2]]/WWWW[[#This Row],[Total PoP ]]</f>
        <v>1</v>
      </c>
      <c r="CX6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6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Z6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8" s="600">
        <f>IF(WWWW[[#This Row],['# of functional latrines in THF supported by WASH partners during the reporting period2]]="",0,WWWW[[#This Row],['# of functional latrines in THF supported by WASH partners during the reporting period2]]*50)</f>
        <v>0</v>
      </c>
      <c r="DB68" s="600">
        <f>WWWW[[#This Row],['# students access to functioning school latrines_HRP5]]+WWWW[[#This Row],['# People access to functioning latrines in THF_HRP5]]</f>
        <v>0</v>
      </c>
      <c r="DC68" s="600">
        <f>ROUND(IF(WWWW[[#This Row],[Location Type 1]]="camp",WWWW[[#This Row],[Total PoP ]]/20,IF(WWWW[[#This Row],[Location Type 1]]="Temporary Location",WWWW[[#This Row],[Total PoP ]]/50,WWWW[[#This Row],[Total HH]])),0)</f>
        <v>11</v>
      </c>
      <c r="DD68" s="600">
        <f>IF(WWWW[[#This Row],[Total required Latrines]]-(WWWW[[#This Row],['#_Constructed latrines_by_WASHAgencies]]+WWWW[[#This Row],['#_Non Cluster partner latrines]])&lt;0,0,WWWW[[#This Row],[Total required Latrines]]-(WWWW[[#This Row],['#_Constructed latrines_by_WASHAgencies]]+WWWW[[#This Row],['#_Non Cluster partner latrines]]))</f>
        <v>0</v>
      </c>
      <c r="DE68" s="602">
        <f>1-WWWW[[#This Row],[% people access to functioning Latrine]]</f>
        <v>0</v>
      </c>
      <c r="DF68" s="601">
        <f>IF(OR(WWWW[[#This Row],['#_Non-functional latrines]]="",WWWW[[#This Row],['#_Non-functional latrines]]=0),0,WWWW[[#This Row],['#_Non-functional latrines]]/(WWWW[[#This Row],['#_Constructed latrines_by_WASHAgencies]]+WWWW[[#This Row],['#_Non Cluster partner latrines]]))</f>
        <v>0</v>
      </c>
      <c r="DG68" s="597">
        <f>IF(500*(WWWW[[#This Row],['#_male hygiene promoters]]+WWWW[[#This Row],['#_female hygiene promoters]])&gt;WWWW[[#This Row],[Total PoP ]],WWWW[[#This Row],[Total PoP ]],500*(WWWW[[#This Row],['#_male hygiene promoters]]+WWWW[[#This Row],['#_female hygiene promoters]]))</f>
        <v>218</v>
      </c>
      <c r="DH6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8" s="600">
        <f>IF(WWWW[[#This Row],['# People with access to soap]]&gt;WWWW[[#This Row],['# People with access to Sanity Pads]],WWWW[[#This Row],['# People with access to soap]],WWWW[[#This Row],['# People with access to Sanity Pads]])</f>
        <v>0</v>
      </c>
      <c r="DK68" s="600">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68" s="602">
        <f>IF(WWWW[[#This Row],[HRP3]]/WWWW[[#This Row],[Total PoP ]]&gt;1,1,WWWW[[#This Row],[HRP3]]/WWWW[[#This Row],[Total PoP ]])</f>
        <v>1</v>
      </c>
      <c r="DM68" s="601">
        <f>1-WWWW[[#This Row],[Hygiene Coverage%]]</f>
        <v>0</v>
      </c>
      <c r="DN68" s="599">
        <f>WWWW[[#This Row],['# people reached by regular dedicated hygiene promotion_5]]/WWWW[[#This Row],[Total PoP ]]</f>
        <v>1</v>
      </c>
      <c r="DO6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8" s="600">
        <f>WWWW[[#This Row],['#_Constructed/Existing hand washing stations]]-WWWW[[#This Row],['#_Non-Functional_hand_washing_stations]]</f>
        <v>0</v>
      </c>
      <c r="DR68" s="597">
        <f>IF(WWWW[[#This Row],['# Functional hand washing stations during reporting period]]*20&gt;WWWW[[#This Row],[Total HH]],WWWW[[#This Row],[Total HH]],WWWW[[#This Row],['# Functional hand washing stations during reporting period]]*20)</f>
        <v>0</v>
      </c>
      <c r="DS68" s="597">
        <f>IF(WWWW[[#This Row],[Is sufficient soap available for TLS? (Yes/No)]]="yes",WWWW[[#This Row],['#_Constructed/Existing hand washing stations at TLS]],0)</f>
        <v>0</v>
      </c>
      <c r="DT68" s="479">
        <f>IF(WWWW[[#This Row],['# Functional hand washing stations during reporting period]]*100&gt;WWWW[[#This Row],[Total PoP ]],WWWW[[#This Row],[Total PoP ]],WWWW[[#This Row],['# Functional hand washing stations during reporting period]]*100)</f>
        <v>0</v>
      </c>
      <c r="DU68" s="479" t="str">
        <f>IF(OR(WWWW[[#This Row],['#_students at TLS_CFS]]="",WWWW[[#This Row],['#_students at TLS_CFS]]=0),"No","Yes")</f>
        <v>No</v>
      </c>
      <c r="DV68" s="472">
        <f>IF(WWWW[[#This Row],['#_of_affected_people_surveyed_who_report_feeling_informed_about_the_different_WASH_services_available_to_them]]="","",WWWW[[#This Row],['#_of_affected_people_surveyed_who_report_feeling_informed_about_the_different_WASH_services_available_to_them]]/WWWW[[#This Row],[Total PoP ]])</f>
        <v>3.2110091743119268E-2</v>
      </c>
      <c r="DW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8" s="593" t="str">
        <f>VLOOKUP(WWWW[[#This Row],[Site Name]],SiteDB6[[Site Name]:[CCCM Management]],6,FALSE)</f>
        <v>Yes</v>
      </c>
      <c r="DZ68" s="593" t="str">
        <f>VLOOKUP(WWWW[[#This Row],[Site Name]],SiteDB6[[Site Name]:[CCCM Focal Agency]],7,FALSE)</f>
        <v>KMSS-MYT</v>
      </c>
      <c r="EA68" s="593" t="str">
        <f>VLOOKUP(WWWW[[#This Row],[Site Name]],SiteDB6[[Site Name]:[Location Type 1]],9,FALSE)</f>
        <v>Camp</v>
      </c>
      <c r="EB68" s="593" t="str">
        <f>VLOOKUP(WWWW[[#This Row],[Site Name]],SiteDB6[[Site Name]:[Type of Accommodation]],10,FALSE)</f>
        <v>Camp</v>
      </c>
      <c r="EC68" s="593" t="str">
        <f>VLOOKUP(WWWW[[#This Row],[Site Name]],SiteDB6[[Site Name]:[Ethnic or GCA/NGCA]],11,FALSE)</f>
        <v>GCA</v>
      </c>
      <c r="ED68" s="593">
        <f>VLOOKUP(WWWW[[#This Row],[Site Name]],SiteDB6[[Site Name]:[Lat]],12,FALSE)</f>
        <v>25.613894999999999</v>
      </c>
      <c r="EE68" s="593">
        <f>VLOOKUP(WWWW[[#This Row],[Site Name]],SiteDB6[[Site Name]:[Long]],13,FALSE)</f>
        <v>96.341352999999998</v>
      </c>
      <c r="EF68" s="593" t="str">
        <f>VLOOKUP(WWWW[[#This Row],[Site Name]],SiteDB6[[Site Name]:[Pcode]],3,FALSE)</f>
        <v>MMR001CMP103</v>
      </c>
      <c r="EG68" s="598" t="str">
        <f t="shared" si="0"/>
        <v>Covered</v>
      </c>
      <c r="EH68" s="598" t="str">
        <f>VLOOKUP(WWWW[[#This Row],[Site Name]],SiteDB6[[Site Name]:[open in cccm?]],2,FALSE)</f>
        <v>cccm_2019OCT</v>
      </c>
    </row>
    <row r="69" spans="1:138" hidden="1">
      <c r="A69" s="591" t="s">
        <v>3261</v>
      </c>
      <c r="B69" s="591" t="s">
        <v>38</v>
      </c>
      <c r="C69" s="592" t="s">
        <v>38</v>
      </c>
      <c r="D69" s="592" t="s">
        <v>717</v>
      </c>
      <c r="E69" s="592" t="s">
        <v>39</v>
      </c>
      <c r="F69" s="592" t="s">
        <v>162</v>
      </c>
      <c r="G69" s="721" t="str">
        <f>VLOOKUP(WWWW[[#This Row],[Site Name]],SiteDB6[[Site Name]:[Location Type]],8,FALSE)</f>
        <v>Camp</v>
      </c>
      <c r="H69" s="592" t="s">
        <v>238</v>
      </c>
      <c r="I69" s="594">
        <v>147</v>
      </c>
      <c r="J69" s="594">
        <v>882</v>
      </c>
      <c r="K69" s="595">
        <v>43525</v>
      </c>
      <c r="L69" s="596">
        <v>44196</v>
      </c>
      <c r="M69" s="594"/>
      <c r="N69" s="594"/>
      <c r="O69" s="594"/>
      <c r="P69" s="594"/>
      <c r="Q69" s="597" t="s">
        <v>43</v>
      </c>
      <c r="R69" s="594"/>
      <c r="S69" s="594">
        <v>4</v>
      </c>
      <c r="T69" s="523">
        <v>8</v>
      </c>
      <c r="U69" s="594"/>
      <c r="V69" s="594"/>
      <c r="W69" s="594">
        <v>2</v>
      </c>
      <c r="X69" s="594"/>
      <c r="Y69" s="594"/>
      <c r="Z69" s="594"/>
      <c r="AA69" s="594"/>
      <c r="AB69" s="594"/>
      <c r="AC69" s="594"/>
      <c r="AD69" s="594"/>
      <c r="AE69" s="594"/>
      <c r="AF69" s="594"/>
      <c r="AG69" s="594"/>
      <c r="AH69" s="594"/>
      <c r="AI69" s="594"/>
      <c r="AJ69" s="594"/>
      <c r="AK69" s="594"/>
      <c r="AL69" s="594"/>
      <c r="AM69" s="594"/>
      <c r="AN69" s="594"/>
      <c r="AO69" s="598"/>
      <c r="AP69" s="594">
        <v>74</v>
      </c>
      <c r="AQ69" s="594"/>
      <c r="AR69" s="599"/>
      <c r="AS69" s="594"/>
      <c r="AT69" s="594"/>
      <c r="AU69" s="594"/>
      <c r="AV69" s="594"/>
      <c r="AW69" s="594"/>
      <c r="AX69" s="593" t="s">
        <v>43</v>
      </c>
      <c r="AY69" s="598" t="s">
        <v>140</v>
      </c>
      <c r="AZ69" s="594"/>
      <c r="BA69" s="594"/>
      <c r="BB69" s="594"/>
      <c r="BC69" s="594"/>
      <c r="BD69" s="523"/>
      <c r="BE69" s="593"/>
      <c r="BF69" s="594"/>
      <c r="BG69" s="594"/>
      <c r="BH69" s="594"/>
      <c r="BI69" s="594">
        <v>13</v>
      </c>
      <c r="BJ69" s="594"/>
      <c r="BK69" s="594"/>
      <c r="BL69" s="594">
        <v>4</v>
      </c>
      <c r="BM69" s="594"/>
      <c r="BN69" s="594"/>
      <c r="BO69" s="593"/>
      <c r="BP69" s="594"/>
      <c r="BQ69" s="599"/>
      <c r="BR69" s="593"/>
      <c r="BS69" s="472">
        <v>0.55000000000000004</v>
      </c>
      <c r="BT69" s="472">
        <v>0.5</v>
      </c>
      <c r="BU69" s="523">
        <v>30</v>
      </c>
      <c r="BV69" s="472">
        <v>0.6</v>
      </c>
      <c r="BW69" s="523"/>
      <c r="BX69" s="523"/>
      <c r="BY69" s="523"/>
      <c r="BZ69" s="601" t="str">
        <f>IFERROR(WWWW[[#This Row],['#_Water sources passed]]/WWWW[[#This Row],['#_Water sources tested for fecal coliform ]],"no test")</f>
        <v>no test</v>
      </c>
      <c r="CA69" s="599" t="str">
        <f>IFERROR(WWWW[[#This Row],['#_Household passed]]/WWWW[[#This Row],['#_Household water samples tested for fecal coliform]],"no test")</f>
        <v>no test</v>
      </c>
      <c r="CB69" s="600" t="str">
        <f>IF(AND(WWWW[[#This Row],[% of water sources passed]]="no test",WWWW[[#This Row],[% Household passed]]="no test"),"No Test","Tested")</f>
        <v>No Test</v>
      </c>
      <c r="CC69" s="600">
        <f>WWWW[[#This Row],['#_Constructed/existing protected hand dug well]]-WWWW[[#This Row],['#_Non-functional protected hand dug well]]</f>
        <v>8</v>
      </c>
      <c r="CD69" s="600">
        <f>(WWWW[[#This Row],['#_Constructed/Existing tube wells/boreholes/handpumps_WASH_agency]]+WWWW[[#This Row],['#_Non-Cluster partner water tube-wells/boreholes/handpumps]])-WWWW[[#This Row],['#_Non-functional tube wells/boreholes/handpumps]]</f>
        <v>2</v>
      </c>
      <c r="CE69" s="600">
        <f>WWWW[[#This Row],['#_Constructed/Existingwater storage tank with gravity fed reticulation system]]-WWWW[[#This Row],['#_Non-functional storage tank gravity fed reticulation system]]</f>
        <v>0</v>
      </c>
      <c r="CF69" s="478">
        <f>(WWWW[[#This Row],['#_Water_Liters_supplied_by_Water boating or water trucking]]/90)/15</f>
        <v>0</v>
      </c>
      <c r="CG69" s="478">
        <f>WWWW[[#This Row],['#_Water_Liters_from_Constructed/Existing water distribution system from river or natural spring]]/90/15</f>
        <v>0</v>
      </c>
      <c r="CH69" s="478">
        <f>WWWW[[#This Row],['#_of water points in TLS/CFS /THF]]*500</f>
        <v>0</v>
      </c>
      <c r="CI6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9" s="599">
        <f>IF(WWWW[[#This Row],[Location Type 1]]="Village",WWWW[[#This Row],[Access to safe drinking water for Village]],WWWW[[#This Row],[Access to safe drinking water for Camp]])</f>
        <v>1</v>
      </c>
      <c r="CL69" s="597">
        <f>WWWW[[#This Row],[%Equitable and continuous access to sufficient quantity of safe drinking water]]*WWWW[[#This Row],[Total PoP ]]</f>
        <v>882</v>
      </c>
      <c r="CM69" s="599">
        <f>IF((WWWW[[#This Row],['#_Constructed/Existing protected/fenced ponds]]*250)/WWWW[[#This Row],[Total PoP ]]&gt;1,1,(WWWW[[#This Row],['#_Constructed/Existing protected/fenced ponds]]*250)/WWWW[[#This Row],[Total PoP ]])</f>
        <v>0</v>
      </c>
      <c r="CN69" s="597">
        <f>WWWW[[#This Row],[% Access to unimproved water points]]*WWWW[[#This Row],[Total PoP ]]</f>
        <v>0</v>
      </c>
      <c r="CO6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Q69" s="597">
        <f>WWWW[[#This Row],[HRP1]]/500</f>
        <v>1.764</v>
      </c>
      <c r="CR69" s="602">
        <f>1-WWWW[[#This Row],[% Equitable and continuous access to sufficient quantity of domestic water]]</f>
        <v>0</v>
      </c>
      <c r="CS69" s="597">
        <f>WWWW[[#This Row],[%equitable and continuous access to sufficient quantity of safe drinking and domestic water''s GAP]]*WWWW[[#This Row],[Total PoP ]]</f>
        <v>0</v>
      </c>
      <c r="CT69" s="600">
        <f>IF(WWWW[[#This Row],[Total required water points]]-WWWW[[#This Row],['#Water points coverage]]&lt;0,0,WWWW[[#This Row],[Total required water points]]-WWWW[[#This Row],['#Water points coverage]])</f>
        <v>0.23599999999999999</v>
      </c>
      <c r="CU69" s="600">
        <f>ROUND(IF(WWWW[[#This Row],[Total PoP ]]&lt;500,1,WWWW[[#This Row],[Total PoP ]]/500),0)</f>
        <v>2</v>
      </c>
      <c r="CV69" s="600">
        <f>(WWWW[[#This Row],['#_Constructed latrines_by_WASHAgencies]]+WWWW[[#This Row],['#_Non Cluster partner latrines]])-WWWW[[#This Row],['#_Non-functional latrines]]</f>
        <v>74</v>
      </c>
      <c r="CW69" s="70">
        <f>WWWW[[#This Row],[HRP2]]/WWWW[[#This Row],[Total PoP ]]</f>
        <v>1</v>
      </c>
      <c r="CX6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882</v>
      </c>
      <c r="CY6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9" s="600">
        <f>IF(WWWW[[#This Row],['# of functional latrines in THF supported by WASH partners during the reporting period2]]="",0,WWWW[[#This Row],['# of functional latrines in THF supported by WASH partners during the reporting period2]]*50)</f>
        <v>0</v>
      </c>
      <c r="DB69" s="600">
        <f>WWWW[[#This Row],['# students access to functioning school latrines_HRP5]]+WWWW[[#This Row],['# People access to functioning latrines in THF_HRP5]]</f>
        <v>0</v>
      </c>
      <c r="DC69" s="600">
        <f>ROUND(IF(WWWW[[#This Row],[Location Type 1]]="camp",WWWW[[#This Row],[Total PoP ]]/20,IF(WWWW[[#This Row],[Location Type 1]]="Temporary Location",WWWW[[#This Row],[Total PoP ]]/50,WWWW[[#This Row],[Total HH]])),0)</f>
        <v>44</v>
      </c>
      <c r="DD69" s="600">
        <f>IF(WWWW[[#This Row],[Total required Latrines]]-(WWWW[[#This Row],['#_Constructed latrines_by_WASHAgencies]]+WWWW[[#This Row],['#_Non Cluster partner latrines]])&lt;0,0,WWWW[[#This Row],[Total required Latrines]]-(WWWW[[#This Row],['#_Constructed latrines_by_WASHAgencies]]+WWWW[[#This Row],['#_Non Cluster partner latrines]]))</f>
        <v>0</v>
      </c>
      <c r="DE69" s="602">
        <f>1-WWWW[[#This Row],[% people access to functioning Latrine]]</f>
        <v>0</v>
      </c>
      <c r="DF69" s="601">
        <f>IF(OR(WWWW[[#This Row],['#_Non-functional latrines]]="",WWWW[[#This Row],['#_Non-functional latrines]]=0),0,WWWW[[#This Row],['#_Non-functional latrines]]/(WWWW[[#This Row],['#_Constructed latrines_by_WASHAgencies]]+WWWW[[#This Row],['#_Non Cluster partner latrines]]))</f>
        <v>0</v>
      </c>
      <c r="DG69" s="597">
        <f>IF(500*(WWWW[[#This Row],['#_male hygiene promoters]]+WWWW[[#This Row],['#_female hygiene promoters]])&gt;WWWW[[#This Row],[Total PoP ]],WWWW[[#This Row],[Total PoP ]],500*(WWWW[[#This Row],['#_male hygiene promoters]]+WWWW[[#This Row],['#_female hygiene promoters]]))</f>
        <v>882</v>
      </c>
      <c r="DH6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9" s="600">
        <f>IF(WWWW[[#This Row],['# People with access to soap]]&gt;WWWW[[#This Row],['# People with access to Sanity Pads]],WWWW[[#This Row],['# People with access to soap]],WWWW[[#This Row],['# People with access to Sanity Pads]])</f>
        <v>0</v>
      </c>
      <c r="DK69" s="600">
        <f>IF(WWWW[[#This Row],['# people reached by regular dedicated hygiene promotion_5]]&gt;WWWW[[#This Row],['# People received regular supply of hygiene items_6]],WWWW[[#This Row],['# people reached by regular dedicated hygiene promotion_5]],WWWW[[#This Row],['# People received regular supply of hygiene items_6]])</f>
        <v>882</v>
      </c>
      <c r="DL69" s="602">
        <f>IF(WWWW[[#This Row],[HRP3]]/WWWW[[#This Row],[Total PoP ]]&gt;1,1,WWWW[[#This Row],[HRP3]]/WWWW[[#This Row],[Total PoP ]])</f>
        <v>1</v>
      </c>
      <c r="DM69" s="601">
        <f>1-WWWW[[#This Row],[Hygiene Coverage%]]</f>
        <v>0</v>
      </c>
      <c r="DN69" s="599">
        <f>WWWW[[#This Row],['# people reached by regular dedicated hygiene promotion_5]]/WWWW[[#This Row],[Total PoP ]]</f>
        <v>1</v>
      </c>
      <c r="DO6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9" s="600">
        <f>WWWW[[#This Row],['#_Constructed/Existing hand washing stations]]-WWWW[[#This Row],['#_Non-Functional_hand_washing_stations]]</f>
        <v>0</v>
      </c>
      <c r="DR69" s="597">
        <f>IF(WWWW[[#This Row],['# Functional hand washing stations during reporting period]]*20&gt;WWWW[[#This Row],[Total HH]],WWWW[[#This Row],[Total HH]],WWWW[[#This Row],['# Functional hand washing stations during reporting period]]*20)</f>
        <v>0</v>
      </c>
      <c r="DS69" s="597">
        <f>IF(WWWW[[#This Row],[Is sufficient soap available for TLS? (Yes/No)]]="yes",WWWW[[#This Row],['#_Constructed/Existing hand washing stations at TLS]],0)</f>
        <v>0</v>
      </c>
      <c r="DT69" s="479">
        <f>IF(WWWW[[#This Row],['# Functional hand washing stations during reporting period]]*100&gt;WWWW[[#This Row],[Total PoP ]],WWWW[[#This Row],[Total PoP ]],WWWW[[#This Row],['# Functional hand washing stations during reporting period]]*100)</f>
        <v>0</v>
      </c>
      <c r="DU69" s="479" t="str">
        <f>IF(OR(WWWW[[#This Row],['#_students at TLS_CFS]]="",WWWW[[#This Row],['#_students at TLS_CFS]]=0),"No","Yes")</f>
        <v>No</v>
      </c>
      <c r="DV69" s="472">
        <f>IF(WWWW[[#This Row],['#_of_affected_people_surveyed_who_report_feeling_informed_about_the_different_WASH_services_available_to_them]]="","",WWWW[[#This Row],['#_of_affected_people_surveyed_who_report_feeling_informed_about_the_different_WASH_services_available_to_them]]/WWWW[[#This Row],[Total PoP ]])</f>
        <v>3.4013605442176874E-2</v>
      </c>
      <c r="DW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9" s="593" t="str">
        <f>VLOOKUP(WWWW[[#This Row],[Site Name]],SiteDB6[[Site Name]:[CCCM Management]],6,FALSE)</f>
        <v>Yes</v>
      </c>
      <c r="DZ69" s="593" t="str">
        <f>VLOOKUP(WWWW[[#This Row],[Site Name]],SiteDB6[[Site Name]:[CCCM Focal Agency]],7,FALSE)</f>
        <v>KMSS-MYT</v>
      </c>
      <c r="EA69" s="593" t="str">
        <f>VLOOKUP(WWWW[[#This Row],[Site Name]],SiteDB6[[Site Name]:[Location Type 1]],9,FALSE)</f>
        <v>Camp</v>
      </c>
      <c r="EB69" s="593" t="str">
        <f>VLOOKUP(WWWW[[#This Row],[Site Name]],SiteDB6[[Site Name]:[Type of Accommodation]],10,FALSE)</f>
        <v>Camp</v>
      </c>
      <c r="EC69" s="593" t="str">
        <f>VLOOKUP(WWWW[[#This Row],[Site Name]],SiteDB6[[Site Name]:[Ethnic or GCA/NGCA]],11,FALSE)</f>
        <v>GCA</v>
      </c>
      <c r="ED69" s="593">
        <f>VLOOKUP(WWWW[[#This Row],[Site Name]],SiteDB6[[Site Name]:[Lat]],12,FALSE)</f>
        <v>25.493819999999999</v>
      </c>
      <c r="EE69" s="593">
        <f>VLOOKUP(WWWW[[#This Row],[Site Name]],SiteDB6[[Site Name]:[Long]],13,FALSE)</f>
        <v>97.4345</v>
      </c>
      <c r="EF69" s="593" t="str">
        <f>VLOOKUP(WWWW[[#This Row],[Site Name]],SiteDB6[[Site Name]:[Pcode]],3,FALSE)</f>
        <v>MMR001CMP162</v>
      </c>
      <c r="EG69" s="598" t="str">
        <f t="shared" si="0"/>
        <v>Covered</v>
      </c>
      <c r="EH69" s="598" t="str">
        <f>VLOOKUP(WWWW[[#This Row],[Site Name]],SiteDB6[[Site Name]:[open in cccm?]],2,FALSE)</f>
        <v>cccm_2019OCT</v>
      </c>
    </row>
    <row r="70" spans="1:138" hidden="1">
      <c r="A70" s="591" t="s">
        <v>3261</v>
      </c>
      <c r="B70" s="591" t="s">
        <v>38</v>
      </c>
      <c r="C70" s="592" t="s">
        <v>38</v>
      </c>
      <c r="D70" s="592" t="s">
        <v>717</v>
      </c>
      <c r="E70" s="592" t="s">
        <v>39</v>
      </c>
      <c r="F70" s="592" t="s">
        <v>162</v>
      </c>
      <c r="G70" s="721" t="str">
        <f>VLOOKUP(WWWW[[#This Row],[Site Name]],SiteDB6[[Site Name]:[Location Type]],8,FALSE)</f>
        <v>Camp</v>
      </c>
      <c r="H70" s="592" t="s">
        <v>2167</v>
      </c>
      <c r="I70" s="594">
        <v>255</v>
      </c>
      <c r="J70" s="594">
        <v>1374</v>
      </c>
      <c r="K70" s="595">
        <v>43525</v>
      </c>
      <c r="L70" s="596">
        <v>44196</v>
      </c>
      <c r="M70" s="594"/>
      <c r="N70" s="594"/>
      <c r="O70" s="594"/>
      <c r="P70" s="594"/>
      <c r="Q70" s="597"/>
      <c r="R70" s="594"/>
      <c r="S70" s="594">
        <v>4</v>
      </c>
      <c r="T70" s="523"/>
      <c r="U70" s="594"/>
      <c r="V70" s="594"/>
      <c r="W70" s="594"/>
      <c r="X70" s="594"/>
      <c r="Y70" s="594"/>
      <c r="Z70" s="594"/>
      <c r="AA70" s="594"/>
      <c r="AB70" s="594"/>
      <c r="AC70" s="594"/>
      <c r="AD70" s="594"/>
      <c r="AE70" s="594"/>
      <c r="AF70" s="594"/>
      <c r="AG70" s="594"/>
      <c r="AH70" s="594"/>
      <c r="AI70" s="594"/>
      <c r="AJ70" s="594"/>
      <c r="AK70" s="594"/>
      <c r="AL70" s="594"/>
      <c r="AM70" s="594"/>
      <c r="AN70" s="594"/>
      <c r="AO70" s="598"/>
      <c r="AP70" s="594"/>
      <c r="AQ70" s="594"/>
      <c r="AR70" s="599"/>
      <c r="AS70" s="594"/>
      <c r="AT70" s="594"/>
      <c r="AU70" s="594"/>
      <c r="AV70" s="594"/>
      <c r="AW70" s="594"/>
      <c r="AX70" s="593"/>
      <c r="AY70" s="598"/>
      <c r="AZ70" s="594"/>
      <c r="BA70" s="594"/>
      <c r="BB70" s="594"/>
      <c r="BC70" s="594"/>
      <c r="BD70" s="523"/>
      <c r="BE70" s="593"/>
      <c r="BF70" s="594"/>
      <c r="BG70" s="594"/>
      <c r="BH70" s="594"/>
      <c r="BI70" s="594"/>
      <c r="BJ70" s="594"/>
      <c r="BK70" s="594"/>
      <c r="BL70" s="594"/>
      <c r="BM70" s="594"/>
      <c r="BN70" s="594"/>
      <c r="BO70" s="593"/>
      <c r="BP70" s="594"/>
      <c r="BQ70" s="599"/>
      <c r="BR70" s="593"/>
      <c r="BS70" s="472"/>
      <c r="BT70" s="472"/>
      <c r="BU70" s="523"/>
      <c r="BV70" s="472"/>
      <c r="BW70" s="523"/>
      <c r="BX70" s="523"/>
      <c r="BY70" s="523"/>
      <c r="BZ70" s="601" t="str">
        <f>IFERROR(WWWW[[#This Row],['#_Water sources passed]]/WWWW[[#This Row],['#_Water sources tested for fecal coliform ]],"no test")</f>
        <v>no test</v>
      </c>
      <c r="CA70" s="599" t="str">
        <f>IFERROR(WWWW[[#This Row],['#_Household passed]]/WWWW[[#This Row],['#_Household water samples tested for fecal coliform]],"no test")</f>
        <v>no test</v>
      </c>
      <c r="CB70" s="600" t="str">
        <f>IF(AND(WWWW[[#This Row],[% of water sources passed]]="no test",WWWW[[#This Row],[% Household passed]]="no test"),"No Test","Tested")</f>
        <v>No Test</v>
      </c>
      <c r="CC70" s="600">
        <f>WWWW[[#This Row],['#_Constructed/existing protected hand dug well]]-WWWW[[#This Row],['#_Non-functional protected hand dug well]]</f>
        <v>0</v>
      </c>
      <c r="CD70" s="600">
        <f>(WWWW[[#This Row],['#_Constructed/Existing tube wells/boreholes/handpumps_WASH_agency]]+WWWW[[#This Row],['#_Non-Cluster partner water tube-wells/boreholes/handpumps]])-WWWW[[#This Row],['#_Non-functional tube wells/boreholes/handpumps]]</f>
        <v>0</v>
      </c>
      <c r="CE70" s="600">
        <f>WWWW[[#This Row],['#_Constructed/Existingwater storage tank with gravity fed reticulation system]]-WWWW[[#This Row],['#_Non-functional storage tank gravity fed reticulation system]]</f>
        <v>0</v>
      </c>
      <c r="CF70" s="478">
        <f>(WWWW[[#This Row],['#_Water_Liters_supplied_by_Water boating or water trucking]]/90)/15</f>
        <v>0</v>
      </c>
      <c r="CG70" s="478">
        <f>WWWW[[#This Row],['#_Water_Liters_from_Constructed/Existing water distribution system from river or natural spring]]/90/15</f>
        <v>0</v>
      </c>
      <c r="CH70" s="478">
        <f>WWWW[[#This Row],['#_of water points in TLS/CFS /THF]]*500</f>
        <v>0</v>
      </c>
      <c r="CI7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0" s="599">
        <f>IF(WWWW[[#This Row],[Location Type 1]]="Village",WWWW[[#This Row],[Access to safe drinking water for Village]],WWWW[[#This Row],[Access to safe drinking water for Camp]])</f>
        <v>0</v>
      </c>
      <c r="CL70" s="597">
        <f>WWWW[[#This Row],[%Equitable and continuous access to sufficient quantity of safe drinking water]]*WWWW[[#This Row],[Total PoP ]]</f>
        <v>0</v>
      </c>
      <c r="CM70" s="599">
        <f>IF((WWWW[[#This Row],['#_Constructed/Existing protected/fenced ponds]]*250)/WWWW[[#This Row],[Total PoP ]]&gt;1,1,(WWWW[[#This Row],['#_Constructed/Existing protected/fenced ponds]]*250)/WWWW[[#This Row],[Total PoP ]])</f>
        <v>0</v>
      </c>
      <c r="CN70" s="597">
        <f>WWWW[[#This Row],[% Access to unimproved water points]]*WWWW[[#This Row],[Total PoP ]]</f>
        <v>0</v>
      </c>
      <c r="CO7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0" s="597">
        <f>WWWW[[#This Row],[HRP1]]/500</f>
        <v>0</v>
      </c>
      <c r="CR70" s="602">
        <f>1-WWWW[[#This Row],[% Equitable and continuous access to sufficient quantity of domestic water]]</f>
        <v>1</v>
      </c>
      <c r="CS70" s="597">
        <f>WWWW[[#This Row],[%equitable and continuous access to sufficient quantity of safe drinking and domestic water''s GAP]]*WWWW[[#This Row],[Total PoP ]]</f>
        <v>1374</v>
      </c>
      <c r="CT70" s="600">
        <f>IF(WWWW[[#This Row],[Total required water points]]-WWWW[[#This Row],['#Water points coverage]]&lt;0,0,WWWW[[#This Row],[Total required water points]]-WWWW[[#This Row],['#Water points coverage]])</f>
        <v>3</v>
      </c>
      <c r="CU70" s="600">
        <f>ROUND(IF(WWWW[[#This Row],[Total PoP ]]&lt;500,1,WWWW[[#This Row],[Total PoP ]]/500),0)</f>
        <v>3</v>
      </c>
      <c r="CV70" s="600">
        <f>(WWWW[[#This Row],['#_Constructed latrines_by_WASHAgencies]]+WWWW[[#This Row],['#_Non Cluster partner latrines]])-WWWW[[#This Row],['#_Non-functional latrines]]</f>
        <v>0</v>
      </c>
      <c r="CW70" s="70">
        <f>WWWW[[#This Row],[HRP2]]/WWWW[[#This Row],[Total PoP ]]</f>
        <v>0</v>
      </c>
      <c r="CX7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0" s="600">
        <f>IF(WWWW[[#This Row],['# of functional latrines in THF supported by WASH partners during the reporting period2]]="",0,WWWW[[#This Row],['# of functional latrines in THF supported by WASH partners during the reporting period2]]*50)</f>
        <v>0</v>
      </c>
      <c r="DB70" s="600">
        <f>WWWW[[#This Row],['# students access to functioning school latrines_HRP5]]+WWWW[[#This Row],['# People access to functioning latrines in THF_HRP5]]</f>
        <v>0</v>
      </c>
      <c r="DC70" s="600">
        <f>ROUND(IF(WWWW[[#This Row],[Location Type 1]]="camp",WWWW[[#This Row],[Total PoP ]]/20,IF(WWWW[[#This Row],[Location Type 1]]="Temporary Location",WWWW[[#This Row],[Total PoP ]]/50,WWWW[[#This Row],[Total HH]])),0)</f>
        <v>69</v>
      </c>
      <c r="DD70" s="600">
        <f>IF(WWWW[[#This Row],[Total required Latrines]]-(WWWW[[#This Row],['#_Constructed latrines_by_WASHAgencies]]+WWWW[[#This Row],['#_Non Cluster partner latrines]])&lt;0,0,WWWW[[#This Row],[Total required Latrines]]-(WWWW[[#This Row],['#_Constructed latrines_by_WASHAgencies]]+WWWW[[#This Row],['#_Non Cluster partner latrines]]))</f>
        <v>69</v>
      </c>
      <c r="DE70" s="602">
        <f>1-WWWW[[#This Row],[% people access to functioning Latrine]]</f>
        <v>1</v>
      </c>
      <c r="DF70" s="601">
        <f>IF(OR(WWWW[[#This Row],['#_Non-functional latrines]]="",WWWW[[#This Row],['#_Non-functional latrines]]=0),0,WWWW[[#This Row],['#_Non-functional latrines]]/(WWWW[[#This Row],['#_Constructed latrines_by_WASHAgencies]]+WWWW[[#This Row],['#_Non Cluster partner latrines]]))</f>
        <v>0</v>
      </c>
      <c r="DG70" s="597">
        <f>IF(500*(WWWW[[#This Row],['#_male hygiene promoters]]+WWWW[[#This Row],['#_female hygiene promoters]])&gt;WWWW[[#This Row],[Total PoP ]],WWWW[[#This Row],[Total PoP ]],500*(WWWW[[#This Row],['#_male hygiene promoters]]+WWWW[[#This Row],['#_female hygiene promoters]]))</f>
        <v>0</v>
      </c>
      <c r="DH7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0" s="600">
        <f>IF(WWWW[[#This Row],['# People with access to soap]]&gt;WWWW[[#This Row],['# People with access to Sanity Pads]],WWWW[[#This Row],['# People with access to soap]],WWWW[[#This Row],['# People with access to Sanity Pads]])</f>
        <v>0</v>
      </c>
      <c r="DK7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0" s="602">
        <f>IF(WWWW[[#This Row],[HRP3]]/WWWW[[#This Row],[Total PoP ]]&gt;1,1,WWWW[[#This Row],[HRP3]]/WWWW[[#This Row],[Total PoP ]])</f>
        <v>0</v>
      </c>
      <c r="DM70" s="601">
        <f>1-WWWW[[#This Row],[Hygiene Coverage%]]</f>
        <v>1</v>
      </c>
      <c r="DN70" s="599">
        <f>WWWW[[#This Row],['# people reached by regular dedicated hygiene promotion_5]]/WWWW[[#This Row],[Total PoP ]]</f>
        <v>0</v>
      </c>
      <c r="DO7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0" s="600">
        <f>WWWW[[#This Row],['#_Constructed/Existing hand washing stations]]-WWWW[[#This Row],['#_Non-Functional_hand_washing_stations]]</f>
        <v>0</v>
      </c>
      <c r="DR70" s="597">
        <f>IF(WWWW[[#This Row],['# Functional hand washing stations during reporting period]]*20&gt;WWWW[[#This Row],[Total HH]],WWWW[[#This Row],[Total HH]],WWWW[[#This Row],['# Functional hand washing stations during reporting period]]*20)</f>
        <v>0</v>
      </c>
      <c r="DS70" s="597">
        <f>IF(WWWW[[#This Row],[Is sufficient soap available for TLS? (Yes/No)]]="yes",WWWW[[#This Row],['#_Constructed/Existing hand washing stations at TLS]],0)</f>
        <v>0</v>
      </c>
      <c r="DT70" s="479">
        <f>IF(WWWW[[#This Row],['# Functional hand washing stations during reporting period]]*100&gt;WWWW[[#This Row],[Total PoP ]],WWWW[[#This Row],[Total PoP ]],WWWW[[#This Row],['# Functional hand washing stations during reporting period]]*100)</f>
        <v>0</v>
      </c>
      <c r="DU70" s="479" t="str">
        <f>IF(OR(WWWW[[#This Row],['#_students at TLS_CFS]]="",WWWW[[#This Row],['#_students at TLS_CFS]]=0),"No","Yes")</f>
        <v>No</v>
      </c>
      <c r="DV7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0" s="593" t="str">
        <f>VLOOKUP(WWWW[[#This Row],[Site Name]],SiteDB6[[Site Name]:[CCCM Management]],6,FALSE)</f>
        <v>Yes</v>
      </c>
      <c r="DZ70" s="593" t="str">
        <f>VLOOKUP(WWWW[[#This Row],[Site Name]],SiteDB6[[Site Name]:[CCCM Focal Agency]],7,FALSE)</f>
        <v>KMSS-MYT</v>
      </c>
      <c r="EA70" s="593" t="str">
        <f>VLOOKUP(WWWW[[#This Row],[Site Name]],SiteDB6[[Site Name]:[Location Type 1]],9,FALSE)</f>
        <v>Camp</v>
      </c>
      <c r="EB70" s="593" t="str">
        <f>VLOOKUP(WWWW[[#This Row],[Site Name]],SiteDB6[[Site Name]:[Type of Accommodation]],10,FALSE)</f>
        <v>Camp</v>
      </c>
      <c r="EC70" s="593" t="str">
        <f>VLOOKUP(WWWW[[#This Row],[Site Name]],SiteDB6[[Site Name]:[Ethnic or GCA/NGCA]],11,FALSE)</f>
        <v>GCA</v>
      </c>
      <c r="ED70" s="593">
        <f>VLOOKUP(WWWW[[#This Row],[Site Name]],SiteDB6[[Site Name]:[Lat]],12,FALSE)</f>
        <v>25.493819999999999</v>
      </c>
      <c r="EE70" s="593">
        <f>VLOOKUP(WWWW[[#This Row],[Site Name]],SiteDB6[[Site Name]:[Long]],13,FALSE)</f>
        <v>97.4345</v>
      </c>
      <c r="EF70" s="593" t="str">
        <f>VLOOKUP(WWWW[[#This Row],[Site Name]],SiteDB6[[Site Name]:[Pcode]],3,FALSE)</f>
        <v>MMR001CMP271</v>
      </c>
      <c r="EG70" s="598" t="str">
        <f t="shared" si="0"/>
        <v>Covered</v>
      </c>
      <c r="EH70" s="598" t="str">
        <f>VLOOKUP(WWWW[[#This Row],[Site Name]],SiteDB6[[Site Name]:[open in cccm?]],2,FALSE)</f>
        <v>cccm_2019OCT</v>
      </c>
    </row>
    <row r="71" spans="1:138" hidden="1">
      <c r="A71" s="591" t="s">
        <v>3261</v>
      </c>
      <c r="B71" s="591" t="s">
        <v>38</v>
      </c>
      <c r="C71" s="592" t="s">
        <v>38</v>
      </c>
      <c r="D71" s="592" t="s">
        <v>3049</v>
      </c>
      <c r="E71" s="592" t="s">
        <v>39</v>
      </c>
      <c r="F71" s="592" t="s">
        <v>149</v>
      </c>
      <c r="G71" s="721" t="str">
        <f>VLOOKUP(WWWW[[#This Row],[Site Name]],SiteDB6[[Site Name]:[Location Type]],8,FALSE)</f>
        <v>Camp</v>
      </c>
      <c r="H71" s="592" t="s">
        <v>228</v>
      </c>
      <c r="I71" s="594">
        <v>57</v>
      </c>
      <c r="J71" s="594">
        <v>264</v>
      </c>
      <c r="K71" s="407" t="s">
        <v>3283</v>
      </c>
      <c r="L71" s="56" t="s">
        <v>3282</v>
      </c>
      <c r="M71" s="594">
        <v>148</v>
      </c>
      <c r="N71" s="594"/>
      <c r="O71" s="594"/>
      <c r="P71" s="594"/>
      <c r="Q71" s="597" t="s">
        <v>43</v>
      </c>
      <c r="R71" s="594"/>
      <c r="S71" s="594"/>
      <c r="T71" s="523"/>
      <c r="U71" s="594"/>
      <c r="V71" s="594"/>
      <c r="W71" s="594"/>
      <c r="X71" s="594"/>
      <c r="Y71" s="594"/>
      <c r="Z71" s="594"/>
      <c r="AA71" s="594">
        <v>1</v>
      </c>
      <c r="AB71" s="594"/>
      <c r="AC71" s="594"/>
      <c r="AD71" s="594"/>
      <c r="AE71" s="594"/>
      <c r="AF71" s="594"/>
      <c r="AG71" s="594"/>
      <c r="AH71" s="594"/>
      <c r="AI71" s="594"/>
      <c r="AJ71" s="594"/>
      <c r="AK71" s="594"/>
      <c r="AL71" s="594"/>
      <c r="AM71" s="594"/>
      <c r="AN71" s="594"/>
      <c r="AO71" s="598"/>
      <c r="AP71" s="594">
        <v>28</v>
      </c>
      <c r="AQ71" s="594"/>
      <c r="AR71" s="599"/>
      <c r="AS71" s="594"/>
      <c r="AT71" s="594"/>
      <c r="AU71" s="594"/>
      <c r="AV71" s="594"/>
      <c r="AW71" s="594"/>
      <c r="AX71" s="593" t="s">
        <v>43</v>
      </c>
      <c r="AY71" s="598" t="s">
        <v>140</v>
      </c>
      <c r="AZ71" s="594">
        <v>2</v>
      </c>
      <c r="BA71" s="594"/>
      <c r="BB71" s="594"/>
      <c r="BC71" s="594"/>
      <c r="BD71" s="523"/>
      <c r="BE71" s="593"/>
      <c r="BF71" s="594"/>
      <c r="BG71" s="594"/>
      <c r="BH71" s="594"/>
      <c r="BI71" s="594">
        <v>2</v>
      </c>
      <c r="BJ71" s="594">
        <v>1</v>
      </c>
      <c r="BK71" s="594"/>
      <c r="BL71" s="594"/>
      <c r="BM71" s="594"/>
      <c r="BN71" s="594"/>
      <c r="BO71" s="593"/>
      <c r="BP71" s="594"/>
      <c r="BQ71" s="599"/>
      <c r="BR71" s="593"/>
      <c r="BS71" s="472">
        <v>0.6</v>
      </c>
      <c r="BT71" s="472">
        <v>0.7</v>
      </c>
      <c r="BU71" s="523">
        <v>4</v>
      </c>
      <c r="BV71" s="472">
        <v>0.7</v>
      </c>
      <c r="BW71" s="523"/>
      <c r="BX71" s="523"/>
      <c r="BY71" s="523"/>
      <c r="BZ71" s="601" t="str">
        <f>IFERROR(WWWW[[#This Row],['#_Water sources passed]]/WWWW[[#This Row],['#_Water sources tested for fecal coliform ]],"no test")</f>
        <v>no test</v>
      </c>
      <c r="CA71" s="599" t="str">
        <f>IFERROR(WWWW[[#This Row],['#_Household passed]]/WWWW[[#This Row],['#_Household water samples tested for fecal coliform]],"no test")</f>
        <v>no test</v>
      </c>
      <c r="CB71" s="600" t="str">
        <f>IF(AND(WWWW[[#This Row],[% of water sources passed]]="no test",WWWW[[#This Row],[% Household passed]]="no test"),"No Test","Tested")</f>
        <v>No Test</v>
      </c>
      <c r="CC71" s="600">
        <f>WWWW[[#This Row],['#_Constructed/existing protected hand dug well]]-WWWW[[#This Row],['#_Non-functional protected hand dug well]]</f>
        <v>0</v>
      </c>
      <c r="CD71" s="600">
        <f>(WWWW[[#This Row],['#_Constructed/Existing tube wells/boreholes/handpumps_WASH_agency]]+WWWW[[#This Row],['#_Non-Cluster partner water tube-wells/boreholes/handpumps]])-WWWW[[#This Row],['#_Non-functional tube wells/boreholes/handpumps]]</f>
        <v>0</v>
      </c>
      <c r="CE71" s="600">
        <f>WWWW[[#This Row],['#_Constructed/Existingwater storage tank with gravity fed reticulation system]]-WWWW[[#This Row],['#_Non-functional storage tank gravity fed reticulation system]]</f>
        <v>1</v>
      </c>
      <c r="CF71" s="478">
        <f>(WWWW[[#This Row],['#_Water_Liters_supplied_by_Water boating or water trucking]]/90)/15</f>
        <v>0</v>
      </c>
      <c r="CG71" s="478">
        <f>WWWW[[#This Row],['#_Water_Liters_from_Constructed/Existing water distribution system from river or natural spring]]/90/15</f>
        <v>0</v>
      </c>
      <c r="CH71" s="478">
        <f>WWWW[[#This Row],['#_of water points in TLS/CFS /THF]]*500</f>
        <v>0</v>
      </c>
      <c r="CI7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7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71" s="599">
        <f>IF(WWWW[[#This Row],[Location Type 1]]="Village",WWWW[[#This Row],[Access to safe drinking water for Village]],WWWW[[#This Row],[Access to safe drinking water for Camp]])</f>
        <v>0.25252525252525254</v>
      </c>
      <c r="CL71" s="597">
        <f>WWWW[[#This Row],[%Equitable and continuous access to sufficient quantity of safe drinking water]]*WWWW[[#This Row],[Total PoP ]]</f>
        <v>66.666666666666671</v>
      </c>
      <c r="CM71" s="599">
        <f>IF((WWWW[[#This Row],['#_Constructed/Existing protected/fenced ponds]]*250)/WWWW[[#This Row],[Total PoP ]]&gt;1,1,(WWWW[[#This Row],['#_Constructed/Existing protected/fenced ponds]]*250)/WWWW[[#This Row],[Total PoP ]])</f>
        <v>0</v>
      </c>
      <c r="CN71" s="597">
        <f>WWWW[[#This Row],[% Access to unimproved water points]]*WWWW[[#This Row],[Total PoP ]]</f>
        <v>0</v>
      </c>
      <c r="CO7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7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71" s="597">
        <f>WWWW[[#This Row],[HRP1]]/500</f>
        <v>0.13333333333333333</v>
      </c>
      <c r="CR71" s="602">
        <f>1-WWWW[[#This Row],[% Equitable and continuous access to sufficient quantity of domestic water]]</f>
        <v>0.7474747474747474</v>
      </c>
      <c r="CS71" s="597">
        <f>WWWW[[#This Row],[%equitable and continuous access to sufficient quantity of safe drinking and domestic water''s GAP]]*WWWW[[#This Row],[Total PoP ]]</f>
        <v>197.33333333333331</v>
      </c>
      <c r="CT71" s="600">
        <f>IF(WWWW[[#This Row],[Total required water points]]-WWWW[[#This Row],['#Water points coverage]]&lt;0,0,WWWW[[#This Row],[Total required water points]]-WWWW[[#This Row],['#Water points coverage]])</f>
        <v>0.8666666666666667</v>
      </c>
      <c r="CU71" s="600">
        <f>ROUND(IF(WWWW[[#This Row],[Total PoP ]]&lt;500,1,WWWW[[#This Row],[Total PoP ]]/500),0)</f>
        <v>1</v>
      </c>
      <c r="CV71" s="600">
        <f>(WWWW[[#This Row],['#_Constructed latrines_by_WASHAgencies]]+WWWW[[#This Row],['#_Non Cluster partner latrines]])-WWWW[[#This Row],['#_Non-functional latrines]]</f>
        <v>28</v>
      </c>
      <c r="CW71" s="70">
        <f>WWWW[[#This Row],[HRP2]]/WWWW[[#This Row],[Total PoP ]]</f>
        <v>1</v>
      </c>
      <c r="CX7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CY7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1" s="600">
        <f>IF(WWWW[[#This Row],['# of functional latrines in THF supported by WASH partners during the reporting period2]]="",0,WWWW[[#This Row],['# of functional latrines in THF supported by WASH partners during the reporting period2]]*50)</f>
        <v>0</v>
      </c>
      <c r="DB71" s="600">
        <f>WWWW[[#This Row],['# students access to functioning school latrines_HRP5]]+WWWW[[#This Row],['# People access to functioning latrines in THF_HRP5]]</f>
        <v>0</v>
      </c>
      <c r="DC71" s="600">
        <f>ROUND(IF(WWWW[[#This Row],[Location Type 1]]="camp",WWWW[[#This Row],[Total PoP ]]/20,IF(WWWW[[#This Row],[Location Type 1]]="Temporary Location",WWWW[[#This Row],[Total PoP ]]/50,WWWW[[#This Row],[Total HH]])),0)</f>
        <v>13</v>
      </c>
      <c r="DD71" s="600">
        <f>IF(WWWW[[#This Row],[Total required Latrines]]-(WWWW[[#This Row],['#_Constructed latrines_by_WASHAgencies]]+WWWW[[#This Row],['#_Non Cluster partner latrines]])&lt;0,0,WWWW[[#This Row],[Total required Latrines]]-(WWWW[[#This Row],['#_Constructed latrines_by_WASHAgencies]]+WWWW[[#This Row],['#_Non Cluster partner latrines]]))</f>
        <v>0</v>
      </c>
      <c r="DE71" s="602">
        <f>1-WWWW[[#This Row],[% people access to functioning Latrine]]</f>
        <v>0</v>
      </c>
      <c r="DF71" s="601">
        <f>IF(OR(WWWW[[#This Row],['#_Non-functional latrines]]="",WWWW[[#This Row],['#_Non-functional latrines]]=0),0,WWWW[[#This Row],['#_Non-functional latrines]]/(WWWW[[#This Row],['#_Constructed latrines_by_WASHAgencies]]+WWWW[[#This Row],['#_Non Cluster partner latrines]]))</f>
        <v>0</v>
      </c>
      <c r="DG71" s="597">
        <f>IF(500*(WWWW[[#This Row],['#_male hygiene promoters]]+WWWW[[#This Row],['#_female hygiene promoters]])&gt;WWWW[[#This Row],[Total PoP ]],WWWW[[#This Row],[Total PoP ]],500*(WWWW[[#This Row],['#_male hygiene promoters]]+WWWW[[#This Row],['#_female hygiene promoters]]))</f>
        <v>0</v>
      </c>
      <c r="DH7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1" s="600">
        <f>IF(WWWW[[#This Row],['# People with access to soap]]&gt;WWWW[[#This Row],['# People with access to Sanity Pads]],WWWW[[#This Row],['# People with access to soap]],WWWW[[#This Row],['# People with access to Sanity Pads]])</f>
        <v>0</v>
      </c>
      <c r="DK7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1" s="602">
        <f>IF(WWWW[[#This Row],[HRP3]]/WWWW[[#This Row],[Total PoP ]]&gt;1,1,WWWW[[#This Row],[HRP3]]/WWWW[[#This Row],[Total PoP ]])</f>
        <v>0</v>
      </c>
      <c r="DM71" s="601">
        <f>1-WWWW[[#This Row],[Hygiene Coverage%]]</f>
        <v>1</v>
      </c>
      <c r="DN71" s="599">
        <f>WWWW[[#This Row],['# people reached by regular dedicated hygiene promotion_5]]/WWWW[[#This Row],[Total PoP ]]</f>
        <v>0</v>
      </c>
      <c r="DO7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1" s="600">
        <f>WWWW[[#This Row],['#_Constructed/Existing hand washing stations]]-WWWW[[#This Row],['#_Non-Functional_hand_washing_stations]]</f>
        <v>0</v>
      </c>
      <c r="DR71" s="597">
        <f>IF(WWWW[[#This Row],['# Functional hand washing stations during reporting period]]*20&gt;WWWW[[#This Row],[Total HH]],WWWW[[#This Row],[Total HH]],WWWW[[#This Row],['# Functional hand washing stations during reporting period]]*20)</f>
        <v>0</v>
      </c>
      <c r="DS71" s="597">
        <f>IF(WWWW[[#This Row],[Is sufficient soap available for TLS? (Yes/No)]]="yes",WWWW[[#This Row],['#_Constructed/Existing hand washing stations at TLS]],0)</f>
        <v>0</v>
      </c>
      <c r="DT71" s="479">
        <f>IF(WWWW[[#This Row],['# Functional hand washing stations during reporting period]]*100&gt;WWWW[[#This Row],[Total PoP ]],WWWW[[#This Row],[Total PoP ]],WWWW[[#This Row],['# Functional hand washing stations during reporting period]]*100)</f>
        <v>0</v>
      </c>
      <c r="DU71" s="479" t="str">
        <f>IF(OR(WWWW[[#This Row],['#_students at TLS_CFS]]="",WWWW[[#This Row],['#_students at TLS_CFS]]=0),"No","Yes")</f>
        <v>Yes</v>
      </c>
      <c r="DV71" s="472">
        <f>IF(WWWW[[#This Row],['#_of_affected_people_surveyed_who_report_feeling_informed_about_the_different_WASH_services_available_to_them]]="","",WWWW[[#This Row],['#_of_affected_people_surveyed_who_report_feeling_informed_about_the_different_WASH_services_available_to_them]]/WWWW[[#This Row],[Total PoP ]])</f>
        <v>1.5151515151515152E-2</v>
      </c>
      <c r="DW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1" s="593" t="str">
        <f>VLOOKUP(WWWW[[#This Row],[Site Name]],SiteDB6[[Site Name]:[CCCM Management]],6,FALSE)</f>
        <v>Yes</v>
      </c>
      <c r="DZ71" s="593" t="str">
        <f>VLOOKUP(WWWW[[#This Row],[Site Name]],SiteDB6[[Site Name]:[CCCM Focal Agency]],7,FALSE)</f>
        <v>KMSS-MYT</v>
      </c>
      <c r="EA71" s="593" t="str">
        <f>VLOOKUP(WWWW[[#This Row],[Site Name]],SiteDB6[[Site Name]:[Location Type 1]],9,FALSE)</f>
        <v>Camp</v>
      </c>
      <c r="EB71" s="593" t="str">
        <f>VLOOKUP(WWWW[[#This Row],[Site Name]],SiteDB6[[Site Name]:[Type of Accommodation]],10,FALSE)</f>
        <v>Camp</v>
      </c>
      <c r="EC71" s="593" t="str">
        <f>VLOOKUP(WWWW[[#This Row],[Site Name]],SiteDB6[[Site Name]:[Ethnic or GCA/NGCA]],11,FALSE)</f>
        <v>GCA</v>
      </c>
      <c r="ED71" s="593">
        <f>VLOOKUP(WWWW[[#This Row],[Site Name]],SiteDB6[[Site Name]:[Lat]],12,FALSE)</f>
        <v>25.60867</v>
      </c>
      <c r="EE71" s="593">
        <f>VLOOKUP(WWWW[[#This Row],[Site Name]],SiteDB6[[Site Name]:[Long]],13,FALSE)</f>
        <v>98.377780000000001</v>
      </c>
      <c r="EF71" s="593" t="str">
        <f>VLOOKUP(WWWW[[#This Row],[Site Name]],SiteDB6[[Site Name]:[Pcode]],3,FALSE)</f>
        <v>MMR001CMP210</v>
      </c>
      <c r="EG71" s="598" t="str">
        <f t="shared" ref="EG71:EG134" si="1">IF(C71="none","Notcovered","Covered")</f>
        <v>Covered</v>
      </c>
      <c r="EH71" s="598" t="str">
        <f>VLOOKUP(WWWW[[#This Row],[Site Name]],SiteDB6[[Site Name]:[open in cccm?]],2,FALSE)</f>
        <v>cccm_2019OCT</v>
      </c>
    </row>
    <row r="72" spans="1:138" hidden="1">
      <c r="A72" s="591" t="s">
        <v>3261</v>
      </c>
      <c r="B72" s="591" t="s">
        <v>38</v>
      </c>
      <c r="C72" s="592" t="s">
        <v>38</v>
      </c>
      <c r="D72" s="592" t="s">
        <v>3049</v>
      </c>
      <c r="E72" s="592" t="s">
        <v>39</v>
      </c>
      <c r="F72" s="592" t="s">
        <v>145</v>
      </c>
      <c r="G72" s="721" t="str">
        <f>VLOOKUP(WWWW[[#This Row],[Site Name]],SiteDB6[[Site Name]:[Location Type]],8,FALSE)</f>
        <v>Camp</v>
      </c>
      <c r="H72" s="592" t="s">
        <v>241</v>
      </c>
      <c r="I72" s="594">
        <v>100</v>
      </c>
      <c r="J72" s="594">
        <v>612</v>
      </c>
      <c r="K72" s="407" t="s">
        <v>3283</v>
      </c>
      <c r="L72" s="56" t="s">
        <v>3282</v>
      </c>
      <c r="M72" s="594">
        <v>57</v>
      </c>
      <c r="N72" s="594"/>
      <c r="O72" s="594"/>
      <c r="P72" s="594"/>
      <c r="Q72" s="597" t="s">
        <v>43</v>
      </c>
      <c r="R72" s="594"/>
      <c r="S72" s="594"/>
      <c r="T72" s="523"/>
      <c r="U72" s="594"/>
      <c r="V72" s="594"/>
      <c r="W72" s="594"/>
      <c r="X72" s="594"/>
      <c r="Y72" s="594"/>
      <c r="Z72" s="594"/>
      <c r="AA72" s="594">
        <v>1</v>
      </c>
      <c r="AB72" s="594"/>
      <c r="AC72" s="594"/>
      <c r="AD72" s="594"/>
      <c r="AE72" s="594"/>
      <c r="AF72" s="594"/>
      <c r="AG72" s="594"/>
      <c r="AH72" s="594"/>
      <c r="AI72" s="594"/>
      <c r="AJ72" s="594"/>
      <c r="AK72" s="594"/>
      <c r="AL72" s="594"/>
      <c r="AM72" s="594">
        <v>4</v>
      </c>
      <c r="AN72" s="594"/>
      <c r="AO72" s="598"/>
      <c r="AP72" s="594">
        <v>98</v>
      </c>
      <c r="AQ72" s="594"/>
      <c r="AR72" s="599"/>
      <c r="AS72" s="594"/>
      <c r="AT72" s="594"/>
      <c r="AU72" s="594"/>
      <c r="AV72" s="594"/>
      <c r="AW72" s="594"/>
      <c r="AX72" s="593" t="s">
        <v>43</v>
      </c>
      <c r="AY72" s="598" t="s">
        <v>140</v>
      </c>
      <c r="AZ72" s="594">
        <v>3</v>
      </c>
      <c r="BA72" s="594"/>
      <c r="BB72" s="594"/>
      <c r="BC72" s="594"/>
      <c r="BD72" s="523"/>
      <c r="BE72" s="593"/>
      <c r="BF72" s="594"/>
      <c r="BG72" s="594"/>
      <c r="BH72" s="594"/>
      <c r="BI72" s="594">
        <v>4</v>
      </c>
      <c r="BJ72" s="594"/>
      <c r="BK72" s="594">
        <v>1</v>
      </c>
      <c r="BL72" s="594">
        <v>1</v>
      </c>
      <c r="BM72" s="594"/>
      <c r="BN72" s="594"/>
      <c r="BO72" s="593" t="s">
        <v>139</v>
      </c>
      <c r="BP72" s="594"/>
      <c r="BQ72" s="599"/>
      <c r="BR72" s="593"/>
      <c r="BS72" s="472">
        <v>0.7</v>
      </c>
      <c r="BT72" s="472">
        <v>0.65</v>
      </c>
      <c r="BU72" s="523">
        <v>7</v>
      </c>
      <c r="BV72" s="472">
        <v>0.65</v>
      </c>
      <c r="BW72" s="523"/>
      <c r="BX72" s="523"/>
      <c r="BY72" s="523"/>
      <c r="BZ72" s="601" t="str">
        <f>IFERROR(WWWW[[#This Row],['#_Water sources passed]]/WWWW[[#This Row],['#_Water sources tested for fecal coliform ]],"no test")</f>
        <v>no test</v>
      </c>
      <c r="CA72" s="599" t="str">
        <f>IFERROR(WWWW[[#This Row],['#_Household passed]]/WWWW[[#This Row],['#_Household water samples tested for fecal coliform]],"no test")</f>
        <v>no test</v>
      </c>
      <c r="CB72" s="600" t="str">
        <f>IF(AND(WWWW[[#This Row],[% of water sources passed]]="no test",WWWW[[#This Row],[% Household passed]]="no test"),"No Test","Tested")</f>
        <v>No Test</v>
      </c>
      <c r="CC72" s="600">
        <f>WWWW[[#This Row],['#_Constructed/existing protected hand dug well]]-WWWW[[#This Row],['#_Non-functional protected hand dug well]]</f>
        <v>0</v>
      </c>
      <c r="CD72" s="600">
        <f>(WWWW[[#This Row],['#_Constructed/Existing tube wells/boreholes/handpumps_WASH_agency]]+WWWW[[#This Row],['#_Non-Cluster partner water tube-wells/boreholes/handpumps]])-WWWW[[#This Row],['#_Non-functional tube wells/boreholes/handpumps]]</f>
        <v>0</v>
      </c>
      <c r="CE72" s="600">
        <f>WWWW[[#This Row],['#_Constructed/Existingwater storage tank with gravity fed reticulation system]]-WWWW[[#This Row],['#_Non-functional storage tank gravity fed reticulation system]]</f>
        <v>1</v>
      </c>
      <c r="CF72" s="478">
        <f>(WWWW[[#This Row],['#_Water_Liters_supplied_by_Water boating or water trucking]]/90)/15</f>
        <v>0</v>
      </c>
      <c r="CG72" s="478">
        <f>WWWW[[#This Row],['#_Water_Liters_from_Constructed/Existing water distribution system from river or natural spring]]/90/15</f>
        <v>0</v>
      </c>
      <c r="CH72" s="478">
        <f>WWWW[[#This Row],['#_of water points in TLS/CFS /THF]]*500</f>
        <v>0</v>
      </c>
      <c r="CI7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0.10893246187363835</v>
      </c>
      <c r="CJ7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0.10893246187363835</v>
      </c>
      <c r="CK72" s="599">
        <f>IF(WWWW[[#This Row],[Location Type 1]]="Village",WWWW[[#This Row],[Access to safe drinking water for Village]],WWWW[[#This Row],[Access to safe drinking water for Camp]])</f>
        <v>0.10893246187363835</v>
      </c>
      <c r="CL72" s="597">
        <f>WWWW[[#This Row],[%Equitable and continuous access to sufficient quantity of safe drinking water]]*WWWW[[#This Row],[Total PoP ]]</f>
        <v>66.666666666666671</v>
      </c>
      <c r="CM72" s="599">
        <f>IF((WWWW[[#This Row],['#_Constructed/Existing protected/fenced ponds]]*250)/WWWW[[#This Row],[Total PoP ]]&gt;1,1,(WWWW[[#This Row],['#_Constructed/Existing protected/fenced ponds]]*250)/WWWW[[#This Row],[Total PoP ]])</f>
        <v>0</v>
      </c>
      <c r="CN72" s="597">
        <f>WWWW[[#This Row],[% Access to unimproved water points]]*WWWW[[#This Row],[Total PoP ]]</f>
        <v>0</v>
      </c>
      <c r="CO7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P7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72" s="597">
        <f>WWWW[[#This Row],[HRP1]]/500</f>
        <v>0.13333333333333333</v>
      </c>
      <c r="CR72" s="602">
        <f>1-WWWW[[#This Row],[% Equitable and continuous access to sufficient quantity of domestic water]]</f>
        <v>0.89106753812636164</v>
      </c>
      <c r="CS72" s="597">
        <f>WWWW[[#This Row],[%equitable and continuous access to sufficient quantity of safe drinking and domestic water''s GAP]]*WWWW[[#This Row],[Total PoP ]]</f>
        <v>545.33333333333337</v>
      </c>
      <c r="CT72" s="600">
        <f>IF(WWWW[[#This Row],[Total required water points]]-WWWW[[#This Row],['#Water points coverage]]&lt;0,0,WWWW[[#This Row],[Total required water points]]-WWWW[[#This Row],['#Water points coverage]])</f>
        <v>0.8666666666666667</v>
      </c>
      <c r="CU72" s="600">
        <f>ROUND(IF(WWWW[[#This Row],[Total PoP ]]&lt;500,1,WWWW[[#This Row],[Total PoP ]]/500),0)</f>
        <v>1</v>
      </c>
      <c r="CV72" s="600">
        <f>(WWWW[[#This Row],['#_Constructed latrines_by_WASHAgencies]]+WWWW[[#This Row],['#_Non Cluster partner latrines]])-WWWW[[#This Row],['#_Non-functional latrines]]</f>
        <v>98</v>
      </c>
      <c r="CW72" s="70">
        <f>WWWW[[#This Row],[HRP2]]/WWWW[[#This Row],[Total PoP ]]</f>
        <v>1</v>
      </c>
      <c r="CX7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612</v>
      </c>
      <c r="CY7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2" s="600">
        <f>IF(WWWW[[#This Row],['# of functional latrines in THF supported by WASH partners during the reporting period2]]="",0,WWWW[[#This Row],['# of functional latrines in THF supported by WASH partners during the reporting period2]]*50)</f>
        <v>0</v>
      </c>
      <c r="DB72" s="600">
        <f>WWWW[[#This Row],['# students access to functioning school latrines_HRP5]]+WWWW[[#This Row],['# People access to functioning latrines in THF_HRP5]]</f>
        <v>0</v>
      </c>
      <c r="DC72" s="600">
        <f>ROUND(IF(WWWW[[#This Row],[Location Type 1]]="camp",WWWW[[#This Row],[Total PoP ]]/20,IF(WWWW[[#This Row],[Location Type 1]]="Temporary Location",WWWW[[#This Row],[Total PoP ]]/50,WWWW[[#This Row],[Total HH]])),0)</f>
        <v>31</v>
      </c>
      <c r="DD72" s="600">
        <f>IF(WWWW[[#This Row],[Total required Latrines]]-(WWWW[[#This Row],['#_Constructed latrines_by_WASHAgencies]]+WWWW[[#This Row],['#_Non Cluster partner latrines]])&lt;0,0,WWWW[[#This Row],[Total required Latrines]]-(WWWW[[#This Row],['#_Constructed latrines_by_WASHAgencies]]+WWWW[[#This Row],['#_Non Cluster partner latrines]]))</f>
        <v>0</v>
      </c>
      <c r="DE72" s="602">
        <f>1-WWWW[[#This Row],[% people access to functioning Latrine]]</f>
        <v>0</v>
      </c>
      <c r="DF72" s="601">
        <f>IF(OR(WWWW[[#This Row],['#_Non-functional latrines]]="",WWWW[[#This Row],['#_Non-functional latrines]]=0),0,WWWW[[#This Row],['#_Non-functional latrines]]/(WWWW[[#This Row],['#_Constructed latrines_by_WASHAgencies]]+WWWW[[#This Row],['#_Non Cluster partner latrines]]))</f>
        <v>0</v>
      </c>
      <c r="DG72" s="597">
        <f>IF(500*(WWWW[[#This Row],['#_male hygiene promoters]]+WWWW[[#This Row],['#_female hygiene promoters]])&gt;WWWW[[#This Row],[Total PoP ]],WWWW[[#This Row],[Total PoP ]],500*(WWWW[[#This Row],['#_male hygiene promoters]]+WWWW[[#This Row],['#_female hygiene promoters]]))</f>
        <v>612</v>
      </c>
      <c r="DH7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2" s="600">
        <f>IF(WWWW[[#This Row],['# People with access to soap]]&gt;WWWW[[#This Row],['# People with access to Sanity Pads]],WWWW[[#This Row],['# People with access to soap]],WWWW[[#This Row],['# People with access to Sanity Pads]])</f>
        <v>0</v>
      </c>
      <c r="DK72" s="600">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L72" s="602">
        <f>IF(WWWW[[#This Row],[HRP3]]/WWWW[[#This Row],[Total PoP ]]&gt;1,1,WWWW[[#This Row],[HRP3]]/WWWW[[#This Row],[Total PoP ]])</f>
        <v>1</v>
      </c>
      <c r="DM72" s="601">
        <f>1-WWWW[[#This Row],[Hygiene Coverage%]]</f>
        <v>0</v>
      </c>
      <c r="DN72" s="599">
        <f>WWWW[[#This Row],['# people reached by regular dedicated hygiene promotion_5]]/WWWW[[#This Row],[Total PoP ]]</f>
        <v>1</v>
      </c>
      <c r="DO7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2" s="600">
        <f>WWWW[[#This Row],['#_Constructed/Existing hand washing stations]]-WWWW[[#This Row],['#_Non-Functional_hand_washing_stations]]</f>
        <v>0</v>
      </c>
      <c r="DR72" s="597">
        <f>IF(WWWW[[#This Row],['# Functional hand washing stations during reporting period]]*20&gt;WWWW[[#This Row],[Total HH]],WWWW[[#This Row],[Total HH]],WWWW[[#This Row],['# Functional hand washing stations during reporting period]]*20)</f>
        <v>0</v>
      </c>
      <c r="DS72" s="597">
        <f>IF(WWWW[[#This Row],[Is sufficient soap available for TLS? (Yes/No)]]="yes",WWWW[[#This Row],['#_Constructed/Existing hand washing stations at TLS]],0)</f>
        <v>0</v>
      </c>
      <c r="DT72" s="479">
        <f>IF(WWWW[[#This Row],['# Functional hand washing stations during reporting period]]*100&gt;WWWW[[#This Row],[Total PoP ]],WWWW[[#This Row],[Total PoP ]],WWWW[[#This Row],['# Functional hand washing stations during reporting period]]*100)</f>
        <v>0</v>
      </c>
      <c r="DU72" s="479" t="str">
        <f>IF(OR(WWWW[[#This Row],['#_students at TLS_CFS]]="",WWWW[[#This Row],['#_students at TLS_CFS]]=0),"No","Yes")</f>
        <v>Yes</v>
      </c>
      <c r="DV72" s="472">
        <f>IF(WWWW[[#This Row],['#_of_affected_people_surveyed_who_report_feeling_informed_about_the_different_WASH_services_available_to_them]]="","",WWWW[[#This Row],['#_of_affected_people_surveyed_who_report_feeling_informed_about_the_different_WASH_services_available_to_them]]/WWWW[[#This Row],[Total PoP ]])</f>
        <v>1.1437908496732025E-2</v>
      </c>
      <c r="DW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2" s="593" t="str">
        <f>VLOOKUP(WWWW[[#This Row],[Site Name]],SiteDB6[[Site Name]:[CCCM Management]],6,FALSE)</f>
        <v>Yes</v>
      </c>
      <c r="DZ72" s="593" t="str">
        <f>VLOOKUP(WWWW[[#This Row],[Site Name]],SiteDB6[[Site Name]:[CCCM Focal Agency]],7,FALSE)</f>
        <v>KMSS-MYT</v>
      </c>
      <c r="EA72" s="593" t="str">
        <f>VLOOKUP(WWWW[[#This Row],[Site Name]],SiteDB6[[Site Name]:[Location Type 1]],9,FALSE)</f>
        <v>Camp</v>
      </c>
      <c r="EB72" s="593" t="str">
        <f>VLOOKUP(WWWW[[#This Row],[Site Name]],SiteDB6[[Site Name]:[Type of Accommodation]],10,FALSE)</f>
        <v>Camp</v>
      </c>
      <c r="EC72" s="593" t="str">
        <f>VLOOKUP(WWWW[[#This Row],[Site Name]],SiteDB6[[Site Name]:[Ethnic or GCA/NGCA]],11,FALSE)</f>
        <v>NGCA</v>
      </c>
      <c r="ED72" s="593">
        <f>VLOOKUP(WWWW[[#This Row],[Site Name]],SiteDB6[[Site Name]:[Lat]],12,FALSE)</f>
        <v>25.265277999999999</v>
      </c>
      <c r="EE72" s="593">
        <f>VLOOKUP(WWWW[[#This Row],[Site Name]],SiteDB6[[Site Name]:[Long]],13,FALSE)</f>
        <v>97.990555999999998</v>
      </c>
      <c r="EF72" s="593" t="str">
        <f>VLOOKUP(WWWW[[#This Row],[Site Name]],SiteDB6[[Site Name]:[Pcode]],3,FALSE)</f>
        <v>MMR001CMP160</v>
      </c>
      <c r="EG72" s="598" t="str">
        <f t="shared" si="1"/>
        <v>Covered</v>
      </c>
      <c r="EH72" s="598" t="str">
        <f>VLOOKUP(WWWW[[#This Row],[Site Name]],SiteDB6[[Site Name]:[open in cccm?]],2,FALSE)</f>
        <v>cccm_2019OCT</v>
      </c>
    </row>
    <row r="73" spans="1:138" hidden="1">
      <c r="A73" s="591" t="s">
        <v>3261</v>
      </c>
      <c r="B73" s="591" t="s">
        <v>38</v>
      </c>
      <c r="C73" s="592" t="s">
        <v>38</v>
      </c>
      <c r="D73" s="592" t="s">
        <v>3049</v>
      </c>
      <c r="E73" s="592" t="s">
        <v>39</v>
      </c>
      <c r="F73" s="592" t="s">
        <v>149</v>
      </c>
      <c r="G73" s="721" t="str">
        <f>VLOOKUP(WWWW[[#This Row],[Site Name]],SiteDB6[[Site Name]:[Location Type]],8,FALSE)</f>
        <v>Camp</v>
      </c>
      <c r="H73" s="592" t="s">
        <v>230</v>
      </c>
      <c r="I73" s="594">
        <v>31</v>
      </c>
      <c r="J73" s="594">
        <v>173</v>
      </c>
      <c r="K73" s="407" t="s">
        <v>3283</v>
      </c>
      <c r="L73" s="56" t="s">
        <v>3282</v>
      </c>
      <c r="M73" s="594">
        <v>66</v>
      </c>
      <c r="N73" s="594"/>
      <c r="O73" s="594"/>
      <c r="P73" s="594"/>
      <c r="Q73" s="597" t="s">
        <v>43</v>
      </c>
      <c r="R73" s="594"/>
      <c r="S73" s="594">
        <v>4</v>
      </c>
      <c r="T73" s="523"/>
      <c r="U73" s="594"/>
      <c r="V73" s="594"/>
      <c r="W73" s="594"/>
      <c r="X73" s="594"/>
      <c r="Y73" s="594"/>
      <c r="Z73" s="594"/>
      <c r="AA73" s="594"/>
      <c r="AB73" s="594"/>
      <c r="AC73" s="594"/>
      <c r="AD73" s="594"/>
      <c r="AE73" s="594"/>
      <c r="AF73" s="594"/>
      <c r="AG73" s="594"/>
      <c r="AH73" s="594"/>
      <c r="AI73" s="594"/>
      <c r="AJ73" s="594"/>
      <c r="AK73" s="594"/>
      <c r="AL73" s="594"/>
      <c r="AM73" s="594"/>
      <c r="AN73" s="594"/>
      <c r="AO73" s="598"/>
      <c r="AP73" s="594">
        <v>10</v>
      </c>
      <c r="AQ73" s="594"/>
      <c r="AR73" s="599"/>
      <c r="AS73" s="594"/>
      <c r="AT73" s="594"/>
      <c r="AU73" s="594"/>
      <c r="AV73" s="594"/>
      <c r="AW73" s="594"/>
      <c r="AX73" s="593" t="s">
        <v>43</v>
      </c>
      <c r="AY73" s="598" t="s">
        <v>140</v>
      </c>
      <c r="AZ73" s="594">
        <v>2</v>
      </c>
      <c r="BA73" s="594"/>
      <c r="BB73" s="594"/>
      <c r="BC73" s="594"/>
      <c r="BD73" s="523"/>
      <c r="BE73" s="593"/>
      <c r="BF73" s="594"/>
      <c r="BG73" s="594"/>
      <c r="BH73" s="594"/>
      <c r="BI73" s="594"/>
      <c r="BJ73" s="594"/>
      <c r="BK73" s="594">
        <v>1</v>
      </c>
      <c r="BL73" s="594"/>
      <c r="BM73" s="594"/>
      <c r="BN73" s="594"/>
      <c r="BO73" s="593"/>
      <c r="BP73" s="594"/>
      <c r="BQ73" s="599"/>
      <c r="BR73" s="593"/>
      <c r="BS73" s="472">
        <v>0.6</v>
      </c>
      <c r="BT73" s="472">
        <v>0.55000000000000004</v>
      </c>
      <c r="BU73" s="523">
        <v>2</v>
      </c>
      <c r="BV73" s="472">
        <v>0.6</v>
      </c>
      <c r="BW73" s="523"/>
      <c r="BX73" s="523"/>
      <c r="BY73" s="523"/>
      <c r="BZ73" s="601" t="str">
        <f>IFERROR(WWWW[[#This Row],['#_Water sources passed]]/WWWW[[#This Row],['#_Water sources tested for fecal coliform ]],"no test")</f>
        <v>no test</v>
      </c>
      <c r="CA73" s="599" t="str">
        <f>IFERROR(WWWW[[#This Row],['#_Household passed]]/WWWW[[#This Row],['#_Household water samples tested for fecal coliform]],"no test")</f>
        <v>no test</v>
      </c>
      <c r="CB73" s="600" t="str">
        <f>IF(AND(WWWW[[#This Row],[% of water sources passed]]="no test",WWWW[[#This Row],[% Household passed]]="no test"),"No Test","Tested")</f>
        <v>No Test</v>
      </c>
      <c r="CC73" s="600">
        <f>WWWW[[#This Row],['#_Constructed/existing protected hand dug well]]-WWWW[[#This Row],['#_Non-functional protected hand dug well]]</f>
        <v>0</v>
      </c>
      <c r="CD73" s="600">
        <f>(WWWW[[#This Row],['#_Constructed/Existing tube wells/boreholes/handpumps_WASH_agency]]+WWWW[[#This Row],['#_Non-Cluster partner water tube-wells/boreholes/handpumps]])-WWWW[[#This Row],['#_Non-functional tube wells/boreholes/handpumps]]</f>
        <v>0</v>
      </c>
      <c r="CE73" s="600">
        <f>WWWW[[#This Row],['#_Constructed/Existingwater storage tank with gravity fed reticulation system]]-WWWW[[#This Row],['#_Non-functional storage tank gravity fed reticulation system]]</f>
        <v>0</v>
      </c>
      <c r="CF73" s="478">
        <f>(WWWW[[#This Row],['#_Water_Liters_supplied_by_Water boating or water trucking]]/90)/15</f>
        <v>0</v>
      </c>
      <c r="CG73" s="478">
        <f>WWWW[[#This Row],['#_Water_Liters_from_Constructed/Existing water distribution system from river or natural spring]]/90/15</f>
        <v>0</v>
      </c>
      <c r="CH73" s="478">
        <f>WWWW[[#This Row],['#_of water points in TLS/CFS /THF]]*500</f>
        <v>0</v>
      </c>
      <c r="CI7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3" s="599">
        <f>IF(WWWW[[#This Row],[Location Type 1]]="Village",WWWW[[#This Row],[Access to safe drinking water for Village]],WWWW[[#This Row],[Access to safe drinking water for Camp]])</f>
        <v>0</v>
      </c>
      <c r="CL73" s="597">
        <f>WWWW[[#This Row],[%Equitable and continuous access to sufficient quantity of safe drinking water]]*WWWW[[#This Row],[Total PoP ]]</f>
        <v>0</v>
      </c>
      <c r="CM73" s="599">
        <f>IF((WWWW[[#This Row],['#_Constructed/Existing protected/fenced ponds]]*250)/WWWW[[#This Row],[Total PoP ]]&gt;1,1,(WWWW[[#This Row],['#_Constructed/Existing protected/fenced ponds]]*250)/WWWW[[#This Row],[Total PoP ]])</f>
        <v>0</v>
      </c>
      <c r="CN73" s="597">
        <f>WWWW[[#This Row],[% Access to unimproved water points]]*WWWW[[#This Row],[Total PoP ]]</f>
        <v>0</v>
      </c>
      <c r="CO7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3" s="597">
        <f>WWWW[[#This Row],[HRP1]]/500</f>
        <v>0</v>
      </c>
      <c r="CR73" s="602">
        <f>1-WWWW[[#This Row],[% Equitable and continuous access to sufficient quantity of domestic water]]</f>
        <v>1</v>
      </c>
      <c r="CS73" s="597">
        <f>WWWW[[#This Row],[%equitable and continuous access to sufficient quantity of safe drinking and domestic water''s GAP]]*WWWW[[#This Row],[Total PoP ]]</f>
        <v>173</v>
      </c>
      <c r="CT73" s="600">
        <f>IF(WWWW[[#This Row],[Total required water points]]-WWWW[[#This Row],['#Water points coverage]]&lt;0,0,WWWW[[#This Row],[Total required water points]]-WWWW[[#This Row],['#Water points coverage]])</f>
        <v>1</v>
      </c>
      <c r="CU73" s="600">
        <f>ROUND(IF(WWWW[[#This Row],[Total PoP ]]&lt;500,1,WWWW[[#This Row],[Total PoP ]]/500),0)</f>
        <v>1</v>
      </c>
      <c r="CV73" s="600">
        <f>(WWWW[[#This Row],['#_Constructed latrines_by_WASHAgencies]]+WWWW[[#This Row],['#_Non Cluster partner latrines]])-WWWW[[#This Row],['#_Non-functional latrines]]</f>
        <v>10</v>
      </c>
      <c r="CW73" s="70">
        <f>WWWW[[#This Row],[HRP2]]/WWWW[[#This Row],[Total PoP ]]</f>
        <v>1</v>
      </c>
      <c r="CX7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v>
      </c>
      <c r="CY7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3" s="600">
        <f>IF(WWWW[[#This Row],['# of functional latrines in THF supported by WASH partners during the reporting period2]]="",0,WWWW[[#This Row],['# of functional latrines in THF supported by WASH partners during the reporting period2]]*50)</f>
        <v>0</v>
      </c>
      <c r="DB73" s="600">
        <f>WWWW[[#This Row],['# students access to functioning school latrines_HRP5]]+WWWW[[#This Row],['# People access to functioning latrines in THF_HRP5]]</f>
        <v>0</v>
      </c>
      <c r="DC73" s="600">
        <f>ROUND(IF(WWWW[[#This Row],[Location Type 1]]="camp",WWWW[[#This Row],[Total PoP ]]/20,IF(WWWW[[#This Row],[Location Type 1]]="Temporary Location",WWWW[[#This Row],[Total PoP ]]/50,WWWW[[#This Row],[Total HH]])),0)</f>
        <v>9</v>
      </c>
      <c r="DD73" s="600">
        <f>IF(WWWW[[#This Row],[Total required Latrines]]-(WWWW[[#This Row],['#_Constructed latrines_by_WASHAgencies]]+WWWW[[#This Row],['#_Non Cluster partner latrines]])&lt;0,0,WWWW[[#This Row],[Total required Latrines]]-(WWWW[[#This Row],['#_Constructed latrines_by_WASHAgencies]]+WWWW[[#This Row],['#_Non Cluster partner latrines]]))</f>
        <v>0</v>
      </c>
      <c r="DE73" s="602">
        <f>1-WWWW[[#This Row],[% people access to functioning Latrine]]</f>
        <v>0</v>
      </c>
      <c r="DF73" s="601">
        <f>IF(OR(WWWW[[#This Row],['#_Non-functional latrines]]="",WWWW[[#This Row],['#_Non-functional latrines]]=0),0,WWWW[[#This Row],['#_Non-functional latrines]]/(WWWW[[#This Row],['#_Constructed latrines_by_WASHAgencies]]+WWWW[[#This Row],['#_Non Cluster partner latrines]]))</f>
        <v>0</v>
      </c>
      <c r="DG73" s="597">
        <f>IF(500*(WWWW[[#This Row],['#_male hygiene promoters]]+WWWW[[#This Row],['#_female hygiene promoters]])&gt;WWWW[[#This Row],[Total PoP ]],WWWW[[#This Row],[Total PoP ]],500*(WWWW[[#This Row],['#_male hygiene promoters]]+WWWW[[#This Row],['#_female hygiene promoters]]))</f>
        <v>173</v>
      </c>
      <c r="DH7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3" s="600">
        <f>IF(WWWW[[#This Row],['# People with access to soap]]&gt;WWWW[[#This Row],['# People with access to Sanity Pads]],WWWW[[#This Row],['# People with access to soap]],WWWW[[#This Row],['# People with access to Sanity Pads]])</f>
        <v>0</v>
      </c>
      <c r="DK73" s="600">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L73" s="602">
        <f>IF(WWWW[[#This Row],[HRP3]]/WWWW[[#This Row],[Total PoP ]]&gt;1,1,WWWW[[#This Row],[HRP3]]/WWWW[[#This Row],[Total PoP ]])</f>
        <v>1</v>
      </c>
      <c r="DM73" s="601">
        <f>1-WWWW[[#This Row],[Hygiene Coverage%]]</f>
        <v>0</v>
      </c>
      <c r="DN73" s="599">
        <f>WWWW[[#This Row],['# people reached by regular dedicated hygiene promotion_5]]/WWWW[[#This Row],[Total PoP ]]</f>
        <v>1</v>
      </c>
      <c r="DO7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3" s="600">
        <f>WWWW[[#This Row],['#_Constructed/Existing hand washing stations]]-WWWW[[#This Row],['#_Non-Functional_hand_washing_stations]]</f>
        <v>0</v>
      </c>
      <c r="DR73" s="597">
        <f>IF(WWWW[[#This Row],['# Functional hand washing stations during reporting period]]*20&gt;WWWW[[#This Row],[Total HH]],WWWW[[#This Row],[Total HH]],WWWW[[#This Row],['# Functional hand washing stations during reporting period]]*20)</f>
        <v>0</v>
      </c>
      <c r="DS73" s="597">
        <f>IF(WWWW[[#This Row],[Is sufficient soap available for TLS? (Yes/No)]]="yes",WWWW[[#This Row],['#_Constructed/Existing hand washing stations at TLS]],0)</f>
        <v>0</v>
      </c>
      <c r="DT73" s="479">
        <f>IF(WWWW[[#This Row],['# Functional hand washing stations during reporting period]]*100&gt;WWWW[[#This Row],[Total PoP ]],WWWW[[#This Row],[Total PoP ]],WWWW[[#This Row],['# Functional hand washing stations during reporting period]]*100)</f>
        <v>0</v>
      </c>
      <c r="DU73" s="479" t="str">
        <f>IF(OR(WWWW[[#This Row],['#_students at TLS_CFS]]="",WWWW[[#This Row],['#_students at TLS_CFS]]=0),"No","Yes")</f>
        <v>Yes</v>
      </c>
      <c r="DV73" s="472">
        <f>IF(WWWW[[#This Row],['#_of_affected_people_surveyed_who_report_feeling_informed_about_the_different_WASH_services_available_to_them]]="","",WWWW[[#This Row],['#_of_affected_people_surveyed_who_report_feeling_informed_about_the_different_WASH_services_available_to_them]]/WWWW[[#This Row],[Total PoP ]])</f>
        <v>1.1560693641618497E-2</v>
      </c>
      <c r="DW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3" s="593" t="str">
        <f>VLOOKUP(WWWW[[#This Row],[Site Name]],SiteDB6[[Site Name]:[CCCM Management]],6,FALSE)</f>
        <v>Yes</v>
      </c>
      <c r="DZ73" s="593" t="str">
        <f>VLOOKUP(WWWW[[#This Row],[Site Name]],SiteDB6[[Site Name]:[CCCM Focal Agency]],7,FALSE)</f>
        <v>KMSS-MYT</v>
      </c>
      <c r="EA73" s="593" t="str">
        <f>VLOOKUP(WWWW[[#This Row],[Site Name]],SiteDB6[[Site Name]:[Location Type 1]],9,FALSE)</f>
        <v>Camp</v>
      </c>
      <c r="EB73" s="593" t="str">
        <f>VLOOKUP(WWWW[[#This Row],[Site Name]],SiteDB6[[Site Name]:[Type of Accommodation]],10,FALSE)</f>
        <v>Camp</v>
      </c>
      <c r="EC73" s="593" t="str">
        <f>VLOOKUP(WWWW[[#This Row],[Site Name]],SiteDB6[[Site Name]:[Ethnic or GCA/NGCA]],11,FALSE)</f>
        <v>GCA</v>
      </c>
      <c r="ED73" s="593">
        <f>VLOOKUP(WWWW[[#This Row],[Site Name]],SiteDB6[[Site Name]:[Lat]],12,FALSE)</f>
        <v>25.645959999999999</v>
      </c>
      <c r="EE73" s="593">
        <f>VLOOKUP(WWWW[[#This Row],[Site Name]],SiteDB6[[Site Name]:[Long]],13,FALSE)</f>
        <v>98.356260000000006</v>
      </c>
      <c r="EF73" s="593" t="str">
        <f>VLOOKUP(WWWW[[#This Row],[Site Name]],SiteDB6[[Site Name]:[Pcode]],3,FALSE)</f>
        <v>MMR001CMP225</v>
      </c>
      <c r="EG73" s="598" t="str">
        <f t="shared" si="1"/>
        <v>Covered</v>
      </c>
      <c r="EH73" s="598" t="str">
        <f>VLOOKUP(WWWW[[#This Row],[Site Name]],SiteDB6[[Site Name]:[open in cccm?]],2,FALSE)</f>
        <v>cccm_2019OCT</v>
      </c>
    </row>
    <row r="74" spans="1:138" hidden="1">
      <c r="A74" s="591" t="s">
        <v>3261</v>
      </c>
      <c r="B74" s="591" t="s">
        <v>38</v>
      </c>
      <c r="C74" s="592" t="s">
        <v>38</v>
      </c>
      <c r="D74" s="592" t="s">
        <v>717</v>
      </c>
      <c r="E74" s="592" t="s">
        <v>39</v>
      </c>
      <c r="F74" s="592" t="s">
        <v>40</v>
      </c>
      <c r="G74" s="721" t="str">
        <f>VLOOKUP(WWWW[[#This Row],[Site Name]],SiteDB6[[Site Name]:[Location Type]],8,FALSE)</f>
        <v>Camp_not registered</v>
      </c>
      <c r="H74" s="592" t="s">
        <v>142</v>
      </c>
      <c r="I74" s="594">
        <v>22</v>
      </c>
      <c r="J74" s="594">
        <v>122</v>
      </c>
      <c r="K74" s="595"/>
      <c r="L74" s="596">
        <v>43585</v>
      </c>
      <c r="M74" s="594"/>
      <c r="N74" s="594"/>
      <c r="O74" s="594"/>
      <c r="P74" s="594"/>
      <c r="Q74" s="597"/>
      <c r="R74" s="594"/>
      <c r="S74" s="594">
        <v>3</v>
      </c>
      <c r="T74" s="523"/>
      <c r="U74" s="594"/>
      <c r="V74" s="594"/>
      <c r="W74" s="594"/>
      <c r="X74" s="594">
        <v>1</v>
      </c>
      <c r="Y74" s="594"/>
      <c r="Z74" s="594"/>
      <c r="AA74" s="594"/>
      <c r="AB74" s="594"/>
      <c r="AC74" s="594"/>
      <c r="AD74" s="594"/>
      <c r="AE74" s="594"/>
      <c r="AF74" s="594"/>
      <c r="AG74" s="594"/>
      <c r="AH74" s="594"/>
      <c r="AI74" s="594"/>
      <c r="AJ74" s="594"/>
      <c r="AK74" s="594"/>
      <c r="AL74" s="594"/>
      <c r="AM74" s="594"/>
      <c r="AN74" s="594"/>
      <c r="AO74" s="598"/>
      <c r="AP74" s="594">
        <v>6</v>
      </c>
      <c r="AQ74" s="594"/>
      <c r="AR74" s="599"/>
      <c r="AS74" s="594"/>
      <c r="AT74" s="594"/>
      <c r="AU74" s="594"/>
      <c r="AV74" s="594"/>
      <c r="AW74" s="594"/>
      <c r="AX74" s="593" t="s">
        <v>43</v>
      </c>
      <c r="AY74" s="598" t="s">
        <v>140</v>
      </c>
      <c r="AZ74" s="594"/>
      <c r="BA74" s="594"/>
      <c r="BB74" s="594"/>
      <c r="BC74" s="594"/>
      <c r="BD74" s="523"/>
      <c r="BE74" s="593"/>
      <c r="BF74" s="594">
        <v>2</v>
      </c>
      <c r="BG74" s="594"/>
      <c r="BH74" s="594"/>
      <c r="BI74" s="594">
        <v>2</v>
      </c>
      <c r="BJ74" s="594"/>
      <c r="BK74" s="594"/>
      <c r="BL74" s="594">
        <v>1</v>
      </c>
      <c r="BM74" s="594"/>
      <c r="BN74" s="594"/>
      <c r="BO74" s="593"/>
      <c r="BP74" s="594"/>
      <c r="BQ74" s="599"/>
      <c r="BR74" s="593"/>
      <c r="BS74" s="472"/>
      <c r="BT74" s="472"/>
      <c r="BU74" s="523"/>
      <c r="BV74" s="472"/>
      <c r="BW74" s="523"/>
      <c r="BX74" s="523"/>
      <c r="BY74" s="523"/>
      <c r="BZ74" s="601" t="str">
        <f>IFERROR(WWWW[[#This Row],['#_Water sources passed]]/WWWW[[#This Row],['#_Water sources tested for fecal coliform ]],"no test")</f>
        <v>no test</v>
      </c>
      <c r="CA74" s="599" t="str">
        <f>IFERROR(WWWW[[#This Row],['#_Household passed]]/WWWW[[#This Row],['#_Household water samples tested for fecal coliform]],"no test")</f>
        <v>no test</v>
      </c>
      <c r="CB74" s="600" t="str">
        <f>IF(AND(WWWW[[#This Row],[% of water sources passed]]="no test",WWWW[[#This Row],[% Household passed]]="no test"),"No Test","Tested")</f>
        <v>No Test</v>
      </c>
      <c r="CC74" s="600">
        <f>WWWW[[#This Row],['#_Constructed/existing protected hand dug well]]-WWWW[[#This Row],['#_Non-functional protected hand dug well]]</f>
        <v>0</v>
      </c>
      <c r="CD74" s="600">
        <f>(WWWW[[#This Row],['#_Constructed/Existing tube wells/boreholes/handpumps_WASH_agency]]+WWWW[[#This Row],['#_Non-Cluster partner water tube-wells/boreholes/handpumps]])-WWWW[[#This Row],['#_Non-functional tube wells/boreholes/handpumps]]</f>
        <v>1</v>
      </c>
      <c r="CE74" s="600">
        <f>WWWW[[#This Row],['#_Constructed/Existingwater storage tank with gravity fed reticulation system]]-WWWW[[#This Row],['#_Non-functional storage tank gravity fed reticulation system]]</f>
        <v>0</v>
      </c>
      <c r="CF74" s="478">
        <f>(WWWW[[#This Row],['#_Water_Liters_supplied_by_Water boating or water trucking]]/90)/15</f>
        <v>0</v>
      </c>
      <c r="CG74" s="478">
        <f>WWWW[[#This Row],['#_Water_Liters_from_Constructed/Existing water distribution system from river or natural spring]]/90/15</f>
        <v>0</v>
      </c>
      <c r="CH74" s="478">
        <f>WWWW[[#This Row],['#_of water points in TLS/CFS /THF]]*500</f>
        <v>0</v>
      </c>
      <c r="CI7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4" s="599">
        <f>IF(WWWW[[#This Row],[Location Type 1]]="Village",WWWW[[#This Row],[Access to safe drinking water for Village]],WWWW[[#This Row],[Access to safe drinking water for Camp]])</f>
        <v>1</v>
      </c>
      <c r="CL74" s="597">
        <f>WWWW[[#This Row],[%Equitable and continuous access to sufficient quantity of safe drinking water]]*WWWW[[#This Row],[Total PoP ]]</f>
        <v>122</v>
      </c>
      <c r="CM74" s="599">
        <f>IF((WWWW[[#This Row],['#_Constructed/Existing protected/fenced ponds]]*250)/WWWW[[#This Row],[Total PoP ]]&gt;1,1,(WWWW[[#This Row],['#_Constructed/Existing protected/fenced ponds]]*250)/WWWW[[#This Row],[Total PoP ]])</f>
        <v>0</v>
      </c>
      <c r="CN74" s="597">
        <f>WWWW[[#This Row],[% Access to unimproved water points]]*WWWW[[#This Row],[Total PoP ]]</f>
        <v>0</v>
      </c>
      <c r="CO7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v>
      </c>
      <c r="CQ74" s="597">
        <f>WWWW[[#This Row],[HRP1]]/500</f>
        <v>0.24399999999999999</v>
      </c>
      <c r="CR74" s="602">
        <f>1-WWWW[[#This Row],[% Equitable and continuous access to sufficient quantity of domestic water]]</f>
        <v>0</v>
      </c>
      <c r="CS74" s="597">
        <f>WWWW[[#This Row],[%equitable and continuous access to sufficient quantity of safe drinking and domestic water''s GAP]]*WWWW[[#This Row],[Total PoP ]]</f>
        <v>0</v>
      </c>
      <c r="CT74" s="600">
        <f>IF(WWWW[[#This Row],[Total required water points]]-WWWW[[#This Row],['#Water points coverage]]&lt;0,0,WWWW[[#This Row],[Total required water points]]-WWWW[[#This Row],['#Water points coverage]])</f>
        <v>0.75600000000000001</v>
      </c>
      <c r="CU74" s="600">
        <f>ROUND(IF(WWWW[[#This Row],[Total PoP ]]&lt;500,1,WWWW[[#This Row],[Total PoP ]]/500),0)</f>
        <v>1</v>
      </c>
      <c r="CV74" s="600">
        <f>(WWWW[[#This Row],['#_Constructed latrines_by_WASHAgencies]]+WWWW[[#This Row],['#_Non Cluster partner latrines]])-WWWW[[#This Row],['#_Non-functional latrines]]</f>
        <v>6</v>
      </c>
      <c r="CW74" s="70">
        <f>WWWW[[#This Row],[HRP2]]/WWWW[[#This Row],[Total PoP ]]</f>
        <v>0.98360655737704916</v>
      </c>
      <c r="CX7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7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4" s="600">
        <f>IF(WWWW[[#This Row],['# of functional latrines in THF supported by WASH partners during the reporting period2]]="",0,WWWW[[#This Row],['# of functional latrines in THF supported by WASH partners during the reporting period2]]*50)</f>
        <v>0</v>
      </c>
      <c r="DB74" s="600">
        <f>WWWW[[#This Row],['# students access to functioning school latrines_HRP5]]+WWWW[[#This Row],['# People access to functioning latrines in THF_HRP5]]</f>
        <v>0</v>
      </c>
      <c r="DC74" s="600">
        <f>ROUND(IF(WWWW[[#This Row],[Location Type 1]]="camp",WWWW[[#This Row],[Total PoP ]]/20,IF(WWWW[[#This Row],[Location Type 1]]="Temporary Location",WWWW[[#This Row],[Total PoP ]]/50,WWWW[[#This Row],[Total HH]])),0)</f>
        <v>6</v>
      </c>
      <c r="DD74" s="600">
        <f>IF(WWWW[[#This Row],[Total required Latrines]]-(WWWW[[#This Row],['#_Constructed latrines_by_WASHAgencies]]+WWWW[[#This Row],['#_Non Cluster partner latrines]])&lt;0,0,WWWW[[#This Row],[Total required Latrines]]-(WWWW[[#This Row],['#_Constructed latrines_by_WASHAgencies]]+WWWW[[#This Row],['#_Non Cluster partner latrines]]))</f>
        <v>0</v>
      </c>
      <c r="DE74" s="602">
        <f>1-WWWW[[#This Row],[% people access to functioning Latrine]]</f>
        <v>1.6393442622950838E-2</v>
      </c>
      <c r="DF74" s="601">
        <f>IF(OR(WWWW[[#This Row],['#_Non-functional latrines]]="",WWWW[[#This Row],['#_Non-functional latrines]]=0),0,WWWW[[#This Row],['#_Non-functional latrines]]/(WWWW[[#This Row],['#_Constructed latrines_by_WASHAgencies]]+WWWW[[#This Row],['#_Non Cluster partner latrines]]))</f>
        <v>0</v>
      </c>
      <c r="DG74" s="597">
        <f>IF(500*(WWWW[[#This Row],['#_male hygiene promoters]]+WWWW[[#This Row],['#_female hygiene promoters]])&gt;WWWW[[#This Row],[Total PoP ]],WWWW[[#This Row],[Total PoP ]],500*(WWWW[[#This Row],['#_male hygiene promoters]]+WWWW[[#This Row],['#_female hygiene promoters]]))</f>
        <v>122</v>
      </c>
      <c r="DH7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4" s="600">
        <f>IF(WWWW[[#This Row],['# People with access to soap]]&gt;WWWW[[#This Row],['# People with access to Sanity Pads]],WWWW[[#This Row],['# People with access to soap]],WWWW[[#This Row],['# People with access to Sanity Pads]])</f>
        <v>0</v>
      </c>
      <c r="DK74" s="600">
        <f>IF(WWWW[[#This Row],['# people reached by regular dedicated hygiene promotion_5]]&gt;WWWW[[#This Row],['# People received regular supply of hygiene items_6]],WWWW[[#This Row],['# people reached by regular dedicated hygiene promotion_5]],WWWW[[#This Row],['# People received regular supply of hygiene items_6]])</f>
        <v>122</v>
      </c>
      <c r="DL74" s="602">
        <f>IF(WWWW[[#This Row],[HRP3]]/WWWW[[#This Row],[Total PoP ]]&gt;1,1,WWWW[[#This Row],[HRP3]]/WWWW[[#This Row],[Total PoP ]])</f>
        <v>1</v>
      </c>
      <c r="DM74" s="601">
        <f>1-WWWW[[#This Row],[Hygiene Coverage%]]</f>
        <v>0</v>
      </c>
      <c r="DN74" s="599">
        <f>WWWW[[#This Row],['# people reached by regular dedicated hygiene promotion_5]]/WWWW[[#This Row],[Total PoP ]]</f>
        <v>1</v>
      </c>
      <c r="DO7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4" s="600">
        <f>WWWW[[#This Row],['#_Constructed/Existing hand washing stations]]-WWWW[[#This Row],['#_Non-Functional_hand_washing_stations]]</f>
        <v>2</v>
      </c>
      <c r="DR74" s="597">
        <f>IF(WWWW[[#This Row],['# Functional hand washing stations during reporting period]]*20&gt;WWWW[[#This Row],[Total HH]],WWWW[[#This Row],[Total HH]],WWWW[[#This Row],['# Functional hand washing stations during reporting period]]*20)</f>
        <v>22</v>
      </c>
      <c r="DS74" s="597">
        <f>IF(WWWW[[#This Row],[Is sufficient soap available for TLS? (Yes/No)]]="yes",WWWW[[#This Row],['#_Constructed/Existing hand washing stations at TLS]],0)</f>
        <v>0</v>
      </c>
      <c r="DT74" s="479">
        <f>IF(WWWW[[#This Row],['# Functional hand washing stations during reporting period]]*100&gt;WWWW[[#This Row],[Total PoP ]],WWWW[[#This Row],[Total PoP ]],WWWW[[#This Row],['# Functional hand washing stations during reporting period]]*100)</f>
        <v>122</v>
      </c>
      <c r="DU74" s="479" t="str">
        <f>IF(OR(WWWW[[#This Row],['#_students at TLS_CFS]]="",WWWW[[#This Row],['#_students at TLS_CFS]]=0),"No","Yes")</f>
        <v>No</v>
      </c>
      <c r="DV7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4" s="593">
        <f>VLOOKUP(WWWW[[#This Row],[Site Name]],SiteDB6[[Site Name]:[CCCM Management]],6,FALSE)</f>
        <v>0</v>
      </c>
      <c r="DZ74" s="593">
        <f>VLOOKUP(WWWW[[#This Row],[Site Name]],SiteDB6[[Site Name]:[CCCM Focal Agency]],7,FALSE)</f>
        <v>0</v>
      </c>
      <c r="EA74" s="593" t="str">
        <f>VLOOKUP(WWWW[[#This Row],[Site Name]],SiteDB6[[Site Name]:[Location Type 1]],9,FALSE)</f>
        <v>Camp</v>
      </c>
      <c r="EB74" s="593" t="str">
        <f>VLOOKUP(WWWW[[#This Row],[Site Name]],SiteDB6[[Site Name]:[Type of Accommodation]],10,FALSE)</f>
        <v>Camp</v>
      </c>
      <c r="EC74" s="593" t="str">
        <f>VLOOKUP(WWWW[[#This Row],[Site Name]],SiteDB6[[Site Name]:[Ethnic or GCA/NGCA]],11,FALSE)</f>
        <v>GCA</v>
      </c>
      <c r="ED74" s="593">
        <f>VLOOKUP(WWWW[[#This Row],[Site Name]],SiteDB6[[Site Name]:[Lat]],12,FALSE)</f>
        <v>0</v>
      </c>
      <c r="EE74" s="593">
        <f>VLOOKUP(WWWW[[#This Row],[Site Name]],SiteDB6[[Site Name]:[Long]],13,FALSE)</f>
        <v>0</v>
      </c>
      <c r="EF74" s="593">
        <f>VLOOKUP(WWWW[[#This Row],[Site Name]],SiteDB6[[Site Name]:[Pcode]],3,FALSE)</f>
        <v>0</v>
      </c>
      <c r="EG74" s="598" t="str">
        <f t="shared" si="1"/>
        <v>Covered</v>
      </c>
      <c r="EH74" s="598">
        <f>VLOOKUP(WWWW[[#This Row],[Site Name]],Site_DB!$C$389:$D$1120,2,FALSE)</f>
        <v>0</v>
      </c>
    </row>
    <row r="75" spans="1:138" hidden="1">
      <c r="A75" s="591" t="s">
        <v>3261</v>
      </c>
      <c r="B75" s="591" t="s">
        <v>38</v>
      </c>
      <c r="C75" s="592" t="s">
        <v>38</v>
      </c>
      <c r="D75" s="592" t="s">
        <v>717</v>
      </c>
      <c r="E75" s="592" t="s">
        <v>39</v>
      </c>
      <c r="F75" s="592" t="s">
        <v>160</v>
      </c>
      <c r="G75" s="721" t="str">
        <f>VLOOKUP(WWWW[[#This Row],[Site Name]],SiteDB6[[Site Name]:[Location Type]],8,FALSE)</f>
        <v>Camp</v>
      </c>
      <c r="H75" s="592" t="s">
        <v>242</v>
      </c>
      <c r="I75" s="594">
        <v>11</v>
      </c>
      <c r="J75" s="594">
        <v>52</v>
      </c>
      <c r="K75" s="595">
        <v>43466</v>
      </c>
      <c r="L75" s="596" t="s">
        <v>2818</v>
      </c>
      <c r="M75" s="594"/>
      <c r="N75" s="594"/>
      <c r="O75" s="594"/>
      <c r="P75" s="594"/>
      <c r="Q75" s="597" t="s">
        <v>43</v>
      </c>
      <c r="R75" s="594"/>
      <c r="S75" s="594">
        <v>1</v>
      </c>
      <c r="T75" s="523">
        <v>1</v>
      </c>
      <c r="U75" s="594"/>
      <c r="V75" s="594"/>
      <c r="W75" s="594"/>
      <c r="X75" s="594"/>
      <c r="Y75" s="594"/>
      <c r="Z75" s="594"/>
      <c r="AA75" s="594"/>
      <c r="AB75" s="594"/>
      <c r="AC75" s="594"/>
      <c r="AD75" s="594"/>
      <c r="AE75" s="594"/>
      <c r="AF75" s="594"/>
      <c r="AG75" s="594"/>
      <c r="AH75" s="594"/>
      <c r="AI75" s="594"/>
      <c r="AJ75" s="594"/>
      <c r="AK75" s="594"/>
      <c r="AL75" s="594"/>
      <c r="AM75" s="594"/>
      <c r="AN75" s="594"/>
      <c r="AO75" s="598"/>
      <c r="AP75" s="594">
        <v>7</v>
      </c>
      <c r="AQ75" s="594"/>
      <c r="AR75" s="599"/>
      <c r="AS75" s="594"/>
      <c r="AT75" s="594"/>
      <c r="AU75" s="594"/>
      <c r="AV75" s="594"/>
      <c r="AW75" s="594"/>
      <c r="AX75" s="593" t="s">
        <v>43</v>
      </c>
      <c r="AY75" s="598" t="s">
        <v>140</v>
      </c>
      <c r="AZ75" s="594"/>
      <c r="BA75" s="594"/>
      <c r="BB75" s="594"/>
      <c r="BC75" s="594"/>
      <c r="BD75" s="523"/>
      <c r="BE75" s="593"/>
      <c r="BF75" s="594"/>
      <c r="BG75" s="594"/>
      <c r="BH75" s="594"/>
      <c r="BI75" s="594">
        <v>2</v>
      </c>
      <c r="BJ75" s="594"/>
      <c r="BK75" s="594"/>
      <c r="BL75" s="594">
        <v>1</v>
      </c>
      <c r="BM75" s="594"/>
      <c r="BN75" s="594"/>
      <c r="BO75" s="593"/>
      <c r="BP75" s="594"/>
      <c r="BQ75" s="599"/>
      <c r="BR75" s="593"/>
      <c r="BS75" s="472">
        <v>0.7</v>
      </c>
      <c r="BT75" s="472">
        <v>0.65</v>
      </c>
      <c r="BU75" s="523">
        <v>4</v>
      </c>
      <c r="BV75" s="472">
        <v>0.7</v>
      </c>
      <c r="BW75" s="523"/>
      <c r="BX75" s="523"/>
      <c r="BY75" s="523"/>
      <c r="BZ75" s="601" t="str">
        <f>IFERROR(WWWW[[#This Row],['#_Water sources passed]]/WWWW[[#This Row],['#_Water sources tested for fecal coliform ]],"no test")</f>
        <v>no test</v>
      </c>
      <c r="CA75" s="599" t="str">
        <f>IFERROR(WWWW[[#This Row],['#_Household passed]]/WWWW[[#This Row],['#_Household water samples tested for fecal coliform]],"no test")</f>
        <v>no test</v>
      </c>
      <c r="CB75" s="600" t="str">
        <f>IF(AND(WWWW[[#This Row],[% of water sources passed]]="no test",WWWW[[#This Row],[% Household passed]]="no test"),"No Test","Tested")</f>
        <v>No Test</v>
      </c>
      <c r="CC75" s="600">
        <f>WWWW[[#This Row],['#_Constructed/existing protected hand dug well]]-WWWW[[#This Row],['#_Non-functional protected hand dug well]]</f>
        <v>1</v>
      </c>
      <c r="CD75" s="600">
        <f>(WWWW[[#This Row],['#_Constructed/Existing tube wells/boreholes/handpumps_WASH_agency]]+WWWW[[#This Row],['#_Non-Cluster partner water tube-wells/boreholes/handpumps]])-WWWW[[#This Row],['#_Non-functional tube wells/boreholes/handpumps]]</f>
        <v>0</v>
      </c>
      <c r="CE75" s="600">
        <f>WWWW[[#This Row],['#_Constructed/Existingwater storage tank with gravity fed reticulation system]]-WWWW[[#This Row],['#_Non-functional storage tank gravity fed reticulation system]]</f>
        <v>0</v>
      </c>
      <c r="CF75" s="478">
        <f>(WWWW[[#This Row],['#_Water_Liters_supplied_by_Water boating or water trucking]]/90)/15</f>
        <v>0</v>
      </c>
      <c r="CG75" s="478">
        <f>WWWW[[#This Row],['#_Water_Liters_from_Constructed/Existing water distribution system from river or natural spring]]/90/15</f>
        <v>0</v>
      </c>
      <c r="CH75" s="478">
        <f>WWWW[[#This Row],['#_of water points in TLS/CFS /THF]]*500</f>
        <v>0</v>
      </c>
      <c r="CI7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5" s="599">
        <f>IF(WWWW[[#This Row],[Location Type 1]]="Village",WWWW[[#This Row],[Access to safe drinking water for Village]],WWWW[[#This Row],[Access to safe drinking water for Camp]])</f>
        <v>1</v>
      </c>
      <c r="CL75" s="597">
        <f>WWWW[[#This Row],[%Equitable and continuous access to sufficient quantity of safe drinking water]]*WWWW[[#This Row],[Total PoP ]]</f>
        <v>52</v>
      </c>
      <c r="CM75" s="599">
        <f>IF((WWWW[[#This Row],['#_Constructed/Existing protected/fenced ponds]]*250)/WWWW[[#This Row],[Total PoP ]]&gt;1,1,(WWWW[[#This Row],['#_Constructed/Existing protected/fenced ponds]]*250)/WWWW[[#This Row],[Total PoP ]])</f>
        <v>0</v>
      </c>
      <c r="CN75" s="597">
        <f>WWWW[[#This Row],[% Access to unimproved water points]]*WWWW[[#This Row],[Total PoP ]]</f>
        <v>0</v>
      </c>
      <c r="CO7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Q75" s="597">
        <f>WWWW[[#This Row],[HRP1]]/500</f>
        <v>0.104</v>
      </c>
      <c r="CR75" s="602">
        <f>1-WWWW[[#This Row],[% Equitable and continuous access to sufficient quantity of domestic water]]</f>
        <v>0</v>
      </c>
      <c r="CS75" s="597">
        <f>WWWW[[#This Row],[%equitable and continuous access to sufficient quantity of safe drinking and domestic water''s GAP]]*WWWW[[#This Row],[Total PoP ]]</f>
        <v>0</v>
      </c>
      <c r="CT75" s="600">
        <f>IF(WWWW[[#This Row],[Total required water points]]-WWWW[[#This Row],['#Water points coverage]]&lt;0,0,WWWW[[#This Row],[Total required water points]]-WWWW[[#This Row],['#Water points coverage]])</f>
        <v>0.89600000000000002</v>
      </c>
      <c r="CU75" s="600">
        <f>ROUND(IF(WWWW[[#This Row],[Total PoP ]]&lt;500,1,WWWW[[#This Row],[Total PoP ]]/500),0)</f>
        <v>1</v>
      </c>
      <c r="CV75" s="600">
        <f>(WWWW[[#This Row],['#_Constructed latrines_by_WASHAgencies]]+WWWW[[#This Row],['#_Non Cluster partner latrines]])-WWWW[[#This Row],['#_Non-functional latrines]]</f>
        <v>7</v>
      </c>
      <c r="CW75" s="70">
        <f>WWWW[[#This Row],[HRP2]]/WWWW[[#This Row],[Total PoP ]]</f>
        <v>1</v>
      </c>
      <c r="CX7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CY7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5" s="600">
        <f>IF(WWWW[[#This Row],['# of functional latrines in THF supported by WASH partners during the reporting period2]]="",0,WWWW[[#This Row],['# of functional latrines in THF supported by WASH partners during the reporting period2]]*50)</f>
        <v>0</v>
      </c>
      <c r="DB75" s="600">
        <f>WWWW[[#This Row],['# students access to functioning school latrines_HRP5]]+WWWW[[#This Row],['# People access to functioning latrines in THF_HRP5]]</f>
        <v>0</v>
      </c>
      <c r="DC75" s="600">
        <f>ROUND(IF(WWWW[[#This Row],[Location Type 1]]="camp",WWWW[[#This Row],[Total PoP ]]/20,IF(WWWW[[#This Row],[Location Type 1]]="Temporary Location",WWWW[[#This Row],[Total PoP ]]/50,WWWW[[#This Row],[Total HH]])),0)</f>
        <v>3</v>
      </c>
      <c r="DD75" s="600">
        <f>IF(WWWW[[#This Row],[Total required Latrines]]-(WWWW[[#This Row],['#_Constructed latrines_by_WASHAgencies]]+WWWW[[#This Row],['#_Non Cluster partner latrines]])&lt;0,0,WWWW[[#This Row],[Total required Latrines]]-(WWWW[[#This Row],['#_Constructed latrines_by_WASHAgencies]]+WWWW[[#This Row],['#_Non Cluster partner latrines]]))</f>
        <v>0</v>
      </c>
      <c r="DE75" s="602">
        <f>1-WWWW[[#This Row],[% people access to functioning Latrine]]</f>
        <v>0</v>
      </c>
      <c r="DF75" s="601">
        <f>IF(OR(WWWW[[#This Row],['#_Non-functional latrines]]="",WWWW[[#This Row],['#_Non-functional latrines]]=0),0,WWWW[[#This Row],['#_Non-functional latrines]]/(WWWW[[#This Row],['#_Constructed latrines_by_WASHAgencies]]+WWWW[[#This Row],['#_Non Cluster partner latrines]]))</f>
        <v>0</v>
      </c>
      <c r="DG75" s="597">
        <f>IF(500*(WWWW[[#This Row],['#_male hygiene promoters]]+WWWW[[#This Row],['#_female hygiene promoters]])&gt;WWWW[[#This Row],[Total PoP ]],WWWW[[#This Row],[Total PoP ]],500*(WWWW[[#This Row],['#_male hygiene promoters]]+WWWW[[#This Row],['#_female hygiene promoters]]))</f>
        <v>52</v>
      </c>
      <c r="DH7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5" s="600">
        <f>IF(WWWW[[#This Row],['# People with access to soap]]&gt;WWWW[[#This Row],['# People with access to Sanity Pads]],WWWW[[#This Row],['# People with access to soap]],WWWW[[#This Row],['# People with access to Sanity Pads]])</f>
        <v>0</v>
      </c>
      <c r="DK75" s="600">
        <f>IF(WWWW[[#This Row],['# people reached by regular dedicated hygiene promotion_5]]&gt;WWWW[[#This Row],['# People received regular supply of hygiene items_6]],WWWW[[#This Row],['# people reached by regular dedicated hygiene promotion_5]],WWWW[[#This Row],['# People received regular supply of hygiene items_6]])</f>
        <v>52</v>
      </c>
      <c r="DL75" s="602">
        <f>IF(WWWW[[#This Row],[HRP3]]/WWWW[[#This Row],[Total PoP ]]&gt;1,1,WWWW[[#This Row],[HRP3]]/WWWW[[#This Row],[Total PoP ]])</f>
        <v>1</v>
      </c>
      <c r="DM75" s="601">
        <f>1-WWWW[[#This Row],[Hygiene Coverage%]]</f>
        <v>0</v>
      </c>
      <c r="DN75" s="599">
        <f>WWWW[[#This Row],['# people reached by regular dedicated hygiene promotion_5]]/WWWW[[#This Row],[Total PoP ]]</f>
        <v>1</v>
      </c>
      <c r="DO7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5" s="600">
        <f>WWWW[[#This Row],['#_Constructed/Existing hand washing stations]]-WWWW[[#This Row],['#_Non-Functional_hand_washing_stations]]</f>
        <v>0</v>
      </c>
      <c r="DR75" s="597">
        <f>IF(WWWW[[#This Row],['# Functional hand washing stations during reporting period]]*20&gt;WWWW[[#This Row],[Total HH]],WWWW[[#This Row],[Total HH]],WWWW[[#This Row],['# Functional hand washing stations during reporting period]]*20)</f>
        <v>0</v>
      </c>
      <c r="DS75" s="597">
        <f>IF(WWWW[[#This Row],[Is sufficient soap available for TLS? (Yes/No)]]="yes",WWWW[[#This Row],['#_Constructed/Existing hand washing stations at TLS]],0)</f>
        <v>0</v>
      </c>
      <c r="DT75" s="479">
        <f>IF(WWWW[[#This Row],['# Functional hand washing stations during reporting period]]*100&gt;WWWW[[#This Row],[Total PoP ]],WWWW[[#This Row],[Total PoP ]],WWWW[[#This Row],['# Functional hand washing stations during reporting period]]*100)</f>
        <v>0</v>
      </c>
      <c r="DU75" s="479" t="str">
        <f>IF(OR(WWWW[[#This Row],['#_students at TLS_CFS]]="",WWWW[[#This Row],['#_students at TLS_CFS]]=0),"No","Yes")</f>
        <v>No</v>
      </c>
      <c r="DV75" s="472">
        <f>IF(WWWW[[#This Row],['#_of_affected_people_surveyed_who_report_feeling_informed_about_the_different_WASH_services_available_to_them]]="","",WWWW[[#This Row],['#_of_affected_people_surveyed_who_report_feeling_informed_about_the_different_WASH_services_available_to_them]]/WWWW[[#This Row],[Total PoP ]])</f>
        <v>7.6923076923076927E-2</v>
      </c>
      <c r="DW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5" s="593" t="str">
        <f>VLOOKUP(WWWW[[#This Row],[Site Name]],SiteDB6[[Site Name]:[CCCM Management]],6,FALSE)</f>
        <v>Yes</v>
      </c>
      <c r="DZ75" s="593" t="str">
        <f>VLOOKUP(WWWW[[#This Row],[Site Name]],SiteDB6[[Site Name]:[CCCM Focal Agency]],7,FALSE)</f>
        <v>KMSS-MYT</v>
      </c>
      <c r="EA75" s="593" t="str">
        <f>VLOOKUP(WWWW[[#This Row],[Site Name]],SiteDB6[[Site Name]:[Location Type 1]],9,FALSE)</f>
        <v>Camp</v>
      </c>
      <c r="EB75" s="593" t="str">
        <f>VLOOKUP(WWWW[[#This Row],[Site Name]],SiteDB6[[Site Name]:[Type of Accommodation]],10,FALSE)</f>
        <v>Camp</v>
      </c>
      <c r="EC75" s="593" t="str">
        <f>VLOOKUP(WWWW[[#This Row],[Site Name]],SiteDB6[[Site Name]:[Ethnic or GCA/NGCA]],11,FALSE)</f>
        <v>GCA</v>
      </c>
      <c r="ED75" s="593">
        <f>VLOOKUP(WWWW[[#This Row],[Site Name]],SiteDB6[[Site Name]:[Lat]],12,FALSE)</f>
        <v>24.764800000000001</v>
      </c>
      <c r="EE75" s="593">
        <f>VLOOKUP(WWWW[[#This Row],[Site Name]],SiteDB6[[Site Name]:[Long]],13,FALSE)</f>
        <v>96.367059999999995</v>
      </c>
      <c r="EF75" s="593" t="str">
        <f>VLOOKUP(WWWW[[#This Row],[Site Name]],SiteDB6[[Site Name]:[Pcode]],3,FALSE)</f>
        <v>MMR001CMP080</v>
      </c>
      <c r="EG75" s="598" t="str">
        <f t="shared" si="1"/>
        <v>Covered</v>
      </c>
      <c r="EH75" s="598" t="str">
        <f>VLOOKUP(WWWW[[#This Row],[Site Name]],SiteDB6[[Site Name]:[open in cccm?]],2,FALSE)</f>
        <v>cccm_2019OCT</v>
      </c>
    </row>
    <row r="76" spans="1:138" hidden="1">
      <c r="A76" s="591" t="s">
        <v>3261</v>
      </c>
      <c r="B76" s="591" t="s">
        <v>195</v>
      </c>
      <c r="C76" s="592" t="s">
        <v>195</v>
      </c>
      <c r="D76" s="592" t="s">
        <v>3092</v>
      </c>
      <c r="E76" s="592" t="s">
        <v>39</v>
      </c>
      <c r="F76" s="592" t="s">
        <v>208</v>
      </c>
      <c r="G76" s="721" t="str">
        <f>VLOOKUP(WWWW[[#This Row],[Site Name]],SiteDB6[[Site Name]:[Location Type]],8,FALSE)</f>
        <v>Camp_not registered</v>
      </c>
      <c r="H76" s="592" t="s">
        <v>209</v>
      </c>
      <c r="I76" s="594">
        <v>141</v>
      </c>
      <c r="J76" s="594">
        <v>665</v>
      </c>
      <c r="K76" s="595">
        <v>43466</v>
      </c>
      <c r="L76" s="596">
        <v>43830</v>
      </c>
      <c r="M76" s="594"/>
      <c r="N76" s="594"/>
      <c r="O76" s="594"/>
      <c r="P76" s="594"/>
      <c r="Q76" s="597" t="s">
        <v>43</v>
      </c>
      <c r="R76" s="594">
        <v>2</v>
      </c>
      <c r="S76" s="594"/>
      <c r="T76" s="523">
        <v>1</v>
      </c>
      <c r="U76" s="594"/>
      <c r="V76" s="594"/>
      <c r="W76" s="594">
        <v>1</v>
      </c>
      <c r="X76" s="594">
        <v>1</v>
      </c>
      <c r="Y76" s="594"/>
      <c r="Z76" s="594"/>
      <c r="AA76" s="594"/>
      <c r="AB76" s="594"/>
      <c r="AC76" s="594"/>
      <c r="AD76" s="594"/>
      <c r="AE76" s="594"/>
      <c r="AF76" s="594"/>
      <c r="AG76" s="594"/>
      <c r="AH76" s="594"/>
      <c r="AI76" s="594"/>
      <c r="AJ76" s="594"/>
      <c r="AK76" s="594"/>
      <c r="AL76" s="594"/>
      <c r="AM76" s="594"/>
      <c r="AN76" s="594"/>
      <c r="AO76" s="598"/>
      <c r="AP76" s="594">
        <v>28</v>
      </c>
      <c r="AQ76" s="594"/>
      <c r="AR76" s="599"/>
      <c r="AS76" s="594"/>
      <c r="AT76" s="594"/>
      <c r="AU76" s="594">
        <v>6</v>
      </c>
      <c r="AV76" s="594"/>
      <c r="AW76" s="594"/>
      <c r="AX76" s="593" t="s">
        <v>43</v>
      </c>
      <c r="AY76" s="598" t="s">
        <v>140</v>
      </c>
      <c r="AZ76" s="594"/>
      <c r="BA76" s="594"/>
      <c r="BB76" s="594"/>
      <c r="BC76" s="594"/>
      <c r="BD76" s="523"/>
      <c r="BE76" s="593"/>
      <c r="BF76" s="594">
        <v>10</v>
      </c>
      <c r="BG76" s="594"/>
      <c r="BH76" s="594"/>
      <c r="BI76" s="594">
        <v>3</v>
      </c>
      <c r="BJ76" s="594"/>
      <c r="BK76" s="594"/>
      <c r="BL76" s="594"/>
      <c r="BM76" s="594"/>
      <c r="BN76" s="594"/>
      <c r="BO76" s="593"/>
      <c r="BP76" s="594"/>
      <c r="BQ76" s="599"/>
      <c r="BR76" s="593"/>
      <c r="BS76" s="472"/>
      <c r="BT76" s="472"/>
      <c r="BU76" s="523"/>
      <c r="BV76" s="472"/>
      <c r="BW76" s="523"/>
      <c r="BX76" s="523"/>
      <c r="BY76" s="523"/>
      <c r="BZ76" s="601" t="str">
        <f>IFERROR(WWWW[[#This Row],['#_Water sources passed]]/WWWW[[#This Row],['#_Water sources tested for fecal coliform ]],"no test")</f>
        <v>no test</v>
      </c>
      <c r="CA76" s="599" t="str">
        <f>IFERROR(WWWW[[#This Row],['#_Household passed]]/WWWW[[#This Row],['#_Household water samples tested for fecal coliform]],"no test")</f>
        <v>no test</v>
      </c>
      <c r="CB76" s="600" t="str">
        <f>IF(AND(WWWW[[#This Row],[% of water sources passed]]="no test",WWWW[[#This Row],[% Household passed]]="no test"),"No Test","Tested")</f>
        <v>No Test</v>
      </c>
      <c r="CC76" s="600">
        <f>WWWW[[#This Row],['#_Constructed/existing protected hand dug well]]-WWWW[[#This Row],['#_Non-functional protected hand dug well]]</f>
        <v>1</v>
      </c>
      <c r="CD76" s="600">
        <f>(WWWW[[#This Row],['#_Constructed/Existing tube wells/boreholes/handpumps_WASH_agency]]+WWWW[[#This Row],['#_Non-Cluster partner water tube-wells/boreholes/handpumps]])-WWWW[[#This Row],['#_Non-functional tube wells/boreholes/handpumps]]</f>
        <v>2</v>
      </c>
      <c r="CE76" s="600">
        <f>WWWW[[#This Row],['#_Constructed/Existingwater storage tank with gravity fed reticulation system]]-WWWW[[#This Row],['#_Non-functional storage tank gravity fed reticulation system]]</f>
        <v>0</v>
      </c>
      <c r="CF76" s="478">
        <f>(WWWW[[#This Row],['#_Water_Liters_supplied_by_Water boating or water trucking]]/90)/15</f>
        <v>0</v>
      </c>
      <c r="CG76" s="478">
        <f>WWWW[[#This Row],['#_Water_Liters_from_Constructed/Existing water distribution system from river or natural spring]]/90/15</f>
        <v>0</v>
      </c>
      <c r="CH76" s="478">
        <f>WWWW[[#This Row],['#_of water points in TLS/CFS /THF]]*500</f>
        <v>0</v>
      </c>
      <c r="CI7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6" s="599">
        <f>IF(WWWW[[#This Row],[Location Type 1]]="Village",WWWW[[#This Row],[Access to safe drinking water for Village]],WWWW[[#This Row],[Access to safe drinking water for Camp]])</f>
        <v>1</v>
      </c>
      <c r="CL76" s="597">
        <f>WWWW[[#This Row],[%Equitable and continuous access to sufficient quantity of safe drinking water]]*WWWW[[#This Row],[Total PoP ]]</f>
        <v>665</v>
      </c>
      <c r="CM76" s="599">
        <f>IF((WWWW[[#This Row],['#_Constructed/Existing protected/fenced ponds]]*250)/WWWW[[#This Row],[Total PoP ]]&gt;1,1,(WWWW[[#This Row],['#_Constructed/Existing protected/fenced ponds]]*250)/WWWW[[#This Row],[Total PoP ]])</f>
        <v>0</v>
      </c>
      <c r="CN76" s="597">
        <f>WWWW[[#This Row],[% Access to unimproved water points]]*WWWW[[#This Row],[Total PoP ]]</f>
        <v>0</v>
      </c>
      <c r="CO7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CQ76" s="597">
        <f>WWWW[[#This Row],[HRP1]]/500</f>
        <v>1.33</v>
      </c>
      <c r="CR76" s="602">
        <f>1-WWWW[[#This Row],[% Equitable and continuous access to sufficient quantity of domestic water]]</f>
        <v>0</v>
      </c>
      <c r="CS76" s="597">
        <f>WWWW[[#This Row],[%equitable and continuous access to sufficient quantity of safe drinking and domestic water''s GAP]]*WWWW[[#This Row],[Total PoP ]]</f>
        <v>0</v>
      </c>
      <c r="CT76" s="600">
        <f>IF(WWWW[[#This Row],[Total required water points]]-WWWW[[#This Row],['#Water points coverage]]&lt;0,0,WWWW[[#This Row],[Total required water points]]-WWWW[[#This Row],['#Water points coverage]])</f>
        <v>0</v>
      </c>
      <c r="CU76" s="600">
        <f>ROUND(IF(WWWW[[#This Row],[Total PoP ]]&lt;500,1,WWWW[[#This Row],[Total PoP ]]/500),0)</f>
        <v>1</v>
      </c>
      <c r="CV76" s="600">
        <f>(WWWW[[#This Row],['#_Constructed latrines_by_WASHAgencies]]+WWWW[[#This Row],['#_Non Cluster partner latrines]])-WWWW[[#This Row],['#_Non-functional latrines]]</f>
        <v>28</v>
      </c>
      <c r="CW76" s="70">
        <f>WWWW[[#This Row],[HRP2]]/WWWW[[#This Row],[Total PoP ]]</f>
        <v>0.84210526315789469</v>
      </c>
      <c r="CX7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7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7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6" s="600">
        <f>IF(WWWW[[#This Row],['# of functional latrines in THF supported by WASH partners during the reporting period2]]="",0,WWWW[[#This Row],['# of functional latrines in THF supported by WASH partners during the reporting period2]]*50)</f>
        <v>0</v>
      </c>
      <c r="DB76" s="600">
        <f>WWWW[[#This Row],['# students access to functioning school latrines_HRP5]]+WWWW[[#This Row],['# People access to functioning latrines in THF_HRP5]]</f>
        <v>0</v>
      </c>
      <c r="DC76" s="600">
        <f>ROUND(IF(WWWW[[#This Row],[Location Type 1]]="camp",WWWW[[#This Row],[Total PoP ]]/20,IF(WWWW[[#This Row],[Location Type 1]]="Temporary Location",WWWW[[#This Row],[Total PoP ]]/50,WWWW[[#This Row],[Total HH]])),0)</f>
        <v>33</v>
      </c>
      <c r="DD76" s="600">
        <f>IF(WWWW[[#This Row],[Total required Latrines]]-(WWWW[[#This Row],['#_Constructed latrines_by_WASHAgencies]]+WWWW[[#This Row],['#_Non Cluster partner latrines]])&lt;0,0,WWWW[[#This Row],[Total required Latrines]]-(WWWW[[#This Row],['#_Constructed latrines_by_WASHAgencies]]+WWWW[[#This Row],['#_Non Cluster partner latrines]]))</f>
        <v>5</v>
      </c>
      <c r="DE76" s="602">
        <f>1-WWWW[[#This Row],[% people access to functioning Latrine]]</f>
        <v>0.15789473684210531</v>
      </c>
      <c r="DF76" s="601">
        <f>IF(OR(WWWW[[#This Row],['#_Non-functional latrines]]="",WWWW[[#This Row],['#_Non-functional latrines]]=0),0,WWWW[[#This Row],['#_Non-functional latrines]]/(WWWW[[#This Row],['#_Constructed latrines_by_WASHAgencies]]+WWWW[[#This Row],['#_Non Cluster partner latrines]]))</f>
        <v>0</v>
      </c>
      <c r="DG76" s="597">
        <f>IF(500*(WWWW[[#This Row],['#_male hygiene promoters]]+WWWW[[#This Row],['#_female hygiene promoters]])&gt;WWWW[[#This Row],[Total PoP ]],WWWW[[#This Row],[Total PoP ]],500*(WWWW[[#This Row],['#_male hygiene promoters]]+WWWW[[#This Row],['#_female hygiene promoters]]))</f>
        <v>0</v>
      </c>
      <c r="DH7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6" s="600">
        <f>IF(WWWW[[#This Row],['# People with access to soap]]&gt;WWWW[[#This Row],['# People with access to Sanity Pads]],WWWW[[#This Row],['# People with access to soap]],WWWW[[#This Row],['# People with access to Sanity Pads]])</f>
        <v>0</v>
      </c>
      <c r="DK7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6" s="602">
        <f>IF(WWWW[[#This Row],[HRP3]]/WWWW[[#This Row],[Total PoP ]]&gt;1,1,WWWW[[#This Row],[HRP3]]/WWWW[[#This Row],[Total PoP ]])</f>
        <v>0</v>
      </c>
      <c r="DM76" s="601">
        <f>1-WWWW[[#This Row],[Hygiene Coverage%]]</f>
        <v>1</v>
      </c>
      <c r="DN76" s="599">
        <f>WWWW[[#This Row],['# people reached by regular dedicated hygiene promotion_5]]/WWWW[[#This Row],[Total PoP ]]</f>
        <v>0</v>
      </c>
      <c r="DO7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6" s="600">
        <f>WWWW[[#This Row],['#_Constructed/Existing hand washing stations]]-WWWW[[#This Row],['#_Non-Functional_hand_washing_stations]]</f>
        <v>10</v>
      </c>
      <c r="DR76" s="597">
        <f>IF(WWWW[[#This Row],['# Functional hand washing stations during reporting period]]*20&gt;WWWW[[#This Row],[Total HH]],WWWW[[#This Row],[Total HH]],WWWW[[#This Row],['# Functional hand washing stations during reporting period]]*20)</f>
        <v>141</v>
      </c>
      <c r="DS76" s="597">
        <f>IF(WWWW[[#This Row],[Is sufficient soap available for TLS? (Yes/No)]]="yes",WWWW[[#This Row],['#_Constructed/Existing hand washing stations at TLS]],0)</f>
        <v>0</v>
      </c>
      <c r="DT76" s="479">
        <f>IF(WWWW[[#This Row],['# Functional hand washing stations during reporting period]]*100&gt;WWWW[[#This Row],[Total PoP ]],WWWW[[#This Row],[Total PoP ]],WWWW[[#This Row],['# Functional hand washing stations during reporting period]]*100)</f>
        <v>665</v>
      </c>
      <c r="DU76" s="479" t="str">
        <f>IF(OR(WWWW[[#This Row],['#_students at TLS_CFS]]="",WWWW[[#This Row],['#_students at TLS_CFS]]=0),"No","Yes")</f>
        <v>No</v>
      </c>
      <c r="DV7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6" s="593">
        <f>VLOOKUP(WWWW[[#This Row],[Site Name]],SiteDB6[[Site Name]:[CCCM Management]],6,FALSE)</f>
        <v>0</v>
      </c>
      <c r="DZ76" s="593">
        <f>VLOOKUP(WWWW[[#This Row],[Site Name]],SiteDB6[[Site Name]:[CCCM Focal Agency]],7,FALSE)</f>
        <v>0</v>
      </c>
      <c r="EA76" s="593" t="str">
        <f>VLOOKUP(WWWW[[#This Row],[Site Name]],SiteDB6[[Site Name]:[Location Type 1]],9,FALSE)</f>
        <v>Camp</v>
      </c>
      <c r="EB76" s="593" t="str">
        <f>VLOOKUP(WWWW[[#This Row],[Site Name]],SiteDB6[[Site Name]:[Type of Accommodation]],10,FALSE)</f>
        <v>Camp</v>
      </c>
      <c r="EC76" s="593" t="str">
        <f>VLOOKUP(WWWW[[#This Row],[Site Name]],SiteDB6[[Site Name]:[Ethnic or GCA/NGCA]],11,FALSE)</f>
        <v>GCA</v>
      </c>
      <c r="ED76" s="593">
        <f>VLOOKUP(WWWW[[#This Row],[Site Name]],SiteDB6[[Site Name]:[Lat]],12,FALSE)</f>
        <v>0</v>
      </c>
      <c r="EE76" s="593">
        <f>VLOOKUP(WWWW[[#This Row],[Site Name]],SiteDB6[[Site Name]:[Long]],13,FALSE)</f>
        <v>0</v>
      </c>
      <c r="EF76" s="593">
        <f>VLOOKUP(WWWW[[#This Row],[Site Name]],SiteDB6[[Site Name]:[Pcode]],3,FALSE)</f>
        <v>0</v>
      </c>
      <c r="EG76" s="598" t="str">
        <f t="shared" si="1"/>
        <v>Covered</v>
      </c>
      <c r="EH76" s="598">
        <f>VLOOKUP(WWWW[[#This Row],[Site Name]],Site_DB!$C$389:$D$1120,2,FALSE)</f>
        <v>0</v>
      </c>
    </row>
    <row r="77" spans="1:138" hidden="1">
      <c r="A77" s="591" t="s">
        <v>3261</v>
      </c>
      <c r="B77" s="591" t="s">
        <v>195</v>
      </c>
      <c r="C77" s="592" t="s">
        <v>195</v>
      </c>
      <c r="D77" s="592" t="s">
        <v>3092</v>
      </c>
      <c r="E77" s="592" t="s">
        <v>39</v>
      </c>
      <c r="F77" s="592" t="s">
        <v>198</v>
      </c>
      <c r="G77" s="721" t="str">
        <f>VLOOKUP(WWWW[[#This Row],[Site Name]],SiteDB6[[Site Name]:[Location Type]],8,FALSE)</f>
        <v>Camp</v>
      </c>
      <c r="H77" s="592" t="s">
        <v>199</v>
      </c>
      <c r="I77" s="594">
        <v>11</v>
      </c>
      <c r="J77" s="594">
        <v>55</v>
      </c>
      <c r="K77" s="595">
        <v>43466</v>
      </c>
      <c r="L77" s="596">
        <v>43830</v>
      </c>
      <c r="M77" s="594"/>
      <c r="N77" s="594"/>
      <c r="O77" s="594"/>
      <c r="P77" s="594"/>
      <c r="Q77" s="597" t="s">
        <v>139</v>
      </c>
      <c r="R77" s="594"/>
      <c r="S77" s="594">
        <v>4</v>
      </c>
      <c r="T77" s="523"/>
      <c r="U77" s="594"/>
      <c r="V77" s="594"/>
      <c r="W77" s="594"/>
      <c r="X77" s="594">
        <v>1</v>
      </c>
      <c r="Y77" s="594"/>
      <c r="Z77" s="594"/>
      <c r="AA77" s="594"/>
      <c r="AB77" s="594"/>
      <c r="AC77" s="594"/>
      <c r="AD77" s="594"/>
      <c r="AE77" s="594"/>
      <c r="AF77" s="594"/>
      <c r="AG77" s="594"/>
      <c r="AH77" s="594"/>
      <c r="AI77" s="594"/>
      <c r="AJ77" s="594"/>
      <c r="AK77" s="594"/>
      <c r="AL77" s="594"/>
      <c r="AM77" s="594"/>
      <c r="AN77" s="594"/>
      <c r="AO77" s="598"/>
      <c r="AP77" s="594">
        <v>2</v>
      </c>
      <c r="AQ77" s="594"/>
      <c r="AR77" s="599"/>
      <c r="AS77" s="594"/>
      <c r="AT77" s="594"/>
      <c r="AU77" s="594"/>
      <c r="AV77" s="594"/>
      <c r="AW77" s="594"/>
      <c r="AX77" s="593" t="s">
        <v>43</v>
      </c>
      <c r="AY77" s="598" t="s">
        <v>143</v>
      </c>
      <c r="AZ77" s="594"/>
      <c r="BA77" s="594"/>
      <c r="BB77" s="594"/>
      <c r="BC77" s="594"/>
      <c r="BD77" s="523"/>
      <c r="BE77" s="593"/>
      <c r="BF77" s="594">
        <v>1</v>
      </c>
      <c r="BG77" s="594"/>
      <c r="BH77" s="594"/>
      <c r="BI77" s="594">
        <v>1</v>
      </c>
      <c r="BJ77" s="594"/>
      <c r="BK77" s="594"/>
      <c r="BL77" s="594"/>
      <c r="BM77" s="594"/>
      <c r="BN77" s="594"/>
      <c r="BO77" s="593"/>
      <c r="BP77" s="594"/>
      <c r="BQ77" s="599"/>
      <c r="BR77" s="593"/>
      <c r="BS77" s="472"/>
      <c r="BT77" s="472"/>
      <c r="BU77" s="523"/>
      <c r="BV77" s="472"/>
      <c r="BW77" s="523"/>
      <c r="BX77" s="523"/>
      <c r="BY77" s="523"/>
      <c r="BZ77" s="601" t="str">
        <f>IFERROR(WWWW[[#This Row],['#_Water sources passed]]/WWWW[[#This Row],['#_Water sources tested for fecal coliform ]],"no test")</f>
        <v>no test</v>
      </c>
      <c r="CA77" s="599" t="str">
        <f>IFERROR(WWWW[[#This Row],['#_Household passed]]/WWWW[[#This Row],['#_Household water samples tested for fecal coliform]],"no test")</f>
        <v>no test</v>
      </c>
      <c r="CB77" s="600" t="str">
        <f>IF(AND(WWWW[[#This Row],[% of water sources passed]]="no test",WWWW[[#This Row],[% Household passed]]="no test"),"No Test","Tested")</f>
        <v>No Test</v>
      </c>
      <c r="CC77" s="600">
        <f>WWWW[[#This Row],['#_Constructed/existing protected hand dug well]]-WWWW[[#This Row],['#_Non-functional protected hand dug well]]</f>
        <v>0</v>
      </c>
      <c r="CD77" s="600">
        <f>(WWWW[[#This Row],['#_Constructed/Existing tube wells/boreholes/handpumps_WASH_agency]]+WWWW[[#This Row],['#_Non-Cluster partner water tube-wells/boreholes/handpumps]])-WWWW[[#This Row],['#_Non-functional tube wells/boreholes/handpumps]]</f>
        <v>1</v>
      </c>
      <c r="CE77" s="600">
        <f>WWWW[[#This Row],['#_Constructed/Existingwater storage tank with gravity fed reticulation system]]-WWWW[[#This Row],['#_Non-functional storage tank gravity fed reticulation system]]</f>
        <v>0</v>
      </c>
      <c r="CF77" s="478">
        <f>(WWWW[[#This Row],['#_Water_Liters_supplied_by_Water boating or water trucking]]/90)/15</f>
        <v>0</v>
      </c>
      <c r="CG77" s="478">
        <f>WWWW[[#This Row],['#_Water_Liters_from_Constructed/Existing water distribution system from river or natural spring]]/90/15</f>
        <v>0</v>
      </c>
      <c r="CH77" s="478">
        <f>WWWW[[#This Row],['#_of water points in TLS/CFS /THF]]*500</f>
        <v>0</v>
      </c>
      <c r="CI7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7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77" s="599">
        <f>IF(WWWW[[#This Row],[Location Type 1]]="Village",WWWW[[#This Row],[Access to safe drinking water for Village]],WWWW[[#This Row],[Access to safe drinking water for Camp]])</f>
        <v>1</v>
      </c>
      <c r="CL77" s="597">
        <f>WWWW[[#This Row],[%Equitable and continuous access to sufficient quantity of safe drinking water]]*WWWW[[#This Row],[Total PoP ]]</f>
        <v>55</v>
      </c>
      <c r="CM77" s="599">
        <f>IF((WWWW[[#This Row],['#_Constructed/Existing protected/fenced ponds]]*250)/WWWW[[#This Row],[Total PoP ]]&gt;1,1,(WWWW[[#This Row],['#_Constructed/Existing protected/fenced ponds]]*250)/WWWW[[#This Row],[Total PoP ]])</f>
        <v>0</v>
      </c>
      <c r="CN77" s="597">
        <f>WWWW[[#This Row],[% Access to unimproved water points]]*WWWW[[#This Row],[Total PoP ]]</f>
        <v>0</v>
      </c>
      <c r="CO7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7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v>
      </c>
      <c r="CQ77" s="597">
        <f>WWWW[[#This Row],[HRP1]]/500</f>
        <v>0.11</v>
      </c>
      <c r="CR77" s="602">
        <f>1-WWWW[[#This Row],[% Equitable and continuous access to sufficient quantity of domestic water]]</f>
        <v>0</v>
      </c>
      <c r="CS77" s="597">
        <f>WWWW[[#This Row],[%equitable and continuous access to sufficient quantity of safe drinking and domestic water''s GAP]]*WWWW[[#This Row],[Total PoP ]]</f>
        <v>0</v>
      </c>
      <c r="CT77" s="600">
        <f>IF(WWWW[[#This Row],[Total required water points]]-WWWW[[#This Row],['#Water points coverage]]&lt;0,0,WWWW[[#This Row],[Total required water points]]-WWWW[[#This Row],['#Water points coverage]])</f>
        <v>0.89</v>
      </c>
      <c r="CU77" s="600">
        <f>ROUND(IF(WWWW[[#This Row],[Total PoP ]]&lt;500,1,WWWW[[#This Row],[Total PoP ]]/500),0)</f>
        <v>1</v>
      </c>
      <c r="CV77" s="600">
        <f>(WWWW[[#This Row],['#_Constructed latrines_by_WASHAgencies]]+WWWW[[#This Row],['#_Non Cluster partner latrines]])-WWWW[[#This Row],['#_Non-functional latrines]]</f>
        <v>2</v>
      </c>
      <c r="CW77" s="70">
        <f>WWWW[[#This Row],[HRP2]]/WWWW[[#This Row],[Total PoP ]]</f>
        <v>0.72727272727272729</v>
      </c>
      <c r="CX7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7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7" s="600">
        <f>IF(WWWW[[#This Row],['# of functional latrines in THF supported by WASH partners during the reporting period2]]="",0,WWWW[[#This Row],['# of functional latrines in THF supported by WASH partners during the reporting period2]]*50)</f>
        <v>0</v>
      </c>
      <c r="DB77" s="600">
        <f>WWWW[[#This Row],['# students access to functioning school latrines_HRP5]]+WWWW[[#This Row],['# People access to functioning latrines in THF_HRP5]]</f>
        <v>0</v>
      </c>
      <c r="DC77" s="600">
        <f>ROUND(IF(WWWW[[#This Row],[Location Type 1]]="camp",WWWW[[#This Row],[Total PoP ]]/20,IF(WWWW[[#This Row],[Location Type 1]]="Temporary Location",WWWW[[#This Row],[Total PoP ]]/50,WWWW[[#This Row],[Total HH]])),0)</f>
        <v>3</v>
      </c>
      <c r="DD77" s="600">
        <f>IF(WWWW[[#This Row],[Total required Latrines]]-(WWWW[[#This Row],['#_Constructed latrines_by_WASHAgencies]]+WWWW[[#This Row],['#_Non Cluster partner latrines]])&lt;0,0,WWWW[[#This Row],[Total required Latrines]]-(WWWW[[#This Row],['#_Constructed latrines_by_WASHAgencies]]+WWWW[[#This Row],['#_Non Cluster partner latrines]]))</f>
        <v>1</v>
      </c>
      <c r="DE77" s="602">
        <f>1-WWWW[[#This Row],[% people access to functioning Latrine]]</f>
        <v>0.27272727272727271</v>
      </c>
      <c r="DF77" s="601">
        <f>IF(OR(WWWW[[#This Row],['#_Non-functional latrines]]="",WWWW[[#This Row],['#_Non-functional latrines]]=0),0,WWWW[[#This Row],['#_Non-functional latrines]]/(WWWW[[#This Row],['#_Constructed latrines_by_WASHAgencies]]+WWWW[[#This Row],['#_Non Cluster partner latrines]]))</f>
        <v>0</v>
      </c>
      <c r="DG77" s="597">
        <f>IF(500*(WWWW[[#This Row],['#_male hygiene promoters]]+WWWW[[#This Row],['#_female hygiene promoters]])&gt;WWWW[[#This Row],[Total PoP ]],WWWW[[#This Row],[Total PoP ]],500*(WWWW[[#This Row],['#_male hygiene promoters]]+WWWW[[#This Row],['#_female hygiene promoters]]))</f>
        <v>0</v>
      </c>
      <c r="DH7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7" s="600">
        <f>IF(WWWW[[#This Row],['# People with access to soap]]&gt;WWWW[[#This Row],['# People with access to Sanity Pads]],WWWW[[#This Row],['# People with access to soap]],WWWW[[#This Row],['# People with access to Sanity Pads]])</f>
        <v>0</v>
      </c>
      <c r="DK7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7" s="602">
        <f>IF(WWWW[[#This Row],[HRP3]]/WWWW[[#This Row],[Total PoP ]]&gt;1,1,WWWW[[#This Row],[HRP3]]/WWWW[[#This Row],[Total PoP ]])</f>
        <v>0</v>
      </c>
      <c r="DM77" s="601">
        <f>1-WWWW[[#This Row],[Hygiene Coverage%]]</f>
        <v>1</v>
      </c>
      <c r="DN77" s="599">
        <f>WWWW[[#This Row],['# people reached by regular dedicated hygiene promotion_5]]/WWWW[[#This Row],[Total PoP ]]</f>
        <v>0</v>
      </c>
      <c r="DO7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7" s="600">
        <f>WWWW[[#This Row],['#_Constructed/Existing hand washing stations]]-WWWW[[#This Row],['#_Non-Functional_hand_washing_stations]]</f>
        <v>1</v>
      </c>
      <c r="DR77" s="597">
        <f>IF(WWWW[[#This Row],['# Functional hand washing stations during reporting period]]*20&gt;WWWW[[#This Row],[Total HH]],WWWW[[#This Row],[Total HH]],WWWW[[#This Row],['# Functional hand washing stations during reporting period]]*20)</f>
        <v>11</v>
      </c>
      <c r="DS77" s="597">
        <f>IF(WWWW[[#This Row],[Is sufficient soap available for TLS? (Yes/No)]]="yes",WWWW[[#This Row],['#_Constructed/Existing hand washing stations at TLS]],0)</f>
        <v>0</v>
      </c>
      <c r="DT77" s="479">
        <f>IF(WWWW[[#This Row],['# Functional hand washing stations during reporting period]]*100&gt;WWWW[[#This Row],[Total PoP ]],WWWW[[#This Row],[Total PoP ]],WWWW[[#This Row],['# Functional hand washing stations during reporting period]]*100)</f>
        <v>55</v>
      </c>
      <c r="DU77" s="479" t="str">
        <f>IF(OR(WWWW[[#This Row],['#_students at TLS_CFS]]="",WWWW[[#This Row],['#_students at TLS_CFS]]=0),"No","Yes")</f>
        <v>No</v>
      </c>
      <c r="DV7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7" s="593" t="str">
        <f>VLOOKUP(WWWW[[#This Row],[Site Name]],SiteDB6[[Site Name]:[CCCM Management]],6,FALSE)</f>
        <v>Yes</v>
      </c>
      <c r="DZ77" s="593" t="str">
        <f>VLOOKUP(WWWW[[#This Row],[Site Name]],SiteDB6[[Site Name]:[CCCM Focal Agency]],7,FALSE)</f>
        <v>KBC-BMO</v>
      </c>
      <c r="EA77" s="593" t="str">
        <f>VLOOKUP(WWWW[[#This Row],[Site Name]],SiteDB6[[Site Name]:[Location Type 1]],9,FALSE)</f>
        <v>Camp</v>
      </c>
      <c r="EB77" s="593" t="str">
        <f>VLOOKUP(WWWW[[#This Row],[Site Name]],SiteDB6[[Site Name]:[Type of Accommodation]],10,FALSE)</f>
        <v>Camp</v>
      </c>
      <c r="EC77" s="593" t="str">
        <f>VLOOKUP(WWWW[[#This Row],[Site Name]],SiteDB6[[Site Name]:[Ethnic or GCA/NGCA]],11,FALSE)</f>
        <v>GCA</v>
      </c>
      <c r="ED77" s="593">
        <f>VLOOKUP(WWWW[[#This Row],[Site Name]],SiteDB6[[Site Name]:[Lat]],12,FALSE)</f>
        <v>24.260466999999998</v>
      </c>
      <c r="EE77" s="593">
        <f>VLOOKUP(WWWW[[#This Row],[Site Name]],SiteDB6[[Site Name]:[Long]],13,FALSE)</f>
        <v>97.252650000000003</v>
      </c>
      <c r="EF77" s="593" t="str">
        <f>VLOOKUP(WWWW[[#This Row],[Site Name]],SiteDB6[[Site Name]:[Pcode]],3,FALSE)</f>
        <v>MMR001CMP194</v>
      </c>
      <c r="EG77" s="598" t="str">
        <f t="shared" si="1"/>
        <v>Covered</v>
      </c>
      <c r="EH77" s="598" t="str">
        <f>VLOOKUP(WWWW[[#This Row],[Site Name]],SiteDB6[[Site Name]:[open in cccm?]],2,FALSE)</f>
        <v>cccm_2019OCT</v>
      </c>
    </row>
    <row r="78" spans="1:138" hidden="1">
      <c r="A78" s="591" t="s">
        <v>3261</v>
      </c>
      <c r="B78" s="591" t="s">
        <v>195</v>
      </c>
      <c r="C78" s="592" t="s">
        <v>195</v>
      </c>
      <c r="D78" s="592" t="s">
        <v>3045</v>
      </c>
      <c r="E78" s="592" t="s">
        <v>711</v>
      </c>
      <c r="F78" s="592" t="s">
        <v>1267</v>
      </c>
      <c r="G78" s="721" t="str">
        <f>VLOOKUP(WWWW[[#This Row],[Site Name]],SiteDB6[[Site Name]:[Location Type]],8,FALSE)</f>
        <v>Camp_not registered</v>
      </c>
      <c r="H78" s="592" t="s">
        <v>3034</v>
      </c>
      <c r="I78" s="594">
        <v>23</v>
      </c>
      <c r="J78" s="594">
        <v>95</v>
      </c>
      <c r="K78" s="595" t="s">
        <v>3289</v>
      </c>
      <c r="L78" s="596" t="s">
        <v>3290</v>
      </c>
      <c r="M78" s="594">
        <v>30</v>
      </c>
      <c r="N78" s="594"/>
      <c r="O78" s="594"/>
      <c r="P78" s="594"/>
      <c r="Q78" s="597" t="s">
        <v>43</v>
      </c>
      <c r="R78" s="594">
        <v>5</v>
      </c>
      <c r="S78" s="594">
        <v>4</v>
      </c>
      <c r="T78" s="523"/>
      <c r="U78" s="594"/>
      <c r="V78" s="594"/>
      <c r="W78" s="594"/>
      <c r="X78" s="594"/>
      <c r="Y78" s="594"/>
      <c r="Z78" s="594"/>
      <c r="AA78" s="594"/>
      <c r="AB78" s="594"/>
      <c r="AC78" s="594"/>
      <c r="AD78" s="594"/>
      <c r="AE78" s="594"/>
      <c r="AF78" s="594"/>
      <c r="AG78" s="594"/>
      <c r="AH78" s="594"/>
      <c r="AI78" s="594"/>
      <c r="AJ78" s="594"/>
      <c r="AK78" s="594"/>
      <c r="AL78" s="594"/>
      <c r="AM78" s="594"/>
      <c r="AN78" s="594"/>
      <c r="AO78" s="598"/>
      <c r="AP78" s="594">
        <v>23</v>
      </c>
      <c r="AQ78" s="594"/>
      <c r="AR78" s="599"/>
      <c r="AS78" s="594"/>
      <c r="AT78" s="594"/>
      <c r="AU78" s="594"/>
      <c r="AV78" s="594"/>
      <c r="AW78" s="594"/>
      <c r="AX78" s="593" t="s">
        <v>143</v>
      </c>
      <c r="AY78" s="598" t="s">
        <v>143</v>
      </c>
      <c r="AZ78" s="594"/>
      <c r="BA78" s="594"/>
      <c r="BB78" s="594"/>
      <c r="BC78" s="594"/>
      <c r="BD78" s="523"/>
      <c r="BE78" s="593"/>
      <c r="BF78" s="594"/>
      <c r="BG78" s="594"/>
      <c r="BH78" s="594"/>
      <c r="BI78" s="594"/>
      <c r="BJ78" s="594"/>
      <c r="BK78" s="594"/>
      <c r="BL78" s="594"/>
      <c r="BM78" s="594"/>
      <c r="BN78" s="594"/>
      <c r="BO78" s="593"/>
      <c r="BP78" s="594"/>
      <c r="BQ78" s="599"/>
      <c r="BR78" s="593"/>
      <c r="BS78" s="472"/>
      <c r="BT78" s="472"/>
      <c r="BU78" s="523"/>
      <c r="BV78" s="472"/>
      <c r="BW78" s="523"/>
      <c r="BX78" s="523"/>
      <c r="BY78" s="523"/>
      <c r="BZ78" s="601" t="str">
        <f>IFERROR(WWWW[[#This Row],['#_Water sources passed]]/WWWW[[#This Row],['#_Water sources tested for fecal coliform ]],"no test")</f>
        <v>no test</v>
      </c>
      <c r="CA78" s="599" t="str">
        <f>IFERROR(WWWW[[#This Row],['#_Household passed]]/WWWW[[#This Row],['#_Household water samples tested for fecal coliform]],"no test")</f>
        <v>no test</v>
      </c>
      <c r="CB78" s="600" t="str">
        <f>IF(AND(WWWW[[#This Row],[% of water sources passed]]="no test",WWWW[[#This Row],[% Household passed]]="no test"),"No Test","Tested")</f>
        <v>No Test</v>
      </c>
      <c r="CC78" s="600">
        <f>WWWW[[#This Row],['#_Constructed/existing protected hand dug well]]-WWWW[[#This Row],['#_Non-functional protected hand dug well]]</f>
        <v>0</v>
      </c>
      <c r="CD78" s="600">
        <f>(WWWW[[#This Row],['#_Constructed/Existing tube wells/boreholes/handpumps_WASH_agency]]+WWWW[[#This Row],['#_Non-Cluster partner water tube-wells/boreholes/handpumps]])-WWWW[[#This Row],['#_Non-functional tube wells/boreholes/handpumps]]</f>
        <v>0</v>
      </c>
      <c r="CE78" s="600">
        <f>WWWW[[#This Row],['#_Constructed/Existingwater storage tank with gravity fed reticulation system]]-WWWW[[#This Row],['#_Non-functional storage tank gravity fed reticulation system]]</f>
        <v>0</v>
      </c>
      <c r="CF78" s="478">
        <f>(WWWW[[#This Row],['#_Water_Liters_supplied_by_Water boating or water trucking]]/90)/15</f>
        <v>0</v>
      </c>
      <c r="CG78" s="478">
        <f>WWWW[[#This Row],['#_Water_Liters_from_Constructed/Existing water distribution system from river or natural spring]]/90/15</f>
        <v>0</v>
      </c>
      <c r="CH78" s="478">
        <f>WWWW[[#This Row],['#_of water points in TLS/CFS /THF]]*500</f>
        <v>0</v>
      </c>
      <c r="CI7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8" s="599">
        <f>IF(WWWW[[#This Row],[Location Type 1]]="Village",WWWW[[#This Row],[Access to safe drinking water for Village]],WWWW[[#This Row],[Access to safe drinking water for Camp]])</f>
        <v>0</v>
      </c>
      <c r="CL78" s="597">
        <f>WWWW[[#This Row],[%Equitable and continuous access to sufficient quantity of safe drinking water]]*WWWW[[#This Row],[Total PoP ]]</f>
        <v>0</v>
      </c>
      <c r="CM78" s="599">
        <f>IF((WWWW[[#This Row],['#_Constructed/Existing protected/fenced ponds]]*250)/WWWW[[#This Row],[Total PoP ]]&gt;1,1,(WWWW[[#This Row],['#_Constructed/Existing protected/fenced ponds]]*250)/WWWW[[#This Row],[Total PoP ]])</f>
        <v>0</v>
      </c>
      <c r="CN78" s="597">
        <f>WWWW[[#This Row],[% Access to unimproved water points]]*WWWW[[#This Row],[Total PoP ]]</f>
        <v>0</v>
      </c>
      <c r="CO7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8" s="597">
        <f>WWWW[[#This Row],[HRP1]]/500</f>
        <v>0</v>
      </c>
      <c r="CR78" s="602">
        <f>1-WWWW[[#This Row],[% Equitable and continuous access to sufficient quantity of domestic water]]</f>
        <v>1</v>
      </c>
      <c r="CS78" s="597">
        <f>WWWW[[#This Row],[%equitable and continuous access to sufficient quantity of safe drinking and domestic water''s GAP]]*WWWW[[#This Row],[Total PoP ]]</f>
        <v>95</v>
      </c>
      <c r="CT78" s="600">
        <f>IF(WWWW[[#This Row],[Total required water points]]-WWWW[[#This Row],['#Water points coverage]]&lt;0,0,WWWW[[#This Row],[Total required water points]]-WWWW[[#This Row],['#Water points coverage]])</f>
        <v>1</v>
      </c>
      <c r="CU78" s="600">
        <f>ROUND(IF(WWWW[[#This Row],[Total PoP ]]&lt;500,1,WWWW[[#This Row],[Total PoP ]]/500),0)</f>
        <v>1</v>
      </c>
      <c r="CV78" s="600">
        <f>(WWWW[[#This Row],['#_Constructed latrines_by_WASHAgencies]]+WWWW[[#This Row],['#_Non Cluster partner latrines]])-WWWW[[#This Row],['#_Non-functional latrines]]</f>
        <v>23</v>
      </c>
      <c r="CW78" s="70">
        <f>WWWW[[#This Row],[HRP2]]/WWWW[[#This Row],[Total PoP ]]</f>
        <v>1</v>
      </c>
      <c r="CX7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v>
      </c>
      <c r="CY7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8" s="600">
        <f>IF(WWWW[[#This Row],['# of functional latrines in THF supported by WASH partners during the reporting period2]]="",0,WWWW[[#This Row],['# of functional latrines in THF supported by WASH partners during the reporting period2]]*50)</f>
        <v>0</v>
      </c>
      <c r="DB78" s="600">
        <f>WWWW[[#This Row],['# students access to functioning school latrines_HRP5]]+WWWW[[#This Row],['# People access to functioning latrines in THF_HRP5]]</f>
        <v>0</v>
      </c>
      <c r="DC78" s="600">
        <f>ROUND(IF(WWWW[[#This Row],[Location Type 1]]="camp",WWWW[[#This Row],[Total PoP ]]/20,IF(WWWW[[#This Row],[Location Type 1]]="Temporary Location",WWWW[[#This Row],[Total PoP ]]/50,WWWW[[#This Row],[Total HH]])),0)</f>
        <v>5</v>
      </c>
      <c r="DD78" s="600">
        <f>IF(WWWW[[#This Row],[Total required Latrines]]-(WWWW[[#This Row],['#_Constructed latrines_by_WASHAgencies]]+WWWW[[#This Row],['#_Non Cluster partner latrines]])&lt;0,0,WWWW[[#This Row],[Total required Latrines]]-(WWWW[[#This Row],['#_Constructed latrines_by_WASHAgencies]]+WWWW[[#This Row],['#_Non Cluster partner latrines]]))</f>
        <v>0</v>
      </c>
      <c r="DE78" s="602">
        <f>1-WWWW[[#This Row],[% people access to functioning Latrine]]</f>
        <v>0</v>
      </c>
      <c r="DF78" s="601">
        <f>IF(OR(WWWW[[#This Row],['#_Non-functional latrines]]="",WWWW[[#This Row],['#_Non-functional latrines]]=0),0,WWWW[[#This Row],['#_Non-functional latrines]]/(WWWW[[#This Row],['#_Constructed latrines_by_WASHAgencies]]+WWWW[[#This Row],['#_Non Cluster partner latrines]]))</f>
        <v>0</v>
      </c>
      <c r="DG78" s="597">
        <f>IF(500*(WWWW[[#This Row],['#_male hygiene promoters]]+WWWW[[#This Row],['#_female hygiene promoters]])&gt;WWWW[[#This Row],[Total PoP ]],WWWW[[#This Row],[Total PoP ]],500*(WWWW[[#This Row],['#_male hygiene promoters]]+WWWW[[#This Row],['#_female hygiene promoters]]))</f>
        <v>0</v>
      </c>
      <c r="DH7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8" s="600">
        <f>IF(WWWW[[#This Row],['# People with access to soap]]&gt;WWWW[[#This Row],['# People with access to Sanity Pads]],WWWW[[#This Row],['# People with access to soap]],WWWW[[#This Row],['# People with access to Sanity Pads]])</f>
        <v>0</v>
      </c>
      <c r="DK7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78" s="602">
        <f>IF(WWWW[[#This Row],[HRP3]]/WWWW[[#This Row],[Total PoP ]]&gt;1,1,WWWW[[#This Row],[HRP3]]/WWWW[[#This Row],[Total PoP ]])</f>
        <v>0</v>
      </c>
      <c r="DM78" s="601">
        <f>1-WWWW[[#This Row],[Hygiene Coverage%]]</f>
        <v>1</v>
      </c>
      <c r="DN78" s="599">
        <f>WWWW[[#This Row],['# people reached by regular dedicated hygiene promotion_5]]/WWWW[[#This Row],[Total PoP ]]</f>
        <v>0</v>
      </c>
      <c r="DO7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8" s="600">
        <f>WWWW[[#This Row],['#_Constructed/Existing hand washing stations]]-WWWW[[#This Row],['#_Non-Functional_hand_washing_stations]]</f>
        <v>0</v>
      </c>
      <c r="DR78" s="597">
        <f>IF(WWWW[[#This Row],['# Functional hand washing stations during reporting period]]*20&gt;WWWW[[#This Row],[Total HH]],WWWW[[#This Row],[Total HH]],WWWW[[#This Row],['# Functional hand washing stations during reporting period]]*20)</f>
        <v>0</v>
      </c>
      <c r="DS78" s="597">
        <f>IF(WWWW[[#This Row],[Is sufficient soap available for TLS? (Yes/No)]]="yes",WWWW[[#This Row],['#_Constructed/Existing hand washing stations at TLS]],0)</f>
        <v>0</v>
      </c>
      <c r="DT78" s="479">
        <f>IF(WWWW[[#This Row],['# Functional hand washing stations during reporting period]]*100&gt;WWWW[[#This Row],[Total PoP ]],WWWW[[#This Row],[Total PoP ]],WWWW[[#This Row],['# Functional hand washing stations during reporting period]]*100)</f>
        <v>0</v>
      </c>
      <c r="DU78" s="479" t="str">
        <f>IF(OR(WWWW[[#This Row],['#_students at TLS_CFS]]="",WWWW[[#This Row],['#_students at TLS_CFS]]=0),"No","Yes")</f>
        <v>Yes</v>
      </c>
      <c r="DV7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8" s="593">
        <f>VLOOKUP(WWWW[[#This Row],[Site Name]],SiteDB6[[Site Name]:[CCCM Management]],6,FALSE)</f>
        <v>0</v>
      </c>
      <c r="DZ78" s="593">
        <f>VLOOKUP(WWWW[[#This Row],[Site Name]],SiteDB6[[Site Name]:[CCCM Focal Agency]],7,FALSE)</f>
        <v>0</v>
      </c>
      <c r="EA78" s="593" t="str">
        <f>VLOOKUP(WWWW[[#This Row],[Site Name]],SiteDB6[[Site Name]:[Location Type 1]],9,FALSE)</f>
        <v>Camp</v>
      </c>
      <c r="EB78" s="593" t="str">
        <f>VLOOKUP(WWWW[[#This Row],[Site Name]],SiteDB6[[Site Name]:[Type of Accommodation]],10,FALSE)</f>
        <v>Camp like setting</v>
      </c>
      <c r="EC78" s="593" t="str">
        <f>VLOOKUP(WWWW[[#This Row],[Site Name]],SiteDB6[[Site Name]:[Ethnic or GCA/NGCA]],11,FALSE)</f>
        <v>GCA</v>
      </c>
      <c r="ED78" s="593">
        <f>VLOOKUP(WWWW[[#This Row],[Site Name]],SiteDB6[[Site Name]:[Lat]],12,FALSE)</f>
        <v>0</v>
      </c>
      <c r="EE78" s="593">
        <f>VLOOKUP(WWWW[[#This Row],[Site Name]],SiteDB6[[Site Name]:[Long]],13,FALSE)</f>
        <v>0</v>
      </c>
      <c r="EF78" s="593">
        <f>VLOOKUP(WWWW[[#This Row],[Site Name]],SiteDB6[[Site Name]:[Pcode]],3,FALSE)</f>
        <v>0</v>
      </c>
      <c r="EG78" s="598" t="str">
        <f t="shared" si="1"/>
        <v>Covered</v>
      </c>
      <c r="EH78" s="598"/>
    </row>
    <row r="79" spans="1:138" hidden="1">
      <c r="A79" s="591" t="s">
        <v>3261</v>
      </c>
      <c r="B79" s="591" t="s">
        <v>195</v>
      </c>
      <c r="C79" s="592" t="s">
        <v>195</v>
      </c>
      <c r="D79" s="592" t="s">
        <v>3045</v>
      </c>
      <c r="E79" s="592" t="s">
        <v>711</v>
      </c>
      <c r="F79" s="592" t="s">
        <v>715</v>
      </c>
      <c r="G79" s="721" t="str">
        <f>VLOOKUP(WWWW[[#This Row],[Site Name]],SiteDB6[[Site Name]:[Location Type]],8,FALSE)</f>
        <v>Camp</v>
      </c>
      <c r="H79" s="592" t="s">
        <v>2299</v>
      </c>
      <c r="I79" s="594">
        <v>71</v>
      </c>
      <c r="J79" s="594">
        <v>496</v>
      </c>
      <c r="K79" s="595" t="s">
        <v>3289</v>
      </c>
      <c r="L79" s="596" t="s">
        <v>3290</v>
      </c>
      <c r="M79" s="594">
        <v>43</v>
      </c>
      <c r="N79" s="594"/>
      <c r="O79" s="594">
        <v>1</v>
      </c>
      <c r="P79" s="594"/>
      <c r="Q79" s="597" t="s">
        <v>43</v>
      </c>
      <c r="R79" s="594">
        <v>5</v>
      </c>
      <c r="S79" s="594">
        <v>4</v>
      </c>
      <c r="T79" s="523"/>
      <c r="U79" s="594"/>
      <c r="V79" s="594"/>
      <c r="W79" s="594"/>
      <c r="X79" s="594"/>
      <c r="Y79" s="594"/>
      <c r="Z79" s="594"/>
      <c r="AA79" s="594"/>
      <c r="AB79" s="594"/>
      <c r="AC79" s="594"/>
      <c r="AD79" s="594"/>
      <c r="AE79" s="594"/>
      <c r="AF79" s="594"/>
      <c r="AG79" s="594"/>
      <c r="AH79" s="594"/>
      <c r="AI79" s="594"/>
      <c r="AJ79" s="594"/>
      <c r="AK79" s="594"/>
      <c r="AL79" s="594"/>
      <c r="AM79" s="594"/>
      <c r="AN79" s="594"/>
      <c r="AO79" s="598"/>
      <c r="AP79" s="594"/>
      <c r="AQ79" s="594"/>
      <c r="AR79" s="599"/>
      <c r="AS79" s="594"/>
      <c r="AT79" s="594"/>
      <c r="AU79" s="594"/>
      <c r="AV79" s="594"/>
      <c r="AW79" s="594"/>
      <c r="AX79" s="593" t="s">
        <v>143</v>
      </c>
      <c r="AY79" s="598" t="s">
        <v>143</v>
      </c>
      <c r="AZ79" s="594"/>
      <c r="BA79" s="594"/>
      <c r="BB79" s="594"/>
      <c r="BC79" s="594"/>
      <c r="BD79" s="523"/>
      <c r="BE79" s="593"/>
      <c r="BF79" s="594"/>
      <c r="BG79" s="594"/>
      <c r="BH79" s="594"/>
      <c r="BI79" s="594"/>
      <c r="BJ79" s="594"/>
      <c r="BK79" s="594"/>
      <c r="BL79" s="594">
        <v>1</v>
      </c>
      <c r="BM79" s="594"/>
      <c r="BN79" s="594"/>
      <c r="BO79" s="593" t="s">
        <v>139</v>
      </c>
      <c r="BP79" s="594"/>
      <c r="BQ79" s="599"/>
      <c r="BR79" s="593"/>
      <c r="BS79" s="472"/>
      <c r="BT79" s="472"/>
      <c r="BU79" s="523"/>
      <c r="BV79" s="472"/>
      <c r="BW79" s="523"/>
      <c r="BX79" s="523"/>
      <c r="BY79" s="523"/>
      <c r="BZ79" s="601" t="str">
        <f>IFERROR(WWWW[[#This Row],['#_Water sources passed]]/WWWW[[#This Row],['#_Water sources tested for fecal coliform ]],"no test")</f>
        <v>no test</v>
      </c>
      <c r="CA79" s="599" t="str">
        <f>IFERROR(WWWW[[#This Row],['#_Household passed]]/WWWW[[#This Row],['#_Household water samples tested for fecal coliform]],"no test")</f>
        <v>no test</v>
      </c>
      <c r="CB79" s="600" t="str">
        <f>IF(AND(WWWW[[#This Row],[% of water sources passed]]="no test",WWWW[[#This Row],[% Household passed]]="no test"),"No Test","Tested")</f>
        <v>No Test</v>
      </c>
      <c r="CC79" s="600">
        <f>WWWW[[#This Row],['#_Constructed/existing protected hand dug well]]-WWWW[[#This Row],['#_Non-functional protected hand dug well]]</f>
        <v>0</v>
      </c>
      <c r="CD79" s="600">
        <f>(WWWW[[#This Row],['#_Constructed/Existing tube wells/boreholes/handpumps_WASH_agency]]+WWWW[[#This Row],['#_Non-Cluster partner water tube-wells/boreholes/handpumps]])-WWWW[[#This Row],['#_Non-functional tube wells/boreholes/handpumps]]</f>
        <v>0</v>
      </c>
      <c r="CE79" s="600">
        <f>WWWW[[#This Row],['#_Constructed/Existingwater storage tank with gravity fed reticulation system]]-WWWW[[#This Row],['#_Non-functional storage tank gravity fed reticulation system]]</f>
        <v>0</v>
      </c>
      <c r="CF79" s="478">
        <f>(WWWW[[#This Row],['#_Water_Liters_supplied_by_Water boating or water trucking]]/90)/15</f>
        <v>0</v>
      </c>
      <c r="CG79" s="478">
        <f>WWWW[[#This Row],['#_Water_Liters_from_Constructed/Existing water distribution system from river or natural spring]]/90/15</f>
        <v>0</v>
      </c>
      <c r="CH79" s="478">
        <f>WWWW[[#This Row],['#_of water points in TLS/CFS /THF]]*500</f>
        <v>0</v>
      </c>
      <c r="CI7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7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79" s="599">
        <f>IF(WWWW[[#This Row],[Location Type 1]]="Village",WWWW[[#This Row],[Access to safe drinking water for Village]],WWWW[[#This Row],[Access to safe drinking water for Camp]])</f>
        <v>0</v>
      </c>
      <c r="CL79" s="597">
        <f>WWWW[[#This Row],[%Equitable and continuous access to sufficient quantity of safe drinking water]]*WWWW[[#This Row],[Total PoP ]]</f>
        <v>0</v>
      </c>
      <c r="CM79" s="599">
        <f>IF((WWWW[[#This Row],['#_Constructed/Existing protected/fenced ponds]]*250)/WWWW[[#This Row],[Total PoP ]]&gt;1,1,(WWWW[[#This Row],['#_Constructed/Existing protected/fenced ponds]]*250)/WWWW[[#This Row],[Total PoP ]])</f>
        <v>0</v>
      </c>
      <c r="CN79" s="597">
        <f>WWWW[[#This Row],[% Access to unimproved water points]]*WWWW[[#This Row],[Total PoP ]]</f>
        <v>0</v>
      </c>
      <c r="CO7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7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79" s="597">
        <f>WWWW[[#This Row],[HRP1]]/500</f>
        <v>0</v>
      </c>
      <c r="CR79" s="602">
        <f>1-WWWW[[#This Row],[% Equitable and continuous access to sufficient quantity of domestic water]]</f>
        <v>1</v>
      </c>
      <c r="CS79" s="597">
        <f>WWWW[[#This Row],[%equitable and continuous access to sufficient quantity of safe drinking and domestic water''s GAP]]*WWWW[[#This Row],[Total PoP ]]</f>
        <v>496</v>
      </c>
      <c r="CT79" s="600">
        <f>IF(WWWW[[#This Row],[Total required water points]]-WWWW[[#This Row],['#Water points coverage]]&lt;0,0,WWWW[[#This Row],[Total required water points]]-WWWW[[#This Row],['#Water points coverage]])</f>
        <v>1</v>
      </c>
      <c r="CU79" s="600">
        <f>ROUND(IF(WWWW[[#This Row],[Total PoP ]]&lt;500,1,WWWW[[#This Row],[Total PoP ]]/500),0)</f>
        <v>1</v>
      </c>
      <c r="CV79" s="600">
        <f>(WWWW[[#This Row],['#_Constructed latrines_by_WASHAgencies]]+WWWW[[#This Row],['#_Non Cluster partner latrines]])-WWWW[[#This Row],['#_Non-functional latrines]]</f>
        <v>0</v>
      </c>
      <c r="CW79" s="70">
        <f>WWWW[[#This Row],[HRP2]]/WWWW[[#This Row],[Total PoP ]]</f>
        <v>0</v>
      </c>
      <c r="CX7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7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7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79" s="600">
        <f>IF(WWWW[[#This Row],['# of functional latrines in THF supported by WASH partners during the reporting period2]]="",0,WWWW[[#This Row],['# of functional latrines in THF supported by WASH partners during the reporting period2]]*50)</f>
        <v>0</v>
      </c>
      <c r="DB79" s="600">
        <f>WWWW[[#This Row],['# students access to functioning school latrines_HRP5]]+WWWW[[#This Row],['# People access to functioning latrines in THF_HRP5]]</f>
        <v>0</v>
      </c>
      <c r="DC79" s="600">
        <f>ROUND(IF(WWWW[[#This Row],[Location Type 1]]="camp",WWWW[[#This Row],[Total PoP ]]/20,IF(WWWW[[#This Row],[Location Type 1]]="Temporary Location",WWWW[[#This Row],[Total PoP ]]/50,WWWW[[#This Row],[Total HH]])),0)</f>
        <v>25</v>
      </c>
      <c r="DD79" s="600">
        <f>IF(WWWW[[#This Row],[Total required Latrines]]-(WWWW[[#This Row],['#_Constructed latrines_by_WASHAgencies]]+WWWW[[#This Row],['#_Non Cluster partner latrines]])&lt;0,0,WWWW[[#This Row],[Total required Latrines]]-(WWWW[[#This Row],['#_Constructed latrines_by_WASHAgencies]]+WWWW[[#This Row],['#_Non Cluster partner latrines]]))</f>
        <v>25</v>
      </c>
      <c r="DE79" s="602">
        <f>1-WWWW[[#This Row],[% people access to functioning Latrine]]</f>
        <v>1</v>
      </c>
      <c r="DF79" s="601">
        <f>IF(OR(WWWW[[#This Row],['#_Non-functional latrines]]="",WWWW[[#This Row],['#_Non-functional latrines]]=0),0,WWWW[[#This Row],['#_Non-functional latrines]]/(WWWW[[#This Row],['#_Constructed latrines_by_WASHAgencies]]+WWWW[[#This Row],['#_Non Cluster partner latrines]]))</f>
        <v>0</v>
      </c>
      <c r="DG79" s="597">
        <f>IF(500*(WWWW[[#This Row],['#_male hygiene promoters]]+WWWW[[#This Row],['#_female hygiene promoters]])&gt;WWWW[[#This Row],[Total PoP ]],WWWW[[#This Row],[Total PoP ]],500*(WWWW[[#This Row],['#_male hygiene promoters]]+WWWW[[#This Row],['#_female hygiene promoters]]))</f>
        <v>496</v>
      </c>
      <c r="DH7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7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79" s="600">
        <f>IF(WWWW[[#This Row],['# People with access to soap]]&gt;WWWW[[#This Row],['# People with access to Sanity Pads]],WWWW[[#This Row],['# People with access to soap]],WWWW[[#This Row],['# People with access to Sanity Pads]])</f>
        <v>0</v>
      </c>
      <c r="DK79" s="600">
        <f>IF(WWWW[[#This Row],['# people reached by regular dedicated hygiene promotion_5]]&gt;WWWW[[#This Row],['# People received regular supply of hygiene items_6]],WWWW[[#This Row],['# people reached by regular dedicated hygiene promotion_5]],WWWW[[#This Row],['# People received regular supply of hygiene items_6]])</f>
        <v>496</v>
      </c>
      <c r="DL79" s="602">
        <f>IF(WWWW[[#This Row],[HRP3]]/WWWW[[#This Row],[Total PoP ]]&gt;1,1,WWWW[[#This Row],[HRP3]]/WWWW[[#This Row],[Total PoP ]])</f>
        <v>1</v>
      </c>
      <c r="DM79" s="601">
        <f>1-WWWW[[#This Row],[Hygiene Coverage%]]</f>
        <v>0</v>
      </c>
      <c r="DN79" s="599">
        <f>WWWW[[#This Row],['# people reached by regular dedicated hygiene promotion_5]]/WWWW[[#This Row],[Total PoP ]]</f>
        <v>1</v>
      </c>
      <c r="DO7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7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79" s="600">
        <f>WWWW[[#This Row],['#_Constructed/Existing hand washing stations]]-WWWW[[#This Row],['#_Non-Functional_hand_washing_stations]]</f>
        <v>0</v>
      </c>
      <c r="DR79" s="597">
        <f>IF(WWWW[[#This Row],['# Functional hand washing stations during reporting period]]*20&gt;WWWW[[#This Row],[Total HH]],WWWW[[#This Row],[Total HH]],WWWW[[#This Row],['# Functional hand washing stations during reporting period]]*20)</f>
        <v>0</v>
      </c>
      <c r="DS79" s="597">
        <f>IF(WWWW[[#This Row],[Is sufficient soap available for TLS? (Yes/No)]]="yes",WWWW[[#This Row],['#_Constructed/Existing hand washing stations at TLS]],0)</f>
        <v>0</v>
      </c>
      <c r="DT79" s="479">
        <f>IF(WWWW[[#This Row],['# Functional hand washing stations during reporting period]]*100&gt;WWWW[[#This Row],[Total PoP ]],WWWW[[#This Row],[Total PoP ]],WWWW[[#This Row],['# Functional hand washing stations during reporting period]]*100)</f>
        <v>0</v>
      </c>
      <c r="DU79" s="479" t="str">
        <f>IF(OR(WWWW[[#This Row],['#_students at TLS_CFS]]="",WWWW[[#This Row],['#_students at TLS_CFS]]=0),"No","Yes")</f>
        <v>Yes</v>
      </c>
      <c r="DV7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79" s="593">
        <f>VLOOKUP(WWWW[[#This Row],[Site Name]],SiteDB6[[Site Name]:[CCCM Management]],6,FALSE)</f>
        <v>0</v>
      </c>
      <c r="DZ79" s="593" t="str">
        <f>VLOOKUP(WWWW[[#This Row],[Site Name]],SiteDB6[[Site Name]:[CCCM Focal Agency]],7,FALSE)</f>
        <v>uncovered</v>
      </c>
      <c r="EA79" s="593" t="str">
        <f>VLOOKUP(WWWW[[#This Row],[Site Name]],SiteDB6[[Site Name]:[Location Type 1]],9,FALSE)</f>
        <v>Camp</v>
      </c>
      <c r="EB79" s="593" t="str">
        <f>VLOOKUP(WWWW[[#This Row],[Site Name]],SiteDB6[[Site Name]:[Type of Accommodation]],10,FALSE)</f>
        <v>Camp like setting</v>
      </c>
      <c r="EC79" s="593" t="str">
        <f>VLOOKUP(WWWW[[#This Row],[Site Name]],SiteDB6[[Site Name]:[Ethnic or GCA/NGCA]],11,FALSE)</f>
        <v>GCA</v>
      </c>
      <c r="ED79" s="593">
        <f>VLOOKUP(WWWW[[#This Row],[Site Name]],SiteDB6[[Site Name]:[Lat]],12,FALSE)</f>
        <v>0</v>
      </c>
      <c r="EE79" s="593">
        <f>VLOOKUP(WWWW[[#This Row],[Site Name]],SiteDB6[[Site Name]:[Long]],13,FALSE)</f>
        <v>0</v>
      </c>
      <c r="EF79" s="593" t="str">
        <f>VLOOKUP(WWWW[[#This Row],[Site Name]],SiteDB6[[Site Name]:[Pcode]],3,FALSE)</f>
        <v>MMR015CMP212</v>
      </c>
      <c r="EG79" s="598" t="str">
        <f t="shared" si="1"/>
        <v>Covered</v>
      </c>
      <c r="EH79" s="598" t="str">
        <f>VLOOKUP(WWWW[[#This Row],[Site Name]],SiteDB6[[Site Name]:[open in cccm?]],2,FALSE)</f>
        <v>cccm_2019OCT</v>
      </c>
    </row>
    <row r="80" spans="1:138" hidden="1">
      <c r="A80" s="591" t="s">
        <v>3261</v>
      </c>
      <c r="B80" s="591" t="s">
        <v>195</v>
      </c>
      <c r="C80" s="592" t="s">
        <v>195</v>
      </c>
      <c r="D80" s="592" t="s">
        <v>3045</v>
      </c>
      <c r="E80" s="592" t="s">
        <v>711</v>
      </c>
      <c r="F80" s="592" t="s">
        <v>721</v>
      </c>
      <c r="G80" s="721" t="str">
        <f>VLOOKUP(WWWW[[#This Row],[Site Name]],SiteDB6[[Site Name]:[Location Type]],8,FALSE)</f>
        <v>Camp</v>
      </c>
      <c r="H80" s="592" t="s">
        <v>751</v>
      </c>
      <c r="I80" s="594">
        <v>136</v>
      </c>
      <c r="J80" s="594">
        <v>553</v>
      </c>
      <c r="K80" s="595" t="s">
        <v>3289</v>
      </c>
      <c r="L80" s="596" t="s">
        <v>3290</v>
      </c>
      <c r="M80" s="594"/>
      <c r="N80" s="594"/>
      <c r="O80" s="594"/>
      <c r="P80" s="594"/>
      <c r="Q80" s="597" t="s">
        <v>43</v>
      </c>
      <c r="R80" s="594">
        <v>5</v>
      </c>
      <c r="S80" s="594">
        <v>4</v>
      </c>
      <c r="T80" s="523">
        <v>0</v>
      </c>
      <c r="U80" s="594"/>
      <c r="V80" s="594"/>
      <c r="W80" s="594">
        <v>0</v>
      </c>
      <c r="X80" s="594">
        <v>0</v>
      </c>
      <c r="Y80" s="594"/>
      <c r="Z80" s="594"/>
      <c r="AA80" s="594">
        <v>41</v>
      </c>
      <c r="AB80" s="594"/>
      <c r="AC80" s="594"/>
      <c r="AD80" s="594">
        <v>0</v>
      </c>
      <c r="AE80" s="594"/>
      <c r="AF80" s="594">
        <v>0</v>
      </c>
      <c r="AG80" s="594"/>
      <c r="AH80" s="594">
        <v>1</v>
      </c>
      <c r="AI80" s="594"/>
      <c r="AJ80" s="594"/>
      <c r="AK80" s="594"/>
      <c r="AL80" s="594"/>
      <c r="AM80" s="594"/>
      <c r="AN80" s="594"/>
      <c r="AO80" s="598"/>
      <c r="AP80" s="594">
        <v>40</v>
      </c>
      <c r="AQ80" s="594">
        <v>0</v>
      </c>
      <c r="AR80" s="599"/>
      <c r="AS80" s="594"/>
      <c r="AT80" s="594"/>
      <c r="AU80" s="594"/>
      <c r="AV80" s="594"/>
      <c r="AW80" s="594"/>
      <c r="AX80" s="593" t="s">
        <v>139</v>
      </c>
      <c r="AY80" s="598" t="s">
        <v>1195</v>
      </c>
      <c r="AZ80" s="594">
        <v>0</v>
      </c>
      <c r="BA80" s="594">
        <v>0</v>
      </c>
      <c r="BB80" s="594"/>
      <c r="BC80" s="594"/>
      <c r="BD80" s="523"/>
      <c r="BE80" s="593"/>
      <c r="BF80" s="594">
        <v>2</v>
      </c>
      <c r="BG80" s="594"/>
      <c r="BH80" s="594">
        <v>0</v>
      </c>
      <c r="BI80" s="594">
        <v>6</v>
      </c>
      <c r="BJ80" s="594"/>
      <c r="BK80" s="594">
        <v>0</v>
      </c>
      <c r="BL80" s="594">
        <v>2</v>
      </c>
      <c r="BM80" s="594"/>
      <c r="BN80" s="594"/>
      <c r="BO80" s="593"/>
      <c r="BP80" s="594"/>
      <c r="BQ80" s="599"/>
      <c r="BR80" s="593"/>
      <c r="BS80" s="472"/>
      <c r="BT80" s="472"/>
      <c r="BU80" s="523"/>
      <c r="BV80" s="472"/>
      <c r="BW80" s="523"/>
      <c r="BX80" s="523"/>
      <c r="BY80" s="523"/>
      <c r="BZ80" s="601" t="str">
        <f>IFERROR(WWWW[[#This Row],['#_Water sources passed]]/WWWW[[#This Row],['#_Water sources tested for fecal coliform ]],"no test")</f>
        <v>no test</v>
      </c>
      <c r="CA80" s="599" t="str">
        <f>IFERROR(WWWW[[#This Row],['#_Household passed]]/WWWW[[#This Row],['#_Household water samples tested for fecal coliform]],"no test")</f>
        <v>no test</v>
      </c>
      <c r="CB80" s="600" t="str">
        <f>IF(AND(WWWW[[#This Row],[% of water sources passed]]="no test",WWWW[[#This Row],[% Household passed]]="no test"),"No Test","Tested")</f>
        <v>No Test</v>
      </c>
      <c r="CC80" s="600">
        <f>WWWW[[#This Row],['#_Constructed/existing protected hand dug well]]-WWWW[[#This Row],['#_Non-functional protected hand dug well]]</f>
        <v>0</v>
      </c>
      <c r="CD80" s="600">
        <f>(WWWW[[#This Row],['#_Constructed/Existing tube wells/boreholes/handpumps_WASH_agency]]+WWWW[[#This Row],['#_Non-Cluster partner water tube-wells/boreholes/handpumps]])-WWWW[[#This Row],['#_Non-functional tube wells/boreholes/handpumps]]</f>
        <v>0</v>
      </c>
      <c r="CE80" s="600">
        <f>WWWW[[#This Row],['#_Constructed/Existingwater storage tank with gravity fed reticulation system]]-WWWW[[#This Row],['#_Non-functional storage tank gravity fed reticulation system]]</f>
        <v>41</v>
      </c>
      <c r="CF80" s="478">
        <f>(WWWW[[#This Row],['#_Water_Liters_supplied_by_Water boating or water trucking]]/90)/15</f>
        <v>0</v>
      </c>
      <c r="CG80" s="478">
        <f>WWWW[[#This Row],['#_Water_Liters_from_Constructed/Existing water distribution system from river or natural spring]]/90/15</f>
        <v>0</v>
      </c>
      <c r="CH80" s="478">
        <f>WWWW[[#This Row],['#_of water points in TLS/CFS /THF]]*500</f>
        <v>0</v>
      </c>
      <c r="CI8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0" s="599">
        <f>IF(WWWW[[#This Row],[Location Type 1]]="Village",WWWW[[#This Row],[Access to safe drinking water for Village]],WWWW[[#This Row],[Access to safe drinking water for Camp]])</f>
        <v>1</v>
      </c>
      <c r="CL80" s="597">
        <f>WWWW[[#This Row],[%Equitable and continuous access to sufficient quantity of safe drinking water]]*WWWW[[#This Row],[Total PoP ]]</f>
        <v>553</v>
      </c>
      <c r="CM80" s="599">
        <f>IF((WWWW[[#This Row],['#_Constructed/Existing protected/fenced ponds]]*250)/WWWW[[#This Row],[Total PoP ]]&gt;1,1,(WWWW[[#This Row],['#_Constructed/Existing protected/fenced ponds]]*250)/WWWW[[#This Row],[Total PoP ]])</f>
        <v>0</v>
      </c>
      <c r="CN80" s="597">
        <f>WWWW[[#This Row],[% Access to unimproved water points]]*WWWW[[#This Row],[Total PoP ]]</f>
        <v>0</v>
      </c>
      <c r="CO8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553</v>
      </c>
      <c r="CQ80" s="597">
        <f>WWWW[[#This Row],[HRP1]]/500</f>
        <v>1.1060000000000001</v>
      </c>
      <c r="CR80" s="602">
        <f>1-WWWW[[#This Row],[% Equitable and continuous access to sufficient quantity of domestic water]]</f>
        <v>0</v>
      </c>
      <c r="CS80" s="597">
        <f>WWWW[[#This Row],[%equitable and continuous access to sufficient quantity of safe drinking and domestic water''s GAP]]*WWWW[[#This Row],[Total PoP ]]</f>
        <v>0</v>
      </c>
      <c r="CT80" s="600">
        <f>IF(WWWW[[#This Row],[Total required water points]]-WWWW[[#This Row],['#Water points coverage]]&lt;0,0,WWWW[[#This Row],[Total required water points]]-WWWW[[#This Row],['#Water points coverage]])</f>
        <v>0</v>
      </c>
      <c r="CU80" s="600">
        <f>ROUND(IF(WWWW[[#This Row],[Total PoP ]]&lt;500,1,WWWW[[#This Row],[Total PoP ]]/500),0)</f>
        <v>1</v>
      </c>
      <c r="CV80" s="600">
        <f>(WWWW[[#This Row],['#_Constructed latrines_by_WASHAgencies]]+WWWW[[#This Row],['#_Non Cluster partner latrines]])-WWWW[[#This Row],['#_Non-functional latrines]]</f>
        <v>40</v>
      </c>
      <c r="CW80" s="70">
        <f>WWWW[[#This Row],[HRP2]]/WWWW[[#This Row],[Total PoP ]]</f>
        <v>1</v>
      </c>
      <c r="CX8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553</v>
      </c>
      <c r="CY8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0" s="600">
        <f>IF(WWWW[[#This Row],['# of functional latrines in THF supported by WASH partners during the reporting period2]]="",0,WWWW[[#This Row],['# of functional latrines in THF supported by WASH partners during the reporting period2]]*50)</f>
        <v>0</v>
      </c>
      <c r="DB80" s="600">
        <f>WWWW[[#This Row],['# students access to functioning school latrines_HRP5]]+WWWW[[#This Row],['# People access to functioning latrines in THF_HRP5]]</f>
        <v>0</v>
      </c>
      <c r="DC80" s="600">
        <f>ROUND(IF(WWWW[[#This Row],[Location Type 1]]="camp",WWWW[[#This Row],[Total PoP ]]/20,IF(WWWW[[#This Row],[Location Type 1]]="Temporary Location",WWWW[[#This Row],[Total PoP ]]/50,WWWW[[#This Row],[Total HH]])),0)</f>
        <v>28</v>
      </c>
      <c r="DD80" s="600">
        <f>IF(WWWW[[#This Row],[Total required Latrines]]-(WWWW[[#This Row],['#_Constructed latrines_by_WASHAgencies]]+WWWW[[#This Row],['#_Non Cluster partner latrines]])&lt;0,0,WWWW[[#This Row],[Total required Latrines]]-(WWWW[[#This Row],['#_Constructed latrines_by_WASHAgencies]]+WWWW[[#This Row],['#_Non Cluster partner latrines]]))</f>
        <v>0</v>
      </c>
      <c r="DE80" s="602">
        <f>1-WWWW[[#This Row],[% people access to functioning Latrine]]</f>
        <v>0</v>
      </c>
      <c r="DF80" s="601">
        <f>IF(OR(WWWW[[#This Row],['#_Non-functional latrines]]="",WWWW[[#This Row],['#_Non-functional latrines]]=0),0,WWWW[[#This Row],['#_Non-functional latrines]]/(WWWW[[#This Row],['#_Constructed latrines_by_WASHAgencies]]+WWWW[[#This Row],['#_Non Cluster partner latrines]]))</f>
        <v>0</v>
      </c>
      <c r="DG80" s="597">
        <f>IF(500*(WWWW[[#This Row],['#_male hygiene promoters]]+WWWW[[#This Row],['#_female hygiene promoters]])&gt;WWWW[[#This Row],[Total PoP ]],WWWW[[#This Row],[Total PoP ]],500*(WWWW[[#This Row],['#_male hygiene promoters]]+WWWW[[#This Row],['#_female hygiene promoters]]))</f>
        <v>553</v>
      </c>
      <c r="DH8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0" s="600">
        <f>IF(WWWW[[#This Row],['# People with access to soap]]&gt;WWWW[[#This Row],['# People with access to Sanity Pads]],WWWW[[#This Row],['# People with access to soap]],WWWW[[#This Row],['# People with access to Sanity Pads]])</f>
        <v>0</v>
      </c>
      <c r="DK80" s="600">
        <f>IF(WWWW[[#This Row],['# people reached by regular dedicated hygiene promotion_5]]&gt;WWWW[[#This Row],['# People received regular supply of hygiene items_6]],WWWW[[#This Row],['# people reached by regular dedicated hygiene promotion_5]],WWWW[[#This Row],['# People received regular supply of hygiene items_6]])</f>
        <v>553</v>
      </c>
      <c r="DL80" s="602">
        <f>IF(WWWW[[#This Row],[HRP3]]/WWWW[[#This Row],[Total PoP ]]&gt;1,1,WWWW[[#This Row],[HRP3]]/WWWW[[#This Row],[Total PoP ]])</f>
        <v>1</v>
      </c>
      <c r="DM80" s="601">
        <f>1-WWWW[[#This Row],[Hygiene Coverage%]]</f>
        <v>0</v>
      </c>
      <c r="DN80" s="599">
        <f>WWWW[[#This Row],['# people reached by regular dedicated hygiene promotion_5]]/WWWW[[#This Row],[Total PoP ]]</f>
        <v>1</v>
      </c>
      <c r="DO8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0" s="600">
        <f>WWWW[[#This Row],['#_Constructed/Existing hand washing stations]]-WWWW[[#This Row],['#_Non-Functional_hand_washing_stations]]</f>
        <v>2</v>
      </c>
      <c r="DR80" s="597">
        <f>IF(WWWW[[#This Row],['# Functional hand washing stations during reporting period]]*20&gt;WWWW[[#This Row],[Total HH]],WWWW[[#This Row],[Total HH]],WWWW[[#This Row],['# Functional hand washing stations during reporting period]]*20)</f>
        <v>40</v>
      </c>
      <c r="DS80" s="597">
        <f>IF(WWWW[[#This Row],[Is sufficient soap available for TLS? (Yes/No)]]="yes",WWWW[[#This Row],['#_Constructed/Existing hand washing stations at TLS]],0)</f>
        <v>0</v>
      </c>
      <c r="DT80" s="479">
        <f>IF(WWWW[[#This Row],['# Functional hand washing stations during reporting period]]*100&gt;WWWW[[#This Row],[Total PoP ]],WWWW[[#This Row],[Total PoP ]],WWWW[[#This Row],['# Functional hand washing stations during reporting period]]*100)</f>
        <v>200</v>
      </c>
      <c r="DU80" s="479" t="str">
        <f>IF(OR(WWWW[[#This Row],['#_students at TLS_CFS]]="",WWWW[[#This Row],['#_students at TLS_CFS]]=0),"No","Yes")</f>
        <v>No</v>
      </c>
      <c r="DV8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0" s="593" t="str">
        <f>VLOOKUP(WWWW[[#This Row],[Site Name]],SiteDB6[[Site Name]:[CCCM Management]],6,FALSE)</f>
        <v>Yes</v>
      </c>
      <c r="DZ80" s="593" t="str">
        <f>VLOOKUP(WWWW[[#This Row],[Site Name]],SiteDB6[[Site Name]:[CCCM Focal Agency]],7,FALSE)</f>
        <v>KBC-NSS</v>
      </c>
      <c r="EA80" s="593" t="str">
        <f>VLOOKUP(WWWW[[#This Row],[Site Name]],SiteDB6[[Site Name]:[Location Type 1]],9,FALSE)</f>
        <v>Camp</v>
      </c>
      <c r="EB80" s="593" t="str">
        <f>VLOOKUP(WWWW[[#This Row],[Site Name]],SiteDB6[[Site Name]:[Type of Accommodation]],10,FALSE)</f>
        <v>Camp</v>
      </c>
      <c r="EC80" s="593" t="str">
        <f>VLOOKUP(WWWW[[#This Row],[Site Name]],SiteDB6[[Site Name]:[Ethnic or GCA/NGCA]],11,FALSE)</f>
        <v>GCA</v>
      </c>
      <c r="ED80" s="593">
        <f>VLOOKUP(WWWW[[#This Row],[Site Name]],SiteDB6[[Site Name]:[Lat]],12,FALSE)</f>
        <v>24.08738</v>
      </c>
      <c r="EE80" s="593">
        <f>VLOOKUP(WWWW[[#This Row],[Site Name]],SiteDB6[[Site Name]:[Long]],13,FALSE)</f>
        <v>98.115809999999996</v>
      </c>
      <c r="EF80" s="593" t="str">
        <f>VLOOKUP(WWWW[[#This Row],[Site Name]],SiteDB6[[Site Name]:[Pcode]],3,FALSE)</f>
        <v>MMR015CMP247</v>
      </c>
      <c r="EG80" s="598" t="str">
        <f t="shared" si="1"/>
        <v>Covered</v>
      </c>
      <c r="EH80" s="598" t="str">
        <f>VLOOKUP(WWWW[[#This Row],[Site Name]],SiteDB6[[Site Name]:[open in cccm?]],2,FALSE)</f>
        <v>cccm_2019OCT</v>
      </c>
    </row>
    <row r="81" spans="1:138" hidden="1">
      <c r="A81" s="591" t="s">
        <v>3261</v>
      </c>
      <c r="B81" s="591" t="s">
        <v>195</v>
      </c>
      <c r="C81" s="592" t="s">
        <v>195</v>
      </c>
      <c r="D81" s="592" t="s">
        <v>3037</v>
      </c>
      <c r="E81" s="592" t="s">
        <v>39</v>
      </c>
      <c r="F81" s="592" t="s">
        <v>208</v>
      </c>
      <c r="G81" s="721" t="str">
        <f>VLOOKUP(WWWW[[#This Row],[Site Name]],SiteDB6[[Site Name]:[Location Type]],8,FALSE)</f>
        <v>Camp</v>
      </c>
      <c r="H81" s="592" t="s">
        <v>220</v>
      </c>
      <c r="I81" s="594">
        <v>714</v>
      </c>
      <c r="J81" s="594">
        <v>3659</v>
      </c>
      <c r="K81" s="595">
        <v>43374</v>
      </c>
      <c r="L81" s="596">
        <v>43738</v>
      </c>
      <c r="M81" s="594">
        <v>749</v>
      </c>
      <c r="N81" s="594">
        <v>0</v>
      </c>
      <c r="O81" s="594">
        <v>0</v>
      </c>
      <c r="P81" s="594">
        <v>0</v>
      </c>
      <c r="Q81" s="597" t="s">
        <v>43</v>
      </c>
      <c r="R81" s="594">
        <v>7</v>
      </c>
      <c r="S81" s="594"/>
      <c r="T81" s="523">
        <v>3</v>
      </c>
      <c r="U81" s="594"/>
      <c r="V81" s="594"/>
      <c r="W81" s="594"/>
      <c r="X81" s="594"/>
      <c r="Y81" s="594"/>
      <c r="Z81" s="594"/>
      <c r="AA81" s="594">
        <v>3</v>
      </c>
      <c r="AB81" s="594"/>
      <c r="AC81" s="594"/>
      <c r="AD81" s="594"/>
      <c r="AE81" s="594"/>
      <c r="AF81" s="594"/>
      <c r="AG81" s="594"/>
      <c r="AH81" s="594"/>
      <c r="AI81" s="594"/>
      <c r="AJ81" s="594"/>
      <c r="AK81" s="594"/>
      <c r="AL81" s="594"/>
      <c r="AM81" s="594"/>
      <c r="AN81" s="594">
        <v>3</v>
      </c>
      <c r="AO81" s="598"/>
      <c r="AP81" s="594">
        <v>306</v>
      </c>
      <c r="AQ81" s="594"/>
      <c r="AR81" s="599"/>
      <c r="AS81" s="594"/>
      <c r="AT81" s="594"/>
      <c r="AU81" s="594"/>
      <c r="AV81" s="594"/>
      <c r="AW81" s="594"/>
      <c r="AX81" s="593" t="s">
        <v>43</v>
      </c>
      <c r="AY81" s="598" t="s">
        <v>140</v>
      </c>
      <c r="AZ81" s="594">
        <v>10</v>
      </c>
      <c r="BA81" s="594"/>
      <c r="BB81" s="594">
        <v>46</v>
      </c>
      <c r="BC81" s="594"/>
      <c r="BD81" s="523"/>
      <c r="BE81" s="593"/>
      <c r="BF81" s="594">
        <v>77</v>
      </c>
      <c r="BG81" s="594"/>
      <c r="BH81" s="594"/>
      <c r="BI81" s="594">
        <v>22</v>
      </c>
      <c r="BJ81" s="594"/>
      <c r="BK81" s="594"/>
      <c r="BL81" s="594">
        <v>3</v>
      </c>
      <c r="BM81" s="594"/>
      <c r="BN81" s="594"/>
      <c r="BO81" s="593" t="s">
        <v>139</v>
      </c>
      <c r="BP81" s="594"/>
      <c r="BQ81" s="599"/>
      <c r="BR81" s="593"/>
      <c r="BS81" s="472"/>
      <c r="BT81" s="472"/>
      <c r="BU81" s="523"/>
      <c r="BV81" s="472"/>
      <c r="BW81" s="523"/>
      <c r="BX81" s="523"/>
      <c r="BY81" s="523"/>
      <c r="BZ81" s="601" t="str">
        <f>IFERROR(WWWW[[#This Row],['#_Water sources passed]]/WWWW[[#This Row],['#_Water sources tested for fecal coliform ]],"no test")</f>
        <v>no test</v>
      </c>
      <c r="CA81" s="599" t="str">
        <f>IFERROR(WWWW[[#This Row],['#_Household passed]]/WWWW[[#This Row],['#_Household water samples tested for fecal coliform]],"no test")</f>
        <v>no test</v>
      </c>
      <c r="CB81" s="600" t="str">
        <f>IF(AND(WWWW[[#This Row],[% of water sources passed]]="no test",WWWW[[#This Row],[% Household passed]]="no test"),"No Test","Tested")</f>
        <v>No Test</v>
      </c>
      <c r="CC81" s="600">
        <f>WWWW[[#This Row],['#_Constructed/existing protected hand dug well]]-WWWW[[#This Row],['#_Non-functional protected hand dug well]]</f>
        <v>3</v>
      </c>
      <c r="CD81" s="600">
        <f>(WWWW[[#This Row],['#_Constructed/Existing tube wells/boreholes/handpumps_WASH_agency]]+WWWW[[#This Row],['#_Non-Cluster partner water tube-wells/boreholes/handpumps]])-WWWW[[#This Row],['#_Non-functional tube wells/boreholes/handpumps]]</f>
        <v>0</v>
      </c>
      <c r="CE81" s="600">
        <f>WWWW[[#This Row],['#_Constructed/Existingwater storage tank with gravity fed reticulation system]]-WWWW[[#This Row],['#_Non-functional storage tank gravity fed reticulation system]]</f>
        <v>3</v>
      </c>
      <c r="CF81" s="478">
        <f>(WWWW[[#This Row],['#_Water_Liters_supplied_by_Water boating or water trucking]]/90)/15</f>
        <v>0</v>
      </c>
      <c r="CG81" s="478">
        <f>WWWW[[#This Row],['#_Water_Liters_from_Constructed/Existing water distribution system from river or natural spring]]/90/15</f>
        <v>0</v>
      </c>
      <c r="CH81" s="478">
        <f>WWWW[[#This Row],['#_of water points in TLS/CFS /THF]]*500</f>
        <v>1500</v>
      </c>
      <c r="CI8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0.38261820169445204</v>
      </c>
      <c r="CJ8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0.2596337797212353</v>
      </c>
      <c r="CK81" s="599">
        <f>IF(WWWW[[#This Row],[Location Type 1]]="Village",WWWW[[#This Row],[Access to safe drinking water for Village]],WWWW[[#This Row],[Access to safe drinking water for Camp]])</f>
        <v>0.38261820169445204</v>
      </c>
      <c r="CL81" s="597">
        <f>WWWW[[#This Row],[%Equitable and continuous access to sufficient quantity of safe drinking water]]*WWWW[[#This Row],[Total PoP ]]</f>
        <v>1400</v>
      </c>
      <c r="CM81" s="599">
        <f>IF((WWWW[[#This Row],['#_Constructed/Existing protected/fenced ponds]]*250)/WWWW[[#This Row],[Total PoP ]]&gt;1,1,(WWWW[[#This Row],['#_Constructed/Existing protected/fenced ponds]]*250)/WWWW[[#This Row],[Total PoP ]])</f>
        <v>0</v>
      </c>
      <c r="CN81" s="597">
        <f>WWWW[[#This Row],[% Access to unimproved water points]]*WWWW[[#This Row],[Total PoP ]]</f>
        <v>0</v>
      </c>
      <c r="CO8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0.38261820169445204</v>
      </c>
      <c r="CP8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1400</v>
      </c>
      <c r="CQ81" s="597">
        <f>WWWW[[#This Row],[HRP1]]/500</f>
        <v>2.8</v>
      </c>
      <c r="CR81" s="602">
        <f>1-WWWW[[#This Row],[% Equitable and continuous access to sufficient quantity of domestic water]]</f>
        <v>0.61738179830554796</v>
      </c>
      <c r="CS81" s="597">
        <f>WWWW[[#This Row],[%equitable and continuous access to sufficient quantity of safe drinking and domestic water''s GAP]]*WWWW[[#This Row],[Total PoP ]]</f>
        <v>2259</v>
      </c>
      <c r="CT81" s="600">
        <f>IF(WWWW[[#This Row],[Total required water points]]-WWWW[[#This Row],['#Water points coverage]]&lt;0,0,WWWW[[#This Row],[Total required water points]]-WWWW[[#This Row],['#Water points coverage]])</f>
        <v>4.2</v>
      </c>
      <c r="CU81" s="600">
        <f>ROUND(IF(WWWW[[#This Row],[Total PoP ]]&lt;500,1,WWWW[[#This Row],[Total PoP ]]/500),0)</f>
        <v>7</v>
      </c>
      <c r="CV81" s="600">
        <f>(WWWW[[#This Row],['#_Constructed latrines_by_WASHAgencies]]+WWWW[[#This Row],['#_Non Cluster partner latrines]])-WWWW[[#This Row],['#_Non-functional latrines]]</f>
        <v>306</v>
      </c>
      <c r="CW81" s="70">
        <f>WWWW[[#This Row],[HRP2]]/WWWW[[#This Row],[Total PoP ]]</f>
        <v>1</v>
      </c>
      <c r="CX8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3659</v>
      </c>
      <c r="CY8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749</v>
      </c>
      <c r="DA81" s="600">
        <f>IF(WWWW[[#This Row],['# of functional latrines in THF supported by WASH partners during the reporting period2]]="",0,WWWW[[#This Row],['# of functional latrines in THF supported by WASH partners during the reporting period2]]*50)</f>
        <v>0</v>
      </c>
      <c r="DB81" s="600">
        <f>WWWW[[#This Row],['# students access to functioning school latrines_HRP5]]+WWWW[[#This Row],['# People access to functioning latrines in THF_HRP5]]</f>
        <v>749</v>
      </c>
      <c r="DC81" s="600">
        <f>ROUND(IF(WWWW[[#This Row],[Location Type 1]]="camp",WWWW[[#This Row],[Total PoP ]]/20,IF(WWWW[[#This Row],[Location Type 1]]="Temporary Location",WWWW[[#This Row],[Total PoP ]]/50,WWWW[[#This Row],[Total HH]])),0)</f>
        <v>183</v>
      </c>
      <c r="DD81" s="600">
        <f>IF(WWWW[[#This Row],[Total required Latrines]]-(WWWW[[#This Row],['#_Constructed latrines_by_WASHAgencies]]+WWWW[[#This Row],['#_Non Cluster partner latrines]])&lt;0,0,WWWW[[#This Row],[Total required Latrines]]-(WWWW[[#This Row],['#_Constructed latrines_by_WASHAgencies]]+WWWW[[#This Row],['#_Non Cluster partner latrines]]))</f>
        <v>0</v>
      </c>
      <c r="DE81" s="602">
        <f>1-WWWW[[#This Row],[% people access to functioning Latrine]]</f>
        <v>0</v>
      </c>
      <c r="DF81" s="601">
        <f>IF(OR(WWWW[[#This Row],['#_Non-functional latrines]]="",WWWW[[#This Row],['#_Non-functional latrines]]=0),0,WWWW[[#This Row],['#_Non-functional latrines]]/(WWWW[[#This Row],['#_Constructed latrines_by_WASHAgencies]]+WWWW[[#This Row],['#_Non Cluster partner latrines]]))</f>
        <v>0</v>
      </c>
      <c r="DG81" s="597">
        <f>IF(500*(WWWW[[#This Row],['#_male hygiene promoters]]+WWWW[[#This Row],['#_female hygiene promoters]])&gt;WWWW[[#This Row],[Total PoP ]],WWWW[[#This Row],[Total PoP ]],500*(WWWW[[#This Row],['#_male hygiene promoters]]+WWWW[[#This Row],['#_female hygiene promoters]]))</f>
        <v>1500</v>
      </c>
      <c r="DH8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1" s="600">
        <f>IF(WWWW[[#This Row],['# People with access to soap]]&gt;WWWW[[#This Row],['# People with access to Sanity Pads]],WWWW[[#This Row],['# People with access to soap]],WWWW[[#This Row],['# People with access to Sanity Pads]])</f>
        <v>0</v>
      </c>
      <c r="DK81" s="600">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L81" s="602">
        <f>IF(WWWW[[#This Row],[HRP3]]/WWWW[[#This Row],[Total PoP ]]&gt;1,1,WWWW[[#This Row],[HRP3]]/WWWW[[#This Row],[Total PoP ]])</f>
        <v>0.40994807324405574</v>
      </c>
      <c r="DM81" s="601">
        <f>1-WWWW[[#This Row],[Hygiene Coverage%]]</f>
        <v>0.59005192675594431</v>
      </c>
      <c r="DN81" s="599">
        <f>WWWW[[#This Row],['# people reached by regular dedicated hygiene promotion_5]]/WWWW[[#This Row],[Total PoP ]]</f>
        <v>0.40994807324405574</v>
      </c>
      <c r="DO8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1" s="600">
        <f>WWWW[[#This Row],['#_Constructed/Existing hand washing stations]]-WWWW[[#This Row],['#_Non-Functional_hand_washing_stations]]</f>
        <v>77</v>
      </c>
      <c r="DR81" s="597">
        <f>IF(WWWW[[#This Row],['# Functional hand washing stations during reporting period]]*20&gt;WWWW[[#This Row],[Total HH]],WWWW[[#This Row],[Total HH]],WWWW[[#This Row],['# Functional hand washing stations during reporting period]]*20)</f>
        <v>714</v>
      </c>
      <c r="DS81" s="597">
        <f>IF(WWWW[[#This Row],[Is sufficient soap available for TLS? (Yes/No)]]="yes",WWWW[[#This Row],['#_Constructed/Existing hand washing stations at TLS]],0)</f>
        <v>0</v>
      </c>
      <c r="DT81" s="479">
        <f>IF(WWWW[[#This Row],['# Functional hand washing stations during reporting period]]*100&gt;WWWW[[#This Row],[Total PoP ]],WWWW[[#This Row],[Total PoP ]],WWWW[[#This Row],['# Functional hand washing stations during reporting period]]*100)</f>
        <v>3659</v>
      </c>
      <c r="DU81" s="479" t="str">
        <f>IF(OR(WWWW[[#This Row],['#_students at TLS_CFS]]="",WWWW[[#This Row],['#_students at TLS_CFS]]=0),"No","Yes")</f>
        <v>Yes</v>
      </c>
      <c r="DV8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81" s="593" t="str">
        <f>VLOOKUP(WWWW[[#This Row],[Site Name]],SiteDB6[[Site Name]:[CCCM Management]],6,FALSE)</f>
        <v>Yes</v>
      </c>
      <c r="DZ81" s="593" t="str">
        <f>VLOOKUP(WWWW[[#This Row],[Site Name]],SiteDB6[[Site Name]:[CCCM Focal Agency]],7,FALSE)</f>
        <v>KMSS-MYT</v>
      </c>
      <c r="EA81" s="593" t="str">
        <f>VLOOKUP(WWWW[[#This Row],[Site Name]],SiteDB6[[Site Name]:[Location Type 1]],9,FALSE)</f>
        <v>Camp</v>
      </c>
      <c r="EB81" s="593" t="str">
        <f>VLOOKUP(WWWW[[#This Row],[Site Name]],SiteDB6[[Site Name]:[Type of Accommodation]],10,FALSE)</f>
        <v>Camp</v>
      </c>
      <c r="EC81" s="593" t="str">
        <f>VLOOKUP(WWWW[[#This Row],[Site Name]],SiteDB6[[Site Name]:[Ethnic or GCA/NGCA]],11,FALSE)</f>
        <v>NGCA</v>
      </c>
      <c r="ED81" s="593">
        <f>VLOOKUP(WWWW[[#This Row],[Site Name]],SiteDB6[[Site Name]:[Lat]],12,FALSE)</f>
        <v>24.661905999999998</v>
      </c>
      <c r="EE81" s="593">
        <f>VLOOKUP(WWWW[[#This Row],[Site Name]],SiteDB6[[Site Name]:[Long]],13,FALSE)</f>
        <v>97.573126000000002</v>
      </c>
      <c r="EF81" s="593" t="str">
        <f>VLOOKUP(WWWW[[#This Row],[Site Name]],SiteDB6[[Site Name]:[Pcode]],3,FALSE)</f>
        <v>MMR001CMP122</v>
      </c>
      <c r="EG81" s="598" t="str">
        <f t="shared" si="1"/>
        <v>Covered</v>
      </c>
      <c r="EH81" s="598" t="str">
        <f>VLOOKUP(WWWW[[#This Row],[Site Name]],SiteDB6[[Site Name]:[open in cccm?]],2,FALSE)</f>
        <v>cccm_2019OCT</v>
      </c>
    </row>
    <row r="82" spans="1:138" hidden="1">
      <c r="A82" s="591" t="s">
        <v>3261</v>
      </c>
      <c r="B82" s="591" t="s">
        <v>195</v>
      </c>
      <c r="C82" s="592" t="s">
        <v>195</v>
      </c>
      <c r="D82" s="592" t="s">
        <v>3092</v>
      </c>
      <c r="E82" s="592" t="s">
        <v>39</v>
      </c>
      <c r="F82" s="592" t="s">
        <v>198</v>
      </c>
      <c r="G82" s="721" t="str">
        <f>VLOOKUP(WWWW[[#This Row],[Site Name]],SiteDB6[[Site Name]:[Location Type]],8,FALSE)</f>
        <v>Camp</v>
      </c>
      <c r="H82" s="592" t="s">
        <v>201</v>
      </c>
      <c r="I82" s="594">
        <v>40</v>
      </c>
      <c r="J82" s="594">
        <v>235</v>
      </c>
      <c r="K82" s="595">
        <v>43466</v>
      </c>
      <c r="L82" s="596">
        <v>43830</v>
      </c>
      <c r="M82" s="594"/>
      <c r="N82" s="594"/>
      <c r="O82" s="594"/>
      <c r="P82" s="594"/>
      <c r="Q82" s="597" t="s">
        <v>43</v>
      </c>
      <c r="R82" s="594">
        <v>1</v>
      </c>
      <c r="S82" s="594">
        <v>1</v>
      </c>
      <c r="T82" s="523">
        <v>1</v>
      </c>
      <c r="U82" s="594"/>
      <c r="V82" s="594"/>
      <c r="W82" s="594"/>
      <c r="X82" s="594">
        <v>2</v>
      </c>
      <c r="Y82" s="594"/>
      <c r="Z82" s="594"/>
      <c r="AA82" s="594"/>
      <c r="AB82" s="594"/>
      <c r="AC82" s="594"/>
      <c r="AD82" s="594"/>
      <c r="AE82" s="594"/>
      <c r="AF82" s="594"/>
      <c r="AG82" s="594"/>
      <c r="AH82" s="594"/>
      <c r="AI82" s="594"/>
      <c r="AJ82" s="594"/>
      <c r="AK82" s="594"/>
      <c r="AL82" s="594"/>
      <c r="AM82" s="594"/>
      <c r="AN82" s="594"/>
      <c r="AO82" s="598"/>
      <c r="AP82" s="594">
        <v>7</v>
      </c>
      <c r="AQ82" s="594"/>
      <c r="AR82" s="599"/>
      <c r="AS82" s="594"/>
      <c r="AT82" s="594"/>
      <c r="AU82" s="594"/>
      <c r="AV82" s="594"/>
      <c r="AW82" s="594"/>
      <c r="AX82" s="593" t="s">
        <v>43</v>
      </c>
      <c r="AY82" s="598" t="s">
        <v>140</v>
      </c>
      <c r="AZ82" s="594"/>
      <c r="BA82" s="594"/>
      <c r="BB82" s="594"/>
      <c r="BC82" s="594"/>
      <c r="BD82" s="523"/>
      <c r="BE82" s="593"/>
      <c r="BF82" s="594">
        <v>3</v>
      </c>
      <c r="BG82" s="594"/>
      <c r="BH82" s="594"/>
      <c r="BI82" s="594">
        <v>2</v>
      </c>
      <c r="BJ82" s="594"/>
      <c r="BK82" s="594"/>
      <c r="BL82" s="594"/>
      <c r="BM82" s="594"/>
      <c r="BN82" s="594"/>
      <c r="BO82" s="593"/>
      <c r="BP82" s="594"/>
      <c r="BQ82" s="599"/>
      <c r="BR82" s="593"/>
      <c r="BS82" s="472"/>
      <c r="BT82" s="472"/>
      <c r="BU82" s="523"/>
      <c r="BV82" s="472"/>
      <c r="BW82" s="523"/>
      <c r="BX82" s="523"/>
      <c r="BY82" s="523"/>
      <c r="BZ82" s="601" t="str">
        <f>IFERROR(WWWW[[#This Row],['#_Water sources passed]]/WWWW[[#This Row],['#_Water sources tested for fecal coliform ]],"no test")</f>
        <v>no test</v>
      </c>
      <c r="CA82" s="599" t="str">
        <f>IFERROR(WWWW[[#This Row],['#_Household passed]]/WWWW[[#This Row],['#_Household water samples tested for fecal coliform]],"no test")</f>
        <v>no test</v>
      </c>
      <c r="CB82" s="600" t="str">
        <f>IF(AND(WWWW[[#This Row],[% of water sources passed]]="no test",WWWW[[#This Row],[% Household passed]]="no test"),"No Test","Tested")</f>
        <v>No Test</v>
      </c>
      <c r="CC82" s="600">
        <f>WWWW[[#This Row],['#_Constructed/existing protected hand dug well]]-WWWW[[#This Row],['#_Non-functional protected hand dug well]]</f>
        <v>1</v>
      </c>
      <c r="CD82" s="600">
        <f>(WWWW[[#This Row],['#_Constructed/Existing tube wells/boreholes/handpumps_WASH_agency]]+WWWW[[#This Row],['#_Non-Cluster partner water tube-wells/boreholes/handpumps]])-WWWW[[#This Row],['#_Non-functional tube wells/boreholes/handpumps]]</f>
        <v>2</v>
      </c>
      <c r="CE82" s="600">
        <f>WWWW[[#This Row],['#_Constructed/Existingwater storage tank with gravity fed reticulation system]]-WWWW[[#This Row],['#_Non-functional storage tank gravity fed reticulation system]]</f>
        <v>0</v>
      </c>
      <c r="CF82" s="478">
        <f>(WWWW[[#This Row],['#_Water_Liters_supplied_by_Water boating or water trucking]]/90)/15</f>
        <v>0</v>
      </c>
      <c r="CG82" s="478">
        <f>WWWW[[#This Row],['#_Water_Liters_from_Constructed/Existing water distribution system from river or natural spring]]/90/15</f>
        <v>0</v>
      </c>
      <c r="CH82" s="478">
        <f>WWWW[[#This Row],['#_of water points in TLS/CFS /THF]]*500</f>
        <v>0</v>
      </c>
      <c r="CI8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2" s="599">
        <f>IF(WWWW[[#This Row],[Location Type 1]]="Village",WWWW[[#This Row],[Access to safe drinking water for Village]],WWWW[[#This Row],[Access to safe drinking water for Camp]])</f>
        <v>1</v>
      </c>
      <c r="CL82" s="597">
        <f>WWWW[[#This Row],[%Equitable and continuous access to sufficient quantity of safe drinking water]]*WWWW[[#This Row],[Total PoP ]]</f>
        <v>235</v>
      </c>
      <c r="CM82" s="599">
        <f>IF((WWWW[[#This Row],['#_Constructed/Existing protected/fenced ponds]]*250)/WWWW[[#This Row],[Total PoP ]]&gt;1,1,(WWWW[[#This Row],['#_Constructed/Existing protected/fenced ponds]]*250)/WWWW[[#This Row],[Total PoP ]])</f>
        <v>0</v>
      </c>
      <c r="CN82" s="597">
        <f>WWWW[[#This Row],[% Access to unimproved water points]]*WWWW[[#This Row],[Total PoP ]]</f>
        <v>0</v>
      </c>
      <c r="CO8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82" s="597">
        <f>WWWW[[#This Row],[HRP1]]/500</f>
        <v>0.47</v>
      </c>
      <c r="CR82" s="602">
        <f>1-WWWW[[#This Row],[% Equitable and continuous access to sufficient quantity of domestic water]]</f>
        <v>0</v>
      </c>
      <c r="CS82" s="597">
        <f>WWWW[[#This Row],[%equitable and continuous access to sufficient quantity of safe drinking and domestic water''s GAP]]*WWWW[[#This Row],[Total PoP ]]</f>
        <v>0</v>
      </c>
      <c r="CT82" s="600">
        <f>IF(WWWW[[#This Row],[Total required water points]]-WWWW[[#This Row],['#Water points coverage]]&lt;0,0,WWWW[[#This Row],[Total required water points]]-WWWW[[#This Row],['#Water points coverage]])</f>
        <v>0.53</v>
      </c>
      <c r="CU82" s="600">
        <f>ROUND(IF(WWWW[[#This Row],[Total PoP ]]&lt;500,1,WWWW[[#This Row],[Total PoP ]]/500),0)</f>
        <v>1</v>
      </c>
      <c r="CV82" s="600">
        <f>(WWWW[[#This Row],['#_Constructed latrines_by_WASHAgencies]]+WWWW[[#This Row],['#_Non Cluster partner latrines]])-WWWW[[#This Row],['#_Non-functional latrines]]</f>
        <v>7</v>
      </c>
      <c r="CW82" s="70">
        <f>WWWW[[#This Row],[HRP2]]/WWWW[[#This Row],[Total PoP ]]</f>
        <v>0.5957446808510638</v>
      </c>
      <c r="CX8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8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2" s="600">
        <f>IF(WWWW[[#This Row],['# of functional latrines in THF supported by WASH partners during the reporting period2]]="",0,WWWW[[#This Row],['# of functional latrines in THF supported by WASH partners during the reporting period2]]*50)</f>
        <v>0</v>
      </c>
      <c r="DB82" s="600">
        <f>WWWW[[#This Row],['# students access to functioning school latrines_HRP5]]+WWWW[[#This Row],['# People access to functioning latrines in THF_HRP5]]</f>
        <v>0</v>
      </c>
      <c r="DC82" s="600">
        <f>ROUND(IF(WWWW[[#This Row],[Location Type 1]]="camp",WWWW[[#This Row],[Total PoP ]]/20,IF(WWWW[[#This Row],[Location Type 1]]="Temporary Location",WWWW[[#This Row],[Total PoP ]]/50,WWWW[[#This Row],[Total HH]])),0)</f>
        <v>12</v>
      </c>
      <c r="DD82" s="600">
        <f>IF(WWWW[[#This Row],[Total required Latrines]]-(WWWW[[#This Row],['#_Constructed latrines_by_WASHAgencies]]+WWWW[[#This Row],['#_Non Cluster partner latrines]])&lt;0,0,WWWW[[#This Row],[Total required Latrines]]-(WWWW[[#This Row],['#_Constructed latrines_by_WASHAgencies]]+WWWW[[#This Row],['#_Non Cluster partner latrines]]))</f>
        <v>5</v>
      </c>
      <c r="DE82" s="602">
        <f>1-WWWW[[#This Row],[% people access to functioning Latrine]]</f>
        <v>0.4042553191489362</v>
      </c>
      <c r="DF82" s="601">
        <f>IF(OR(WWWW[[#This Row],['#_Non-functional latrines]]="",WWWW[[#This Row],['#_Non-functional latrines]]=0),0,WWWW[[#This Row],['#_Non-functional latrines]]/(WWWW[[#This Row],['#_Constructed latrines_by_WASHAgencies]]+WWWW[[#This Row],['#_Non Cluster partner latrines]]))</f>
        <v>0</v>
      </c>
      <c r="DG82" s="597">
        <f>IF(500*(WWWW[[#This Row],['#_male hygiene promoters]]+WWWW[[#This Row],['#_female hygiene promoters]])&gt;WWWW[[#This Row],[Total PoP ]],WWWW[[#This Row],[Total PoP ]],500*(WWWW[[#This Row],['#_male hygiene promoters]]+WWWW[[#This Row],['#_female hygiene promoters]]))</f>
        <v>0</v>
      </c>
      <c r="DH8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2" s="600">
        <f>IF(WWWW[[#This Row],['# People with access to soap]]&gt;WWWW[[#This Row],['# People with access to Sanity Pads]],WWWW[[#This Row],['# People with access to soap]],WWWW[[#This Row],['# People with access to Sanity Pads]])</f>
        <v>0</v>
      </c>
      <c r="DK8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2" s="602">
        <f>IF(WWWW[[#This Row],[HRP3]]/WWWW[[#This Row],[Total PoP ]]&gt;1,1,WWWW[[#This Row],[HRP3]]/WWWW[[#This Row],[Total PoP ]])</f>
        <v>0</v>
      </c>
      <c r="DM82" s="601">
        <f>1-WWWW[[#This Row],[Hygiene Coverage%]]</f>
        <v>1</v>
      </c>
      <c r="DN82" s="599">
        <f>WWWW[[#This Row],['# people reached by regular dedicated hygiene promotion_5]]/WWWW[[#This Row],[Total PoP ]]</f>
        <v>0</v>
      </c>
      <c r="DO8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2" s="600">
        <f>WWWW[[#This Row],['#_Constructed/Existing hand washing stations]]-WWWW[[#This Row],['#_Non-Functional_hand_washing_stations]]</f>
        <v>3</v>
      </c>
      <c r="DR82" s="597">
        <f>IF(WWWW[[#This Row],['# Functional hand washing stations during reporting period]]*20&gt;WWWW[[#This Row],[Total HH]],WWWW[[#This Row],[Total HH]],WWWW[[#This Row],['# Functional hand washing stations during reporting period]]*20)</f>
        <v>40</v>
      </c>
      <c r="DS82" s="597">
        <f>IF(WWWW[[#This Row],[Is sufficient soap available for TLS? (Yes/No)]]="yes",WWWW[[#This Row],['#_Constructed/Existing hand washing stations at TLS]],0)</f>
        <v>0</v>
      </c>
      <c r="DT82" s="479">
        <f>IF(WWWW[[#This Row],['# Functional hand washing stations during reporting period]]*100&gt;WWWW[[#This Row],[Total PoP ]],WWWW[[#This Row],[Total PoP ]],WWWW[[#This Row],['# Functional hand washing stations during reporting period]]*100)</f>
        <v>235</v>
      </c>
      <c r="DU82" s="479" t="str">
        <f>IF(OR(WWWW[[#This Row],['#_students at TLS_CFS]]="",WWWW[[#This Row],['#_students at TLS_CFS]]=0),"No","Yes")</f>
        <v>No</v>
      </c>
      <c r="DV8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2" s="593" t="str">
        <f>VLOOKUP(WWWW[[#This Row],[Site Name]],SiteDB6[[Site Name]:[CCCM Management]],6,FALSE)</f>
        <v>Yes</v>
      </c>
      <c r="DZ82" s="593" t="str">
        <f>VLOOKUP(WWWW[[#This Row],[Site Name]],SiteDB6[[Site Name]:[CCCM Focal Agency]],7,FALSE)</f>
        <v>KBC-BMO</v>
      </c>
      <c r="EA82" s="593" t="str">
        <f>VLOOKUP(WWWW[[#This Row],[Site Name]],SiteDB6[[Site Name]:[Location Type 1]],9,FALSE)</f>
        <v>Camp</v>
      </c>
      <c r="EB82" s="593" t="str">
        <f>VLOOKUP(WWWW[[#This Row],[Site Name]],SiteDB6[[Site Name]:[Type of Accommodation]],10,FALSE)</f>
        <v>Camp</v>
      </c>
      <c r="EC82" s="593" t="str">
        <f>VLOOKUP(WWWW[[#This Row],[Site Name]],SiteDB6[[Site Name]:[Ethnic or GCA/NGCA]],11,FALSE)</f>
        <v>GCA</v>
      </c>
      <c r="ED82" s="593">
        <f>VLOOKUP(WWWW[[#This Row],[Site Name]],SiteDB6[[Site Name]:[Lat]],12,FALSE)</f>
        <v>24.24766</v>
      </c>
      <c r="EE82" s="593">
        <f>VLOOKUP(WWWW[[#This Row],[Site Name]],SiteDB6[[Site Name]:[Long]],13,FALSE)</f>
        <v>97.236919999999998</v>
      </c>
      <c r="EF82" s="593" t="str">
        <f>VLOOKUP(WWWW[[#This Row],[Site Name]],SiteDB6[[Site Name]:[Pcode]],3,FALSE)</f>
        <v>MMR001CMP052</v>
      </c>
      <c r="EG82" s="598" t="str">
        <f t="shared" si="1"/>
        <v>Covered</v>
      </c>
      <c r="EH82" s="598" t="str">
        <f>VLOOKUP(WWWW[[#This Row],[Site Name]],SiteDB6[[Site Name]:[open in cccm?]],2,FALSE)</f>
        <v>cccm_2019OCT</v>
      </c>
    </row>
    <row r="83" spans="1:138" hidden="1">
      <c r="A83" s="591" t="s">
        <v>3261</v>
      </c>
      <c r="B83" s="591" t="s">
        <v>195</v>
      </c>
      <c r="C83" s="592" t="s">
        <v>195</v>
      </c>
      <c r="D83" s="592" t="s">
        <v>3045</v>
      </c>
      <c r="E83" s="592" t="s">
        <v>711</v>
      </c>
      <c r="F83" s="592" t="s">
        <v>715</v>
      </c>
      <c r="G83" s="721" t="str">
        <f>VLOOKUP(WWWW[[#This Row],[Site Name]],SiteDB6[[Site Name]:[Location Type]],8,FALSE)</f>
        <v>Camp</v>
      </c>
      <c r="H83" s="592" t="s">
        <v>2305</v>
      </c>
      <c r="I83" s="594">
        <v>32</v>
      </c>
      <c r="J83" s="594">
        <v>154</v>
      </c>
      <c r="K83" s="595" t="s">
        <v>3289</v>
      </c>
      <c r="L83" s="596" t="s">
        <v>3290</v>
      </c>
      <c r="M83" s="594">
        <v>39</v>
      </c>
      <c r="N83" s="594">
        <v>3</v>
      </c>
      <c r="O83" s="594"/>
      <c r="P83" s="594"/>
      <c r="Q83" s="597" t="s">
        <v>43</v>
      </c>
      <c r="R83" s="594">
        <v>4</v>
      </c>
      <c r="S83" s="594"/>
      <c r="T83" s="523">
        <v>0</v>
      </c>
      <c r="U83" s="594"/>
      <c r="V83" s="594"/>
      <c r="W83" s="594">
        <v>0</v>
      </c>
      <c r="X83" s="594">
        <v>0</v>
      </c>
      <c r="Y83" s="594"/>
      <c r="Z83" s="594"/>
      <c r="AA83" s="594">
        <v>37</v>
      </c>
      <c r="AB83" s="594"/>
      <c r="AC83" s="594"/>
      <c r="AD83" s="594">
        <v>0</v>
      </c>
      <c r="AE83" s="594"/>
      <c r="AF83" s="594">
        <v>0</v>
      </c>
      <c r="AG83" s="594">
        <v>3</v>
      </c>
      <c r="AH83" s="594"/>
      <c r="AI83" s="594"/>
      <c r="AJ83" s="594"/>
      <c r="AK83" s="594"/>
      <c r="AL83" s="594"/>
      <c r="AM83" s="594"/>
      <c r="AN83" s="594"/>
      <c r="AO83" s="598"/>
      <c r="AP83" s="594">
        <v>30</v>
      </c>
      <c r="AQ83" s="594">
        <v>0</v>
      </c>
      <c r="AR83" s="599"/>
      <c r="AS83" s="594"/>
      <c r="AT83" s="594"/>
      <c r="AU83" s="594"/>
      <c r="AV83" s="594"/>
      <c r="AW83" s="594"/>
      <c r="AX83" s="593" t="s">
        <v>43</v>
      </c>
      <c r="AY83" s="598" t="s">
        <v>140</v>
      </c>
      <c r="AZ83" s="594">
        <v>0</v>
      </c>
      <c r="BA83" s="594">
        <v>0</v>
      </c>
      <c r="BB83" s="594"/>
      <c r="BC83" s="594"/>
      <c r="BD83" s="523"/>
      <c r="BE83" s="593"/>
      <c r="BF83" s="594">
        <v>0</v>
      </c>
      <c r="BG83" s="594"/>
      <c r="BH83" s="594">
        <v>0</v>
      </c>
      <c r="BI83" s="594">
        <v>1</v>
      </c>
      <c r="BJ83" s="594"/>
      <c r="BK83" s="594">
        <v>0</v>
      </c>
      <c r="BL83" s="594">
        <v>1</v>
      </c>
      <c r="BM83" s="594"/>
      <c r="BN83" s="594"/>
      <c r="BO83" s="593"/>
      <c r="BP83" s="594"/>
      <c r="BQ83" s="599"/>
      <c r="BR83" s="593"/>
      <c r="BS83" s="472"/>
      <c r="BT83" s="472"/>
      <c r="BU83" s="523"/>
      <c r="BV83" s="472"/>
      <c r="BW83" s="523"/>
      <c r="BX83" s="523"/>
      <c r="BY83" s="523"/>
      <c r="BZ83" s="601" t="str">
        <f>IFERROR(WWWW[[#This Row],['#_Water sources passed]]/WWWW[[#This Row],['#_Water sources tested for fecal coliform ]],"no test")</f>
        <v>no test</v>
      </c>
      <c r="CA83" s="599" t="str">
        <f>IFERROR(WWWW[[#This Row],['#_Household passed]]/WWWW[[#This Row],['#_Household water samples tested for fecal coliform]],"no test")</f>
        <v>no test</v>
      </c>
      <c r="CB83" s="600" t="str">
        <f>IF(AND(WWWW[[#This Row],[% of water sources passed]]="no test",WWWW[[#This Row],[% Household passed]]="no test"),"No Test","Tested")</f>
        <v>No Test</v>
      </c>
      <c r="CC83" s="600">
        <f>WWWW[[#This Row],['#_Constructed/existing protected hand dug well]]-WWWW[[#This Row],['#_Non-functional protected hand dug well]]</f>
        <v>0</v>
      </c>
      <c r="CD83" s="600">
        <f>(WWWW[[#This Row],['#_Constructed/Existing tube wells/boreholes/handpumps_WASH_agency]]+WWWW[[#This Row],['#_Non-Cluster partner water tube-wells/boreholes/handpumps]])-WWWW[[#This Row],['#_Non-functional tube wells/boreholes/handpumps]]</f>
        <v>0</v>
      </c>
      <c r="CE83" s="600">
        <f>WWWW[[#This Row],['#_Constructed/Existingwater storage tank with gravity fed reticulation system]]-WWWW[[#This Row],['#_Non-functional storage tank gravity fed reticulation system]]</f>
        <v>37</v>
      </c>
      <c r="CF83" s="478">
        <f>(WWWW[[#This Row],['#_Water_Liters_supplied_by_Water boating or water trucking]]/90)/15</f>
        <v>0</v>
      </c>
      <c r="CG83" s="478">
        <f>WWWW[[#This Row],['#_Water_Liters_from_Constructed/Existing water distribution system from river or natural spring]]/90/15</f>
        <v>0</v>
      </c>
      <c r="CH83" s="478">
        <f>WWWW[[#This Row],['#_of water points in TLS/CFS /THF]]*500</f>
        <v>0</v>
      </c>
      <c r="CI8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3" s="599">
        <f>IF(WWWW[[#This Row],[Location Type 1]]="Village",WWWW[[#This Row],[Access to safe drinking water for Village]],WWWW[[#This Row],[Access to safe drinking water for Camp]])</f>
        <v>1</v>
      </c>
      <c r="CL83" s="597">
        <f>WWWW[[#This Row],[%Equitable and continuous access to sufficient quantity of safe drinking water]]*WWWW[[#This Row],[Total PoP ]]</f>
        <v>154</v>
      </c>
      <c r="CM83" s="599">
        <f>IF((WWWW[[#This Row],['#_Constructed/Existing protected/fenced ponds]]*250)/WWWW[[#This Row],[Total PoP ]]&gt;1,1,(WWWW[[#This Row],['#_Constructed/Existing protected/fenced ponds]]*250)/WWWW[[#This Row],[Total PoP ]])</f>
        <v>0</v>
      </c>
      <c r="CN83" s="597">
        <f>WWWW[[#This Row],[% Access to unimproved water points]]*WWWW[[#This Row],[Total PoP ]]</f>
        <v>0</v>
      </c>
      <c r="CO8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Q83" s="597">
        <f>WWWW[[#This Row],[HRP1]]/500</f>
        <v>0.308</v>
      </c>
      <c r="CR83" s="602">
        <f>1-WWWW[[#This Row],[% Equitable and continuous access to sufficient quantity of domestic water]]</f>
        <v>0</v>
      </c>
      <c r="CS83" s="597">
        <f>WWWW[[#This Row],[%equitable and continuous access to sufficient quantity of safe drinking and domestic water''s GAP]]*WWWW[[#This Row],[Total PoP ]]</f>
        <v>0</v>
      </c>
      <c r="CT83" s="600">
        <f>IF(WWWW[[#This Row],[Total required water points]]-WWWW[[#This Row],['#Water points coverage]]&lt;0,0,WWWW[[#This Row],[Total required water points]]-WWWW[[#This Row],['#Water points coverage]])</f>
        <v>0.69199999999999995</v>
      </c>
      <c r="CU83" s="600">
        <f>ROUND(IF(WWWW[[#This Row],[Total PoP ]]&lt;500,1,WWWW[[#This Row],[Total PoP ]]/500),0)</f>
        <v>1</v>
      </c>
      <c r="CV83" s="600">
        <f>(WWWW[[#This Row],['#_Constructed latrines_by_WASHAgencies]]+WWWW[[#This Row],['#_Non Cluster partner latrines]])-WWWW[[#This Row],['#_Non-functional latrines]]</f>
        <v>30</v>
      </c>
      <c r="CW83" s="70">
        <f>WWWW[[#This Row],[HRP2]]/WWWW[[#This Row],[Total PoP ]]</f>
        <v>1</v>
      </c>
      <c r="CX8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154</v>
      </c>
      <c r="CY8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3" s="600">
        <f>IF(WWWW[[#This Row],['# of functional latrines in THF supported by WASH partners during the reporting period2]]="",0,WWWW[[#This Row],['# of functional latrines in THF supported by WASH partners during the reporting period2]]*50)</f>
        <v>0</v>
      </c>
      <c r="DB83" s="600">
        <f>WWWW[[#This Row],['# students access to functioning school latrines_HRP5]]+WWWW[[#This Row],['# People access to functioning latrines in THF_HRP5]]</f>
        <v>0</v>
      </c>
      <c r="DC83" s="600">
        <f>ROUND(IF(WWWW[[#This Row],[Location Type 1]]="camp",WWWW[[#This Row],[Total PoP ]]/20,IF(WWWW[[#This Row],[Location Type 1]]="Temporary Location",WWWW[[#This Row],[Total PoP ]]/50,WWWW[[#This Row],[Total HH]])),0)</f>
        <v>8</v>
      </c>
      <c r="DD83" s="600">
        <f>IF(WWWW[[#This Row],[Total required Latrines]]-(WWWW[[#This Row],['#_Constructed latrines_by_WASHAgencies]]+WWWW[[#This Row],['#_Non Cluster partner latrines]])&lt;0,0,WWWW[[#This Row],[Total required Latrines]]-(WWWW[[#This Row],['#_Constructed latrines_by_WASHAgencies]]+WWWW[[#This Row],['#_Non Cluster partner latrines]]))</f>
        <v>0</v>
      </c>
      <c r="DE83" s="602">
        <f>1-WWWW[[#This Row],[% people access to functioning Latrine]]</f>
        <v>0</v>
      </c>
      <c r="DF83" s="601">
        <f>IF(OR(WWWW[[#This Row],['#_Non-functional latrines]]="",WWWW[[#This Row],['#_Non-functional latrines]]=0),0,WWWW[[#This Row],['#_Non-functional latrines]]/(WWWW[[#This Row],['#_Constructed latrines_by_WASHAgencies]]+WWWW[[#This Row],['#_Non Cluster partner latrines]]))</f>
        <v>0</v>
      </c>
      <c r="DG83" s="597">
        <f>IF(500*(WWWW[[#This Row],['#_male hygiene promoters]]+WWWW[[#This Row],['#_female hygiene promoters]])&gt;WWWW[[#This Row],[Total PoP ]],WWWW[[#This Row],[Total PoP ]],500*(WWWW[[#This Row],['#_male hygiene promoters]]+WWWW[[#This Row],['#_female hygiene promoters]]))</f>
        <v>154</v>
      </c>
      <c r="DH8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3" s="600">
        <f>IF(WWWW[[#This Row],['# People with access to soap]]&gt;WWWW[[#This Row],['# People with access to Sanity Pads]],WWWW[[#This Row],['# People with access to soap]],WWWW[[#This Row],['# People with access to Sanity Pads]])</f>
        <v>0</v>
      </c>
      <c r="DK83" s="600">
        <f>IF(WWWW[[#This Row],['# people reached by regular dedicated hygiene promotion_5]]&gt;WWWW[[#This Row],['# People received regular supply of hygiene items_6]],WWWW[[#This Row],['# people reached by regular dedicated hygiene promotion_5]],WWWW[[#This Row],['# People received regular supply of hygiene items_6]])</f>
        <v>154</v>
      </c>
      <c r="DL83" s="602">
        <f>IF(WWWW[[#This Row],[HRP3]]/WWWW[[#This Row],[Total PoP ]]&gt;1,1,WWWW[[#This Row],[HRP3]]/WWWW[[#This Row],[Total PoP ]])</f>
        <v>1</v>
      </c>
      <c r="DM83" s="601">
        <f>1-WWWW[[#This Row],[Hygiene Coverage%]]</f>
        <v>0</v>
      </c>
      <c r="DN83" s="599">
        <f>WWWW[[#This Row],['# people reached by regular dedicated hygiene promotion_5]]/WWWW[[#This Row],[Total PoP ]]</f>
        <v>1</v>
      </c>
      <c r="DO8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3" s="600">
        <f>WWWW[[#This Row],['#_Constructed/Existing hand washing stations]]-WWWW[[#This Row],['#_Non-Functional_hand_washing_stations]]</f>
        <v>0</v>
      </c>
      <c r="DR83" s="597">
        <f>IF(WWWW[[#This Row],['# Functional hand washing stations during reporting period]]*20&gt;WWWW[[#This Row],[Total HH]],WWWW[[#This Row],[Total HH]],WWWW[[#This Row],['# Functional hand washing stations during reporting period]]*20)</f>
        <v>0</v>
      </c>
      <c r="DS83" s="597">
        <f>IF(WWWW[[#This Row],[Is sufficient soap available for TLS? (Yes/No)]]="yes",WWWW[[#This Row],['#_Constructed/Existing hand washing stations at TLS]],0)</f>
        <v>0</v>
      </c>
      <c r="DT83" s="479">
        <f>IF(WWWW[[#This Row],['# Functional hand washing stations during reporting period]]*100&gt;WWWW[[#This Row],[Total PoP ]],WWWW[[#This Row],[Total PoP ]],WWWW[[#This Row],['# Functional hand washing stations during reporting period]]*100)</f>
        <v>0</v>
      </c>
      <c r="DU83" s="479" t="str">
        <f>IF(OR(WWWW[[#This Row],['#_students at TLS_CFS]]="",WWWW[[#This Row],['#_students at TLS_CFS]]=0),"No","Yes")</f>
        <v>Yes</v>
      </c>
      <c r="DV8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3" s="593" t="str">
        <f>VLOOKUP(WWWW[[#This Row],[Site Name]],SiteDB6[[Site Name]:[CCCM Management]],6,FALSE)</f>
        <v>Yes</v>
      </c>
      <c r="DZ83" s="593" t="str">
        <f>VLOOKUP(WWWW[[#This Row],[Site Name]],SiteDB6[[Site Name]:[CCCM Focal Agency]],7,FALSE)</f>
        <v>KMSS-LSO</v>
      </c>
      <c r="EA83" s="593" t="str">
        <f>VLOOKUP(WWWW[[#This Row],[Site Name]],SiteDB6[[Site Name]:[Location Type 1]],9,FALSE)</f>
        <v>Camp</v>
      </c>
      <c r="EB83" s="593" t="str">
        <f>VLOOKUP(WWWW[[#This Row],[Site Name]],SiteDB6[[Site Name]:[Type of Accommodation]],10,FALSE)</f>
        <v>Camp</v>
      </c>
      <c r="EC83" s="593" t="str">
        <f>VLOOKUP(WWWW[[#This Row],[Site Name]],SiteDB6[[Site Name]:[Ethnic or GCA/NGCA]],11,FALSE)</f>
        <v>GCA</v>
      </c>
      <c r="ED83" s="593">
        <f>VLOOKUP(WWWW[[#This Row],[Site Name]],SiteDB6[[Site Name]:[Lat]],12,FALSE)</f>
        <v>0</v>
      </c>
      <c r="EE83" s="593">
        <f>VLOOKUP(WWWW[[#This Row],[Site Name]],SiteDB6[[Site Name]:[Long]],13,FALSE)</f>
        <v>0</v>
      </c>
      <c r="EF83" s="593" t="str">
        <f>VLOOKUP(WWWW[[#This Row],[Site Name]],SiteDB6[[Site Name]:[Pcode]],3,FALSE)</f>
        <v>MMR015CMP250</v>
      </c>
      <c r="EG83" s="598" t="str">
        <f t="shared" si="1"/>
        <v>Covered</v>
      </c>
      <c r="EH83" s="598" t="str">
        <f>VLOOKUP(WWWW[[#This Row],[Site Name]],SiteDB6[[Site Name]:[open in cccm?]],2,FALSE)</f>
        <v>cccm_2019OCT</v>
      </c>
    </row>
    <row r="84" spans="1:138" hidden="1">
      <c r="A84" s="591" t="s">
        <v>3261</v>
      </c>
      <c r="B84" s="591" t="s">
        <v>195</v>
      </c>
      <c r="C84" s="592" t="s">
        <v>195</v>
      </c>
      <c r="D84" s="592" t="s">
        <v>221</v>
      </c>
      <c r="E84" s="592" t="s">
        <v>39</v>
      </c>
      <c r="F84" s="592" t="s">
        <v>145</v>
      </c>
      <c r="G84" s="721" t="str">
        <f>VLOOKUP(WWWW[[#This Row],[Site Name]],SiteDB6[[Site Name]:[Location Type]],8,FALSE)</f>
        <v>Camp</v>
      </c>
      <c r="H84" s="592" t="s">
        <v>227</v>
      </c>
      <c r="I84" s="594">
        <v>144</v>
      </c>
      <c r="J84" s="594">
        <v>680</v>
      </c>
      <c r="K84" s="595"/>
      <c r="L84" s="596">
        <v>43465</v>
      </c>
      <c r="M84" s="594"/>
      <c r="N84" s="594"/>
      <c r="O84" s="594"/>
      <c r="P84" s="594"/>
      <c r="Q84" s="597"/>
      <c r="R84" s="594"/>
      <c r="S84" s="594">
        <v>5</v>
      </c>
      <c r="T84" s="523"/>
      <c r="U84" s="594"/>
      <c r="V84" s="594"/>
      <c r="W84" s="594"/>
      <c r="X84" s="594"/>
      <c r="Y84" s="594"/>
      <c r="Z84" s="594"/>
      <c r="AA84" s="594"/>
      <c r="AB84" s="594"/>
      <c r="AC84" s="594"/>
      <c r="AD84" s="594"/>
      <c r="AE84" s="594"/>
      <c r="AF84" s="594">
        <v>27200</v>
      </c>
      <c r="AG84" s="594"/>
      <c r="AH84" s="594"/>
      <c r="AI84" s="594"/>
      <c r="AJ84" s="594"/>
      <c r="AK84" s="594"/>
      <c r="AL84" s="594"/>
      <c r="AM84" s="594"/>
      <c r="AN84" s="594"/>
      <c r="AO84" s="598"/>
      <c r="AP84" s="594"/>
      <c r="AQ84" s="594"/>
      <c r="AR84" s="599"/>
      <c r="AS84" s="594"/>
      <c r="AT84" s="594"/>
      <c r="AU84" s="594"/>
      <c r="AV84" s="594"/>
      <c r="AW84" s="594"/>
      <c r="AX84" s="593" t="s">
        <v>43</v>
      </c>
      <c r="AY84" s="598" t="s">
        <v>140</v>
      </c>
      <c r="AZ84" s="594"/>
      <c r="BA84" s="594"/>
      <c r="BB84" s="594"/>
      <c r="BC84" s="594"/>
      <c r="BD84" s="523"/>
      <c r="BE84" s="593"/>
      <c r="BF84" s="594"/>
      <c r="BG84" s="594"/>
      <c r="BH84" s="594"/>
      <c r="BI84" s="594"/>
      <c r="BJ84" s="594"/>
      <c r="BK84" s="594"/>
      <c r="BL84" s="594"/>
      <c r="BM84" s="594"/>
      <c r="BN84" s="594"/>
      <c r="BO84" s="593"/>
      <c r="BP84" s="594"/>
      <c r="BQ84" s="599"/>
      <c r="BR84" s="593"/>
      <c r="BS84" s="472"/>
      <c r="BT84" s="472"/>
      <c r="BU84" s="523"/>
      <c r="BV84" s="472"/>
      <c r="BW84" s="523"/>
      <c r="BX84" s="523"/>
      <c r="BY84" s="523"/>
      <c r="BZ84" s="601" t="str">
        <f>IFERROR(WWWW[[#This Row],['#_Water sources passed]]/WWWW[[#This Row],['#_Water sources tested for fecal coliform ]],"no test")</f>
        <v>no test</v>
      </c>
      <c r="CA84" s="599" t="str">
        <f>IFERROR(WWWW[[#This Row],['#_Household passed]]/WWWW[[#This Row],['#_Household water samples tested for fecal coliform]],"no test")</f>
        <v>no test</v>
      </c>
      <c r="CB84" s="600" t="str">
        <f>IF(AND(WWWW[[#This Row],[% of water sources passed]]="no test",WWWW[[#This Row],[% Household passed]]="no test"),"No Test","Tested")</f>
        <v>No Test</v>
      </c>
      <c r="CC84" s="600">
        <f>WWWW[[#This Row],['#_Constructed/existing protected hand dug well]]-WWWW[[#This Row],['#_Non-functional protected hand dug well]]</f>
        <v>0</v>
      </c>
      <c r="CD84" s="600">
        <f>(WWWW[[#This Row],['#_Constructed/Existing tube wells/boreholes/handpumps_WASH_agency]]+WWWW[[#This Row],['#_Non-Cluster partner water tube-wells/boreholes/handpumps]])-WWWW[[#This Row],['#_Non-functional tube wells/boreholes/handpumps]]</f>
        <v>0</v>
      </c>
      <c r="CE84" s="600">
        <f>WWWW[[#This Row],['#_Constructed/Existingwater storage tank with gravity fed reticulation system]]-WWWW[[#This Row],['#_Non-functional storage tank gravity fed reticulation system]]</f>
        <v>0</v>
      </c>
      <c r="CF84" s="478">
        <f>(WWWW[[#This Row],['#_Water_Liters_supplied_by_Water boating or water trucking]]/90)/15</f>
        <v>0</v>
      </c>
      <c r="CG84" s="478">
        <f>WWWW[[#This Row],['#_Water_Liters_from_Constructed/Existing water distribution system from river or natural spring]]/90/15</f>
        <v>20.148148148148149</v>
      </c>
      <c r="CH84" s="478">
        <f>WWWW[[#This Row],['#_of water points in TLS/CFS /THF]]*500</f>
        <v>0</v>
      </c>
      <c r="CI8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2.9629629629629631E-2</v>
      </c>
      <c r="CJ8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2.9629629629629631E-2</v>
      </c>
      <c r="CK84" s="599">
        <f>IF(WWWW[[#This Row],[Location Type 1]]="Village",WWWW[[#This Row],[Access to safe drinking water for Village]],WWWW[[#This Row],[Access to safe drinking water for Camp]])</f>
        <v>2.9629629629629631E-2</v>
      </c>
      <c r="CL84" s="597">
        <f>WWWW[[#This Row],[%Equitable and continuous access to sufficient quantity of safe drinking water]]*WWWW[[#This Row],[Total PoP ]]</f>
        <v>20.148148148148149</v>
      </c>
      <c r="CM84" s="599">
        <f>IF((WWWW[[#This Row],['#_Constructed/Existing protected/fenced ponds]]*250)/WWWW[[#This Row],[Total PoP ]]&gt;1,1,(WWWW[[#This Row],['#_Constructed/Existing protected/fenced ponds]]*250)/WWWW[[#This Row],[Total PoP ]])</f>
        <v>0</v>
      </c>
      <c r="CN84" s="597">
        <f>WWWW[[#This Row],[% Access to unimproved water points]]*WWWW[[#This Row],[Total PoP ]]</f>
        <v>0</v>
      </c>
      <c r="CO8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2.9629629629629631E-2</v>
      </c>
      <c r="CP8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20.148148148148149</v>
      </c>
      <c r="CQ84" s="597">
        <f>WWWW[[#This Row],[HRP1]]/500</f>
        <v>4.0296296296296295E-2</v>
      </c>
      <c r="CR84" s="602">
        <f>1-WWWW[[#This Row],[% Equitable and continuous access to sufficient quantity of domestic water]]</f>
        <v>0.97037037037037033</v>
      </c>
      <c r="CS84" s="597">
        <f>WWWW[[#This Row],[%equitable and continuous access to sufficient quantity of safe drinking and domestic water''s GAP]]*WWWW[[#This Row],[Total PoP ]]</f>
        <v>659.85185185185185</v>
      </c>
      <c r="CT84" s="600">
        <f>IF(WWWW[[#This Row],[Total required water points]]-WWWW[[#This Row],['#Water points coverage]]&lt;0,0,WWWW[[#This Row],[Total required water points]]-WWWW[[#This Row],['#Water points coverage]])</f>
        <v>0.95970370370370373</v>
      </c>
      <c r="CU84" s="600">
        <f>ROUND(IF(WWWW[[#This Row],[Total PoP ]]&lt;500,1,WWWW[[#This Row],[Total PoP ]]/500),0)</f>
        <v>1</v>
      </c>
      <c r="CV84" s="600">
        <f>(WWWW[[#This Row],['#_Constructed latrines_by_WASHAgencies]]+WWWW[[#This Row],['#_Non Cluster partner latrines]])-WWWW[[#This Row],['#_Non-functional latrines]]</f>
        <v>0</v>
      </c>
      <c r="CW84" s="70">
        <f>WWWW[[#This Row],[HRP2]]/WWWW[[#This Row],[Total PoP ]]</f>
        <v>0</v>
      </c>
      <c r="CX8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8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4" s="600">
        <f>IF(WWWW[[#This Row],['# of functional latrines in THF supported by WASH partners during the reporting period2]]="",0,WWWW[[#This Row],['# of functional latrines in THF supported by WASH partners during the reporting period2]]*50)</f>
        <v>0</v>
      </c>
      <c r="DB84" s="600">
        <f>WWWW[[#This Row],['# students access to functioning school latrines_HRP5]]+WWWW[[#This Row],['# People access to functioning latrines in THF_HRP5]]</f>
        <v>0</v>
      </c>
      <c r="DC84" s="600">
        <f>ROUND(IF(WWWW[[#This Row],[Location Type 1]]="camp",WWWW[[#This Row],[Total PoP ]]/20,IF(WWWW[[#This Row],[Location Type 1]]="Temporary Location",WWWW[[#This Row],[Total PoP ]]/50,WWWW[[#This Row],[Total HH]])),0)</f>
        <v>34</v>
      </c>
      <c r="DD84" s="600">
        <f>IF(WWWW[[#This Row],[Total required Latrines]]-(WWWW[[#This Row],['#_Constructed latrines_by_WASHAgencies]]+WWWW[[#This Row],['#_Non Cluster partner latrines]])&lt;0,0,WWWW[[#This Row],[Total required Latrines]]-(WWWW[[#This Row],['#_Constructed latrines_by_WASHAgencies]]+WWWW[[#This Row],['#_Non Cluster partner latrines]]))</f>
        <v>34</v>
      </c>
      <c r="DE84" s="602">
        <f>1-WWWW[[#This Row],[% people access to functioning Latrine]]</f>
        <v>1</v>
      </c>
      <c r="DF84" s="601">
        <f>IF(OR(WWWW[[#This Row],['#_Non-functional latrines]]="",WWWW[[#This Row],['#_Non-functional latrines]]=0),0,WWWW[[#This Row],['#_Non-functional latrines]]/(WWWW[[#This Row],['#_Constructed latrines_by_WASHAgencies]]+WWWW[[#This Row],['#_Non Cluster partner latrines]]))</f>
        <v>0</v>
      </c>
      <c r="DG84" s="597">
        <f>IF(500*(WWWW[[#This Row],['#_male hygiene promoters]]+WWWW[[#This Row],['#_female hygiene promoters]])&gt;WWWW[[#This Row],[Total PoP ]],WWWW[[#This Row],[Total PoP ]],500*(WWWW[[#This Row],['#_male hygiene promoters]]+WWWW[[#This Row],['#_female hygiene promoters]]))</f>
        <v>0</v>
      </c>
      <c r="DH8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4" s="600">
        <f>IF(WWWW[[#This Row],['# People with access to soap]]&gt;WWWW[[#This Row],['# People with access to Sanity Pads]],WWWW[[#This Row],['# People with access to soap]],WWWW[[#This Row],['# People with access to Sanity Pads]])</f>
        <v>0</v>
      </c>
      <c r="DK8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4" s="602">
        <f>IF(WWWW[[#This Row],[HRP3]]/WWWW[[#This Row],[Total PoP ]]&gt;1,1,WWWW[[#This Row],[HRP3]]/WWWW[[#This Row],[Total PoP ]])</f>
        <v>0</v>
      </c>
      <c r="DM84" s="601">
        <f>1-WWWW[[#This Row],[Hygiene Coverage%]]</f>
        <v>1</v>
      </c>
      <c r="DN84" s="599">
        <f>WWWW[[#This Row],['# people reached by regular dedicated hygiene promotion_5]]/WWWW[[#This Row],[Total PoP ]]</f>
        <v>0</v>
      </c>
      <c r="DO8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4" s="600">
        <f>WWWW[[#This Row],['#_Constructed/Existing hand washing stations]]-WWWW[[#This Row],['#_Non-Functional_hand_washing_stations]]</f>
        <v>0</v>
      </c>
      <c r="DR84" s="597">
        <f>IF(WWWW[[#This Row],['# Functional hand washing stations during reporting period]]*20&gt;WWWW[[#This Row],[Total HH]],WWWW[[#This Row],[Total HH]],WWWW[[#This Row],['# Functional hand washing stations during reporting period]]*20)</f>
        <v>0</v>
      </c>
      <c r="DS84" s="597">
        <f>IF(WWWW[[#This Row],[Is sufficient soap available for TLS? (Yes/No)]]="yes",WWWW[[#This Row],['#_Constructed/Existing hand washing stations at TLS]],0)</f>
        <v>0</v>
      </c>
      <c r="DT84" s="479">
        <f>IF(WWWW[[#This Row],['# Functional hand washing stations during reporting period]]*100&gt;WWWW[[#This Row],[Total PoP ]],WWWW[[#This Row],[Total PoP ]],WWWW[[#This Row],['# Functional hand washing stations during reporting period]]*100)</f>
        <v>0</v>
      </c>
      <c r="DU84" s="479" t="str">
        <f>IF(OR(WWWW[[#This Row],['#_students at TLS_CFS]]="",WWWW[[#This Row],['#_students at TLS_CFS]]=0),"No","Yes")</f>
        <v>No</v>
      </c>
      <c r="DV8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4" s="593">
        <f>VLOOKUP(WWWW[[#This Row],[Site Name]],SiteDB6[[Site Name]:[CCCM Management]],6,FALSE)</f>
        <v>0</v>
      </c>
      <c r="DZ84" s="593" t="str">
        <f>VLOOKUP(WWWW[[#This Row],[Site Name]],SiteDB6[[Site Name]:[CCCM Focal Agency]],7,FALSE)</f>
        <v>uncovered</v>
      </c>
      <c r="EA84" s="593" t="str">
        <f>VLOOKUP(WWWW[[#This Row],[Site Name]],SiteDB6[[Site Name]:[Location Type 1]],9,FALSE)</f>
        <v>Camp</v>
      </c>
      <c r="EB84" s="593" t="str">
        <f>VLOOKUP(WWWW[[#This Row],[Site Name]],SiteDB6[[Site Name]:[Type of Accommodation]],10,FALSE)</f>
        <v>Boarding School</v>
      </c>
      <c r="EC84" s="593" t="str">
        <f>VLOOKUP(WWWW[[#This Row],[Site Name]],SiteDB6[[Site Name]:[Ethnic or GCA/NGCA]],11,FALSE)</f>
        <v>NGCA</v>
      </c>
      <c r="ED84" s="593">
        <f>VLOOKUP(WWWW[[#This Row],[Site Name]],SiteDB6[[Site Name]:[Lat]],12,FALSE)</f>
        <v>24.752471</v>
      </c>
      <c r="EE84" s="593">
        <f>VLOOKUP(WWWW[[#This Row],[Site Name]],SiteDB6[[Site Name]:[Long]],13,FALSE)</f>
        <v>97.541793999999996</v>
      </c>
      <c r="EF84" s="593" t="str">
        <f>VLOOKUP(WWWW[[#This Row],[Site Name]],SiteDB6[[Site Name]:[Pcode]],3,FALSE)</f>
        <v>MMR001CMP208</v>
      </c>
      <c r="EG84" s="598" t="str">
        <f t="shared" si="1"/>
        <v>Covered</v>
      </c>
      <c r="EH84" s="598" t="str">
        <f>VLOOKUP(WWWW[[#This Row],[Site Name]],SiteDB6[[Site Name]:[open in cccm?]],2,FALSE)</f>
        <v>cccm_2019OCT</v>
      </c>
    </row>
    <row r="85" spans="1:138" hidden="1">
      <c r="A85" s="591" t="s">
        <v>3261</v>
      </c>
      <c r="B85" s="591" t="s">
        <v>195</v>
      </c>
      <c r="C85" s="592" t="s">
        <v>195</v>
      </c>
      <c r="D85" s="592" t="s">
        <v>2817</v>
      </c>
      <c r="E85" s="592" t="s">
        <v>39</v>
      </c>
      <c r="F85" s="592" t="s">
        <v>208</v>
      </c>
      <c r="G85" s="721" t="str">
        <f>VLOOKUP(WWWW[[#This Row],[Site Name]],SiteDB6[[Site Name]:[Location Type]],8,FALSE)</f>
        <v>Camp_not registered</v>
      </c>
      <c r="H85" s="592" t="s">
        <v>210</v>
      </c>
      <c r="I85" s="594">
        <v>17</v>
      </c>
      <c r="J85" s="594">
        <v>106</v>
      </c>
      <c r="K85" s="595">
        <v>43466</v>
      </c>
      <c r="L85" s="596">
        <v>43830</v>
      </c>
      <c r="M85" s="594"/>
      <c r="N85" s="594"/>
      <c r="O85" s="594"/>
      <c r="P85" s="594"/>
      <c r="Q85" s="597" t="s">
        <v>139</v>
      </c>
      <c r="R85" s="594"/>
      <c r="S85" s="594">
        <v>5</v>
      </c>
      <c r="T85" s="523">
        <v>1</v>
      </c>
      <c r="U85" s="594"/>
      <c r="V85" s="594"/>
      <c r="W85" s="594"/>
      <c r="X85" s="594"/>
      <c r="Y85" s="594"/>
      <c r="Z85" s="594"/>
      <c r="AA85" s="594"/>
      <c r="AB85" s="594"/>
      <c r="AC85" s="594"/>
      <c r="AD85" s="594"/>
      <c r="AE85" s="594"/>
      <c r="AF85" s="594"/>
      <c r="AG85" s="594"/>
      <c r="AH85" s="594"/>
      <c r="AI85" s="594"/>
      <c r="AJ85" s="594"/>
      <c r="AK85" s="594"/>
      <c r="AL85" s="594"/>
      <c r="AM85" s="594"/>
      <c r="AN85" s="594"/>
      <c r="AO85" s="598"/>
      <c r="AP85" s="594">
        <v>4</v>
      </c>
      <c r="AQ85" s="594"/>
      <c r="AR85" s="599"/>
      <c r="AS85" s="594"/>
      <c r="AT85" s="594"/>
      <c r="AU85" s="594">
        <v>2</v>
      </c>
      <c r="AV85" s="594"/>
      <c r="AW85" s="594"/>
      <c r="AX85" s="593" t="s">
        <v>43</v>
      </c>
      <c r="AY85" s="598" t="s">
        <v>140</v>
      </c>
      <c r="AZ85" s="594"/>
      <c r="BA85" s="594"/>
      <c r="BB85" s="594"/>
      <c r="BC85" s="594"/>
      <c r="BD85" s="523"/>
      <c r="BE85" s="593"/>
      <c r="BF85" s="594">
        <v>2</v>
      </c>
      <c r="BG85" s="594"/>
      <c r="BH85" s="594"/>
      <c r="BI85" s="594">
        <v>2</v>
      </c>
      <c r="BJ85" s="594"/>
      <c r="BK85" s="594"/>
      <c r="BL85" s="594"/>
      <c r="BM85" s="594"/>
      <c r="BN85" s="594"/>
      <c r="BO85" s="593"/>
      <c r="BP85" s="594"/>
      <c r="BQ85" s="599"/>
      <c r="BR85" s="593"/>
      <c r="BS85" s="472"/>
      <c r="BT85" s="472"/>
      <c r="BU85" s="523"/>
      <c r="BV85" s="472"/>
      <c r="BW85" s="523"/>
      <c r="BX85" s="523"/>
      <c r="BY85" s="523"/>
      <c r="BZ85" s="601" t="str">
        <f>IFERROR(WWWW[[#This Row],['#_Water sources passed]]/WWWW[[#This Row],['#_Water sources tested for fecal coliform ]],"no test")</f>
        <v>no test</v>
      </c>
      <c r="CA85" s="599" t="str">
        <f>IFERROR(WWWW[[#This Row],['#_Household passed]]/WWWW[[#This Row],['#_Household water samples tested for fecal coliform]],"no test")</f>
        <v>no test</v>
      </c>
      <c r="CB85" s="600" t="str">
        <f>IF(AND(WWWW[[#This Row],[% of water sources passed]]="no test",WWWW[[#This Row],[% Household passed]]="no test"),"No Test","Tested")</f>
        <v>No Test</v>
      </c>
      <c r="CC85" s="600">
        <f>WWWW[[#This Row],['#_Constructed/existing protected hand dug well]]-WWWW[[#This Row],['#_Non-functional protected hand dug well]]</f>
        <v>1</v>
      </c>
      <c r="CD85" s="600">
        <f>(WWWW[[#This Row],['#_Constructed/Existing tube wells/boreholes/handpumps_WASH_agency]]+WWWW[[#This Row],['#_Non-Cluster partner water tube-wells/boreholes/handpumps]])-WWWW[[#This Row],['#_Non-functional tube wells/boreholes/handpumps]]</f>
        <v>0</v>
      </c>
      <c r="CE85" s="600">
        <f>WWWW[[#This Row],['#_Constructed/Existingwater storage tank with gravity fed reticulation system]]-WWWW[[#This Row],['#_Non-functional storage tank gravity fed reticulation system]]</f>
        <v>0</v>
      </c>
      <c r="CF85" s="478">
        <f>(WWWW[[#This Row],['#_Water_Liters_supplied_by_Water boating or water trucking]]/90)/15</f>
        <v>0</v>
      </c>
      <c r="CG85" s="478">
        <f>WWWW[[#This Row],['#_Water_Liters_from_Constructed/Existing water distribution system from river or natural spring]]/90/15</f>
        <v>0</v>
      </c>
      <c r="CH85" s="478">
        <f>WWWW[[#This Row],['#_of water points in TLS/CFS /THF]]*500</f>
        <v>0</v>
      </c>
      <c r="CI8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5" s="599">
        <f>IF(WWWW[[#This Row],[Location Type 1]]="Village",WWWW[[#This Row],[Access to safe drinking water for Village]],WWWW[[#This Row],[Access to safe drinking water for Camp]])</f>
        <v>1</v>
      </c>
      <c r="CL85" s="597">
        <f>WWWW[[#This Row],[%Equitable and continuous access to sufficient quantity of safe drinking water]]*WWWW[[#This Row],[Total PoP ]]</f>
        <v>106</v>
      </c>
      <c r="CM85" s="599">
        <f>IF((WWWW[[#This Row],['#_Constructed/Existing protected/fenced ponds]]*250)/WWWW[[#This Row],[Total PoP ]]&gt;1,1,(WWWW[[#This Row],['#_Constructed/Existing protected/fenced ponds]]*250)/WWWW[[#This Row],[Total PoP ]])</f>
        <v>0</v>
      </c>
      <c r="CN85" s="597">
        <f>WWWW[[#This Row],[% Access to unimproved water points]]*WWWW[[#This Row],[Total PoP ]]</f>
        <v>0</v>
      </c>
      <c r="CO8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Q85" s="597">
        <f>WWWW[[#This Row],[HRP1]]/500</f>
        <v>0.21199999999999999</v>
      </c>
      <c r="CR85" s="602">
        <f>1-WWWW[[#This Row],[% Equitable and continuous access to sufficient quantity of domestic water]]</f>
        <v>0</v>
      </c>
      <c r="CS85" s="597">
        <f>WWWW[[#This Row],[%equitable and continuous access to sufficient quantity of safe drinking and domestic water''s GAP]]*WWWW[[#This Row],[Total PoP ]]</f>
        <v>0</v>
      </c>
      <c r="CT85" s="600">
        <f>IF(WWWW[[#This Row],[Total required water points]]-WWWW[[#This Row],['#Water points coverage]]&lt;0,0,WWWW[[#This Row],[Total required water points]]-WWWW[[#This Row],['#Water points coverage]])</f>
        <v>0.78800000000000003</v>
      </c>
      <c r="CU85" s="600">
        <f>ROUND(IF(WWWW[[#This Row],[Total PoP ]]&lt;500,1,WWWW[[#This Row],[Total PoP ]]/500),0)</f>
        <v>1</v>
      </c>
      <c r="CV85" s="600">
        <f>(WWWW[[#This Row],['#_Constructed latrines_by_WASHAgencies]]+WWWW[[#This Row],['#_Non Cluster partner latrines]])-WWWW[[#This Row],['#_Non-functional latrines]]</f>
        <v>4</v>
      </c>
      <c r="CW85" s="70">
        <f>WWWW[[#This Row],[HRP2]]/WWWW[[#This Row],[Total PoP ]]</f>
        <v>0.75471698113207553</v>
      </c>
      <c r="CX8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8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Z8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5" s="600">
        <f>IF(WWWW[[#This Row],['# of functional latrines in THF supported by WASH partners during the reporting period2]]="",0,WWWW[[#This Row],['# of functional latrines in THF supported by WASH partners during the reporting period2]]*50)</f>
        <v>0</v>
      </c>
      <c r="DB85" s="600">
        <f>WWWW[[#This Row],['# students access to functioning school latrines_HRP5]]+WWWW[[#This Row],['# People access to functioning latrines in THF_HRP5]]</f>
        <v>0</v>
      </c>
      <c r="DC85" s="600">
        <f>ROUND(IF(WWWW[[#This Row],[Location Type 1]]="camp",WWWW[[#This Row],[Total PoP ]]/20,IF(WWWW[[#This Row],[Location Type 1]]="Temporary Location",WWWW[[#This Row],[Total PoP ]]/50,WWWW[[#This Row],[Total HH]])),0)</f>
        <v>5</v>
      </c>
      <c r="DD85" s="600">
        <f>IF(WWWW[[#This Row],[Total required Latrines]]-(WWWW[[#This Row],['#_Constructed latrines_by_WASHAgencies]]+WWWW[[#This Row],['#_Non Cluster partner latrines]])&lt;0,0,WWWW[[#This Row],[Total required Latrines]]-(WWWW[[#This Row],['#_Constructed latrines_by_WASHAgencies]]+WWWW[[#This Row],['#_Non Cluster partner latrines]]))</f>
        <v>1</v>
      </c>
      <c r="DE85" s="602">
        <f>1-WWWW[[#This Row],[% people access to functioning Latrine]]</f>
        <v>0.24528301886792447</v>
      </c>
      <c r="DF85" s="601">
        <f>IF(OR(WWWW[[#This Row],['#_Non-functional latrines]]="",WWWW[[#This Row],['#_Non-functional latrines]]=0),0,WWWW[[#This Row],['#_Non-functional latrines]]/(WWWW[[#This Row],['#_Constructed latrines_by_WASHAgencies]]+WWWW[[#This Row],['#_Non Cluster partner latrines]]))</f>
        <v>0</v>
      </c>
      <c r="DG85" s="597">
        <f>IF(500*(WWWW[[#This Row],['#_male hygiene promoters]]+WWWW[[#This Row],['#_female hygiene promoters]])&gt;WWWW[[#This Row],[Total PoP ]],WWWW[[#This Row],[Total PoP ]],500*(WWWW[[#This Row],['#_male hygiene promoters]]+WWWW[[#This Row],['#_female hygiene promoters]]))</f>
        <v>0</v>
      </c>
      <c r="DH8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5" s="600">
        <f>IF(WWWW[[#This Row],['# People with access to soap]]&gt;WWWW[[#This Row],['# People with access to Sanity Pads]],WWWW[[#This Row],['# People with access to soap]],WWWW[[#This Row],['# People with access to Sanity Pads]])</f>
        <v>0</v>
      </c>
      <c r="DK8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5" s="602">
        <f>IF(WWWW[[#This Row],[HRP3]]/WWWW[[#This Row],[Total PoP ]]&gt;1,1,WWWW[[#This Row],[HRP3]]/WWWW[[#This Row],[Total PoP ]])</f>
        <v>0</v>
      </c>
      <c r="DM85" s="601">
        <f>1-WWWW[[#This Row],[Hygiene Coverage%]]</f>
        <v>1</v>
      </c>
      <c r="DN85" s="599">
        <f>WWWW[[#This Row],['# people reached by regular dedicated hygiene promotion_5]]/WWWW[[#This Row],[Total PoP ]]</f>
        <v>0</v>
      </c>
      <c r="DO8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5" s="600">
        <f>WWWW[[#This Row],['#_Constructed/Existing hand washing stations]]-WWWW[[#This Row],['#_Non-Functional_hand_washing_stations]]</f>
        <v>2</v>
      </c>
      <c r="DR85" s="597">
        <f>IF(WWWW[[#This Row],['# Functional hand washing stations during reporting period]]*20&gt;WWWW[[#This Row],[Total HH]],WWWW[[#This Row],[Total HH]],WWWW[[#This Row],['# Functional hand washing stations during reporting period]]*20)</f>
        <v>17</v>
      </c>
      <c r="DS85" s="597">
        <f>IF(WWWW[[#This Row],[Is sufficient soap available for TLS? (Yes/No)]]="yes",WWWW[[#This Row],['#_Constructed/Existing hand washing stations at TLS]],0)</f>
        <v>0</v>
      </c>
      <c r="DT85" s="479">
        <f>IF(WWWW[[#This Row],['# Functional hand washing stations during reporting period]]*100&gt;WWWW[[#This Row],[Total PoP ]],WWWW[[#This Row],[Total PoP ]],WWWW[[#This Row],['# Functional hand washing stations during reporting period]]*100)</f>
        <v>106</v>
      </c>
      <c r="DU85" s="479" t="str">
        <f>IF(OR(WWWW[[#This Row],['#_students at TLS_CFS]]="",WWWW[[#This Row],['#_students at TLS_CFS]]=0),"No","Yes")</f>
        <v>No</v>
      </c>
      <c r="DV8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5" s="593">
        <f>VLOOKUP(WWWW[[#This Row],[Site Name]],SiteDB6[[Site Name]:[CCCM Management]],6,FALSE)</f>
        <v>0</v>
      </c>
      <c r="DZ85" s="593">
        <f>VLOOKUP(WWWW[[#This Row],[Site Name]],SiteDB6[[Site Name]:[CCCM Focal Agency]],7,FALSE)</f>
        <v>0</v>
      </c>
      <c r="EA85" s="593" t="str">
        <f>VLOOKUP(WWWW[[#This Row],[Site Name]],SiteDB6[[Site Name]:[Location Type 1]],9,FALSE)</f>
        <v>Camp</v>
      </c>
      <c r="EB85" s="593" t="str">
        <f>VLOOKUP(WWWW[[#This Row],[Site Name]],SiteDB6[[Site Name]:[Type of Accommodation]],10,FALSE)</f>
        <v>Camp</v>
      </c>
      <c r="EC85" s="593" t="str">
        <f>VLOOKUP(WWWW[[#This Row],[Site Name]],SiteDB6[[Site Name]:[Ethnic or GCA/NGCA]],11,FALSE)</f>
        <v>GCA</v>
      </c>
      <c r="ED85" s="593">
        <f>VLOOKUP(WWWW[[#This Row],[Site Name]],SiteDB6[[Site Name]:[Lat]],12,FALSE)</f>
        <v>0</v>
      </c>
      <c r="EE85" s="593">
        <f>VLOOKUP(WWWW[[#This Row],[Site Name]],SiteDB6[[Site Name]:[Long]],13,FALSE)</f>
        <v>0</v>
      </c>
      <c r="EF85" s="593">
        <f>VLOOKUP(WWWW[[#This Row],[Site Name]],SiteDB6[[Site Name]:[Pcode]],3,FALSE)</f>
        <v>0</v>
      </c>
      <c r="EG85" s="598" t="str">
        <f t="shared" si="1"/>
        <v>Covered</v>
      </c>
      <c r="EH85" s="598">
        <f>VLOOKUP(WWWW[[#This Row],[Site Name]],Site_DB!$C$389:$D$1120,2,FALSE)</f>
        <v>0</v>
      </c>
    </row>
    <row r="86" spans="1:138" hidden="1">
      <c r="A86" s="591" t="s">
        <v>3261</v>
      </c>
      <c r="B86" s="591" t="s">
        <v>195</v>
      </c>
      <c r="C86" s="592" t="s">
        <v>195</v>
      </c>
      <c r="D86" s="592" t="s">
        <v>2817</v>
      </c>
      <c r="E86" s="592" t="s">
        <v>39</v>
      </c>
      <c r="F86" s="592" t="s">
        <v>208</v>
      </c>
      <c r="G86" s="721" t="str">
        <f>VLOOKUP(WWWW[[#This Row],[Site Name]],SiteDB6[[Site Name]:[Location Type]],8,FALSE)</f>
        <v>Camp_not registered</v>
      </c>
      <c r="H86" s="592" t="s">
        <v>212</v>
      </c>
      <c r="I86" s="594">
        <v>19</v>
      </c>
      <c r="J86" s="594">
        <v>94</v>
      </c>
      <c r="K86" s="595">
        <v>43466</v>
      </c>
      <c r="L86" s="596">
        <v>43830</v>
      </c>
      <c r="M86" s="594"/>
      <c r="N86" s="594"/>
      <c r="O86" s="594"/>
      <c r="P86" s="594"/>
      <c r="Q86" s="597" t="s">
        <v>139</v>
      </c>
      <c r="R86" s="594"/>
      <c r="S86" s="594">
        <v>1</v>
      </c>
      <c r="T86" s="523"/>
      <c r="U86" s="594"/>
      <c r="V86" s="594"/>
      <c r="W86" s="594"/>
      <c r="X86" s="594">
        <v>1</v>
      </c>
      <c r="Y86" s="594"/>
      <c r="Z86" s="594"/>
      <c r="AA86" s="594"/>
      <c r="AB86" s="594"/>
      <c r="AC86" s="594"/>
      <c r="AD86" s="594"/>
      <c r="AE86" s="594"/>
      <c r="AF86" s="594"/>
      <c r="AG86" s="594"/>
      <c r="AH86" s="594"/>
      <c r="AI86" s="594"/>
      <c r="AJ86" s="594"/>
      <c r="AK86" s="594"/>
      <c r="AL86" s="594"/>
      <c r="AM86" s="594"/>
      <c r="AN86" s="594"/>
      <c r="AO86" s="598"/>
      <c r="AP86" s="594">
        <v>5</v>
      </c>
      <c r="AQ86" s="594"/>
      <c r="AR86" s="599"/>
      <c r="AS86" s="594"/>
      <c r="AT86" s="594"/>
      <c r="AU86" s="594"/>
      <c r="AV86" s="594"/>
      <c r="AW86" s="594"/>
      <c r="AX86" s="593" t="s">
        <v>43</v>
      </c>
      <c r="AY86" s="598" t="s">
        <v>140</v>
      </c>
      <c r="AZ86" s="594"/>
      <c r="BA86" s="594"/>
      <c r="BB86" s="594"/>
      <c r="BC86" s="594"/>
      <c r="BD86" s="523"/>
      <c r="BE86" s="593"/>
      <c r="BF86" s="594">
        <v>2</v>
      </c>
      <c r="BG86" s="594"/>
      <c r="BH86" s="594"/>
      <c r="BI86" s="594">
        <v>1</v>
      </c>
      <c r="BJ86" s="594"/>
      <c r="BK86" s="594"/>
      <c r="BL86" s="594"/>
      <c r="BM86" s="594"/>
      <c r="BN86" s="594"/>
      <c r="BO86" s="593"/>
      <c r="BP86" s="594"/>
      <c r="BQ86" s="599"/>
      <c r="BR86" s="593"/>
      <c r="BS86" s="472"/>
      <c r="BT86" s="472"/>
      <c r="BU86" s="523"/>
      <c r="BV86" s="472"/>
      <c r="BW86" s="523"/>
      <c r="BX86" s="523"/>
      <c r="BY86" s="523"/>
      <c r="BZ86" s="601" t="str">
        <f>IFERROR(WWWW[[#This Row],['#_Water sources passed]]/WWWW[[#This Row],['#_Water sources tested for fecal coliform ]],"no test")</f>
        <v>no test</v>
      </c>
      <c r="CA86" s="599" t="str">
        <f>IFERROR(WWWW[[#This Row],['#_Household passed]]/WWWW[[#This Row],['#_Household water samples tested for fecal coliform]],"no test")</f>
        <v>no test</v>
      </c>
      <c r="CB86" s="600" t="str">
        <f>IF(AND(WWWW[[#This Row],[% of water sources passed]]="no test",WWWW[[#This Row],[% Household passed]]="no test"),"No Test","Tested")</f>
        <v>No Test</v>
      </c>
      <c r="CC86" s="600">
        <f>WWWW[[#This Row],['#_Constructed/existing protected hand dug well]]-WWWW[[#This Row],['#_Non-functional protected hand dug well]]</f>
        <v>0</v>
      </c>
      <c r="CD86" s="600">
        <f>(WWWW[[#This Row],['#_Constructed/Existing tube wells/boreholes/handpumps_WASH_agency]]+WWWW[[#This Row],['#_Non-Cluster partner water tube-wells/boreholes/handpumps]])-WWWW[[#This Row],['#_Non-functional tube wells/boreholes/handpumps]]</f>
        <v>1</v>
      </c>
      <c r="CE86" s="600">
        <f>WWWW[[#This Row],['#_Constructed/Existingwater storage tank with gravity fed reticulation system]]-WWWW[[#This Row],['#_Non-functional storage tank gravity fed reticulation system]]</f>
        <v>0</v>
      </c>
      <c r="CF86" s="478">
        <f>(WWWW[[#This Row],['#_Water_Liters_supplied_by_Water boating or water trucking]]/90)/15</f>
        <v>0</v>
      </c>
      <c r="CG86" s="478">
        <f>WWWW[[#This Row],['#_Water_Liters_from_Constructed/Existing water distribution system from river or natural spring]]/90/15</f>
        <v>0</v>
      </c>
      <c r="CH86" s="478">
        <f>WWWW[[#This Row],['#_of water points in TLS/CFS /THF]]*500</f>
        <v>0</v>
      </c>
      <c r="CI8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6" s="599">
        <f>IF(WWWW[[#This Row],[Location Type 1]]="Village",WWWW[[#This Row],[Access to safe drinking water for Village]],WWWW[[#This Row],[Access to safe drinking water for Camp]])</f>
        <v>1</v>
      </c>
      <c r="CL86" s="597">
        <f>WWWW[[#This Row],[%Equitable and continuous access to sufficient quantity of safe drinking water]]*WWWW[[#This Row],[Total PoP ]]</f>
        <v>94</v>
      </c>
      <c r="CM86" s="599">
        <f>IF((WWWW[[#This Row],['#_Constructed/Existing protected/fenced ponds]]*250)/WWWW[[#This Row],[Total PoP ]]&gt;1,1,(WWWW[[#This Row],['#_Constructed/Existing protected/fenced ponds]]*250)/WWWW[[#This Row],[Total PoP ]])</f>
        <v>0</v>
      </c>
      <c r="CN86" s="597">
        <f>WWWW[[#This Row],[% Access to unimproved water points]]*WWWW[[#This Row],[Total PoP ]]</f>
        <v>0</v>
      </c>
      <c r="CO8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Q86" s="597">
        <f>WWWW[[#This Row],[HRP1]]/500</f>
        <v>0.188</v>
      </c>
      <c r="CR86" s="602">
        <f>1-WWWW[[#This Row],[% Equitable and continuous access to sufficient quantity of domestic water]]</f>
        <v>0</v>
      </c>
      <c r="CS86" s="597">
        <f>WWWW[[#This Row],[%equitable and continuous access to sufficient quantity of safe drinking and domestic water''s GAP]]*WWWW[[#This Row],[Total PoP ]]</f>
        <v>0</v>
      </c>
      <c r="CT86" s="600">
        <f>IF(WWWW[[#This Row],[Total required water points]]-WWWW[[#This Row],['#Water points coverage]]&lt;0,0,WWWW[[#This Row],[Total required water points]]-WWWW[[#This Row],['#Water points coverage]])</f>
        <v>0.81200000000000006</v>
      </c>
      <c r="CU86" s="600">
        <f>ROUND(IF(WWWW[[#This Row],[Total PoP ]]&lt;500,1,WWWW[[#This Row],[Total PoP ]]/500),0)</f>
        <v>1</v>
      </c>
      <c r="CV86" s="600">
        <f>(WWWW[[#This Row],['#_Constructed latrines_by_WASHAgencies]]+WWWW[[#This Row],['#_Non Cluster partner latrines]])-WWWW[[#This Row],['#_Non-functional latrines]]</f>
        <v>5</v>
      </c>
      <c r="CW86" s="70">
        <f>WWWW[[#This Row],[HRP2]]/WWWW[[#This Row],[Total PoP ]]</f>
        <v>1</v>
      </c>
      <c r="CX8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v>
      </c>
      <c r="CY8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6" s="600">
        <f>IF(WWWW[[#This Row],['# of functional latrines in THF supported by WASH partners during the reporting period2]]="",0,WWWW[[#This Row],['# of functional latrines in THF supported by WASH partners during the reporting period2]]*50)</f>
        <v>0</v>
      </c>
      <c r="DB86" s="600">
        <f>WWWW[[#This Row],['# students access to functioning school latrines_HRP5]]+WWWW[[#This Row],['# People access to functioning latrines in THF_HRP5]]</f>
        <v>0</v>
      </c>
      <c r="DC86" s="600">
        <f>ROUND(IF(WWWW[[#This Row],[Location Type 1]]="camp",WWWW[[#This Row],[Total PoP ]]/20,IF(WWWW[[#This Row],[Location Type 1]]="Temporary Location",WWWW[[#This Row],[Total PoP ]]/50,WWWW[[#This Row],[Total HH]])),0)</f>
        <v>5</v>
      </c>
      <c r="DD86" s="600">
        <f>IF(WWWW[[#This Row],[Total required Latrines]]-(WWWW[[#This Row],['#_Constructed latrines_by_WASHAgencies]]+WWWW[[#This Row],['#_Non Cluster partner latrines]])&lt;0,0,WWWW[[#This Row],[Total required Latrines]]-(WWWW[[#This Row],['#_Constructed latrines_by_WASHAgencies]]+WWWW[[#This Row],['#_Non Cluster partner latrines]]))</f>
        <v>0</v>
      </c>
      <c r="DE86" s="602">
        <f>1-WWWW[[#This Row],[% people access to functioning Latrine]]</f>
        <v>0</v>
      </c>
      <c r="DF86" s="601">
        <f>IF(OR(WWWW[[#This Row],['#_Non-functional latrines]]="",WWWW[[#This Row],['#_Non-functional latrines]]=0),0,WWWW[[#This Row],['#_Non-functional latrines]]/(WWWW[[#This Row],['#_Constructed latrines_by_WASHAgencies]]+WWWW[[#This Row],['#_Non Cluster partner latrines]]))</f>
        <v>0</v>
      </c>
      <c r="DG86" s="597">
        <f>IF(500*(WWWW[[#This Row],['#_male hygiene promoters]]+WWWW[[#This Row],['#_female hygiene promoters]])&gt;WWWW[[#This Row],[Total PoP ]],WWWW[[#This Row],[Total PoP ]],500*(WWWW[[#This Row],['#_male hygiene promoters]]+WWWW[[#This Row],['#_female hygiene promoters]]))</f>
        <v>0</v>
      </c>
      <c r="DH8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6" s="600">
        <f>IF(WWWW[[#This Row],['# People with access to soap]]&gt;WWWW[[#This Row],['# People with access to Sanity Pads]],WWWW[[#This Row],['# People with access to soap]],WWWW[[#This Row],['# People with access to Sanity Pads]])</f>
        <v>0</v>
      </c>
      <c r="DK8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86" s="602">
        <f>IF(WWWW[[#This Row],[HRP3]]/WWWW[[#This Row],[Total PoP ]]&gt;1,1,WWWW[[#This Row],[HRP3]]/WWWW[[#This Row],[Total PoP ]])</f>
        <v>0</v>
      </c>
      <c r="DM86" s="601">
        <f>1-WWWW[[#This Row],[Hygiene Coverage%]]</f>
        <v>1</v>
      </c>
      <c r="DN86" s="599">
        <f>WWWW[[#This Row],['# people reached by regular dedicated hygiene promotion_5]]/WWWW[[#This Row],[Total PoP ]]</f>
        <v>0</v>
      </c>
      <c r="DO8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6" s="600">
        <f>WWWW[[#This Row],['#_Constructed/Existing hand washing stations]]-WWWW[[#This Row],['#_Non-Functional_hand_washing_stations]]</f>
        <v>2</v>
      </c>
      <c r="DR86" s="597">
        <f>IF(WWWW[[#This Row],['# Functional hand washing stations during reporting period]]*20&gt;WWWW[[#This Row],[Total HH]],WWWW[[#This Row],[Total HH]],WWWW[[#This Row],['# Functional hand washing stations during reporting period]]*20)</f>
        <v>19</v>
      </c>
      <c r="DS86" s="597">
        <f>IF(WWWW[[#This Row],[Is sufficient soap available for TLS? (Yes/No)]]="yes",WWWW[[#This Row],['#_Constructed/Existing hand washing stations at TLS]],0)</f>
        <v>0</v>
      </c>
      <c r="DT86" s="479">
        <f>IF(WWWW[[#This Row],['# Functional hand washing stations during reporting period]]*100&gt;WWWW[[#This Row],[Total PoP ]],WWWW[[#This Row],[Total PoP ]],WWWW[[#This Row],['# Functional hand washing stations during reporting period]]*100)</f>
        <v>94</v>
      </c>
      <c r="DU86" s="479" t="str">
        <f>IF(OR(WWWW[[#This Row],['#_students at TLS_CFS]]="",WWWW[[#This Row],['#_students at TLS_CFS]]=0),"No","Yes")</f>
        <v>No</v>
      </c>
      <c r="DV8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6" s="593">
        <f>VLOOKUP(WWWW[[#This Row],[Site Name]],SiteDB6[[Site Name]:[CCCM Management]],6,FALSE)</f>
        <v>0</v>
      </c>
      <c r="DZ86" s="593">
        <f>VLOOKUP(WWWW[[#This Row],[Site Name]],SiteDB6[[Site Name]:[CCCM Focal Agency]],7,FALSE)</f>
        <v>0</v>
      </c>
      <c r="EA86" s="593" t="str">
        <f>VLOOKUP(WWWW[[#This Row],[Site Name]],SiteDB6[[Site Name]:[Location Type 1]],9,FALSE)</f>
        <v>Camp</v>
      </c>
      <c r="EB86" s="593" t="str">
        <f>VLOOKUP(WWWW[[#This Row],[Site Name]],SiteDB6[[Site Name]:[Type of Accommodation]],10,FALSE)</f>
        <v>Camp</v>
      </c>
      <c r="EC86" s="593" t="str">
        <f>VLOOKUP(WWWW[[#This Row],[Site Name]],SiteDB6[[Site Name]:[Ethnic or GCA/NGCA]],11,FALSE)</f>
        <v>GCA</v>
      </c>
      <c r="ED86" s="593">
        <f>VLOOKUP(WWWW[[#This Row],[Site Name]],SiteDB6[[Site Name]:[Lat]],12,FALSE)</f>
        <v>0</v>
      </c>
      <c r="EE86" s="593">
        <f>VLOOKUP(WWWW[[#This Row],[Site Name]],SiteDB6[[Site Name]:[Long]],13,FALSE)</f>
        <v>0</v>
      </c>
      <c r="EF86" s="593">
        <f>VLOOKUP(WWWW[[#This Row],[Site Name]],SiteDB6[[Site Name]:[Pcode]],3,FALSE)</f>
        <v>0</v>
      </c>
      <c r="EG86" s="598" t="str">
        <f t="shared" si="1"/>
        <v>Covered</v>
      </c>
      <c r="EH86" s="598">
        <f>VLOOKUP(WWWW[[#This Row],[Site Name]],Site_DB!$C$389:$D$1120,2,FALSE)</f>
        <v>0</v>
      </c>
    </row>
    <row r="87" spans="1:138" hidden="1">
      <c r="A87" s="591" t="s">
        <v>3261</v>
      </c>
      <c r="B87" s="591" t="s">
        <v>195</v>
      </c>
      <c r="C87" s="592" t="s">
        <v>195</v>
      </c>
      <c r="D87" s="404" t="s">
        <v>3045</v>
      </c>
      <c r="E87" s="592" t="s">
        <v>711</v>
      </c>
      <c r="F87" s="592" t="s">
        <v>715</v>
      </c>
      <c r="G87" s="721" t="str">
        <f>VLOOKUP(WWWW[[#This Row],[Site Name]],SiteDB6[[Site Name]:[Location Type]],8,FALSE)</f>
        <v>Camp</v>
      </c>
      <c r="H87" s="592" t="s">
        <v>737</v>
      </c>
      <c r="I87" s="594">
        <v>52</v>
      </c>
      <c r="J87" s="594">
        <v>259</v>
      </c>
      <c r="K87" s="595" t="s">
        <v>3289</v>
      </c>
      <c r="L87" s="596" t="s">
        <v>3290</v>
      </c>
      <c r="M87" s="594">
        <v>155</v>
      </c>
      <c r="N87" s="594"/>
      <c r="O87" s="594"/>
      <c r="P87" s="594"/>
      <c r="Q87" s="597" t="s">
        <v>43</v>
      </c>
      <c r="R87" s="594">
        <v>3</v>
      </c>
      <c r="S87" s="594"/>
      <c r="T87" s="523">
        <v>1</v>
      </c>
      <c r="U87" s="594"/>
      <c r="V87" s="594"/>
      <c r="W87" s="594">
        <v>1</v>
      </c>
      <c r="X87" s="594">
        <v>2</v>
      </c>
      <c r="Y87" s="594"/>
      <c r="Z87" s="594"/>
      <c r="AA87" s="594">
        <v>24</v>
      </c>
      <c r="AB87" s="594"/>
      <c r="AC87" s="594"/>
      <c r="AD87" s="594"/>
      <c r="AE87" s="594"/>
      <c r="AF87" s="594"/>
      <c r="AG87" s="594">
        <v>3</v>
      </c>
      <c r="AH87" s="594"/>
      <c r="AI87" s="594"/>
      <c r="AJ87" s="594"/>
      <c r="AK87" s="594"/>
      <c r="AL87" s="594"/>
      <c r="AM87" s="594"/>
      <c r="AN87" s="594"/>
      <c r="AO87" s="598"/>
      <c r="AP87" s="594">
        <v>12</v>
      </c>
      <c r="AQ87" s="594"/>
      <c r="AR87" s="599"/>
      <c r="AS87" s="594"/>
      <c r="AT87" s="594"/>
      <c r="AU87" s="594"/>
      <c r="AV87" s="594"/>
      <c r="AW87" s="594"/>
      <c r="AX87" s="593" t="s">
        <v>43</v>
      </c>
      <c r="AY87" s="598" t="s">
        <v>139</v>
      </c>
      <c r="AZ87" s="594"/>
      <c r="BA87" s="594"/>
      <c r="BB87" s="594">
        <v>1</v>
      </c>
      <c r="BC87" s="594"/>
      <c r="BD87" s="523"/>
      <c r="BE87" s="593"/>
      <c r="BF87" s="594">
        <v>7</v>
      </c>
      <c r="BG87" s="594"/>
      <c r="BH87" s="594"/>
      <c r="BI87" s="594">
        <v>1</v>
      </c>
      <c r="BJ87" s="594"/>
      <c r="BK87" s="594"/>
      <c r="BL87" s="594">
        <v>1</v>
      </c>
      <c r="BM87" s="594"/>
      <c r="BN87" s="594"/>
      <c r="BO87" s="593"/>
      <c r="BP87" s="594"/>
      <c r="BQ87" s="599"/>
      <c r="BR87" s="593"/>
      <c r="BS87" s="472"/>
      <c r="BT87" s="472"/>
      <c r="BU87" s="523"/>
      <c r="BV87" s="472"/>
      <c r="BW87" s="523"/>
      <c r="BX87" s="523"/>
      <c r="BY87" s="523"/>
      <c r="BZ87" s="601" t="str">
        <f>IFERROR(WWWW[[#This Row],['#_Water sources passed]]/WWWW[[#This Row],['#_Water sources tested for fecal coliform ]],"no test")</f>
        <v>no test</v>
      </c>
      <c r="CA87" s="599" t="str">
        <f>IFERROR(WWWW[[#This Row],['#_Household passed]]/WWWW[[#This Row],['#_Household water samples tested for fecal coliform]],"no test")</f>
        <v>no test</v>
      </c>
      <c r="CB87" s="600" t="str">
        <f>IF(AND(WWWW[[#This Row],[% of water sources passed]]="no test",WWWW[[#This Row],[% Household passed]]="no test"),"No Test","Tested")</f>
        <v>No Test</v>
      </c>
      <c r="CC87" s="600">
        <f>WWWW[[#This Row],['#_Constructed/existing protected hand dug well]]-WWWW[[#This Row],['#_Non-functional protected hand dug well]]</f>
        <v>1</v>
      </c>
      <c r="CD87" s="600">
        <f>(WWWW[[#This Row],['#_Constructed/Existing tube wells/boreholes/handpumps_WASH_agency]]+WWWW[[#This Row],['#_Non-Cluster partner water tube-wells/boreholes/handpumps]])-WWWW[[#This Row],['#_Non-functional tube wells/boreholes/handpumps]]</f>
        <v>3</v>
      </c>
      <c r="CE87" s="600">
        <f>WWWW[[#This Row],['#_Constructed/Existingwater storage tank with gravity fed reticulation system]]-WWWW[[#This Row],['#_Non-functional storage tank gravity fed reticulation system]]</f>
        <v>24</v>
      </c>
      <c r="CF87" s="478">
        <f>(WWWW[[#This Row],['#_Water_Liters_supplied_by_Water boating or water trucking]]/90)/15</f>
        <v>0</v>
      </c>
      <c r="CG87" s="478">
        <f>WWWW[[#This Row],['#_Water_Liters_from_Constructed/Existing water distribution system from river or natural spring]]/90/15</f>
        <v>0</v>
      </c>
      <c r="CH87" s="478">
        <f>WWWW[[#This Row],['#_of water points in TLS/CFS /THF]]*500</f>
        <v>0</v>
      </c>
      <c r="CI8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7" s="599">
        <f>IF(WWWW[[#This Row],[Location Type 1]]="Village",WWWW[[#This Row],[Access to safe drinking water for Village]],WWWW[[#This Row],[Access to safe drinking water for Camp]])</f>
        <v>1</v>
      </c>
      <c r="CL87" s="597">
        <f>WWWW[[#This Row],[%Equitable and continuous access to sufficient quantity of safe drinking water]]*WWWW[[#This Row],[Total PoP ]]</f>
        <v>259</v>
      </c>
      <c r="CM87" s="599">
        <f>IF((WWWW[[#This Row],['#_Constructed/Existing protected/fenced ponds]]*250)/WWWW[[#This Row],[Total PoP ]]&gt;1,1,(WWWW[[#This Row],['#_Constructed/Existing protected/fenced ponds]]*250)/WWWW[[#This Row],[Total PoP ]])</f>
        <v>0</v>
      </c>
      <c r="CN87" s="597">
        <f>WWWW[[#This Row],[% Access to unimproved water points]]*WWWW[[#This Row],[Total PoP ]]</f>
        <v>0</v>
      </c>
      <c r="CO8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Q87" s="597">
        <f>WWWW[[#This Row],[HRP1]]/500</f>
        <v>0.51800000000000002</v>
      </c>
      <c r="CR87" s="602">
        <f>1-WWWW[[#This Row],[% Equitable and continuous access to sufficient quantity of domestic water]]</f>
        <v>0</v>
      </c>
      <c r="CS87" s="597">
        <f>WWWW[[#This Row],[%equitable and continuous access to sufficient quantity of safe drinking and domestic water''s GAP]]*WWWW[[#This Row],[Total PoP ]]</f>
        <v>0</v>
      </c>
      <c r="CT87" s="600">
        <f>IF(WWWW[[#This Row],[Total required water points]]-WWWW[[#This Row],['#Water points coverage]]&lt;0,0,WWWW[[#This Row],[Total required water points]]-WWWW[[#This Row],['#Water points coverage]])</f>
        <v>0.48199999999999998</v>
      </c>
      <c r="CU87" s="600">
        <f>ROUND(IF(WWWW[[#This Row],[Total PoP ]]&lt;500,1,WWWW[[#This Row],[Total PoP ]]/500),0)</f>
        <v>1</v>
      </c>
      <c r="CV87" s="600">
        <f>(WWWW[[#This Row],['#_Constructed latrines_by_WASHAgencies]]+WWWW[[#This Row],['#_Non Cluster partner latrines]])-WWWW[[#This Row],['#_Non-functional latrines]]</f>
        <v>12</v>
      </c>
      <c r="CW87" s="70">
        <f>WWWW[[#This Row],[HRP2]]/WWWW[[#This Row],[Total PoP ]]</f>
        <v>0.92664092664092668</v>
      </c>
      <c r="CX8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8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A87" s="600">
        <f>IF(WWWW[[#This Row],['# of functional latrines in THF supported by WASH partners during the reporting period2]]="",0,WWWW[[#This Row],['# of functional latrines in THF supported by WASH partners during the reporting period2]]*50)</f>
        <v>0</v>
      </c>
      <c r="DB87" s="600">
        <f>WWWW[[#This Row],['# students access to functioning school latrines_HRP5]]+WWWW[[#This Row],['# People access to functioning latrines in THF_HRP5]]</f>
        <v>50</v>
      </c>
      <c r="DC87" s="600">
        <f>ROUND(IF(WWWW[[#This Row],[Location Type 1]]="camp",WWWW[[#This Row],[Total PoP ]]/20,IF(WWWW[[#This Row],[Location Type 1]]="Temporary Location",WWWW[[#This Row],[Total PoP ]]/50,WWWW[[#This Row],[Total HH]])),0)</f>
        <v>13</v>
      </c>
      <c r="DD87" s="600">
        <f>IF(WWWW[[#This Row],[Total required Latrines]]-(WWWW[[#This Row],['#_Constructed latrines_by_WASHAgencies]]+WWWW[[#This Row],['#_Non Cluster partner latrines]])&lt;0,0,WWWW[[#This Row],[Total required Latrines]]-(WWWW[[#This Row],['#_Constructed latrines_by_WASHAgencies]]+WWWW[[#This Row],['#_Non Cluster partner latrines]]))</f>
        <v>1</v>
      </c>
      <c r="DE87" s="602">
        <f>1-WWWW[[#This Row],[% people access to functioning Latrine]]</f>
        <v>7.3359073359073323E-2</v>
      </c>
      <c r="DF87" s="601">
        <f>IF(OR(WWWW[[#This Row],['#_Non-functional latrines]]="",WWWW[[#This Row],['#_Non-functional latrines]]=0),0,WWWW[[#This Row],['#_Non-functional latrines]]/(WWWW[[#This Row],['#_Constructed latrines_by_WASHAgencies]]+WWWW[[#This Row],['#_Non Cluster partner latrines]]))</f>
        <v>0</v>
      </c>
      <c r="DG87" s="597">
        <f>IF(500*(WWWW[[#This Row],['#_male hygiene promoters]]+WWWW[[#This Row],['#_female hygiene promoters]])&gt;WWWW[[#This Row],[Total PoP ]],WWWW[[#This Row],[Total PoP ]],500*(WWWW[[#This Row],['#_male hygiene promoters]]+WWWW[[#This Row],['#_female hygiene promoters]]))</f>
        <v>259</v>
      </c>
      <c r="DH8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7" s="600">
        <f>IF(WWWW[[#This Row],['# People with access to soap]]&gt;WWWW[[#This Row],['# People with access to Sanity Pads]],WWWW[[#This Row],['# People with access to soap]],WWWW[[#This Row],['# People with access to Sanity Pads]])</f>
        <v>0</v>
      </c>
      <c r="DK87" s="600">
        <f>IF(WWWW[[#This Row],['# people reached by regular dedicated hygiene promotion_5]]&gt;WWWW[[#This Row],['# People received regular supply of hygiene items_6]],WWWW[[#This Row],['# people reached by regular dedicated hygiene promotion_5]],WWWW[[#This Row],['# People received regular supply of hygiene items_6]])</f>
        <v>259</v>
      </c>
      <c r="DL87" s="602">
        <f>IF(WWWW[[#This Row],[HRP3]]/WWWW[[#This Row],[Total PoP ]]&gt;1,1,WWWW[[#This Row],[HRP3]]/WWWW[[#This Row],[Total PoP ]])</f>
        <v>1</v>
      </c>
      <c r="DM87" s="601">
        <f>1-WWWW[[#This Row],[Hygiene Coverage%]]</f>
        <v>0</v>
      </c>
      <c r="DN87" s="599">
        <f>WWWW[[#This Row],['# people reached by regular dedicated hygiene promotion_5]]/WWWW[[#This Row],[Total PoP ]]</f>
        <v>1</v>
      </c>
      <c r="DO8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7" s="600">
        <f>WWWW[[#This Row],['#_Constructed/Existing hand washing stations]]-WWWW[[#This Row],['#_Non-Functional_hand_washing_stations]]</f>
        <v>7</v>
      </c>
      <c r="DR87" s="597">
        <f>IF(WWWW[[#This Row],['# Functional hand washing stations during reporting period]]*20&gt;WWWW[[#This Row],[Total HH]],WWWW[[#This Row],[Total HH]],WWWW[[#This Row],['# Functional hand washing stations during reporting period]]*20)</f>
        <v>52</v>
      </c>
      <c r="DS87" s="597">
        <f>IF(WWWW[[#This Row],[Is sufficient soap available for TLS? (Yes/No)]]="yes",WWWW[[#This Row],['#_Constructed/Existing hand washing stations at TLS]],0)</f>
        <v>0</v>
      </c>
      <c r="DT87" s="479">
        <f>IF(WWWW[[#This Row],['# Functional hand washing stations during reporting period]]*100&gt;WWWW[[#This Row],[Total PoP ]],WWWW[[#This Row],[Total PoP ]],WWWW[[#This Row],['# Functional hand washing stations during reporting period]]*100)</f>
        <v>259</v>
      </c>
      <c r="DU87" s="479" t="str">
        <f>IF(OR(WWWW[[#This Row],['#_students at TLS_CFS]]="",WWWW[[#This Row],['#_students at TLS_CFS]]=0),"No","Yes")</f>
        <v>Yes</v>
      </c>
      <c r="DV8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v>
      </c>
      <c r="DY87" s="593" t="str">
        <f>VLOOKUP(WWWW[[#This Row],[Site Name]],SiteDB6[[Site Name]:[CCCM Management]],6,FALSE)</f>
        <v>Yes</v>
      </c>
      <c r="DZ87" s="593" t="str">
        <f>VLOOKUP(WWWW[[#This Row],[Site Name]],SiteDB6[[Site Name]:[CCCM Focal Agency]],7,FALSE)</f>
        <v>KBC-NSS</v>
      </c>
      <c r="EA87" s="593" t="str">
        <f>VLOOKUP(WWWW[[#This Row],[Site Name]],SiteDB6[[Site Name]:[Location Type 1]],9,FALSE)</f>
        <v>Camp</v>
      </c>
      <c r="EB87" s="593" t="str">
        <f>VLOOKUP(WWWW[[#This Row],[Site Name]],SiteDB6[[Site Name]:[Type of Accommodation]],10,FALSE)</f>
        <v>Camp</v>
      </c>
      <c r="EC87" s="593" t="str">
        <f>VLOOKUP(WWWW[[#This Row],[Site Name]],SiteDB6[[Site Name]:[Ethnic or GCA/NGCA]],11,FALSE)</f>
        <v>GCA</v>
      </c>
      <c r="ED87" s="593">
        <f>VLOOKUP(WWWW[[#This Row],[Site Name]],SiteDB6[[Site Name]:[Lat]],12,FALSE)</f>
        <v>23.450914000000001</v>
      </c>
      <c r="EE87" s="593">
        <f>VLOOKUP(WWWW[[#This Row],[Site Name]],SiteDB6[[Site Name]:[Long]],13,FALSE)</f>
        <v>97.926813999999993</v>
      </c>
      <c r="EF87" s="593" t="str">
        <f>VLOOKUP(WWWW[[#This Row],[Site Name]],SiteDB6[[Site Name]:[Pcode]],3,FALSE)</f>
        <v>MMR015CMP016</v>
      </c>
      <c r="EG87" s="598" t="str">
        <f t="shared" si="1"/>
        <v>Covered</v>
      </c>
      <c r="EH87" s="598" t="str">
        <f>VLOOKUP(WWWW[[#This Row],[Site Name]],SiteDB6[[Site Name]:[open in cccm?]],2,FALSE)</f>
        <v>cccm_2019OCT</v>
      </c>
    </row>
    <row r="88" spans="1:138" hidden="1">
      <c r="A88" s="591" t="s">
        <v>3261</v>
      </c>
      <c r="B88" s="591" t="s">
        <v>195</v>
      </c>
      <c r="C88" s="592" t="s">
        <v>195</v>
      </c>
      <c r="D88" s="404" t="s">
        <v>3045</v>
      </c>
      <c r="E88" s="592" t="s">
        <v>711</v>
      </c>
      <c r="F88" s="592" t="s">
        <v>715</v>
      </c>
      <c r="G88" s="721" t="str">
        <f>VLOOKUP(WWWW[[#This Row],[Site Name]],SiteDB6[[Site Name]:[Location Type]],8,FALSE)</f>
        <v>Camp</v>
      </c>
      <c r="H88" s="592" t="s">
        <v>742</v>
      </c>
      <c r="I88" s="594">
        <v>35</v>
      </c>
      <c r="J88" s="594">
        <v>156</v>
      </c>
      <c r="K88" s="595" t="s">
        <v>3289</v>
      </c>
      <c r="L88" s="596" t="s">
        <v>3290</v>
      </c>
      <c r="M88" s="594">
        <v>58</v>
      </c>
      <c r="N88" s="594"/>
      <c r="O88" s="594"/>
      <c r="P88" s="594"/>
      <c r="Q88" s="597" t="s">
        <v>43</v>
      </c>
      <c r="R88" s="594">
        <v>4</v>
      </c>
      <c r="S88" s="594">
        <v>4</v>
      </c>
      <c r="T88" s="523">
        <v>1</v>
      </c>
      <c r="U88" s="594"/>
      <c r="V88" s="594"/>
      <c r="W88" s="594">
        <v>1</v>
      </c>
      <c r="X88" s="594"/>
      <c r="Y88" s="594"/>
      <c r="Z88" s="594"/>
      <c r="AA88" s="594">
        <v>7</v>
      </c>
      <c r="AB88" s="594"/>
      <c r="AC88" s="594"/>
      <c r="AD88" s="594"/>
      <c r="AE88" s="594"/>
      <c r="AF88" s="594"/>
      <c r="AG88" s="594"/>
      <c r="AH88" s="594"/>
      <c r="AI88" s="594"/>
      <c r="AJ88" s="594"/>
      <c r="AK88" s="594"/>
      <c r="AL88" s="594"/>
      <c r="AM88" s="594"/>
      <c r="AN88" s="594"/>
      <c r="AO88" s="598"/>
      <c r="AP88" s="594">
        <v>9</v>
      </c>
      <c r="AQ88" s="594"/>
      <c r="AR88" s="599"/>
      <c r="AS88" s="594"/>
      <c r="AT88" s="594"/>
      <c r="AU88" s="594"/>
      <c r="AV88" s="594"/>
      <c r="AW88" s="594"/>
      <c r="AX88" s="593" t="s">
        <v>43</v>
      </c>
      <c r="AY88" s="598" t="s">
        <v>140</v>
      </c>
      <c r="AZ88" s="594"/>
      <c r="BA88" s="594"/>
      <c r="BB88" s="594"/>
      <c r="BC88" s="594"/>
      <c r="BD88" s="523"/>
      <c r="BE88" s="593"/>
      <c r="BF88" s="594">
        <v>4</v>
      </c>
      <c r="BG88" s="594"/>
      <c r="BH88" s="594"/>
      <c r="BI88" s="594">
        <v>2</v>
      </c>
      <c r="BJ88" s="594"/>
      <c r="BK88" s="594"/>
      <c r="BL88" s="594">
        <v>1</v>
      </c>
      <c r="BM88" s="594"/>
      <c r="BN88" s="594"/>
      <c r="BO88" s="593" t="s">
        <v>139</v>
      </c>
      <c r="BP88" s="594"/>
      <c r="BQ88" s="599"/>
      <c r="BR88" s="593"/>
      <c r="BS88" s="472"/>
      <c r="BT88" s="472"/>
      <c r="BU88" s="523"/>
      <c r="BV88" s="472"/>
      <c r="BW88" s="523"/>
      <c r="BX88" s="523"/>
      <c r="BY88" s="523"/>
      <c r="BZ88" s="601" t="str">
        <f>IFERROR(WWWW[[#This Row],['#_Water sources passed]]/WWWW[[#This Row],['#_Water sources tested for fecal coliform ]],"no test")</f>
        <v>no test</v>
      </c>
      <c r="CA88" s="599" t="str">
        <f>IFERROR(WWWW[[#This Row],['#_Household passed]]/WWWW[[#This Row],['#_Household water samples tested for fecal coliform]],"no test")</f>
        <v>no test</v>
      </c>
      <c r="CB88" s="600" t="str">
        <f>IF(AND(WWWW[[#This Row],[% of water sources passed]]="no test",WWWW[[#This Row],[% Household passed]]="no test"),"No Test","Tested")</f>
        <v>No Test</v>
      </c>
      <c r="CC88" s="600">
        <f>WWWW[[#This Row],['#_Constructed/existing protected hand dug well]]-WWWW[[#This Row],['#_Non-functional protected hand dug well]]</f>
        <v>1</v>
      </c>
      <c r="CD88" s="600">
        <f>(WWWW[[#This Row],['#_Constructed/Existing tube wells/boreholes/handpumps_WASH_agency]]+WWWW[[#This Row],['#_Non-Cluster partner water tube-wells/boreholes/handpumps]])-WWWW[[#This Row],['#_Non-functional tube wells/boreholes/handpumps]]</f>
        <v>1</v>
      </c>
      <c r="CE88" s="600">
        <f>WWWW[[#This Row],['#_Constructed/Existingwater storage tank with gravity fed reticulation system]]-WWWW[[#This Row],['#_Non-functional storage tank gravity fed reticulation system]]</f>
        <v>7</v>
      </c>
      <c r="CF88" s="478">
        <f>(WWWW[[#This Row],['#_Water_Liters_supplied_by_Water boating or water trucking]]/90)/15</f>
        <v>0</v>
      </c>
      <c r="CG88" s="478">
        <f>WWWW[[#This Row],['#_Water_Liters_from_Constructed/Existing water distribution system from river or natural spring]]/90/15</f>
        <v>0</v>
      </c>
      <c r="CH88" s="478">
        <f>WWWW[[#This Row],['#_of water points in TLS/CFS /THF]]*500</f>
        <v>0</v>
      </c>
      <c r="CI8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8" s="599">
        <f>IF(WWWW[[#This Row],[Location Type 1]]="Village",WWWW[[#This Row],[Access to safe drinking water for Village]],WWWW[[#This Row],[Access to safe drinking water for Camp]])</f>
        <v>1</v>
      </c>
      <c r="CL88" s="597">
        <f>WWWW[[#This Row],[%Equitable and continuous access to sufficient quantity of safe drinking water]]*WWWW[[#This Row],[Total PoP ]]</f>
        <v>156</v>
      </c>
      <c r="CM88" s="599">
        <f>IF((WWWW[[#This Row],['#_Constructed/Existing protected/fenced ponds]]*250)/WWWW[[#This Row],[Total PoP ]]&gt;1,1,(WWWW[[#This Row],['#_Constructed/Existing protected/fenced ponds]]*250)/WWWW[[#This Row],[Total PoP ]])</f>
        <v>0</v>
      </c>
      <c r="CN88" s="597">
        <f>WWWW[[#This Row],[% Access to unimproved water points]]*WWWW[[#This Row],[Total PoP ]]</f>
        <v>0</v>
      </c>
      <c r="CO8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88" s="597">
        <f>WWWW[[#This Row],[HRP1]]/500</f>
        <v>0.312</v>
      </c>
      <c r="CR88" s="602">
        <f>1-WWWW[[#This Row],[% Equitable and continuous access to sufficient quantity of domestic water]]</f>
        <v>0</v>
      </c>
      <c r="CS88" s="597">
        <f>WWWW[[#This Row],[%equitable and continuous access to sufficient quantity of safe drinking and domestic water''s GAP]]*WWWW[[#This Row],[Total PoP ]]</f>
        <v>0</v>
      </c>
      <c r="CT88" s="600">
        <f>IF(WWWW[[#This Row],[Total required water points]]-WWWW[[#This Row],['#Water points coverage]]&lt;0,0,WWWW[[#This Row],[Total required water points]]-WWWW[[#This Row],['#Water points coverage]])</f>
        <v>0.68799999999999994</v>
      </c>
      <c r="CU88" s="600">
        <f>ROUND(IF(WWWW[[#This Row],[Total PoP ]]&lt;500,1,WWWW[[#This Row],[Total PoP ]]/500),0)</f>
        <v>1</v>
      </c>
      <c r="CV88" s="600">
        <f>(WWWW[[#This Row],['#_Constructed latrines_by_WASHAgencies]]+WWWW[[#This Row],['#_Non Cluster partner latrines]])-WWWW[[#This Row],['#_Non-functional latrines]]</f>
        <v>9</v>
      </c>
      <c r="CW88" s="70">
        <f>WWWW[[#This Row],[HRP2]]/WWWW[[#This Row],[Total PoP ]]</f>
        <v>1</v>
      </c>
      <c r="CX8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8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8" s="600">
        <f>IF(WWWW[[#This Row],['# of functional latrines in THF supported by WASH partners during the reporting period2]]="",0,WWWW[[#This Row],['# of functional latrines in THF supported by WASH partners during the reporting period2]]*50)</f>
        <v>0</v>
      </c>
      <c r="DB88" s="600">
        <f>WWWW[[#This Row],['# students access to functioning school latrines_HRP5]]+WWWW[[#This Row],['# People access to functioning latrines in THF_HRP5]]</f>
        <v>0</v>
      </c>
      <c r="DC88" s="600">
        <f>ROUND(IF(WWWW[[#This Row],[Location Type 1]]="camp",WWWW[[#This Row],[Total PoP ]]/20,IF(WWWW[[#This Row],[Location Type 1]]="Temporary Location",WWWW[[#This Row],[Total PoP ]]/50,WWWW[[#This Row],[Total HH]])),0)</f>
        <v>8</v>
      </c>
      <c r="DD88" s="600">
        <f>IF(WWWW[[#This Row],[Total required Latrines]]-(WWWW[[#This Row],['#_Constructed latrines_by_WASHAgencies]]+WWWW[[#This Row],['#_Non Cluster partner latrines]])&lt;0,0,WWWW[[#This Row],[Total required Latrines]]-(WWWW[[#This Row],['#_Constructed latrines_by_WASHAgencies]]+WWWW[[#This Row],['#_Non Cluster partner latrines]]))</f>
        <v>0</v>
      </c>
      <c r="DE88" s="602">
        <f>1-WWWW[[#This Row],[% people access to functioning Latrine]]</f>
        <v>0</v>
      </c>
      <c r="DF88" s="601">
        <f>IF(OR(WWWW[[#This Row],['#_Non-functional latrines]]="",WWWW[[#This Row],['#_Non-functional latrines]]=0),0,WWWW[[#This Row],['#_Non-functional latrines]]/(WWWW[[#This Row],['#_Constructed latrines_by_WASHAgencies]]+WWWW[[#This Row],['#_Non Cluster partner latrines]]))</f>
        <v>0</v>
      </c>
      <c r="DG88" s="597">
        <f>IF(500*(WWWW[[#This Row],['#_male hygiene promoters]]+WWWW[[#This Row],['#_female hygiene promoters]])&gt;WWWW[[#This Row],[Total PoP ]],WWWW[[#This Row],[Total PoP ]],500*(WWWW[[#This Row],['#_male hygiene promoters]]+WWWW[[#This Row],['#_female hygiene promoters]]))</f>
        <v>156</v>
      </c>
      <c r="DH8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8" s="600">
        <f>IF(WWWW[[#This Row],['# People with access to soap]]&gt;WWWW[[#This Row],['# People with access to Sanity Pads]],WWWW[[#This Row],['# People with access to soap]],WWWW[[#This Row],['# People with access to Sanity Pads]])</f>
        <v>0</v>
      </c>
      <c r="DK88" s="600">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88" s="602">
        <f>IF(WWWW[[#This Row],[HRP3]]/WWWW[[#This Row],[Total PoP ]]&gt;1,1,WWWW[[#This Row],[HRP3]]/WWWW[[#This Row],[Total PoP ]])</f>
        <v>1</v>
      </c>
      <c r="DM88" s="601">
        <f>1-WWWW[[#This Row],[Hygiene Coverage%]]</f>
        <v>0</v>
      </c>
      <c r="DN88" s="599">
        <f>WWWW[[#This Row],['# people reached by regular dedicated hygiene promotion_5]]/WWWW[[#This Row],[Total PoP ]]</f>
        <v>1</v>
      </c>
      <c r="DO8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8" s="600">
        <f>WWWW[[#This Row],['#_Constructed/Existing hand washing stations]]-WWWW[[#This Row],['#_Non-Functional_hand_washing_stations]]</f>
        <v>4</v>
      </c>
      <c r="DR88" s="597">
        <f>IF(WWWW[[#This Row],['# Functional hand washing stations during reporting period]]*20&gt;WWWW[[#This Row],[Total HH]],WWWW[[#This Row],[Total HH]],WWWW[[#This Row],['# Functional hand washing stations during reporting period]]*20)</f>
        <v>35</v>
      </c>
      <c r="DS88" s="597">
        <f>IF(WWWW[[#This Row],[Is sufficient soap available for TLS? (Yes/No)]]="yes",WWWW[[#This Row],['#_Constructed/Existing hand washing stations at TLS]],0)</f>
        <v>0</v>
      </c>
      <c r="DT88" s="479">
        <f>IF(WWWW[[#This Row],['# Functional hand washing stations during reporting period]]*100&gt;WWWW[[#This Row],[Total PoP ]],WWWW[[#This Row],[Total PoP ]],WWWW[[#This Row],['# Functional hand washing stations during reporting period]]*100)</f>
        <v>156</v>
      </c>
      <c r="DU88" s="479" t="str">
        <f>IF(OR(WWWW[[#This Row],['#_students at TLS_CFS]]="",WWWW[[#This Row],['#_students at TLS_CFS]]=0),"No","Yes")</f>
        <v>Yes</v>
      </c>
      <c r="DV8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8" s="593" t="str">
        <f>VLOOKUP(WWWW[[#This Row],[Site Name]],SiteDB6[[Site Name]:[CCCM Management]],6,FALSE)</f>
        <v>Yes</v>
      </c>
      <c r="DZ88" s="593" t="str">
        <f>VLOOKUP(WWWW[[#This Row],[Site Name]],SiteDB6[[Site Name]:[CCCM Focal Agency]],7,FALSE)</f>
        <v>KBC-NSS</v>
      </c>
      <c r="EA88" s="593" t="str">
        <f>VLOOKUP(WWWW[[#This Row],[Site Name]],SiteDB6[[Site Name]:[Location Type 1]],9,FALSE)</f>
        <v>Camp</v>
      </c>
      <c r="EB88" s="593" t="str">
        <f>VLOOKUP(WWWW[[#This Row],[Site Name]],SiteDB6[[Site Name]:[Type of Accommodation]],10,FALSE)</f>
        <v>Camp</v>
      </c>
      <c r="EC88" s="593" t="str">
        <f>VLOOKUP(WWWW[[#This Row],[Site Name]],SiteDB6[[Site Name]:[Ethnic or GCA/NGCA]],11,FALSE)</f>
        <v>GCA</v>
      </c>
      <c r="ED88" s="593">
        <f>VLOOKUP(WWWW[[#This Row],[Site Name]],SiteDB6[[Site Name]:[Lat]],12,FALSE)</f>
        <v>23.460349999999998</v>
      </c>
      <c r="EE88" s="593">
        <f>VLOOKUP(WWWW[[#This Row],[Site Name]],SiteDB6[[Site Name]:[Long]],13,FALSE)</f>
        <v>97.947360000000003</v>
      </c>
      <c r="EF88" s="593" t="str">
        <f>VLOOKUP(WWWW[[#This Row],[Site Name]],SiteDB6[[Site Name]:[Pcode]],3,FALSE)</f>
        <v>MMR015CMP245</v>
      </c>
      <c r="EG88" s="598" t="str">
        <f t="shared" si="1"/>
        <v>Covered</v>
      </c>
      <c r="EH88" s="598" t="str">
        <f>VLOOKUP(WWWW[[#This Row],[Site Name]],SiteDB6[[Site Name]:[open in cccm?]],2,FALSE)</f>
        <v>cccm_2019OCT</v>
      </c>
    </row>
    <row r="89" spans="1:138" hidden="1">
      <c r="A89" s="591" t="s">
        <v>3261</v>
      </c>
      <c r="B89" s="591" t="s">
        <v>195</v>
      </c>
      <c r="C89" s="592" t="s">
        <v>195</v>
      </c>
      <c r="D89" s="404" t="s">
        <v>3045</v>
      </c>
      <c r="E89" s="592" t="s">
        <v>711</v>
      </c>
      <c r="F89" s="592" t="s">
        <v>715</v>
      </c>
      <c r="G89" s="721" t="str">
        <f>VLOOKUP(WWWW[[#This Row],[Site Name]],SiteDB6[[Site Name]:[Location Type]],8,FALSE)</f>
        <v>Camp</v>
      </c>
      <c r="H89" s="592" t="s">
        <v>716</v>
      </c>
      <c r="I89" s="594">
        <v>30</v>
      </c>
      <c r="J89" s="594">
        <v>138</v>
      </c>
      <c r="K89" s="595" t="s">
        <v>3289</v>
      </c>
      <c r="L89" s="596" t="s">
        <v>3290</v>
      </c>
      <c r="M89" s="594"/>
      <c r="N89" s="594"/>
      <c r="O89" s="594"/>
      <c r="P89" s="594"/>
      <c r="Q89" s="597" t="s">
        <v>43</v>
      </c>
      <c r="R89" s="594">
        <v>3</v>
      </c>
      <c r="S89" s="594">
        <v>4</v>
      </c>
      <c r="T89" s="523"/>
      <c r="U89" s="594"/>
      <c r="V89" s="594"/>
      <c r="W89" s="594"/>
      <c r="X89" s="594"/>
      <c r="Y89" s="594"/>
      <c r="Z89" s="594"/>
      <c r="AA89" s="594">
        <v>38</v>
      </c>
      <c r="AB89" s="594"/>
      <c r="AC89" s="594"/>
      <c r="AD89" s="594"/>
      <c r="AE89" s="594"/>
      <c r="AF89" s="594"/>
      <c r="AG89" s="594">
        <v>3</v>
      </c>
      <c r="AH89" s="594"/>
      <c r="AI89" s="594"/>
      <c r="AJ89" s="594"/>
      <c r="AK89" s="594"/>
      <c r="AL89" s="594"/>
      <c r="AM89" s="594"/>
      <c r="AN89" s="594"/>
      <c r="AO89" s="501" t="s">
        <v>3137</v>
      </c>
      <c r="AP89" s="594">
        <v>27</v>
      </c>
      <c r="AQ89" s="594"/>
      <c r="AR89" s="599"/>
      <c r="AS89" s="594"/>
      <c r="AT89" s="594"/>
      <c r="AU89" s="594"/>
      <c r="AV89" s="594"/>
      <c r="AW89" s="594">
        <v>2</v>
      </c>
      <c r="AX89" s="593" t="s">
        <v>43</v>
      </c>
      <c r="AY89" s="598" t="s">
        <v>139</v>
      </c>
      <c r="AZ89" s="594"/>
      <c r="BA89" s="594"/>
      <c r="BB89" s="594"/>
      <c r="BC89" s="594"/>
      <c r="BD89" s="523"/>
      <c r="BE89" s="593"/>
      <c r="BF89" s="594">
        <v>4</v>
      </c>
      <c r="BG89" s="594"/>
      <c r="BH89" s="594"/>
      <c r="BI89" s="594">
        <v>2</v>
      </c>
      <c r="BJ89" s="594"/>
      <c r="BK89" s="594"/>
      <c r="BL89" s="594">
        <v>1</v>
      </c>
      <c r="BM89" s="594"/>
      <c r="BN89" s="594"/>
      <c r="BO89" s="593"/>
      <c r="BP89" s="594"/>
      <c r="BQ89" s="599"/>
      <c r="BR89" s="593"/>
      <c r="BS89" s="472"/>
      <c r="BT89" s="472"/>
      <c r="BU89" s="523"/>
      <c r="BV89" s="472"/>
      <c r="BW89" s="523"/>
      <c r="BX89" s="523"/>
      <c r="BY89" s="523"/>
      <c r="BZ89" s="601" t="str">
        <f>IFERROR(WWWW[[#This Row],['#_Water sources passed]]/WWWW[[#This Row],['#_Water sources tested for fecal coliform ]],"no test")</f>
        <v>no test</v>
      </c>
      <c r="CA89" s="599" t="str">
        <f>IFERROR(WWWW[[#This Row],['#_Household passed]]/WWWW[[#This Row],['#_Household water samples tested for fecal coliform]],"no test")</f>
        <v>no test</v>
      </c>
      <c r="CB89" s="600" t="str">
        <f>IF(AND(WWWW[[#This Row],[% of water sources passed]]="no test",WWWW[[#This Row],[% Household passed]]="no test"),"No Test","Tested")</f>
        <v>No Test</v>
      </c>
      <c r="CC89" s="600">
        <f>WWWW[[#This Row],['#_Constructed/existing protected hand dug well]]-WWWW[[#This Row],['#_Non-functional protected hand dug well]]</f>
        <v>0</v>
      </c>
      <c r="CD89" s="600">
        <f>(WWWW[[#This Row],['#_Constructed/Existing tube wells/boreholes/handpumps_WASH_agency]]+WWWW[[#This Row],['#_Non-Cluster partner water tube-wells/boreholes/handpumps]])-WWWW[[#This Row],['#_Non-functional tube wells/boreholes/handpumps]]</f>
        <v>0</v>
      </c>
      <c r="CE89" s="600">
        <f>WWWW[[#This Row],['#_Constructed/Existingwater storage tank with gravity fed reticulation system]]-WWWW[[#This Row],['#_Non-functional storage tank gravity fed reticulation system]]</f>
        <v>38</v>
      </c>
      <c r="CF89" s="478">
        <f>(WWWW[[#This Row],['#_Water_Liters_supplied_by_Water boating or water trucking]]/90)/15</f>
        <v>0</v>
      </c>
      <c r="CG89" s="478">
        <f>WWWW[[#This Row],['#_Water_Liters_from_Constructed/Existing water distribution system from river or natural spring]]/90/15</f>
        <v>0</v>
      </c>
      <c r="CH89" s="478">
        <f>WWWW[[#This Row],['#_of water points in TLS/CFS /THF]]*500</f>
        <v>0</v>
      </c>
      <c r="CI8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8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89" s="599">
        <f>IF(WWWW[[#This Row],[Location Type 1]]="Village",WWWW[[#This Row],[Access to safe drinking water for Village]],WWWW[[#This Row],[Access to safe drinking water for Camp]])</f>
        <v>1</v>
      </c>
      <c r="CL89" s="597">
        <f>WWWW[[#This Row],[%Equitable and continuous access to sufficient quantity of safe drinking water]]*WWWW[[#This Row],[Total PoP ]]</f>
        <v>138</v>
      </c>
      <c r="CM89" s="599">
        <f>IF((WWWW[[#This Row],['#_Constructed/Existing protected/fenced ponds]]*250)/WWWW[[#This Row],[Total PoP ]]&gt;1,1,(WWWW[[#This Row],['#_Constructed/Existing protected/fenced ponds]]*250)/WWWW[[#This Row],[Total PoP ]])</f>
        <v>0</v>
      </c>
      <c r="CN89" s="597">
        <f>WWWW[[#This Row],[% Access to unimproved water points]]*WWWW[[#This Row],[Total PoP ]]</f>
        <v>0</v>
      </c>
      <c r="CO8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8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Q89" s="597">
        <f>WWWW[[#This Row],[HRP1]]/500</f>
        <v>0.27600000000000002</v>
      </c>
      <c r="CR89" s="602">
        <f>1-WWWW[[#This Row],[% Equitable and continuous access to sufficient quantity of domestic water]]</f>
        <v>0</v>
      </c>
      <c r="CS89" s="597">
        <f>WWWW[[#This Row],[%equitable and continuous access to sufficient quantity of safe drinking and domestic water''s GAP]]*WWWW[[#This Row],[Total PoP ]]</f>
        <v>0</v>
      </c>
      <c r="CT89" s="600">
        <f>IF(WWWW[[#This Row],[Total required water points]]-WWWW[[#This Row],['#Water points coverage]]&lt;0,0,WWWW[[#This Row],[Total required water points]]-WWWW[[#This Row],['#Water points coverage]])</f>
        <v>0.72399999999999998</v>
      </c>
      <c r="CU89" s="600">
        <f>ROUND(IF(WWWW[[#This Row],[Total PoP ]]&lt;500,1,WWWW[[#This Row],[Total PoP ]]/500),0)</f>
        <v>1</v>
      </c>
      <c r="CV89" s="600">
        <f>(WWWW[[#This Row],['#_Constructed latrines_by_WASHAgencies]]+WWWW[[#This Row],['#_Non Cluster partner latrines]])-WWWW[[#This Row],['#_Non-functional latrines]]</f>
        <v>27</v>
      </c>
      <c r="CW89" s="70">
        <f>WWWW[[#This Row],[HRP2]]/WWWW[[#This Row],[Total PoP ]]</f>
        <v>1</v>
      </c>
      <c r="CX8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138</v>
      </c>
      <c r="CY8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8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89" s="600">
        <f>IF(WWWW[[#This Row],['# of functional latrines in THF supported by WASH partners during the reporting period2]]="",0,WWWW[[#This Row],['# of functional latrines in THF supported by WASH partners during the reporting period2]]*50)</f>
        <v>0</v>
      </c>
      <c r="DB89" s="600">
        <f>WWWW[[#This Row],['# students access to functioning school latrines_HRP5]]+WWWW[[#This Row],['# People access to functioning latrines in THF_HRP5]]</f>
        <v>0</v>
      </c>
      <c r="DC89" s="600">
        <f>ROUND(IF(WWWW[[#This Row],[Location Type 1]]="camp",WWWW[[#This Row],[Total PoP ]]/20,IF(WWWW[[#This Row],[Location Type 1]]="Temporary Location",WWWW[[#This Row],[Total PoP ]]/50,WWWW[[#This Row],[Total HH]])),0)</f>
        <v>7</v>
      </c>
      <c r="DD89" s="600">
        <f>IF(WWWW[[#This Row],[Total required Latrines]]-(WWWW[[#This Row],['#_Constructed latrines_by_WASHAgencies]]+WWWW[[#This Row],['#_Non Cluster partner latrines]])&lt;0,0,WWWW[[#This Row],[Total required Latrines]]-(WWWW[[#This Row],['#_Constructed latrines_by_WASHAgencies]]+WWWW[[#This Row],['#_Non Cluster partner latrines]]))</f>
        <v>0</v>
      </c>
      <c r="DE89" s="602">
        <f>1-WWWW[[#This Row],[% people access to functioning Latrine]]</f>
        <v>0</v>
      </c>
      <c r="DF89" s="601">
        <f>IF(OR(WWWW[[#This Row],['#_Non-functional latrines]]="",WWWW[[#This Row],['#_Non-functional latrines]]=0),0,WWWW[[#This Row],['#_Non-functional latrines]]/(WWWW[[#This Row],['#_Constructed latrines_by_WASHAgencies]]+WWWW[[#This Row],['#_Non Cluster partner latrines]]))</f>
        <v>0</v>
      </c>
      <c r="DG89" s="597">
        <f>IF(500*(WWWW[[#This Row],['#_male hygiene promoters]]+WWWW[[#This Row],['#_female hygiene promoters]])&gt;WWWW[[#This Row],[Total PoP ]],WWWW[[#This Row],[Total PoP ]],500*(WWWW[[#This Row],['#_male hygiene promoters]]+WWWW[[#This Row],['#_female hygiene promoters]]))</f>
        <v>138</v>
      </c>
      <c r="DH8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8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89" s="600">
        <f>IF(WWWW[[#This Row],['# People with access to soap]]&gt;WWWW[[#This Row],['# People with access to Sanity Pads]],WWWW[[#This Row],['# People with access to soap]],WWWW[[#This Row],['# People with access to Sanity Pads]])</f>
        <v>0</v>
      </c>
      <c r="DK89" s="600">
        <f>IF(WWWW[[#This Row],['# people reached by regular dedicated hygiene promotion_5]]&gt;WWWW[[#This Row],['# People received regular supply of hygiene items_6]],WWWW[[#This Row],['# people reached by regular dedicated hygiene promotion_5]],WWWW[[#This Row],['# People received regular supply of hygiene items_6]])</f>
        <v>138</v>
      </c>
      <c r="DL89" s="602">
        <f>IF(WWWW[[#This Row],[HRP3]]/WWWW[[#This Row],[Total PoP ]]&gt;1,1,WWWW[[#This Row],[HRP3]]/WWWW[[#This Row],[Total PoP ]])</f>
        <v>1</v>
      </c>
      <c r="DM89" s="601">
        <f>1-WWWW[[#This Row],[Hygiene Coverage%]]</f>
        <v>0</v>
      </c>
      <c r="DN89" s="599">
        <f>WWWW[[#This Row],['# people reached by regular dedicated hygiene promotion_5]]/WWWW[[#This Row],[Total PoP ]]</f>
        <v>1</v>
      </c>
      <c r="DO8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8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89" s="600">
        <f>WWWW[[#This Row],['#_Constructed/Existing hand washing stations]]-WWWW[[#This Row],['#_Non-Functional_hand_washing_stations]]</f>
        <v>4</v>
      </c>
      <c r="DR89" s="597">
        <f>IF(WWWW[[#This Row],['# Functional hand washing stations during reporting period]]*20&gt;WWWW[[#This Row],[Total HH]],WWWW[[#This Row],[Total HH]],WWWW[[#This Row],['# Functional hand washing stations during reporting period]]*20)</f>
        <v>30</v>
      </c>
      <c r="DS89" s="597">
        <f>IF(WWWW[[#This Row],[Is sufficient soap available for TLS? (Yes/No)]]="yes",WWWW[[#This Row],['#_Constructed/Existing hand washing stations at TLS]],0)</f>
        <v>0</v>
      </c>
      <c r="DT89" s="479">
        <f>IF(WWWW[[#This Row],['# Functional hand washing stations during reporting period]]*100&gt;WWWW[[#This Row],[Total PoP ]],WWWW[[#This Row],[Total PoP ]],WWWW[[#This Row],['# Functional hand washing stations during reporting period]]*100)</f>
        <v>138</v>
      </c>
      <c r="DU89" s="479" t="str">
        <f>IF(OR(WWWW[[#This Row],['#_students at TLS_CFS]]="",WWWW[[#This Row],['#_students at TLS_CFS]]=0),"No","Yes")</f>
        <v>No</v>
      </c>
      <c r="DV8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89" s="593" t="str">
        <f>VLOOKUP(WWWW[[#This Row],[Site Name]],SiteDB6[[Site Name]:[CCCM Management]],6,FALSE)</f>
        <v>Yes</v>
      </c>
      <c r="DZ89" s="593" t="str">
        <f>VLOOKUP(WWWW[[#This Row],[Site Name]],SiteDB6[[Site Name]:[CCCM Focal Agency]],7,FALSE)</f>
        <v>KMSS-LSO</v>
      </c>
      <c r="EA89" s="593" t="str">
        <f>VLOOKUP(WWWW[[#This Row],[Site Name]],SiteDB6[[Site Name]:[Location Type 1]],9,FALSE)</f>
        <v>Camp</v>
      </c>
      <c r="EB89" s="593" t="str">
        <f>VLOOKUP(WWWW[[#This Row],[Site Name]],SiteDB6[[Site Name]:[Type of Accommodation]],10,FALSE)</f>
        <v>Camp</v>
      </c>
      <c r="EC89" s="593" t="str">
        <f>VLOOKUP(WWWW[[#This Row],[Site Name]],SiteDB6[[Site Name]:[Ethnic or GCA/NGCA]],11,FALSE)</f>
        <v>GCA</v>
      </c>
      <c r="ED89" s="593">
        <f>VLOOKUP(WWWW[[#This Row],[Site Name]],SiteDB6[[Site Name]:[Lat]],12,FALSE)</f>
        <v>23.460349999999998</v>
      </c>
      <c r="EE89" s="593">
        <f>VLOOKUP(WWWW[[#This Row],[Site Name]],SiteDB6[[Site Name]:[Long]],13,FALSE)</f>
        <v>97.947360000000003</v>
      </c>
      <c r="EF89" s="593" t="str">
        <f>VLOOKUP(WWWW[[#This Row],[Site Name]],SiteDB6[[Site Name]:[Pcode]],3,FALSE)</f>
        <v>MMR015CMP017</v>
      </c>
      <c r="EG89" s="598" t="str">
        <f t="shared" si="1"/>
        <v>Covered</v>
      </c>
      <c r="EH89" s="598" t="str">
        <f>VLOOKUP(WWWW[[#This Row],[Site Name]],SiteDB6[[Site Name]:[open in cccm?]],2,FALSE)</f>
        <v>cccm_2019OCT</v>
      </c>
    </row>
    <row r="90" spans="1:138" hidden="1">
      <c r="A90" s="591" t="s">
        <v>3261</v>
      </c>
      <c r="B90" s="591" t="s">
        <v>195</v>
      </c>
      <c r="C90" s="592" t="s">
        <v>195</v>
      </c>
      <c r="D90" s="592" t="s">
        <v>3045</v>
      </c>
      <c r="E90" s="592" t="s">
        <v>711</v>
      </c>
      <c r="F90" s="592" t="s">
        <v>732</v>
      </c>
      <c r="G90" s="721" t="str">
        <f>VLOOKUP(WWWW[[#This Row],[Site Name]],SiteDB6[[Site Name]:[Location Type]],8,FALSE)</f>
        <v>Camp</v>
      </c>
      <c r="H90" s="592" t="s">
        <v>739</v>
      </c>
      <c r="I90" s="594">
        <v>38</v>
      </c>
      <c r="J90" s="594">
        <v>267</v>
      </c>
      <c r="K90" s="595" t="s">
        <v>3289</v>
      </c>
      <c r="L90" s="596" t="s">
        <v>3290</v>
      </c>
      <c r="M90" s="594">
        <v>68</v>
      </c>
      <c r="N90" s="594"/>
      <c r="O90" s="594"/>
      <c r="P90" s="594"/>
      <c r="Q90" s="597" t="s">
        <v>43</v>
      </c>
      <c r="R90" s="594">
        <v>4</v>
      </c>
      <c r="S90" s="594">
        <v>5</v>
      </c>
      <c r="T90" s="523">
        <v>1</v>
      </c>
      <c r="U90" s="594"/>
      <c r="V90" s="594"/>
      <c r="W90" s="594">
        <v>1</v>
      </c>
      <c r="X90" s="594"/>
      <c r="Y90" s="594"/>
      <c r="Z90" s="594"/>
      <c r="AA90" s="594">
        <v>32</v>
      </c>
      <c r="AB90" s="594"/>
      <c r="AC90" s="594"/>
      <c r="AD90" s="594"/>
      <c r="AE90" s="594"/>
      <c r="AF90" s="594"/>
      <c r="AG90" s="594">
        <v>3</v>
      </c>
      <c r="AH90" s="594"/>
      <c r="AI90" s="594"/>
      <c r="AJ90" s="594"/>
      <c r="AK90" s="594"/>
      <c r="AL90" s="594"/>
      <c r="AM90" s="594">
        <v>2</v>
      </c>
      <c r="AN90" s="594"/>
      <c r="AO90" s="598"/>
      <c r="AP90" s="594">
        <v>16</v>
      </c>
      <c r="AQ90" s="594"/>
      <c r="AR90" s="599"/>
      <c r="AS90" s="594"/>
      <c r="AT90" s="594"/>
      <c r="AU90" s="594"/>
      <c r="AV90" s="594"/>
      <c r="AW90" s="594"/>
      <c r="AX90" s="593" t="s">
        <v>43</v>
      </c>
      <c r="AY90" s="598" t="s">
        <v>140</v>
      </c>
      <c r="AZ90" s="594"/>
      <c r="BA90" s="594"/>
      <c r="BB90" s="594"/>
      <c r="BC90" s="594"/>
      <c r="BD90" s="523"/>
      <c r="BE90" s="593"/>
      <c r="BF90" s="594">
        <v>11</v>
      </c>
      <c r="BG90" s="594"/>
      <c r="BH90" s="594"/>
      <c r="BI90" s="594">
        <v>2</v>
      </c>
      <c r="BJ90" s="594"/>
      <c r="BK90" s="594"/>
      <c r="BL90" s="594">
        <v>1</v>
      </c>
      <c r="BM90" s="594"/>
      <c r="BN90" s="594"/>
      <c r="BO90" s="593"/>
      <c r="BP90" s="594"/>
      <c r="BQ90" s="599"/>
      <c r="BR90" s="593"/>
      <c r="BS90" s="472"/>
      <c r="BT90" s="472"/>
      <c r="BU90" s="523"/>
      <c r="BV90" s="472"/>
      <c r="BW90" s="523"/>
      <c r="BX90" s="523"/>
      <c r="BY90" s="523"/>
      <c r="BZ90" s="601" t="str">
        <f>IFERROR(WWWW[[#This Row],['#_Water sources passed]]/WWWW[[#This Row],['#_Water sources tested for fecal coliform ]],"no test")</f>
        <v>no test</v>
      </c>
      <c r="CA90" s="599" t="str">
        <f>IFERROR(WWWW[[#This Row],['#_Household passed]]/WWWW[[#This Row],['#_Household water samples tested for fecal coliform]],"no test")</f>
        <v>no test</v>
      </c>
      <c r="CB90" s="600" t="str">
        <f>IF(AND(WWWW[[#This Row],[% of water sources passed]]="no test",WWWW[[#This Row],[% Household passed]]="no test"),"No Test","Tested")</f>
        <v>No Test</v>
      </c>
      <c r="CC90" s="600">
        <f>WWWW[[#This Row],['#_Constructed/existing protected hand dug well]]-WWWW[[#This Row],['#_Non-functional protected hand dug well]]</f>
        <v>1</v>
      </c>
      <c r="CD90" s="600">
        <f>(WWWW[[#This Row],['#_Constructed/Existing tube wells/boreholes/handpumps_WASH_agency]]+WWWW[[#This Row],['#_Non-Cluster partner water tube-wells/boreholes/handpumps]])-WWWW[[#This Row],['#_Non-functional tube wells/boreholes/handpumps]]</f>
        <v>1</v>
      </c>
      <c r="CE90" s="600">
        <f>WWWW[[#This Row],['#_Constructed/Existingwater storage tank with gravity fed reticulation system]]-WWWW[[#This Row],['#_Non-functional storage tank gravity fed reticulation system]]</f>
        <v>32</v>
      </c>
      <c r="CF90" s="478">
        <f>(WWWW[[#This Row],['#_Water_Liters_supplied_by_Water boating or water trucking]]/90)/15</f>
        <v>0</v>
      </c>
      <c r="CG90" s="478">
        <f>WWWW[[#This Row],['#_Water_Liters_from_Constructed/Existing water distribution system from river or natural spring]]/90/15</f>
        <v>0</v>
      </c>
      <c r="CH90" s="478">
        <f>WWWW[[#This Row],['#_of water points in TLS/CFS /THF]]*500</f>
        <v>0</v>
      </c>
      <c r="CI9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0" s="599">
        <f>IF(WWWW[[#This Row],[Location Type 1]]="Village",WWWW[[#This Row],[Access to safe drinking water for Village]],WWWW[[#This Row],[Access to safe drinking water for Camp]])</f>
        <v>1</v>
      </c>
      <c r="CL90" s="597">
        <f>WWWW[[#This Row],[%Equitable and continuous access to sufficient quantity of safe drinking water]]*WWWW[[#This Row],[Total PoP ]]</f>
        <v>267</v>
      </c>
      <c r="CM90" s="599">
        <f>IF((WWWW[[#This Row],['#_Constructed/Existing protected/fenced ponds]]*250)/WWWW[[#This Row],[Total PoP ]]&gt;1,1,(WWWW[[#This Row],['#_Constructed/Existing protected/fenced ponds]]*250)/WWWW[[#This Row],[Total PoP ]])</f>
        <v>0</v>
      </c>
      <c r="CN90" s="597">
        <f>WWWW[[#This Row],[% Access to unimproved water points]]*WWWW[[#This Row],[Total PoP ]]</f>
        <v>0</v>
      </c>
      <c r="CO9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Q90" s="597">
        <f>WWWW[[#This Row],[HRP1]]/500</f>
        <v>0.53400000000000003</v>
      </c>
      <c r="CR90" s="602">
        <f>1-WWWW[[#This Row],[% Equitable and continuous access to sufficient quantity of domestic water]]</f>
        <v>0</v>
      </c>
      <c r="CS90" s="597">
        <f>WWWW[[#This Row],[%equitable and continuous access to sufficient quantity of safe drinking and domestic water''s GAP]]*WWWW[[#This Row],[Total PoP ]]</f>
        <v>0</v>
      </c>
      <c r="CT90" s="600">
        <f>IF(WWWW[[#This Row],[Total required water points]]-WWWW[[#This Row],['#Water points coverage]]&lt;0,0,WWWW[[#This Row],[Total required water points]]-WWWW[[#This Row],['#Water points coverage]])</f>
        <v>0.46599999999999997</v>
      </c>
      <c r="CU90" s="600">
        <f>ROUND(IF(WWWW[[#This Row],[Total PoP ]]&lt;500,1,WWWW[[#This Row],[Total PoP ]]/500),0)</f>
        <v>1</v>
      </c>
      <c r="CV90" s="600">
        <f>(WWWW[[#This Row],['#_Constructed latrines_by_WASHAgencies]]+WWWW[[#This Row],['#_Non Cluster partner latrines]])-WWWW[[#This Row],['#_Non-functional latrines]]</f>
        <v>16</v>
      </c>
      <c r="CW90" s="70">
        <f>WWWW[[#This Row],[HRP2]]/WWWW[[#This Row],[Total PoP ]]</f>
        <v>1</v>
      </c>
      <c r="CX9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CY9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0" s="600">
        <f>IF(WWWW[[#This Row],['# of functional latrines in THF supported by WASH partners during the reporting period2]]="",0,WWWW[[#This Row],['# of functional latrines in THF supported by WASH partners during the reporting period2]]*50)</f>
        <v>0</v>
      </c>
      <c r="DB90" s="600">
        <f>WWWW[[#This Row],['# students access to functioning school latrines_HRP5]]+WWWW[[#This Row],['# People access to functioning latrines in THF_HRP5]]</f>
        <v>0</v>
      </c>
      <c r="DC90" s="600">
        <f>ROUND(IF(WWWW[[#This Row],[Location Type 1]]="camp",WWWW[[#This Row],[Total PoP ]]/20,IF(WWWW[[#This Row],[Location Type 1]]="Temporary Location",WWWW[[#This Row],[Total PoP ]]/50,WWWW[[#This Row],[Total HH]])),0)</f>
        <v>13</v>
      </c>
      <c r="DD90" s="600">
        <f>IF(WWWW[[#This Row],[Total required Latrines]]-(WWWW[[#This Row],['#_Constructed latrines_by_WASHAgencies]]+WWWW[[#This Row],['#_Non Cluster partner latrines]])&lt;0,0,WWWW[[#This Row],[Total required Latrines]]-(WWWW[[#This Row],['#_Constructed latrines_by_WASHAgencies]]+WWWW[[#This Row],['#_Non Cluster partner latrines]]))</f>
        <v>0</v>
      </c>
      <c r="DE90" s="602">
        <f>1-WWWW[[#This Row],[% people access to functioning Latrine]]</f>
        <v>0</v>
      </c>
      <c r="DF90" s="601">
        <f>IF(OR(WWWW[[#This Row],['#_Non-functional latrines]]="",WWWW[[#This Row],['#_Non-functional latrines]]=0),0,WWWW[[#This Row],['#_Non-functional latrines]]/(WWWW[[#This Row],['#_Constructed latrines_by_WASHAgencies]]+WWWW[[#This Row],['#_Non Cluster partner latrines]]))</f>
        <v>0</v>
      </c>
      <c r="DG90" s="597">
        <f>IF(500*(WWWW[[#This Row],['#_male hygiene promoters]]+WWWW[[#This Row],['#_female hygiene promoters]])&gt;WWWW[[#This Row],[Total PoP ]],WWWW[[#This Row],[Total PoP ]],500*(WWWW[[#This Row],['#_male hygiene promoters]]+WWWW[[#This Row],['#_female hygiene promoters]]))</f>
        <v>267</v>
      </c>
      <c r="DH9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0" s="600">
        <f>IF(WWWW[[#This Row],['# People with access to soap]]&gt;WWWW[[#This Row],['# People with access to Sanity Pads]],WWWW[[#This Row],['# People with access to soap]],WWWW[[#This Row],['# People with access to Sanity Pads]])</f>
        <v>0</v>
      </c>
      <c r="DK90" s="600">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L90" s="602">
        <f>IF(WWWW[[#This Row],[HRP3]]/WWWW[[#This Row],[Total PoP ]]&gt;1,1,WWWW[[#This Row],[HRP3]]/WWWW[[#This Row],[Total PoP ]])</f>
        <v>1</v>
      </c>
      <c r="DM90" s="601">
        <f>1-WWWW[[#This Row],[Hygiene Coverage%]]</f>
        <v>0</v>
      </c>
      <c r="DN90" s="599">
        <f>WWWW[[#This Row],['# people reached by regular dedicated hygiene promotion_5]]/WWWW[[#This Row],[Total PoP ]]</f>
        <v>1</v>
      </c>
      <c r="DO9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0" s="600">
        <f>WWWW[[#This Row],['#_Constructed/Existing hand washing stations]]-WWWW[[#This Row],['#_Non-Functional_hand_washing_stations]]</f>
        <v>11</v>
      </c>
      <c r="DR90" s="597">
        <f>IF(WWWW[[#This Row],['# Functional hand washing stations during reporting period]]*20&gt;WWWW[[#This Row],[Total HH]],WWWW[[#This Row],[Total HH]],WWWW[[#This Row],['# Functional hand washing stations during reporting period]]*20)</f>
        <v>38</v>
      </c>
      <c r="DS90" s="597">
        <f>IF(WWWW[[#This Row],[Is sufficient soap available for TLS? (Yes/No)]]="yes",WWWW[[#This Row],['#_Constructed/Existing hand washing stations at TLS]],0)</f>
        <v>0</v>
      </c>
      <c r="DT90" s="479">
        <f>IF(WWWW[[#This Row],['# Functional hand washing stations during reporting period]]*100&gt;WWWW[[#This Row],[Total PoP ]],WWWW[[#This Row],[Total PoP ]],WWWW[[#This Row],['# Functional hand washing stations during reporting period]]*100)</f>
        <v>267</v>
      </c>
      <c r="DU90" s="479" t="str">
        <f>IF(OR(WWWW[[#This Row],['#_students at TLS_CFS]]="",WWWW[[#This Row],['#_students at TLS_CFS]]=0),"No","Yes")</f>
        <v>Yes</v>
      </c>
      <c r="DV9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0" s="593" t="str">
        <f>VLOOKUP(WWWW[[#This Row],[Site Name]],SiteDB6[[Site Name]:[CCCM Management]],6,FALSE)</f>
        <v>Yes</v>
      </c>
      <c r="DZ90" s="593" t="str">
        <f>VLOOKUP(WWWW[[#This Row],[Site Name]],SiteDB6[[Site Name]:[CCCM Focal Agency]],7,FALSE)</f>
        <v>KMSS-LSO</v>
      </c>
      <c r="EA90" s="593" t="str">
        <f>VLOOKUP(WWWW[[#This Row],[Site Name]],SiteDB6[[Site Name]:[Location Type 1]],9,FALSE)</f>
        <v>Camp</v>
      </c>
      <c r="EB90" s="593" t="str">
        <f>VLOOKUP(WWWW[[#This Row],[Site Name]],SiteDB6[[Site Name]:[Type of Accommodation]],10,FALSE)</f>
        <v>Camp</v>
      </c>
      <c r="EC90" s="593" t="str">
        <f>VLOOKUP(WWWW[[#This Row],[Site Name]],SiteDB6[[Site Name]:[Ethnic or GCA/NGCA]],11,FALSE)</f>
        <v>GCA</v>
      </c>
      <c r="ED90" s="593">
        <f>VLOOKUP(WWWW[[#This Row],[Site Name]],SiteDB6[[Site Name]:[Lat]],12,FALSE)</f>
        <v>23.099304</v>
      </c>
      <c r="EE90" s="593">
        <f>VLOOKUP(WWWW[[#This Row],[Site Name]],SiteDB6[[Site Name]:[Long]],13,FALSE)</f>
        <v>97.400671000000003</v>
      </c>
      <c r="EF90" s="593" t="str">
        <f>VLOOKUP(WWWW[[#This Row],[Site Name]],SiteDB6[[Site Name]:[Pcode]],3,FALSE)</f>
        <v>MMR015CMP248</v>
      </c>
      <c r="EG90" s="598" t="str">
        <f t="shared" si="1"/>
        <v>Covered</v>
      </c>
      <c r="EH90" s="598" t="str">
        <f>VLOOKUP(WWWW[[#This Row],[Site Name]],SiteDB6[[Site Name]:[open in cccm?]],2,FALSE)</f>
        <v>cccm_2019OCT</v>
      </c>
    </row>
    <row r="91" spans="1:138" hidden="1">
      <c r="A91" s="591" t="s">
        <v>3261</v>
      </c>
      <c r="B91" s="591" t="s">
        <v>195</v>
      </c>
      <c r="C91" s="592" t="s">
        <v>195</v>
      </c>
      <c r="D91" s="592" t="s">
        <v>2817</v>
      </c>
      <c r="E91" s="592" t="s">
        <v>39</v>
      </c>
      <c r="F91" s="592" t="s">
        <v>198</v>
      </c>
      <c r="G91" s="721" t="str">
        <f>VLOOKUP(WWWW[[#This Row],[Site Name]],SiteDB6[[Site Name]:[Location Type]],8,FALSE)</f>
        <v>Camp</v>
      </c>
      <c r="H91" s="592" t="s">
        <v>203</v>
      </c>
      <c r="I91" s="594">
        <v>141</v>
      </c>
      <c r="J91" s="594">
        <v>800</v>
      </c>
      <c r="K91" s="595">
        <v>43466</v>
      </c>
      <c r="L91" s="596">
        <v>43830</v>
      </c>
      <c r="M91" s="594"/>
      <c r="N91" s="594"/>
      <c r="O91" s="594"/>
      <c r="P91" s="594"/>
      <c r="Q91" s="597" t="s">
        <v>43</v>
      </c>
      <c r="R91" s="594">
        <v>2</v>
      </c>
      <c r="S91" s="594">
        <v>4</v>
      </c>
      <c r="T91" s="523">
        <v>1</v>
      </c>
      <c r="U91" s="594"/>
      <c r="V91" s="594"/>
      <c r="W91" s="594"/>
      <c r="X91" s="594">
        <v>1</v>
      </c>
      <c r="Y91" s="594"/>
      <c r="Z91" s="594"/>
      <c r="AA91" s="594"/>
      <c r="AB91" s="594"/>
      <c r="AC91" s="594"/>
      <c r="AD91" s="594"/>
      <c r="AE91" s="594"/>
      <c r="AF91" s="594"/>
      <c r="AG91" s="594"/>
      <c r="AH91" s="594"/>
      <c r="AI91" s="594"/>
      <c r="AJ91" s="594"/>
      <c r="AK91" s="594"/>
      <c r="AL91" s="594"/>
      <c r="AM91" s="594"/>
      <c r="AN91" s="594"/>
      <c r="AO91" s="598"/>
      <c r="AP91" s="594">
        <v>21</v>
      </c>
      <c r="AQ91" s="594"/>
      <c r="AR91" s="599"/>
      <c r="AS91" s="594"/>
      <c r="AT91" s="594"/>
      <c r="AU91" s="594">
        <v>4</v>
      </c>
      <c r="AV91" s="594"/>
      <c r="AW91" s="594"/>
      <c r="AX91" s="593" t="s">
        <v>43</v>
      </c>
      <c r="AY91" s="598" t="s">
        <v>140</v>
      </c>
      <c r="AZ91" s="594"/>
      <c r="BA91" s="594"/>
      <c r="BB91" s="594"/>
      <c r="BC91" s="594"/>
      <c r="BD91" s="523"/>
      <c r="BE91" s="593"/>
      <c r="BF91" s="594">
        <v>9</v>
      </c>
      <c r="BG91" s="594"/>
      <c r="BH91" s="594"/>
      <c r="BI91" s="594">
        <v>5</v>
      </c>
      <c r="BJ91" s="594"/>
      <c r="BK91" s="594"/>
      <c r="BL91" s="594"/>
      <c r="BM91" s="594"/>
      <c r="BN91" s="594"/>
      <c r="BO91" s="593"/>
      <c r="BP91" s="594"/>
      <c r="BQ91" s="599"/>
      <c r="BR91" s="593"/>
      <c r="BS91" s="472"/>
      <c r="BT91" s="472"/>
      <c r="BU91" s="523"/>
      <c r="BV91" s="472"/>
      <c r="BW91" s="523"/>
      <c r="BX91" s="523"/>
      <c r="BY91" s="523"/>
      <c r="BZ91" s="601" t="str">
        <f>IFERROR(WWWW[[#This Row],['#_Water sources passed]]/WWWW[[#This Row],['#_Water sources tested for fecal coliform ]],"no test")</f>
        <v>no test</v>
      </c>
      <c r="CA91" s="599" t="str">
        <f>IFERROR(WWWW[[#This Row],['#_Household passed]]/WWWW[[#This Row],['#_Household water samples tested for fecal coliform]],"no test")</f>
        <v>no test</v>
      </c>
      <c r="CB91" s="600" t="str">
        <f>IF(AND(WWWW[[#This Row],[% of water sources passed]]="no test",WWWW[[#This Row],[% Household passed]]="no test"),"No Test","Tested")</f>
        <v>No Test</v>
      </c>
      <c r="CC91" s="600">
        <f>WWWW[[#This Row],['#_Constructed/existing protected hand dug well]]-WWWW[[#This Row],['#_Non-functional protected hand dug well]]</f>
        <v>1</v>
      </c>
      <c r="CD91" s="600">
        <f>(WWWW[[#This Row],['#_Constructed/Existing tube wells/boreholes/handpumps_WASH_agency]]+WWWW[[#This Row],['#_Non-Cluster partner water tube-wells/boreholes/handpumps]])-WWWW[[#This Row],['#_Non-functional tube wells/boreholes/handpumps]]</f>
        <v>1</v>
      </c>
      <c r="CE91" s="600">
        <f>WWWW[[#This Row],['#_Constructed/Existingwater storage tank with gravity fed reticulation system]]-WWWW[[#This Row],['#_Non-functional storage tank gravity fed reticulation system]]</f>
        <v>0</v>
      </c>
      <c r="CF91" s="478">
        <f>(WWWW[[#This Row],['#_Water_Liters_supplied_by_Water boating or water trucking]]/90)/15</f>
        <v>0</v>
      </c>
      <c r="CG91" s="478">
        <f>WWWW[[#This Row],['#_Water_Liters_from_Constructed/Existing water distribution system from river or natural spring]]/90/15</f>
        <v>0</v>
      </c>
      <c r="CH91" s="478">
        <f>WWWW[[#This Row],['#_of water points in TLS/CFS /THF]]*500</f>
        <v>0</v>
      </c>
      <c r="CI9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v>
      </c>
      <c r="CK91" s="599">
        <f>IF(WWWW[[#This Row],[Location Type 1]]="Village",WWWW[[#This Row],[Access to safe drinking water for Village]],WWWW[[#This Row],[Access to safe drinking water for Camp]])</f>
        <v>1</v>
      </c>
      <c r="CL91" s="597">
        <f>WWWW[[#This Row],[%Equitable and continuous access to sufficient quantity of safe drinking water]]*WWWW[[#This Row],[Total PoP ]]</f>
        <v>800</v>
      </c>
      <c r="CM91" s="599">
        <f>IF((WWWW[[#This Row],['#_Constructed/Existing protected/fenced ponds]]*250)/WWWW[[#This Row],[Total PoP ]]&gt;1,1,(WWWW[[#This Row],['#_Constructed/Existing protected/fenced ponds]]*250)/WWWW[[#This Row],[Total PoP ]])</f>
        <v>0</v>
      </c>
      <c r="CN91" s="597">
        <f>WWWW[[#This Row],[% Access to unimproved water points]]*WWWW[[#This Row],[Total PoP ]]</f>
        <v>0</v>
      </c>
      <c r="CO9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91" s="597">
        <f>WWWW[[#This Row],[HRP1]]/500</f>
        <v>1.6</v>
      </c>
      <c r="CR91" s="602">
        <f>1-WWWW[[#This Row],[% Equitable and continuous access to sufficient quantity of domestic water]]</f>
        <v>0</v>
      </c>
      <c r="CS91" s="597">
        <f>WWWW[[#This Row],[%equitable and continuous access to sufficient quantity of safe drinking and domestic water''s GAP]]*WWWW[[#This Row],[Total PoP ]]</f>
        <v>0</v>
      </c>
      <c r="CT91" s="600">
        <f>IF(WWWW[[#This Row],[Total required water points]]-WWWW[[#This Row],['#Water points coverage]]&lt;0,0,WWWW[[#This Row],[Total required water points]]-WWWW[[#This Row],['#Water points coverage]])</f>
        <v>0.39999999999999991</v>
      </c>
      <c r="CU91" s="600">
        <f>ROUND(IF(WWWW[[#This Row],[Total PoP ]]&lt;500,1,WWWW[[#This Row],[Total PoP ]]/500),0)</f>
        <v>2</v>
      </c>
      <c r="CV91" s="600">
        <f>(WWWW[[#This Row],['#_Constructed latrines_by_WASHAgencies]]+WWWW[[#This Row],['#_Non Cluster partner latrines]])-WWWW[[#This Row],['#_Non-functional latrines]]</f>
        <v>21</v>
      </c>
      <c r="CW91" s="70">
        <f>WWWW[[#This Row],[HRP2]]/WWWW[[#This Row],[Total PoP ]]</f>
        <v>0.52500000000000002</v>
      </c>
      <c r="CX9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CY9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9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1" s="600">
        <f>IF(WWWW[[#This Row],['# of functional latrines in THF supported by WASH partners during the reporting period2]]="",0,WWWW[[#This Row],['# of functional latrines in THF supported by WASH partners during the reporting period2]]*50)</f>
        <v>0</v>
      </c>
      <c r="DB91" s="600">
        <f>WWWW[[#This Row],['# students access to functioning school latrines_HRP5]]+WWWW[[#This Row],['# People access to functioning latrines in THF_HRP5]]</f>
        <v>0</v>
      </c>
      <c r="DC91" s="600">
        <f>ROUND(IF(WWWW[[#This Row],[Location Type 1]]="camp",WWWW[[#This Row],[Total PoP ]]/20,IF(WWWW[[#This Row],[Location Type 1]]="Temporary Location",WWWW[[#This Row],[Total PoP ]]/50,WWWW[[#This Row],[Total HH]])),0)</f>
        <v>40</v>
      </c>
      <c r="DD91" s="600">
        <f>IF(WWWW[[#This Row],[Total required Latrines]]-(WWWW[[#This Row],['#_Constructed latrines_by_WASHAgencies]]+WWWW[[#This Row],['#_Non Cluster partner latrines]])&lt;0,0,WWWW[[#This Row],[Total required Latrines]]-(WWWW[[#This Row],['#_Constructed latrines_by_WASHAgencies]]+WWWW[[#This Row],['#_Non Cluster partner latrines]]))</f>
        <v>19</v>
      </c>
      <c r="DE91" s="602">
        <f>1-WWWW[[#This Row],[% people access to functioning Latrine]]</f>
        <v>0.47499999999999998</v>
      </c>
      <c r="DF91" s="601">
        <f>IF(OR(WWWW[[#This Row],['#_Non-functional latrines]]="",WWWW[[#This Row],['#_Non-functional latrines]]=0),0,WWWW[[#This Row],['#_Non-functional latrines]]/(WWWW[[#This Row],['#_Constructed latrines_by_WASHAgencies]]+WWWW[[#This Row],['#_Non Cluster partner latrines]]))</f>
        <v>0</v>
      </c>
      <c r="DG91" s="597">
        <f>IF(500*(WWWW[[#This Row],['#_male hygiene promoters]]+WWWW[[#This Row],['#_female hygiene promoters]])&gt;WWWW[[#This Row],[Total PoP ]],WWWW[[#This Row],[Total PoP ]],500*(WWWW[[#This Row],['#_male hygiene promoters]]+WWWW[[#This Row],['#_female hygiene promoters]]))</f>
        <v>0</v>
      </c>
      <c r="DH9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1" s="600">
        <f>IF(WWWW[[#This Row],['# People with access to soap]]&gt;WWWW[[#This Row],['# People with access to Sanity Pads]],WWWW[[#This Row],['# People with access to soap]],WWWW[[#This Row],['# People with access to Sanity Pads]])</f>
        <v>0</v>
      </c>
      <c r="DK9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1" s="602">
        <f>IF(WWWW[[#This Row],[HRP3]]/WWWW[[#This Row],[Total PoP ]]&gt;1,1,WWWW[[#This Row],[HRP3]]/WWWW[[#This Row],[Total PoP ]])</f>
        <v>0</v>
      </c>
      <c r="DM91" s="601">
        <f>1-WWWW[[#This Row],[Hygiene Coverage%]]</f>
        <v>1</v>
      </c>
      <c r="DN91" s="599">
        <f>WWWW[[#This Row],['# people reached by regular dedicated hygiene promotion_5]]/WWWW[[#This Row],[Total PoP ]]</f>
        <v>0</v>
      </c>
      <c r="DO9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1" s="600">
        <f>WWWW[[#This Row],['#_Constructed/Existing hand washing stations]]-WWWW[[#This Row],['#_Non-Functional_hand_washing_stations]]</f>
        <v>9</v>
      </c>
      <c r="DR91" s="597">
        <f>IF(WWWW[[#This Row],['# Functional hand washing stations during reporting period]]*20&gt;WWWW[[#This Row],[Total HH]],WWWW[[#This Row],[Total HH]],WWWW[[#This Row],['# Functional hand washing stations during reporting period]]*20)</f>
        <v>141</v>
      </c>
      <c r="DS91" s="597">
        <f>IF(WWWW[[#This Row],[Is sufficient soap available for TLS? (Yes/No)]]="yes",WWWW[[#This Row],['#_Constructed/Existing hand washing stations at TLS]],0)</f>
        <v>0</v>
      </c>
      <c r="DT91" s="479">
        <f>IF(WWWW[[#This Row],['# Functional hand washing stations during reporting period]]*100&gt;WWWW[[#This Row],[Total PoP ]],WWWW[[#This Row],[Total PoP ]],WWWW[[#This Row],['# Functional hand washing stations during reporting period]]*100)</f>
        <v>800</v>
      </c>
      <c r="DU91" s="479" t="str">
        <f>IF(OR(WWWW[[#This Row],['#_students at TLS_CFS]]="",WWWW[[#This Row],['#_students at TLS_CFS]]=0),"No","Yes")</f>
        <v>No</v>
      </c>
      <c r="DV9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1" s="593" t="str">
        <f>VLOOKUP(WWWW[[#This Row],[Site Name]],SiteDB6[[Site Name]:[CCCM Management]],6,FALSE)</f>
        <v>Yes</v>
      </c>
      <c r="DZ91" s="593" t="str">
        <f>VLOOKUP(WWWW[[#This Row],[Site Name]],SiteDB6[[Site Name]:[CCCM Focal Agency]],7,FALSE)</f>
        <v>Shalom</v>
      </c>
      <c r="EA91" s="593" t="str">
        <f>VLOOKUP(WWWW[[#This Row],[Site Name]],SiteDB6[[Site Name]:[Location Type 1]],9,FALSE)</f>
        <v>Camp</v>
      </c>
      <c r="EB91" s="593" t="str">
        <f>VLOOKUP(WWWW[[#This Row],[Site Name]],SiteDB6[[Site Name]:[Type of Accommodation]],10,FALSE)</f>
        <v>Camp</v>
      </c>
      <c r="EC91" s="593" t="str">
        <f>VLOOKUP(WWWW[[#This Row],[Site Name]],SiteDB6[[Site Name]:[Ethnic or GCA/NGCA]],11,FALSE)</f>
        <v>GCA</v>
      </c>
      <c r="ED91" s="593">
        <f>VLOOKUP(WWWW[[#This Row],[Site Name]],SiteDB6[[Site Name]:[Lat]],12,FALSE)</f>
        <v>24.2631743589744</v>
      </c>
      <c r="EE91" s="593">
        <f>VLOOKUP(WWWW[[#This Row],[Site Name]],SiteDB6[[Site Name]:[Long]],13,FALSE)</f>
        <v>97.240183461538507</v>
      </c>
      <c r="EF91" s="593" t="str">
        <f>VLOOKUP(WWWW[[#This Row],[Site Name]],SiteDB6[[Site Name]:[Pcode]],3,FALSE)</f>
        <v>MMR001CMP049</v>
      </c>
      <c r="EG91" s="598" t="str">
        <f t="shared" si="1"/>
        <v>Covered</v>
      </c>
      <c r="EH91" s="598" t="str">
        <f>VLOOKUP(WWWW[[#This Row],[Site Name]],SiteDB6[[Site Name]:[open in cccm?]],2,FALSE)</f>
        <v>cccm_2019OCT</v>
      </c>
    </row>
    <row r="92" spans="1:138" hidden="1">
      <c r="A92" s="591" t="s">
        <v>3261</v>
      </c>
      <c r="B92" s="591" t="s">
        <v>195</v>
      </c>
      <c r="C92" s="592" t="s">
        <v>195</v>
      </c>
      <c r="D92" s="592" t="s">
        <v>3045</v>
      </c>
      <c r="E92" s="592" t="s">
        <v>711</v>
      </c>
      <c r="F92" s="592" t="s">
        <v>732</v>
      </c>
      <c r="G92" s="721" t="str">
        <f>VLOOKUP(WWWW[[#This Row],[Site Name]],SiteDB6[[Site Name]:[Location Type]],8,FALSE)</f>
        <v>Camp</v>
      </c>
      <c r="H92" s="592" t="s">
        <v>740</v>
      </c>
      <c r="I92" s="594">
        <v>28</v>
      </c>
      <c r="J92" s="594">
        <v>146</v>
      </c>
      <c r="K92" s="595" t="s">
        <v>3289</v>
      </c>
      <c r="L92" s="596" t="s">
        <v>3290</v>
      </c>
      <c r="M92" s="594">
        <v>27</v>
      </c>
      <c r="N92" s="594"/>
      <c r="O92" s="594"/>
      <c r="P92" s="594"/>
      <c r="Q92" s="597" t="s">
        <v>43</v>
      </c>
      <c r="R92" s="594">
        <v>3</v>
      </c>
      <c r="S92" s="594">
        <v>2</v>
      </c>
      <c r="T92" s="523"/>
      <c r="U92" s="594"/>
      <c r="V92" s="594"/>
      <c r="W92" s="594">
        <v>2</v>
      </c>
      <c r="X92" s="594"/>
      <c r="Y92" s="594"/>
      <c r="Z92" s="594"/>
      <c r="AA92" s="594">
        <v>60</v>
      </c>
      <c r="AB92" s="594"/>
      <c r="AC92" s="594"/>
      <c r="AD92" s="594"/>
      <c r="AE92" s="594"/>
      <c r="AF92" s="594"/>
      <c r="AG92" s="594">
        <v>3</v>
      </c>
      <c r="AH92" s="594"/>
      <c r="AI92" s="594"/>
      <c r="AJ92" s="594"/>
      <c r="AK92" s="594"/>
      <c r="AL92" s="594"/>
      <c r="AM92" s="594"/>
      <c r="AN92" s="594"/>
      <c r="AO92" s="598"/>
      <c r="AP92" s="594">
        <v>10</v>
      </c>
      <c r="AQ92" s="594">
        <v>2</v>
      </c>
      <c r="AR92" s="599"/>
      <c r="AS92" s="594"/>
      <c r="AT92" s="594"/>
      <c r="AU92" s="594"/>
      <c r="AV92" s="594"/>
      <c r="AW92" s="594">
        <v>2</v>
      </c>
      <c r="AX92" s="593" t="s">
        <v>43</v>
      </c>
      <c r="AY92" s="598" t="s">
        <v>140</v>
      </c>
      <c r="AZ92" s="594"/>
      <c r="BA92" s="594"/>
      <c r="BB92" s="594"/>
      <c r="BC92" s="594"/>
      <c r="BD92" s="523"/>
      <c r="BE92" s="593"/>
      <c r="BF92" s="594">
        <v>11</v>
      </c>
      <c r="BG92" s="594"/>
      <c r="BH92" s="594"/>
      <c r="BI92" s="594">
        <v>3</v>
      </c>
      <c r="BJ92" s="594"/>
      <c r="BK92" s="594"/>
      <c r="BL92" s="594">
        <v>1</v>
      </c>
      <c r="BM92" s="594"/>
      <c r="BN92" s="594"/>
      <c r="BO92" s="593"/>
      <c r="BP92" s="594"/>
      <c r="BQ92" s="599"/>
      <c r="BR92" s="593"/>
      <c r="BS92" s="472"/>
      <c r="BT92" s="472"/>
      <c r="BU92" s="523"/>
      <c r="BV92" s="472"/>
      <c r="BW92" s="523"/>
      <c r="BX92" s="523"/>
      <c r="BY92" s="523"/>
      <c r="BZ92" s="601" t="str">
        <f>IFERROR(WWWW[[#This Row],['#_Water sources passed]]/WWWW[[#This Row],['#_Water sources tested for fecal coliform ]],"no test")</f>
        <v>no test</v>
      </c>
      <c r="CA92" s="599" t="str">
        <f>IFERROR(WWWW[[#This Row],['#_Household passed]]/WWWW[[#This Row],['#_Household water samples tested for fecal coliform]],"no test")</f>
        <v>no test</v>
      </c>
      <c r="CB92" s="600" t="str">
        <f>IF(AND(WWWW[[#This Row],[% of water sources passed]]="no test",WWWW[[#This Row],[% Household passed]]="no test"),"No Test","Tested")</f>
        <v>No Test</v>
      </c>
      <c r="CC92" s="600">
        <f>WWWW[[#This Row],['#_Constructed/existing protected hand dug well]]-WWWW[[#This Row],['#_Non-functional protected hand dug well]]</f>
        <v>0</v>
      </c>
      <c r="CD92" s="600">
        <f>(WWWW[[#This Row],['#_Constructed/Existing tube wells/boreholes/handpumps_WASH_agency]]+WWWW[[#This Row],['#_Non-Cluster partner water tube-wells/boreholes/handpumps]])-WWWW[[#This Row],['#_Non-functional tube wells/boreholes/handpumps]]</f>
        <v>2</v>
      </c>
      <c r="CE92" s="600">
        <f>WWWW[[#This Row],['#_Constructed/Existingwater storage tank with gravity fed reticulation system]]-WWWW[[#This Row],['#_Non-functional storage tank gravity fed reticulation system]]</f>
        <v>60</v>
      </c>
      <c r="CF92" s="478">
        <f>(WWWW[[#This Row],['#_Water_Liters_supplied_by_Water boating or water trucking]]/90)/15</f>
        <v>0</v>
      </c>
      <c r="CG92" s="478">
        <f>WWWW[[#This Row],['#_Water_Liters_from_Constructed/Existing water distribution system from river or natural spring]]/90/15</f>
        <v>0</v>
      </c>
      <c r="CH92" s="478">
        <f>WWWW[[#This Row],['#_of water points in TLS/CFS /THF]]*500</f>
        <v>0</v>
      </c>
      <c r="CI9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2" s="599">
        <f>IF(WWWW[[#This Row],[Location Type 1]]="Village",WWWW[[#This Row],[Access to safe drinking water for Village]],WWWW[[#This Row],[Access to safe drinking water for Camp]])</f>
        <v>1</v>
      </c>
      <c r="CL92" s="597">
        <f>WWWW[[#This Row],[%Equitable and continuous access to sufficient quantity of safe drinking water]]*WWWW[[#This Row],[Total PoP ]]</f>
        <v>146</v>
      </c>
      <c r="CM92" s="599">
        <f>IF((WWWW[[#This Row],['#_Constructed/Existing protected/fenced ponds]]*250)/WWWW[[#This Row],[Total PoP ]]&gt;1,1,(WWWW[[#This Row],['#_Constructed/Existing protected/fenced ponds]]*250)/WWWW[[#This Row],[Total PoP ]])</f>
        <v>0</v>
      </c>
      <c r="CN92" s="597">
        <f>WWWW[[#This Row],[% Access to unimproved water points]]*WWWW[[#This Row],[Total PoP ]]</f>
        <v>0</v>
      </c>
      <c r="CO9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Q92" s="597">
        <f>WWWW[[#This Row],[HRP1]]/500</f>
        <v>0.29199999999999998</v>
      </c>
      <c r="CR92" s="602">
        <f>1-WWWW[[#This Row],[% Equitable and continuous access to sufficient quantity of domestic water]]</f>
        <v>0</v>
      </c>
      <c r="CS92" s="597">
        <f>WWWW[[#This Row],[%equitable and continuous access to sufficient quantity of safe drinking and domestic water''s GAP]]*WWWW[[#This Row],[Total PoP ]]</f>
        <v>0</v>
      </c>
      <c r="CT92" s="600">
        <f>IF(WWWW[[#This Row],[Total required water points]]-WWWW[[#This Row],['#Water points coverage]]&lt;0,0,WWWW[[#This Row],[Total required water points]]-WWWW[[#This Row],['#Water points coverage]])</f>
        <v>0.70799999999999996</v>
      </c>
      <c r="CU92" s="600">
        <f>ROUND(IF(WWWW[[#This Row],[Total PoP ]]&lt;500,1,WWWW[[#This Row],[Total PoP ]]/500),0)</f>
        <v>1</v>
      </c>
      <c r="CV92" s="600">
        <f>(WWWW[[#This Row],['#_Constructed latrines_by_WASHAgencies]]+WWWW[[#This Row],['#_Non Cluster partner latrines]])-WWWW[[#This Row],['#_Non-functional latrines]]</f>
        <v>12</v>
      </c>
      <c r="CW92" s="70">
        <f>WWWW[[#This Row],[HRP2]]/WWWW[[#This Row],[Total PoP ]]</f>
        <v>1</v>
      </c>
      <c r="CX9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v>
      </c>
      <c r="CY9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2" s="600">
        <f>IF(WWWW[[#This Row],['# of functional latrines in THF supported by WASH partners during the reporting period2]]="",0,WWWW[[#This Row],['# of functional latrines in THF supported by WASH partners during the reporting period2]]*50)</f>
        <v>0</v>
      </c>
      <c r="DB92" s="600">
        <f>WWWW[[#This Row],['# students access to functioning school latrines_HRP5]]+WWWW[[#This Row],['# People access to functioning latrines in THF_HRP5]]</f>
        <v>0</v>
      </c>
      <c r="DC92" s="600">
        <f>ROUND(IF(WWWW[[#This Row],[Location Type 1]]="camp",WWWW[[#This Row],[Total PoP ]]/20,IF(WWWW[[#This Row],[Location Type 1]]="Temporary Location",WWWW[[#This Row],[Total PoP ]]/50,WWWW[[#This Row],[Total HH]])),0)</f>
        <v>7</v>
      </c>
      <c r="DD92" s="600">
        <f>IF(WWWW[[#This Row],[Total required Latrines]]-(WWWW[[#This Row],['#_Constructed latrines_by_WASHAgencies]]+WWWW[[#This Row],['#_Non Cluster partner latrines]])&lt;0,0,WWWW[[#This Row],[Total required Latrines]]-(WWWW[[#This Row],['#_Constructed latrines_by_WASHAgencies]]+WWWW[[#This Row],['#_Non Cluster partner latrines]]))</f>
        <v>0</v>
      </c>
      <c r="DE92" s="602">
        <f>1-WWWW[[#This Row],[% people access to functioning Latrine]]</f>
        <v>0</v>
      </c>
      <c r="DF92" s="601">
        <f>IF(OR(WWWW[[#This Row],['#_Non-functional latrines]]="",WWWW[[#This Row],['#_Non-functional latrines]]=0),0,WWWW[[#This Row],['#_Non-functional latrines]]/(WWWW[[#This Row],['#_Constructed latrines_by_WASHAgencies]]+WWWW[[#This Row],['#_Non Cluster partner latrines]]))</f>
        <v>0</v>
      </c>
      <c r="DG92" s="597">
        <f>IF(500*(WWWW[[#This Row],['#_male hygiene promoters]]+WWWW[[#This Row],['#_female hygiene promoters]])&gt;WWWW[[#This Row],[Total PoP ]],WWWW[[#This Row],[Total PoP ]],500*(WWWW[[#This Row],['#_male hygiene promoters]]+WWWW[[#This Row],['#_female hygiene promoters]]))</f>
        <v>146</v>
      </c>
      <c r="DH9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2" s="600">
        <f>IF(WWWW[[#This Row],['# People with access to soap]]&gt;WWWW[[#This Row],['# People with access to Sanity Pads]],WWWW[[#This Row],['# People with access to soap]],WWWW[[#This Row],['# People with access to Sanity Pads]])</f>
        <v>0</v>
      </c>
      <c r="DK92" s="600">
        <f>IF(WWWW[[#This Row],['# people reached by regular dedicated hygiene promotion_5]]&gt;WWWW[[#This Row],['# People received regular supply of hygiene items_6]],WWWW[[#This Row],['# people reached by regular dedicated hygiene promotion_5]],WWWW[[#This Row],['# People received regular supply of hygiene items_6]])</f>
        <v>146</v>
      </c>
      <c r="DL92" s="602">
        <f>IF(WWWW[[#This Row],[HRP3]]/WWWW[[#This Row],[Total PoP ]]&gt;1,1,WWWW[[#This Row],[HRP3]]/WWWW[[#This Row],[Total PoP ]])</f>
        <v>1</v>
      </c>
      <c r="DM92" s="601">
        <f>1-WWWW[[#This Row],[Hygiene Coverage%]]</f>
        <v>0</v>
      </c>
      <c r="DN92" s="599">
        <f>WWWW[[#This Row],['# people reached by regular dedicated hygiene promotion_5]]/WWWW[[#This Row],[Total PoP ]]</f>
        <v>1</v>
      </c>
      <c r="DO9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2" s="600">
        <f>WWWW[[#This Row],['#_Constructed/Existing hand washing stations]]-WWWW[[#This Row],['#_Non-Functional_hand_washing_stations]]</f>
        <v>11</v>
      </c>
      <c r="DR92" s="597">
        <f>IF(WWWW[[#This Row],['# Functional hand washing stations during reporting period]]*20&gt;WWWW[[#This Row],[Total HH]],WWWW[[#This Row],[Total HH]],WWWW[[#This Row],['# Functional hand washing stations during reporting period]]*20)</f>
        <v>28</v>
      </c>
      <c r="DS92" s="597">
        <f>IF(WWWW[[#This Row],[Is sufficient soap available for TLS? (Yes/No)]]="yes",WWWW[[#This Row],['#_Constructed/Existing hand washing stations at TLS]],0)</f>
        <v>0</v>
      </c>
      <c r="DT92" s="479">
        <f>IF(WWWW[[#This Row],['# Functional hand washing stations during reporting period]]*100&gt;WWWW[[#This Row],[Total PoP ]],WWWW[[#This Row],[Total PoP ]],WWWW[[#This Row],['# Functional hand washing stations during reporting period]]*100)</f>
        <v>146</v>
      </c>
      <c r="DU92" s="479" t="str">
        <f>IF(OR(WWWW[[#This Row],['#_students at TLS_CFS]]="",WWWW[[#This Row],['#_students at TLS_CFS]]=0),"No","Yes")</f>
        <v>Yes</v>
      </c>
      <c r="DV9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2" s="593" t="str">
        <f>VLOOKUP(WWWW[[#This Row],[Site Name]],SiteDB6[[Site Name]:[CCCM Management]],6,FALSE)</f>
        <v>Yes</v>
      </c>
      <c r="DZ92" s="593" t="str">
        <f>VLOOKUP(WWWW[[#This Row],[Site Name]],SiteDB6[[Site Name]:[CCCM Focal Agency]],7,FALSE)</f>
        <v>KMSS-LSO</v>
      </c>
      <c r="EA92" s="593" t="str">
        <f>VLOOKUP(WWWW[[#This Row],[Site Name]],SiteDB6[[Site Name]:[Location Type 1]],9,FALSE)</f>
        <v>Camp</v>
      </c>
      <c r="EB92" s="593" t="str">
        <f>VLOOKUP(WWWW[[#This Row],[Site Name]],SiteDB6[[Site Name]:[Type of Accommodation]],10,FALSE)</f>
        <v>Camp</v>
      </c>
      <c r="EC92" s="593" t="str">
        <f>VLOOKUP(WWWW[[#This Row],[Site Name]],SiteDB6[[Site Name]:[Ethnic or GCA/NGCA]],11,FALSE)</f>
        <v>GCA</v>
      </c>
      <c r="ED92" s="593">
        <f>VLOOKUP(WWWW[[#This Row],[Site Name]],SiteDB6[[Site Name]:[Lat]],12,FALSE)</f>
        <v>0</v>
      </c>
      <c r="EE92" s="593">
        <f>VLOOKUP(WWWW[[#This Row],[Site Name]],SiteDB6[[Site Name]:[Long]],13,FALSE)</f>
        <v>0</v>
      </c>
      <c r="EF92" s="593" t="str">
        <f>VLOOKUP(WWWW[[#This Row],[Site Name]],SiteDB6[[Site Name]:[Pcode]],3,FALSE)</f>
        <v>MMR015CMP232</v>
      </c>
      <c r="EG92" s="598" t="str">
        <f t="shared" si="1"/>
        <v>Covered</v>
      </c>
      <c r="EH92" s="598" t="str">
        <f>VLOOKUP(WWWW[[#This Row],[Site Name]],SiteDB6[[Site Name]:[open in cccm?]],2,FALSE)</f>
        <v>cccm_2019OCT</v>
      </c>
    </row>
    <row r="93" spans="1:138" hidden="1">
      <c r="A93" s="591" t="s">
        <v>3261</v>
      </c>
      <c r="B93" s="524" t="s">
        <v>195</v>
      </c>
      <c r="C93" s="524" t="s">
        <v>195</v>
      </c>
      <c r="D93" s="404" t="s">
        <v>3045</v>
      </c>
      <c r="E93" s="592" t="s">
        <v>711</v>
      </c>
      <c r="F93" s="592" t="s">
        <v>715</v>
      </c>
      <c r="G93" s="721" t="str">
        <f>VLOOKUP(WWWW[[#This Row],[Site Name]],SiteDB6[[Site Name]:[Location Type]],8,FALSE)</f>
        <v>Camp</v>
      </c>
      <c r="H93" s="592" t="s">
        <v>2178</v>
      </c>
      <c r="I93" s="594">
        <v>69</v>
      </c>
      <c r="J93" s="594">
        <v>721</v>
      </c>
      <c r="K93" s="56" t="s">
        <v>3289</v>
      </c>
      <c r="L93" s="56" t="s">
        <v>3290</v>
      </c>
      <c r="M93" s="594">
        <v>102</v>
      </c>
      <c r="N93" s="594"/>
      <c r="O93" s="594"/>
      <c r="P93" s="594"/>
      <c r="Q93" s="597" t="s">
        <v>43</v>
      </c>
      <c r="R93" s="594">
        <v>6</v>
      </c>
      <c r="S93" s="594">
        <v>5</v>
      </c>
      <c r="T93" s="523"/>
      <c r="U93" s="594"/>
      <c r="V93" s="594"/>
      <c r="W93" s="594"/>
      <c r="X93" s="594"/>
      <c r="Y93" s="594"/>
      <c r="Z93" s="594"/>
      <c r="AA93" s="594">
        <v>47</v>
      </c>
      <c r="AB93" s="594"/>
      <c r="AC93" s="594"/>
      <c r="AD93" s="594"/>
      <c r="AE93" s="594"/>
      <c r="AF93" s="594"/>
      <c r="AG93" s="594">
        <v>3</v>
      </c>
      <c r="AH93" s="594"/>
      <c r="AI93" s="594"/>
      <c r="AJ93" s="594"/>
      <c r="AK93" s="594"/>
      <c r="AL93" s="594"/>
      <c r="AM93" s="594">
        <v>1</v>
      </c>
      <c r="AN93" s="594">
        <v>2</v>
      </c>
      <c r="AO93" s="598"/>
      <c r="AP93" s="594">
        <v>85</v>
      </c>
      <c r="AQ93" s="594"/>
      <c r="AR93" s="599"/>
      <c r="AS93" s="594"/>
      <c r="AT93" s="594"/>
      <c r="AU93" s="594"/>
      <c r="AV93" s="594"/>
      <c r="AW93" s="594">
        <v>5</v>
      </c>
      <c r="AX93" s="593" t="s">
        <v>43</v>
      </c>
      <c r="AY93" s="598" t="s">
        <v>1195</v>
      </c>
      <c r="AZ93" s="594"/>
      <c r="BA93" s="594"/>
      <c r="BB93" s="594"/>
      <c r="BC93" s="594"/>
      <c r="BD93" s="523"/>
      <c r="BE93" s="593"/>
      <c r="BF93" s="594">
        <v>2</v>
      </c>
      <c r="BG93" s="594"/>
      <c r="BH93" s="594"/>
      <c r="BI93" s="594">
        <v>1</v>
      </c>
      <c r="BJ93" s="594"/>
      <c r="BK93" s="594">
        <v>1</v>
      </c>
      <c r="BL93" s="594"/>
      <c r="BM93" s="594"/>
      <c r="BN93" s="594"/>
      <c r="BO93" s="593"/>
      <c r="BP93" s="594"/>
      <c r="BQ93" s="599"/>
      <c r="BR93" s="593"/>
      <c r="BS93" s="472"/>
      <c r="BT93" s="472"/>
      <c r="BU93" s="523"/>
      <c r="BV93" s="472"/>
      <c r="BW93" s="523"/>
      <c r="BX93" s="523"/>
      <c r="BY93" s="523"/>
      <c r="BZ93" s="601" t="str">
        <f>IFERROR(WWWW[[#This Row],['#_Water sources passed]]/WWWW[[#This Row],['#_Water sources tested for fecal coliform ]],"no test")</f>
        <v>no test</v>
      </c>
      <c r="CA93" s="599" t="str">
        <f>IFERROR(WWWW[[#This Row],['#_Household passed]]/WWWW[[#This Row],['#_Household water samples tested for fecal coliform]],"no test")</f>
        <v>no test</v>
      </c>
      <c r="CB93" s="600" t="str">
        <f>IF(AND(WWWW[[#This Row],[% of water sources passed]]="no test",WWWW[[#This Row],[% Household passed]]="no test"),"No Test","Tested")</f>
        <v>No Test</v>
      </c>
      <c r="CC93" s="600">
        <f>WWWW[[#This Row],['#_Constructed/existing protected hand dug well]]-WWWW[[#This Row],['#_Non-functional protected hand dug well]]</f>
        <v>0</v>
      </c>
      <c r="CD93" s="600">
        <f>(WWWW[[#This Row],['#_Constructed/Existing tube wells/boreholes/handpumps_WASH_agency]]+WWWW[[#This Row],['#_Non-Cluster partner water tube-wells/boreholes/handpumps]])-WWWW[[#This Row],['#_Non-functional tube wells/boreholes/handpumps]]</f>
        <v>0</v>
      </c>
      <c r="CE93" s="600">
        <f>WWWW[[#This Row],['#_Constructed/Existingwater storage tank with gravity fed reticulation system]]-WWWW[[#This Row],['#_Non-functional storage tank gravity fed reticulation system]]</f>
        <v>47</v>
      </c>
      <c r="CF93" s="478">
        <f>(WWWW[[#This Row],['#_Water_Liters_supplied_by_Water boating or water trucking]]/90)/15</f>
        <v>0</v>
      </c>
      <c r="CG93" s="478">
        <f>WWWW[[#This Row],['#_Water_Liters_from_Constructed/Existing water distribution system from river or natural spring]]/90/15</f>
        <v>0</v>
      </c>
      <c r="CH93" s="478">
        <f>WWWW[[#This Row],['#_of water points in TLS/CFS /THF]]*500</f>
        <v>1000</v>
      </c>
      <c r="CI9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3" s="599">
        <f>IF(WWWW[[#This Row],[Location Type 1]]="Village",WWWW[[#This Row],[Access to safe drinking water for Village]],WWWW[[#This Row],[Access to safe drinking water for Camp]])</f>
        <v>1</v>
      </c>
      <c r="CL93" s="597">
        <f>WWWW[[#This Row],[%Equitable and continuous access to sufficient quantity of safe drinking water]]*WWWW[[#This Row],[Total PoP ]]</f>
        <v>721</v>
      </c>
      <c r="CM93" s="599">
        <f>IF((WWWW[[#This Row],['#_Constructed/Existing protected/fenced ponds]]*250)/WWWW[[#This Row],[Total PoP ]]&gt;1,1,(WWWW[[#This Row],['#_Constructed/Existing protected/fenced ponds]]*250)/WWWW[[#This Row],[Total PoP ]])</f>
        <v>0</v>
      </c>
      <c r="CN93" s="597">
        <f>WWWW[[#This Row],[% Access to unimproved water points]]*WWWW[[#This Row],[Total PoP ]]</f>
        <v>0</v>
      </c>
      <c r="CO9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721</v>
      </c>
      <c r="CQ93" s="597">
        <f>WWWW[[#This Row],[HRP1]]/500</f>
        <v>1.4419999999999999</v>
      </c>
      <c r="CR93" s="602">
        <f>1-WWWW[[#This Row],[% Equitable and continuous access to sufficient quantity of domestic water]]</f>
        <v>0</v>
      </c>
      <c r="CS93" s="597">
        <f>WWWW[[#This Row],[%equitable and continuous access to sufficient quantity of safe drinking and domestic water''s GAP]]*WWWW[[#This Row],[Total PoP ]]</f>
        <v>0</v>
      </c>
      <c r="CT93" s="600">
        <f>IF(WWWW[[#This Row],[Total required water points]]-WWWW[[#This Row],['#Water points coverage]]&lt;0,0,WWWW[[#This Row],[Total required water points]]-WWWW[[#This Row],['#Water points coverage]])</f>
        <v>0</v>
      </c>
      <c r="CU93" s="600">
        <f>ROUND(IF(WWWW[[#This Row],[Total PoP ]]&lt;500,1,WWWW[[#This Row],[Total PoP ]]/500),0)</f>
        <v>1</v>
      </c>
      <c r="CV93" s="600">
        <f>(WWWW[[#This Row],['#_Constructed latrines_by_WASHAgencies]]+WWWW[[#This Row],['#_Non Cluster partner latrines]])-WWWW[[#This Row],['#_Non-functional latrines]]</f>
        <v>85</v>
      </c>
      <c r="CW93" s="70">
        <f>WWWW[[#This Row],[HRP2]]/WWWW[[#This Row],[Total PoP ]]</f>
        <v>1</v>
      </c>
      <c r="CX9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721</v>
      </c>
      <c r="CY9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3" s="600">
        <f>IF(WWWW[[#This Row],['# of functional latrines in THF supported by WASH partners during the reporting period2]]="",0,WWWW[[#This Row],['# of functional latrines in THF supported by WASH partners during the reporting period2]]*50)</f>
        <v>0</v>
      </c>
      <c r="DB93" s="600">
        <f>WWWW[[#This Row],['# students access to functioning school latrines_HRP5]]+WWWW[[#This Row],['# People access to functioning latrines in THF_HRP5]]</f>
        <v>0</v>
      </c>
      <c r="DC93" s="600">
        <f>ROUND(IF(WWWW[[#This Row],[Location Type 1]]="camp",WWWW[[#This Row],[Total PoP ]]/20,IF(WWWW[[#This Row],[Location Type 1]]="Temporary Location",WWWW[[#This Row],[Total PoP ]]/50,WWWW[[#This Row],[Total HH]])),0)</f>
        <v>36</v>
      </c>
      <c r="DD93" s="600">
        <f>IF(WWWW[[#This Row],[Total required Latrines]]-(WWWW[[#This Row],['#_Constructed latrines_by_WASHAgencies]]+WWWW[[#This Row],['#_Non Cluster partner latrines]])&lt;0,0,WWWW[[#This Row],[Total required Latrines]]-(WWWW[[#This Row],['#_Constructed latrines_by_WASHAgencies]]+WWWW[[#This Row],['#_Non Cluster partner latrines]]))</f>
        <v>0</v>
      </c>
      <c r="DE93" s="602">
        <f>1-WWWW[[#This Row],[% people access to functioning Latrine]]</f>
        <v>0</v>
      </c>
      <c r="DF93" s="601">
        <f>IF(OR(WWWW[[#This Row],['#_Non-functional latrines]]="",WWWW[[#This Row],['#_Non-functional latrines]]=0),0,WWWW[[#This Row],['#_Non-functional latrines]]/(WWWW[[#This Row],['#_Constructed latrines_by_WASHAgencies]]+WWWW[[#This Row],['#_Non Cluster partner latrines]]))</f>
        <v>0</v>
      </c>
      <c r="DG93" s="597">
        <f>IF(500*(WWWW[[#This Row],['#_male hygiene promoters]]+WWWW[[#This Row],['#_female hygiene promoters]])&gt;WWWW[[#This Row],[Total PoP ]],WWWW[[#This Row],[Total PoP ]],500*(WWWW[[#This Row],['#_male hygiene promoters]]+WWWW[[#This Row],['#_female hygiene promoters]]))</f>
        <v>500</v>
      </c>
      <c r="DH9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3" s="600">
        <f>IF(WWWW[[#This Row],['# People with access to soap]]&gt;WWWW[[#This Row],['# People with access to Sanity Pads]],WWWW[[#This Row],['# People with access to soap]],WWWW[[#This Row],['# People with access to Sanity Pads]])</f>
        <v>0</v>
      </c>
      <c r="DK93"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93" s="602">
        <f>IF(WWWW[[#This Row],[HRP3]]/WWWW[[#This Row],[Total PoP ]]&gt;1,1,WWWW[[#This Row],[HRP3]]/WWWW[[#This Row],[Total PoP ]])</f>
        <v>0.69348127600554788</v>
      </c>
      <c r="DM93" s="601">
        <f>1-WWWW[[#This Row],[Hygiene Coverage%]]</f>
        <v>0.30651872399445212</v>
      </c>
      <c r="DN93" s="599">
        <f>WWWW[[#This Row],['# people reached by regular dedicated hygiene promotion_5]]/WWWW[[#This Row],[Total PoP ]]</f>
        <v>0.69348127600554788</v>
      </c>
      <c r="DO9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3" s="600">
        <f>WWWW[[#This Row],['#_Constructed/Existing hand washing stations]]-WWWW[[#This Row],['#_Non-Functional_hand_washing_stations]]</f>
        <v>2</v>
      </c>
      <c r="DR93" s="597">
        <f>IF(WWWW[[#This Row],['# Functional hand washing stations during reporting period]]*20&gt;WWWW[[#This Row],[Total HH]],WWWW[[#This Row],[Total HH]],WWWW[[#This Row],['# Functional hand washing stations during reporting period]]*20)</f>
        <v>40</v>
      </c>
      <c r="DS93" s="597">
        <f>IF(WWWW[[#This Row],[Is sufficient soap available for TLS? (Yes/No)]]="yes",WWWW[[#This Row],['#_Constructed/Existing hand washing stations at TLS]],0)</f>
        <v>0</v>
      </c>
      <c r="DT93" s="479">
        <f>IF(WWWW[[#This Row],['# Functional hand washing stations during reporting period]]*100&gt;WWWW[[#This Row],[Total PoP ]],WWWW[[#This Row],[Total PoP ]],WWWW[[#This Row],['# Functional hand washing stations during reporting period]]*100)</f>
        <v>200</v>
      </c>
      <c r="DU93" s="479" t="str">
        <f>IF(OR(WWWW[[#This Row],['#_students at TLS_CFS]]="",WWWW[[#This Row],['#_students at TLS_CFS]]=0),"No","Yes")</f>
        <v>Yes</v>
      </c>
      <c r="DV9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93" s="593" t="str">
        <f>VLOOKUP(WWWW[[#This Row],[Site Name]],SiteDB6[[Site Name]:[CCCM Management]],6,FALSE)</f>
        <v>Yes</v>
      </c>
      <c r="DZ93" s="593" t="str">
        <f>VLOOKUP(WWWW[[#This Row],[Site Name]],SiteDB6[[Site Name]:[CCCM Focal Agency]],7,FALSE)</f>
        <v>KMSS-LSO</v>
      </c>
      <c r="EA93" s="593" t="str">
        <f>VLOOKUP(WWWW[[#This Row],[Site Name]],SiteDB6[[Site Name]:[Location Type 1]],9,FALSE)</f>
        <v>Camp</v>
      </c>
      <c r="EB93" s="593" t="str">
        <f>VLOOKUP(WWWW[[#This Row],[Site Name]],SiteDB6[[Site Name]:[Type of Accommodation]],10,FALSE)</f>
        <v>Camp</v>
      </c>
      <c r="EC93" s="593" t="str">
        <f>VLOOKUP(WWWW[[#This Row],[Site Name]],SiteDB6[[Site Name]:[Ethnic or GCA/NGCA]],11,FALSE)</f>
        <v>GCA</v>
      </c>
      <c r="ED93" s="593">
        <f>VLOOKUP(WWWW[[#This Row],[Site Name]],SiteDB6[[Site Name]:[Lat]],12,FALSE)</f>
        <v>23.591999999999999</v>
      </c>
      <c r="EE93" s="593">
        <f>VLOOKUP(WWWW[[#This Row],[Site Name]],SiteDB6[[Site Name]:[Long]],13,FALSE)</f>
        <v>97.796999999999997</v>
      </c>
      <c r="EF93" s="593" t="str">
        <f>VLOOKUP(WWWW[[#This Row],[Site Name]],SiteDB6[[Site Name]:[Pcode]],3,FALSE)</f>
        <v>MMR015CMP220</v>
      </c>
      <c r="EG93" s="598" t="str">
        <f t="shared" si="1"/>
        <v>Covered</v>
      </c>
      <c r="EH93" s="598" t="str">
        <f>VLOOKUP(WWWW[[#This Row],[Site Name]],SiteDB6[[Site Name]:[open in cccm?]],2,FALSE)</f>
        <v>cccm_2019OCT</v>
      </c>
    </row>
    <row r="94" spans="1:138" hidden="1">
      <c r="A94" s="591" t="s">
        <v>3261</v>
      </c>
      <c r="B94" s="591" t="s">
        <v>195</v>
      </c>
      <c r="C94" s="592" t="s">
        <v>195</v>
      </c>
      <c r="D94" s="592" t="s">
        <v>2817</v>
      </c>
      <c r="E94" s="592" t="s">
        <v>39</v>
      </c>
      <c r="F94" s="592" t="s">
        <v>208</v>
      </c>
      <c r="G94" s="721" t="str">
        <f>VLOOKUP(WWWW[[#This Row],[Site Name]],SiteDB6[[Site Name]:[Location Type]],8,FALSE)</f>
        <v>Camp</v>
      </c>
      <c r="H94" s="592" t="s">
        <v>213</v>
      </c>
      <c r="I94" s="594">
        <v>127</v>
      </c>
      <c r="J94" s="594">
        <v>741</v>
      </c>
      <c r="K94" s="595">
        <v>43466</v>
      </c>
      <c r="L94" s="596">
        <v>43830</v>
      </c>
      <c r="M94" s="594"/>
      <c r="N94" s="594"/>
      <c r="O94" s="594"/>
      <c r="P94" s="594"/>
      <c r="Q94" s="597" t="s">
        <v>139</v>
      </c>
      <c r="R94" s="594"/>
      <c r="S94" s="594">
        <v>3</v>
      </c>
      <c r="T94" s="523"/>
      <c r="U94" s="594"/>
      <c r="V94" s="594"/>
      <c r="W94" s="594">
        <v>2</v>
      </c>
      <c r="X94" s="594">
        <v>1</v>
      </c>
      <c r="Y94" s="594"/>
      <c r="Z94" s="594"/>
      <c r="AA94" s="594"/>
      <c r="AB94" s="594"/>
      <c r="AC94" s="594"/>
      <c r="AD94" s="594"/>
      <c r="AE94" s="594"/>
      <c r="AF94" s="594"/>
      <c r="AG94" s="594"/>
      <c r="AH94" s="594"/>
      <c r="AI94" s="594"/>
      <c r="AJ94" s="594"/>
      <c r="AK94" s="594"/>
      <c r="AL94" s="594"/>
      <c r="AM94" s="594"/>
      <c r="AN94" s="594"/>
      <c r="AO94" s="598"/>
      <c r="AP94" s="594">
        <v>40</v>
      </c>
      <c r="AQ94" s="594"/>
      <c r="AR94" s="599"/>
      <c r="AS94" s="594"/>
      <c r="AT94" s="594"/>
      <c r="AU94" s="594">
        <v>4</v>
      </c>
      <c r="AV94" s="594"/>
      <c r="AW94" s="594"/>
      <c r="AX94" s="593" t="s">
        <v>43</v>
      </c>
      <c r="AY94" s="598" t="s">
        <v>140</v>
      </c>
      <c r="AZ94" s="594"/>
      <c r="BA94" s="594"/>
      <c r="BB94" s="594"/>
      <c r="BC94" s="594"/>
      <c r="BD94" s="523"/>
      <c r="BE94" s="593"/>
      <c r="BF94" s="594">
        <v>17</v>
      </c>
      <c r="BG94" s="594"/>
      <c r="BH94" s="594"/>
      <c r="BI94" s="594">
        <v>5</v>
      </c>
      <c r="BJ94" s="594"/>
      <c r="BK94" s="594"/>
      <c r="BL94" s="594"/>
      <c r="BM94" s="594"/>
      <c r="BN94" s="594"/>
      <c r="BO94" s="593"/>
      <c r="BP94" s="594"/>
      <c r="BQ94" s="599"/>
      <c r="BR94" s="593"/>
      <c r="BS94" s="472"/>
      <c r="BT94" s="472"/>
      <c r="BU94" s="523"/>
      <c r="BV94" s="472"/>
      <c r="BW94" s="523"/>
      <c r="BX94" s="523"/>
      <c r="BY94" s="523"/>
      <c r="BZ94" s="601" t="str">
        <f>IFERROR(WWWW[[#This Row],['#_Water sources passed]]/WWWW[[#This Row],['#_Water sources tested for fecal coliform ]],"no test")</f>
        <v>no test</v>
      </c>
      <c r="CA94" s="599" t="str">
        <f>IFERROR(WWWW[[#This Row],['#_Household passed]]/WWWW[[#This Row],['#_Household water samples tested for fecal coliform]],"no test")</f>
        <v>no test</v>
      </c>
      <c r="CB94" s="600" t="str">
        <f>IF(AND(WWWW[[#This Row],[% of water sources passed]]="no test",WWWW[[#This Row],[% Household passed]]="no test"),"No Test","Tested")</f>
        <v>No Test</v>
      </c>
      <c r="CC94" s="600">
        <f>WWWW[[#This Row],['#_Constructed/existing protected hand dug well]]-WWWW[[#This Row],['#_Non-functional protected hand dug well]]</f>
        <v>0</v>
      </c>
      <c r="CD94" s="600">
        <f>(WWWW[[#This Row],['#_Constructed/Existing tube wells/boreholes/handpumps_WASH_agency]]+WWWW[[#This Row],['#_Non-Cluster partner water tube-wells/boreholes/handpumps]])-WWWW[[#This Row],['#_Non-functional tube wells/boreholes/handpumps]]</f>
        <v>3</v>
      </c>
      <c r="CE94" s="600">
        <f>WWWW[[#This Row],['#_Constructed/Existingwater storage tank with gravity fed reticulation system]]-WWWW[[#This Row],['#_Non-functional storage tank gravity fed reticulation system]]</f>
        <v>0</v>
      </c>
      <c r="CF94" s="478">
        <f>(WWWW[[#This Row],['#_Water_Liters_supplied_by_Water boating or water trucking]]/90)/15</f>
        <v>0</v>
      </c>
      <c r="CG94" s="478">
        <f>WWWW[[#This Row],['#_Water_Liters_from_Constructed/Existing water distribution system from river or natural spring]]/90/15</f>
        <v>0</v>
      </c>
      <c r="CH94" s="478">
        <f>WWWW[[#This Row],['#_of water points in TLS/CFS /THF]]*500</f>
        <v>0</v>
      </c>
      <c r="CI9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9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94" s="599">
        <f>IF(WWWW[[#This Row],[Location Type 1]]="Village",WWWW[[#This Row],[Access to safe drinking water for Village]],WWWW[[#This Row],[Access to safe drinking water for Camp]])</f>
        <v>1</v>
      </c>
      <c r="CL94" s="597">
        <f>WWWW[[#This Row],[%Equitable and continuous access to sufficient quantity of safe drinking water]]*WWWW[[#This Row],[Total PoP ]]</f>
        <v>741</v>
      </c>
      <c r="CM94" s="599">
        <f>IF((WWWW[[#This Row],['#_Constructed/Existing protected/fenced ponds]]*250)/WWWW[[#This Row],[Total PoP ]]&gt;1,1,(WWWW[[#This Row],['#_Constructed/Existing protected/fenced ponds]]*250)/WWWW[[#This Row],[Total PoP ]])</f>
        <v>0</v>
      </c>
      <c r="CN94" s="597">
        <f>WWWW[[#This Row],[% Access to unimproved water points]]*WWWW[[#This Row],[Total PoP ]]</f>
        <v>0</v>
      </c>
      <c r="CO9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9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Q94" s="597">
        <f>WWWW[[#This Row],[HRP1]]/500</f>
        <v>1.482</v>
      </c>
      <c r="CR94" s="602">
        <f>1-WWWW[[#This Row],[% Equitable and continuous access to sufficient quantity of domestic water]]</f>
        <v>0</v>
      </c>
      <c r="CS94" s="597">
        <f>WWWW[[#This Row],[%equitable and continuous access to sufficient quantity of safe drinking and domestic water''s GAP]]*WWWW[[#This Row],[Total PoP ]]</f>
        <v>0</v>
      </c>
      <c r="CT94" s="600">
        <f>IF(WWWW[[#This Row],[Total required water points]]-WWWW[[#This Row],['#Water points coverage]]&lt;0,0,WWWW[[#This Row],[Total required water points]]-WWWW[[#This Row],['#Water points coverage]])</f>
        <v>0</v>
      </c>
      <c r="CU94" s="600">
        <f>ROUND(IF(WWWW[[#This Row],[Total PoP ]]&lt;500,1,WWWW[[#This Row],[Total PoP ]]/500),0)</f>
        <v>1</v>
      </c>
      <c r="CV94" s="600">
        <f>(WWWW[[#This Row],['#_Constructed latrines_by_WASHAgencies]]+WWWW[[#This Row],['#_Non Cluster partner latrines]])-WWWW[[#This Row],['#_Non-functional latrines]]</f>
        <v>40</v>
      </c>
      <c r="CW94" s="70">
        <f>WWWW[[#This Row],[HRP2]]/WWWW[[#This Row],[Total PoP ]]</f>
        <v>1</v>
      </c>
      <c r="CX9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CY9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9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4" s="600">
        <f>IF(WWWW[[#This Row],['# of functional latrines in THF supported by WASH partners during the reporting period2]]="",0,WWWW[[#This Row],['# of functional latrines in THF supported by WASH partners during the reporting period2]]*50)</f>
        <v>0</v>
      </c>
      <c r="DB94" s="600">
        <f>WWWW[[#This Row],['# students access to functioning school latrines_HRP5]]+WWWW[[#This Row],['# People access to functioning latrines in THF_HRP5]]</f>
        <v>0</v>
      </c>
      <c r="DC94" s="600">
        <f>ROUND(IF(WWWW[[#This Row],[Location Type 1]]="camp",WWWW[[#This Row],[Total PoP ]]/20,IF(WWWW[[#This Row],[Location Type 1]]="Temporary Location",WWWW[[#This Row],[Total PoP ]]/50,WWWW[[#This Row],[Total HH]])),0)</f>
        <v>37</v>
      </c>
      <c r="DD94" s="600">
        <f>IF(WWWW[[#This Row],[Total required Latrines]]-(WWWW[[#This Row],['#_Constructed latrines_by_WASHAgencies]]+WWWW[[#This Row],['#_Non Cluster partner latrines]])&lt;0,0,WWWW[[#This Row],[Total required Latrines]]-(WWWW[[#This Row],['#_Constructed latrines_by_WASHAgencies]]+WWWW[[#This Row],['#_Non Cluster partner latrines]]))</f>
        <v>0</v>
      </c>
      <c r="DE94" s="602">
        <f>1-WWWW[[#This Row],[% people access to functioning Latrine]]</f>
        <v>0</v>
      </c>
      <c r="DF94" s="601">
        <f>IF(OR(WWWW[[#This Row],['#_Non-functional latrines]]="",WWWW[[#This Row],['#_Non-functional latrines]]=0),0,WWWW[[#This Row],['#_Non-functional latrines]]/(WWWW[[#This Row],['#_Constructed latrines_by_WASHAgencies]]+WWWW[[#This Row],['#_Non Cluster partner latrines]]))</f>
        <v>0</v>
      </c>
      <c r="DG94" s="597">
        <f>IF(500*(WWWW[[#This Row],['#_male hygiene promoters]]+WWWW[[#This Row],['#_female hygiene promoters]])&gt;WWWW[[#This Row],[Total PoP ]],WWWW[[#This Row],[Total PoP ]],500*(WWWW[[#This Row],['#_male hygiene promoters]]+WWWW[[#This Row],['#_female hygiene promoters]]))</f>
        <v>0</v>
      </c>
      <c r="DH9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4" s="600">
        <f>IF(WWWW[[#This Row],['# People with access to soap]]&gt;WWWW[[#This Row],['# People with access to Sanity Pads]],WWWW[[#This Row],['# People with access to soap]],WWWW[[#This Row],['# People with access to Sanity Pads]])</f>
        <v>0</v>
      </c>
      <c r="DK9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4" s="602">
        <f>IF(WWWW[[#This Row],[HRP3]]/WWWW[[#This Row],[Total PoP ]]&gt;1,1,WWWW[[#This Row],[HRP3]]/WWWW[[#This Row],[Total PoP ]])</f>
        <v>0</v>
      </c>
      <c r="DM94" s="601">
        <f>1-WWWW[[#This Row],[Hygiene Coverage%]]</f>
        <v>1</v>
      </c>
      <c r="DN94" s="599">
        <f>WWWW[[#This Row],['# people reached by regular dedicated hygiene promotion_5]]/WWWW[[#This Row],[Total PoP ]]</f>
        <v>0</v>
      </c>
      <c r="DO9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4" s="600">
        <f>WWWW[[#This Row],['#_Constructed/Existing hand washing stations]]-WWWW[[#This Row],['#_Non-Functional_hand_washing_stations]]</f>
        <v>17</v>
      </c>
      <c r="DR94" s="597">
        <f>IF(WWWW[[#This Row],['# Functional hand washing stations during reporting period]]*20&gt;WWWW[[#This Row],[Total HH]],WWWW[[#This Row],[Total HH]],WWWW[[#This Row],['# Functional hand washing stations during reporting period]]*20)</f>
        <v>127</v>
      </c>
      <c r="DS94" s="597">
        <f>IF(WWWW[[#This Row],[Is sufficient soap available for TLS? (Yes/No)]]="yes",WWWW[[#This Row],['#_Constructed/Existing hand washing stations at TLS]],0)</f>
        <v>0</v>
      </c>
      <c r="DT94" s="479">
        <f>IF(WWWW[[#This Row],['# Functional hand washing stations during reporting period]]*100&gt;WWWW[[#This Row],[Total PoP ]],WWWW[[#This Row],[Total PoP ]],WWWW[[#This Row],['# Functional hand washing stations during reporting period]]*100)</f>
        <v>741</v>
      </c>
      <c r="DU94" s="479" t="str">
        <f>IF(OR(WWWW[[#This Row],['#_students at TLS_CFS]]="",WWWW[[#This Row],['#_students at TLS_CFS]]=0),"No","Yes")</f>
        <v>No</v>
      </c>
      <c r="DV9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4" s="593" t="str">
        <f>VLOOKUP(WWWW[[#This Row],[Site Name]],SiteDB6[[Site Name]:[CCCM Management]],6,FALSE)</f>
        <v>Yes</v>
      </c>
      <c r="DZ94" s="593" t="str">
        <f>VLOOKUP(WWWW[[#This Row],[Site Name]],SiteDB6[[Site Name]:[CCCM Focal Agency]],7,FALSE)</f>
        <v>KMSS-BMO</v>
      </c>
      <c r="EA94" s="593" t="str">
        <f>VLOOKUP(WWWW[[#This Row],[Site Name]],SiteDB6[[Site Name]:[Location Type 1]],9,FALSE)</f>
        <v>Camp</v>
      </c>
      <c r="EB94" s="593" t="str">
        <f>VLOOKUP(WWWW[[#This Row],[Site Name]],SiteDB6[[Site Name]:[Type of Accommodation]],10,FALSE)</f>
        <v>Camp</v>
      </c>
      <c r="EC94" s="593" t="str">
        <f>VLOOKUP(WWWW[[#This Row],[Site Name]],SiteDB6[[Site Name]:[Ethnic or GCA/NGCA]],11,FALSE)</f>
        <v>GCA</v>
      </c>
      <c r="ED94" s="593">
        <f>VLOOKUP(WWWW[[#This Row],[Site Name]],SiteDB6[[Site Name]:[Lat]],12,FALSE)</f>
        <v>24.245100000000001</v>
      </c>
      <c r="EE94" s="593">
        <f>VLOOKUP(WWWW[[#This Row],[Site Name]],SiteDB6[[Site Name]:[Long]],13,FALSE)</f>
        <v>97.325019999999995</v>
      </c>
      <c r="EF94" s="593" t="str">
        <f>VLOOKUP(WWWW[[#This Row],[Site Name]],SiteDB6[[Site Name]:[Pcode]],3,FALSE)</f>
        <v>MMR001CMP062</v>
      </c>
      <c r="EG94" s="598" t="str">
        <f t="shared" si="1"/>
        <v>Covered</v>
      </c>
      <c r="EH94" s="598" t="str">
        <f>VLOOKUP(WWWW[[#This Row],[Site Name]],SiteDB6[[Site Name]:[open in cccm?]],2,FALSE)</f>
        <v>cccm_2019OCT</v>
      </c>
    </row>
    <row r="95" spans="1:138" hidden="1">
      <c r="A95" s="591" t="s">
        <v>3261</v>
      </c>
      <c r="B95" s="591" t="s">
        <v>195</v>
      </c>
      <c r="C95" s="592" t="s">
        <v>195</v>
      </c>
      <c r="D95" s="592" t="s">
        <v>3045</v>
      </c>
      <c r="E95" s="592" t="s">
        <v>711</v>
      </c>
      <c r="F95" s="592" t="s">
        <v>715</v>
      </c>
      <c r="G95" s="721" t="str">
        <f>VLOOKUP(WWWW[[#This Row],[Site Name]],SiteDB6[[Site Name]:[Location Type]],8,FALSE)</f>
        <v>Camp</v>
      </c>
      <c r="H95" s="592" t="s">
        <v>750</v>
      </c>
      <c r="I95" s="594">
        <v>24</v>
      </c>
      <c r="J95" s="594">
        <v>85</v>
      </c>
      <c r="K95" s="595" t="s">
        <v>3289</v>
      </c>
      <c r="L95" s="596" t="s">
        <v>3290</v>
      </c>
      <c r="M95" s="594"/>
      <c r="N95" s="594"/>
      <c r="O95" s="594"/>
      <c r="P95" s="594"/>
      <c r="Q95" s="597"/>
      <c r="R95" s="594"/>
      <c r="S95" s="594">
        <v>4</v>
      </c>
      <c r="T95" s="523"/>
      <c r="U95" s="594"/>
      <c r="V95" s="594"/>
      <c r="W95" s="594"/>
      <c r="X95" s="594"/>
      <c r="Y95" s="594"/>
      <c r="Z95" s="594"/>
      <c r="AA95" s="594"/>
      <c r="AB95" s="594"/>
      <c r="AC95" s="594"/>
      <c r="AD95" s="594"/>
      <c r="AE95" s="594"/>
      <c r="AF95" s="594"/>
      <c r="AG95" s="594"/>
      <c r="AH95" s="594"/>
      <c r="AI95" s="594"/>
      <c r="AJ95" s="594"/>
      <c r="AK95" s="594"/>
      <c r="AL95" s="594"/>
      <c r="AM95" s="594"/>
      <c r="AN95" s="594"/>
      <c r="AO95" s="598"/>
      <c r="AP95" s="594"/>
      <c r="AQ95" s="594"/>
      <c r="AR95" s="599"/>
      <c r="AS95" s="594"/>
      <c r="AT95" s="594"/>
      <c r="AU95" s="594"/>
      <c r="AV95" s="594"/>
      <c r="AW95" s="594"/>
      <c r="AX95" s="593" t="s">
        <v>143</v>
      </c>
      <c r="AY95" s="598" t="s">
        <v>143</v>
      </c>
      <c r="AZ95" s="594"/>
      <c r="BA95" s="594"/>
      <c r="BB95" s="594"/>
      <c r="BC95" s="594"/>
      <c r="BD95" s="523"/>
      <c r="BE95" s="593"/>
      <c r="BF95" s="594"/>
      <c r="BG95" s="594"/>
      <c r="BH95" s="594"/>
      <c r="BI95" s="594"/>
      <c r="BJ95" s="594"/>
      <c r="BK95" s="594"/>
      <c r="BL95" s="594"/>
      <c r="BM95" s="594"/>
      <c r="BN95" s="594"/>
      <c r="BO95" s="593" t="s">
        <v>139</v>
      </c>
      <c r="BP95" s="594"/>
      <c r="BQ95" s="599"/>
      <c r="BR95" s="593"/>
      <c r="BS95" s="472"/>
      <c r="BT95" s="472"/>
      <c r="BU95" s="523"/>
      <c r="BV95" s="472"/>
      <c r="BW95" s="523"/>
      <c r="BX95" s="523"/>
      <c r="BY95" s="523"/>
      <c r="BZ95" s="601" t="str">
        <f>IFERROR(WWWW[[#This Row],['#_Water sources passed]]/WWWW[[#This Row],['#_Water sources tested for fecal coliform ]],"no test")</f>
        <v>no test</v>
      </c>
      <c r="CA95" s="599" t="str">
        <f>IFERROR(WWWW[[#This Row],['#_Household passed]]/WWWW[[#This Row],['#_Household water samples tested for fecal coliform]],"no test")</f>
        <v>no test</v>
      </c>
      <c r="CB95" s="600" t="str">
        <f>IF(AND(WWWW[[#This Row],[% of water sources passed]]="no test",WWWW[[#This Row],[% Household passed]]="no test"),"No Test","Tested")</f>
        <v>No Test</v>
      </c>
      <c r="CC95" s="600">
        <f>WWWW[[#This Row],['#_Constructed/existing protected hand dug well]]-WWWW[[#This Row],['#_Non-functional protected hand dug well]]</f>
        <v>0</v>
      </c>
      <c r="CD95" s="600">
        <f>(WWWW[[#This Row],['#_Constructed/Existing tube wells/boreholes/handpumps_WASH_agency]]+WWWW[[#This Row],['#_Non-Cluster partner water tube-wells/boreholes/handpumps]])-WWWW[[#This Row],['#_Non-functional tube wells/boreholes/handpumps]]</f>
        <v>0</v>
      </c>
      <c r="CE95" s="600">
        <f>WWWW[[#This Row],['#_Constructed/Existingwater storage tank with gravity fed reticulation system]]-WWWW[[#This Row],['#_Non-functional storage tank gravity fed reticulation system]]</f>
        <v>0</v>
      </c>
      <c r="CF95" s="478">
        <f>(WWWW[[#This Row],['#_Water_Liters_supplied_by_Water boating or water trucking]]/90)/15</f>
        <v>0</v>
      </c>
      <c r="CG95" s="478">
        <f>WWWW[[#This Row],['#_Water_Liters_from_Constructed/Existing water distribution system from river or natural spring]]/90/15</f>
        <v>0</v>
      </c>
      <c r="CH95" s="478">
        <f>WWWW[[#This Row],['#_of water points in TLS/CFS /THF]]*500</f>
        <v>0</v>
      </c>
      <c r="CI9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5" s="599">
        <f>IF(WWWW[[#This Row],[Location Type 1]]="Village",WWWW[[#This Row],[Access to safe drinking water for Village]],WWWW[[#This Row],[Access to safe drinking water for Camp]])</f>
        <v>0</v>
      </c>
      <c r="CL95" s="597">
        <f>WWWW[[#This Row],[%Equitable and continuous access to sufficient quantity of safe drinking water]]*WWWW[[#This Row],[Total PoP ]]</f>
        <v>0</v>
      </c>
      <c r="CM95" s="599">
        <f>IF((WWWW[[#This Row],['#_Constructed/Existing protected/fenced ponds]]*250)/WWWW[[#This Row],[Total PoP ]]&gt;1,1,(WWWW[[#This Row],['#_Constructed/Existing protected/fenced ponds]]*250)/WWWW[[#This Row],[Total PoP ]])</f>
        <v>0</v>
      </c>
      <c r="CN95" s="597">
        <f>WWWW[[#This Row],[% Access to unimproved water points]]*WWWW[[#This Row],[Total PoP ]]</f>
        <v>0</v>
      </c>
      <c r="CO9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5" s="597">
        <f>WWWW[[#This Row],[HRP1]]/500</f>
        <v>0</v>
      </c>
      <c r="CR95" s="602">
        <f>1-WWWW[[#This Row],[% Equitable and continuous access to sufficient quantity of domestic water]]</f>
        <v>1</v>
      </c>
      <c r="CS95" s="597">
        <f>WWWW[[#This Row],[%equitable and continuous access to sufficient quantity of safe drinking and domestic water''s GAP]]*WWWW[[#This Row],[Total PoP ]]</f>
        <v>85</v>
      </c>
      <c r="CT95" s="600">
        <f>IF(WWWW[[#This Row],[Total required water points]]-WWWW[[#This Row],['#Water points coverage]]&lt;0,0,WWWW[[#This Row],[Total required water points]]-WWWW[[#This Row],['#Water points coverage]])</f>
        <v>1</v>
      </c>
      <c r="CU95" s="600">
        <f>ROUND(IF(WWWW[[#This Row],[Total PoP ]]&lt;500,1,WWWW[[#This Row],[Total PoP ]]/500),0)</f>
        <v>1</v>
      </c>
      <c r="CV95" s="600">
        <f>(WWWW[[#This Row],['#_Constructed latrines_by_WASHAgencies]]+WWWW[[#This Row],['#_Non Cluster partner latrines]])-WWWW[[#This Row],['#_Non-functional latrines]]</f>
        <v>0</v>
      </c>
      <c r="CW95" s="70">
        <f>WWWW[[#This Row],[HRP2]]/WWWW[[#This Row],[Total PoP ]]</f>
        <v>0</v>
      </c>
      <c r="CX9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5" s="600">
        <f>IF(WWWW[[#This Row],['# of functional latrines in THF supported by WASH partners during the reporting period2]]="",0,WWWW[[#This Row],['# of functional latrines in THF supported by WASH partners during the reporting period2]]*50)</f>
        <v>0</v>
      </c>
      <c r="DB95" s="600">
        <f>WWWW[[#This Row],['# students access to functioning school latrines_HRP5]]+WWWW[[#This Row],['# People access to functioning latrines in THF_HRP5]]</f>
        <v>0</v>
      </c>
      <c r="DC95" s="600">
        <f>ROUND(IF(WWWW[[#This Row],[Location Type 1]]="camp",WWWW[[#This Row],[Total PoP ]]/20,IF(WWWW[[#This Row],[Location Type 1]]="Temporary Location",WWWW[[#This Row],[Total PoP ]]/50,WWWW[[#This Row],[Total HH]])),0)</f>
        <v>4</v>
      </c>
      <c r="DD95" s="600">
        <f>IF(WWWW[[#This Row],[Total required Latrines]]-(WWWW[[#This Row],['#_Constructed latrines_by_WASHAgencies]]+WWWW[[#This Row],['#_Non Cluster partner latrines]])&lt;0,0,WWWW[[#This Row],[Total required Latrines]]-(WWWW[[#This Row],['#_Constructed latrines_by_WASHAgencies]]+WWWW[[#This Row],['#_Non Cluster partner latrines]]))</f>
        <v>4</v>
      </c>
      <c r="DE95" s="602">
        <f>1-WWWW[[#This Row],[% people access to functioning Latrine]]</f>
        <v>1</v>
      </c>
      <c r="DF95" s="601">
        <f>IF(OR(WWWW[[#This Row],['#_Non-functional latrines]]="",WWWW[[#This Row],['#_Non-functional latrines]]=0),0,WWWW[[#This Row],['#_Non-functional latrines]]/(WWWW[[#This Row],['#_Constructed latrines_by_WASHAgencies]]+WWWW[[#This Row],['#_Non Cluster partner latrines]]))</f>
        <v>0</v>
      </c>
      <c r="DG95" s="597">
        <f>IF(500*(WWWW[[#This Row],['#_male hygiene promoters]]+WWWW[[#This Row],['#_female hygiene promoters]])&gt;WWWW[[#This Row],[Total PoP ]],WWWW[[#This Row],[Total PoP ]],500*(WWWW[[#This Row],['#_male hygiene promoters]]+WWWW[[#This Row],['#_female hygiene promoters]]))</f>
        <v>0</v>
      </c>
      <c r="DH9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5" s="600">
        <f>IF(WWWW[[#This Row],['# People with access to soap]]&gt;WWWW[[#This Row],['# People with access to Sanity Pads]],WWWW[[#This Row],['# People with access to soap]],WWWW[[#This Row],['# People with access to Sanity Pads]])</f>
        <v>0</v>
      </c>
      <c r="DK9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5" s="602">
        <f>IF(WWWW[[#This Row],[HRP3]]/WWWW[[#This Row],[Total PoP ]]&gt;1,1,WWWW[[#This Row],[HRP3]]/WWWW[[#This Row],[Total PoP ]])</f>
        <v>0</v>
      </c>
      <c r="DM95" s="601">
        <f>1-WWWW[[#This Row],[Hygiene Coverage%]]</f>
        <v>1</v>
      </c>
      <c r="DN95" s="599">
        <f>WWWW[[#This Row],['# people reached by regular dedicated hygiene promotion_5]]/WWWW[[#This Row],[Total PoP ]]</f>
        <v>0</v>
      </c>
      <c r="DO9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5" s="600">
        <f>WWWW[[#This Row],['#_Constructed/Existing hand washing stations]]-WWWW[[#This Row],['#_Non-Functional_hand_washing_stations]]</f>
        <v>0</v>
      </c>
      <c r="DR95" s="597">
        <f>IF(WWWW[[#This Row],['# Functional hand washing stations during reporting period]]*20&gt;WWWW[[#This Row],[Total HH]],WWWW[[#This Row],[Total HH]],WWWW[[#This Row],['# Functional hand washing stations during reporting period]]*20)</f>
        <v>0</v>
      </c>
      <c r="DS95" s="597">
        <f>IF(WWWW[[#This Row],[Is sufficient soap available for TLS? (Yes/No)]]="yes",WWWW[[#This Row],['#_Constructed/Existing hand washing stations at TLS]],0)</f>
        <v>0</v>
      </c>
      <c r="DT95" s="479">
        <f>IF(WWWW[[#This Row],['# Functional hand washing stations during reporting period]]*100&gt;WWWW[[#This Row],[Total PoP ]],WWWW[[#This Row],[Total PoP ]],WWWW[[#This Row],['# Functional hand washing stations during reporting period]]*100)</f>
        <v>0</v>
      </c>
      <c r="DU95" s="479" t="str">
        <f>IF(OR(WWWW[[#This Row],['#_students at TLS_CFS]]="",WWWW[[#This Row],['#_students at TLS_CFS]]=0),"No","Yes")</f>
        <v>No</v>
      </c>
      <c r="DV9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5" s="593">
        <f>VLOOKUP(WWWW[[#This Row],[Site Name]],SiteDB6[[Site Name]:[CCCM Management]],6,FALSE)</f>
        <v>0</v>
      </c>
      <c r="DZ95" s="593" t="str">
        <f>VLOOKUP(WWWW[[#This Row],[Site Name]],SiteDB6[[Site Name]:[CCCM Focal Agency]],7,FALSE)</f>
        <v>uncovered</v>
      </c>
      <c r="EA95" s="593" t="str">
        <f>VLOOKUP(WWWW[[#This Row],[Site Name]],SiteDB6[[Site Name]:[Location Type 1]],9,FALSE)</f>
        <v>Camp</v>
      </c>
      <c r="EB95" s="593" t="str">
        <f>VLOOKUP(WWWW[[#This Row],[Site Name]],SiteDB6[[Site Name]:[Type of Accommodation]],10,FALSE)</f>
        <v>Camp like setting</v>
      </c>
      <c r="EC95" s="593" t="str">
        <f>VLOOKUP(WWWW[[#This Row],[Site Name]],SiteDB6[[Site Name]:[Ethnic or GCA/NGCA]],11,FALSE)</f>
        <v>GCA</v>
      </c>
      <c r="ED95" s="593">
        <f>VLOOKUP(WWWW[[#This Row],[Site Name]],SiteDB6[[Site Name]:[Lat]],12,FALSE)</f>
        <v>0</v>
      </c>
      <c r="EE95" s="593">
        <f>VLOOKUP(WWWW[[#This Row],[Site Name]],SiteDB6[[Site Name]:[Long]],13,FALSE)</f>
        <v>0</v>
      </c>
      <c r="EF95" s="593" t="str">
        <f>VLOOKUP(WWWW[[#This Row],[Site Name]],SiteDB6[[Site Name]:[Pcode]],3,FALSE)</f>
        <v>MMR015CMP246</v>
      </c>
      <c r="EG95" s="598" t="str">
        <f t="shared" si="1"/>
        <v>Covered</v>
      </c>
      <c r="EH95" s="598" t="str">
        <f>VLOOKUP(WWWW[[#This Row],[Site Name]],SiteDB6[[Site Name]:[open in cccm?]],2,FALSE)</f>
        <v>cccm_2019OCT</v>
      </c>
    </row>
    <row r="96" spans="1:138" hidden="1">
      <c r="A96" s="591" t="s">
        <v>3261</v>
      </c>
      <c r="B96" s="591" t="s">
        <v>195</v>
      </c>
      <c r="C96" s="592" t="s">
        <v>195</v>
      </c>
      <c r="D96" s="404" t="s">
        <v>3291</v>
      </c>
      <c r="E96" s="592" t="s">
        <v>39</v>
      </c>
      <c r="F96" s="592" t="s">
        <v>40</v>
      </c>
      <c r="G96" s="721" t="str">
        <f>VLOOKUP(WWWW[[#This Row],[Site Name]],SiteDB6[[Site Name]:[Location Type]],8,FALSE)</f>
        <v>Camp</v>
      </c>
      <c r="H96" s="592" t="s">
        <v>301</v>
      </c>
      <c r="I96" s="594">
        <v>98</v>
      </c>
      <c r="J96" s="594">
        <v>529</v>
      </c>
      <c r="K96" s="595" t="s">
        <v>3289</v>
      </c>
      <c r="L96" s="596" t="s">
        <v>3290</v>
      </c>
      <c r="M96" s="594"/>
      <c r="N96" s="594"/>
      <c r="O96" s="594"/>
      <c r="P96" s="594"/>
      <c r="Q96" s="597"/>
      <c r="R96" s="594"/>
      <c r="S96" s="594">
        <v>4</v>
      </c>
      <c r="T96" s="523"/>
      <c r="U96" s="594"/>
      <c r="V96" s="594"/>
      <c r="W96" s="594"/>
      <c r="X96" s="594"/>
      <c r="Y96" s="594"/>
      <c r="Z96" s="594"/>
      <c r="AA96" s="594"/>
      <c r="AB96" s="594"/>
      <c r="AC96" s="594"/>
      <c r="AD96" s="594"/>
      <c r="AE96" s="594"/>
      <c r="AF96" s="594"/>
      <c r="AG96" s="594"/>
      <c r="AH96" s="594"/>
      <c r="AI96" s="594"/>
      <c r="AJ96" s="594"/>
      <c r="AK96" s="594"/>
      <c r="AL96" s="594"/>
      <c r="AM96" s="594"/>
      <c r="AN96" s="594"/>
      <c r="AO96" s="598"/>
      <c r="AP96" s="594">
        <v>8</v>
      </c>
      <c r="AQ96" s="594"/>
      <c r="AR96" s="599"/>
      <c r="AS96" s="594"/>
      <c r="AT96" s="594"/>
      <c r="AU96" s="594"/>
      <c r="AV96" s="594"/>
      <c r="AW96" s="594"/>
      <c r="AX96" s="593" t="s">
        <v>143</v>
      </c>
      <c r="AY96" s="598" t="s">
        <v>143</v>
      </c>
      <c r="AZ96" s="594"/>
      <c r="BA96" s="594"/>
      <c r="BB96" s="594"/>
      <c r="BC96" s="594"/>
      <c r="BD96" s="523"/>
      <c r="BE96" s="593"/>
      <c r="BF96" s="594"/>
      <c r="BG96" s="594"/>
      <c r="BH96" s="594"/>
      <c r="BI96" s="594"/>
      <c r="BJ96" s="594"/>
      <c r="BK96" s="594"/>
      <c r="BL96" s="594">
        <v>1</v>
      </c>
      <c r="BM96" s="594"/>
      <c r="BN96" s="594"/>
      <c r="BO96" s="593"/>
      <c r="BP96" s="594"/>
      <c r="BQ96" s="599"/>
      <c r="BR96" s="593"/>
      <c r="BS96" s="472"/>
      <c r="BT96" s="472"/>
      <c r="BU96" s="523"/>
      <c r="BV96" s="472"/>
      <c r="BW96" s="523"/>
      <c r="BX96" s="523"/>
      <c r="BY96" s="523"/>
      <c r="BZ96" s="601" t="str">
        <f>IFERROR(WWWW[[#This Row],['#_Water sources passed]]/WWWW[[#This Row],['#_Water sources tested for fecal coliform ]],"no test")</f>
        <v>no test</v>
      </c>
      <c r="CA96" s="599" t="str">
        <f>IFERROR(WWWW[[#This Row],['#_Household passed]]/WWWW[[#This Row],['#_Household water samples tested for fecal coliform]],"no test")</f>
        <v>no test</v>
      </c>
      <c r="CB96" s="600" t="str">
        <f>IF(AND(WWWW[[#This Row],[% of water sources passed]]="no test",WWWW[[#This Row],[% Household passed]]="no test"),"No Test","Tested")</f>
        <v>No Test</v>
      </c>
      <c r="CC96" s="600">
        <f>WWWW[[#This Row],['#_Constructed/existing protected hand dug well]]-WWWW[[#This Row],['#_Non-functional protected hand dug well]]</f>
        <v>0</v>
      </c>
      <c r="CD96" s="600">
        <f>(WWWW[[#This Row],['#_Constructed/Existing tube wells/boreholes/handpumps_WASH_agency]]+WWWW[[#This Row],['#_Non-Cluster partner water tube-wells/boreholes/handpumps]])-WWWW[[#This Row],['#_Non-functional tube wells/boreholes/handpumps]]</f>
        <v>0</v>
      </c>
      <c r="CE96" s="600">
        <f>WWWW[[#This Row],['#_Constructed/Existingwater storage tank with gravity fed reticulation system]]-WWWW[[#This Row],['#_Non-functional storage tank gravity fed reticulation system]]</f>
        <v>0</v>
      </c>
      <c r="CF96" s="478">
        <f>(WWWW[[#This Row],['#_Water_Liters_supplied_by_Water boating or water trucking]]/90)/15</f>
        <v>0</v>
      </c>
      <c r="CG96" s="478">
        <f>WWWW[[#This Row],['#_Water_Liters_from_Constructed/Existing water distribution system from river or natural spring]]/90/15</f>
        <v>0</v>
      </c>
      <c r="CH96" s="478">
        <f>WWWW[[#This Row],['#_of water points in TLS/CFS /THF]]*500</f>
        <v>0</v>
      </c>
      <c r="CI9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6" s="599">
        <f>IF(WWWW[[#This Row],[Location Type 1]]="Village",WWWW[[#This Row],[Access to safe drinking water for Village]],WWWW[[#This Row],[Access to safe drinking water for Camp]])</f>
        <v>0</v>
      </c>
      <c r="CL96" s="597">
        <f>WWWW[[#This Row],[%Equitable and continuous access to sufficient quantity of safe drinking water]]*WWWW[[#This Row],[Total PoP ]]</f>
        <v>0</v>
      </c>
      <c r="CM96" s="599">
        <f>IF((WWWW[[#This Row],['#_Constructed/Existing protected/fenced ponds]]*250)/WWWW[[#This Row],[Total PoP ]]&gt;1,1,(WWWW[[#This Row],['#_Constructed/Existing protected/fenced ponds]]*250)/WWWW[[#This Row],[Total PoP ]])</f>
        <v>0</v>
      </c>
      <c r="CN96" s="597">
        <f>WWWW[[#This Row],[% Access to unimproved water points]]*WWWW[[#This Row],[Total PoP ]]</f>
        <v>0</v>
      </c>
      <c r="CO9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6" s="597">
        <f>WWWW[[#This Row],[HRP1]]/500</f>
        <v>0</v>
      </c>
      <c r="CR96" s="602">
        <f>1-WWWW[[#This Row],[% Equitable and continuous access to sufficient quantity of domestic water]]</f>
        <v>1</v>
      </c>
      <c r="CS96" s="597">
        <f>WWWW[[#This Row],[%equitable and continuous access to sufficient quantity of safe drinking and domestic water''s GAP]]*WWWW[[#This Row],[Total PoP ]]</f>
        <v>529</v>
      </c>
      <c r="CT96" s="600">
        <f>IF(WWWW[[#This Row],[Total required water points]]-WWWW[[#This Row],['#Water points coverage]]&lt;0,0,WWWW[[#This Row],[Total required water points]]-WWWW[[#This Row],['#Water points coverage]])</f>
        <v>1</v>
      </c>
      <c r="CU96" s="600">
        <f>ROUND(IF(WWWW[[#This Row],[Total PoP ]]&lt;500,1,WWWW[[#This Row],[Total PoP ]]/500),0)</f>
        <v>1</v>
      </c>
      <c r="CV96" s="600">
        <f>(WWWW[[#This Row],['#_Constructed latrines_by_WASHAgencies]]+WWWW[[#This Row],['#_Non Cluster partner latrines]])-WWWW[[#This Row],['#_Non-functional latrines]]</f>
        <v>8</v>
      </c>
      <c r="CW96" s="70">
        <f>WWWW[[#This Row],[HRP2]]/WWWW[[#This Row],[Total PoP ]]</f>
        <v>0.30245746691871456</v>
      </c>
      <c r="CX9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9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6" s="600">
        <f>IF(WWWW[[#This Row],['# of functional latrines in THF supported by WASH partners during the reporting period2]]="",0,WWWW[[#This Row],['# of functional latrines in THF supported by WASH partners during the reporting period2]]*50)</f>
        <v>0</v>
      </c>
      <c r="DB96" s="600">
        <f>WWWW[[#This Row],['# students access to functioning school latrines_HRP5]]+WWWW[[#This Row],['# People access to functioning latrines in THF_HRP5]]</f>
        <v>0</v>
      </c>
      <c r="DC96" s="600">
        <f>ROUND(IF(WWWW[[#This Row],[Location Type 1]]="camp",WWWW[[#This Row],[Total PoP ]]/20,IF(WWWW[[#This Row],[Location Type 1]]="Temporary Location",WWWW[[#This Row],[Total PoP ]]/50,WWWW[[#This Row],[Total HH]])),0)</f>
        <v>26</v>
      </c>
      <c r="DD96" s="600">
        <f>IF(WWWW[[#This Row],[Total required Latrines]]-(WWWW[[#This Row],['#_Constructed latrines_by_WASHAgencies]]+WWWW[[#This Row],['#_Non Cluster partner latrines]])&lt;0,0,WWWW[[#This Row],[Total required Latrines]]-(WWWW[[#This Row],['#_Constructed latrines_by_WASHAgencies]]+WWWW[[#This Row],['#_Non Cluster partner latrines]]))</f>
        <v>18</v>
      </c>
      <c r="DE96" s="602">
        <f>1-WWWW[[#This Row],[% people access to functioning Latrine]]</f>
        <v>0.69754253308128544</v>
      </c>
      <c r="DF96" s="601">
        <f>IF(OR(WWWW[[#This Row],['#_Non-functional latrines]]="",WWWW[[#This Row],['#_Non-functional latrines]]=0),0,WWWW[[#This Row],['#_Non-functional latrines]]/(WWWW[[#This Row],['#_Constructed latrines_by_WASHAgencies]]+WWWW[[#This Row],['#_Non Cluster partner latrines]]))</f>
        <v>0</v>
      </c>
      <c r="DG96" s="597">
        <f>IF(500*(WWWW[[#This Row],['#_male hygiene promoters]]+WWWW[[#This Row],['#_female hygiene promoters]])&gt;WWWW[[#This Row],[Total PoP ]],WWWW[[#This Row],[Total PoP ]],500*(WWWW[[#This Row],['#_male hygiene promoters]]+WWWW[[#This Row],['#_female hygiene promoters]]))</f>
        <v>500</v>
      </c>
      <c r="DH9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6" s="600">
        <f>IF(WWWW[[#This Row],['# People with access to soap]]&gt;WWWW[[#This Row],['# People with access to Sanity Pads]],WWWW[[#This Row],['# People with access to soap]],WWWW[[#This Row],['# People with access to Sanity Pads]])</f>
        <v>0</v>
      </c>
      <c r="DK96"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96" s="602">
        <f>IF(WWWW[[#This Row],[HRP3]]/WWWW[[#This Row],[Total PoP ]]&gt;1,1,WWWW[[#This Row],[HRP3]]/WWWW[[#This Row],[Total PoP ]])</f>
        <v>0.94517958412098302</v>
      </c>
      <c r="DM96" s="601">
        <f>1-WWWW[[#This Row],[Hygiene Coverage%]]</f>
        <v>5.4820415879016982E-2</v>
      </c>
      <c r="DN96" s="599">
        <f>WWWW[[#This Row],['# people reached by regular dedicated hygiene promotion_5]]/WWWW[[#This Row],[Total PoP ]]</f>
        <v>0.94517958412098302</v>
      </c>
      <c r="DO9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6" s="600">
        <f>WWWW[[#This Row],['#_Constructed/Existing hand washing stations]]-WWWW[[#This Row],['#_Non-Functional_hand_washing_stations]]</f>
        <v>0</v>
      </c>
      <c r="DR96" s="597">
        <f>IF(WWWW[[#This Row],['# Functional hand washing stations during reporting period]]*20&gt;WWWW[[#This Row],[Total HH]],WWWW[[#This Row],[Total HH]],WWWW[[#This Row],['# Functional hand washing stations during reporting period]]*20)</f>
        <v>0</v>
      </c>
      <c r="DS96" s="597">
        <f>IF(WWWW[[#This Row],[Is sufficient soap available for TLS? (Yes/No)]]="yes",WWWW[[#This Row],['#_Constructed/Existing hand washing stations at TLS]],0)</f>
        <v>0</v>
      </c>
      <c r="DT96" s="479">
        <f>IF(WWWW[[#This Row],['# Functional hand washing stations during reporting period]]*100&gt;WWWW[[#This Row],[Total PoP ]],WWWW[[#This Row],[Total PoP ]],WWWW[[#This Row],['# Functional hand washing stations during reporting period]]*100)</f>
        <v>0</v>
      </c>
      <c r="DU96" s="479" t="str">
        <f>IF(OR(WWWW[[#This Row],['#_students at TLS_CFS]]="",WWWW[[#This Row],['#_students at TLS_CFS]]=0),"No","Yes")</f>
        <v>No</v>
      </c>
      <c r="DV9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6" s="593" t="str">
        <f>VLOOKUP(WWWW[[#This Row],[Site Name]],SiteDB6[[Site Name]:[CCCM Management]],6,FALSE)</f>
        <v>Yes</v>
      </c>
      <c r="DZ96" s="593" t="str">
        <f>VLOOKUP(WWWW[[#This Row],[Site Name]],SiteDB6[[Site Name]:[CCCM Focal Agency]],7,FALSE)</f>
        <v>KBC-NSS</v>
      </c>
      <c r="EA96" s="593" t="str">
        <f>VLOOKUP(WWWW[[#This Row],[Site Name]],SiteDB6[[Site Name]:[Location Type 1]],9,FALSE)</f>
        <v>Camp</v>
      </c>
      <c r="EB96" s="593" t="str">
        <f>VLOOKUP(WWWW[[#This Row],[Site Name]],SiteDB6[[Site Name]:[Type of Accommodation]],10,FALSE)</f>
        <v>Camp</v>
      </c>
      <c r="EC96" s="593" t="str">
        <f>VLOOKUP(WWWW[[#This Row],[Site Name]],SiteDB6[[Site Name]:[Ethnic or GCA/NGCA]],11,FALSE)</f>
        <v>GCA</v>
      </c>
      <c r="ED96" s="593">
        <f>VLOOKUP(WWWW[[#This Row],[Site Name]],SiteDB6[[Site Name]:[Lat]],12,FALSE)</f>
        <v>23.83013</v>
      </c>
      <c r="EE96" s="593">
        <f>VLOOKUP(WWWW[[#This Row],[Site Name]],SiteDB6[[Site Name]:[Long]],13,FALSE)</f>
        <v>97.589979999999997</v>
      </c>
      <c r="EF96" s="593" t="str">
        <f>VLOOKUP(WWWW[[#This Row],[Site Name]],SiteDB6[[Site Name]:[Pcode]],3,FALSE)</f>
        <v>MMR001CMP133</v>
      </c>
      <c r="EG96" s="598" t="str">
        <f t="shared" si="1"/>
        <v>Covered</v>
      </c>
      <c r="EH96" s="598" t="str">
        <f>VLOOKUP(WWWW[[#This Row],[Site Name]],SiteDB6[[Site Name]:[open in cccm?]],2,FALSE)</f>
        <v>cccm_2019OCT</v>
      </c>
    </row>
    <row r="97" spans="1:138" hidden="1">
      <c r="A97" s="591" t="s">
        <v>3261</v>
      </c>
      <c r="B97" s="591" t="s">
        <v>195</v>
      </c>
      <c r="C97" s="592" t="s">
        <v>195</v>
      </c>
      <c r="D97" s="404" t="s">
        <v>3291</v>
      </c>
      <c r="E97" s="592" t="s">
        <v>39</v>
      </c>
      <c r="F97" s="592" t="s">
        <v>40</v>
      </c>
      <c r="G97" s="721" t="str">
        <f>VLOOKUP(WWWW[[#This Row],[Site Name]],SiteDB6[[Site Name]:[Location Type]],8,FALSE)</f>
        <v>Camp</v>
      </c>
      <c r="H97" s="592" t="s">
        <v>303</v>
      </c>
      <c r="I97" s="594">
        <v>120</v>
      </c>
      <c r="J97" s="594">
        <v>535</v>
      </c>
      <c r="K97" s="595" t="s">
        <v>3289</v>
      </c>
      <c r="L97" s="596" t="s">
        <v>3290</v>
      </c>
      <c r="M97" s="594"/>
      <c r="N97" s="594"/>
      <c r="O97" s="594"/>
      <c r="P97" s="594"/>
      <c r="Q97" s="597"/>
      <c r="R97" s="594"/>
      <c r="S97" s="594">
        <v>5</v>
      </c>
      <c r="T97" s="523"/>
      <c r="U97" s="594"/>
      <c r="V97" s="594"/>
      <c r="W97" s="594"/>
      <c r="X97" s="594"/>
      <c r="Y97" s="594"/>
      <c r="Z97" s="594"/>
      <c r="AA97" s="594"/>
      <c r="AB97" s="594"/>
      <c r="AC97" s="594"/>
      <c r="AD97" s="594"/>
      <c r="AE97" s="594"/>
      <c r="AF97" s="594"/>
      <c r="AG97" s="594"/>
      <c r="AH97" s="594"/>
      <c r="AI97" s="594"/>
      <c r="AJ97" s="594"/>
      <c r="AK97" s="594"/>
      <c r="AL97" s="594"/>
      <c r="AM97" s="594"/>
      <c r="AN97" s="594"/>
      <c r="AO97" s="598"/>
      <c r="AP97" s="594">
        <v>12</v>
      </c>
      <c r="AQ97" s="594"/>
      <c r="AR97" s="599"/>
      <c r="AS97" s="594"/>
      <c r="AT97" s="594"/>
      <c r="AU97" s="594"/>
      <c r="AV97" s="594"/>
      <c r="AW97" s="594"/>
      <c r="AX97" s="593" t="s">
        <v>143</v>
      </c>
      <c r="AY97" s="598" t="s">
        <v>143</v>
      </c>
      <c r="AZ97" s="594"/>
      <c r="BA97" s="594"/>
      <c r="BB97" s="594"/>
      <c r="BC97" s="594"/>
      <c r="BD97" s="523"/>
      <c r="BE97" s="593"/>
      <c r="BF97" s="594"/>
      <c r="BG97" s="594"/>
      <c r="BH97" s="594"/>
      <c r="BI97" s="594"/>
      <c r="BJ97" s="594"/>
      <c r="BK97" s="594"/>
      <c r="BL97" s="594"/>
      <c r="BM97" s="594"/>
      <c r="BN97" s="594"/>
      <c r="BO97" s="593"/>
      <c r="BP97" s="594"/>
      <c r="BQ97" s="599"/>
      <c r="BR97" s="593"/>
      <c r="BS97" s="472"/>
      <c r="BT97" s="472"/>
      <c r="BU97" s="523"/>
      <c r="BV97" s="472"/>
      <c r="BW97" s="523"/>
      <c r="BX97" s="523"/>
      <c r="BY97" s="523"/>
      <c r="BZ97" s="601" t="str">
        <f>IFERROR(WWWW[[#This Row],['#_Water sources passed]]/WWWW[[#This Row],['#_Water sources tested for fecal coliform ]],"no test")</f>
        <v>no test</v>
      </c>
      <c r="CA97" s="599" t="str">
        <f>IFERROR(WWWW[[#This Row],['#_Household passed]]/WWWW[[#This Row],['#_Household water samples tested for fecal coliform]],"no test")</f>
        <v>no test</v>
      </c>
      <c r="CB97" s="600" t="str">
        <f>IF(AND(WWWW[[#This Row],[% of water sources passed]]="no test",WWWW[[#This Row],[% Household passed]]="no test"),"No Test","Tested")</f>
        <v>No Test</v>
      </c>
      <c r="CC97" s="600">
        <f>WWWW[[#This Row],['#_Constructed/existing protected hand dug well]]-WWWW[[#This Row],['#_Non-functional protected hand dug well]]</f>
        <v>0</v>
      </c>
      <c r="CD97" s="600">
        <f>(WWWW[[#This Row],['#_Constructed/Existing tube wells/boreholes/handpumps_WASH_agency]]+WWWW[[#This Row],['#_Non-Cluster partner water tube-wells/boreholes/handpumps]])-WWWW[[#This Row],['#_Non-functional tube wells/boreholes/handpumps]]</f>
        <v>0</v>
      </c>
      <c r="CE97" s="600">
        <f>WWWW[[#This Row],['#_Constructed/Existingwater storage tank with gravity fed reticulation system]]-WWWW[[#This Row],['#_Non-functional storage tank gravity fed reticulation system]]</f>
        <v>0</v>
      </c>
      <c r="CF97" s="478">
        <f>(WWWW[[#This Row],['#_Water_Liters_supplied_by_Water boating or water trucking]]/90)/15</f>
        <v>0</v>
      </c>
      <c r="CG97" s="478">
        <f>WWWW[[#This Row],['#_Water_Liters_from_Constructed/Existing water distribution system from river or natural spring]]/90/15</f>
        <v>0</v>
      </c>
      <c r="CH97" s="478">
        <f>WWWW[[#This Row],['#_of water points in TLS/CFS /THF]]*500</f>
        <v>0</v>
      </c>
      <c r="CI9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7" s="599">
        <f>IF(WWWW[[#This Row],[Location Type 1]]="Village",WWWW[[#This Row],[Access to safe drinking water for Village]],WWWW[[#This Row],[Access to safe drinking water for Camp]])</f>
        <v>0</v>
      </c>
      <c r="CL97" s="597">
        <f>WWWW[[#This Row],[%Equitable and continuous access to sufficient quantity of safe drinking water]]*WWWW[[#This Row],[Total PoP ]]</f>
        <v>0</v>
      </c>
      <c r="CM97" s="599">
        <f>IF((WWWW[[#This Row],['#_Constructed/Existing protected/fenced ponds]]*250)/WWWW[[#This Row],[Total PoP ]]&gt;1,1,(WWWW[[#This Row],['#_Constructed/Existing protected/fenced ponds]]*250)/WWWW[[#This Row],[Total PoP ]])</f>
        <v>0</v>
      </c>
      <c r="CN97" s="597">
        <f>WWWW[[#This Row],[% Access to unimproved water points]]*WWWW[[#This Row],[Total PoP ]]</f>
        <v>0</v>
      </c>
      <c r="CO9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7" s="597">
        <f>WWWW[[#This Row],[HRP1]]/500</f>
        <v>0</v>
      </c>
      <c r="CR97" s="602">
        <f>1-WWWW[[#This Row],[% Equitable and continuous access to sufficient quantity of domestic water]]</f>
        <v>1</v>
      </c>
      <c r="CS97" s="597">
        <f>WWWW[[#This Row],[%equitable and continuous access to sufficient quantity of safe drinking and domestic water''s GAP]]*WWWW[[#This Row],[Total PoP ]]</f>
        <v>535</v>
      </c>
      <c r="CT97" s="600">
        <f>IF(WWWW[[#This Row],[Total required water points]]-WWWW[[#This Row],['#Water points coverage]]&lt;0,0,WWWW[[#This Row],[Total required water points]]-WWWW[[#This Row],['#Water points coverage]])</f>
        <v>1</v>
      </c>
      <c r="CU97" s="600">
        <f>ROUND(IF(WWWW[[#This Row],[Total PoP ]]&lt;500,1,WWWW[[#This Row],[Total PoP ]]/500),0)</f>
        <v>1</v>
      </c>
      <c r="CV97" s="600">
        <f>(WWWW[[#This Row],['#_Constructed latrines_by_WASHAgencies]]+WWWW[[#This Row],['#_Non Cluster partner latrines]])-WWWW[[#This Row],['#_Non-functional latrines]]</f>
        <v>12</v>
      </c>
      <c r="CW97" s="70">
        <f>WWWW[[#This Row],[HRP2]]/WWWW[[#This Row],[Total PoP ]]</f>
        <v>0.44859813084112149</v>
      </c>
      <c r="CX9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9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7" s="600">
        <f>IF(WWWW[[#This Row],['# of functional latrines in THF supported by WASH partners during the reporting period2]]="",0,WWWW[[#This Row],['# of functional latrines in THF supported by WASH partners during the reporting period2]]*50)</f>
        <v>0</v>
      </c>
      <c r="DB97" s="600">
        <f>WWWW[[#This Row],['# students access to functioning school latrines_HRP5]]+WWWW[[#This Row],['# People access to functioning latrines in THF_HRP5]]</f>
        <v>0</v>
      </c>
      <c r="DC97" s="600">
        <f>ROUND(IF(WWWW[[#This Row],[Location Type 1]]="camp",WWWW[[#This Row],[Total PoP ]]/20,IF(WWWW[[#This Row],[Location Type 1]]="Temporary Location",WWWW[[#This Row],[Total PoP ]]/50,WWWW[[#This Row],[Total HH]])),0)</f>
        <v>27</v>
      </c>
      <c r="DD97" s="600">
        <f>IF(WWWW[[#This Row],[Total required Latrines]]-(WWWW[[#This Row],['#_Constructed latrines_by_WASHAgencies]]+WWWW[[#This Row],['#_Non Cluster partner latrines]])&lt;0,0,WWWW[[#This Row],[Total required Latrines]]-(WWWW[[#This Row],['#_Constructed latrines_by_WASHAgencies]]+WWWW[[#This Row],['#_Non Cluster partner latrines]]))</f>
        <v>15</v>
      </c>
      <c r="DE97" s="602">
        <f>1-WWWW[[#This Row],[% people access to functioning Latrine]]</f>
        <v>0.55140186915887845</v>
      </c>
      <c r="DF97" s="601">
        <f>IF(OR(WWWW[[#This Row],['#_Non-functional latrines]]="",WWWW[[#This Row],['#_Non-functional latrines]]=0),0,WWWW[[#This Row],['#_Non-functional latrines]]/(WWWW[[#This Row],['#_Constructed latrines_by_WASHAgencies]]+WWWW[[#This Row],['#_Non Cluster partner latrines]]))</f>
        <v>0</v>
      </c>
      <c r="DG97" s="597">
        <f>IF(500*(WWWW[[#This Row],['#_male hygiene promoters]]+WWWW[[#This Row],['#_female hygiene promoters]])&gt;WWWW[[#This Row],[Total PoP ]],WWWW[[#This Row],[Total PoP ]],500*(WWWW[[#This Row],['#_male hygiene promoters]]+WWWW[[#This Row],['#_female hygiene promoters]]))</f>
        <v>0</v>
      </c>
      <c r="DH9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7" s="600">
        <f>IF(WWWW[[#This Row],['# People with access to soap]]&gt;WWWW[[#This Row],['# People with access to Sanity Pads]],WWWW[[#This Row],['# People with access to soap]],WWWW[[#This Row],['# People with access to Sanity Pads]])</f>
        <v>0</v>
      </c>
      <c r="DK9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7" s="602">
        <f>IF(WWWW[[#This Row],[HRP3]]/WWWW[[#This Row],[Total PoP ]]&gt;1,1,WWWW[[#This Row],[HRP3]]/WWWW[[#This Row],[Total PoP ]])</f>
        <v>0</v>
      </c>
      <c r="DM97" s="601">
        <f>1-WWWW[[#This Row],[Hygiene Coverage%]]</f>
        <v>1</v>
      </c>
      <c r="DN97" s="599">
        <f>WWWW[[#This Row],['# people reached by regular dedicated hygiene promotion_5]]/WWWW[[#This Row],[Total PoP ]]</f>
        <v>0</v>
      </c>
      <c r="DO9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7" s="600">
        <f>WWWW[[#This Row],['#_Constructed/Existing hand washing stations]]-WWWW[[#This Row],['#_Non-Functional_hand_washing_stations]]</f>
        <v>0</v>
      </c>
      <c r="DR97" s="597">
        <f>IF(WWWW[[#This Row],['# Functional hand washing stations during reporting period]]*20&gt;WWWW[[#This Row],[Total HH]],WWWW[[#This Row],[Total HH]],WWWW[[#This Row],['# Functional hand washing stations during reporting period]]*20)</f>
        <v>0</v>
      </c>
      <c r="DS97" s="597">
        <f>IF(WWWW[[#This Row],[Is sufficient soap available for TLS? (Yes/No)]]="yes",WWWW[[#This Row],['#_Constructed/Existing hand washing stations at TLS]],0)</f>
        <v>0</v>
      </c>
      <c r="DT97" s="479">
        <f>IF(WWWW[[#This Row],['# Functional hand washing stations during reporting period]]*100&gt;WWWW[[#This Row],[Total PoP ]],WWWW[[#This Row],[Total PoP ]],WWWW[[#This Row],['# Functional hand washing stations during reporting period]]*100)</f>
        <v>0</v>
      </c>
      <c r="DU97" s="479" t="str">
        <f>IF(OR(WWWW[[#This Row],['#_students at TLS_CFS]]="",WWWW[[#This Row],['#_students at TLS_CFS]]=0),"No","Yes")</f>
        <v>No</v>
      </c>
      <c r="DV9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7" s="593" t="str">
        <f>VLOOKUP(WWWW[[#This Row],[Site Name]],SiteDB6[[Site Name]:[CCCM Management]],6,FALSE)</f>
        <v>Yes</v>
      </c>
      <c r="DZ97" s="593" t="str">
        <f>VLOOKUP(WWWW[[#This Row],[Site Name]],SiteDB6[[Site Name]:[CCCM Focal Agency]],7,FALSE)</f>
        <v>KBC-NSS</v>
      </c>
      <c r="EA97" s="593" t="str">
        <f>VLOOKUP(WWWW[[#This Row],[Site Name]],SiteDB6[[Site Name]:[Location Type 1]],9,FALSE)</f>
        <v>Camp</v>
      </c>
      <c r="EB97" s="593" t="str">
        <f>VLOOKUP(WWWW[[#This Row],[Site Name]],SiteDB6[[Site Name]:[Type of Accommodation]],10,FALSE)</f>
        <v>Camp</v>
      </c>
      <c r="EC97" s="593" t="str">
        <f>VLOOKUP(WWWW[[#This Row],[Site Name]],SiteDB6[[Site Name]:[Ethnic or GCA/NGCA]],11,FALSE)</f>
        <v>GCA</v>
      </c>
      <c r="ED97" s="593">
        <f>VLOOKUP(WWWW[[#This Row],[Site Name]],SiteDB6[[Site Name]:[Lat]],12,FALSE)</f>
        <v>23.829599000000002</v>
      </c>
      <c r="EE97" s="593">
        <f>VLOOKUP(WWWW[[#This Row],[Site Name]],SiteDB6[[Site Name]:[Long]],13,FALSE)</f>
        <v>97.590767</v>
      </c>
      <c r="EF97" s="593" t="str">
        <f>VLOOKUP(WWWW[[#This Row],[Site Name]],SiteDB6[[Site Name]:[Pcode]],3,FALSE)</f>
        <v>MMR001CMP230</v>
      </c>
      <c r="EG97" s="598" t="str">
        <f t="shared" si="1"/>
        <v>Covered</v>
      </c>
      <c r="EH97" s="598" t="str">
        <f>VLOOKUP(WWWW[[#This Row],[Site Name]],SiteDB6[[Site Name]:[open in cccm?]],2,FALSE)</f>
        <v>cccm_2019OCT</v>
      </c>
    </row>
    <row r="98" spans="1:138" hidden="1">
      <c r="A98" s="591" t="s">
        <v>3261</v>
      </c>
      <c r="B98" s="591" t="s">
        <v>195</v>
      </c>
      <c r="C98" s="592" t="s">
        <v>195</v>
      </c>
      <c r="D98" s="404" t="s">
        <v>3291</v>
      </c>
      <c r="E98" s="592" t="s">
        <v>39</v>
      </c>
      <c r="F98" s="592" t="s">
        <v>40</v>
      </c>
      <c r="G98" s="721" t="str">
        <f>VLOOKUP(WWWW[[#This Row],[Site Name]],SiteDB6[[Site Name]:[Location Type]],8,FALSE)</f>
        <v>Camp</v>
      </c>
      <c r="H98" s="592" t="s">
        <v>304</v>
      </c>
      <c r="I98" s="594">
        <v>471</v>
      </c>
      <c r="J98" s="594">
        <v>2306</v>
      </c>
      <c r="K98" s="595" t="s">
        <v>3289</v>
      </c>
      <c r="L98" s="596" t="s">
        <v>3290</v>
      </c>
      <c r="M98" s="594"/>
      <c r="N98" s="594"/>
      <c r="O98" s="594"/>
      <c r="P98" s="594"/>
      <c r="Q98" s="597"/>
      <c r="R98" s="594"/>
      <c r="S98" s="594">
        <v>2</v>
      </c>
      <c r="T98" s="523"/>
      <c r="U98" s="594"/>
      <c r="V98" s="594"/>
      <c r="W98" s="594"/>
      <c r="X98" s="594"/>
      <c r="Y98" s="594"/>
      <c r="Z98" s="594"/>
      <c r="AA98" s="594"/>
      <c r="AB98" s="594"/>
      <c r="AC98" s="594"/>
      <c r="AD98" s="594"/>
      <c r="AE98" s="594"/>
      <c r="AF98" s="594"/>
      <c r="AG98" s="594"/>
      <c r="AH98" s="594"/>
      <c r="AI98" s="594"/>
      <c r="AJ98" s="594"/>
      <c r="AK98" s="594"/>
      <c r="AL98" s="594"/>
      <c r="AM98" s="594"/>
      <c r="AN98" s="594"/>
      <c r="AO98" s="598"/>
      <c r="AP98" s="594"/>
      <c r="AQ98" s="594"/>
      <c r="AR98" s="599"/>
      <c r="AS98" s="594"/>
      <c r="AT98" s="594"/>
      <c r="AU98" s="594"/>
      <c r="AV98" s="594"/>
      <c r="AW98" s="594"/>
      <c r="AX98" s="593" t="s">
        <v>143</v>
      </c>
      <c r="AY98" s="598" t="s">
        <v>143</v>
      </c>
      <c r="AZ98" s="594"/>
      <c r="BA98" s="594"/>
      <c r="BB98" s="594"/>
      <c r="BC98" s="594"/>
      <c r="BD98" s="523"/>
      <c r="BE98" s="593"/>
      <c r="BF98" s="594"/>
      <c r="BG98" s="594"/>
      <c r="BH98" s="594"/>
      <c r="BI98" s="594"/>
      <c r="BJ98" s="594"/>
      <c r="BK98" s="594"/>
      <c r="BL98" s="594"/>
      <c r="BM98" s="594"/>
      <c r="BN98" s="594"/>
      <c r="BO98" s="593"/>
      <c r="BP98" s="594"/>
      <c r="BQ98" s="599"/>
      <c r="BR98" s="593"/>
      <c r="BS98" s="472"/>
      <c r="BT98" s="472"/>
      <c r="BU98" s="523"/>
      <c r="BV98" s="472"/>
      <c r="BW98" s="523"/>
      <c r="BX98" s="523"/>
      <c r="BY98" s="523"/>
      <c r="BZ98" s="601" t="str">
        <f>IFERROR(WWWW[[#This Row],['#_Water sources passed]]/WWWW[[#This Row],['#_Water sources tested for fecal coliform ]],"no test")</f>
        <v>no test</v>
      </c>
      <c r="CA98" s="599" t="str">
        <f>IFERROR(WWWW[[#This Row],['#_Household passed]]/WWWW[[#This Row],['#_Household water samples tested for fecal coliform]],"no test")</f>
        <v>no test</v>
      </c>
      <c r="CB98" s="600" t="str">
        <f>IF(AND(WWWW[[#This Row],[% of water sources passed]]="no test",WWWW[[#This Row],[% Household passed]]="no test"),"No Test","Tested")</f>
        <v>No Test</v>
      </c>
      <c r="CC98" s="600">
        <f>WWWW[[#This Row],['#_Constructed/existing protected hand dug well]]-WWWW[[#This Row],['#_Non-functional protected hand dug well]]</f>
        <v>0</v>
      </c>
      <c r="CD98" s="600">
        <f>(WWWW[[#This Row],['#_Constructed/Existing tube wells/boreholes/handpumps_WASH_agency]]+WWWW[[#This Row],['#_Non-Cluster partner water tube-wells/boreholes/handpumps]])-WWWW[[#This Row],['#_Non-functional tube wells/boreholes/handpumps]]</f>
        <v>0</v>
      </c>
      <c r="CE98" s="600">
        <f>WWWW[[#This Row],['#_Constructed/Existingwater storage tank with gravity fed reticulation system]]-WWWW[[#This Row],['#_Non-functional storage tank gravity fed reticulation system]]</f>
        <v>0</v>
      </c>
      <c r="CF98" s="478">
        <f>(WWWW[[#This Row],['#_Water_Liters_supplied_by_Water boating or water trucking]]/90)/15</f>
        <v>0</v>
      </c>
      <c r="CG98" s="478">
        <f>WWWW[[#This Row],['#_Water_Liters_from_Constructed/Existing water distribution system from river or natural spring]]/90/15</f>
        <v>0</v>
      </c>
      <c r="CH98" s="478">
        <f>WWWW[[#This Row],['#_of water points in TLS/CFS /THF]]*500</f>
        <v>0</v>
      </c>
      <c r="CI9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8" s="599">
        <f>IF(WWWW[[#This Row],[Location Type 1]]="Village",WWWW[[#This Row],[Access to safe drinking water for Village]],WWWW[[#This Row],[Access to safe drinking water for Camp]])</f>
        <v>0</v>
      </c>
      <c r="CL98" s="597">
        <f>WWWW[[#This Row],[%Equitable and continuous access to sufficient quantity of safe drinking water]]*WWWW[[#This Row],[Total PoP ]]</f>
        <v>0</v>
      </c>
      <c r="CM98" s="599">
        <f>IF((WWWW[[#This Row],['#_Constructed/Existing protected/fenced ponds]]*250)/WWWW[[#This Row],[Total PoP ]]&gt;1,1,(WWWW[[#This Row],['#_Constructed/Existing protected/fenced ponds]]*250)/WWWW[[#This Row],[Total PoP ]])</f>
        <v>0</v>
      </c>
      <c r="CN98" s="597">
        <f>WWWW[[#This Row],[% Access to unimproved water points]]*WWWW[[#This Row],[Total PoP ]]</f>
        <v>0</v>
      </c>
      <c r="CO9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8" s="597">
        <f>WWWW[[#This Row],[HRP1]]/500</f>
        <v>0</v>
      </c>
      <c r="CR98" s="602">
        <f>1-WWWW[[#This Row],[% Equitable and continuous access to sufficient quantity of domestic water]]</f>
        <v>1</v>
      </c>
      <c r="CS98" s="597">
        <f>WWWW[[#This Row],[%equitable and continuous access to sufficient quantity of safe drinking and domestic water''s GAP]]*WWWW[[#This Row],[Total PoP ]]</f>
        <v>2306</v>
      </c>
      <c r="CT98" s="600">
        <f>IF(WWWW[[#This Row],[Total required water points]]-WWWW[[#This Row],['#Water points coverage]]&lt;0,0,WWWW[[#This Row],[Total required water points]]-WWWW[[#This Row],['#Water points coverage]])</f>
        <v>5</v>
      </c>
      <c r="CU98" s="600">
        <f>ROUND(IF(WWWW[[#This Row],[Total PoP ]]&lt;500,1,WWWW[[#This Row],[Total PoP ]]/500),0)</f>
        <v>5</v>
      </c>
      <c r="CV98" s="600">
        <f>(WWWW[[#This Row],['#_Constructed latrines_by_WASHAgencies]]+WWWW[[#This Row],['#_Non Cluster partner latrines]])-WWWW[[#This Row],['#_Non-functional latrines]]</f>
        <v>0</v>
      </c>
      <c r="CW98" s="70">
        <f>WWWW[[#This Row],[HRP2]]/WWWW[[#This Row],[Total PoP ]]</f>
        <v>0</v>
      </c>
      <c r="CX9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8" s="600">
        <f>IF(WWWW[[#This Row],['# of functional latrines in THF supported by WASH partners during the reporting period2]]="",0,WWWW[[#This Row],['# of functional latrines in THF supported by WASH partners during the reporting period2]]*50)</f>
        <v>0</v>
      </c>
      <c r="DB98" s="600">
        <f>WWWW[[#This Row],['# students access to functioning school latrines_HRP5]]+WWWW[[#This Row],['# People access to functioning latrines in THF_HRP5]]</f>
        <v>0</v>
      </c>
      <c r="DC98" s="600">
        <f>ROUND(IF(WWWW[[#This Row],[Location Type 1]]="camp",WWWW[[#This Row],[Total PoP ]]/20,IF(WWWW[[#This Row],[Location Type 1]]="Temporary Location",WWWW[[#This Row],[Total PoP ]]/50,WWWW[[#This Row],[Total HH]])),0)</f>
        <v>115</v>
      </c>
      <c r="DD98" s="600">
        <f>IF(WWWW[[#This Row],[Total required Latrines]]-(WWWW[[#This Row],['#_Constructed latrines_by_WASHAgencies]]+WWWW[[#This Row],['#_Non Cluster partner latrines]])&lt;0,0,WWWW[[#This Row],[Total required Latrines]]-(WWWW[[#This Row],['#_Constructed latrines_by_WASHAgencies]]+WWWW[[#This Row],['#_Non Cluster partner latrines]]))</f>
        <v>115</v>
      </c>
      <c r="DE98" s="602">
        <f>1-WWWW[[#This Row],[% people access to functioning Latrine]]</f>
        <v>1</v>
      </c>
      <c r="DF98" s="601">
        <f>IF(OR(WWWW[[#This Row],['#_Non-functional latrines]]="",WWWW[[#This Row],['#_Non-functional latrines]]=0),0,WWWW[[#This Row],['#_Non-functional latrines]]/(WWWW[[#This Row],['#_Constructed latrines_by_WASHAgencies]]+WWWW[[#This Row],['#_Non Cluster partner latrines]]))</f>
        <v>0</v>
      </c>
      <c r="DG98" s="597">
        <f>IF(500*(WWWW[[#This Row],['#_male hygiene promoters]]+WWWW[[#This Row],['#_female hygiene promoters]])&gt;WWWW[[#This Row],[Total PoP ]],WWWW[[#This Row],[Total PoP ]],500*(WWWW[[#This Row],['#_male hygiene promoters]]+WWWW[[#This Row],['#_female hygiene promoters]]))</f>
        <v>0</v>
      </c>
      <c r="DH9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8" s="600">
        <f>IF(WWWW[[#This Row],['# People with access to soap]]&gt;WWWW[[#This Row],['# People with access to Sanity Pads]],WWWW[[#This Row],['# People with access to soap]],WWWW[[#This Row],['# People with access to Sanity Pads]])</f>
        <v>0</v>
      </c>
      <c r="DK9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8" s="602">
        <f>IF(WWWW[[#This Row],[HRP3]]/WWWW[[#This Row],[Total PoP ]]&gt;1,1,WWWW[[#This Row],[HRP3]]/WWWW[[#This Row],[Total PoP ]])</f>
        <v>0</v>
      </c>
      <c r="DM98" s="601">
        <f>1-WWWW[[#This Row],[Hygiene Coverage%]]</f>
        <v>1</v>
      </c>
      <c r="DN98" s="599">
        <f>WWWW[[#This Row],['# people reached by regular dedicated hygiene promotion_5]]/WWWW[[#This Row],[Total PoP ]]</f>
        <v>0</v>
      </c>
      <c r="DO9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8" s="600">
        <f>WWWW[[#This Row],['#_Constructed/Existing hand washing stations]]-WWWW[[#This Row],['#_Non-Functional_hand_washing_stations]]</f>
        <v>0</v>
      </c>
      <c r="DR98" s="597">
        <f>IF(WWWW[[#This Row],['# Functional hand washing stations during reporting period]]*20&gt;WWWW[[#This Row],[Total HH]],WWWW[[#This Row],[Total HH]],WWWW[[#This Row],['# Functional hand washing stations during reporting period]]*20)</f>
        <v>0</v>
      </c>
      <c r="DS98" s="597">
        <f>IF(WWWW[[#This Row],[Is sufficient soap available for TLS? (Yes/No)]]="yes",WWWW[[#This Row],['#_Constructed/Existing hand washing stations at TLS]],0)</f>
        <v>0</v>
      </c>
      <c r="DT98" s="479">
        <f>IF(WWWW[[#This Row],['# Functional hand washing stations during reporting period]]*100&gt;WWWW[[#This Row],[Total PoP ]],WWWW[[#This Row],[Total PoP ]],WWWW[[#This Row],['# Functional hand washing stations during reporting period]]*100)</f>
        <v>0</v>
      </c>
      <c r="DU98" s="479" t="str">
        <f>IF(OR(WWWW[[#This Row],['#_students at TLS_CFS]]="",WWWW[[#This Row],['#_students at TLS_CFS]]=0),"No","Yes")</f>
        <v>No</v>
      </c>
      <c r="DV9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8" s="593" t="str">
        <f>VLOOKUP(WWWW[[#This Row],[Site Name]],SiteDB6[[Site Name]:[CCCM Management]],6,FALSE)</f>
        <v>Yes</v>
      </c>
      <c r="DZ98" s="593" t="str">
        <f>VLOOKUP(WWWW[[#This Row],[Site Name]],SiteDB6[[Site Name]:[CCCM Focal Agency]],7,FALSE)</f>
        <v>KMSS-BMO</v>
      </c>
      <c r="EA98" s="593" t="str">
        <f>VLOOKUP(WWWW[[#This Row],[Site Name]],SiteDB6[[Site Name]:[Location Type 1]],9,FALSE)</f>
        <v>Camp</v>
      </c>
      <c r="EB98" s="593" t="str">
        <f>VLOOKUP(WWWW[[#This Row],[Site Name]],SiteDB6[[Site Name]:[Type of Accommodation]],10,FALSE)</f>
        <v>Camp</v>
      </c>
      <c r="EC98" s="593" t="str">
        <f>VLOOKUP(WWWW[[#This Row],[Site Name]],SiteDB6[[Site Name]:[Ethnic or GCA/NGCA]],11,FALSE)</f>
        <v>GCA</v>
      </c>
      <c r="ED98" s="593">
        <f>VLOOKUP(WWWW[[#This Row],[Site Name]],SiteDB6[[Site Name]:[Lat]],12,FALSE)</f>
        <v>23.835319999999999</v>
      </c>
      <c r="EE98" s="593">
        <f>VLOOKUP(WWWW[[#This Row],[Site Name]],SiteDB6[[Site Name]:[Long]],13,FALSE)</f>
        <v>97.578490000000002</v>
      </c>
      <c r="EF98" s="593" t="str">
        <f>VLOOKUP(WWWW[[#This Row],[Site Name]],SiteDB6[[Site Name]:[Pcode]],3,FALSE)</f>
        <v>MMR001CMP132</v>
      </c>
      <c r="EG98" s="598" t="str">
        <f t="shared" si="1"/>
        <v>Covered</v>
      </c>
      <c r="EH98" s="598" t="str">
        <f>VLOOKUP(WWWW[[#This Row],[Site Name]],SiteDB6[[Site Name]:[open in cccm?]],2,FALSE)</f>
        <v>cccm_2019OCT</v>
      </c>
    </row>
    <row r="99" spans="1:138" hidden="1">
      <c r="A99" s="591" t="s">
        <v>3261</v>
      </c>
      <c r="B99" s="591" t="s">
        <v>195</v>
      </c>
      <c r="C99" s="592" t="s">
        <v>195</v>
      </c>
      <c r="D99" s="404" t="s">
        <v>3291</v>
      </c>
      <c r="E99" s="592" t="s">
        <v>39</v>
      </c>
      <c r="F99" s="592" t="s">
        <v>40</v>
      </c>
      <c r="G99" s="721" t="str">
        <f>VLOOKUP(WWWW[[#This Row],[Site Name]],SiteDB6[[Site Name]:[Location Type]],8,FALSE)</f>
        <v>Camp</v>
      </c>
      <c r="H99" s="592" t="s">
        <v>305</v>
      </c>
      <c r="I99" s="594">
        <v>144</v>
      </c>
      <c r="J99" s="594">
        <v>631</v>
      </c>
      <c r="K99" s="595" t="s">
        <v>3289</v>
      </c>
      <c r="L99" s="596" t="s">
        <v>3290</v>
      </c>
      <c r="M99" s="594"/>
      <c r="N99" s="594"/>
      <c r="O99" s="594"/>
      <c r="P99" s="594"/>
      <c r="Q99" s="597"/>
      <c r="R99" s="594"/>
      <c r="S99" s="594">
        <v>3</v>
      </c>
      <c r="T99" s="523"/>
      <c r="U99" s="594"/>
      <c r="V99" s="594"/>
      <c r="W99" s="594"/>
      <c r="X99" s="594"/>
      <c r="Y99" s="594"/>
      <c r="Z99" s="594"/>
      <c r="AA99" s="594"/>
      <c r="AB99" s="594"/>
      <c r="AC99" s="594"/>
      <c r="AD99" s="594"/>
      <c r="AE99" s="594"/>
      <c r="AF99" s="594"/>
      <c r="AG99" s="594"/>
      <c r="AH99" s="594"/>
      <c r="AI99" s="594"/>
      <c r="AJ99" s="594"/>
      <c r="AK99" s="594"/>
      <c r="AL99" s="594"/>
      <c r="AM99" s="594"/>
      <c r="AN99" s="594"/>
      <c r="AO99" s="598"/>
      <c r="AP99" s="594"/>
      <c r="AQ99" s="594"/>
      <c r="AR99" s="599"/>
      <c r="AS99" s="594"/>
      <c r="AT99" s="594"/>
      <c r="AU99" s="594"/>
      <c r="AV99" s="594"/>
      <c r="AW99" s="594"/>
      <c r="AX99" s="593" t="s">
        <v>143</v>
      </c>
      <c r="AY99" s="598" t="s">
        <v>143</v>
      </c>
      <c r="AZ99" s="594"/>
      <c r="BA99" s="594"/>
      <c r="BB99" s="594"/>
      <c r="BC99" s="594"/>
      <c r="BD99" s="523"/>
      <c r="BE99" s="593"/>
      <c r="BF99" s="594"/>
      <c r="BG99" s="594"/>
      <c r="BH99" s="594"/>
      <c r="BI99" s="594"/>
      <c r="BJ99" s="594"/>
      <c r="BK99" s="594"/>
      <c r="BL99" s="594"/>
      <c r="BM99" s="594"/>
      <c r="BN99" s="594"/>
      <c r="BO99" s="593"/>
      <c r="BP99" s="594"/>
      <c r="BQ99" s="599"/>
      <c r="BR99" s="593"/>
      <c r="BS99" s="472"/>
      <c r="BT99" s="472"/>
      <c r="BU99" s="523"/>
      <c r="BV99" s="472"/>
      <c r="BW99" s="523"/>
      <c r="BX99" s="523"/>
      <c r="BY99" s="523"/>
      <c r="BZ99" s="601" t="str">
        <f>IFERROR(WWWW[[#This Row],['#_Water sources passed]]/WWWW[[#This Row],['#_Water sources tested for fecal coliform ]],"no test")</f>
        <v>no test</v>
      </c>
      <c r="CA99" s="599" t="str">
        <f>IFERROR(WWWW[[#This Row],['#_Household passed]]/WWWW[[#This Row],['#_Household water samples tested for fecal coliform]],"no test")</f>
        <v>no test</v>
      </c>
      <c r="CB99" s="600" t="str">
        <f>IF(AND(WWWW[[#This Row],[% of water sources passed]]="no test",WWWW[[#This Row],[% Household passed]]="no test"),"No Test","Tested")</f>
        <v>No Test</v>
      </c>
      <c r="CC99" s="600">
        <f>WWWW[[#This Row],['#_Constructed/existing protected hand dug well]]-WWWW[[#This Row],['#_Non-functional protected hand dug well]]</f>
        <v>0</v>
      </c>
      <c r="CD99" s="600">
        <f>(WWWW[[#This Row],['#_Constructed/Existing tube wells/boreholes/handpumps_WASH_agency]]+WWWW[[#This Row],['#_Non-Cluster partner water tube-wells/boreholes/handpumps]])-WWWW[[#This Row],['#_Non-functional tube wells/boreholes/handpumps]]</f>
        <v>0</v>
      </c>
      <c r="CE99" s="600">
        <f>WWWW[[#This Row],['#_Constructed/Existingwater storage tank with gravity fed reticulation system]]-WWWW[[#This Row],['#_Non-functional storage tank gravity fed reticulation system]]</f>
        <v>0</v>
      </c>
      <c r="CF99" s="478">
        <f>(WWWW[[#This Row],['#_Water_Liters_supplied_by_Water boating or water trucking]]/90)/15</f>
        <v>0</v>
      </c>
      <c r="CG99" s="478">
        <f>WWWW[[#This Row],['#_Water_Liters_from_Constructed/Existing water distribution system from river or natural spring]]/90/15</f>
        <v>0</v>
      </c>
      <c r="CH99" s="478">
        <f>WWWW[[#This Row],['#_of water points in TLS/CFS /THF]]*500</f>
        <v>0</v>
      </c>
      <c r="CI9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9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99" s="599">
        <f>IF(WWWW[[#This Row],[Location Type 1]]="Village",WWWW[[#This Row],[Access to safe drinking water for Village]],WWWW[[#This Row],[Access to safe drinking water for Camp]])</f>
        <v>0</v>
      </c>
      <c r="CL99" s="597">
        <f>WWWW[[#This Row],[%Equitable and continuous access to sufficient quantity of safe drinking water]]*WWWW[[#This Row],[Total PoP ]]</f>
        <v>0</v>
      </c>
      <c r="CM99" s="599">
        <f>IF((WWWW[[#This Row],['#_Constructed/Existing protected/fenced ponds]]*250)/WWWW[[#This Row],[Total PoP ]]&gt;1,1,(WWWW[[#This Row],['#_Constructed/Existing protected/fenced ponds]]*250)/WWWW[[#This Row],[Total PoP ]])</f>
        <v>0</v>
      </c>
      <c r="CN99" s="597">
        <f>WWWW[[#This Row],[% Access to unimproved water points]]*WWWW[[#This Row],[Total PoP ]]</f>
        <v>0</v>
      </c>
      <c r="CO9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9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99" s="597">
        <f>WWWW[[#This Row],[HRP1]]/500</f>
        <v>0</v>
      </c>
      <c r="CR99" s="602">
        <f>1-WWWW[[#This Row],[% Equitable and continuous access to sufficient quantity of domestic water]]</f>
        <v>1</v>
      </c>
      <c r="CS99" s="597">
        <f>WWWW[[#This Row],[%equitable and continuous access to sufficient quantity of safe drinking and domestic water''s GAP]]*WWWW[[#This Row],[Total PoP ]]</f>
        <v>631</v>
      </c>
      <c r="CT99" s="600">
        <f>IF(WWWW[[#This Row],[Total required water points]]-WWWW[[#This Row],['#Water points coverage]]&lt;0,0,WWWW[[#This Row],[Total required water points]]-WWWW[[#This Row],['#Water points coverage]])</f>
        <v>1</v>
      </c>
      <c r="CU99" s="600">
        <f>ROUND(IF(WWWW[[#This Row],[Total PoP ]]&lt;500,1,WWWW[[#This Row],[Total PoP ]]/500),0)</f>
        <v>1</v>
      </c>
      <c r="CV99" s="600">
        <f>(WWWW[[#This Row],['#_Constructed latrines_by_WASHAgencies]]+WWWW[[#This Row],['#_Non Cluster partner latrines]])-WWWW[[#This Row],['#_Non-functional latrines]]</f>
        <v>0</v>
      </c>
      <c r="CW99" s="70">
        <f>WWWW[[#This Row],[HRP2]]/WWWW[[#This Row],[Total PoP ]]</f>
        <v>0</v>
      </c>
      <c r="CX9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9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9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99" s="600">
        <f>IF(WWWW[[#This Row],['# of functional latrines in THF supported by WASH partners during the reporting period2]]="",0,WWWW[[#This Row],['# of functional latrines in THF supported by WASH partners during the reporting period2]]*50)</f>
        <v>0</v>
      </c>
      <c r="DB99" s="600">
        <f>WWWW[[#This Row],['# students access to functioning school latrines_HRP5]]+WWWW[[#This Row],['# People access to functioning latrines in THF_HRP5]]</f>
        <v>0</v>
      </c>
      <c r="DC99" s="600">
        <f>ROUND(IF(WWWW[[#This Row],[Location Type 1]]="camp",WWWW[[#This Row],[Total PoP ]]/20,IF(WWWW[[#This Row],[Location Type 1]]="Temporary Location",WWWW[[#This Row],[Total PoP ]]/50,WWWW[[#This Row],[Total HH]])),0)</f>
        <v>32</v>
      </c>
      <c r="DD99" s="600">
        <f>IF(WWWW[[#This Row],[Total required Latrines]]-(WWWW[[#This Row],['#_Constructed latrines_by_WASHAgencies]]+WWWW[[#This Row],['#_Non Cluster partner latrines]])&lt;0,0,WWWW[[#This Row],[Total required Latrines]]-(WWWW[[#This Row],['#_Constructed latrines_by_WASHAgencies]]+WWWW[[#This Row],['#_Non Cluster partner latrines]]))</f>
        <v>32</v>
      </c>
      <c r="DE99" s="602">
        <f>1-WWWW[[#This Row],[% people access to functioning Latrine]]</f>
        <v>1</v>
      </c>
      <c r="DF99" s="601">
        <f>IF(OR(WWWW[[#This Row],['#_Non-functional latrines]]="",WWWW[[#This Row],['#_Non-functional latrines]]=0),0,WWWW[[#This Row],['#_Non-functional latrines]]/(WWWW[[#This Row],['#_Constructed latrines_by_WASHAgencies]]+WWWW[[#This Row],['#_Non Cluster partner latrines]]))</f>
        <v>0</v>
      </c>
      <c r="DG99" s="597">
        <f>IF(500*(WWWW[[#This Row],['#_male hygiene promoters]]+WWWW[[#This Row],['#_female hygiene promoters]])&gt;WWWW[[#This Row],[Total PoP ]],WWWW[[#This Row],[Total PoP ]],500*(WWWW[[#This Row],['#_male hygiene promoters]]+WWWW[[#This Row],['#_female hygiene promoters]]))</f>
        <v>0</v>
      </c>
      <c r="DH9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9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99" s="600">
        <f>IF(WWWW[[#This Row],['# People with access to soap]]&gt;WWWW[[#This Row],['# People with access to Sanity Pads]],WWWW[[#This Row],['# People with access to soap]],WWWW[[#This Row],['# People with access to Sanity Pads]])</f>
        <v>0</v>
      </c>
      <c r="DK9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99" s="602">
        <f>IF(WWWW[[#This Row],[HRP3]]/WWWW[[#This Row],[Total PoP ]]&gt;1,1,WWWW[[#This Row],[HRP3]]/WWWW[[#This Row],[Total PoP ]])</f>
        <v>0</v>
      </c>
      <c r="DM99" s="601">
        <f>1-WWWW[[#This Row],[Hygiene Coverage%]]</f>
        <v>1</v>
      </c>
      <c r="DN99" s="599">
        <f>WWWW[[#This Row],['# people reached by regular dedicated hygiene promotion_5]]/WWWW[[#This Row],[Total PoP ]]</f>
        <v>0</v>
      </c>
      <c r="DO9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9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99" s="600">
        <f>WWWW[[#This Row],['#_Constructed/Existing hand washing stations]]-WWWW[[#This Row],['#_Non-Functional_hand_washing_stations]]</f>
        <v>0</v>
      </c>
      <c r="DR99" s="597">
        <f>IF(WWWW[[#This Row],['# Functional hand washing stations during reporting period]]*20&gt;WWWW[[#This Row],[Total HH]],WWWW[[#This Row],[Total HH]],WWWW[[#This Row],['# Functional hand washing stations during reporting period]]*20)</f>
        <v>0</v>
      </c>
      <c r="DS99" s="597">
        <f>IF(WWWW[[#This Row],[Is sufficient soap available for TLS? (Yes/No)]]="yes",WWWW[[#This Row],['#_Constructed/Existing hand washing stations at TLS]],0)</f>
        <v>0</v>
      </c>
      <c r="DT99" s="479">
        <f>IF(WWWW[[#This Row],['# Functional hand washing stations during reporting period]]*100&gt;WWWW[[#This Row],[Total PoP ]],WWWW[[#This Row],[Total PoP ]],WWWW[[#This Row],['# Functional hand washing stations during reporting period]]*100)</f>
        <v>0</v>
      </c>
      <c r="DU99" s="479" t="str">
        <f>IF(OR(WWWW[[#This Row],['#_students at TLS_CFS]]="",WWWW[[#This Row],['#_students at TLS_CFS]]=0),"No","Yes")</f>
        <v>No</v>
      </c>
      <c r="DV9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99" s="593" t="str">
        <f>VLOOKUP(WWWW[[#This Row],[Site Name]],SiteDB6[[Site Name]:[CCCM Management]],6,FALSE)</f>
        <v>Yes</v>
      </c>
      <c r="DZ99" s="593" t="str">
        <f>VLOOKUP(WWWW[[#This Row],[Site Name]],SiteDB6[[Site Name]:[CCCM Focal Agency]],7,FALSE)</f>
        <v>KMSS-BMO</v>
      </c>
      <c r="EA99" s="593" t="str">
        <f>VLOOKUP(WWWW[[#This Row],[Site Name]],SiteDB6[[Site Name]:[Location Type 1]],9,FALSE)</f>
        <v>Camp</v>
      </c>
      <c r="EB99" s="593" t="str">
        <f>VLOOKUP(WWWW[[#This Row],[Site Name]],SiteDB6[[Site Name]:[Type of Accommodation]],10,FALSE)</f>
        <v>Camp</v>
      </c>
      <c r="EC99" s="593" t="str">
        <f>VLOOKUP(WWWW[[#This Row],[Site Name]],SiteDB6[[Site Name]:[Ethnic or GCA/NGCA]],11,FALSE)</f>
        <v>GCA</v>
      </c>
      <c r="ED99" s="593">
        <f>VLOOKUP(WWWW[[#This Row],[Site Name]],SiteDB6[[Site Name]:[Lat]],12,FALSE)</f>
        <v>23.833477999999999</v>
      </c>
      <c r="EE99" s="593">
        <f>VLOOKUP(WWWW[[#This Row],[Site Name]],SiteDB6[[Site Name]:[Long]],13,FALSE)</f>
        <v>97.578367</v>
      </c>
      <c r="EF99" s="593" t="str">
        <f>VLOOKUP(WWWW[[#This Row],[Site Name]],SiteDB6[[Site Name]:[Pcode]],3,FALSE)</f>
        <v>MMR001CMP228</v>
      </c>
      <c r="EG99" s="598" t="str">
        <f t="shared" si="1"/>
        <v>Covered</v>
      </c>
      <c r="EH99" s="598" t="str">
        <f>VLOOKUP(WWWW[[#This Row],[Site Name]],SiteDB6[[Site Name]:[open in cccm?]],2,FALSE)</f>
        <v>cccm_2019OCT</v>
      </c>
    </row>
    <row r="100" spans="1:138" hidden="1">
      <c r="A100" s="591" t="s">
        <v>3261</v>
      </c>
      <c r="B100" s="591" t="s">
        <v>195</v>
      </c>
      <c r="C100" s="592" t="s">
        <v>195</v>
      </c>
      <c r="D100" s="404" t="s">
        <v>3291</v>
      </c>
      <c r="E100" s="592" t="s">
        <v>39</v>
      </c>
      <c r="F100" s="592" t="s">
        <v>40</v>
      </c>
      <c r="G100" s="721" t="str">
        <f>VLOOKUP(WWWW[[#This Row],[Site Name]],SiteDB6[[Site Name]:[Location Type]],8,FALSE)</f>
        <v>Camp</v>
      </c>
      <c r="H100" s="592" t="s">
        <v>986</v>
      </c>
      <c r="I100" s="594">
        <v>204</v>
      </c>
      <c r="J100" s="594">
        <v>1105</v>
      </c>
      <c r="K100" s="595" t="s">
        <v>3289</v>
      </c>
      <c r="L100" s="596" t="s">
        <v>3290</v>
      </c>
      <c r="M100" s="594"/>
      <c r="N100" s="594"/>
      <c r="O100" s="594"/>
      <c r="P100" s="594"/>
      <c r="Q100" s="597"/>
      <c r="R100" s="594"/>
      <c r="S100" s="594"/>
      <c r="T100" s="523"/>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8"/>
      <c r="AP100" s="594"/>
      <c r="AQ100" s="594"/>
      <c r="AR100" s="599"/>
      <c r="AS100" s="594"/>
      <c r="AT100" s="594"/>
      <c r="AU100" s="594"/>
      <c r="AV100" s="594"/>
      <c r="AW100" s="594"/>
      <c r="AX100" s="593" t="s">
        <v>143</v>
      </c>
      <c r="AY100" s="598" t="s">
        <v>143</v>
      </c>
      <c r="AZ100" s="594"/>
      <c r="BA100" s="594"/>
      <c r="BB100" s="594"/>
      <c r="BC100" s="594"/>
      <c r="BD100" s="523"/>
      <c r="BE100" s="593"/>
      <c r="BF100" s="594"/>
      <c r="BG100" s="594"/>
      <c r="BH100" s="594"/>
      <c r="BI100" s="594"/>
      <c r="BJ100" s="594"/>
      <c r="BK100" s="594"/>
      <c r="BL100" s="594"/>
      <c r="BM100" s="594"/>
      <c r="BN100" s="594"/>
      <c r="BO100" s="593"/>
      <c r="BP100" s="594"/>
      <c r="BQ100" s="599"/>
      <c r="BR100" s="593"/>
      <c r="BS100" s="472"/>
      <c r="BT100" s="472"/>
      <c r="BU100" s="523"/>
      <c r="BV100" s="472"/>
      <c r="BW100" s="523"/>
      <c r="BX100" s="523"/>
      <c r="BY100" s="523"/>
      <c r="BZ100" s="601" t="str">
        <f>IFERROR(WWWW[[#This Row],['#_Water sources passed]]/WWWW[[#This Row],['#_Water sources tested for fecal coliform ]],"no test")</f>
        <v>no test</v>
      </c>
      <c r="CA100" s="599" t="str">
        <f>IFERROR(WWWW[[#This Row],['#_Household passed]]/WWWW[[#This Row],['#_Household water samples tested for fecal coliform]],"no test")</f>
        <v>no test</v>
      </c>
      <c r="CB100" s="600" t="str">
        <f>IF(AND(WWWW[[#This Row],[% of water sources passed]]="no test",WWWW[[#This Row],[% Household passed]]="no test"),"No Test","Tested")</f>
        <v>No Test</v>
      </c>
      <c r="CC100" s="600">
        <f>WWWW[[#This Row],['#_Constructed/existing protected hand dug well]]-WWWW[[#This Row],['#_Non-functional protected hand dug well]]</f>
        <v>0</v>
      </c>
      <c r="CD100" s="600">
        <f>(WWWW[[#This Row],['#_Constructed/Existing tube wells/boreholes/handpumps_WASH_agency]]+WWWW[[#This Row],['#_Non-Cluster partner water tube-wells/boreholes/handpumps]])-WWWW[[#This Row],['#_Non-functional tube wells/boreholes/handpumps]]</f>
        <v>0</v>
      </c>
      <c r="CE100" s="600">
        <f>WWWW[[#This Row],['#_Constructed/Existingwater storage tank with gravity fed reticulation system]]-WWWW[[#This Row],['#_Non-functional storage tank gravity fed reticulation system]]</f>
        <v>0</v>
      </c>
      <c r="CF100" s="478">
        <f>(WWWW[[#This Row],['#_Water_Liters_supplied_by_Water boating or water trucking]]/90)/15</f>
        <v>0</v>
      </c>
      <c r="CG100" s="478">
        <f>WWWW[[#This Row],['#_Water_Liters_from_Constructed/Existing water distribution system from river or natural spring]]/90/15</f>
        <v>0</v>
      </c>
      <c r="CH100" s="478">
        <f>WWWW[[#This Row],['#_of water points in TLS/CFS /THF]]*500</f>
        <v>0</v>
      </c>
      <c r="CI10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0" s="599">
        <f>IF(WWWW[[#This Row],[Location Type 1]]="Village",WWWW[[#This Row],[Access to safe drinking water for Village]],WWWW[[#This Row],[Access to safe drinking water for Camp]])</f>
        <v>0</v>
      </c>
      <c r="CL100" s="597">
        <f>WWWW[[#This Row],[%Equitable and continuous access to sufficient quantity of safe drinking water]]*WWWW[[#This Row],[Total PoP ]]</f>
        <v>0</v>
      </c>
      <c r="CM100" s="599">
        <f>IF((WWWW[[#This Row],['#_Constructed/Existing protected/fenced ponds]]*250)/WWWW[[#This Row],[Total PoP ]]&gt;1,1,(WWWW[[#This Row],['#_Constructed/Existing protected/fenced ponds]]*250)/WWWW[[#This Row],[Total PoP ]])</f>
        <v>0</v>
      </c>
      <c r="CN100" s="597">
        <f>WWWW[[#This Row],[% Access to unimproved water points]]*WWWW[[#This Row],[Total PoP ]]</f>
        <v>0</v>
      </c>
      <c r="CO10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0" s="597">
        <f>WWWW[[#This Row],[HRP1]]/500</f>
        <v>0</v>
      </c>
      <c r="CR100" s="602">
        <f>1-WWWW[[#This Row],[% Equitable and continuous access to sufficient quantity of domestic water]]</f>
        <v>1</v>
      </c>
      <c r="CS100" s="597">
        <f>WWWW[[#This Row],[%equitable and continuous access to sufficient quantity of safe drinking and domestic water''s GAP]]*WWWW[[#This Row],[Total PoP ]]</f>
        <v>1105</v>
      </c>
      <c r="CT100" s="600">
        <f>IF(WWWW[[#This Row],[Total required water points]]-WWWW[[#This Row],['#Water points coverage]]&lt;0,0,WWWW[[#This Row],[Total required water points]]-WWWW[[#This Row],['#Water points coverage]])</f>
        <v>2</v>
      </c>
      <c r="CU100" s="600">
        <f>ROUND(IF(WWWW[[#This Row],[Total PoP ]]&lt;500,1,WWWW[[#This Row],[Total PoP ]]/500),0)</f>
        <v>2</v>
      </c>
      <c r="CV100" s="600">
        <f>(WWWW[[#This Row],['#_Constructed latrines_by_WASHAgencies]]+WWWW[[#This Row],['#_Non Cluster partner latrines]])-WWWW[[#This Row],['#_Non-functional latrines]]</f>
        <v>0</v>
      </c>
      <c r="CW100" s="70">
        <f>WWWW[[#This Row],[HRP2]]/WWWW[[#This Row],[Total PoP ]]</f>
        <v>0</v>
      </c>
      <c r="CX10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0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0" s="600">
        <f>IF(WWWW[[#This Row],['# of functional latrines in THF supported by WASH partners during the reporting period2]]="",0,WWWW[[#This Row],['# of functional latrines in THF supported by WASH partners during the reporting period2]]*50)</f>
        <v>0</v>
      </c>
      <c r="DB100" s="600">
        <f>WWWW[[#This Row],['# students access to functioning school latrines_HRP5]]+WWWW[[#This Row],['# People access to functioning latrines in THF_HRP5]]</f>
        <v>0</v>
      </c>
      <c r="DC100" s="600">
        <f>ROUND(IF(WWWW[[#This Row],[Location Type 1]]="camp",WWWW[[#This Row],[Total PoP ]]/20,IF(WWWW[[#This Row],[Location Type 1]]="Temporary Location",WWWW[[#This Row],[Total PoP ]]/50,WWWW[[#This Row],[Total HH]])),0)</f>
        <v>55</v>
      </c>
      <c r="DD100" s="600">
        <f>IF(WWWW[[#This Row],[Total required Latrines]]-(WWWW[[#This Row],['#_Constructed latrines_by_WASHAgencies]]+WWWW[[#This Row],['#_Non Cluster partner latrines]])&lt;0,0,WWWW[[#This Row],[Total required Latrines]]-(WWWW[[#This Row],['#_Constructed latrines_by_WASHAgencies]]+WWWW[[#This Row],['#_Non Cluster partner latrines]]))</f>
        <v>55</v>
      </c>
      <c r="DE100" s="602">
        <f>1-WWWW[[#This Row],[% people access to functioning Latrine]]</f>
        <v>1</v>
      </c>
      <c r="DF100" s="601">
        <f>IF(OR(WWWW[[#This Row],['#_Non-functional latrines]]="",WWWW[[#This Row],['#_Non-functional latrines]]=0),0,WWWW[[#This Row],['#_Non-functional latrines]]/(WWWW[[#This Row],['#_Constructed latrines_by_WASHAgencies]]+WWWW[[#This Row],['#_Non Cluster partner latrines]]))</f>
        <v>0</v>
      </c>
      <c r="DG100" s="597">
        <f>IF(500*(WWWW[[#This Row],['#_male hygiene promoters]]+WWWW[[#This Row],['#_female hygiene promoters]])&gt;WWWW[[#This Row],[Total PoP ]],WWWW[[#This Row],[Total PoP ]],500*(WWWW[[#This Row],['#_male hygiene promoters]]+WWWW[[#This Row],['#_female hygiene promoters]]))</f>
        <v>0</v>
      </c>
      <c r="DH10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0" s="600">
        <f>IF(WWWW[[#This Row],['# People with access to soap]]&gt;WWWW[[#This Row],['# People with access to Sanity Pads]],WWWW[[#This Row],['# People with access to soap]],WWWW[[#This Row],['# People with access to Sanity Pads]])</f>
        <v>0</v>
      </c>
      <c r="DK10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0" s="602">
        <f>IF(WWWW[[#This Row],[HRP3]]/WWWW[[#This Row],[Total PoP ]]&gt;1,1,WWWW[[#This Row],[HRP3]]/WWWW[[#This Row],[Total PoP ]])</f>
        <v>0</v>
      </c>
      <c r="DM100" s="601">
        <f>1-WWWW[[#This Row],[Hygiene Coverage%]]</f>
        <v>1</v>
      </c>
      <c r="DN100" s="599">
        <f>WWWW[[#This Row],['# people reached by regular dedicated hygiene promotion_5]]/WWWW[[#This Row],[Total PoP ]]</f>
        <v>0</v>
      </c>
      <c r="DO10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0" s="600">
        <f>WWWW[[#This Row],['#_Constructed/Existing hand washing stations]]-WWWW[[#This Row],['#_Non-Functional_hand_washing_stations]]</f>
        <v>0</v>
      </c>
      <c r="DR100" s="597">
        <f>IF(WWWW[[#This Row],['# Functional hand washing stations during reporting period]]*20&gt;WWWW[[#This Row],[Total HH]],WWWW[[#This Row],[Total HH]],WWWW[[#This Row],['# Functional hand washing stations during reporting period]]*20)</f>
        <v>0</v>
      </c>
      <c r="DS100" s="597">
        <f>IF(WWWW[[#This Row],[Is sufficient soap available for TLS? (Yes/No)]]="yes",WWWW[[#This Row],['#_Constructed/Existing hand washing stations at TLS]],0)</f>
        <v>0</v>
      </c>
      <c r="DT100" s="479">
        <f>IF(WWWW[[#This Row],['# Functional hand washing stations during reporting period]]*100&gt;WWWW[[#This Row],[Total PoP ]],WWWW[[#This Row],[Total PoP ]],WWWW[[#This Row],['# Functional hand washing stations during reporting period]]*100)</f>
        <v>0</v>
      </c>
      <c r="DU100" s="479" t="str">
        <f>IF(OR(WWWW[[#This Row],['#_students at TLS_CFS]]="",WWWW[[#This Row],['#_students at TLS_CFS]]=0),"No","Yes")</f>
        <v>No</v>
      </c>
      <c r="DV10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0" s="593">
        <f>VLOOKUP(WWWW[[#This Row],[Site Name]],SiteDB6[[Site Name]:[CCCM Management]],6,FALSE)</f>
        <v>0</v>
      </c>
      <c r="DZ100" s="593" t="str">
        <f>VLOOKUP(WWWW[[#This Row],[Site Name]],SiteDB6[[Site Name]:[CCCM Focal Agency]],7,FALSE)</f>
        <v>uncovered</v>
      </c>
      <c r="EA100" s="593" t="str">
        <f>VLOOKUP(WWWW[[#This Row],[Site Name]],SiteDB6[[Site Name]:[Location Type 1]],9,FALSE)</f>
        <v>Camp</v>
      </c>
      <c r="EB100" s="593" t="str">
        <f>VLOOKUP(WWWW[[#This Row],[Site Name]],SiteDB6[[Site Name]:[Type of Accommodation]],10,FALSE)</f>
        <v>Host Families</v>
      </c>
      <c r="EC100" s="593" t="str">
        <f>VLOOKUP(WWWW[[#This Row],[Site Name]],SiteDB6[[Site Name]:[Ethnic or GCA/NGCA]],11,FALSE)</f>
        <v>GCA</v>
      </c>
      <c r="ED100" s="593">
        <f>VLOOKUP(WWWW[[#This Row],[Site Name]],SiteDB6[[Site Name]:[Lat]],12,FALSE)</f>
        <v>23.827870999999998</v>
      </c>
      <c r="EE100" s="593">
        <f>VLOOKUP(WWWW[[#This Row],[Site Name]],SiteDB6[[Site Name]:[Long]],13,FALSE)</f>
        <v>97.588291999999996</v>
      </c>
      <c r="EF100" s="593" t="str">
        <f>VLOOKUP(WWWW[[#This Row],[Site Name]],SiteDB6[[Site Name]:[Pcode]],3,FALSE)</f>
        <v>MMR001CMP134</v>
      </c>
      <c r="EG100" s="598" t="str">
        <f t="shared" si="1"/>
        <v>Covered</v>
      </c>
      <c r="EH100" s="598" t="str">
        <f>VLOOKUP(WWWW[[#This Row],[Site Name]],SiteDB6[[Site Name]:[open in cccm?]],2,FALSE)</f>
        <v>cccm_2019OCT</v>
      </c>
    </row>
    <row r="101" spans="1:138" hidden="1">
      <c r="A101" s="591" t="s">
        <v>3261</v>
      </c>
      <c r="B101" s="591" t="s">
        <v>195</v>
      </c>
      <c r="C101" s="592" t="s">
        <v>195</v>
      </c>
      <c r="D101" s="592" t="s">
        <v>3037</v>
      </c>
      <c r="E101" s="592" t="s">
        <v>39</v>
      </c>
      <c r="F101" s="592" t="s">
        <v>208</v>
      </c>
      <c r="G101" s="721" t="str">
        <f>VLOOKUP(WWWW[[#This Row],[Site Name]],SiteDB6[[Site Name]:[Location Type]],8,FALSE)</f>
        <v>Camp</v>
      </c>
      <c r="H101" s="592" t="s">
        <v>214</v>
      </c>
      <c r="I101" s="594">
        <v>5</v>
      </c>
      <c r="J101" s="594">
        <v>19</v>
      </c>
      <c r="K101" s="595">
        <v>43466</v>
      </c>
      <c r="L101" s="596">
        <v>43830</v>
      </c>
      <c r="M101" s="594"/>
      <c r="N101" s="594"/>
      <c r="O101" s="594"/>
      <c r="P101" s="594"/>
      <c r="Q101" s="597" t="s">
        <v>139</v>
      </c>
      <c r="R101" s="594"/>
      <c r="S101" s="594">
        <v>4</v>
      </c>
      <c r="T101" s="523"/>
      <c r="U101" s="594"/>
      <c r="V101" s="594"/>
      <c r="W101" s="594"/>
      <c r="X101" s="594">
        <v>1</v>
      </c>
      <c r="Y101" s="594"/>
      <c r="Z101" s="594"/>
      <c r="AA101" s="594"/>
      <c r="AB101" s="594"/>
      <c r="AC101" s="594"/>
      <c r="AD101" s="594"/>
      <c r="AE101" s="594"/>
      <c r="AF101" s="594"/>
      <c r="AG101" s="594"/>
      <c r="AH101" s="594"/>
      <c r="AI101" s="594"/>
      <c r="AJ101" s="594"/>
      <c r="AK101" s="594"/>
      <c r="AL101" s="594"/>
      <c r="AM101" s="594"/>
      <c r="AN101" s="594"/>
      <c r="AO101" s="598"/>
      <c r="AP101" s="594">
        <v>1</v>
      </c>
      <c r="AQ101" s="594"/>
      <c r="AR101" s="599"/>
      <c r="AS101" s="594"/>
      <c r="AT101" s="594"/>
      <c r="AU101" s="594"/>
      <c r="AV101" s="594"/>
      <c r="AW101" s="594"/>
      <c r="AX101" s="593" t="s">
        <v>43</v>
      </c>
      <c r="AY101" s="598" t="s">
        <v>140</v>
      </c>
      <c r="AZ101" s="594"/>
      <c r="BA101" s="594"/>
      <c r="BB101" s="594"/>
      <c r="BC101" s="594"/>
      <c r="BD101" s="523"/>
      <c r="BE101" s="593"/>
      <c r="BF101" s="594">
        <v>0</v>
      </c>
      <c r="BG101" s="594"/>
      <c r="BH101" s="594"/>
      <c r="BI101" s="594">
        <v>1</v>
      </c>
      <c r="BJ101" s="594"/>
      <c r="BK101" s="594"/>
      <c r="BL101" s="594"/>
      <c r="BM101" s="594"/>
      <c r="BN101" s="594"/>
      <c r="BO101" s="593"/>
      <c r="BP101" s="594"/>
      <c r="BQ101" s="599"/>
      <c r="BR101" s="593"/>
      <c r="BS101" s="472"/>
      <c r="BT101" s="472"/>
      <c r="BU101" s="523"/>
      <c r="BV101" s="472"/>
      <c r="BW101" s="523"/>
      <c r="BX101" s="523"/>
      <c r="BY101" s="523"/>
      <c r="BZ101" s="601" t="str">
        <f>IFERROR(WWWW[[#This Row],['#_Water sources passed]]/WWWW[[#This Row],['#_Water sources tested for fecal coliform ]],"no test")</f>
        <v>no test</v>
      </c>
      <c r="CA101" s="599" t="str">
        <f>IFERROR(WWWW[[#This Row],['#_Household passed]]/WWWW[[#This Row],['#_Household water samples tested for fecal coliform]],"no test")</f>
        <v>no test</v>
      </c>
      <c r="CB101" s="600" t="str">
        <f>IF(AND(WWWW[[#This Row],[% of water sources passed]]="no test",WWWW[[#This Row],[% Household passed]]="no test"),"No Test","Tested")</f>
        <v>No Test</v>
      </c>
      <c r="CC101" s="600">
        <f>WWWW[[#This Row],['#_Constructed/existing protected hand dug well]]-WWWW[[#This Row],['#_Non-functional protected hand dug well]]</f>
        <v>0</v>
      </c>
      <c r="CD101" s="600">
        <f>(WWWW[[#This Row],['#_Constructed/Existing tube wells/boreholes/handpumps_WASH_agency]]+WWWW[[#This Row],['#_Non-Cluster partner water tube-wells/boreholes/handpumps]])-WWWW[[#This Row],['#_Non-functional tube wells/boreholes/handpumps]]</f>
        <v>1</v>
      </c>
      <c r="CE101" s="600">
        <f>WWWW[[#This Row],['#_Constructed/Existingwater storage tank with gravity fed reticulation system]]-WWWW[[#This Row],['#_Non-functional storage tank gravity fed reticulation system]]</f>
        <v>0</v>
      </c>
      <c r="CF101" s="478">
        <f>(WWWW[[#This Row],['#_Water_Liters_supplied_by_Water boating or water trucking]]/90)/15</f>
        <v>0</v>
      </c>
      <c r="CG101" s="478">
        <f>WWWW[[#This Row],['#_Water_Liters_from_Constructed/Existing water distribution system from river or natural spring]]/90/15</f>
        <v>0</v>
      </c>
      <c r="CH101" s="478">
        <f>WWWW[[#This Row],['#_of water points in TLS/CFS /THF]]*500</f>
        <v>0</v>
      </c>
      <c r="CI10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1" s="599">
        <f>IF(WWWW[[#This Row],[Location Type 1]]="Village",WWWW[[#This Row],[Access to safe drinking water for Village]],WWWW[[#This Row],[Access to safe drinking water for Camp]])</f>
        <v>1</v>
      </c>
      <c r="CL101" s="597">
        <f>WWWW[[#This Row],[%Equitable and continuous access to sufficient quantity of safe drinking water]]*WWWW[[#This Row],[Total PoP ]]</f>
        <v>19</v>
      </c>
      <c r="CM101" s="599">
        <f>IF((WWWW[[#This Row],['#_Constructed/Existing protected/fenced ponds]]*250)/WWWW[[#This Row],[Total PoP ]]&gt;1,1,(WWWW[[#This Row],['#_Constructed/Existing protected/fenced ponds]]*250)/WWWW[[#This Row],[Total PoP ]])</f>
        <v>0</v>
      </c>
      <c r="CN101" s="597">
        <f>WWWW[[#This Row],[% Access to unimproved water points]]*WWWW[[#This Row],[Total PoP ]]</f>
        <v>0</v>
      </c>
      <c r="CO10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v>
      </c>
      <c r="CQ101" s="597">
        <f>WWWW[[#This Row],[HRP1]]/500</f>
        <v>3.7999999999999999E-2</v>
      </c>
      <c r="CR101" s="602">
        <f>1-WWWW[[#This Row],[% Equitable and continuous access to sufficient quantity of domestic water]]</f>
        <v>0</v>
      </c>
      <c r="CS101" s="597">
        <f>WWWW[[#This Row],[%equitable and continuous access to sufficient quantity of safe drinking and domestic water''s GAP]]*WWWW[[#This Row],[Total PoP ]]</f>
        <v>0</v>
      </c>
      <c r="CT101" s="600">
        <f>IF(WWWW[[#This Row],[Total required water points]]-WWWW[[#This Row],['#Water points coverage]]&lt;0,0,WWWW[[#This Row],[Total required water points]]-WWWW[[#This Row],['#Water points coverage]])</f>
        <v>0.96199999999999997</v>
      </c>
      <c r="CU101" s="600">
        <f>ROUND(IF(WWWW[[#This Row],[Total PoP ]]&lt;500,1,WWWW[[#This Row],[Total PoP ]]/500),0)</f>
        <v>1</v>
      </c>
      <c r="CV101" s="600">
        <f>(WWWW[[#This Row],['#_Constructed latrines_by_WASHAgencies]]+WWWW[[#This Row],['#_Non Cluster partner latrines]])-WWWW[[#This Row],['#_Non-functional latrines]]</f>
        <v>1</v>
      </c>
      <c r="CW101" s="70">
        <f>WWWW[[#This Row],[HRP2]]/WWWW[[#This Row],[Total PoP ]]</f>
        <v>1</v>
      </c>
      <c r="CX10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v>
      </c>
      <c r="CY10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1" s="600">
        <f>IF(WWWW[[#This Row],['# of functional latrines in THF supported by WASH partners during the reporting period2]]="",0,WWWW[[#This Row],['# of functional latrines in THF supported by WASH partners during the reporting period2]]*50)</f>
        <v>0</v>
      </c>
      <c r="DB101" s="600">
        <f>WWWW[[#This Row],['# students access to functioning school latrines_HRP5]]+WWWW[[#This Row],['# People access to functioning latrines in THF_HRP5]]</f>
        <v>0</v>
      </c>
      <c r="DC101" s="600">
        <f>ROUND(IF(WWWW[[#This Row],[Location Type 1]]="camp",WWWW[[#This Row],[Total PoP ]]/20,IF(WWWW[[#This Row],[Location Type 1]]="Temporary Location",WWWW[[#This Row],[Total PoP ]]/50,WWWW[[#This Row],[Total HH]])),0)</f>
        <v>1</v>
      </c>
      <c r="DD101" s="600">
        <f>IF(WWWW[[#This Row],[Total required Latrines]]-(WWWW[[#This Row],['#_Constructed latrines_by_WASHAgencies]]+WWWW[[#This Row],['#_Non Cluster partner latrines]])&lt;0,0,WWWW[[#This Row],[Total required Latrines]]-(WWWW[[#This Row],['#_Constructed latrines_by_WASHAgencies]]+WWWW[[#This Row],['#_Non Cluster partner latrines]]))</f>
        <v>0</v>
      </c>
      <c r="DE101" s="602">
        <f>1-WWWW[[#This Row],[% people access to functioning Latrine]]</f>
        <v>0</v>
      </c>
      <c r="DF101" s="601">
        <f>IF(OR(WWWW[[#This Row],['#_Non-functional latrines]]="",WWWW[[#This Row],['#_Non-functional latrines]]=0),0,WWWW[[#This Row],['#_Non-functional latrines]]/(WWWW[[#This Row],['#_Constructed latrines_by_WASHAgencies]]+WWWW[[#This Row],['#_Non Cluster partner latrines]]))</f>
        <v>0</v>
      </c>
      <c r="DG101" s="597">
        <f>IF(500*(WWWW[[#This Row],['#_male hygiene promoters]]+WWWW[[#This Row],['#_female hygiene promoters]])&gt;WWWW[[#This Row],[Total PoP ]],WWWW[[#This Row],[Total PoP ]],500*(WWWW[[#This Row],['#_male hygiene promoters]]+WWWW[[#This Row],['#_female hygiene promoters]]))</f>
        <v>0</v>
      </c>
      <c r="DH10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1" s="600">
        <f>IF(WWWW[[#This Row],['# People with access to soap]]&gt;WWWW[[#This Row],['# People with access to Sanity Pads]],WWWW[[#This Row],['# People with access to soap]],WWWW[[#This Row],['# People with access to Sanity Pads]])</f>
        <v>0</v>
      </c>
      <c r="DK10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1" s="602">
        <f>IF(WWWW[[#This Row],[HRP3]]/WWWW[[#This Row],[Total PoP ]]&gt;1,1,WWWW[[#This Row],[HRP3]]/WWWW[[#This Row],[Total PoP ]])</f>
        <v>0</v>
      </c>
      <c r="DM101" s="601">
        <f>1-WWWW[[#This Row],[Hygiene Coverage%]]</f>
        <v>1</v>
      </c>
      <c r="DN101" s="599">
        <f>WWWW[[#This Row],['# people reached by regular dedicated hygiene promotion_5]]/WWWW[[#This Row],[Total PoP ]]</f>
        <v>0</v>
      </c>
      <c r="DO10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1" s="600">
        <f>WWWW[[#This Row],['#_Constructed/Existing hand washing stations]]-WWWW[[#This Row],['#_Non-Functional_hand_washing_stations]]</f>
        <v>0</v>
      </c>
      <c r="DR101" s="597">
        <f>IF(WWWW[[#This Row],['# Functional hand washing stations during reporting period]]*20&gt;WWWW[[#This Row],[Total HH]],WWWW[[#This Row],[Total HH]],WWWW[[#This Row],['# Functional hand washing stations during reporting period]]*20)</f>
        <v>0</v>
      </c>
      <c r="DS101" s="597">
        <f>IF(WWWW[[#This Row],[Is sufficient soap available for TLS? (Yes/No)]]="yes",WWWW[[#This Row],['#_Constructed/Existing hand washing stations at TLS]],0)</f>
        <v>0</v>
      </c>
      <c r="DT101" s="479">
        <f>IF(WWWW[[#This Row],['# Functional hand washing stations during reporting period]]*100&gt;WWWW[[#This Row],[Total PoP ]],WWWW[[#This Row],[Total PoP ]],WWWW[[#This Row],['# Functional hand washing stations during reporting period]]*100)</f>
        <v>0</v>
      </c>
      <c r="DU101" s="479" t="str">
        <f>IF(OR(WWWW[[#This Row],['#_students at TLS_CFS]]="",WWWW[[#This Row],['#_students at TLS_CFS]]=0),"No","Yes")</f>
        <v>No</v>
      </c>
      <c r="DV10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1" s="593">
        <f>VLOOKUP(WWWW[[#This Row],[Site Name]],SiteDB6[[Site Name]:[CCCM Management]],6,FALSE)</f>
        <v>0</v>
      </c>
      <c r="DZ101" s="593">
        <f>VLOOKUP(WWWW[[#This Row],[Site Name]],SiteDB6[[Site Name]:[CCCM Focal Agency]],7,FALSE)</f>
        <v>0</v>
      </c>
      <c r="EA101" s="593" t="str">
        <f>VLOOKUP(WWWW[[#This Row],[Site Name]],SiteDB6[[Site Name]:[Location Type 1]],9,FALSE)</f>
        <v>Camp</v>
      </c>
      <c r="EB101" s="593" t="str">
        <f>VLOOKUP(WWWW[[#This Row],[Site Name]],SiteDB6[[Site Name]:[Type of Accommodation]],10,FALSE)</f>
        <v>Camp</v>
      </c>
      <c r="EC101" s="593" t="str">
        <f>VLOOKUP(WWWW[[#This Row],[Site Name]],SiteDB6[[Site Name]:[Ethnic or GCA/NGCA]],11,FALSE)</f>
        <v>GCA</v>
      </c>
      <c r="ED101" s="593">
        <f>VLOOKUP(WWWW[[#This Row],[Site Name]],SiteDB6[[Site Name]:[Lat]],12,FALSE)</f>
        <v>24.251860000000001</v>
      </c>
      <c r="EE101" s="593">
        <f>VLOOKUP(WWWW[[#This Row],[Site Name]],SiteDB6[[Site Name]:[Long]],13,FALSE)</f>
        <v>97.346940000000004</v>
      </c>
      <c r="EF101" s="593" t="str">
        <f>VLOOKUP(WWWW[[#This Row],[Site Name]],SiteDB6[[Site Name]:[Pcode]],3,FALSE)</f>
        <v>MMR001CMP058</v>
      </c>
      <c r="EG101" s="598" t="str">
        <f t="shared" si="1"/>
        <v>Covered</v>
      </c>
      <c r="EH101" s="598" t="str">
        <f>VLOOKUP(WWWW[[#This Row],[Site Name]],SiteDB6[[Site Name]:[open in cccm?]],2,FALSE)</f>
        <v>closed_cccm2018Mar</v>
      </c>
    </row>
    <row r="102" spans="1:138" hidden="1">
      <c r="A102" s="591" t="s">
        <v>3261</v>
      </c>
      <c r="B102" s="591" t="s">
        <v>195</v>
      </c>
      <c r="C102" s="592" t="s">
        <v>195</v>
      </c>
      <c r="D102" s="404" t="s">
        <v>3045</v>
      </c>
      <c r="E102" s="592" t="s">
        <v>711</v>
      </c>
      <c r="F102" s="592" t="s">
        <v>718</v>
      </c>
      <c r="G102" s="721" t="str">
        <f>VLOOKUP(WWWW[[#This Row],[Site Name]],SiteDB6[[Site Name]:[Location Type]],8,FALSE)</f>
        <v>Camp</v>
      </c>
      <c r="H102" s="592" t="s">
        <v>744</v>
      </c>
      <c r="I102" s="594">
        <v>29</v>
      </c>
      <c r="J102" s="594">
        <v>135</v>
      </c>
      <c r="K102" s="595" t="s">
        <v>3289</v>
      </c>
      <c r="L102" s="596" t="s">
        <v>3290</v>
      </c>
      <c r="M102" s="594">
        <v>88</v>
      </c>
      <c r="N102" s="594"/>
      <c r="O102" s="594">
        <v>1</v>
      </c>
      <c r="P102" s="594"/>
      <c r="Q102" s="597" t="s">
        <v>43</v>
      </c>
      <c r="R102" s="594"/>
      <c r="S102" s="594"/>
      <c r="T102" s="523"/>
      <c r="U102" s="594"/>
      <c r="V102" s="594"/>
      <c r="W102" s="594">
        <v>1</v>
      </c>
      <c r="X102" s="594">
        <v>1</v>
      </c>
      <c r="Y102" s="594"/>
      <c r="Z102" s="594"/>
      <c r="AA102" s="594"/>
      <c r="AB102" s="594"/>
      <c r="AC102" s="594"/>
      <c r="AD102" s="594"/>
      <c r="AE102" s="594"/>
      <c r="AF102" s="594"/>
      <c r="AG102" s="594"/>
      <c r="AH102" s="594"/>
      <c r="AI102" s="594"/>
      <c r="AJ102" s="594"/>
      <c r="AK102" s="594"/>
      <c r="AL102" s="594"/>
      <c r="AM102" s="594"/>
      <c r="AN102" s="594"/>
      <c r="AO102" s="598"/>
      <c r="AP102" s="594">
        <v>18</v>
      </c>
      <c r="AQ102" s="594"/>
      <c r="AR102" s="599"/>
      <c r="AS102" s="594"/>
      <c r="AT102" s="594"/>
      <c r="AU102" s="594"/>
      <c r="AV102" s="594"/>
      <c r="AW102" s="594"/>
      <c r="AX102" s="593" t="s">
        <v>43</v>
      </c>
      <c r="AY102" s="598" t="s">
        <v>140</v>
      </c>
      <c r="AZ102" s="594"/>
      <c r="BA102" s="594"/>
      <c r="BB102" s="594"/>
      <c r="BC102" s="594"/>
      <c r="BD102" s="523"/>
      <c r="BE102" s="593"/>
      <c r="BF102" s="594"/>
      <c r="BG102" s="594"/>
      <c r="BH102" s="594"/>
      <c r="BI102" s="594">
        <v>5</v>
      </c>
      <c r="BJ102" s="594"/>
      <c r="BK102" s="594"/>
      <c r="BL102" s="594">
        <v>1</v>
      </c>
      <c r="BM102" s="594"/>
      <c r="BN102" s="594"/>
      <c r="BO102" s="593" t="s">
        <v>139</v>
      </c>
      <c r="BP102" s="594"/>
      <c r="BQ102" s="599"/>
      <c r="BR102" s="593"/>
      <c r="BS102" s="472"/>
      <c r="BT102" s="472"/>
      <c r="BU102" s="523"/>
      <c r="BV102" s="472"/>
      <c r="BW102" s="523"/>
      <c r="BX102" s="523"/>
      <c r="BY102" s="523"/>
      <c r="BZ102" s="601" t="str">
        <f>IFERROR(WWWW[[#This Row],['#_Water sources passed]]/WWWW[[#This Row],['#_Water sources tested for fecal coliform ]],"no test")</f>
        <v>no test</v>
      </c>
      <c r="CA102" s="599" t="str">
        <f>IFERROR(WWWW[[#This Row],['#_Household passed]]/WWWW[[#This Row],['#_Household water samples tested for fecal coliform]],"no test")</f>
        <v>no test</v>
      </c>
      <c r="CB102" s="600" t="str">
        <f>IF(AND(WWWW[[#This Row],[% of water sources passed]]="no test",WWWW[[#This Row],[% Household passed]]="no test"),"No Test","Tested")</f>
        <v>No Test</v>
      </c>
      <c r="CC102" s="600">
        <f>WWWW[[#This Row],['#_Constructed/existing protected hand dug well]]-WWWW[[#This Row],['#_Non-functional protected hand dug well]]</f>
        <v>0</v>
      </c>
      <c r="CD102" s="600">
        <f>(WWWW[[#This Row],['#_Constructed/Existing tube wells/boreholes/handpumps_WASH_agency]]+WWWW[[#This Row],['#_Non-Cluster partner water tube-wells/boreholes/handpumps]])-WWWW[[#This Row],['#_Non-functional tube wells/boreholes/handpumps]]</f>
        <v>2</v>
      </c>
      <c r="CE102" s="600">
        <f>WWWW[[#This Row],['#_Constructed/Existingwater storage tank with gravity fed reticulation system]]-WWWW[[#This Row],['#_Non-functional storage tank gravity fed reticulation system]]</f>
        <v>0</v>
      </c>
      <c r="CF102" s="478">
        <f>(WWWW[[#This Row],['#_Water_Liters_supplied_by_Water boating or water trucking]]/90)/15</f>
        <v>0</v>
      </c>
      <c r="CG102" s="478">
        <f>WWWW[[#This Row],['#_Water_Liters_from_Constructed/Existing water distribution system from river or natural spring]]/90/15</f>
        <v>0</v>
      </c>
      <c r="CH102" s="478">
        <f>WWWW[[#This Row],['#_of water points in TLS/CFS /THF]]*500</f>
        <v>0</v>
      </c>
      <c r="CI10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2" s="599">
        <f>IF(WWWW[[#This Row],[Location Type 1]]="Village",WWWW[[#This Row],[Access to safe drinking water for Village]],WWWW[[#This Row],[Access to safe drinking water for Camp]])</f>
        <v>1</v>
      </c>
      <c r="CL102" s="597">
        <f>WWWW[[#This Row],[%Equitable and continuous access to sufficient quantity of safe drinking water]]*WWWW[[#This Row],[Total PoP ]]</f>
        <v>135</v>
      </c>
      <c r="CM102" s="599">
        <f>IF((WWWW[[#This Row],['#_Constructed/Existing protected/fenced ponds]]*250)/WWWW[[#This Row],[Total PoP ]]&gt;1,1,(WWWW[[#This Row],['#_Constructed/Existing protected/fenced ponds]]*250)/WWWW[[#This Row],[Total PoP ]])</f>
        <v>0</v>
      </c>
      <c r="CN102" s="597">
        <f>WWWW[[#This Row],[% Access to unimproved water points]]*WWWW[[#This Row],[Total PoP ]]</f>
        <v>0</v>
      </c>
      <c r="CO10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CQ102" s="597">
        <f>WWWW[[#This Row],[HRP1]]/500</f>
        <v>0.27</v>
      </c>
      <c r="CR102" s="602">
        <f>1-WWWW[[#This Row],[% Equitable and continuous access to sufficient quantity of domestic water]]</f>
        <v>0</v>
      </c>
      <c r="CS102" s="597">
        <f>WWWW[[#This Row],[%equitable and continuous access to sufficient quantity of safe drinking and domestic water''s GAP]]*WWWW[[#This Row],[Total PoP ]]</f>
        <v>0</v>
      </c>
      <c r="CT102" s="600">
        <f>IF(WWWW[[#This Row],[Total required water points]]-WWWW[[#This Row],['#Water points coverage]]&lt;0,0,WWWW[[#This Row],[Total required water points]]-WWWW[[#This Row],['#Water points coverage]])</f>
        <v>0.73</v>
      </c>
      <c r="CU102" s="600">
        <f>ROUND(IF(WWWW[[#This Row],[Total PoP ]]&lt;500,1,WWWW[[#This Row],[Total PoP ]]/500),0)</f>
        <v>1</v>
      </c>
      <c r="CV102" s="600">
        <f>(WWWW[[#This Row],['#_Constructed latrines_by_WASHAgencies]]+WWWW[[#This Row],['#_Non Cluster partner latrines]])-WWWW[[#This Row],['#_Non-functional latrines]]</f>
        <v>18</v>
      </c>
      <c r="CW102" s="70">
        <f>WWWW[[#This Row],[HRP2]]/WWWW[[#This Row],[Total PoP ]]</f>
        <v>1</v>
      </c>
      <c r="CX10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135</v>
      </c>
      <c r="CY10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2" s="600">
        <f>IF(WWWW[[#This Row],['# of functional latrines in THF supported by WASH partners during the reporting period2]]="",0,WWWW[[#This Row],['# of functional latrines in THF supported by WASH partners during the reporting period2]]*50)</f>
        <v>0</v>
      </c>
      <c r="DB102" s="600">
        <f>WWWW[[#This Row],['# students access to functioning school latrines_HRP5]]+WWWW[[#This Row],['# People access to functioning latrines in THF_HRP5]]</f>
        <v>0</v>
      </c>
      <c r="DC102" s="600">
        <f>ROUND(IF(WWWW[[#This Row],[Location Type 1]]="camp",WWWW[[#This Row],[Total PoP ]]/20,IF(WWWW[[#This Row],[Location Type 1]]="Temporary Location",WWWW[[#This Row],[Total PoP ]]/50,WWWW[[#This Row],[Total HH]])),0)</f>
        <v>7</v>
      </c>
      <c r="DD102" s="600">
        <f>IF(WWWW[[#This Row],[Total required Latrines]]-(WWWW[[#This Row],['#_Constructed latrines_by_WASHAgencies]]+WWWW[[#This Row],['#_Non Cluster partner latrines]])&lt;0,0,WWWW[[#This Row],[Total required Latrines]]-(WWWW[[#This Row],['#_Constructed latrines_by_WASHAgencies]]+WWWW[[#This Row],['#_Non Cluster partner latrines]]))</f>
        <v>0</v>
      </c>
      <c r="DE102" s="602">
        <f>1-WWWW[[#This Row],[% people access to functioning Latrine]]</f>
        <v>0</v>
      </c>
      <c r="DF102" s="601">
        <f>IF(OR(WWWW[[#This Row],['#_Non-functional latrines]]="",WWWW[[#This Row],['#_Non-functional latrines]]=0),0,WWWW[[#This Row],['#_Non-functional latrines]]/(WWWW[[#This Row],['#_Constructed latrines_by_WASHAgencies]]+WWWW[[#This Row],['#_Non Cluster partner latrines]]))</f>
        <v>0</v>
      </c>
      <c r="DG102" s="597">
        <f>IF(500*(WWWW[[#This Row],['#_male hygiene promoters]]+WWWW[[#This Row],['#_female hygiene promoters]])&gt;WWWW[[#This Row],[Total PoP ]],WWWW[[#This Row],[Total PoP ]],500*(WWWW[[#This Row],['#_male hygiene promoters]]+WWWW[[#This Row],['#_female hygiene promoters]]))</f>
        <v>135</v>
      </c>
      <c r="DH10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2" s="600">
        <f>IF(WWWW[[#This Row],['# People with access to soap]]&gt;WWWW[[#This Row],['# People with access to Sanity Pads]],WWWW[[#This Row],['# People with access to soap]],WWWW[[#This Row],['# People with access to Sanity Pads]])</f>
        <v>0</v>
      </c>
      <c r="DK102" s="600">
        <f>IF(WWWW[[#This Row],['# people reached by regular dedicated hygiene promotion_5]]&gt;WWWW[[#This Row],['# People received regular supply of hygiene items_6]],WWWW[[#This Row],['# people reached by regular dedicated hygiene promotion_5]],WWWW[[#This Row],['# People received regular supply of hygiene items_6]])</f>
        <v>135</v>
      </c>
      <c r="DL102" s="602">
        <f>IF(WWWW[[#This Row],[HRP3]]/WWWW[[#This Row],[Total PoP ]]&gt;1,1,WWWW[[#This Row],[HRP3]]/WWWW[[#This Row],[Total PoP ]])</f>
        <v>1</v>
      </c>
      <c r="DM102" s="601">
        <f>1-WWWW[[#This Row],[Hygiene Coverage%]]</f>
        <v>0</v>
      </c>
      <c r="DN102" s="599">
        <f>WWWW[[#This Row],['# people reached by regular dedicated hygiene promotion_5]]/WWWW[[#This Row],[Total PoP ]]</f>
        <v>1</v>
      </c>
      <c r="DO10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2" s="600">
        <f>WWWW[[#This Row],['#_Constructed/Existing hand washing stations]]-WWWW[[#This Row],['#_Non-Functional_hand_washing_stations]]</f>
        <v>0</v>
      </c>
      <c r="DR102" s="597">
        <f>IF(WWWW[[#This Row],['# Functional hand washing stations during reporting period]]*20&gt;WWWW[[#This Row],[Total HH]],WWWW[[#This Row],[Total HH]],WWWW[[#This Row],['# Functional hand washing stations during reporting period]]*20)</f>
        <v>0</v>
      </c>
      <c r="DS102" s="597">
        <f>IF(WWWW[[#This Row],[Is sufficient soap available for TLS? (Yes/No)]]="yes",WWWW[[#This Row],['#_Constructed/Existing hand washing stations at TLS]],0)</f>
        <v>0</v>
      </c>
      <c r="DT102" s="479">
        <f>IF(WWWW[[#This Row],['# Functional hand washing stations during reporting period]]*100&gt;WWWW[[#This Row],[Total PoP ]],WWWW[[#This Row],[Total PoP ]],WWWW[[#This Row],['# Functional hand washing stations during reporting period]]*100)</f>
        <v>0</v>
      </c>
      <c r="DU102" s="479" t="str">
        <f>IF(OR(WWWW[[#This Row],['#_students at TLS_CFS]]="",WWWW[[#This Row],['#_students at TLS_CFS]]=0),"No","Yes")</f>
        <v>Yes</v>
      </c>
      <c r="DV10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2" s="593" t="str">
        <f>VLOOKUP(WWWW[[#This Row],[Site Name]],SiteDB6[[Site Name]:[CCCM Management]],6,FALSE)</f>
        <v>Yes</v>
      </c>
      <c r="DZ102" s="593" t="str">
        <f>VLOOKUP(WWWW[[#This Row],[Site Name]],SiteDB6[[Site Name]:[CCCM Focal Agency]],7,FALSE)</f>
        <v>KBC-NSS</v>
      </c>
      <c r="EA102" s="593" t="str">
        <f>VLOOKUP(WWWW[[#This Row],[Site Name]],SiteDB6[[Site Name]:[Location Type 1]],9,FALSE)</f>
        <v>Camp</v>
      </c>
      <c r="EB102" s="593" t="str">
        <f>VLOOKUP(WWWW[[#This Row],[Site Name]],SiteDB6[[Site Name]:[Type of Accommodation]],10,FALSE)</f>
        <v>Camp</v>
      </c>
      <c r="EC102" s="593" t="str">
        <f>VLOOKUP(WWWW[[#This Row],[Site Name]],SiteDB6[[Site Name]:[Ethnic or GCA/NGCA]],11,FALSE)</f>
        <v>GCA</v>
      </c>
      <c r="ED102" s="593">
        <f>VLOOKUP(WWWW[[#This Row],[Site Name]],SiteDB6[[Site Name]:[Lat]],12,FALSE)</f>
        <v>23.250678000000001</v>
      </c>
      <c r="EE102" s="593">
        <f>VLOOKUP(WWWW[[#This Row],[Site Name]],SiteDB6[[Site Name]:[Long]],13,FALSE)</f>
        <v>97.124403000000001</v>
      </c>
      <c r="EF102" s="593" t="str">
        <f>VLOOKUP(WWWW[[#This Row],[Site Name]],SiteDB6[[Site Name]:[Pcode]],3,FALSE)</f>
        <v>MMR015CMP009</v>
      </c>
      <c r="EG102" s="598" t="str">
        <f t="shared" si="1"/>
        <v>Covered</v>
      </c>
      <c r="EH102" s="598" t="str">
        <f>VLOOKUP(WWWW[[#This Row],[Site Name]],SiteDB6[[Site Name]:[open in cccm?]],2,FALSE)</f>
        <v>cccm_2019OCT</v>
      </c>
    </row>
    <row r="103" spans="1:138" hidden="1">
      <c r="A103" s="591" t="s">
        <v>3261</v>
      </c>
      <c r="B103" s="591" t="s">
        <v>195</v>
      </c>
      <c r="C103" s="592" t="s">
        <v>195</v>
      </c>
      <c r="D103" s="592" t="s">
        <v>2817</v>
      </c>
      <c r="E103" s="592" t="s">
        <v>39</v>
      </c>
      <c r="F103" s="592" t="s">
        <v>40</v>
      </c>
      <c r="G103" s="721" t="str">
        <f>VLOOKUP(WWWW[[#This Row],[Site Name]],SiteDB6[[Site Name]:[Location Type]],8,FALSE)</f>
        <v>Camp</v>
      </c>
      <c r="H103" s="592" t="s">
        <v>196</v>
      </c>
      <c r="I103" s="594">
        <v>179</v>
      </c>
      <c r="J103" s="594">
        <v>809</v>
      </c>
      <c r="K103" s="595">
        <v>43466</v>
      </c>
      <c r="L103" s="596">
        <v>43830</v>
      </c>
      <c r="M103" s="594"/>
      <c r="N103" s="594"/>
      <c r="O103" s="594"/>
      <c r="P103" s="594"/>
      <c r="Q103" s="597" t="s">
        <v>43</v>
      </c>
      <c r="R103" s="594">
        <v>2</v>
      </c>
      <c r="S103" s="594">
        <v>4</v>
      </c>
      <c r="T103" s="523">
        <v>2</v>
      </c>
      <c r="U103" s="594"/>
      <c r="V103" s="594"/>
      <c r="W103" s="594">
        <v>2</v>
      </c>
      <c r="X103" s="594">
        <v>3</v>
      </c>
      <c r="Y103" s="594"/>
      <c r="Z103" s="594"/>
      <c r="AA103" s="594"/>
      <c r="AB103" s="594"/>
      <c r="AC103" s="594"/>
      <c r="AD103" s="594"/>
      <c r="AE103" s="594"/>
      <c r="AF103" s="594"/>
      <c r="AG103" s="594"/>
      <c r="AH103" s="594"/>
      <c r="AI103" s="594"/>
      <c r="AJ103" s="594"/>
      <c r="AK103" s="594"/>
      <c r="AL103" s="594"/>
      <c r="AM103" s="594"/>
      <c r="AN103" s="594"/>
      <c r="AO103" s="598"/>
      <c r="AP103" s="594">
        <v>40</v>
      </c>
      <c r="AQ103" s="594"/>
      <c r="AR103" s="599"/>
      <c r="AS103" s="594"/>
      <c r="AT103" s="594"/>
      <c r="AU103" s="594">
        <v>4</v>
      </c>
      <c r="AV103" s="594"/>
      <c r="AW103" s="594"/>
      <c r="AX103" s="593" t="s">
        <v>43</v>
      </c>
      <c r="AY103" s="598" t="s">
        <v>140</v>
      </c>
      <c r="AZ103" s="594"/>
      <c r="BA103" s="594">
        <v>1</v>
      </c>
      <c r="BB103" s="594"/>
      <c r="BC103" s="594"/>
      <c r="BD103" s="523"/>
      <c r="BE103" s="593"/>
      <c r="BF103" s="594">
        <v>16</v>
      </c>
      <c r="BG103" s="594"/>
      <c r="BH103" s="594"/>
      <c r="BI103" s="594">
        <v>7</v>
      </c>
      <c r="BJ103" s="594"/>
      <c r="BK103" s="594"/>
      <c r="BL103" s="594"/>
      <c r="BM103" s="594"/>
      <c r="BN103" s="594"/>
      <c r="BO103" s="593"/>
      <c r="BP103" s="594"/>
      <c r="BQ103" s="599"/>
      <c r="BR103" s="593"/>
      <c r="BS103" s="472"/>
      <c r="BT103" s="472"/>
      <c r="BU103" s="523"/>
      <c r="BV103" s="472"/>
      <c r="BW103" s="523"/>
      <c r="BX103" s="523"/>
      <c r="BY103" s="523"/>
      <c r="BZ103" s="601" t="str">
        <f>IFERROR(WWWW[[#This Row],['#_Water sources passed]]/WWWW[[#This Row],['#_Water sources tested for fecal coliform ]],"no test")</f>
        <v>no test</v>
      </c>
      <c r="CA103" s="599" t="str">
        <f>IFERROR(WWWW[[#This Row],['#_Household passed]]/WWWW[[#This Row],['#_Household water samples tested for fecal coliform]],"no test")</f>
        <v>no test</v>
      </c>
      <c r="CB103" s="600" t="str">
        <f>IF(AND(WWWW[[#This Row],[% of water sources passed]]="no test",WWWW[[#This Row],[% Household passed]]="no test"),"No Test","Tested")</f>
        <v>No Test</v>
      </c>
      <c r="CC103" s="600">
        <f>WWWW[[#This Row],['#_Constructed/existing protected hand dug well]]-WWWW[[#This Row],['#_Non-functional protected hand dug well]]</f>
        <v>2</v>
      </c>
      <c r="CD103" s="600">
        <f>(WWWW[[#This Row],['#_Constructed/Existing tube wells/boreholes/handpumps_WASH_agency]]+WWWW[[#This Row],['#_Non-Cluster partner water tube-wells/boreholes/handpumps]])-WWWW[[#This Row],['#_Non-functional tube wells/boreholes/handpumps]]</f>
        <v>5</v>
      </c>
      <c r="CE103" s="600">
        <f>WWWW[[#This Row],['#_Constructed/Existingwater storage tank with gravity fed reticulation system]]-WWWW[[#This Row],['#_Non-functional storage tank gravity fed reticulation system]]</f>
        <v>0</v>
      </c>
      <c r="CF103" s="478">
        <f>(WWWW[[#This Row],['#_Water_Liters_supplied_by_Water boating or water trucking]]/90)/15</f>
        <v>0</v>
      </c>
      <c r="CG103" s="478">
        <f>WWWW[[#This Row],['#_Water_Liters_from_Constructed/Existing water distribution system from river or natural spring]]/90/15</f>
        <v>0</v>
      </c>
      <c r="CH103" s="478">
        <f>WWWW[[#This Row],['#_of water points in TLS/CFS /THF]]*500</f>
        <v>0</v>
      </c>
      <c r="CI10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3" s="599">
        <f>IF(WWWW[[#This Row],[Location Type 1]]="Village",WWWW[[#This Row],[Access to safe drinking water for Village]],WWWW[[#This Row],[Access to safe drinking water for Camp]])</f>
        <v>1</v>
      </c>
      <c r="CL103" s="597">
        <f>WWWW[[#This Row],[%Equitable and continuous access to sufficient quantity of safe drinking water]]*WWWW[[#This Row],[Total PoP ]]</f>
        <v>809</v>
      </c>
      <c r="CM103" s="599">
        <f>IF((WWWW[[#This Row],['#_Constructed/Existing protected/fenced ponds]]*250)/WWWW[[#This Row],[Total PoP ]]&gt;1,1,(WWWW[[#This Row],['#_Constructed/Existing protected/fenced ponds]]*250)/WWWW[[#This Row],[Total PoP ]])</f>
        <v>0</v>
      </c>
      <c r="CN103" s="597">
        <f>WWWW[[#This Row],[% Access to unimproved water points]]*WWWW[[#This Row],[Total PoP ]]</f>
        <v>0</v>
      </c>
      <c r="CO10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809</v>
      </c>
      <c r="CQ103" s="597">
        <f>WWWW[[#This Row],[HRP1]]/500</f>
        <v>1.6180000000000001</v>
      </c>
      <c r="CR103" s="602">
        <f>1-WWWW[[#This Row],[% Equitable and continuous access to sufficient quantity of domestic water]]</f>
        <v>0</v>
      </c>
      <c r="CS103" s="597">
        <f>WWWW[[#This Row],[%equitable and continuous access to sufficient quantity of safe drinking and domestic water''s GAP]]*WWWW[[#This Row],[Total PoP ]]</f>
        <v>0</v>
      </c>
      <c r="CT103" s="600">
        <f>IF(WWWW[[#This Row],[Total required water points]]-WWWW[[#This Row],['#Water points coverage]]&lt;0,0,WWWW[[#This Row],[Total required water points]]-WWWW[[#This Row],['#Water points coverage]])</f>
        <v>0.3819999999999999</v>
      </c>
      <c r="CU103" s="600">
        <f>ROUND(IF(WWWW[[#This Row],[Total PoP ]]&lt;500,1,WWWW[[#This Row],[Total PoP ]]/500),0)</f>
        <v>2</v>
      </c>
      <c r="CV103" s="600">
        <f>(WWWW[[#This Row],['#_Constructed latrines_by_WASHAgencies]]+WWWW[[#This Row],['#_Non Cluster partner latrines]])-WWWW[[#This Row],['#_Non-functional latrines]]</f>
        <v>40</v>
      </c>
      <c r="CW103" s="70">
        <f>WWWW[[#This Row],[HRP2]]/WWWW[[#This Row],[Total PoP ]]</f>
        <v>0.9888751545117429</v>
      </c>
      <c r="CX10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CY10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10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3" s="600">
        <f>IF(WWWW[[#This Row],['# of functional latrines in THF supported by WASH partners during the reporting period2]]="",0,WWWW[[#This Row],['# of functional latrines in THF supported by WASH partners during the reporting period2]]*50)</f>
        <v>0</v>
      </c>
      <c r="DB103" s="600">
        <f>WWWW[[#This Row],['# students access to functioning school latrines_HRP5]]+WWWW[[#This Row],['# People access to functioning latrines in THF_HRP5]]</f>
        <v>0</v>
      </c>
      <c r="DC103" s="600">
        <f>ROUND(IF(WWWW[[#This Row],[Location Type 1]]="camp",WWWW[[#This Row],[Total PoP ]]/20,IF(WWWW[[#This Row],[Location Type 1]]="Temporary Location",WWWW[[#This Row],[Total PoP ]]/50,WWWW[[#This Row],[Total HH]])),0)</f>
        <v>40</v>
      </c>
      <c r="DD103" s="600">
        <f>IF(WWWW[[#This Row],[Total required Latrines]]-(WWWW[[#This Row],['#_Constructed latrines_by_WASHAgencies]]+WWWW[[#This Row],['#_Non Cluster partner latrines]])&lt;0,0,WWWW[[#This Row],[Total required Latrines]]-(WWWW[[#This Row],['#_Constructed latrines_by_WASHAgencies]]+WWWW[[#This Row],['#_Non Cluster partner latrines]]))</f>
        <v>0</v>
      </c>
      <c r="DE103" s="602">
        <f>1-WWWW[[#This Row],[% people access to functioning Latrine]]</f>
        <v>1.1124845488257096E-2</v>
      </c>
      <c r="DF103" s="601">
        <f>IF(OR(WWWW[[#This Row],['#_Non-functional latrines]]="",WWWW[[#This Row],['#_Non-functional latrines]]=0),0,WWWW[[#This Row],['#_Non-functional latrines]]/(WWWW[[#This Row],['#_Constructed latrines_by_WASHAgencies]]+WWWW[[#This Row],['#_Non Cluster partner latrines]]))</f>
        <v>0</v>
      </c>
      <c r="DG103" s="597">
        <f>IF(500*(WWWW[[#This Row],['#_male hygiene promoters]]+WWWW[[#This Row],['#_female hygiene promoters]])&gt;WWWW[[#This Row],[Total PoP ]],WWWW[[#This Row],[Total PoP ]],500*(WWWW[[#This Row],['#_male hygiene promoters]]+WWWW[[#This Row],['#_female hygiene promoters]]))</f>
        <v>0</v>
      </c>
      <c r="DH10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3" s="600">
        <f>IF(WWWW[[#This Row],['# People with access to soap]]&gt;WWWW[[#This Row],['# People with access to Sanity Pads]],WWWW[[#This Row],['# People with access to soap]],WWWW[[#This Row],['# People with access to Sanity Pads]])</f>
        <v>0</v>
      </c>
      <c r="DK103"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3" s="602">
        <f>IF(WWWW[[#This Row],[HRP3]]/WWWW[[#This Row],[Total PoP ]]&gt;1,1,WWWW[[#This Row],[HRP3]]/WWWW[[#This Row],[Total PoP ]])</f>
        <v>0</v>
      </c>
      <c r="DM103" s="601">
        <f>1-WWWW[[#This Row],[Hygiene Coverage%]]</f>
        <v>1</v>
      </c>
      <c r="DN103" s="599">
        <f>WWWW[[#This Row],['# people reached by regular dedicated hygiene promotion_5]]/WWWW[[#This Row],[Total PoP ]]</f>
        <v>0</v>
      </c>
      <c r="DO10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3" s="600">
        <f>WWWW[[#This Row],['#_Constructed/Existing hand washing stations]]-WWWW[[#This Row],['#_Non-Functional_hand_washing_stations]]</f>
        <v>16</v>
      </c>
      <c r="DR103" s="597">
        <f>IF(WWWW[[#This Row],['# Functional hand washing stations during reporting period]]*20&gt;WWWW[[#This Row],[Total HH]],WWWW[[#This Row],[Total HH]],WWWW[[#This Row],['# Functional hand washing stations during reporting period]]*20)</f>
        <v>179</v>
      </c>
      <c r="DS103" s="597">
        <f>IF(WWWW[[#This Row],[Is sufficient soap available for TLS? (Yes/No)]]="yes",WWWW[[#This Row],['#_Constructed/Existing hand washing stations at TLS]],0)</f>
        <v>0</v>
      </c>
      <c r="DT103" s="479">
        <f>IF(WWWW[[#This Row],['# Functional hand washing stations during reporting period]]*100&gt;WWWW[[#This Row],[Total PoP ]],WWWW[[#This Row],[Total PoP ]],WWWW[[#This Row],['# Functional hand washing stations during reporting period]]*100)</f>
        <v>809</v>
      </c>
      <c r="DU103" s="479" t="str">
        <f>IF(OR(WWWW[[#This Row],['#_students at TLS_CFS]]="",WWWW[[#This Row],['#_students at TLS_CFS]]=0),"No","Yes")</f>
        <v>No</v>
      </c>
      <c r="DV10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3" s="593" t="str">
        <f>VLOOKUP(WWWW[[#This Row],[Site Name]],SiteDB6[[Site Name]:[CCCM Management]],6,FALSE)</f>
        <v>Yes</v>
      </c>
      <c r="DZ103" s="593" t="str">
        <f>VLOOKUP(WWWW[[#This Row],[Site Name]],SiteDB6[[Site Name]:[CCCM Focal Agency]],7,FALSE)</f>
        <v>KBC-BMO</v>
      </c>
      <c r="EA103" s="593" t="str">
        <f>VLOOKUP(WWWW[[#This Row],[Site Name]],SiteDB6[[Site Name]:[Location Type 1]],9,FALSE)</f>
        <v>Camp</v>
      </c>
      <c r="EB103" s="593" t="str">
        <f>VLOOKUP(WWWW[[#This Row],[Site Name]],SiteDB6[[Site Name]:[Type of Accommodation]],10,FALSE)</f>
        <v>Camp</v>
      </c>
      <c r="EC103" s="593" t="str">
        <f>VLOOKUP(WWWW[[#This Row],[Site Name]],SiteDB6[[Site Name]:[Ethnic or GCA/NGCA]],11,FALSE)</f>
        <v>GCA</v>
      </c>
      <c r="ED103" s="593">
        <f>VLOOKUP(WWWW[[#This Row],[Site Name]],SiteDB6[[Site Name]:[Lat]],12,FALSE)</f>
        <v>24.129059999999999</v>
      </c>
      <c r="EE103" s="593">
        <f>VLOOKUP(WWWW[[#This Row],[Site Name]],SiteDB6[[Site Name]:[Long]],13,FALSE)</f>
        <v>97.291820000000001</v>
      </c>
      <c r="EF103" s="593" t="str">
        <f>VLOOKUP(WWWW[[#This Row],[Site Name]],SiteDB6[[Site Name]:[Pcode]],3,FALSE)</f>
        <v>MMR001CMP066</v>
      </c>
      <c r="EG103" s="598" t="str">
        <f t="shared" si="1"/>
        <v>Covered</v>
      </c>
      <c r="EH103" s="598" t="str">
        <f>VLOOKUP(WWWW[[#This Row],[Site Name]],SiteDB6[[Site Name]:[open in cccm?]],2,FALSE)</f>
        <v>cccm_2019OCT</v>
      </c>
    </row>
    <row r="104" spans="1:138" hidden="1">
      <c r="A104" s="591" t="s">
        <v>3261</v>
      </c>
      <c r="B104" s="591" t="s">
        <v>195</v>
      </c>
      <c r="C104" s="592" t="s">
        <v>195</v>
      </c>
      <c r="D104" s="592" t="s">
        <v>3045</v>
      </c>
      <c r="E104" s="592" t="s">
        <v>711</v>
      </c>
      <c r="F104" s="404" t="s">
        <v>1285</v>
      </c>
      <c r="G104" s="721" t="str">
        <f>VLOOKUP(WWWW[[#This Row],[Site Name]],SiteDB6[[Site Name]:[Location Type]],8,FALSE)</f>
        <v>Camp_not registered</v>
      </c>
      <c r="H104" s="592" t="s">
        <v>2294</v>
      </c>
      <c r="I104" s="594">
        <v>11</v>
      </c>
      <c r="J104" s="594">
        <v>53</v>
      </c>
      <c r="K104" s="595" t="s">
        <v>3289</v>
      </c>
      <c r="L104" s="596" t="s">
        <v>3290</v>
      </c>
      <c r="M104" s="594">
        <v>10</v>
      </c>
      <c r="N104" s="594"/>
      <c r="O104" s="594"/>
      <c r="P104" s="594"/>
      <c r="Q104" s="597"/>
      <c r="R104" s="594"/>
      <c r="S104" s="594">
        <v>5</v>
      </c>
      <c r="T104" s="523"/>
      <c r="U104" s="594"/>
      <c r="V104" s="594"/>
      <c r="W104" s="594"/>
      <c r="X104" s="594"/>
      <c r="Y104" s="594"/>
      <c r="Z104" s="594"/>
      <c r="AA104" s="594"/>
      <c r="AB104" s="594"/>
      <c r="AC104" s="594"/>
      <c r="AD104" s="594"/>
      <c r="AE104" s="594"/>
      <c r="AF104" s="594"/>
      <c r="AG104" s="594"/>
      <c r="AH104" s="594"/>
      <c r="AI104" s="594"/>
      <c r="AJ104" s="594"/>
      <c r="AK104" s="594"/>
      <c r="AL104" s="594"/>
      <c r="AM104" s="594"/>
      <c r="AN104" s="594"/>
      <c r="AO104" s="598"/>
      <c r="AP104" s="594"/>
      <c r="AQ104" s="594"/>
      <c r="AR104" s="599"/>
      <c r="AS104" s="594"/>
      <c r="AT104" s="594"/>
      <c r="AU104" s="594"/>
      <c r="AV104" s="594"/>
      <c r="AW104" s="594"/>
      <c r="AX104" s="593" t="s">
        <v>143</v>
      </c>
      <c r="AY104" s="598" t="s">
        <v>143</v>
      </c>
      <c r="AZ104" s="594"/>
      <c r="BA104" s="594"/>
      <c r="BB104" s="594"/>
      <c r="BC104" s="594"/>
      <c r="BD104" s="523"/>
      <c r="BE104" s="593"/>
      <c r="BF104" s="594"/>
      <c r="BG104" s="594"/>
      <c r="BH104" s="594"/>
      <c r="BI104" s="594"/>
      <c r="BJ104" s="594"/>
      <c r="BK104" s="594"/>
      <c r="BL104" s="594"/>
      <c r="BM104" s="594"/>
      <c r="BN104" s="594"/>
      <c r="BO104" s="593" t="s">
        <v>139</v>
      </c>
      <c r="BP104" s="594"/>
      <c r="BQ104" s="599"/>
      <c r="BR104" s="593"/>
      <c r="BS104" s="472"/>
      <c r="BT104" s="472"/>
      <c r="BU104" s="523"/>
      <c r="BV104" s="472"/>
      <c r="BW104" s="523"/>
      <c r="BX104" s="523"/>
      <c r="BY104" s="523"/>
      <c r="BZ104" s="601" t="str">
        <f>IFERROR(WWWW[[#This Row],['#_Water sources passed]]/WWWW[[#This Row],['#_Water sources tested for fecal coliform ]],"no test")</f>
        <v>no test</v>
      </c>
      <c r="CA104" s="599" t="str">
        <f>IFERROR(WWWW[[#This Row],['#_Household passed]]/WWWW[[#This Row],['#_Household water samples tested for fecal coliform]],"no test")</f>
        <v>no test</v>
      </c>
      <c r="CB104" s="600" t="str">
        <f>IF(AND(WWWW[[#This Row],[% of water sources passed]]="no test",WWWW[[#This Row],[% Household passed]]="no test"),"No Test","Tested")</f>
        <v>No Test</v>
      </c>
      <c r="CC104" s="600">
        <f>WWWW[[#This Row],['#_Constructed/existing protected hand dug well]]-WWWW[[#This Row],['#_Non-functional protected hand dug well]]</f>
        <v>0</v>
      </c>
      <c r="CD104" s="600">
        <f>(WWWW[[#This Row],['#_Constructed/Existing tube wells/boreholes/handpumps_WASH_agency]]+WWWW[[#This Row],['#_Non-Cluster partner water tube-wells/boreholes/handpumps]])-WWWW[[#This Row],['#_Non-functional tube wells/boreholes/handpumps]]</f>
        <v>0</v>
      </c>
      <c r="CE104" s="600">
        <f>WWWW[[#This Row],['#_Constructed/Existingwater storage tank with gravity fed reticulation system]]-WWWW[[#This Row],['#_Non-functional storage tank gravity fed reticulation system]]</f>
        <v>0</v>
      </c>
      <c r="CF104" s="478">
        <f>(WWWW[[#This Row],['#_Water_Liters_supplied_by_Water boating or water trucking]]/90)/15</f>
        <v>0</v>
      </c>
      <c r="CG104" s="478">
        <f>WWWW[[#This Row],['#_Water_Liters_from_Constructed/Existing water distribution system from river or natural spring]]/90/15</f>
        <v>0</v>
      </c>
      <c r="CH104" s="478">
        <f>WWWW[[#This Row],['#_of water points in TLS/CFS /THF]]*500</f>
        <v>0</v>
      </c>
      <c r="CI10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4" s="599">
        <f>IF(WWWW[[#This Row],[Location Type 1]]="Village",WWWW[[#This Row],[Access to safe drinking water for Village]],WWWW[[#This Row],[Access to safe drinking water for Camp]])</f>
        <v>0</v>
      </c>
      <c r="CL104" s="597">
        <f>WWWW[[#This Row],[%Equitable and continuous access to sufficient quantity of safe drinking water]]*WWWW[[#This Row],[Total PoP ]]</f>
        <v>0</v>
      </c>
      <c r="CM104" s="599">
        <f>IF((WWWW[[#This Row],['#_Constructed/Existing protected/fenced ponds]]*250)/WWWW[[#This Row],[Total PoP ]]&gt;1,1,(WWWW[[#This Row],['#_Constructed/Existing protected/fenced ponds]]*250)/WWWW[[#This Row],[Total PoP ]])</f>
        <v>0</v>
      </c>
      <c r="CN104" s="597">
        <f>WWWW[[#This Row],[% Access to unimproved water points]]*WWWW[[#This Row],[Total PoP ]]</f>
        <v>0</v>
      </c>
      <c r="CO10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4" s="597">
        <f>WWWW[[#This Row],[HRP1]]/500</f>
        <v>0</v>
      </c>
      <c r="CR104" s="602">
        <f>1-WWWW[[#This Row],[% Equitable and continuous access to sufficient quantity of domestic water]]</f>
        <v>1</v>
      </c>
      <c r="CS104" s="597">
        <f>WWWW[[#This Row],[%equitable and continuous access to sufficient quantity of safe drinking and domestic water''s GAP]]*WWWW[[#This Row],[Total PoP ]]</f>
        <v>53</v>
      </c>
      <c r="CT104" s="600">
        <f>IF(WWWW[[#This Row],[Total required water points]]-WWWW[[#This Row],['#Water points coverage]]&lt;0,0,WWWW[[#This Row],[Total required water points]]-WWWW[[#This Row],['#Water points coverage]])</f>
        <v>1</v>
      </c>
      <c r="CU104" s="600">
        <f>ROUND(IF(WWWW[[#This Row],[Total PoP ]]&lt;500,1,WWWW[[#This Row],[Total PoP ]]/500),0)</f>
        <v>1</v>
      </c>
      <c r="CV104" s="600">
        <f>(WWWW[[#This Row],['#_Constructed latrines_by_WASHAgencies]]+WWWW[[#This Row],['#_Non Cluster partner latrines]])-WWWW[[#This Row],['#_Non-functional latrines]]</f>
        <v>0</v>
      </c>
      <c r="CW104" s="70">
        <f>WWWW[[#This Row],[HRP2]]/WWWW[[#This Row],[Total PoP ]]</f>
        <v>0</v>
      </c>
      <c r="CX10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0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4" s="600">
        <f>IF(WWWW[[#This Row],['# of functional latrines in THF supported by WASH partners during the reporting period2]]="",0,WWWW[[#This Row],['# of functional latrines in THF supported by WASH partners during the reporting period2]]*50)</f>
        <v>0</v>
      </c>
      <c r="DB104" s="600">
        <f>WWWW[[#This Row],['# students access to functioning school latrines_HRP5]]+WWWW[[#This Row],['# People access to functioning latrines in THF_HRP5]]</f>
        <v>0</v>
      </c>
      <c r="DC104" s="600">
        <f>ROUND(IF(WWWW[[#This Row],[Location Type 1]]="camp",WWWW[[#This Row],[Total PoP ]]/20,IF(WWWW[[#This Row],[Location Type 1]]="Temporary Location",WWWW[[#This Row],[Total PoP ]]/50,WWWW[[#This Row],[Total HH]])),0)</f>
        <v>3</v>
      </c>
      <c r="DD104" s="600">
        <f>IF(WWWW[[#This Row],[Total required Latrines]]-(WWWW[[#This Row],['#_Constructed latrines_by_WASHAgencies]]+WWWW[[#This Row],['#_Non Cluster partner latrines]])&lt;0,0,WWWW[[#This Row],[Total required Latrines]]-(WWWW[[#This Row],['#_Constructed latrines_by_WASHAgencies]]+WWWW[[#This Row],['#_Non Cluster partner latrines]]))</f>
        <v>3</v>
      </c>
      <c r="DE104" s="602">
        <f>1-WWWW[[#This Row],[% people access to functioning Latrine]]</f>
        <v>1</v>
      </c>
      <c r="DF104" s="601">
        <f>IF(OR(WWWW[[#This Row],['#_Non-functional latrines]]="",WWWW[[#This Row],['#_Non-functional latrines]]=0),0,WWWW[[#This Row],['#_Non-functional latrines]]/(WWWW[[#This Row],['#_Constructed latrines_by_WASHAgencies]]+WWWW[[#This Row],['#_Non Cluster partner latrines]]))</f>
        <v>0</v>
      </c>
      <c r="DG104" s="597">
        <f>IF(500*(WWWW[[#This Row],['#_male hygiene promoters]]+WWWW[[#This Row],['#_female hygiene promoters]])&gt;WWWW[[#This Row],[Total PoP ]],WWWW[[#This Row],[Total PoP ]],500*(WWWW[[#This Row],['#_male hygiene promoters]]+WWWW[[#This Row],['#_female hygiene promoters]]))</f>
        <v>0</v>
      </c>
      <c r="DH10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4" s="600">
        <f>IF(WWWW[[#This Row],['# People with access to soap]]&gt;WWWW[[#This Row],['# People with access to Sanity Pads]],WWWW[[#This Row],['# People with access to soap]],WWWW[[#This Row],['# People with access to Sanity Pads]])</f>
        <v>0</v>
      </c>
      <c r="DK10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4" s="602">
        <f>IF(WWWW[[#This Row],[HRP3]]/WWWW[[#This Row],[Total PoP ]]&gt;1,1,WWWW[[#This Row],[HRP3]]/WWWW[[#This Row],[Total PoP ]])</f>
        <v>0</v>
      </c>
      <c r="DM104" s="601">
        <f>1-WWWW[[#This Row],[Hygiene Coverage%]]</f>
        <v>1</v>
      </c>
      <c r="DN104" s="599">
        <f>WWWW[[#This Row],['# people reached by regular dedicated hygiene promotion_5]]/WWWW[[#This Row],[Total PoP ]]</f>
        <v>0</v>
      </c>
      <c r="DO10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4" s="600">
        <f>WWWW[[#This Row],['#_Constructed/Existing hand washing stations]]-WWWW[[#This Row],['#_Non-Functional_hand_washing_stations]]</f>
        <v>0</v>
      </c>
      <c r="DR104" s="597">
        <f>IF(WWWW[[#This Row],['# Functional hand washing stations during reporting period]]*20&gt;WWWW[[#This Row],[Total HH]],WWWW[[#This Row],[Total HH]],WWWW[[#This Row],['# Functional hand washing stations during reporting period]]*20)</f>
        <v>0</v>
      </c>
      <c r="DS104" s="597">
        <f>IF(WWWW[[#This Row],[Is sufficient soap available for TLS? (Yes/No)]]="yes",WWWW[[#This Row],['#_Constructed/Existing hand washing stations at TLS]],0)</f>
        <v>0</v>
      </c>
      <c r="DT104" s="479">
        <f>IF(WWWW[[#This Row],['# Functional hand washing stations during reporting period]]*100&gt;WWWW[[#This Row],[Total PoP ]],WWWW[[#This Row],[Total PoP ]],WWWW[[#This Row],['# Functional hand washing stations during reporting period]]*100)</f>
        <v>0</v>
      </c>
      <c r="DU104" s="479" t="str">
        <f>IF(OR(WWWW[[#This Row],['#_students at TLS_CFS]]="",WWWW[[#This Row],['#_students at TLS_CFS]]=0),"No","Yes")</f>
        <v>Yes</v>
      </c>
      <c r="DV10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4" s="593">
        <f>VLOOKUP(WWWW[[#This Row],[Site Name]],SiteDB6[[Site Name]:[CCCM Management]],6,FALSE)</f>
        <v>0</v>
      </c>
      <c r="DZ104" s="593">
        <f>VLOOKUP(WWWW[[#This Row],[Site Name]],SiteDB6[[Site Name]:[CCCM Focal Agency]],7,FALSE)</f>
        <v>0</v>
      </c>
      <c r="EA104" s="593" t="str">
        <f>VLOOKUP(WWWW[[#This Row],[Site Name]],SiteDB6[[Site Name]:[Location Type 1]],9,FALSE)</f>
        <v>Camp</v>
      </c>
      <c r="EB104" s="593" t="str">
        <f>VLOOKUP(WWWW[[#This Row],[Site Name]],SiteDB6[[Site Name]:[Type of Accommodation]],10,FALSE)</f>
        <v>Camp</v>
      </c>
      <c r="EC104" s="593" t="str">
        <f>VLOOKUP(WWWW[[#This Row],[Site Name]],SiteDB6[[Site Name]:[Ethnic or GCA/NGCA]],11,FALSE)</f>
        <v>GCA</v>
      </c>
      <c r="ED104" s="593">
        <f>VLOOKUP(WWWW[[#This Row],[Site Name]],SiteDB6[[Site Name]:[Lat]],12,FALSE)</f>
        <v>0</v>
      </c>
      <c r="EE104" s="593">
        <f>VLOOKUP(WWWW[[#This Row],[Site Name]],SiteDB6[[Site Name]:[Long]],13,FALSE)</f>
        <v>0</v>
      </c>
      <c r="EF104" s="593">
        <f>VLOOKUP(WWWW[[#This Row],[Site Name]],SiteDB6[[Site Name]:[Pcode]],3,FALSE)</f>
        <v>0</v>
      </c>
      <c r="EG104" s="598" t="str">
        <f t="shared" si="1"/>
        <v>Covered</v>
      </c>
      <c r="EH104" s="598"/>
    </row>
    <row r="105" spans="1:138" hidden="1">
      <c r="A105" s="591" t="s">
        <v>3261</v>
      </c>
      <c r="B105" s="591" t="s">
        <v>195</v>
      </c>
      <c r="C105" s="592" t="s">
        <v>195</v>
      </c>
      <c r="D105" s="592" t="s">
        <v>3045</v>
      </c>
      <c r="E105" s="592" t="s">
        <v>711</v>
      </c>
      <c r="F105" s="592" t="s">
        <v>715</v>
      </c>
      <c r="G105" s="721" t="str">
        <f>VLOOKUP(WWWW[[#This Row],[Site Name]],SiteDB6[[Site Name]:[Location Type]],8,FALSE)</f>
        <v>Camp</v>
      </c>
      <c r="H105" s="592" t="s">
        <v>2179</v>
      </c>
      <c r="I105" s="594">
        <v>145</v>
      </c>
      <c r="J105" s="594">
        <v>305</v>
      </c>
      <c r="K105" s="56" t="s">
        <v>3289</v>
      </c>
      <c r="L105" s="56" t="s">
        <v>3290</v>
      </c>
      <c r="M105" s="594">
        <v>82</v>
      </c>
      <c r="N105" s="594">
        <v>3</v>
      </c>
      <c r="O105" s="594"/>
      <c r="P105" s="594"/>
      <c r="Q105" s="597" t="s">
        <v>43</v>
      </c>
      <c r="R105" s="594">
        <v>4</v>
      </c>
      <c r="S105" s="594">
        <v>4</v>
      </c>
      <c r="T105" s="523"/>
      <c r="U105" s="594"/>
      <c r="V105" s="594"/>
      <c r="W105" s="594"/>
      <c r="X105" s="594"/>
      <c r="Y105" s="594"/>
      <c r="Z105" s="594"/>
      <c r="AA105" s="594">
        <v>75</v>
      </c>
      <c r="AB105" s="594"/>
      <c r="AC105" s="594"/>
      <c r="AD105" s="594"/>
      <c r="AE105" s="594"/>
      <c r="AF105" s="594"/>
      <c r="AG105" s="594">
        <v>3</v>
      </c>
      <c r="AH105" s="594">
        <v>1</v>
      </c>
      <c r="AI105" s="594"/>
      <c r="AJ105" s="594"/>
      <c r="AK105" s="594"/>
      <c r="AL105" s="594"/>
      <c r="AM105" s="594">
        <v>3</v>
      </c>
      <c r="AN105" s="594"/>
      <c r="AO105" s="501" t="s">
        <v>3138</v>
      </c>
      <c r="AP105" s="594">
        <v>71</v>
      </c>
      <c r="AQ105" s="594"/>
      <c r="AR105" s="599"/>
      <c r="AS105" s="594"/>
      <c r="AT105" s="594"/>
      <c r="AU105" s="594"/>
      <c r="AV105" s="594"/>
      <c r="AW105" s="594"/>
      <c r="AX105" s="593" t="s">
        <v>139</v>
      </c>
      <c r="AY105" s="598" t="s">
        <v>1195</v>
      </c>
      <c r="AZ105" s="594"/>
      <c r="BA105" s="594"/>
      <c r="BB105" s="594">
        <v>4</v>
      </c>
      <c r="BC105" s="594"/>
      <c r="BD105" s="523"/>
      <c r="BE105" s="593"/>
      <c r="BF105" s="594">
        <v>5</v>
      </c>
      <c r="BG105" s="594"/>
      <c r="BH105" s="594"/>
      <c r="BI105" s="594">
        <v>3</v>
      </c>
      <c r="BJ105" s="594"/>
      <c r="BK105" s="594">
        <v>1</v>
      </c>
      <c r="BL105" s="594"/>
      <c r="BM105" s="594"/>
      <c r="BN105" s="594"/>
      <c r="BO105" s="593" t="s">
        <v>43</v>
      </c>
      <c r="BP105" s="594"/>
      <c r="BQ105" s="599"/>
      <c r="BR105" s="593"/>
      <c r="BS105" s="472"/>
      <c r="BT105" s="472"/>
      <c r="BU105" s="523"/>
      <c r="BV105" s="472"/>
      <c r="BW105" s="523"/>
      <c r="BX105" s="523"/>
      <c r="BY105" s="523"/>
      <c r="BZ105" s="601" t="str">
        <f>IFERROR(WWWW[[#This Row],['#_Water sources passed]]/WWWW[[#This Row],['#_Water sources tested for fecal coliform ]],"no test")</f>
        <v>no test</v>
      </c>
      <c r="CA105" s="599" t="str">
        <f>IFERROR(WWWW[[#This Row],['#_Household passed]]/WWWW[[#This Row],['#_Household water samples tested for fecal coliform]],"no test")</f>
        <v>no test</v>
      </c>
      <c r="CB105" s="600" t="str">
        <f>IF(AND(WWWW[[#This Row],[% of water sources passed]]="no test",WWWW[[#This Row],[% Household passed]]="no test"),"No Test","Tested")</f>
        <v>No Test</v>
      </c>
      <c r="CC105" s="600">
        <f>WWWW[[#This Row],['#_Constructed/existing protected hand dug well]]-WWWW[[#This Row],['#_Non-functional protected hand dug well]]</f>
        <v>0</v>
      </c>
      <c r="CD105" s="600">
        <f>(WWWW[[#This Row],['#_Constructed/Existing tube wells/boreholes/handpumps_WASH_agency]]+WWWW[[#This Row],['#_Non-Cluster partner water tube-wells/boreholes/handpumps]])-WWWW[[#This Row],['#_Non-functional tube wells/boreholes/handpumps]]</f>
        <v>0</v>
      </c>
      <c r="CE105" s="600">
        <f>WWWW[[#This Row],['#_Constructed/Existingwater storage tank with gravity fed reticulation system]]-WWWW[[#This Row],['#_Non-functional storage tank gravity fed reticulation system]]</f>
        <v>75</v>
      </c>
      <c r="CF105" s="478">
        <f>(WWWW[[#This Row],['#_Water_Liters_supplied_by_Water boating or water trucking]]/90)/15</f>
        <v>0</v>
      </c>
      <c r="CG105" s="478">
        <f>WWWW[[#This Row],['#_Water_Liters_from_Constructed/Existing water distribution system from river or natural spring]]/90/15</f>
        <v>0</v>
      </c>
      <c r="CH105" s="478">
        <f>WWWW[[#This Row],['#_of water points in TLS/CFS /THF]]*500</f>
        <v>0</v>
      </c>
      <c r="CI10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5" s="599">
        <f>IF(WWWW[[#This Row],[Location Type 1]]="Village",WWWW[[#This Row],[Access to safe drinking water for Village]],WWWW[[#This Row],[Access to safe drinking water for Camp]])</f>
        <v>1</v>
      </c>
      <c r="CL105" s="597">
        <f>WWWW[[#This Row],[%Equitable and continuous access to sufficient quantity of safe drinking water]]*WWWW[[#This Row],[Total PoP ]]</f>
        <v>305</v>
      </c>
      <c r="CM105" s="599">
        <f>IF((WWWW[[#This Row],['#_Constructed/Existing protected/fenced ponds]]*250)/WWWW[[#This Row],[Total PoP ]]&gt;1,1,(WWWW[[#This Row],['#_Constructed/Existing protected/fenced ponds]]*250)/WWWW[[#This Row],[Total PoP ]])</f>
        <v>0</v>
      </c>
      <c r="CN105" s="597">
        <f>WWWW[[#This Row],[% Access to unimproved water points]]*WWWW[[#This Row],[Total PoP ]]</f>
        <v>0</v>
      </c>
      <c r="CO10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CQ105" s="597">
        <f>WWWW[[#This Row],[HRP1]]/500</f>
        <v>0.61</v>
      </c>
      <c r="CR105" s="602">
        <f>1-WWWW[[#This Row],[% Equitable and continuous access to sufficient quantity of domestic water]]</f>
        <v>0</v>
      </c>
      <c r="CS105" s="597">
        <f>WWWW[[#This Row],[%equitable and continuous access to sufficient quantity of safe drinking and domestic water''s GAP]]*WWWW[[#This Row],[Total PoP ]]</f>
        <v>0</v>
      </c>
      <c r="CT105" s="600">
        <f>IF(WWWW[[#This Row],[Total required water points]]-WWWW[[#This Row],['#Water points coverage]]&lt;0,0,WWWW[[#This Row],[Total required water points]]-WWWW[[#This Row],['#Water points coverage]])</f>
        <v>0.39</v>
      </c>
      <c r="CU105" s="600">
        <f>ROUND(IF(WWWW[[#This Row],[Total PoP ]]&lt;500,1,WWWW[[#This Row],[Total PoP ]]/500),0)</f>
        <v>1</v>
      </c>
      <c r="CV105" s="600">
        <f>(WWWW[[#This Row],['#_Constructed latrines_by_WASHAgencies]]+WWWW[[#This Row],['#_Non Cluster partner latrines]])-WWWW[[#This Row],['#_Non-functional latrines]]</f>
        <v>71</v>
      </c>
      <c r="CW105" s="70">
        <f>WWWW[[#This Row],[HRP2]]/WWWW[[#This Row],[Total PoP ]]</f>
        <v>1</v>
      </c>
      <c r="CX10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v>
      </c>
      <c r="CY10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82</v>
      </c>
      <c r="DA105" s="600">
        <f>IF(WWWW[[#This Row],['# of functional latrines in THF supported by WASH partners during the reporting period2]]="",0,WWWW[[#This Row],['# of functional latrines in THF supported by WASH partners during the reporting period2]]*50)</f>
        <v>0</v>
      </c>
      <c r="DB105" s="600">
        <f>WWWW[[#This Row],['# students access to functioning school latrines_HRP5]]+WWWW[[#This Row],['# People access to functioning latrines in THF_HRP5]]</f>
        <v>82</v>
      </c>
      <c r="DC105" s="600">
        <f>ROUND(IF(WWWW[[#This Row],[Location Type 1]]="camp",WWWW[[#This Row],[Total PoP ]]/20,IF(WWWW[[#This Row],[Location Type 1]]="Temporary Location",WWWW[[#This Row],[Total PoP ]]/50,WWWW[[#This Row],[Total HH]])),0)</f>
        <v>145</v>
      </c>
      <c r="DD105" s="600">
        <f>IF(WWWW[[#This Row],[Total required Latrines]]-(WWWW[[#This Row],['#_Constructed latrines_by_WASHAgencies]]+WWWW[[#This Row],['#_Non Cluster partner latrines]])&lt;0,0,WWWW[[#This Row],[Total required Latrines]]-(WWWW[[#This Row],['#_Constructed latrines_by_WASHAgencies]]+WWWW[[#This Row],['#_Non Cluster partner latrines]]))</f>
        <v>74</v>
      </c>
      <c r="DE105" s="602">
        <f>1-WWWW[[#This Row],[% people access to functioning Latrine]]</f>
        <v>0</v>
      </c>
      <c r="DF105" s="601">
        <f>IF(OR(WWWW[[#This Row],['#_Non-functional latrines]]="",WWWW[[#This Row],['#_Non-functional latrines]]=0),0,WWWW[[#This Row],['#_Non-functional latrines]]/(WWWW[[#This Row],['#_Constructed latrines_by_WASHAgencies]]+WWWW[[#This Row],['#_Non Cluster partner latrines]]))</f>
        <v>0</v>
      </c>
      <c r="DG105" s="597">
        <f>IF(500*(WWWW[[#This Row],['#_male hygiene promoters]]+WWWW[[#This Row],['#_female hygiene promoters]])&gt;WWWW[[#This Row],[Total PoP ]],WWWW[[#This Row],[Total PoP ]],500*(WWWW[[#This Row],['#_male hygiene promoters]]+WWWW[[#This Row],['#_female hygiene promoters]]))</f>
        <v>305</v>
      </c>
      <c r="DH10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5" s="600">
        <f>IF(WWWW[[#This Row],['# People with access to soap]]&gt;WWWW[[#This Row],['# People with access to Sanity Pads]],WWWW[[#This Row],['# People with access to soap]],WWWW[[#This Row],['# People with access to Sanity Pads]])</f>
        <v>0</v>
      </c>
      <c r="DK105" s="600">
        <f>IF(WWWW[[#This Row],['# people reached by regular dedicated hygiene promotion_5]]&gt;WWWW[[#This Row],['# People received regular supply of hygiene items_6]],WWWW[[#This Row],['# people reached by regular dedicated hygiene promotion_5]],WWWW[[#This Row],['# People received regular supply of hygiene items_6]])</f>
        <v>305</v>
      </c>
      <c r="DL105" s="602">
        <f>IF(WWWW[[#This Row],[HRP3]]/WWWW[[#This Row],[Total PoP ]]&gt;1,1,WWWW[[#This Row],[HRP3]]/WWWW[[#This Row],[Total PoP ]])</f>
        <v>1</v>
      </c>
      <c r="DM105" s="601">
        <f>1-WWWW[[#This Row],[Hygiene Coverage%]]</f>
        <v>0</v>
      </c>
      <c r="DN105" s="599">
        <f>WWWW[[#This Row],['# people reached by regular dedicated hygiene promotion_5]]/WWWW[[#This Row],[Total PoP ]]</f>
        <v>1</v>
      </c>
      <c r="DO10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5" s="600">
        <f>WWWW[[#This Row],['#_Constructed/Existing hand washing stations]]-WWWW[[#This Row],['#_Non-Functional_hand_washing_stations]]</f>
        <v>5</v>
      </c>
      <c r="DR105" s="597">
        <f>IF(WWWW[[#This Row],['# Functional hand washing stations during reporting period]]*20&gt;WWWW[[#This Row],[Total HH]],WWWW[[#This Row],[Total HH]],WWWW[[#This Row],['# Functional hand washing stations during reporting period]]*20)</f>
        <v>100</v>
      </c>
      <c r="DS105" s="597">
        <f>IF(WWWW[[#This Row],[Is sufficient soap available for TLS? (Yes/No)]]="yes",WWWW[[#This Row],['#_Constructed/Existing hand washing stations at TLS]],0)</f>
        <v>3</v>
      </c>
      <c r="DT105" s="479">
        <f>IF(WWWW[[#This Row],['# Functional hand washing stations during reporting period]]*100&gt;WWWW[[#This Row],[Total PoP ]],WWWW[[#This Row],[Total PoP ]],WWWW[[#This Row],['# Functional hand washing stations during reporting period]]*100)</f>
        <v>305</v>
      </c>
      <c r="DU105" s="479" t="str">
        <f>IF(OR(WWWW[[#This Row],['#_students at TLS_CFS]]="",WWWW[[#This Row],['#_students at TLS_CFS]]=0),"No","Yes")</f>
        <v>Yes</v>
      </c>
      <c r="DV10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82</v>
      </c>
      <c r="DY105" s="593" t="str">
        <f>VLOOKUP(WWWW[[#This Row],[Site Name]],SiteDB6[[Site Name]:[CCCM Management]],6,FALSE)</f>
        <v>Yes</v>
      </c>
      <c r="DZ105" s="593" t="str">
        <f>VLOOKUP(WWWW[[#This Row],[Site Name]],SiteDB6[[Site Name]:[CCCM Focal Agency]],7,FALSE)</f>
        <v>KMSS-LSO</v>
      </c>
      <c r="EA105" s="593" t="str">
        <f>VLOOKUP(WWWW[[#This Row],[Site Name]],SiteDB6[[Site Name]:[Location Type 1]],9,FALSE)</f>
        <v>Village Type Camp</v>
      </c>
      <c r="EB105" s="593" t="str">
        <f>VLOOKUP(WWWW[[#This Row],[Site Name]],SiteDB6[[Site Name]:[Type of Accommodation]],10,FALSE)</f>
        <v>Camp</v>
      </c>
      <c r="EC105" s="593" t="str">
        <f>VLOOKUP(WWWW[[#This Row],[Site Name]],SiteDB6[[Site Name]:[Ethnic or GCA/NGCA]],11,FALSE)</f>
        <v>GCA</v>
      </c>
      <c r="ED105" s="593">
        <f>VLOOKUP(WWWW[[#This Row],[Site Name]],SiteDB6[[Site Name]:[Lat]],12,FALSE)</f>
        <v>23.588920000000002</v>
      </c>
      <c r="EE105" s="593">
        <f>VLOOKUP(WWWW[[#This Row],[Site Name]],SiteDB6[[Site Name]:[Long]],13,FALSE)</f>
        <v>97.793019999999999</v>
      </c>
      <c r="EF105" s="593" t="str">
        <f>VLOOKUP(WWWW[[#This Row],[Site Name]],SiteDB6[[Site Name]:[Pcode]],3,FALSE)</f>
        <v>MMR015CMP018</v>
      </c>
      <c r="EG105" s="598" t="str">
        <f t="shared" si="1"/>
        <v>Covered</v>
      </c>
      <c r="EH105" s="598" t="str">
        <f>VLOOKUP(WWWW[[#This Row],[Site Name]],SiteDB6[[Site Name]:[open in cccm?]],2,FALSE)</f>
        <v>cccm_2019OCT</v>
      </c>
    </row>
    <row r="106" spans="1:138" hidden="1">
      <c r="A106" s="591" t="s">
        <v>3261</v>
      </c>
      <c r="B106" s="591" t="s">
        <v>195</v>
      </c>
      <c r="C106" s="592" t="s">
        <v>195</v>
      </c>
      <c r="D106" s="592" t="s">
        <v>3037</v>
      </c>
      <c r="E106" s="592" t="s">
        <v>39</v>
      </c>
      <c r="F106" s="592" t="s">
        <v>208</v>
      </c>
      <c r="G106" s="721" t="str">
        <f>VLOOKUP(WWWW[[#This Row],[Site Name]],SiteDB6[[Site Name]:[Location Type]],8,FALSE)</f>
        <v>Camp</v>
      </c>
      <c r="H106" s="592" t="s">
        <v>216</v>
      </c>
      <c r="I106" s="594">
        <v>299</v>
      </c>
      <c r="J106" s="594">
        <v>1406</v>
      </c>
      <c r="K106" s="595">
        <v>43466</v>
      </c>
      <c r="L106" s="596">
        <v>43830</v>
      </c>
      <c r="M106" s="594"/>
      <c r="N106" s="594"/>
      <c r="O106" s="594"/>
      <c r="P106" s="594"/>
      <c r="Q106" s="597" t="s">
        <v>43</v>
      </c>
      <c r="R106" s="594">
        <v>1</v>
      </c>
      <c r="S106" s="594">
        <v>5</v>
      </c>
      <c r="T106" s="523">
        <v>2</v>
      </c>
      <c r="U106" s="594"/>
      <c r="V106" s="594"/>
      <c r="W106" s="594"/>
      <c r="X106" s="594"/>
      <c r="Y106" s="594"/>
      <c r="Z106" s="594"/>
      <c r="AA106" s="594"/>
      <c r="AB106" s="594"/>
      <c r="AC106" s="594"/>
      <c r="AD106" s="594"/>
      <c r="AE106" s="594"/>
      <c r="AF106" s="795"/>
      <c r="AG106" s="594"/>
      <c r="AH106" s="594"/>
      <c r="AI106" s="594"/>
      <c r="AJ106" s="594"/>
      <c r="AK106" s="594"/>
      <c r="AL106" s="594"/>
      <c r="AM106" s="594"/>
      <c r="AN106" s="594"/>
      <c r="AO106" s="598"/>
      <c r="AP106" s="594">
        <v>14</v>
      </c>
      <c r="AQ106" s="594"/>
      <c r="AR106" s="599"/>
      <c r="AS106" s="594"/>
      <c r="AT106" s="594"/>
      <c r="AU106" s="594"/>
      <c r="AV106" s="594"/>
      <c r="AW106" s="594"/>
      <c r="AX106" s="593" t="s">
        <v>43</v>
      </c>
      <c r="AY106" s="598" t="s">
        <v>140</v>
      </c>
      <c r="AZ106" s="594"/>
      <c r="BA106" s="594"/>
      <c r="BB106" s="594"/>
      <c r="BC106" s="594"/>
      <c r="BD106" s="523"/>
      <c r="BE106" s="593"/>
      <c r="BF106" s="594">
        <v>6</v>
      </c>
      <c r="BG106" s="594"/>
      <c r="BH106" s="594"/>
      <c r="BI106" s="594">
        <v>4</v>
      </c>
      <c r="BJ106" s="594"/>
      <c r="BK106" s="594"/>
      <c r="BL106" s="594"/>
      <c r="BM106" s="594"/>
      <c r="BN106" s="594"/>
      <c r="BO106" s="593"/>
      <c r="BP106" s="594"/>
      <c r="BQ106" s="599"/>
      <c r="BR106" s="593"/>
      <c r="BS106" s="472"/>
      <c r="BT106" s="472"/>
      <c r="BU106" s="523"/>
      <c r="BV106" s="472"/>
      <c r="BW106" s="523"/>
      <c r="BX106" s="523"/>
      <c r="BY106" s="523"/>
      <c r="BZ106" s="601" t="str">
        <f>IFERROR(WWWW[[#This Row],['#_Water sources passed]]/WWWW[[#This Row],['#_Water sources tested for fecal coliform ]],"no test")</f>
        <v>no test</v>
      </c>
      <c r="CA106" s="599" t="str">
        <f>IFERROR(WWWW[[#This Row],['#_Household passed]]/WWWW[[#This Row],['#_Household water samples tested for fecal coliform]],"no test")</f>
        <v>no test</v>
      </c>
      <c r="CB106" s="600" t="str">
        <f>IF(AND(WWWW[[#This Row],[% of water sources passed]]="no test",WWWW[[#This Row],[% Household passed]]="no test"),"No Test","Tested")</f>
        <v>No Test</v>
      </c>
      <c r="CC106" s="600">
        <f>WWWW[[#This Row],['#_Constructed/existing protected hand dug well]]-WWWW[[#This Row],['#_Non-functional protected hand dug well]]</f>
        <v>2</v>
      </c>
      <c r="CD106" s="600">
        <f>(WWWW[[#This Row],['#_Constructed/Existing tube wells/boreholes/handpumps_WASH_agency]]+WWWW[[#This Row],['#_Non-Cluster partner water tube-wells/boreholes/handpumps]])-WWWW[[#This Row],['#_Non-functional tube wells/boreholes/handpumps]]</f>
        <v>0</v>
      </c>
      <c r="CE106" s="600">
        <f>WWWW[[#This Row],['#_Constructed/Existingwater storage tank with gravity fed reticulation system]]-WWWW[[#This Row],['#_Non-functional storage tank gravity fed reticulation system]]</f>
        <v>0</v>
      </c>
      <c r="CF106" s="478">
        <f>(WWWW[[#This Row],['#_Water_Liters_supplied_by_Water boating or water trucking]]/90)/15</f>
        <v>0</v>
      </c>
      <c r="CG106" s="478">
        <f>WWWW[[#This Row],['#_Water_Liters_from_Constructed/Existing water distribution system from river or natural spring]]/90/15</f>
        <v>0</v>
      </c>
      <c r="CH106" s="478">
        <f>WWWW[[#This Row],['#_of water points in TLS/CFS /THF]]*500</f>
        <v>0</v>
      </c>
      <c r="CI10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0.56899004267425324</v>
      </c>
      <c r="CJ10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0.35561877667140823</v>
      </c>
      <c r="CK106" s="599">
        <f>IF(WWWW[[#This Row],[Location Type 1]]="Village",WWWW[[#This Row],[Access to safe drinking water for Village]],WWWW[[#This Row],[Access to safe drinking water for Camp]])</f>
        <v>0.56899004267425324</v>
      </c>
      <c r="CL106" s="597">
        <f>WWWW[[#This Row],[%Equitable and continuous access to sufficient quantity of safe drinking water]]*WWWW[[#This Row],[Total PoP ]]</f>
        <v>800</v>
      </c>
      <c r="CM106" s="599">
        <f>IF((WWWW[[#This Row],['#_Constructed/Existing protected/fenced ponds]]*250)/WWWW[[#This Row],[Total PoP ]]&gt;1,1,(WWWW[[#This Row],['#_Constructed/Existing protected/fenced ponds]]*250)/WWWW[[#This Row],[Total PoP ]])</f>
        <v>0</v>
      </c>
      <c r="CN106" s="597">
        <f>WWWW[[#This Row],[% Access to unimproved water points]]*WWWW[[#This Row],[Total PoP ]]</f>
        <v>0</v>
      </c>
      <c r="CO10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0.56899004267425324</v>
      </c>
      <c r="CP10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106" s="597">
        <f>WWWW[[#This Row],[HRP1]]/500</f>
        <v>1.6</v>
      </c>
      <c r="CR106" s="602">
        <f>1-WWWW[[#This Row],[% Equitable and continuous access to sufficient quantity of domestic water]]</f>
        <v>0.43100995732574676</v>
      </c>
      <c r="CS106" s="597">
        <f>WWWW[[#This Row],[%equitable and continuous access to sufficient quantity of safe drinking and domestic water''s GAP]]*WWWW[[#This Row],[Total PoP ]]</f>
        <v>606</v>
      </c>
      <c r="CT106" s="600">
        <f>IF(WWWW[[#This Row],[Total required water points]]-WWWW[[#This Row],['#Water points coverage]]&lt;0,0,WWWW[[#This Row],[Total required water points]]-WWWW[[#This Row],['#Water points coverage]])</f>
        <v>1.4</v>
      </c>
      <c r="CU106" s="600">
        <f>ROUND(IF(WWWW[[#This Row],[Total PoP ]]&lt;500,1,WWWW[[#This Row],[Total PoP ]]/500),0)</f>
        <v>3</v>
      </c>
      <c r="CV106" s="600">
        <f>(WWWW[[#This Row],['#_Constructed latrines_by_WASHAgencies]]+WWWW[[#This Row],['#_Non Cluster partner latrines]])-WWWW[[#This Row],['#_Non-functional latrines]]</f>
        <v>14</v>
      </c>
      <c r="CW106" s="70">
        <f>WWWW[[#This Row],[HRP2]]/WWWW[[#This Row],[Total PoP ]]</f>
        <v>0.19914651493598862</v>
      </c>
      <c r="CX10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10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6" s="600">
        <f>IF(WWWW[[#This Row],['# of functional latrines in THF supported by WASH partners during the reporting period2]]="",0,WWWW[[#This Row],['# of functional latrines in THF supported by WASH partners during the reporting period2]]*50)</f>
        <v>0</v>
      </c>
      <c r="DB106" s="600">
        <f>WWWW[[#This Row],['# students access to functioning school latrines_HRP5]]+WWWW[[#This Row],['# People access to functioning latrines in THF_HRP5]]</f>
        <v>0</v>
      </c>
      <c r="DC106" s="600">
        <f>ROUND(IF(WWWW[[#This Row],[Location Type 1]]="camp",WWWW[[#This Row],[Total PoP ]]/20,IF(WWWW[[#This Row],[Location Type 1]]="Temporary Location",WWWW[[#This Row],[Total PoP ]]/50,WWWW[[#This Row],[Total HH]])),0)</f>
        <v>70</v>
      </c>
      <c r="DD106" s="600">
        <f>IF(WWWW[[#This Row],[Total required Latrines]]-(WWWW[[#This Row],['#_Constructed latrines_by_WASHAgencies]]+WWWW[[#This Row],['#_Non Cluster partner latrines]])&lt;0,0,WWWW[[#This Row],[Total required Latrines]]-(WWWW[[#This Row],['#_Constructed latrines_by_WASHAgencies]]+WWWW[[#This Row],['#_Non Cluster partner latrines]]))</f>
        <v>56</v>
      </c>
      <c r="DE106" s="602">
        <f>1-WWWW[[#This Row],[% people access to functioning Latrine]]</f>
        <v>0.80085348506401144</v>
      </c>
      <c r="DF106" s="601">
        <f>IF(OR(WWWW[[#This Row],['#_Non-functional latrines]]="",WWWW[[#This Row],['#_Non-functional latrines]]=0),0,WWWW[[#This Row],['#_Non-functional latrines]]/(WWWW[[#This Row],['#_Constructed latrines_by_WASHAgencies]]+WWWW[[#This Row],['#_Non Cluster partner latrines]]))</f>
        <v>0</v>
      </c>
      <c r="DG106" s="597">
        <f>IF(500*(WWWW[[#This Row],['#_male hygiene promoters]]+WWWW[[#This Row],['#_female hygiene promoters]])&gt;WWWW[[#This Row],[Total PoP ]],WWWW[[#This Row],[Total PoP ]],500*(WWWW[[#This Row],['#_male hygiene promoters]]+WWWW[[#This Row],['#_female hygiene promoters]]))</f>
        <v>0</v>
      </c>
      <c r="DH10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6" s="600">
        <f>IF(WWWW[[#This Row],['# People with access to soap]]&gt;WWWW[[#This Row],['# People with access to Sanity Pads]],WWWW[[#This Row],['# People with access to soap]],WWWW[[#This Row],['# People with access to Sanity Pads]])</f>
        <v>0</v>
      </c>
      <c r="DK10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6" s="602">
        <f>IF(WWWW[[#This Row],[HRP3]]/WWWW[[#This Row],[Total PoP ]]&gt;1,1,WWWW[[#This Row],[HRP3]]/WWWW[[#This Row],[Total PoP ]])</f>
        <v>0</v>
      </c>
      <c r="DM106" s="601">
        <f>1-WWWW[[#This Row],[Hygiene Coverage%]]</f>
        <v>1</v>
      </c>
      <c r="DN106" s="599">
        <f>WWWW[[#This Row],['# people reached by regular dedicated hygiene promotion_5]]/WWWW[[#This Row],[Total PoP ]]</f>
        <v>0</v>
      </c>
      <c r="DO10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6" s="600">
        <f>WWWW[[#This Row],['#_Constructed/Existing hand washing stations]]-WWWW[[#This Row],['#_Non-Functional_hand_washing_stations]]</f>
        <v>6</v>
      </c>
      <c r="DR106" s="597">
        <f>IF(WWWW[[#This Row],['# Functional hand washing stations during reporting period]]*20&gt;WWWW[[#This Row],[Total HH]],WWWW[[#This Row],[Total HH]],WWWW[[#This Row],['# Functional hand washing stations during reporting period]]*20)</f>
        <v>120</v>
      </c>
      <c r="DS106" s="597">
        <f>IF(WWWW[[#This Row],[Is sufficient soap available for TLS? (Yes/No)]]="yes",WWWW[[#This Row],['#_Constructed/Existing hand washing stations at TLS]],0)</f>
        <v>0</v>
      </c>
      <c r="DT106" s="479">
        <f>IF(WWWW[[#This Row],['# Functional hand washing stations during reporting period]]*100&gt;WWWW[[#This Row],[Total PoP ]],WWWW[[#This Row],[Total PoP ]],WWWW[[#This Row],['# Functional hand washing stations during reporting period]]*100)</f>
        <v>600</v>
      </c>
      <c r="DU106" s="479" t="str">
        <f>IF(OR(WWWW[[#This Row],['#_students at TLS_CFS]]="",WWWW[[#This Row],['#_students at TLS_CFS]]=0),"No","Yes")</f>
        <v>No</v>
      </c>
      <c r="DV10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6" s="593" t="str">
        <f>VLOOKUP(WWWW[[#This Row],[Site Name]],SiteDB6[[Site Name]:[CCCM Management]],6,FALSE)</f>
        <v>Yes</v>
      </c>
      <c r="DZ106" s="593" t="str">
        <f>VLOOKUP(WWWW[[#This Row],[Site Name]],SiteDB6[[Site Name]:[CCCM Focal Agency]],7,FALSE)</f>
        <v>KBC-BMO</v>
      </c>
      <c r="EA106" s="593" t="str">
        <f>VLOOKUP(WWWW[[#This Row],[Site Name]],SiteDB6[[Site Name]:[Location Type 1]],9,FALSE)</f>
        <v>Camp</v>
      </c>
      <c r="EB106" s="593" t="str">
        <f>VLOOKUP(WWWW[[#This Row],[Site Name]],SiteDB6[[Site Name]:[Type of Accommodation]],10,FALSE)</f>
        <v>Camp</v>
      </c>
      <c r="EC106" s="593" t="str">
        <f>VLOOKUP(WWWW[[#This Row],[Site Name]],SiteDB6[[Site Name]:[Ethnic or GCA/NGCA]],11,FALSE)</f>
        <v>GCA</v>
      </c>
      <c r="ED106" s="593">
        <f>VLOOKUP(WWWW[[#This Row],[Site Name]],SiteDB6[[Site Name]:[Lat]],12,FALSE)</f>
        <v>24.250689999999999</v>
      </c>
      <c r="EE106" s="593">
        <f>VLOOKUP(WWWW[[#This Row],[Site Name]],SiteDB6[[Site Name]:[Long]],13,FALSE)</f>
        <v>97.344359999999995</v>
      </c>
      <c r="EF106" s="593" t="str">
        <f>VLOOKUP(WWWW[[#This Row],[Site Name]],SiteDB6[[Site Name]:[Pcode]],3,FALSE)</f>
        <v>MMR001CMP056</v>
      </c>
      <c r="EG106" s="598" t="str">
        <f t="shared" si="1"/>
        <v>Covered</v>
      </c>
      <c r="EH106" s="598" t="str">
        <f>VLOOKUP(WWWW[[#This Row],[Site Name]],SiteDB6[[Site Name]:[open in cccm?]],2,FALSE)</f>
        <v>cccm_2019OCT</v>
      </c>
    </row>
    <row r="107" spans="1:138" hidden="1">
      <c r="A107" s="591" t="s">
        <v>3261</v>
      </c>
      <c r="B107" s="591" t="s">
        <v>195</v>
      </c>
      <c r="C107" s="592" t="s">
        <v>195</v>
      </c>
      <c r="D107" s="592" t="s">
        <v>3045</v>
      </c>
      <c r="E107" s="592" t="s">
        <v>711</v>
      </c>
      <c r="F107" s="592" t="s">
        <v>712</v>
      </c>
      <c r="G107" s="721" t="str">
        <f>VLOOKUP(WWWW[[#This Row],[Site Name]],SiteDB6[[Site Name]:[Location Type]],8,FALSE)</f>
        <v>Camp</v>
      </c>
      <c r="H107" s="592" t="s">
        <v>757</v>
      </c>
      <c r="I107" s="594">
        <v>60</v>
      </c>
      <c r="J107" s="594">
        <v>276</v>
      </c>
      <c r="K107" s="595" t="s">
        <v>3289</v>
      </c>
      <c r="L107" s="596" t="s">
        <v>3290</v>
      </c>
      <c r="M107" s="594"/>
      <c r="N107" s="594"/>
      <c r="O107" s="594"/>
      <c r="P107" s="594"/>
      <c r="Q107" s="597" t="s">
        <v>43</v>
      </c>
      <c r="R107" s="594">
        <v>4</v>
      </c>
      <c r="S107" s="594">
        <v>5</v>
      </c>
      <c r="T107" s="523">
        <v>0</v>
      </c>
      <c r="U107" s="594"/>
      <c r="V107" s="594"/>
      <c r="W107" s="594"/>
      <c r="X107" s="594">
        <v>0</v>
      </c>
      <c r="Y107" s="594"/>
      <c r="Z107" s="594"/>
      <c r="AA107" s="594">
        <v>30</v>
      </c>
      <c r="AB107" s="594"/>
      <c r="AC107" s="594"/>
      <c r="AD107" s="594">
        <v>0</v>
      </c>
      <c r="AE107" s="594"/>
      <c r="AF107" s="594">
        <v>0</v>
      </c>
      <c r="AG107" s="594"/>
      <c r="AH107" s="594"/>
      <c r="AI107" s="594"/>
      <c r="AJ107" s="594"/>
      <c r="AK107" s="594"/>
      <c r="AL107" s="594"/>
      <c r="AM107" s="594"/>
      <c r="AN107" s="594"/>
      <c r="AO107" s="598"/>
      <c r="AP107" s="594">
        <v>10</v>
      </c>
      <c r="AQ107" s="594">
        <v>0</v>
      </c>
      <c r="AR107" s="599"/>
      <c r="AS107" s="594"/>
      <c r="AT107" s="594"/>
      <c r="AU107" s="594"/>
      <c r="AV107" s="594"/>
      <c r="AW107" s="594"/>
      <c r="AX107" s="593" t="s">
        <v>43</v>
      </c>
      <c r="AY107" s="598" t="s">
        <v>140</v>
      </c>
      <c r="AZ107" s="594">
        <v>0</v>
      </c>
      <c r="BA107" s="594">
        <v>0</v>
      </c>
      <c r="BB107" s="594"/>
      <c r="BC107" s="594"/>
      <c r="BD107" s="523"/>
      <c r="BE107" s="593"/>
      <c r="BF107" s="594">
        <v>2</v>
      </c>
      <c r="BG107" s="594"/>
      <c r="BH107" s="594">
        <v>0</v>
      </c>
      <c r="BI107" s="594">
        <v>2</v>
      </c>
      <c r="BJ107" s="594"/>
      <c r="BK107" s="594">
        <v>0</v>
      </c>
      <c r="BL107" s="594">
        <v>1</v>
      </c>
      <c r="BM107" s="594"/>
      <c r="BN107" s="594"/>
      <c r="BO107" s="593" t="s">
        <v>139</v>
      </c>
      <c r="BP107" s="594"/>
      <c r="BQ107" s="599"/>
      <c r="BR107" s="593"/>
      <c r="BS107" s="472"/>
      <c r="BT107" s="472"/>
      <c r="BU107" s="523"/>
      <c r="BV107" s="472"/>
      <c r="BW107" s="523"/>
      <c r="BX107" s="523"/>
      <c r="BY107" s="523"/>
      <c r="BZ107" s="601" t="str">
        <f>IFERROR(WWWW[[#This Row],['#_Water sources passed]]/WWWW[[#This Row],['#_Water sources tested for fecal coliform ]],"no test")</f>
        <v>no test</v>
      </c>
      <c r="CA107" s="599" t="str">
        <f>IFERROR(WWWW[[#This Row],['#_Household passed]]/WWWW[[#This Row],['#_Household water samples tested for fecal coliform]],"no test")</f>
        <v>no test</v>
      </c>
      <c r="CB107" s="600" t="str">
        <f>IF(AND(WWWW[[#This Row],[% of water sources passed]]="no test",WWWW[[#This Row],[% Household passed]]="no test"),"No Test","Tested")</f>
        <v>No Test</v>
      </c>
      <c r="CC107" s="600">
        <f>WWWW[[#This Row],['#_Constructed/existing protected hand dug well]]-WWWW[[#This Row],['#_Non-functional protected hand dug well]]</f>
        <v>0</v>
      </c>
      <c r="CD107" s="600">
        <f>(WWWW[[#This Row],['#_Constructed/Existing tube wells/boreholes/handpumps_WASH_agency]]+WWWW[[#This Row],['#_Non-Cluster partner water tube-wells/boreholes/handpumps]])-WWWW[[#This Row],['#_Non-functional tube wells/boreholes/handpumps]]</f>
        <v>0</v>
      </c>
      <c r="CE107" s="600">
        <f>WWWW[[#This Row],['#_Constructed/Existingwater storage tank with gravity fed reticulation system]]-WWWW[[#This Row],['#_Non-functional storage tank gravity fed reticulation system]]</f>
        <v>30</v>
      </c>
      <c r="CF107" s="478">
        <f>(WWWW[[#This Row],['#_Water_Liters_supplied_by_Water boating or water trucking]]/90)/15</f>
        <v>0</v>
      </c>
      <c r="CG107" s="478">
        <f>WWWW[[#This Row],['#_Water_Liters_from_Constructed/Existing water distribution system from river or natural spring]]/90/15</f>
        <v>0</v>
      </c>
      <c r="CH107" s="478">
        <f>WWWW[[#This Row],['#_of water points in TLS/CFS /THF]]*500</f>
        <v>0</v>
      </c>
      <c r="CI10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7" s="599">
        <f>IF(WWWW[[#This Row],[Location Type 1]]="Village",WWWW[[#This Row],[Access to safe drinking water for Village]],WWWW[[#This Row],[Access to safe drinking water for Camp]])</f>
        <v>1</v>
      </c>
      <c r="CL107" s="597">
        <f>WWWW[[#This Row],[%Equitable and continuous access to sufficient quantity of safe drinking water]]*WWWW[[#This Row],[Total PoP ]]</f>
        <v>276</v>
      </c>
      <c r="CM107" s="599">
        <f>IF((WWWW[[#This Row],['#_Constructed/Existing protected/fenced ponds]]*250)/WWWW[[#This Row],[Total PoP ]]&gt;1,1,(WWWW[[#This Row],['#_Constructed/Existing protected/fenced ponds]]*250)/WWWW[[#This Row],[Total PoP ]])</f>
        <v>0</v>
      </c>
      <c r="CN107" s="597">
        <f>WWWW[[#This Row],[% Access to unimproved water points]]*WWWW[[#This Row],[Total PoP ]]</f>
        <v>0</v>
      </c>
      <c r="CO10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107" s="597">
        <f>WWWW[[#This Row],[HRP1]]/500</f>
        <v>0.55200000000000005</v>
      </c>
      <c r="CR107" s="602">
        <f>1-WWWW[[#This Row],[% Equitable and continuous access to sufficient quantity of domestic water]]</f>
        <v>0</v>
      </c>
      <c r="CS107" s="597">
        <f>WWWW[[#This Row],[%equitable and continuous access to sufficient quantity of safe drinking and domestic water''s GAP]]*WWWW[[#This Row],[Total PoP ]]</f>
        <v>0</v>
      </c>
      <c r="CT107" s="600">
        <f>IF(WWWW[[#This Row],[Total required water points]]-WWWW[[#This Row],['#Water points coverage]]&lt;0,0,WWWW[[#This Row],[Total required water points]]-WWWW[[#This Row],['#Water points coverage]])</f>
        <v>0.44799999999999995</v>
      </c>
      <c r="CU107" s="600">
        <f>ROUND(IF(WWWW[[#This Row],[Total PoP ]]&lt;500,1,WWWW[[#This Row],[Total PoP ]]/500),0)</f>
        <v>1</v>
      </c>
      <c r="CV107" s="600">
        <f>(WWWW[[#This Row],['#_Constructed latrines_by_WASHAgencies]]+WWWW[[#This Row],['#_Non Cluster partner latrines]])-WWWW[[#This Row],['#_Non-functional latrines]]</f>
        <v>10</v>
      </c>
      <c r="CW107" s="70">
        <f>WWWW[[#This Row],[HRP2]]/WWWW[[#This Row],[Total PoP ]]</f>
        <v>0.72463768115942029</v>
      </c>
      <c r="CX10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0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7" s="600">
        <f>IF(WWWW[[#This Row],['# of functional latrines in THF supported by WASH partners during the reporting period2]]="",0,WWWW[[#This Row],['# of functional latrines in THF supported by WASH partners during the reporting period2]]*50)</f>
        <v>0</v>
      </c>
      <c r="DB107" s="600">
        <f>WWWW[[#This Row],['# students access to functioning school latrines_HRP5]]+WWWW[[#This Row],['# People access to functioning latrines in THF_HRP5]]</f>
        <v>0</v>
      </c>
      <c r="DC107" s="600">
        <f>ROUND(IF(WWWW[[#This Row],[Location Type 1]]="camp",WWWW[[#This Row],[Total PoP ]]/20,IF(WWWW[[#This Row],[Location Type 1]]="Temporary Location",WWWW[[#This Row],[Total PoP ]]/50,WWWW[[#This Row],[Total HH]])),0)</f>
        <v>14</v>
      </c>
      <c r="DD107" s="600">
        <f>IF(WWWW[[#This Row],[Total required Latrines]]-(WWWW[[#This Row],['#_Constructed latrines_by_WASHAgencies]]+WWWW[[#This Row],['#_Non Cluster partner latrines]])&lt;0,0,WWWW[[#This Row],[Total required Latrines]]-(WWWW[[#This Row],['#_Constructed latrines_by_WASHAgencies]]+WWWW[[#This Row],['#_Non Cluster partner latrines]]))</f>
        <v>4</v>
      </c>
      <c r="DE107" s="602">
        <f>1-WWWW[[#This Row],[% people access to functioning Latrine]]</f>
        <v>0.27536231884057971</v>
      </c>
      <c r="DF107" s="601">
        <f>IF(OR(WWWW[[#This Row],['#_Non-functional latrines]]="",WWWW[[#This Row],['#_Non-functional latrines]]=0),0,WWWW[[#This Row],['#_Non-functional latrines]]/(WWWW[[#This Row],['#_Constructed latrines_by_WASHAgencies]]+WWWW[[#This Row],['#_Non Cluster partner latrines]]))</f>
        <v>0</v>
      </c>
      <c r="DG107" s="597">
        <f>IF(500*(WWWW[[#This Row],['#_male hygiene promoters]]+WWWW[[#This Row],['#_female hygiene promoters]])&gt;WWWW[[#This Row],[Total PoP ]],WWWW[[#This Row],[Total PoP ]],500*(WWWW[[#This Row],['#_male hygiene promoters]]+WWWW[[#This Row],['#_female hygiene promoters]]))</f>
        <v>276</v>
      </c>
      <c r="DH10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7" s="600">
        <f>IF(WWWW[[#This Row],['# People with access to soap]]&gt;WWWW[[#This Row],['# People with access to Sanity Pads]],WWWW[[#This Row],['# People with access to soap]],WWWW[[#This Row],['# People with access to Sanity Pads]])</f>
        <v>0</v>
      </c>
      <c r="DK107" s="600">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107" s="602">
        <f>IF(WWWW[[#This Row],[HRP3]]/WWWW[[#This Row],[Total PoP ]]&gt;1,1,WWWW[[#This Row],[HRP3]]/WWWW[[#This Row],[Total PoP ]])</f>
        <v>1</v>
      </c>
      <c r="DM107" s="601">
        <f>1-WWWW[[#This Row],[Hygiene Coverage%]]</f>
        <v>0</v>
      </c>
      <c r="DN107" s="599">
        <f>WWWW[[#This Row],['# people reached by regular dedicated hygiene promotion_5]]/WWWW[[#This Row],[Total PoP ]]</f>
        <v>1</v>
      </c>
      <c r="DO10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7" s="600">
        <f>WWWW[[#This Row],['#_Constructed/Existing hand washing stations]]-WWWW[[#This Row],['#_Non-Functional_hand_washing_stations]]</f>
        <v>2</v>
      </c>
      <c r="DR107" s="597">
        <f>IF(WWWW[[#This Row],['# Functional hand washing stations during reporting period]]*20&gt;WWWW[[#This Row],[Total HH]],WWWW[[#This Row],[Total HH]],WWWW[[#This Row],['# Functional hand washing stations during reporting period]]*20)</f>
        <v>40</v>
      </c>
      <c r="DS107" s="597">
        <f>IF(WWWW[[#This Row],[Is sufficient soap available for TLS? (Yes/No)]]="yes",WWWW[[#This Row],['#_Constructed/Existing hand washing stations at TLS]],0)</f>
        <v>0</v>
      </c>
      <c r="DT107" s="479">
        <f>IF(WWWW[[#This Row],['# Functional hand washing stations during reporting period]]*100&gt;WWWW[[#This Row],[Total PoP ]],WWWW[[#This Row],[Total PoP ]],WWWW[[#This Row],['# Functional hand washing stations during reporting period]]*100)</f>
        <v>200</v>
      </c>
      <c r="DU107" s="479" t="str">
        <f>IF(OR(WWWW[[#This Row],['#_students at TLS_CFS]]="",WWWW[[#This Row],['#_students at TLS_CFS]]=0),"No","Yes")</f>
        <v>No</v>
      </c>
      <c r="DV10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7" s="593">
        <f>VLOOKUP(WWWW[[#This Row],[Site Name]],SiteDB6[[Site Name]:[CCCM Management]],6,FALSE)</f>
        <v>0</v>
      </c>
      <c r="DZ107" s="593" t="str">
        <f>VLOOKUP(WWWW[[#This Row],[Site Name]],SiteDB6[[Site Name]:[CCCM Focal Agency]],7,FALSE)</f>
        <v>uncovered</v>
      </c>
      <c r="EA107" s="593" t="str">
        <f>VLOOKUP(WWWW[[#This Row],[Site Name]],SiteDB6[[Site Name]:[Location Type 1]],9,FALSE)</f>
        <v>Camp</v>
      </c>
      <c r="EB107" s="593" t="str">
        <f>VLOOKUP(WWWW[[#This Row],[Site Name]],SiteDB6[[Site Name]:[Type of Accommodation]],10,FALSE)</f>
        <v>Camp like setting</v>
      </c>
      <c r="EC107" s="593" t="str">
        <f>VLOOKUP(WWWW[[#This Row],[Site Name]],SiteDB6[[Site Name]:[Ethnic or GCA/NGCA]],11,FALSE)</f>
        <v>GCA</v>
      </c>
      <c r="ED107" s="593">
        <f>VLOOKUP(WWWW[[#This Row],[Site Name]],SiteDB6[[Site Name]:[Lat]],12,FALSE)</f>
        <v>23.611999999999998</v>
      </c>
      <c r="EE107" s="593">
        <f>VLOOKUP(WWWW[[#This Row],[Site Name]],SiteDB6[[Site Name]:[Long]],13,FALSE)</f>
        <v>97.506</v>
      </c>
      <c r="EF107" s="593" t="str">
        <f>VLOOKUP(WWWW[[#This Row],[Site Name]],SiteDB6[[Site Name]:[Pcode]],3,FALSE)</f>
        <v>MMR015CMP224</v>
      </c>
      <c r="EG107" s="598" t="str">
        <f t="shared" si="1"/>
        <v>Covered</v>
      </c>
      <c r="EH107" s="598" t="str">
        <f>VLOOKUP(WWWW[[#This Row],[Site Name]],SiteDB6[[Site Name]:[open in cccm?]],2,FALSE)</f>
        <v>cccm_2019OCT</v>
      </c>
    </row>
    <row r="108" spans="1:138" hidden="1">
      <c r="A108" s="591" t="s">
        <v>3261</v>
      </c>
      <c r="B108" s="591" t="s">
        <v>195</v>
      </c>
      <c r="C108" s="592" t="s">
        <v>195</v>
      </c>
      <c r="D108" s="592" t="s">
        <v>3045</v>
      </c>
      <c r="E108" s="592" t="s">
        <v>711</v>
      </c>
      <c r="F108" s="592" t="s">
        <v>715</v>
      </c>
      <c r="G108" s="721" t="str">
        <f>VLOOKUP(WWWW[[#This Row],[Site Name]],SiteDB6[[Site Name]:[Location Type]],8,FALSE)</f>
        <v>Camp</v>
      </c>
      <c r="H108" s="592" t="s">
        <v>741</v>
      </c>
      <c r="I108" s="594">
        <v>34</v>
      </c>
      <c r="J108" s="594">
        <v>180</v>
      </c>
      <c r="K108" s="595" t="s">
        <v>3289</v>
      </c>
      <c r="L108" s="596" t="s">
        <v>3290</v>
      </c>
      <c r="M108" s="594"/>
      <c r="N108" s="594"/>
      <c r="O108" s="594"/>
      <c r="P108" s="594"/>
      <c r="Q108" s="597" t="s">
        <v>43</v>
      </c>
      <c r="R108" s="594">
        <v>5</v>
      </c>
      <c r="S108" s="594">
        <v>1</v>
      </c>
      <c r="T108" s="523">
        <v>0</v>
      </c>
      <c r="U108" s="594"/>
      <c r="V108" s="594"/>
      <c r="W108" s="594">
        <v>0</v>
      </c>
      <c r="X108" s="594">
        <v>0</v>
      </c>
      <c r="Y108" s="594"/>
      <c r="Z108" s="594"/>
      <c r="AA108" s="594">
        <v>25</v>
      </c>
      <c r="AB108" s="594"/>
      <c r="AC108" s="594"/>
      <c r="AD108" s="594">
        <v>0</v>
      </c>
      <c r="AE108" s="594"/>
      <c r="AF108" s="594">
        <v>0</v>
      </c>
      <c r="AG108" s="594"/>
      <c r="AH108" s="594"/>
      <c r="AI108" s="594"/>
      <c r="AJ108" s="594"/>
      <c r="AK108" s="594"/>
      <c r="AL108" s="594"/>
      <c r="AM108" s="594"/>
      <c r="AN108" s="594"/>
      <c r="AO108" s="598"/>
      <c r="AP108" s="594">
        <v>34</v>
      </c>
      <c r="AQ108" s="594">
        <v>0</v>
      </c>
      <c r="AR108" s="599"/>
      <c r="AS108" s="594"/>
      <c r="AT108" s="594"/>
      <c r="AU108" s="594"/>
      <c r="AV108" s="594"/>
      <c r="AW108" s="594"/>
      <c r="AX108" s="593" t="s">
        <v>43</v>
      </c>
      <c r="AY108" s="598" t="s">
        <v>140</v>
      </c>
      <c r="AZ108" s="594">
        <v>0</v>
      </c>
      <c r="BA108" s="594">
        <v>0</v>
      </c>
      <c r="BB108" s="594">
        <v>2</v>
      </c>
      <c r="BC108" s="594"/>
      <c r="BD108" s="523"/>
      <c r="BE108" s="593"/>
      <c r="BF108" s="594">
        <v>2</v>
      </c>
      <c r="BG108" s="594"/>
      <c r="BH108" s="594">
        <v>0</v>
      </c>
      <c r="BI108" s="594">
        <v>2</v>
      </c>
      <c r="BJ108" s="594"/>
      <c r="BK108" s="594">
        <v>0</v>
      </c>
      <c r="BL108" s="594">
        <v>1</v>
      </c>
      <c r="BM108" s="594"/>
      <c r="BN108" s="594"/>
      <c r="BO108" s="593" t="s">
        <v>139</v>
      </c>
      <c r="BP108" s="594"/>
      <c r="BQ108" s="599"/>
      <c r="BR108" s="593"/>
      <c r="BS108" s="472"/>
      <c r="BT108" s="472"/>
      <c r="BU108" s="523"/>
      <c r="BV108" s="472"/>
      <c r="BW108" s="523"/>
      <c r="BX108" s="523"/>
      <c r="BY108" s="523"/>
      <c r="BZ108" s="601" t="str">
        <f>IFERROR(WWWW[[#This Row],['#_Water sources passed]]/WWWW[[#This Row],['#_Water sources tested for fecal coliform ]],"no test")</f>
        <v>no test</v>
      </c>
      <c r="CA108" s="599" t="str">
        <f>IFERROR(WWWW[[#This Row],['#_Household passed]]/WWWW[[#This Row],['#_Household water samples tested for fecal coliform]],"no test")</f>
        <v>no test</v>
      </c>
      <c r="CB108" s="600" t="str">
        <f>IF(AND(WWWW[[#This Row],[% of water sources passed]]="no test",WWWW[[#This Row],[% Household passed]]="no test"),"No Test","Tested")</f>
        <v>No Test</v>
      </c>
      <c r="CC108" s="600">
        <f>WWWW[[#This Row],['#_Constructed/existing protected hand dug well]]-WWWW[[#This Row],['#_Non-functional protected hand dug well]]</f>
        <v>0</v>
      </c>
      <c r="CD108" s="600">
        <f>(WWWW[[#This Row],['#_Constructed/Existing tube wells/boreholes/handpumps_WASH_agency]]+WWWW[[#This Row],['#_Non-Cluster partner water tube-wells/boreholes/handpumps]])-WWWW[[#This Row],['#_Non-functional tube wells/boreholes/handpumps]]</f>
        <v>0</v>
      </c>
      <c r="CE108" s="600">
        <f>WWWW[[#This Row],['#_Constructed/Existingwater storage tank with gravity fed reticulation system]]-WWWW[[#This Row],['#_Non-functional storage tank gravity fed reticulation system]]</f>
        <v>25</v>
      </c>
      <c r="CF108" s="478">
        <f>(WWWW[[#This Row],['#_Water_Liters_supplied_by_Water boating or water trucking]]/90)/15</f>
        <v>0</v>
      </c>
      <c r="CG108" s="478">
        <f>WWWW[[#This Row],['#_Water_Liters_from_Constructed/Existing water distribution system from river or natural spring]]/90/15</f>
        <v>0</v>
      </c>
      <c r="CH108" s="478">
        <f>WWWW[[#This Row],['#_of water points in TLS/CFS /THF]]*500</f>
        <v>0</v>
      </c>
      <c r="CI10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0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08" s="599">
        <f>IF(WWWW[[#This Row],[Location Type 1]]="Village",WWWW[[#This Row],[Access to safe drinking water for Village]],WWWW[[#This Row],[Access to safe drinking water for Camp]])</f>
        <v>1</v>
      </c>
      <c r="CL108" s="597">
        <f>WWWW[[#This Row],[%Equitable and continuous access to sufficient quantity of safe drinking water]]*WWWW[[#This Row],[Total PoP ]]</f>
        <v>180</v>
      </c>
      <c r="CM108" s="599">
        <f>IF((WWWW[[#This Row],['#_Constructed/Existing protected/fenced ponds]]*250)/WWWW[[#This Row],[Total PoP ]]&gt;1,1,(WWWW[[#This Row],['#_Constructed/Existing protected/fenced ponds]]*250)/WWWW[[#This Row],[Total PoP ]])</f>
        <v>0</v>
      </c>
      <c r="CN108" s="597">
        <f>WWWW[[#This Row],[% Access to unimproved water points]]*WWWW[[#This Row],[Total PoP ]]</f>
        <v>0</v>
      </c>
      <c r="CO10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0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Q108" s="597">
        <f>WWWW[[#This Row],[HRP1]]/500</f>
        <v>0.36</v>
      </c>
      <c r="CR108" s="602">
        <f>1-WWWW[[#This Row],[% Equitable and continuous access to sufficient quantity of domestic water]]</f>
        <v>0</v>
      </c>
      <c r="CS108" s="597">
        <f>WWWW[[#This Row],[%equitable and continuous access to sufficient quantity of safe drinking and domestic water''s GAP]]*WWWW[[#This Row],[Total PoP ]]</f>
        <v>0</v>
      </c>
      <c r="CT108" s="600">
        <f>IF(WWWW[[#This Row],[Total required water points]]-WWWW[[#This Row],['#Water points coverage]]&lt;0,0,WWWW[[#This Row],[Total required water points]]-WWWW[[#This Row],['#Water points coverage]])</f>
        <v>0.64</v>
      </c>
      <c r="CU108" s="600">
        <f>ROUND(IF(WWWW[[#This Row],[Total PoP ]]&lt;500,1,WWWW[[#This Row],[Total PoP ]]/500),0)</f>
        <v>1</v>
      </c>
      <c r="CV108" s="600">
        <f>(WWWW[[#This Row],['#_Constructed latrines_by_WASHAgencies]]+WWWW[[#This Row],['#_Non Cluster partner latrines]])-WWWW[[#This Row],['#_Non-functional latrines]]</f>
        <v>34</v>
      </c>
      <c r="CW108" s="70">
        <f>WWWW[[#This Row],[HRP2]]/WWWW[[#This Row],[Total PoP ]]</f>
        <v>1</v>
      </c>
      <c r="CX10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0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8" s="600">
        <f>IF(WWWW[[#This Row],['# of functional latrines in THF supported by WASH partners during the reporting period2]]="",0,WWWW[[#This Row],['# of functional latrines in THF supported by WASH partners during the reporting period2]]*50)</f>
        <v>0</v>
      </c>
      <c r="DB108" s="600">
        <f>WWWW[[#This Row],['# students access to functioning school latrines_HRP5]]+WWWW[[#This Row],['# People access to functioning latrines in THF_HRP5]]</f>
        <v>0</v>
      </c>
      <c r="DC108" s="600">
        <f>ROUND(IF(WWWW[[#This Row],[Location Type 1]]="camp",WWWW[[#This Row],[Total PoP ]]/20,IF(WWWW[[#This Row],[Location Type 1]]="Temporary Location",WWWW[[#This Row],[Total PoP ]]/50,WWWW[[#This Row],[Total HH]])),0)</f>
        <v>9</v>
      </c>
      <c r="DD108" s="600">
        <f>IF(WWWW[[#This Row],[Total required Latrines]]-(WWWW[[#This Row],['#_Constructed latrines_by_WASHAgencies]]+WWWW[[#This Row],['#_Non Cluster partner latrines]])&lt;0,0,WWWW[[#This Row],[Total required Latrines]]-(WWWW[[#This Row],['#_Constructed latrines_by_WASHAgencies]]+WWWW[[#This Row],['#_Non Cluster partner latrines]]))</f>
        <v>0</v>
      </c>
      <c r="DE108" s="602">
        <f>1-WWWW[[#This Row],[% people access to functioning Latrine]]</f>
        <v>0</v>
      </c>
      <c r="DF108" s="601">
        <f>IF(OR(WWWW[[#This Row],['#_Non-functional latrines]]="",WWWW[[#This Row],['#_Non-functional latrines]]=0),0,WWWW[[#This Row],['#_Non-functional latrines]]/(WWWW[[#This Row],['#_Constructed latrines_by_WASHAgencies]]+WWWW[[#This Row],['#_Non Cluster partner latrines]]))</f>
        <v>0</v>
      </c>
      <c r="DG108" s="597">
        <f>IF(500*(WWWW[[#This Row],['#_male hygiene promoters]]+WWWW[[#This Row],['#_female hygiene promoters]])&gt;WWWW[[#This Row],[Total PoP ]],WWWW[[#This Row],[Total PoP ]],500*(WWWW[[#This Row],['#_male hygiene promoters]]+WWWW[[#This Row],['#_female hygiene promoters]]))</f>
        <v>180</v>
      </c>
      <c r="DH10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8" s="600">
        <f>IF(WWWW[[#This Row],['# People with access to soap]]&gt;WWWW[[#This Row],['# People with access to Sanity Pads]],WWWW[[#This Row],['# People with access to soap]],WWWW[[#This Row],['# People with access to Sanity Pads]])</f>
        <v>0</v>
      </c>
      <c r="DK108" s="600">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L108" s="602">
        <f>IF(WWWW[[#This Row],[HRP3]]/WWWW[[#This Row],[Total PoP ]]&gt;1,1,WWWW[[#This Row],[HRP3]]/WWWW[[#This Row],[Total PoP ]])</f>
        <v>1</v>
      </c>
      <c r="DM108" s="601">
        <f>1-WWWW[[#This Row],[Hygiene Coverage%]]</f>
        <v>0</v>
      </c>
      <c r="DN108" s="599">
        <f>WWWW[[#This Row],['# people reached by regular dedicated hygiene promotion_5]]/WWWW[[#This Row],[Total PoP ]]</f>
        <v>1</v>
      </c>
      <c r="DO10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8" s="600">
        <f>WWWW[[#This Row],['#_Constructed/Existing hand washing stations]]-WWWW[[#This Row],['#_Non-Functional_hand_washing_stations]]</f>
        <v>2</v>
      </c>
      <c r="DR108" s="597">
        <f>IF(WWWW[[#This Row],['# Functional hand washing stations during reporting period]]*20&gt;WWWW[[#This Row],[Total HH]],WWWW[[#This Row],[Total HH]],WWWW[[#This Row],['# Functional hand washing stations during reporting period]]*20)</f>
        <v>34</v>
      </c>
      <c r="DS108" s="597">
        <f>IF(WWWW[[#This Row],[Is sufficient soap available for TLS? (Yes/No)]]="yes",WWWW[[#This Row],['#_Constructed/Existing hand washing stations at TLS]],0)</f>
        <v>0</v>
      </c>
      <c r="DT108" s="479">
        <f>IF(WWWW[[#This Row],['# Functional hand washing stations during reporting period]]*100&gt;WWWW[[#This Row],[Total PoP ]],WWWW[[#This Row],[Total PoP ]],WWWW[[#This Row],['# Functional hand washing stations during reporting period]]*100)</f>
        <v>180</v>
      </c>
      <c r="DU108" s="479" t="str">
        <f>IF(OR(WWWW[[#This Row],['#_students at TLS_CFS]]="",WWWW[[#This Row],['#_students at TLS_CFS]]=0),"No","Yes")</f>
        <v>No</v>
      </c>
      <c r="DV10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8" s="593">
        <f>VLOOKUP(WWWW[[#This Row],[Site Name]],SiteDB6[[Site Name]:[CCCM Management]],6,FALSE)</f>
        <v>0</v>
      </c>
      <c r="DZ108" s="593" t="str">
        <f>VLOOKUP(WWWW[[#This Row],[Site Name]],SiteDB6[[Site Name]:[CCCM Focal Agency]],7,FALSE)</f>
        <v>uncovered</v>
      </c>
      <c r="EA108" s="593" t="str">
        <f>VLOOKUP(WWWW[[#This Row],[Site Name]],SiteDB6[[Site Name]:[Location Type 1]],9,FALSE)</f>
        <v>Camp</v>
      </c>
      <c r="EB108" s="593" t="str">
        <f>VLOOKUP(WWWW[[#This Row],[Site Name]],SiteDB6[[Site Name]:[Type of Accommodation]],10,FALSE)</f>
        <v>Camp like setting</v>
      </c>
      <c r="EC108" s="593" t="str">
        <f>VLOOKUP(WWWW[[#This Row],[Site Name]],SiteDB6[[Site Name]:[Ethnic or GCA/NGCA]],11,FALSE)</f>
        <v>GCA</v>
      </c>
      <c r="ED108" s="593">
        <f>VLOOKUP(WWWW[[#This Row],[Site Name]],SiteDB6[[Site Name]:[Lat]],12,FALSE)</f>
        <v>23.850999999999999</v>
      </c>
      <c r="EE108" s="593">
        <f>VLOOKUP(WWWW[[#This Row],[Site Name]],SiteDB6[[Site Name]:[Long]],13,FALSE)</f>
        <v>98.337999999999994</v>
      </c>
      <c r="EF108" s="593" t="str">
        <f>VLOOKUP(WWWW[[#This Row],[Site Name]],SiteDB6[[Site Name]:[Pcode]],3,FALSE)</f>
        <v>MMR015CMP227</v>
      </c>
      <c r="EG108" s="598" t="str">
        <f t="shared" si="1"/>
        <v>Covered</v>
      </c>
      <c r="EH108" s="598" t="str">
        <f>VLOOKUP(WWWW[[#This Row],[Site Name]],SiteDB6[[Site Name]:[open in cccm?]],2,FALSE)</f>
        <v>cccm_2019OCT</v>
      </c>
    </row>
    <row r="109" spans="1:138" hidden="1">
      <c r="A109" s="591" t="s">
        <v>3261</v>
      </c>
      <c r="B109" s="591" t="s">
        <v>195</v>
      </c>
      <c r="C109" s="592" t="s">
        <v>195</v>
      </c>
      <c r="D109" s="592" t="s">
        <v>3045</v>
      </c>
      <c r="E109" s="592" t="s">
        <v>711</v>
      </c>
      <c r="F109" s="592" t="s">
        <v>715</v>
      </c>
      <c r="G109" s="721" t="str">
        <f>VLOOKUP(WWWW[[#This Row],[Site Name]],SiteDB6[[Site Name]:[Location Type]],8,FALSE)</f>
        <v>Camp</v>
      </c>
      <c r="H109" s="592" t="s">
        <v>724</v>
      </c>
      <c r="I109" s="594">
        <v>44</v>
      </c>
      <c r="J109" s="594">
        <v>264</v>
      </c>
      <c r="K109" s="595" t="s">
        <v>3289</v>
      </c>
      <c r="L109" s="596" t="s">
        <v>3290</v>
      </c>
      <c r="M109" s="594"/>
      <c r="N109" s="594"/>
      <c r="O109" s="594">
        <v>1</v>
      </c>
      <c r="P109" s="594"/>
      <c r="Q109" s="597"/>
      <c r="R109" s="594"/>
      <c r="S109" s="594">
        <v>5</v>
      </c>
      <c r="T109" s="523"/>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8"/>
      <c r="AP109" s="594">
        <v>6</v>
      </c>
      <c r="AQ109" s="594"/>
      <c r="AR109" s="599"/>
      <c r="AS109" s="594"/>
      <c r="AT109" s="594"/>
      <c r="AU109" s="594"/>
      <c r="AV109" s="594"/>
      <c r="AW109" s="594"/>
      <c r="AX109" s="593" t="s">
        <v>43</v>
      </c>
      <c r="AY109" s="598" t="s">
        <v>139</v>
      </c>
      <c r="AZ109" s="594"/>
      <c r="BA109" s="594"/>
      <c r="BB109" s="594"/>
      <c r="BC109" s="594"/>
      <c r="BD109" s="523"/>
      <c r="BE109" s="593"/>
      <c r="BF109" s="594"/>
      <c r="BG109" s="594"/>
      <c r="BH109" s="594"/>
      <c r="BI109" s="594"/>
      <c r="BJ109" s="594"/>
      <c r="BK109" s="594"/>
      <c r="BL109" s="594"/>
      <c r="BM109" s="594"/>
      <c r="BN109" s="594"/>
      <c r="BO109" s="593" t="s">
        <v>139</v>
      </c>
      <c r="BP109" s="594"/>
      <c r="BQ109" s="599"/>
      <c r="BR109" s="593"/>
      <c r="BS109" s="472"/>
      <c r="BT109" s="472"/>
      <c r="BU109" s="523"/>
      <c r="BV109" s="472"/>
      <c r="BW109" s="523"/>
      <c r="BX109" s="523"/>
      <c r="BY109" s="523"/>
      <c r="BZ109" s="601" t="str">
        <f>IFERROR(WWWW[[#This Row],['#_Water sources passed]]/WWWW[[#This Row],['#_Water sources tested for fecal coliform ]],"no test")</f>
        <v>no test</v>
      </c>
      <c r="CA109" s="599" t="str">
        <f>IFERROR(WWWW[[#This Row],['#_Household passed]]/WWWW[[#This Row],['#_Household water samples tested for fecal coliform]],"no test")</f>
        <v>no test</v>
      </c>
      <c r="CB109" s="600" t="str">
        <f>IF(AND(WWWW[[#This Row],[% of water sources passed]]="no test",WWWW[[#This Row],[% Household passed]]="no test"),"No Test","Tested")</f>
        <v>No Test</v>
      </c>
      <c r="CC109" s="600">
        <f>WWWW[[#This Row],['#_Constructed/existing protected hand dug well]]-WWWW[[#This Row],['#_Non-functional protected hand dug well]]</f>
        <v>0</v>
      </c>
      <c r="CD109" s="600">
        <f>(WWWW[[#This Row],['#_Constructed/Existing tube wells/boreholes/handpumps_WASH_agency]]+WWWW[[#This Row],['#_Non-Cluster partner water tube-wells/boreholes/handpumps]])-WWWW[[#This Row],['#_Non-functional tube wells/boreholes/handpumps]]</f>
        <v>0</v>
      </c>
      <c r="CE109" s="600">
        <f>WWWW[[#This Row],['#_Constructed/Existingwater storage tank with gravity fed reticulation system]]-WWWW[[#This Row],['#_Non-functional storage tank gravity fed reticulation system]]</f>
        <v>0</v>
      </c>
      <c r="CF109" s="478">
        <f>(WWWW[[#This Row],['#_Water_Liters_supplied_by_Water boating or water trucking]]/90)/15</f>
        <v>0</v>
      </c>
      <c r="CG109" s="478">
        <f>WWWW[[#This Row],['#_Water_Liters_from_Constructed/Existing water distribution system from river or natural spring]]/90/15</f>
        <v>0</v>
      </c>
      <c r="CH109" s="478">
        <f>WWWW[[#This Row],['#_of water points in TLS/CFS /THF]]*500</f>
        <v>0</v>
      </c>
      <c r="CI10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0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09" s="599">
        <f>IF(WWWW[[#This Row],[Location Type 1]]="Village",WWWW[[#This Row],[Access to safe drinking water for Village]],WWWW[[#This Row],[Access to safe drinking water for Camp]])</f>
        <v>0</v>
      </c>
      <c r="CL109" s="597">
        <f>WWWW[[#This Row],[%Equitable and continuous access to sufficient quantity of safe drinking water]]*WWWW[[#This Row],[Total PoP ]]</f>
        <v>0</v>
      </c>
      <c r="CM109" s="599">
        <f>IF((WWWW[[#This Row],['#_Constructed/Existing protected/fenced ponds]]*250)/WWWW[[#This Row],[Total PoP ]]&gt;1,1,(WWWW[[#This Row],['#_Constructed/Existing protected/fenced ponds]]*250)/WWWW[[#This Row],[Total PoP ]])</f>
        <v>0</v>
      </c>
      <c r="CN109" s="597">
        <f>WWWW[[#This Row],[% Access to unimproved water points]]*WWWW[[#This Row],[Total PoP ]]</f>
        <v>0</v>
      </c>
      <c r="CO10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0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09" s="597">
        <f>WWWW[[#This Row],[HRP1]]/500</f>
        <v>0</v>
      </c>
      <c r="CR109" s="602">
        <f>1-WWWW[[#This Row],[% Equitable and continuous access to sufficient quantity of domestic water]]</f>
        <v>1</v>
      </c>
      <c r="CS109" s="597">
        <f>WWWW[[#This Row],[%equitable and continuous access to sufficient quantity of safe drinking and domestic water''s GAP]]*WWWW[[#This Row],[Total PoP ]]</f>
        <v>264</v>
      </c>
      <c r="CT109" s="600">
        <f>IF(WWWW[[#This Row],[Total required water points]]-WWWW[[#This Row],['#Water points coverage]]&lt;0,0,WWWW[[#This Row],[Total required water points]]-WWWW[[#This Row],['#Water points coverage]])</f>
        <v>1</v>
      </c>
      <c r="CU109" s="600">
        <f>ROUND(IF(WWWW[[#This Row],[Total PoP ]]&lt;500,1,WWWW[[#This Row],[Total PoP ]]/500),0)</f>
        <v>1</v>
      </c>
      <c r="CV109" s="600">
        <f>(WWWW[[#This Row],['#_Constructed latrines_by_WASHAgencies]]+WWWW[[#This Row],['#_Non Cluster partner latrines]])-WWWW[[#This Row],['#_Non-functional latrines]]</f>
        <v>6</v>
      </c>
      <c r="CW109" s="70">
        <f>WWWW[[#This Row],[HRP2]]/WWWW[[#This Row],[Total PoP ]]</f>
        <v>0.11363636363636363</v>
      </c>
      <c r="CX10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v>
      </c>
      <c r="CY10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0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09" s="600">
        <f>IF(WWWW[[#This Row],['# of functional latrines in THF supported by WASH partners during the reporting period2]]="",0,WWWW[[#This Row],['# of functional latrines in THF supported by WASH partners during the reporting period2]]*50)</f>
        <v>0</v>
      </c>
      <c r="DB109" s="600">
        <f>WWWW[[#This Row],['# students access to functioning school latrines_HRP5]]+WWWW[[#This Row],['# People access to functioning latrines in THF_HRP5]]</f>
        <v>0</v>
      </c>
      <c r="DC109" s="600">
        <f>ROUND(IF(WWWW[[#This Row],[Location Type 1]]="camp",WWWW[[#This Row],[Total PoP ]]/20,IF(WWWW[[#This Row],[Location Type 1]]="Temporary Location",WWWW[[#This Row],[Total PoP ]]/50,WWWW[[#This Row],[Total HH]])),0)</f>
        <v>44</v>
      </c>
      <c r="DD109" s="600">
        <f>IF(WWWW[[#This Row],[Total required Latrines]]-(WWWW[[#This Row],['#_Constructed latrines_by_WASHAgencies]]+WWWW[[#This Row],['#_Non Cluster partner latrines]])&lt;0,0,WWWW[[#This Row],[Total required Latrines]]-(WWWW[[#This Row],['#_Constructed latrines_by_WASHAgencies]]+WWWW[[#This Row],['#_Non Cluster partner latrines]]))</f>
        <v>38</v>
      </c>
      <c r="DE109" s="602">
        <f>1-WWWW[[#This Row],[% people access to functioning Latrine]]</f>
        <v>0.88636363636363635</v>
      </c>
      <c r="DF109" s="601">
        <f>IF(OR(WWWW[[#This Row],['#_Non-functional latrines]]="",WWWW[[#This Row],['#_Non-functional latrines]]=0),0,WWWW[[#This Row],['#_Non-functional latrines]]/(WWWW[[#This Row],['#_Constructed latrines_by_WASHAgencies]]+WWWW[[#This Row],['#_Non Cluster partner latrines]]))</f>
        <v>0</v>
      </c>
      <c r="DG109" s="597">
        <f>IF(500*(WWWW[[#This Row],['#_male hygiene promoters]]+WWWW[[#This Row],['#_female hygiene promoters]])&gt;WWWW[[#This Row],[Total PoP ]],WWWW[[#This Row],[Total PoP ]],500*(WWWW[[#This Row],['#_male hygiene promoters]]+WWWW[[#This Row],['#_female hygiene promoters]]))</f>
        <v>0</v>
      </c>
      <c r="DH10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0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09" s="600">
        <f>IF(WWWW[[#This Row],['# People with access to soap]]&gt;WWWW[[#This Row],['# People with access to Sanity Pads]],WWWW[[#This Row],['# People with access to soap]],WWWW[[#This Row],['# People with access to Sanity Pads]])</f>
        <v>0</v>
      </c>
      <c r="DK10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09" s="602">
        <f>IF(WWWW[[#This Row],[HRP3]]/WWWW[[#This Row],[Total PoP ]]&gt;1,1,WWWW[[#This Row],[HRP3]]/WWWW[[#This Row],[Total PoP ]])</f>
        <v>0</v>
      </c>
      <c r="DM109" s="601">
        <f>1-WWWW[[#This Row],[Hygiene Coverage%]]</f>
        <v>1</v>
      </c>
      <c r="DN109" s="599">
        <f>WWWW[[#This Row],['# people reached by regular dedicated hygiene promotion_5]]/WWWW[[#This Row],[Total PoP ]]</f>
        <v>0</v>
      </c>
      <c r="DO10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0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09" s="600">
        <f>WWWW[[#This Row],['#_Constructed/Existing hand washing stations]]-WWWW[[#This Row],['#_Non-Functional_hand_washing_stations]]</f>
        <v>0</v>
      </c>
      <c r="DR109" s="597">
        <f>IF(WWWW[[#This Row],['# Functional hand washing stations during reporting period]]*20&gt;WWWW[[#This Row],[Total HH]],WWWW[[#This Row],[Total HH]],WWWW[[#This Row],['# Functional hand washing stations during reporting period]]*20)</f>
        <v>0</v>
      </c>
      <c r="DS109" s="597">
        <f>IF(WWWW[[#This Row],[Is sufficient soap available for TLS? (Yes/No)]]="yes",WWWW[[#This Row],['#_Constructed/Existing hand washing stations at TLS]],0)</f>
        <v>0</v>
      </c>
      <c r="DT109" s="479">
        <f>IF(WWWW[[#This Row],['# Functional hand washing stations during reporting period]]*100&gt;WWWW[[#This Row],[Total PoP ]],WWWW[[#This Row],[Total PoP ]],WWWW[[#This Row],['# Functional hand washing stations during reporting period]]*100)</f>
        <v>0</v>
      </c>
      <c r="DU109" s="479" t="str">
        <f>IF(OR(WWWW[[#This Row],['#_students at TLS_CFS]]="",WWWW[[#This Row],['#_students at TLS_CFS]]=0),"No","Yes")</f>
        <v>No</v>
      </c>
      <c r="DV10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0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0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09" s="593" t="str">
        <f>VLOOKUP(WWWW[[#This Row],[Site Name]],SiteDB6[[Site Name]:[CCCM Management]],6,FALSE)</f>
        <v>Yes</v>
      </c>
      <c r="DZ109" s="593" t="str">
        <f>VLOOKUP(WWWW[[#This Row],[Site Name]],SiteDB6[[Site Name]:[CCCM Focal Agency]],7,FALSE)</f>
        <v>KBC-NSS</v>
      </c>
      <c r="EA109" s="593" t="str">
        <f>VLOOKUP(WWWW[[#This Row],[Site Name]],SiteDB6[[Site Name]:[Location Type 1]],9,FALSE)</f>
        <v>Village Type Camp</v>
      </c>
      <c r="EB109" s="593" t="str">
        <f>VLOOKUP(WWWW[[#This Row],[Site Name]],SiteDB6[[Site Name]:[Type of Accommodation]],10,FALSE)</f>
        <v>Camp</v>
      </c>
      <c r="EC109" s="593" t="str">
        <f>VLOOKUP(WWWW[[#This Row],[Site Name]],SiteDB6[[Site Name]:[Ethnic or GCA/NGCA]],11,FALSE)</f>
        <v>GCA</v>
      </c>
      <c r="ED109" s="593">
        <f>VLOOKUP(WWWW[[#This Row],[Site Name]],SiteDB6[[Site Name]:[Lat]],12,FALSE)</f>
        <v>23.400155999999999</v>
      </c>
      <c r="EE109" s="593">
        <f>VLOOKUP(WWWW[[#This Row],[Site Name]],SiteDB6[[Site Name]:[Long]],13,FALSE)</f>
        <v>98.220614999999995</v>
      </c>
      <c r="EF109" s="593" t="str">
        <f>VLOOKUP(WWWW[[#This Row],[Site Name]],SiteDB6[[Site Name]:[Pcode]],3,FALSE)</f>
        <v>MMR015CMP006</v>
      </c>
      <c r="EG109" s="598" t="str">
        <f t="shared" si="1"/>
        <v>Covered</v>
      </c>
      <c r="EH109" s="598" t="str">
        <f>VLOOKUP(WWWW[[#This Row],[Site Name]],SiteDB6[[Site Name]:[open in cccm?]],2,FALSE)</f>
        <v>cccm_2019OCT</v>
      </c>
    </row>
    <row r="110" spans="1:138" hidden="1">
      <c r="A110" s="591" t="s">
        <v>3261</v>
      </c>
      <c r="B110" s="591" t="s">
        <v>195</v>
      </c>
      <c r="C110" s="592" t="s">
        <v>195</v>
      </c>
      <c r="D110" s="592" t="s">
        <v>3045</v>
      </c>
      <c r="E110" s="592" t="s">
        <v>711</v>
      </c>
      <c r="F110" s="592" t="s">
        <v>715</v>
      </c>
      <c r="G110" s="721" t="str">
        <f>VLOOKUP(WWWW[[#This Row],[Site Name]],SiteDB6[[Site Name]:[Location Type]],8,FALSE)</f>
        <v>Camp</v>
      </c>
      <c r="H110" s="592" t="s">
        <v>720</v>
      </c>
      <c r="I110" s="594">
        <v>22</v>
      </c>
      <c r="J110" s="594">
        <v>111</v>
      </c>
      <c r="K110" s="595" t="s">
        <v>3289</v>
      </c>
      <c r="L110" s="596" t="s">
        <v>3290</v>
      </c>
      <c r="M110" s="594">
        <v>42</v>
      </c>
      <c r="N110" s="594"/>
      <c r="O110" s="594"/>
      <c r="P110" s="594"/>
      <c r="Q110" s="597"/>
      <c r="R110" s="594"/>
      <c r="S110" s="594">
        <v>3</v>
      </c>
      <c r="T110" s="523">
        <v>0</v>
      </c>
      <c r="U110" s="594"/>
      <c r="V110" s="594"/>
      <c r="W110" s="594">
        <v>0</v>
      </c>
      <c r="X110" s="594"/>
      <c r="Y110" s="594"/>
      <c r="Z110" s="594"/>
      <c r="AA110" s="594"/>
      <c r="AB110" s="594"/>
      <c r="AC110" s="594"/>
      <c r="AD110" s="594"/>
      <c r="AE110" s="594">
        <v>1</v>
      </c>
      <c r="AF110" s="594"/>
      <c r="AG110" s="594"/>
      <c r="AH110" s="594"/>
      <c r="AI110" s="594"/>
      <c r="AJ110" s="594"/>
      <c r="AK110" s="594"/>
      <c r="AL110" s="594"/>
      <c r="AM110" s="594"/>
      <c r="AN110" s="594"/>
      <c r="AO110" s="598"/>
      <c r="AP110" s="594">
        <v>11</v>
      </c>
      <c r="AQ110" s="594"/>
      <c r="AR110" s="599"/>
      <c r="AS110" s="594"/>
      <c r="AT110" s="594"/>
      <c r="AU110" s="594"/>
      <c r="AV110" s="594"/>
      <c r="AW110" s="594"/>
      <c r="AX110" s="593" t="s">
        <v>43</v>
      </c>
      <c r="AY110" s="598" t="s">
        <v>140</v>
      </c>
      <c r="AZ110" s="594"/>
      <c r="BA110" s="594"/>
      <c r="BB110" s="594">
        <v>0</v>
      </c>
      <c r="BC110" s="594"/>
      <c r="BD110" s="523"/>
      <c r="BE110" s="593"/>
      <c r="BF110" s="594"/>
      <c r="BG110" s="594"/>
      <c r="BH110" s="594">
        <v>0</v>
      </c>
      <c r="BI110" s="594">
        <v>2</v>
      </c>
      <c r="BJ110" s="594"/>
      <c r="BK110" s="594"/>
      <c r="BL110" s="594">
        <v>0</v>
      </c>
      <c r="BM110" s="594"/>
      <c r="BN110" s="594"/>
      <c r="BO110" s="593" t="s">
        <v>139</v>
      </c>
      <c r="BP110" s="594"/>
      <c r="BQ110" s="599"/>
      <c r="BR110" s="593"/>
      <c r="BS110" s="472"/>
      <c r="BT110" s="472"/>
      <c r="BU110" s="523"/>
      <c r="BV110" s="472"/>
      <c r="BW110" s="523"/>
      <c r="BX110" s="523"/>
      <c r="BY110" s="523"/>
      <c r="BZ110" s="601" t="str">
        <f>IFERROR(WWWW[[#This Row],['#_Water sources passed]]/WWWW[[#This Row],['#_Water sources tested for fecal coliform ]],"no test")</f>
        <v>no test</v>
      </c>
      <c r="CA110" s="599" t="str">
        <f>IFERROR(WWWW[[#This Row],['#_Household passed]]/WWWW[[#This Row],['#_Household water samples tested for fecal coliform]],"no test")</f>
        <v>no test</v>
      </c>
      <c r="CB110" s="600" t="str">
        <f>IF(AND(WWWW[[#This Row],[% of water sources passed]]="no test",WWWW[[#This Row],[% Household passed]]="no test"),"No Test","Tested")</f>
        <v>No Test</v>
      </c>
      <c r="CC110" s="600">
        <f>WWWW[[#This Row],['#_Constructed/existing protected hand dug well]]-WWWW[[#This Row],['#_Non-functional protected hand dug well]]</f>
        <v>0</v>
      </c>
      <c r="CD110" s="600">
        <f>(WWWW[[#This Row],['#_Constructed/Existing tube wells/boreholes/handpumps_WASH_agency]]+WWWW[[#This Row],['#_Non-Cluster partner water tube-wells/boreholes/handpumps]])-WWWW[[#This Row],['#_Non-functional tube wells/boreholes/handpumps]]</f>
        <v>0</v>
      </c>
      <c r="CE110" s="600">
        <f>WWWW[[#This Row],['#_Constructed/Existingwater storage tank with gravity fed reticulation system]]-WWWW[[#This Row],['#_Non-functional storage tank gravity fed reticulation system]]</f>
        <v>0</v>
      </c>
      <c r="CF110" s="478">
        <f>(WWWW[[#This Row],['#_Water_Liters_supplied_by_Water boating or water trucking]]/90)/15</f>
        <v>0</v>
      </c>
      <c r="CG110" s="478">
        <f>WWWW[[#This Row],['#_Water_Liters_from_Constructed/Existing water distribution system from river or natural spring]]/90/15</f>
        <v>0</v>
      </c>
      <c r="CH110" s="478">
        <f>WWWW[[#This Row],['#_of water points in TLS/CFS /THF]]*500</f>
        <v>0</v>
      </c>
      <c r="CI11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1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10" s="599">
        <f>IF(WWWW[[#This Row],[Location Type 1]]="Village",WWWW[[#This Row],[Access to safe drinking water for Village]],WWWW[[#This Row],[Access to safe drinking water for Camp]])</f>
        <v>0</v>
      </c>
      <c r="CL110" s="597">
        <f>WWWW[[#This Row],[%Equitable and continuous access to sufficient quantity of safe drinking water]]*WWWW[[#This Row],[Total PoP ]]</f>
        <v>0</v>
      </c>
      <c r="CM110" s="599">
        <f>IF((WWWW[[#This Row],['#_Constructed/Existing protected/fenced ponds]]*250)/WWWW[[#This Row],[Total PoP ]]&gt;1,1,(WWWW[[#This Row],['#_Constructed/Existing protected/fenced ponds]]*250)/WWWW[[#This Row],[Total PoP ]])</f>
        <v>1</v>
      </c>
      <c r="CN110" s="597">
        <f>WWWW[[#This Row],[% Access to unimproved water points]]*WWWW[[#This Row],[Total PoP ]]</f>
        <v>111</v>
      </c>
      <c r="CO11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110" s="597">
        <f>WWWW[[#This Row],[HRP1]]/500</f>
        <v>0.222</v>
      </c>
      <c r="CR110" s="602">
        <f>1-WWWW[[#This Row],[% Equitable and continuous access to sufficient quantity of domestic water]]</f>
        <v>0</v>
      </c>
      <c r="CS110" s="597">
        <f>WWWW[[#This Row],[%equitable and continuous access to sufficient quantity of safe drinking and domestic water''s GAP]]*WWWW[[#This Row],[Total PoP ]]</f>
        <v>0</v>
      </c>
      <c r="CT110" s="600">
        <f>IF(WWWW[[#This Row],[Total required water points]]-WWWW[[#This Row],['#Water points coverage]]&lt;0,0,WWWW[[#This Row],[Total required water points]]-WWWW[[#This Row],['#Water points coverage]])</f>
        <v>0.77800000000000002</v>
      </c>
      <c r="CU110" s="600">
        <f>ROUND(IF(WWWW[[#This Row],[Total PoP ]]&lt;500,1,WWWW[[#This Row],[Total PoP ]]/500),0)</f>
        <v>1</v>
      </c>
      <c r="CV110" s="600">
        <f>(WWWW[[#This Row],['#_Constructed latrines_by_WASHAgencies]]+WWWW[[#This Row],['#_Non Cluster partner latrines]])-WWWW[[#This Row],['#_Non-functional latrines]]</f>
        <v>11</v>
      </c>
      <c r="CW110" s="70">
        <f>WWWW[[#This Row],[HRP2]]/WWWW[[#This Row],[Total PoP ]]</f>
        <v>1</v>
      </c>
      <c r="CX11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11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0" s="600">
        <f>IF(WWWW[[#This Row],['# of functional latrines in THF supported by WASH partners during the reporting period2]]="",0,WWWW[[#This Row],['# of functional latrines in THF supported by WASH partners during the reporting period2]]*50)</f>
        <v>0</v>
      </c>
      <c r="DB110" s="600">
        <f>WWWW[[#This Row],['# students access to functioning school latrines_HRP5]]+WWWW[[#This Row],['# People access to functioning latrines in THF_HRP5]]</f>
        <v>0</v>
      </c>
      <c r="DC110" s="600">
        <f>ROUND(IF(WWWW[[#This Row],[Location Type 1]]="camp",WWWW[[#This Row],[Total PoP ]]/20,IF(WWWW[[#This Row],[Location Type 1]]="Temporary Location",WWWW[[#This Row],[Total PoP ]]/50,WWWW[[#This Row],[Total HH]])),0)</f>
        <v>6</v>
      </c>
      <c r="DD110" s="600">
        <f>IF(WWWW[[#This Row],[Total required Latrines]]-(WWWW[[#This Row],['#_Constructed latrines_by_WASHAgencies]]+WWWW[[#This Row],['#_Non Cluster partner latrines]])&lt;0,0,WWWW[[#This Row],[Total required Latrines]]-(WWWW[[#This Row],['#_Constructed latrines_by_WASHAgencies]]+WWWW[[#This Row],['#_Non Cluster partner latrines]]))</f>
        <v>0</v>
      </c>
      <c r="DE110" s="602">
        <f>1-WWWW[[#This Row],[% people access to functioning Latrine]]</f>
        <v>0</v>
      </c>
      <c r="DF110" s="601">
        <f>IF(OR(WWWW[[#This Row],['#_Non-functional latrines]]="",WWWW[[#This Row],['#_Non-functional latrines]]=0),0,WWWW[[#This Row],['#_Non-functional latrines]]/(WWWW[[#This Row],['#_Constructed latrines_by_WASHAgencies]]+WWWW[[#This Row],['#_Non Cluster partner latrines]]))</f>
        <v>0</v>
      </c>
      <c r="DG110" s="597">
        <f>IF(500*(WWWW[[#This Row],['#_male hygiene promoters]]+WWWW[[#This Row],['#_female hygiene promoters]])&gt;WWWW[[#This Row],[Total PoP ]],WWWW[[#This Row],[Total PoP ]],500*(WWWW[[#This Row],['#_male hygiene promoters]]+WWWW[[#This Row],['#_female hygiene promoters]]))</f>
        <v>0</v>
      </c>
      <c r="DH11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0" s="600">
        <f>IF(WWWW[[#This Row],['# People with access to soap]]&gt;WWWW[[#This Row],['# People with access to Sanity Pads]],WWWW[[#This Row],['# People with access to soap]],WWWW[[#This Row],['# People with access to Sanity Pads]])</f>
        <v>0</v>
      </c>
      <c r="DK11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0" s="602">
        <f>IF(WWWW[[#This Row],[HRP3]]/WWWW[[#This Row],[Total PoP ]]&gt;1,1,WWWW[[#This Row],[HRP3]]/WWWW[[#This Row],[Total PoP ]])</f>
        <v>0</v>
      </c>
      <c r="DM110" s="601">
        <f>1-WWWW[[#This Row],[Hygiene Coverage%]]</f>
        <v>1</v>
      </c>
      <c r="DN110" s="599">
        <f>WWWW[[#This Row],['# people reached by regular dedicated hygiene promotion_5]]/WWWW[[#This Row],[Total PoP ]]</f>
        <v>0</v>
      </c>
      <c r="DO11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0" s="600">
        <f>WWWW[[#This Row],['#_Constructed/Existing hand washing stations]]-WWWW[[#This Row],['#_Non-Functional_hand_washing_stations]]</f>
        <v>0</v>
      </c>
      <c r="DR110" s="597">
        <f>IF(WWWW[[#This Row],['# Functional hand washing stations during reporting period]]*20&gt;WWWW[[#This Row],[Total HH]],WWWW[[#This Row],[Total HH]],WWWW[[#This Row],['# Functional hand washing stations during reporting period]]*20)</f>
        <v>0</v>
      </c>
      <c r="DS110" s="597">
        <f>IF(WWWW[[#This Row],[Is sufficient soap available for TLS? (Yes/No)]]="yes",WWWW[[#This Row],['#_Constructed/Existing hand washing stations at TLS]],0)</f>
        <v>0</v>
      </c>
      <c r="DT110" s="479">
        <f>IF(WWWW[[#This Row],['# Functional hand washing stations during reporting period]]*100&gt;WWWW[[#This Row],[Total PoP ]],WWWW[[#This Row],[Total PoP ]],WWWW[[#This Row],['# Functional hand washing stations during reporting period]]*100)</f>
        <v>0</v>
      </c>
      <c r="DU110" s="479" t="str">
        <f>IF(OR(WWWW[[#This Row],['#_students at TLS_CFS]]="",WWWW[[#This Row],['#_students at TLS_CFS]]=0),"No","Yes")</f>
        <v>Yes</v>
      </c>
      <c r="DV11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0" s="593" t="str">
        <f>VLOOKUP(WWWW[[#This Row],[Site Name]],SiteDB6[[Site Name]:[CCCM Management]],6,FALSE)</f>
        <v>Yes</v>
      </c>
      <c r="DZ110" s="593" t="str">
        <f>VLOOKUP(WWWW[[#This Row],[Site Name]],SiteDB6[[Site Name]:[CCCM Focal Agency]],7,FALSE)</f>
        <v>KMSS-LSO</v>
      </c>
      <c r="EA110" s="593" t="str">
        <f>VLOOKUP(WWWW[[#This Row],[Site Name]],SiteDB6[[Site Name]:[Location Type 1]],9,FALSE)</f>
        <v>Camp</v>
      </c>
      <c r="EB110" s="593" t="str">
        <f>VLOOKUP(WWWW[[#This Row],[Site Name]],SiteDB6[[Site Name]:[Type of Accommodation]],10,FALSE)</f>
        <v>Camp</v>
      </c>
      <c r="EC110" s="593" t="str">
        <f>VLOOKUP(WWWW[[#This Row],[Site Name]],SiteDB6[[Site Name]:[Ethnic or GCA/NGCA]],11,FALSE)</f>
        <v>GCA</v>
      </c>
      <c r="ED110" s="593">
        <f>VLOOKUP(WWWW[[#This Row],[Site Name]],SiteDB6[[Site Name]:[Lat]],12,FALSE)</f>
        <v>23.463000000000001</v>
      </c>
      <c r="EE110" s="593">
        <f>VLOOKUP(WWWW[[#This Row],[Site Name]],SiteDB6[[Site Name]:[Long]],13,FALSE)</f>
        <v>98.248999999999995</v>
      </c>
      <c r="EF110" s="593" t="str">
        <f>VLOOKUP(WWWW[[#This Row],[Site Name]],SiteDB6[[Site Name]:[Pcode]],3,FALSE)</f>
        <v>MMR015CMP217</v>
      </c>
      <c r="EG110" s="598" t="str">
        <f t="shared" si="1"/>
        <v>Covered</v>
      </c>
      <c r="EH110" s="598" t="str">
        <f>VLOOKUP(WWWW[[#This Row],[Site Name]],SiteDB6[[Site Name]:[open in cccm?]],2,FALSE)</f>
        <v>cccm_2019OCT</v>
      </c>
    </row>
    <row r="111" spans="1:138" hidden="1">
      <c r="A111" s="591" t="s">
        <v>3261</v>
      </c>
      <c r="B111" s="591" t="s">
        <v>195</v>
      </c>
      <c r="C111" s="592" t="s">
        <v>195</v>
      </c>
      <c r="D111" s="592" t="s">
        <v>3045</v>
      </c>
      <c r="E111" s="592" t="s">
        <v>711</v>
      </c>
      <c r="F111" s="592" t="s">
        <v>721</v>
      </c>
      <c r="G111" s="721" t="str">
        <f>VLOOKUP(WWWW[[#This Row],[Site Name]],SiteDB6[[Site Name]:[Location Type]],8,FALSE)</f>
        <v>Camp</v>
      </c>
      <c r="H111" s="592" t="s">
        <v>722</v>
      </c>
      <c r="I111" s="594">
        <v>24</v>
      </c>
      <c r="J111" s="594">
        <v>114</v>
      </c>
      <c r="K111" s="595" t="s">
        <v>3289</v>
      </c>
      <c r="L111" s="596" t="s">
        <v>3290</v>
      </c>
      <c r="M111" s="594"/>
      <c r="N111" s="594"/>
      <c r="O111" s="594"/>
      <c r="P111" s="594"/>
      <c r="Q111" s="597"/>
      <c r="R111" s="594"/>
      <c r="S111" s="594">
        <v>4</v>
      </c>
      <c r="T111" s="523">
        <v>1</v>
      </c>
      <c r="U111" s="594"/>
      <c r="V111" s="594"/>
      <c r="W111" s="594">
        <v>1</v>
      </c>
      <c r="X111" s="594"/>
      <c r="Y111" s="594"/>
      <c r="Z111" s="594"/>
      <c r="AA111" s="594"/>
      <c r="AB111" s="594"/>
      <c r="AC111" s="594"/>
      <c r="AD111" s="594"/>
      <c r="AE111" s="594"/>
      <c r="AF111" s="594"/>
      <c r="AG111" s="594"/>
      <c r="AH111" s="594"/>
      <c r="AI111" s="594"/>
      <c r="AJ111" s="594"/>
      <c r="AK111" s="594"/>
      <c r="AL111" s="594"/>
      <c r="AM111" s="594"/>
      <c r="AN111" s="594"/>
      <c r="AO111" s="598"/>
      <c r="AP111" s="594">
        <v>8</v>
      </c>
      <c r="AQ111" s="594"/>
      <c r="AR111" s="599"/>
      <c r="AS111" s="594"/>
      <c r="AT111" s="594"/>
      <c r="AU111" s="594"/>
      <c r="AV111" s="594"/>
      <c r="AW111" s="594"/>
      <c r="AX111" s="593" t="s">
        <v>43</v>
      </c>
      <c r="AY111" s="598" t="s">
        <v>1195</v>
      </c>
      <c r="AZ111" s="594"/>
      <c r="BA111" s="594"/>
      <c r="BB111" s="594">
        <v>1</v>
      </c>
      <c r="BC111" s="594"/>
      <c r="BD111" s="523"/>
      <c r="BE111" s="593"/>
      <c r="BF111" s="594"/>
      <c r="BG111" s="594"/>
      <c r="BH111" s="594">
        <v>1</v>
      </c>
      <c r="BI111" s="594">
        <v>2</v>
      </c>
      <c r="BJ111" s="594"/>
      <c r="BK111" s="594"/>
      <c r="BL111" s="594">
        <v>2</v>
      </c>
      <c r="BM111" s="594"/>
      <c r="BN111" s="594"/>
      <c r="BO111" s="593"/>
      <c r="BP111" s="594"/>
      <c r="BQ111" s="599"/>
      <c r="BR111" s="593"/>
      <c r="BS111" s="472"/>
      <c r="BT111" s="472"/>
      <c r="BU111" s="523"/>
      <c r="BV111" s="472"/>
      <c r="BW111" s="523"/>
      <c r="BX111" s="523"/>
      <c r="BY111" s="523"/>
      <c r="BZ111" s="601" t="str">
        <f>IFERROR(WWWW[[#This Row],['#_Water sources passed]]/WWWW[[#This Row],['#_Water sources tested for fecal coliform ]],"no test")</f>
        <v>no test</v>
      </c>
      <c r="CA111" s="599" t="str">
        <f>IFERROR(WWWW[[#This Row],['#_Household passed]]/WWWW[[#This Row],['#_Household water samples tested for fecal coliform]],"no test")</f>
        <v>no test</v>
      </c>
      <c r="CB111" s="600" t="str">
        <f>IF(AND(WWWW[[#This Row],[% of water sources passed]]="no test",WWWW[[#This Row],[% Household passed]]="no test"),"No Test","Tested")</f>
        <v>No Test</v>
      </c>
      <c r="CC111" s="600">
        <f>WWWW[[#This Row],['#_Constructed/existing protected hand dug well]]-WWWW[[#This Row],['#_Non-functional protected hand dug well]]</f>
        <v>1</v>
      </c>
      <c r="CD111" s="600">
        <f>(WWWW[[#This Row],['#_Constructed/Existing tube wells/boreholes/handpumps_WASH_agency]]+WWWW[[#This Row],['#_Non-Cluster partner water tube-wells/boreholes/handpumps]])-WWWW[[#This Row],['#_Non-functional tube wells/boreholes/handpumps]]</f>
        <v>1</v>
      </c>
      <c r="CE111" s="600">
        <f>WWWW[[#This Row],['#_Constructed/Existingwater storage tank with gravity fed reticulation system]]-WWWW[[#This Row],['#_Non-functional storage tank gravity fed reticulation system]]</f>
        <v>0</v>
      </c>
      <c r="CF111" s="478">
        <f>(WWWW[[#This Row],['#_Water_Liters_supplied_by_Water boating or water trucking]]/90)/15</f>
        <v>0</v>
      </c>
      <c r="CG111" s="478">
        <f>WWWW[[#This Row],['#_Water_Liters_from_Constructed/Existing water distribution system from river or natural spring]]/90/15</f>
        <v>0</v>
      </c>
      <c r="CH111" s="478">
        <f>WWWW[[#This Row],['#_of water points in TLS/CFS /THF]]*500</f>
        <v>0</v>
      </c>
      <c r="CI11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1" s="599">
        <f>IF(WWWW[[#This Row],[Location Type 1]]="Village",WWWW[[#This Row],[Access to safe drinking water for Village]],WWWW[[#This Row],[Access to safe drinking water for Camp]])</f>
        <v>1</v>
      </c>
      <c r="CL111" s="597">
        <f>WWWW[[#This Row],[%Equitable and continuous access to sufficient quantity of safe drinking water]]*WWWW[[#This Row],[Total PoP ]]</f>
        <v>114</v>
      </c>
      <c r="CM111" s="599">
        <f>IF((WWWW[[#This Row],['#_Constructed/Existing protected/fenced ponds]]*250)/WWWW[[#This Row],[Total PoP ]]&gt;1,1,(WWWW[[#This Row],['#_Constructed/Existing protected/fenced ponds]]*250)/WWWW[[#This Row],[Total PoP ]])</f>
        <v>0</v>
      </c>
      <c r="CN111" s="597">
        <f>WWWW[[#This Row],[% Access to unimproved water points]]*WWWW[[#This Row],[Total PoP ]]</f>
        <v>0</v>
      </c>
      <c r="CO11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111" s="597">
        <f>WWWW[[#This Row],[HRP1]]/500</f>
        <v>0.22800000000000001</v>
      </c>
      <c r="CR111" s="602">
        <f>1-WWWW[[#This Row],[% Equitable and continuous access to sufficient quantity of domestic water]]</f>
        <v>0</v>
      </c>
      <c r="CS111" s="597">
        <f>WWWW[[#This Row],[%equitable and continuous access to sufficient quantity of safe drinking and domestic water''s GAP]]*WWWW[[#This Row],[Total PoP ]]</f>
        <v>0</v>
      </c>
      <c r="CT111" s="600">
        <f>IF(WWWW[[#This Row],[Total required water points]]-WWWW[[#This Row],['#Water points coverage]]&lt;0,0,WWWW[[#This Row],[Total required water points]]-WWWW[[#This Row],['#Water points coverage]])</f>
        <v>0.77200000000000002</v>
      </c>
      <c r="CU111" s="600">
        <f>ROUND(IF(WWWW[[#This Row],[Total PoP ]]&lt;500,1,WWWW[[#This Row],[Total PoP ]]/500),0)</f>
        <v>1</v>
      </c>
      <c r="CV111" s="600">
        <f>(WWWW[[#This Row],['#_Constructed latrines_by_WASHAgencies]]+WWWW[[#This Row],['#_Non Cluster partner latrines]])-WWWW[[#This Row],['#_Non-functional latrines]]</f>
        <v>8</v>
      </c>
      <c r="CW111" s="70">
        <f>WWWW[[#This Row],[HRP2]]/WWWW[[#This Row],[Total PoP ]]</f>
        <v>1</v>
      </c>
      <c r="CX11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11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1" s="600">
        <f>IF(WWWW[[#This Row],['# of functional latrines in THF supported by WASH partners during the reporting period2]]="",0,WWWW[[#This Row],['# of functional latrines in THF supported by WASH partners during the reporting period2]]*50)</f>
        <v>0</v>
      </c>
      <c r="DB111" s="600">
        <f>WWWW[[#This Row],['# students access to functioning school latrines_HRP5]]+WWWW[[#This Row],['# People access to functioning latrines in THF_HRP5]]</f>
        <v>0</v>
      </c>
      <c r="DC111" s="600">
        <f>ROUND(IF(WWWW[[#This Row],[Location Type 1]]="camp",WWWW[[#This Row],[Total PoP ]]/20,IF(WWWW[[#This Row],[Location Type 1]]="Temporary Location",WWWW[[#This Row],[Total PoP ]]/50,WWWW[[#This Row],[Total HH]])),0)</f>
        <v>6</v>
      </c>
      <c r="DD111" s="600">
        <f>IF(WWWW[[#This Row],[Total required Latrines]]-(WWWW[[#This Row],['#_Constructed latrines_by_WASHAgencies]]+WWWW[[#This Row],['#_Non Cluster partner latrines]])&lt;0,0,WWWW[[#This Row],[Total required Latrines]]-(WWWW[[#This Row],['#_Constructed latrines_by_WASHAgencies]]+WWWW[[#This Row],['#_Non Cluster partner latrines]]))</f>
        <v>0</v>
      </c>
      <c r="DE111" s="602">
        <f>1-WWWW[[#This Row],[% people access to functioning Latrine]]</f>
        <v>0</v>
      </c>
      <c r="DF111" s="601">
        <f>IF(OR(WWWW[[#This Row],['#_Non-functional latrines]]="",WWWW[[#This Row],['#_Non-functional latrines]]=0),0,WWWW[[#This Row],['#_Non-functional latrines]]/(WWWW[[#This Row],['#_Constructed latrines_by_WASHAgencies]]+WWWW[[#This Row],['#_Non Cluster partner latrines]]))</f>
        <v>0</v>
      </c>
      <c r="DG111" s="597">
        <f>IF(500*(WWWW[[#This Row],['#_male hygiene promoters]]+WWWW[[#This Row],['#_female hygiene promoters]])&gt;WWWW[[#This Row],[Total PoP ]],WWWW[[#This Row],[Total PoP ]],500*(WWWW[[#This Row],['#_male hygiene promoters]]+WWWW[[#This Row],['#_female hygiene promoters]]))</f>
        <v>114</v>
      </c>
      <c r="DH11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1" s="600">
        <f>IF(WWWW[[#This Row],['# People with access to soap]]&gt;WWWW[[#This Row],['# People with access to Sanity Pads]],WWWW[[#This Row],['# People with access to soap]],WWWW[[#This Row],['# People with access to Sanity Pads]])</f>
        <v>0</v>
      </c>
      <c r="DK111" s="600">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111" s="602">
        <f>IF(WWWW[[#This Row],[HRP3]]/WWWW[[#This Row],[Total PoP ]]&gt;1,1,WWWW[[#This Row],[HRP3]]/WWWW[[#This Row],[Total PoP ]])</f>
        <v>1</v>
      </c>
      <c r="DM111" s="601">
        <f>1-WWWW[[#This Row],[Hygiene Coverage%]]</f>
        <v>0</v>
      </c>
      <c r="DN111" s="599">
        <f>WWWW[[#This Row],['# people reached by regular dedicated hygiene promotion_5]]/WWWW[[#This Row],[Total PoP ]]</f>
        <v>1</v>
      </c>
      <c r="DO11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1" s="600">
        <f>WWWW[[#This Row],['#_Constructed/Existing hand washing stations]]-WWWW[[#This Row],['#_Non-Functional_hand_washing_stations]]</f>
        <v>0</v>
      </c>
      <c r="DR111" s="597">
        <f>IF(WWWW[[#This Row],['# Functional hand washing stations during reporting period]]*20&gt;WWWW[[#This Row],[Total HH]],WWWW[[#This Row],[Total HH]],WWWW[[#This Row],['# Functional hand washing stations during reporting period]]*20)</f>
        <v>0</v>
      </c>
      <c r="DS111" s="597">
        <f>IF(WWWW[[#This Row],[Is sufficient soap available for TLS? (Yes/No)]]="yes",WWWW[[#This Row],['#_Constructed/Existing hand washing stations at TLS]],0)</f>
        <v>0</v>
      </c>
      <c r="DT111" s="479">
        <f>IF(WWWW[[#This Row],['# Functional hand washing stations during reporting period]]*100&gt;WWWW[[#This Row],[Total PoP ]],WWWW[[#This Row],[Total PoP ]],WWWW[[#This Row],['# Functional hand washing stations during reporting period]]*100)</f>
        <v>0</v>
      </c>
      <c r="DU111" s="479" t="str">
        <f>IF(OR(WWWW[[#This Row],['#_students at TLS_CFS]]="",WWWW[[#This Row],['#_students at TLS_CFS]]=0),"No","Yes")</f>
        <v>No</v>
      </c>
      <c r="DV11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1" s="593" t="str">
        <f>VLOOKUP(WWWW[[#This Row],[Site Name]],SiteDB6[[Site Name]:[CCCM Management]],6,FALSE)</f>
        <v>Yes</v>
      </c>
      <c r="DZ111" s="593" t="str">
        <f>VLOOKUP(WWWW[[#This Row],[Site Name]],SiteDB6[[Site Name]:[CCCM Focal Agency]],7,FALSE)</f>
        <v>KMSS-LSO</v>
      </c>
      <c r="EA111" s="593" t="str">
        <f>VLOOKUP(WWWW[[#This Row],[Site Name]],SiteDB6[[Site Name]:[Location Type 1]],9,FALSE)</f>
        <v>Camp</v>
      </c>
      <c r="EB111" s="593" t="str">
        <f>VLOOKUP(WWWW[[#This Row],[Site Name]],SiteDB6[[Site Name]:[Type of Accommodation]],10,FALSE)</f>
        <v>Camp</v>
      </c>
      <c r="EC111" s="593" t="str">
        <f>VLOOKUP(WWWW[[#This Row],[Site Name]],SiteDB6[[Site Name]:[Ethnic or GCA/NGCA]],11,FALSE)</f>
        <v>GCA</v>
      </c>
      <c r="ED111" s="593">
        <f>VLOOKUP(WWWW[[#This Row],[Site Name]],SiteDB6[[Site Name]:[Lat]],12,FALSE)</f>
        <v>24.006789000000001</v>
      </c>
      <c r="EE111" s="593">
        <f>VLOOKUP(WWWW[[#This Row],[Site Name]],SiteDB6[[Site Name]:[Long]],13,FALSE)</f>
        <v>97.911647000000002</v>
      </c>
      <c r="EF111" s="593" t="str">
        <f>VLOOKUP(WWWW[[#This Row],[Site Name]],SiteDB6[[Site Name]:[Pcode]],3,FALSE)</f>
        <v>MMR015CMP216</v>
      </c>
      <c r="EG111" s="598" t="str">
        <f t="shared" si="1"/>
        <v>Covered</v>
      </c>
      <c r="EH111" s="598" t="str">
        <f>VLOOKUP(WWWW[[#This Row],[Site Name]],SiteDB6[[Site Name]:[open in cccm?]],2,FALSE)</f>
        <v>cccm_2019OCT</v>
      </c>
    </row>
    <row r="112" spans="1:138" hidden="1">
      <c r="A112" s="591" t="s">
        <v>3261</v>
      </c>
      <c r="B112" s="591" t="s">
        <v>195</v>
      </c>
      <c r="C112" s="592" t="s">
        <v>195</v>
      </c>
      <c r="D112" s="592" t="s">
        <v>3092</v>
      </c>
      <c r="E112" s="592" t="s">
        <v>39</v>
      </c>
      <c r="F112" s="592" t="s">
        <v>198</v>
      </c>
      <c r="G112" s="721" t="str">
        <f>VLOOKUP(WWWW[[#This Row],[Site Name]],SiteDB6[[Site Name]:[Location Type]],8,FALSE)</f>
        <v>Camp</v>
      </c>
      <c r="H112" s="592" t="s">
        <v>204</v>
      </c>
      <c r="I112" s="594">
        <v>10</v>
      </c>
      <c r="J112" s="594">
        <v>45</v>
      </c>
      <c r="K112" s="595">
        <v>43466</v>
      </c>
      <c r="L112" s="596">
        <v>43830</v>
      </c>
      <c r="M112" s="594"/>
      <c r="N112" s="594"/>
      <c r="O112" s="594"/>
      <c r="P112" s="594"/>
      <c r="Q112" s="597" t="s">
        <v>139</v>
      </c>
      <c r="R112" s="594"/>
      <c r="S112" s="594">
        <v>2</v>
      </c>
      <c r="T112" s="523"/>
      <c r="U112" s="594"/>
      <c r="V112" s="594"/>
      <c r="W112" s="594">
        <v>1</v>
      </c>
      <c r="X112" s="594">
        <v>1</v>
      </c>
      <c r="Y112" s="594"/>
      <c r="Z112" s="594"/>
      <c r="AA112" s="594"/>
      <c r="AB112" s="594"/>
      <c r="AC112" s="594"/>
      <c r="AD112" s="594"/>
      <c r="AE112" s="594"/>
      <c r="AF112" s="594"/>
      <c r="AG112" s="594"/>
      <c r="AH112" s="594"/>
      <c r="AI112" s="594"/>
      <c r="AJ112" s="594"/>
      <c r="AK112" s="594"/>
      <c r="AL112" s="594"/>
      <c r="AM112" s="594"/>
      <c r="AN112" s="594"/>
      <c r="AO112" s="598"/>
      <c r="AP112" s="594">
        <v>4</v>
      </c>
      <c r="AQ112" s="594"/>
      <c r="AR112" s="599"/>
      <c r="AS112" s="594"/>
      <c r="AT112" s="594"/>
      <c r="AU112" s="594"/>
      <c r="AV112" s="594"/>
      <c r="AW112" s="594"/>
      <c r="AX112" s="593" t="s">
        <v>43</v>
      </c>
      <c r="AY112" s="598" t="s">
        <v>140</v>
      </c>
      <c r="AZ112" s="594"/>
      <c r="BA112" s="594"/>
      <c r="BB112" s="594"/>
      <c r="BC112" s="594"/>
      <c r="BD112" s="523"/>
      <c r="BE112" s="593"/>
      <c r="BF112" s="594">
        <v>2</v>
      </c>
      <c r="BG112" s="594"/>
      <c r="BH112" s="594"/>
      <c r="BI112" s="594">
        <v>2</v>
      </c>
      <c r="BJ112" s="594"/>
      <c r="BK112" s="594"/>
      <c r="BL112" s="594"/>
      <c r="BM112" s="594"/>
      <c r="BN112" s="594"/>
      <c r="BO112" s="593"/>
      <c r="BP112" s="594"/>
      <c r="BQ112" s="599"/>
      <c r="BR112" s="593"/>
      <c r="BS112" s="472"/>
      <c r="BT112" s="472"/>
      <c r="BU112" s="523"/>
      <c r="BV112" s="472"/>
      <c r="BW112" s="523"/>
      <c r="BX112" s="523"/>
      <c r="BY112" s="523"/>
      <c r="BZ112" s="601" t="str">
        <f>IFERROR(WWWW[[#This Row],['#_Water sources passed]]/WWWW[[#This Row],['#_Water sources tested for fecal coliform ]],"no test")</f>
        <v>no test</v>
      </c>
      <c r="CA112" s="599" t="str">
        <f>IFERROR(WWWW[[#This Row],['#_Household passed]]/WWWW[[#This Row],['#_Household water samples tested for fecal coliform]],"no test")</f>
        <v>no test</v>
      </c>
      <c r="CB112" s="600" t="str">
        <f>IF(AND(WWWW[[#This Row],[% of water sources passed]]="no test",WWWW[[#This Row],[% Household passed]]="no test"),"No Test","Tested")</f>
        <v>No Test</v>
      </c>
      <c r="CC112" s="600">
        <f>WWWW[[#This Row],['#_Constructed/existing protected hand dug well]]-WWWW[[#This Row],['#_Non-functional protected hand dug well]]</f>
        <v>0</v>
      </c>
      <c r="CD112" s="600">
        <f>(WWWW[[#This Row],['#_Constructed/Existing tube wells/boreholes/handpumps_WASH_agency]]+WWWW[[#This Row],['#_Non-Cluster partner water tube-wells/boreholes/handpumps]])-WWWW[[#This Row],['#_Non-functional tube wells/boreholes/handpumps]]</f>
        <v>2</v>
      </c>
      <c r="CE112" s="600">
        <f>WWWW[[#This Row],['#_Constructed/Existingwater storage tank with gravity fed reticulation system]]-WWWW[[#This Row],['#_Non-functional storage tank gravity fed reticulation system]]</f>
        <v>0</v>
      </c>
      <c r="CF112" s="478">
        <f>(WWWW[[#This Row],['#_Water_Liters_supplied_by_Water boating or water trucking]]/90)/15</f>
        <v>0</v>
      </c>
      <c r="CG112" s="478">
        <f>WWWW[[#This Row],['#_Water_Liters_from_Constructed/Existing water distribution system from river or natural spring]]/90/15</f>
        <v>0</v>
      </c>
      <c r="CH112" s="478">
        <f>WWWW[[#This Row],['#_of water points in TLS/CFS /THF]]*500</f>
        <v>0</v>
      </c>
      <c r="CI11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2" s="599">
        <f>IF(WWWW[[#This Row],[Location Type 1]]="Village",WWWW[[#This Row],[Access to safe drinking water for Village]],WWWW[[#This Row],[Access to safe drinking water for Camp]])</f>
        <v>1</v>
      </c>
      <c r="CL112" s="597">
        <f>WWWW[[#This Row],[%Equitable and continuous access to sufficient quantity of safe drinking water]]*WWWW[[#This Row],[Total PoP ]]</f>
        <v>45</v>
      </c>
      <c r="CM112" s="599">
        <f>IF((WWWW[[#This Row],['#_Constructed/Existing protected/fenced ponds]]*250)/WWWW[[#This Row],[Total PoP ]]&gt;1,1,(WWWW[[#This Row],['#_Constructed/Existing protected/fenced ponds]]*250)/WWWW[[#This Row],[Total PoP ]])</f>
        <v>0</v>
      </c>
      <c r="CN112" s="597">
        <f>WWWW[[#This Row],[% Access to unimproved water points]]*WWWW[[#This Row],[Total PoP ]]</f>
        <v>0</v>
      </c>
      <c r="CO11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v>
      </c>
      <c r="CQ112" s="597">
        <f>WWWW[[#This Row],[HRP1]]/500</f>
        <v>0.09</v>
      </c>
      <c r="CR112" s="602">
        <f>1-WWWW[[#This Row],[% Equitable and continuous access to sufficient quantity of domestic water]]</f>
        <v>0</v>
      </c>
      <c r="CS112" s="597">
        <f>WWWW[[#This Row],[%equitable and continuous access to sufficient quantity of safe drinking and domestic water''s GAP]]*WWWW[[#This Row],[Total PoP ]]</f>
        <v>0</v>
      </c>
      <c r="CT112" s="600">
        <f>IF(WWWW[[#This Row],[Total required water points]]-WWWW[[#This Row],['#Water points coverage]]&lt;0,0,WWWW[[#This Row],[Total required water points]]-WWWW[[#This Row],['#Water points coverage]])</f>
        <v>0.91</v>
      </c>
      <c r="CU112" s="600">
        <f>ROUND(IF(WWWW[[#This Row],[Total PoP ]]&lt;500,1,WWWW[[#This Row],[Total PoP ]]/500),0)</f>
        <v>1</v>
      </c>
      <c r="CV112" s="600">
        <f>(WWWW[[#This Row],['#_Constructed latrines_by_WASHAgencies]]+WWWW[[#This Row],['#_Non Cluster partner latrines]])-WWWW[[#This Row],['#_Non-functional latrines]]</f>
        <v>4</v>
      </c>
      <c r="CW112" s="70">
        <f>WWWW[[#This Row],[HRP2]]/WWWW[[#This Row],[Total PoP ]]</f>
        <v>1</v>
      </c>
      <c r="CX11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v>
      </c>
      <c r="CY11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2" s="600">
        <f>IF(WWWW[[#This Row],['# of functional latrines in THF supported by WASH partners during the reporting period2]]="",0,WWWW[[#This Row],['# of functional latrines in THF supported by WASH partners during the reporting period2]]*50)</f>
        <v>0</v>
      </c>
      <c r="DB112" s="600">
        <f>WWWW[[#This Row],['# students access to functioning school latrines_HRP5]]+WWWW[[#This Row],['# People access to functioning latrines in THF_HRP5]]</f>
        <v>0</v>
      </c>
      <c r="DC112" s="600">
        <f>ROUND(IF(WWWW[[#This Row],[Location Type 1]]="camp",WWWW[[#This Row],[Total PoP ]]/20,IF(WWWW[[#This Row],[Location Type 1]]="Temporary Location",WWWW[[#This Row],[Total PoP ]]/50,WWWW[[#This Row],[Total HH]])),0)</f>
        <v>2</v>
      </c>
      <c r="DD112" s="600">
        <f>IF(WWWW[[#This Row],[Total required Latrines]]-(WWWW[[#This Row],['#_Constructed latrines_by_WASHAgencies]]+WWWW[[#This Row],['#_Non Cluster partner latrines]])&lt;0,0,WWWW[[#This Row],[Total required Latrines]]-(WWWW[[#This Row],['#_Constructed latrines_by_WASHAgencies]]+WWWW[[#This Row],['#_Non Cluster partner latrines]]))</f>
        <v>0</v>
      </c>
      <c r="DE112" s="602">
        <f>1-WWWW[[#This Row],[% people access to functioning Latrine]]</f>
        <v>0</v>
      </c>
      <c r="DF112" s="601">
        <f>IF(OR(WWWW[[#This Row],['#_Non-functional latrines]]="",WWWW[[#This Row],['#_Non-functional latrines]]=0),0,WWWW[[#This Row],['#_Non-functional latrines]]/(WWWW[[#This Row],['#_Constructed latrines_by_WASHAgencies]]+WWWW[[#This Row],['#_Non Cluster partner latrines]]))</f>
        <v>0</v>
      </c>
      <c r="DG112" s="597">
        <f>IF(500*(WWWW[[#This Row],['#_male hygiene promoters]]+WWWW[[#This Row],['#_female hygiene promoters]])&gt;WWWW[[#This Row],[Total PoP ]],WWWW[[#This Row],[Total PoP ]],500*(WWWW[[#This Row],['#_male hygiene promoters]]+WWWW[[#This Row],['#_female hygiene promoters]]))</f>
        <v>0</v>
      </c>
      <c r="DH11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2" s="600">
        <f>IF(WWWW[[#This Row],['# People with access to soap]]&gt;WWWW[[#This Row],['# People with access to Sanity Pads]],WWWW[[#This Row],['# People with access to soap]],WWWW[[#This Row],['# People with access to Sanity Pads]])</f>
        <v>0</v>
      </c>
      <c r="DK11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2" s="602">
        <f>IF(WWWW[[#This Row],[HRP3]]/WWWW[[#This Row],[Total PoP ]]&gt;1,1,WWWW[[#This Row],[HRP3]]/WWWW[[#This Row],[Total PoP ]])</f>
        <v>0</v>
      </c>
      <c r="DM112" s="601">
        <f>1-WWWW[[#This Row],[Hygiene Coverage%]]</f>
        <v>1</v>
      </c>
      <c r="DN112" s="599">
        <f>WWWW[[#This Row],['# people reached by regular dedicated hygiene promotion_5]]/WWWW[[#This Row],[Total PoP ]]</f>
        <v>0</v>
      </c>
      <c r="DO11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2" s="600">
        <f>WWWW[[#This Row],['#_Constructed/Existing hand washing stations]]-WWWW[[#This Row],['#_Non-Functional_hand_washing_stations]]</f>
        <v>2</v>
      </c>
      <c r="DR112" s="597">
        <f>IF(WWWW[[#This Row],['# Functional hand washing stations during reporting period]]*20&gt;WWWW[[#This Row],[Total HH]],WWWW[[#This Row],[Total HH]],WWWW[[#This Row],['# Functional hand washing stations during reporting period]]*20)</f>
        <v>10</v>
      </c>
      <c r="DS112" s="597">
        <f>IF(WWWW[[#This Row],[Is sufficient soap available for TLS? (Yes/No)]]="yes",WWWW[[#This Row],['#_Constructed/Existing hand washing stations at TLS]],0)</f>
        <v>0</v>
      </c>
      <c r="DT112" s="479">
        <f>IF(WWWW[[#This Row],['# Functional hand washing stations during reporting period]]*100&gt;WWWW[[#This Row],[Total PoP ]],WWWW[[#This Row],[Total PoP ]],WWWW[[#This Row],['# Functional hand washing stations during reporting period]]*100)</f>
        <v>45</v>
      </c>
      <c r="DU112" s="479" t="str">
        <f>IF(OR(WWWW[[#This Row],['#_students at TLS_CFS]]="",WWWW[[#This Row],['#_students at TLS_CFS]]=0),"No","Yes")</f>
        <v>No</v>
      </c>
      <c r="DV11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2" s="593" t="str">
        <f>VLOOKUP(WWWW[[#This Row],[Site Name]],SiteDB6[[Site Name]:[CCCM Management]],6,FALSE)</f>
        <v>Yes</v>
      </c>
      <c r="DZ112" s="593" t="str">
        <f>VLOOKUP(WWWW[[#This Row],[Site Name]],SiteDB6[[Site Name]:[CCCM Focal Agency]],7,FALSE)</f>
        <v>Shalom</v>
      </c>
      <c r="EA112" s="593" t="str">
        <f>VLOOKUP(WWWW[[#This Row],[Site Name]],SiteDB6[[Site Name]:[Location Type 1]],9,FALSE)</f>
        <v>Camp</v>
      </c>
      <c r="EB112" s="593" t="str">
        <f>VLOOKUP(WWWW[[#This Row],[Site Name]],SiteDB6[[Site Name]:[Type of Accommodation]],10,FALSE)</f>
        <v>Camp</v>
      </c>
      <c r="EC112" s="593" t="str">
        <f>VLOOKUP(WWWW[[#This Row],[Site Name]],SiteDB6[[Site Name]:[Ethnic or GCA/NGCA]],11,FALSE)</f>
        <v>GCA</v>
      </c>
      <c r="ED112" s="593">
        <f>VLOOKUP(WWWW[[#This Row],[Site Name]],SiteDB6[[Site Name]:[Lat]],12,FALSE)</f>
        <v>24.253067000000001</v>
      </c>
      <c r="EE112" s="593">
        <f>VLOOKUP(WWWW[[#This Row],[Site Name]],SiteDB6[[Site Name]:[Long]],13,FALSE)</f>
        <v>97.234200000000001</v>
      </c>
      <c r="EF112" s="593" t="str">
        <f>VLOOKUP(WWWW[[#This Row],[Site Name]],SiteDB6[[Site Name]:[Pcode]],3,FALSE)</f>
        <v>MMR001CMP051</v>
      </c>
      <c r="EG112" s="598" t="str">
        <f t="shared" si="1"/>
        <v>Covered</v>
      </c>
      <c r="EH112" s="598" t="str">
        <f>VLOOKUP(WWWW[[#This Row],[Site Name]],SiteDB6[[Site Name]:[open in cccm?]],2,FALSE)</f>
        <v>cccm_2019OCT</v>
      </c>
    </row>
    <row r="113" spans="1:138" hidden="1">
      <c r="A113" s="591" t="s">
        <v>3261</v>
      </c>
      <c r="B113" s="591" t="s">
        <v>195</v>
      </c>
      <c r="C113" s="592" t="s">
        <v>195</v>
      </c>
      <c r="D113" s="592" t="s">
        <v>3045</v>
      </c>
      <c r="E113" s="592" t="s">
        <v>711</v>
      </c>
      <c r="F113" s="592" t="s">
        <v>712</v>
      </c>
      <c r="G113" s="721" t="str">
        <f>VLOOKUP(WWWW[[#This Row],[Site Name]],SiteDB6[[Site Name]:[Location Type]],8,FALSE)</f>
        <v>Camp</v>
      </c>
      <c r="H113" s="592" t="s">
        <v>759</v>
      </c>
      <c r="I113" s="594">
        <v>68</v>
      </c>
      <c r="J113" s="594">
        <v>350</v>
      </c>
      <c r="K113" s="595" t="s">
        <v>3289</v>
      </c>
      <c r="L113" s="596" t="s">
        <v>3290</v>
      </c>
      <c r="M113" s="594">
        <v>112</v>
      </c>
      <c r="N113" s="594"/>
      <c r="O113" s="594">
        <v>1</v>
      </c>
      <c r="P113" s="594"/>
      <c r="Q113" s="597"/>
      <c r="R113" s="594"/>
      <c r="S113" s="594">
        <v>4</v>
      </c>
      <c r="T113" s="523"/>
      <c r="U113" s="594"/>
      <c r="V113" s="594"/>
      <c r="W113" s="594"/>
      <c r="X113" s="594">
        <v>1</v>
      </c>
      <c r="Y113" s="594"/>
      <c r="Z113" s="594"/>
      <c r="AA113" s="594"/>
      <c r="AB113" s="594"/>
      <c r="AC113" s="594"/>
      <c r="AD113" s="594"/>
      <c r="AE113" s="594"/>
      <c r="AF113" s="594"/>
      <c r="AG113" s="594"/>
      <c r="AH113" s="594"/>
      <c r="AI113" s="594"/>
      <c r="AJ113" s="594"/>
      <c r="AK113" s="594"/>
      <c r="AL113" s="594"/>
      <c r="AM113" s="594"/>
      <c r="AN113" s="594"/>
      <c r="AO113" s="598"/>
      <c r="AP113" s="594">
        <v>10</v>
      </c>
      <c r="AQ113" s="594"/>
      <c r="AR113" s="599"/>
      <c r="AS113" s="594"/>
      <c r="AT113" s="594"/>
      <c r="AU113" s="594"/>
      <c r="AV113" s="594"/>
      <c r="AW113" s="594"/>
      <c r="AX113" s="593" t="s">
        <v>143</v>
      </c>
      <c r="AY113" s="598" t="s">
        <v>143</v>
      </c>
      <c r="AZ113" s="594"/>
      <c r="BA113" s="594"/>
      <c r="BB113" s="594"/>
      <c r="BC113" s="594"/>
      <c r="BD113" s="523"/>
      <c r="BE113" s="593"/>
      <c r="BF113" s="594"/>
      <c r="BG113" s="594"/>
      <c r="BH113" s="594"/>
      <c r="BI113" s="594"/>
      <c r="BJ113" s="594"/>
      <c r="BK113" s="594"/>
      <c r="BL113" s="594"/>
      <c r="BM113" s="594"/>
      <c r="BN113" s="594"/>
      <c r="BO113" s="593" t="s">
        <v>139</v>
      </c>
      <c r="BP113" s="594"/>
      <c r="BQ113" s="599"/>
      <c r="BR113" s="593"/>
      <c r="BS113" s="472"/>
      <c r="BT113" s="472"/>
      <c r="BU113" s="523"/>
      <c r="BV113" s="472"/>
      <c r="BW113" s="523"/>
      <c r="BX113" s="523"/>
      <c r="BY113" s="523"/>
      <c r="BZ113" s="601" t="str">
        <f>IFERROR(WWWW[[#This Row],['#_Water sources passed]]/WWWW[[#This Row],['#_Water sources tested for fecal coliform ]],"no test")</f>
        <v>no test</v>
      </c>
      <c r="CA113" s="599" t="str">
        <f>IFERROR(WWWW[[#This Row],['#_Household passed]]/WWWW[[#This Row],['#_Household water samples tested for fecal coliform]],"no test")</f>
        <v>no test</v>
      </c>
      <c r="CB113" s="600" t="str">
        <f>IF(AND(WWWW[[#This Row],[% of water sources passed]]="no test",WWWW[[#This Row],[% Household passed]]="no test"),"No Test","Tested")</f>
        <v>No Test</v>
      </c>
      <c r="CC113" s="600">
        <f>WWWW[[#This Row],['#_Constructed/existing protected hand dug well]]-WWWW[[#This Row],['#_Non-functional protected hand dug well]]</f>
        <v>0</v>
      </c>
      <c r="CD113" s="600">
        <f>(WWWW[[#This Row],['#_Constructed/Existing tube wells/boreholes/handpumps_WASH_agency]]+WWWW[[#This Row],['#_Non-Cluster partner water tube-wells/boreholes/handpumps]])-WWWW[[#This Row],['#_Non-functional tube wells/boreholes/handpumps]]</f>
        <v>1</v>
      </c>
      <c r="CE113" s="600">
        <f>WWWW[[#This Row],['#_Constructed/Existingwater storage tank with gravity fed reticulation system]]-WWWW[[#This Row],['#_Non-functional storage tank gravity fed reticulation system]]</f>
        <v>0</v>
      </c>
      <c r="CF113" s="478">
        <f>(WWWW[[#This Row],['#_Water_Liters_supplied_by_Water boating or water trucking]]/90)/15</f>
        <v>0</v>
      </c>
      <c r="CG113" s="478">
        <f>WWWW[[#This Row],['#_Water_Liters_from_Constructed/Existing water distribution system from river or natural spring]]/90/15</f>
        <v>0</v>
      </c>
      <c r="CH113" s="478">
        <f>WWWW[[#This Row],['#_of water points in TLS/CFS /THF]]*500</f>
        <v>0</v>
      </c>
      <c r="CI11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0.7142857142857143</v>
      </c>
      <c r="CK113" s="599">
        <f>IF(WWWW[[#This Row],[Location Type 1]]="Village",WWWW[[#This Row],[Access to safe drinking water for Village]],WWWW[[#This Row],[Access to safe drinking water for Camp]])</f>
        <v>1</v>
      </c>
      <c r="CL113" s="597">
        <f>WWWW[[#This Row],[%Equitable and continuous access to sufficient quantity of safe drinking water]]*WWWW[[#This Row],[Total PoP ]]</f>
        <v>350</v>
      </c>
      <c r="CM113" s="599">
        <f>IF((WWWW[[#This Row],['#_Constructed/Existing protected/fenced ponds]]*250)/WWWW[[#This Row],[Total PoP ]]&gt;1,1,(WWWW[[#This Row],['#_Constructed/Existing protected/fenced ponds]]*250)/WWWW[[#This Row],[Total PoP ]])</f>
        <v>0</v>
      </c>
      <c r="CN113" s="597">
        <f>WWWW[[#This Row],[% Access to unimproved water points]]*WWWW[[#This Row],[Total PoP ]]</f>
        <v>0</v>
      </c>
      <c r="CO11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Q113" s="597">
        <f>WWWW[[#This Row],[HRP1]]/500</f>
        <v>0.7</v>
      </c>
      <c r="CR113" s="602">
        <f>1-WWWW[[#This Row],[% Equitable and continuous access to sufficient quantity of domestic water]]</f>
        <v>0</v>
      </c>
      <c r="CS113" s="597">
        <f>WWWW[[#This Row],[%equitable and continuous access to sufficient quantity of safe drinking and domestic water''s GAP]]*WWWW[[#This Row],[Total PoP ]]</f>
        <v>0</v>
      </c>
      <c r="CT113" s="600">
        <f>IF(WWWW[[#This Row],[Total required water points]]-WWWW[[#This Row],['#Water points coverage]]&lt;0,0,WWWW[[#This Row],[Total required water points]]-WWWW[[#This Row],['#Water points coverage]])</f>
        <v>0.30000000000000004</v>
      </c>
      <c r="CU113" s="600">
        <f>ROUND(IF(WWWW[[#This Row],[Total PoP ]]&lt;500,1,WWWW[[#This Row],[Total PoP ]]/500),0)</f>
        <v>1</v>
      </c>
      <c r="CV113" s="600">
        <f>(WWWW[[#This Row],['#_Constructed latrines_by_WASHAgencies]]+WWWW[[#This Row],['#_Non Cluster partner latrines]])-WWWW[[#This Row],['#_Non-functional latrines]]</f>
        <v>10</v>
      </c>
      <c r="CW113" s="70">
        <f>WWWW[[#This Row],[HRP2]]/WWWW[[#This Row],[Total PoP ]]</f>
        <v>0.5714285714285714</v>
      </c>
      <c r="CX11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1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3" s="600">
        <f>IF(WWWW[[#This Row],['# of functional latrines in THF supported by WASH partners during the reporting period2]]="",0,WWWW[[#This Row],['# of functional latrines in THF supported by WASH partners during the reporting period2]]*50)</f>
        <v>0</v>
      </c>
      <c r="DB113" s="600">
        <f>WWWW[[#This Row],['# students access to functioning school latrines_HRP5]]+WWWW[[#This Row],['# People access to functioning latrines in THF_HRP5]]</f>
        <v>0</v>
      </c>
      <c r="DC113" s="600">
        <f>ROUND(IF(WWWW[[#This Row],[Location Type 1]]="camp",WWWW[[#This Row],[Total PoP ]]/20,IF(WWWW[[#This Row],[Location Type 1]]="Temporary Location",WWWW[[#This Row],[Total PoP ]]/50,WWWW[[#This Row],[Total HH]])),0)</f>
        <v>18</v>
      </c>
      <c r="DD113" s="600">
        <f>IF(WWWW[[#This Row],[Total required Latrines]]-(WWWW[[#This Row],['#_Constructed latrines_by_WASHAgencies]]+WWWW[[#This Row],['#_Non Cluster partner latrines]])&lt;0,0,WWWW[[#This Row],[Total required Latrines]]-(WWWW[[#This Row],['#_Constructed latrines_by_WASHAgencies]]+WWWW[[#This Row],['#_Non Cluster partner latrines]]))</f>
        <v>8</v>
      </c>
      <c r="DE113" s="602">
        <f>1-WWWW[[#This Row],[% people access to functioning Latrine]]</f>
        <v>0.4285714285714286</v>
      </c>
      <c r="DF113" s="601">
        <f>IF(OR(WWWW[[#This Row],['#_Non-functional latrines]]="",WWWW[[#This Row],['#_Non-functional latrines]]=0),0,WWWW[[#This Row],['#_Non-functional latrines]]/(WWWW[[#This Row],['#_Constructed latrines_by_WASHAgencies]]+WWWW[[#This Row],['#_Non Cluster partner latrines]]))</f>
        <v>0</v>
      </c>
      <c r="DG113" s="597">
        <f>IF(500*(WWWW[[#This Row],['#_male hygiene promoters]]+WWWW[[#This Row],['#_female hygiene promoters]])&gt;WWWW[[#This Row],[Total PoP ]],WWWW[[#This Row],[Total PoP ]],500*(WWWW[[#This Row],['#_male hygiene promoters]]+WWWW[[#This Row],['#_female hygiene promoters]]))</f>
        <v>0</v>
      </c>
      <c r="DH11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3" s="600">
        <f>IF(WWWW[[#This Row],['# People with access to soap]]&gt;WWWW[[#This Row],['# People with access to Sanity Pads]],WWWW[[#This Row],['# People with access to soap]],WWWW[[#This Row],['# People with access to Sanity Pads]])</f>
        <v>0</v>
      </c>
      <c r="DK113"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3" s="602">
        <f>IF(WWWW[[#This Row],[HRP3]]/WWWW[[#This Row],[Total PoP ]]&gt;1,1,WWWW[[#This Row],[HRP3]]/WWWW[[#This Row],[Total PoP ]])</f>
        <v>0</v>
      </c>
      <c r="DM113" s="601">
        <f>1-WWWW[[#This Row],[Hygiene Coverage%]]</f>
        <v>1</v>
      </c>
      <c r="DN113" s="599">
        <f>WWWW[[#This Row],['# people reached by regular dedicated hygiene promotion_5]]/WWWW[[#This Row],[Total PoP ]]</f>
        <v>0</v>
      </c>
      <c r="DO11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3" s="600">
        <f>WWWW[[#This Row],['#_Constructed/Existing hand washing stations]]-WWWW[[#This Row],['#_Non-Functional_hand_washing_stations]]</f>
        <v>0</v>
      </c>
      <c r="DR113" s="597">
        <f>IF(WWWW[[#This Row],['# Functional hand washing stations during reporting period]]*20&gt;WWWW[[#This Row],[Total HH]],WWWW[[#This Row],[Total HH]],WWWW[[#This Row],['# Functional hand washing stations during reporting period]]*20)</f>
        <v>0</v>
      </c>
      <c r="DS113" s="597">
        <f>IF(WWWW[[#This Row],[Is sufficient soap available for TLS? (Yes/No)]]="yes",WWWW[[#This Row],['#_Constructed/Existing hand washing stations at TLS]],0)</f>
        <v>0</v>
      </c>
      <c r="DT113" s="479">
        <f>IF(WWWW[[#This Row],['# Functional hand washing stations during reporting period]]*100&gt;WWWW[[#This Row],[Total PoP ]],WWWW[[#This Row],[Total PoP ]],WWWW[[#This Row],['# Functional hand washing stations during reporting period]]*100)</f>
        <v>0</v>
      </c>
      <c r="DU113" s="479" t="str">
        <f>IF(OR(WWWW[[#This Row],['#_students at TLS_CFS]]="",WWWW[[#This Row],['#_students at TLS_CFS]]=0),"No","Yes")</f>
        <v>Yes</v>
      </c>
      <c r="DV11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3" s="593" t="str">
        <f>VLOOKUP(WWWW[[#This Row],[Site Name]],SiteDB6[[Site Name]:[CCCM Management]],6,FALSE)</f>
        <v>Yes</v>
      </c>
      <c r="DZ113" s="593" t="str">
        <f>VLOOKUP(WWWW[[#This Row],[Site Name]],SiteDB6[[Site Name]:[CCCM Focal Agency]],7,FALSE)</f>
        <v>KBC-NSS</v>
      </c>
      <c r="EA113" s="593" t="str">
        <f>VLOOKUP(WWWW[[#This Row],[Site Name]],SiteDB6[[Site Name]:[Location Type 1]],9,FALSE)</f>
        <v>Camp</v>
      </c>
      <c r="EB113" s="593" t="str">
        <f>VLOOKUP(WWWW[[#This Row],[Site Name]],SiteDB6[[Site Name]:[Type of Accommodation]],10,FALSE)</f>
        <v>Camp</v>
      </c>
      <c r="EC113" s="593" t="str">
        <f>VLOOKUP(WWWW[[#This Row],[Site Name]],SiteDB6[[Site Name]:[Ethnic or GCA/NGCA]],11,FALSE)</f>
        <v>GCA</v>
      </c>
      <c r="ED113" s="593">
        <f>VLOOKUP(WWWW[[#This Row],[Site Name]],SiteDB6[[Site Name]:[Lat]],12,FALSE)</f>
        <v>23.828520000000001</v>
      </c>
      <c r="EE113" s="593">
        <f>VLOOKUP(WWWW[[#This Row],[Site Name]],SiteDB6[[Site Name]:[Long]],13,FALSE)</f>
        <v>97.669557999999995</v>
      </c>
      <c r="EF113" s="593" t="str">
        <f>VLOOKUP(WWWW[[#This Row],[Site Name]],SiteDB6[[Site Name]:[Pcode]],3,FALSE)</f>
        <v>MMR015CMP001</v>
      </c>
      <c r="EG113" s="598" t="str">
        <f t="shared" si="1"/>
        <v>Covered</v>
      </c>
      <c r="EH113" s="598" t="str">
        <f>VLOOKUP(WWWW[[#This Row],[Site Name]],SiteDB6[[Site Name]:[open in cccm?]],2,FALSE)</f>
        <v>cccm_2019OCT</v>
      </c>
    </row>
    <row r="114" spans="1:138" hidden="1">
      <c r="A114" s="591" t="s">
        <v>3261</v>
      </c>
      <c r="B114" s="591" t="s">
        <v>195</v>
      </c>
      <c r="C114" s="592" t="s">
        <v>195</v>
      </c>
      <c r="D114" s="592" t="s">
        <v>3045</v>
      </c>
      <c r="E114" s="592" t="s">
        <v>711</v>
      </c>
      <c r="F114" s="592" t="s">
        <v>712</v>
      </c>
      <c r="G114" s="721" t="str">
        <f>VLOOKUP(WWWW[[#This Row],[Site Name]],SiteDB6[[Site Name]:[Location Type]],8,FALSE)</f>
        <v>Camp</v>
      </c>
      <c r="H114" s="592" t="s">
        <v>747</v>
      </c>
      <c r="I114" s="594">
        <v>37</v>
      </c>
      <c r="J114" s="594">
        <v>176</v>
      </c>
      <c r="K114" s="595" t="s">
        <v>3289</v>
      </c>
      <c r="L114" s="596" t="s">
        <v>3290</v>
      </c>
      <c r="M114" s="594">
        <v>48</v>
      </c>
      <c r="N114" s="594"/>
      <c r="O114" s="594">
        <v>1</v>
      </c>
      <c r="P114" s="594"/>
      <c r="Q114" s="597"/>
      <c r="R114" s="594"/>
      <c r="S114" s="594">
        <v>1</v>
      </c>
      <c r="T114" s="523"/>
      <c r="U114" s="594"/>
      <c r="V114" s="594"/>
      <c r="W114" s="594"/>
      <c r="X114" s="594">
        <v>1</v>
      </c>
      <c r="Y114" s="594"/>
      <c r="Z114" s="594"/>
      <c r="AA114" s="594"/>
      <c r="AB114" s="594"/>
      <c r="AC114" s="594"/>
      <c r="AD114" s="594"/>
      <c r="AE114" s="594"/>
      <c r="AF114" s="594"/>
      <c r="AG114" s="594"/>
      <c r="AH114" s="594"/>
      <c r="AI114" s="594"/>
      <c r="AJ114" s="594"/>
      <c r="AK114" s="594"/>
      <c r="AL114" s="594"/>
      <c r="AM114" s="594"/>
      <c r="AN114" s="594"/>
      <c r="AO114" s="598"/>
      <c r="AP114" s="594"/>
      <c r="AQ114" s="594"/>
      <c r="AR114" s="599"/>
      <c r="AS114" s="594"/>
      <c r="AT114" s="594"/>
      <c r="AU114" s="594"/>
      <c r="AV114" s="594"/>
      <c r="AW114" s="594"/>
      <c r="AX114" s="593" t="s">
        <v>143</v>
      </c>
      <c r="AY114" s="598" t="s">
        <v>143</v>
      </c>
      <c r="AZ114" s="594"/>
      <c r="BA114" s="594"/>
      <c r="BB114" s="594"/>
      <c r="BC114" s="594"/>
      <c r="BD114" s="523"/>
      <c r="BE114" s="593"/>
      <c r="BF114" s="594"/>
      <c r="BG114" s="594"/>
      <c r="BH114" s="594"/>
      <c r="BI114" s="594"/>
      <c r="BJ114" s="594"/>
      <c r="BK114" s="594"/>
      <c r="BL114" s="594">
        <v>1</v>
      </c>
      <c r="BM114" s="594"/>
      <c r="BN114" s="594"/>
      <c r="BO114" s="593" t="s">
        <v>139</v>
      </c>
      <c r="BP114" s="594"/>
      <c r="BQ114" s="599"/>
      <c r="BR114" s="593"/>
      <c r="BS114" s="472"/>
      <c r="BT114" s="472"/>
      <c r="BU114" s="523"/>
      <c r="BV114" s="472"/>
      <c r="BW114" s="523"/>
      <c r="BX114" s="523"/>
      <c r="BY114" s="523"/>
      <c r="BZ114" s="601" t="str">
        <f>IFERROR(WWWW[[#This Row],['#_Water sources passed]]/WWWW[[#This Row],['#_Water sources tested for fecal coliform ]],"no test")</f>
        <v>no test</v>
      </c>
      <c r="CA114" s="599" t="str">
        <f>IFERROR(WWWW[[#This Row],['#_Household passed]]/WWWW[[#This Row],['#_Household water samples tested for fecal coliform]],"no test")</f>
        <v>no test</v>
      </c>
      <c r="CB114" s="600" t="str">
        <f>IF(AND(WWWW[[#This Row],[% of water sources passed]]="no test",WWWW[[#This Row],[% Household passed]]="no test"),"No Test","Tested")</f>
        <v>No Test</v>
      </c>
      <c r="CC114" s="600">
        <f>WWWW[[#This Row],['#_Constructed/existing protected hand dug well]]-WWWW[[#This Row],['#_Non-functional protected hand dug well]]</f>
        <v>0</v>
      </c>
      <c r="CD114" s="600">
        <f>(WWWW[[#This Row],['#_Constructed/Existing tube wells/boreholes/handpumps_WASH_agency]]+WWWW[[#This Row],['#_Non-Cluster partner water tube-wells/boreholes/handpumps]])-WWWW[[#This Row],['#_Non-functional tube wells/boreholes/handpumps]]</f>
        <v>1</v>
      </c>
      <c r="CE114" s="600">
        <f>WWWW[[#This Row],['#_Constructed/Existingwater storage tank with gravity fed reticulation system]]-WWWW[[#This Row],['#_Non-functional storage tank gravity fed reticulation system]]</f>
        <v>0</v>
      </c>
      <c r="CF114" s="478">
        <f>(WWWW[[#This Row],['#_Water_Liters_supplied_by_Water boating or water trucking]]/90)/15</f>
        <v>0</v>
      </c>
      <c r="CG114" s="478">
        <f>WWWW[[#This Row],['#_Water_Liters_from_Constructed/Existing water distribution system from river or natural spring]]/90/15</f>
        <v>0</v>
      </c>
      <c r="CH114" s="478">
        <f>WWWW[[#This Row],['#_of water points in TLS/CFS /THF]]*500</f>
        <v>0</v>
      </c>
      <c r="CI11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4" s="599">
        <f>IF(WWWW[[#This Row],[Location Type 1]]="Village",WWWW[[#This Row],[Access to safe drinking water for Village]],WWWW[[#This Row],[Access to safe drinking water for Camp]])</f>
        <v>1</v>
      </c>
      <c r="CL114" s="597">
        <f>WWWW[[#This Row],[%Equitable and continuous access to sufficient quantity of safe drinking water]]*WWWW[[#This Row],[Total PoP ]]</f>
        <v>176</v>
      </c>
      <c r="CM114" s="599">
        <f>IF((WWWW[[#This Row],['#_Constructed/Existing protected/fenced ponds]]*250)/WWWW[[#This Row],[Total PoP ]]&gt;1,1,(WWWW[[#This Row],['#_Constructed/Existing protected/fenced ponds]]*250)/WWWW[[#This Row],[Total PoP ]])</f>
        <v>0</v>
      </c>
      <c r="CN114" s="597">
        <f>WWWW[[#This Row],[% Access to unimproved water points]]*WWWW[[#This Row],[Total PoP ]]</f>
        <v>0</v>
      </c>
      <c r="CO11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Q114" s="597">
        <f>WWWW[[#This Row],[HRP1]]/500</f>
        <v>0.35199999999999998</v>
      </c>
      <c r="CR114" s="602">
        <f>1-WWWW[[#This Row],[% Equitable and continuous access to sufficient quantity of domestic water]]</f>
        <v>0</v>
      </c>
      <c r="CS114" s="597">
        <f>WWWW[[#This Row],[%equitable and continuous access to sufficient quantity of safe drinking and domestic water''s GAP]]*WWWW[[#This Row],[Total PoP ]]</f>
        <v>0</v>
      </c>
      <c r="CT114" s="600">
        <f>IF(WWWW[[#This Row],[Total required water points]]-WWWW[[#This Row],['#Water points coverage]]&lt;0,0,WWWW[[#This Row],[Total required water points]]-WWWW[[#This Row],['#Water points coverage]])</f>
        <v>0.64800000000000002</v>
      </c>
      <c r="CU114" s="600">
        <f>ROUND(IF(WWWW[[#This Row],[Total PoP ]]&lt;500,1,WWWW[[#This Row],[Total PoP ]]/500),0)</f>
        <v>1</v>
      </c>
      <c r="CV114" s="600">
        <f>(WWWW[[#This Row],['#_Constructed latrines_by_WASHAgencies]]+WWWW[[#This Row],['#_Non Cluster partner latrines]])-WWWW[[#This Row],['#_Non-functional latrines]]</f>
        <v>0</v>
      </c>
      <c r="CW114" s="70">
        <f>WWWW[[#This Row],[HRP2]]/WWWW[[#This Row],[Total PoP ]]</f>
        <v>0</v>
      </c>
      <c r="CX11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1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4" s="600">
        <f>IF(WWWW[[#This Row],['# of functional latrines in THF supported by WASH partners during the reporting period2]]="",0,WWWW[[#This Row],['# of functional latrines in THF supported by WASH partners during the reporting period2]]*50)</f>
        <v>0</v>
      </c>
      <c r="DB114" s="600">
        <f>WWWW[[#This Row],['# students access to functioning school latrines_HRP5]]+WWWW[[#This Row],['# People access to functioning latrines in THF_HRP5]]</f>
        <v>0</v>
      </c>
      <c r="DC114" s="600">
        <f>ROUND(IF(WWWW[[#This Row],[Location Type 1]]="camp",WWWW[[#This Row],[Total PoP ]]/20,IF(WWWW[[#This Row],[Location Type 1]]="Temporary Location",WWWW[[#This Row],[Total PoP ]]/50,WWWW[[#This Row],[Total HH]])),0)</f>
        <v>9</v>
      </c>
      <c r="DD114" s="600">
        <f>IF(WWWW[[#This Row],[Total required Latrines]]-(WWWW[[#This Row],['#_Constructed latrines_by_WASHAgencies]]+WWWW[[#This Row],['#_Non Cluster partner latrines]])&lt;0,0,WWWW[[#This Row],[Total required Latrines]]-(WWWW[[#This Row],['#_Constructed latrines_by_WASHAgencies]]+WWWW[[#This Row],['#_Non Cluster partner latrines]]))</f>
        <v>9</v>
      </c>
      <c r="DE114" s="602">
        <f>1-WWWW[[#This Row],[% people access to functioning Latrine]]</f>
        <v>1</v>
      </c>
      <c r="DF114" s="601">
        <f>IF(OR(WWWW[[#This Row],['#_Non-functional latrines]]="",WWWW[[#This Row],['#_Non-functional latrines]]=0),0,WWWW[[#This Row],['#_Non-functional latrines]]/(WWWW[[#This Row],['#_Constructed latrines_by_WASHAgencies]]+WWWW[[#This Row],['#_Non Cluster partner latrines]]))</f>
        <v>0</v>
      </c>
      <c r="DG114" s="597">
        <f>IF(500*(WWWW[[#This Row],['#_male hygiene promoters]]+WWWW[[#This Row],['#_female hygiene promoters]])&gt;WWWW[[#This Row],[Total PoP ]],WWWW[[#This Row],[Total PoP ]],500*(WWWW[[#This Row],['#_male hygiene promoters]]+WWWW[[#This Row],['#_female hygiene promoters]]))</f>
        <v>176</v>
      </c>
      <c r="DH11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4" s="600">
        <f>IF(WWWW[[#This Row],['# People with access to soap]]&gt;WWWW[[#This Row],['# People with access to Sanity Pads]],WWWW[[#This Row],['# People with access to soap]],WWWW[[#This Row],['# People with access to Sanity Pads]])</f>
        <v>0</v>
      </c>
      <c r="DK114" s="600">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L114" s="602">
        <f>IF(WWWW[[#This Row],[HRP3]]/WWWW[[#This Row],[Total PoP ]]&gt;1,1,WWWW[[#This Row],[HRP3]]/WWWW[[#This Row],[Total PoP ]])</f>
        <v>1</v>
      </c>
      <c r="DM114" s="601">
        <f>1-WWWW[[#This Row],[Hygiene Coverage%]]</f>
        <v>0</v>
      </c>
      <c r="DN114" s="599">
        <f>WWWW[[#This Row],['# people reached by regular dedicated hygiene promotion_5]]/WWWW[[#This Row],[Total PoP ]]</f>
        <v>1</v>
      </c>
      <c r="DO11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4" s="600">
        <f>WWWW[[#This Row],['#_Constructed/Existing hand washing stations]]-WWWW[[#This Row],['#_Non-Functional_hand_washing_stations]]</f>
        <v>0</v>
      </c>
      <c r="DR114" s="597">
        <f>IF(WWWW[[#This Row],['# Functional hand washing stations during reporting period]]*20&gt;WWWW[[#This Row],[Total HH]],WWWW[[#This Row],[Total HH]],WWWW[[#This Row],['# Functional hand washing stations during reporting period]]*20)</f>
        <v>0</v>
      </c>
      <c r="DS114" s="597">
        <f>IF(WWWW[[#This Row],[Is sufficient soap available for TLS? (Yes/No)]]="yes",WWWW[[#This Row],['#_Constructed/Existing hand washing stations at TLS]],0)</f>
        <v>0</v>
      </c>
      <c r="DT114" s="479">
        <f>IF(WWWW[[#This Row],['# Functional hand washing stations during reporting period]]*100&gt;WWWW[[#This Row],[Total PoP ]],WWWW[[#This Row],[Total PoP ]],WWWW[[#This Row],['# Functional hand washing stations during reporting period]]*100)</f>
        <v>0</v>
      </c>
      <c r="DU114" s="479" t="str">
        <f>IF(OR(WWWW[[#This Row],['#_students at TLS_CFS]]="",WWWW[[#This Row],['#_students at TLS_CFS]]=0),"No","Yes")</f>
        <v>Yes</v>
      </c>
      <c r="DV11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4" s="593" t="str">
        <f>VLOOKUP(WWWW[[#This Row],[Site Name]],SiteDB6[[Site Name]:[CCCM Management]],6,FALSE)</f>
        <v>Yes</v>
      </c>
      <c r="DZ114" s="593" t="str">
        <f>VLOOKUP(WWWW[[#This Row],[Site Name]],SiteDB6[[Site Name]:[CCCM Focal Agency]],7,FALSE)</f>
        <v>KBC-NSS</v>
      </c>
      <c r="EA114" s="593" t="str">
        <f>VLOOKUP(WWWW[[#This Row],[Site Name]],SiteDB6[[Site Name]:[Location Type 1]],9,FALSE)</f>
        <v>Camp</v>
      </c>
      <c r="EB114" s="593" t="str">
        <f>VLOOKUP(WWWW[[#This Row],[Site Name]],SiteDB6[[Site Name]:[Type of Accommodation]],10,FALSE)</f>
        <v>Camp</v>
      </c>
      <c r="EC114" s="593" t="str">
        <f>VLOOKUP(WWWW[[#This Row],[Site Name]],SiteDB6[[Site Name]:[Ethnic or GCA/NGCA]],11,FALSE)</f>
        <v>GCA</v>
      </c>
      <c r="ED114" s="593">
        <f>VLOOKUP(WWWW[[#This Row],[Site Name]],SiteDB6[[Site Name]:[Lat]],12,FALSE)</f>
        <v>23.841646999999998</v>
      </c>
      <c r="EE114" s="593">
        <f>VLOOKUP(WWWW[[#This Row],[Site Name]],SiteDB6[[Site Name]:[Long]],13,FALSE)</f>
        <v>97.700940000000003</v>
      </c>
      <c r="EF114" s="593" t="str">
        <f>VLOOKUP(WWWW[[#This Row],[Site Name]],SiteDB6[[Site Name]:[Pcode]],3,FALSE)</f>
        <v>MMR015CMP214</v>
      </c>
      <c r="EG114" s="598" t="str">
        <f t="shared" si="1"/>
        <v>Covered</v>
      </c>
      <c r="EH114" s="598" t="str">
        <f>VLOOKUP(WWWW[[#This Row],[Site Name]],SiteDB6[[Site Name]:[open in cccm?]],2,FALSE)</f>
        <v>cccm_2019OCT</v>
      </c>
    </row>
    <row r="115" spans="1:138" hidden="1">
      <c r="A115" s="591" t="s">
        <v>3261</v>
      </c>
      <c r="B115" s="591" t="s">
        <v>195</v>
      </c>
      <c r="C115" s="592" t="s">
        <v>195</v>
      </c>
      <c r="D115" s="592" t="s">
        <v>3045</v>
      </c>
      <c r="E115" s="592" t="s">
        <v>711</v>
      </c>
      <c r="F115" s="592" t="s">
        <v>715</v>
      </c>
      <c r="G115" s="721" t="str">
        <f>VLOOKUP(WWWW[[#This Row],[Site Name]],SiteDB6[[Site Name]:[Location Type]],8,FALSE)</f>
        <v>Camp</v>
      </c>
      <c r="H115" s="592" t="s">
        <v>727</v>
      </c>
      <c r="I115" s="594">
        <v>56</v>
      </c>
      <c r="J115" s="594">
        <v>263</v>
      </c>
      <c r="K115" s="595" t="s">
        <v>3289</v>
      </c>
      <c r="L115" s="596" t="s">
        <v>3290</v>
      </c>
      <c r="M115" s="594">
        <v>139</v>
      </c>
      <c r="N115" s="594"/>
      <c r="O115" s="594"/>
      <c r="P115" s="594"/>
      <c r="Q115" s="597" t="s">
        <v>43</v>
      </c>
      <c r="R115" s="594">
        <v>5</v>
      </c>
      <c r="S115" s="594">
        <v>5</v>
      </c>
      <c r="T115" s="523"/>
      <c r="U115" s="594"/>
      <c r="V115" s="594"/>
      <c r="W115" s="594"/>
      <c r="X115" s="594"/>
      <c r="Y115" s="594"/>
      <c r="Z115" s="594"/>
      <c r="AA115" s="594">
        <v>23</v>
      </c>
      <c r="AB115" s="594"/>
      <c r="AC115" s="594"/>
      <c r="AD115" s="594"/>
      <c r="AE115" s="594"/>
      <c r="AF115" s="594"/>
      <c r="AG115" s="594">
        <v>1</v>
      </c>
      <c r="AH115" s="594">
        <v>1</v>
      </c>
      <c r="AI115" s="594"/>
      <c r="AJ115" s="594"/>
      <c r="AK115" s="594"/>
      <c r="AL115" s="594"/>
      <c r="AM115" s="594"/>
      <c r="AN115" s="594"/>
      <c r="AO115" s="598"/>
      <c r="AP115" s="594">
        <v>18</v>
      </c>
      <c r="AQ115" s="594"/>
      <c r="AR115" s="599"/>
      <c r="AS115" s="594"/>
      <c r="AT115" s="594"/>
      <c r="AU115" s="594"/>
      <c r="AV115" s="594"/>
      <c r="AW115" s="594"/>
      <c r="AX115" s="593" t="s">
        <v>43</v>
      </c>
      <c r="AY115" s="598" t="s">
        <v>140</v>
      </c>
      <c r="AZ115" s="594"/>
      <c r="BA115" s="594"/>
      <c r="BB115" s="594"/>
      <c r="BC115" s="594"/>
      <c r="BD115" s="523"/>
      <c r="BE115" s="593"/>
      <c r="BF115" s="594">
        <v>6</v>
      </c>
      <c r="BG115" s="594"/>
      <c r="BH115" s="594"/>
      <c r="BI115" s="594">
        <v>1</v>
      </c>
      <c r="BJ115" s="594"/>
      <c r="BK115" s="594"/>
      <c r="BL115" s="594">
        <v>2</v>
      </c>
      <c r="BM115" s="594"/>
      <c r="BN115" s="594"/>
      <c r="BO115" s="593"/>
      <c r="BP115" s="594"/>
      <c r="BQ115" s="599"/>
      <c r="BR115" s="593"/>
      <c r="BS115" s="472"/>
      <c r="BT115" s="472"/>
      <c r="BU115" s="523"/>
      <c r="BV115" s="472"/>
      <c r="BW115" s="523"/>
      <c r="BX115" s="523"/>
      <c r="BY115" s="523"/>
      <c r="BZ115" s="601" t="str">
        <f>IFERROR(WWWW[[#This Row],['#_Water sources passed]]/WWWW[[#This Row],['#_Water sources tested for fecal coliform ]],"no test")</f>
        <v>no test</v>
      </c>
      <c r="CA115" s="599" t="str">
        <f>IFERROR(WWWW[[#This Row],['#_Household passed]]/WWWW[[#This Row],['#_Household water samples tested for fecal coliform]],"no test")</f>
        <v>no test</v>
      </c>
      <c r="CB115" s="600" t="str">
        <f>IF(AND(WWWW[[#This Row],[% of water sources passed]]="no test",WWWW[[#This Row],[% Household passed]]="no test"),"No Test","Tested")</f>
        <v>No Test</v>
      </c>
      <c r="CC115" s="600">
        <f>WWWW[[#This Row],['#_Constructed/existing protected hand dug well]]-WWWW[[#This Row],['#_Non-functional protected hand dug well]]</f>
        <v>0</v>
      </c>
      <c r="CD115" s="600">
        <f>(WWWW[[#This Row],['#_Constructed/Existing tube wells/boreholes/handpumps_WASH_agency]]+WWWW[[#This Row],['#_Non-Cluster partner water tube-wells/boreholes/handpumps]])-WWWW[[#This Row],['#_Non-functional tube wells/boreholes/handpumps]]</f>
        <v>0</v>
      </c>
      <c r="CE115" s="600">
        <f>WWWW[[#This Row],['#_Constructed/Existingwater storage tank with gravity fed reticulation system]]-WWWW[[#This Row],['#_Non-functional storage tank gravity fed reticulation system]]</f>
        <v>23</v>
      </c>
      <c r="CF115" s="478">
        <f>(WWWW[[#This Row],['#_Water_Liters_supplied_by_Water boating or water trucking]]/90)/15</f>
        <v>0</v>
      </c>
      <c r="CG115" s="478">
        <f>WWWW[[#This Row],['#_Water_Liters_from_Constructed/Existing water distribution system from river or natural spring]]/90/15</f>
        <v>0</v>
      </c>
      <c r="CH115" s="478">
        <f>WWWW[[#This Row],['#_of water points in TLS/CFS /THF]]*500</f>
        <v>0</v>
      </c>
      <c r="CI11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5" s="599">
        <f>IF(WWWW[[#This Row],[Location Type 1]]="Village",WWWW[[#This Row],[Access to safe drinking water for Village]],WWWW[[#This Row],[Access to safe drinking water for Camp]])</f>
        <v>1</v>
      </c>
      <c r="CL115" s="597">
        <f>WWWW[[#This Row],[%Equitable and continuous access to sufficient quantity of safe drinking water]]*WWWW[[#This Row],[Total PoP ]]</f>
        <v>263</v>
      </c>
      <c r="CM115" s="599">
        <f>IF((WWWW[[#This Row],['#_Constructed/Existing protected/fenced ponds]]*250)/WWWW[[#This Row],[Total PoP ]]&gt;1,1,(WWWW[[#This Row],['#_Constructed/Existing protected/fenced ponds]]*250)/WWWW[[#This Row],[Total PoP ]])</f>
        <v>0</v>
      </c>
      <c r="CN115" s="597">
        <f>WWWW[[#This Row],[% Access to unimproved water points]]*WWWW[[#This Row],[Total PoP ]]</f>
        <v>0</v>
      </c>
      <c r="CO11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115" s="597">
        <f>WWWW[[#This Row],[HRP1]]/500</f>
        <v>0.52600000000000002</v>
      </c>
      <c r="CR115" s="602">
        <f>1-WWWW[[#This Row],[% Equitable and continuous access to sufficient quantity of domestic water]]</f>
        <v>0</v>
      </c>
      <c r="CS115" s="597">
        <f>WWWW[[#This Row],[%equitable and continuous access to sufficient quantity of safe drinking and domestic water''s GAP]]*WWWW[[#This Row],[Total PoP ]]</f>
        <v>0</v>
      </c>
      <c r="CT115" s="600">
        <f>IF(WWWW[[#This Row],[Total required water points]]-WWWW[[#This Row],['#Water points coverage]]&lt;0,0,WWWW[[#This Row],[Total required water points]]-WWWW[[#This Row],['#Water points coverage]])</f>
        <v>0.47399999999999998</v>
      </c>
      <c r="CU115" s="600">
        <f>ROUND(IF(WWWW[[#This Row],[Total PoP ]]&lt;500,1,WWWW[[#This Row],[Total PoP ]]/500),0)</f>
        <v>1</v>
      </c>
      <c r="CV115" s="600">
        <f>(WWWW[[#This Row],['#_Constructed latrines_by_WASHAgencies]]+WWWW[[#This Row],['#_Non Cluster partner latrines]])-WWWW[[#This Row],['#_Non-functional latrines]]</f>
        <v>18</v>
      </c>
      <c r="CW115" s="70">
        <f>WWWW[[#This Row],[HRP2]]/WWWW[[#This Row],[Total PoP ]]</f>
        <v>1</v>
      </c>
      <c r="CX11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CY11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5" s="600">
        <f>IF(WWWW[[#This Row],['# of functional latrines in THF supported by WASH partners during the reporting period2]]="",0,WWWW[[#This Row],['# of functional latrines in THF supported by WASH partners during the reporting period2]]*50)</f>
        <v>0</v>
      </c>
      <c r="DB115" s="600">
        <f>WWWW[[#This Row],['# students access to functioning school latrines_HRP5]]+WWWW[[#This Row],['# People access to functioning latrines in THF_HRP5]]</f>
        <v>0</v>
      </c>
      <c r="DC115" s="600">
        <f>ROUND(IF(WWWW[[#This Row],[Location Type 1]]="camp",WWWW[[#This Row],[Total PoP ]]/20,IF(WWWW[[#This Row],[Location Type 1]]="Temporary Location",WWWW[[#This Row],[Total PoP ]]/50,WWWW[[#This Row],[Total HH]])),0)</f>
        <v>13</v>
      </c>
      <c r="DD115" s="600">
        <f>IF(WWWW[[#This Row],[Total required Latrines]]-(WWWW[[#This Row],['#_Constructed latrines_by_WASHAgencies]]+WWWW[[#This Row],['#_Non Cluster partner latrines]])&lt;0,0,WWWW[[#This Row],[Total required Latrines]]-(WWWW[[#This Row],['#_Constructed latrines_by_WASHAgencies]]+WWWW[[#This Row],['#_Non Cluster partner latrines]]))</f>
        <v>0</v>
      </c>
      <c r="DE115" s="602">
        <f>1-WWWW[[#This Row],[% people access to functioning Latrine]]</f>
        <v>0</v>
      </c>
      <c r="DF115" s="601">
        <f>IF(OR(WWWW[[#This Row],['#_Non-functional latrines]]="",WWWW[[#This Row],['#_Non-functional latrines]]=0),0,WWWW[[#This Row],['#_Non-functional latrines]]/(WWWW[[#This Row],['#_Constructed latrines_by_WASHAgencies]]+WWWW[[#This Row],['#_Non Cluster partner latrines]]))</f>
        <v>0</v>
      </c>
      <c r="DG115" s="597">
        <f>IF(500*(WWWW[[#This Row],['#_male hygiene promoters]]+WWWW[[#This Row],['#_female hygiene promoters]])&gt;WWWW[[#This Row],[Total PoP ]],WWWW[[#This Row],[Total PoP ]],500*(WWWW[[#This Row],['#_male hygiene promoters]]+WWWW[[#This Row],['#_female hygiene promoters]]))</f>
        <v>263</v>
      </c>
      <c r="DH11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5" s="600">
        <f>IF(WWWW[[#This Row],['# People with access to soap]]&gt;WWWW[[#This Row],['# People with access to Sanity Pads]],WWWW[[#This Row],['# People with access to soap]],WWWW[[#This Row],['# People with access to Sanity Pads]])</f>
        <v>0</v>
      </c>
      <c r="DK115" s="600">
        <f>IF(WWWW[[#This Row],['# people reached by regular dedicated hygiene promotion_5]]&gt;WWWW[[#This Row],['# People received regular supply of hygiene items_6]],WWWW[[#This Row],['# people reached by regular dedicated hygiene promotion_5]],WWWW[[#This Row],['# People received regular supply of hygiene items_6]])</f>
        <v>263</v>
      </c>
      <c r="DL115" s="602">
        <f>IF(WWWW[[#This Row],[HRP3]]/WWWW[[#This Row],[Total PoP ]]&gt;1,1,WWWW[[#This Row],[HRP3]]/WWWW[[#This Row],[Total PoP ]])</f>
        <v>1</v>
      </c>
      <c r="DM115" s="601">
        <f>1-WWWW[[#This Row],[Hygiene Coverage%]]</f>
        <v>0</v>
      </c>
      <c r="DN115" s="599">
        <f>WWWW[[#This Row],['# people reached by regular dedicated hygiene promotion_5]]/WWWW[[#This Row],[Total PoP ]]</f>
        <v>1</v>
      </c>
      <c r="DO11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5" s="600">
        <f>WWWW[[#This Row],['#_Constructed/Existing hand washing stations]]-WWWW[[#This Row],['#_Non-Functional_hand_washing_stations]]</f>
        <v>6</v>
      </c>
      <c r="DR115" s="597">
        <f>IF(WWWW[[#This Row],['# Functional hand washing stations during reporting period]]*20&gt;WWWW[[#This Row],[Total HH]],WWWW[[#This Row],[Total HH]],WWWW[[#This Row],['# Functional hand washing stations during reporting period]]*20)</f>
        <v>56</v>
      </c>
      <c r="DS115" s="597">
        <f>IF(WWWW[[#This Row],[Is sufficient soap available for TLS? (Yes/No)]]="yes",WWWW[[#This Row],['#_Constructed/Existing hand washing stations at TLS]],0)</f>
        <v>0</v>
      </c>
      <c r="DT115" s="479">
        <f>IF(WWWW[[#This Row],['# Functional hand washing stations during reporting period]]*100&gt;WWWW[[#This Row],[Total PoP ]],WWWW[[#This Row],[Total PoP ]],WWWW[[#This Row],['# Functional hand washing stations during reporting period]]*100)</f>
        <v>263</v>
      </c>
      <c r="DU115" s="479" t="str">
        <f>IF(OR(WWWW[[#This Row],['#_students at TLS_CFS]]="",WWWW[[#This Row],['#_students at TLS_CFS]]=0),"No","Yes")</f>
        <v>Yes</v>
      </c>
      <c r="DV11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5" s="593" t="str">
        <f>VLOOKUP(WWWW[[#This Row],[Site Name]],SiteDB6[[Site Name]:[CCCM Management]],6,FALSE)</f>
        <v>Yes</v>
      </c>
      <c r="DZ115" s="593" t="str">
        <f>VLOOKUP(WWWW[[#This Row],[Site Name]],SiteDB6[[Site Name]:[CCCM Focal Agency]],7,FALSE)</f>
        <v>KBC-NSS</v>
      </c>
      <c r="EA115" s="593" t="str">
        <f>VLOOKUP(WWWW[[#This Row],[Site Name]],SiteDB6[[Site Name]:[Location Type 1]],9,FALSE)</f>
        <v>Camp</v>
      </c>
      <c r="EB115" s="593" t="str">
        <f>VLOOKUP(WWWW[[#This Row],[Site Name]],SiteDB6[[Site Name]:[Type of Accommodation]],10,FALSE)</f>
        <v>Camp</v>
      </c>
      <c r="EC115" s="593" t="str">
        <f>VLOOKUP(WWWW[[#This Row],[Site Name]],SiteDB6[[Site Name]:[Ethnic or GCA/NGCA]],11,FALSE)</f>
        <v>GCA</v>
      </c>
      <c r="ED115" s="593">
        <f>VLOOKUP(WWWW[[#This Row],[Site Name]],SiteDB6[[Site Name]:[Lat]],12,FALSE)</f>
        <v>23.694130000000001</v>
      </c>
      <c r="EE115" s="593">
        <f>VLOOKUP(WWWW[[#This Row],[Site Name]],SiteDB6[[Site Name]:[Long]],13,FALSE)</f>
        <v>97.818979999999996</v>
      </c>
      <c r="EF115" s="593" t="str">
        <f>VLOOKUP(WWWW[[#This Row],[Site Name]],SiteDB6[[Site Name]:[Pcode]],3,FALSE)</f>
        <v>MMR015CMP007</v>
      </c>
      <c r="EG115" s="598" t="str">
        <f t="shared" si="1"/>
        <v>Covered</v>
      </c>
      <c r="EH115" s="598" t="str">
        <f>VLOOKUP(WWWW[[#This Row],[Site Name]],SiteDB6[[Site Name]:[open in cccm?]],2,FALSE)</f>
        <v>cccm_2019OCT</v>
      </c>
    </row>
    <row r="116" spans="1:138" hidden="1">
      <c r="A116" s="591" t="s">
        <v>3261</v>
      </c>
      <c r="B116" s="591" t="s">
        <v>195</v>
      </c>
      <c r="C116" s="592" t="s">
        <v>195</v>
      </c>
      <c r="D116" s="592" t="s">
        <v>3045</v>
      </c>
      <c r="E116" s="592" t="s">
        <v>711</v>
      </c>
      <c r="F116" s="592" t="s">
        <v>715</v>
      </c>
      <c r="G116" s="721" t="str">
        <f>VLOOKUP(WWWW[[#This Row],[Site Name]],SiteDB6[[Site Name]:[Location Type]],8,FALSE)</f>
        <v>Camp</v>
      </c>
      <c r="H116" s="592" t="s">
        <v>2180</v>
      </c>
      <c r="I116" s="594">
        <v>34</v>
      </c>
      <c r="J116" s="594">
        <v>114</v>
      </c>
      <c r="K116" s="595" t="s">
        <v>3289</v>
      </c>
      <c r="L116" s="596" t="s">
        <v>3290</v>
      </c>
      <c r="M116" s="594">
        <v>37</v>
      </c>
      <c r="N116" s="594"/>
      <c r="O116" s="594"/>
      <c r="P116" s="594"/>
      <c r="Q116" s="597" t="s">
        <v>43</v>
      </c>
      <c r="R116" s="594">
        <v>5</v>
      </c>
      <c r="S116" s="594">
        <v>2</v>
      </c>
      <c r="T116" s="523"/>
      <c r="U116" s="594"/>
      <c r="V116" s="594"/>
      <c r="W116" s="594">
        <v>2</v>
      </c>
      <c r="X116" s="594"/>
      <c r="Y116" s="594"/>
      <c r="Z116" s="594"/>
      <c r="AA116" s="594"/>
      <c r="AB116" s="594"/>
      <c r="AC116" s="594"/>
      <c r="AD116" s="594"/>
      <c r="AE116" s="594"/>
      <c r="AF116" s="594"/>
      <c r="AG116" s="594">
        <v>1</v>
      </c>
      <c r="AH116" s="594">
        <v>1</v>
      </c>
      <c r="AI116" s="594"/>
      <c r="AJ116" s="594"/>
      <c r="AK116" s="594"/>
      <c r="AL116" s="594"/>
      <c r="AM116" s="594"/>
      <c r="AN116" s="594"/>
      <c r="AO116" s="598"/>
      <c r="AP116" s="594">
        <v>8</v>
      </c>
      <c r="AQ116" s="594"/>
      <c r="AR116" s="599"/>
      <c r="AS116" s="594"/>
      <c r="AT116" s="594"/>
      <c r="AU116" s="594"/>
      <c r="AV116" s="594"/>
      <c r="AW116" s="594"/>
      <c r="AX116" s="593" t="s">
        <v>43</v>
      </c>
      <c r="AY116" s="598" t="s">
        <v>139</v>
      </c>
      <c r="AZ116" s="594"/>
      <c r="BA116" s="594"/>
      <c r="BB116" s="594"/>
      <c r="BC116" s="594"/>
      <c r="BD116" s="523"/>
      <c r="BE116" s="593"/>
      <c r="BF116" s="594">
        <v>4</v>
      </c>
      <c r="BG116" s="594"/>
      <c r="BH116" s="594"/>
      <c r="BI116" s="594">
        <v>1</v>
      </c>
      <c r="BJ116" s="594"/>
      <c r="BK116" s="594"/>
      <c r="BL116" s="594">
        <v>2</v>
      </c>
      <c r="BM116" s="594"/>
      <c r="BN116" s="594"/>
      <c r="BO116" s="593"/>
      <c r="BP116" s="594"/>
      <c r="BQ116" s="599"/>
      <c r="BR116" s="593"/>
      <c r="BS116" s="472"/>
      <c r="BT116" s="472"/>
      <c r="BU116" s="523"/>
      <c r="BV116" s="472"/>
      <c r="BW116" s="523"/>
      <c r="BX116" s="523"/>
      <c r="BY116" s="523"/>
      <c r="BZ116" s="601" t="str">
        <f>IFERROR(WWWW[[#This Row],['#_Water sources passed]]/WWWW[[#This Row],['#_Water sources tested for fecal coliform ]],"no test")</f>
        <v>no test</v>
      </c>
      <c r="CA116" s="599" t="str">
        <f>IFERROR(WWWW[[#This Row],['#_Household passed]]/WWWW[[#This Row],['#_Household water samples tested for fecal coliform]],"no test")</f>
        <v>no test</v>
      </c>
      <c r="CB116" s="600" t="str">
        <f>IF(AND(WWWW[[#This Row],[% of water sources passed]]="no test",WWWW[[#This Row],[% Household passed]]="no test"),"No Test","Tested")</f>
        <v>No Test</v>
      </c>
      <c r="CC116" s="600">
        <f>WWWW[[#This Row],['#_Constructed/existing protected hand dug well]]-WWWW[[#This Row],['#_Non-functional protected hand dug well]]</f>
        <v>0</v>
      </c>
      <c r="CD116" s="600">
        <f>(WWWW[[#This Row],['#_Constructed/Existing tube wells/boreholes/handpumps_WASH_agency]]+WWWW[[#This Row],['#_Non-Cluster partner water tube-wells/boreholes/handpumps]])-WWWW[[#This Row],['#_Non-functional tube wells/boreholes/handpumps]]</f>
        <v>2</v>
      </c>
      <c r="CE116" s="600">
        <f>WWWW[[#This Row],['#_Constructed/Existingwater storage tank with gravity fed reticulation system]]-WWWW[[#This Row],['#_Non-functional storage tank gravity fed reticulation system]]</f>
        <v>0</v>
      </c>
      <c r="CF116" s="478">
        <f>(WWWW[[#This Row],['#_Water_Liters_supplied_by_Water boating or water trucking]]/90)/15</f>
        <v>0</v>
      </c>
      <c r="CG116" s="478">
        <f>WWWW[[#This Row],['#_Water_Liters_from_Constructed/Existing water distribution system from river or natural spring]]/90/15</f>
        <v>0</v>
      </c>
      <c r="CH116" s="478">
        <f>WWWW[[#This Row],['#_of water points in TLS/CFS /THF]]*500</f>
        <v>0</v>
      </c>
      <c r="CI11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6" s="599">
        <f>IF(WWWW[[#This Row],[Location Type 1]]="Village",WWWW[[#This Row],[Access to safe drinking water for Village]],WWWW[[#This Row],[Access to safe drinking water for Camp]])</f>
        <v>1</v>
      </c>
      <c r="CL116" s="597">
        <f>WWWW[[#This Row],[%Equitable and continuous access to sufficient quantity of safe drinking water]]*WWWW[[#This Row],[Total PoP ]]</f>
        <v>114</v>
      </c>
      <c r="CM116" s="599">
        <f>IF((WWWW[[#This Row],['#_Constructed/Existing protected/fenced ponds]]*250)/WWWW[[#This Row],[Total PoP ]]&gt;1,1,(WWWW[[#This Row],['#_Constructed/Existing protected/fenced ponds]]*250)/WWWW[[#This Row],[Total PoP ]])</f>
        <v>0</v>
      </c>
      <c r="CN116" s="597">
        <f>WWWW[[#This Row],[% Access to unimproved water points]]*WWWW[[#This Row],[Total PoP ]]</f>
        <v>0</v>
      </c>
      <c r="CO11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116" s="597">
        <f>WWWW[[#This Row],[HRP1]]/500</f>
        <v>0.22800000000000001</v>
      </c>
      <c r="CR116" s="602">
        <f>1-WWWW[[#This Row],[% Equitable and continuous access to sufficient quantity of domestic water]]</f>
        <v>0</v>
      </c>
      <c r="CS116" s="597">
        <f>WWWW[[#This Row],[%equitable and continuous access to sufficient quantity of safe drinking and domestic water''s GAP]]*WWWW[[#This Row],[Total PoP ]]</f>
        <v>0</v>
      </c>
      <c r="CT116" s="600">
        <f>IF(WWWW[[#This Row],[Total required water points]]-WWWW[[#This Row],['#Water points coverage]]&lt;0,0,WWWW[[#This Row],[Total required water points]]-WWWW[[#This Row],['#Water points coverage]])</f>
        <v>0.77200000000000002</v>
      </c>
      <c r="CU116" s="600">
        <f>ROUND(IF(WWWW[[#This Row],[Total PoP ]]&lt;500,1,WWWW[[#This Row],[Total PoP ]]/500),0)</f>
        <v>1</v>
      </c>
      <c r="CV116" s="600">
        <f>(WWWW[[#This Row],['#_Constructed latrines_by_WASHAgencies]]+WWWW[[#This Row],['#_Non Cluster partner latrines]])-WWWW[[#This Row],['#_Non-functional latrines]]</f>
        <v>8</v>
      </c>
      <c r="CW116" s="70">
        <f>WWWW[[#This Row],[HRP2]]/WWWW[[#This Row],[Total PoP ]]</f>
        <v>1</v>
      </c>
      <c r="CX11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11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6" s="600">
        <f>IF(WWWW[[#This Row],['# of functional latrines in THF supported by WASH partners during the reporting period2]]="",0,WWWW[[#This Row],['# of functional latrines in THF supported by WASH partners during the reporting period2]]*50)</f>
        <v>0</v>
      </c>
      <c r="DB116" s="600">
        <f>WWWW[[#This Row],['# students access to functioning school latrines_HRP5]]+WWWW[[#This Row],['# People access to functioning latrines in THF_HRP5]]</f>
        <v>0</v>
      </c>
      <c r="DC116" s="600">
        <f>ROUND(IF(WWWW[[#This Row],[Location Type 1]]="camp",WWWW[[#This Row],[Total PoP ]]/20,IF(WWWW[[#This Row],[Location Type 1]]="Temporary Location",WWWW[[#This Row],[Total PoP ]]/50,WWWW[[#This Row],[Total HH]])),0)</f>
        <v>6</v>
      </c>
      <c r="DD116" s="600">
        <f>IF(WWWW[[#This Row],[Total required Latrines]]-(WWWW[[#This Row],['#_Constructed latrines_by_WASHAgencies]]+WWWW[[#This Row],['#_Non Cluster partner latrines]])&lt;0,0,WWWW[[#This Row],[Total required Latrines]]-(WWWW[[#This Row],['#_Constructed latrines_by_WASHAgencies]]+WWWW[[#This Row],['#_Non Cluster partner latrines]]))</f>
        <v>0</v>
      </c>
      <c r="DE116" s="602">
        <f>1-WWWW[[#This Row],[% people access to functioning Latrine]]</f>
        <v>0</v>
      </c>
      <c r="DF116" s="601">
        <f>IF(OR(WWWW[[#This Row],['#_Non-functional latrines]]="",WWWW[[#This Row],['#_Non-functional latrines]]=0),0,WWWW[[#This Row],['#_Non-functional latrines]]/(WWWW[[#This Row],['#_Constructed latrines_by_WASHAgencies]]+WWWW[[#This Row],['#_Non Cluster partner latrines]]))</f>
        <v>0</v>
      </c>
      <c r="DG116" s="597">
        <f>IF(500*(WWWW[[#This Row],['#_male hygiene promoters]]+WWWW[[#This Row],['#_female hygiene promoters]])&gt;WWWW[[#This Row],[Total PoP ]],WWWW[[#This Row],[Total PoP ]],500*(WWWW[[#This Row],['#_male hygiene promoters]]+WWWW[[#This Row],['#_female hygiene promoters]]))</f>
        <v>114</v>
      </c>
      <c r="DH11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6" s="600">
        <f>IF(WWWW[[#This Row],['# People with access to soap]]&gt;WWWW[[#This Row],['# People with access to Sanity Pads]],WWWW[[#This Row],['# People with access to soap]],WWWW[[#This Row],['# People with access to Sanity Pads]])</f>
        <v>0</v>
      </c>
      <c r="DK116" s="600">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116" s="602">
        <f>IF(WWWW[[#This Row],[HRP3]]/WWWW[[#This Row],[Total PoP ]]&gt;1,1,WWWW[[#This Row],[HRP3]]/WWWW[[#This Row],[Total PoP ]])</f>
        <v>1</v>
      </c>
      <c r="DM116" s="601">
        <f>1-WWWW[[#This Row],[Hygiene Coverage%]]</f>
        <v>0</v>
      </c>
      <c r="DN116" s="599">
        <f>WWWW[[#This Row],['# people reached by regular dedicated hygiene promotion_5]]/WWWW[[#This Row],[Total PoP ]]</f>
        <v>1</v>
      </c>
      <c r="DO11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6" s="600">
        <f>WWWW[[#This Row],['#_Constructed/Existing hand washing stations]]-WWWW[[#This Row],['#_Non-Functional_hand_washing_stations]]</f>
        <v>4</v>
      </c>
      <c r="DR116" s="597">
        <f>IF(WWWW[[#This Row],['# Functional hand washing stations during reporting period]]*20&gt;WWWW[[#This Row],[Total HH]],WWWW[[#This Row],[Total HH]],WWWW[[#This Row],['# Functional hand washing stations during reporting period]]*20)</f>
        <v>34</v>
      </c>
      <c r="DS116" s="597">
        <f>IF(WWWW[[#This Row],[Is sufficient soap available for TLS? (Yes/No)]]="yes",WWWW[[#This Row],['#_Constructed/Existing hand washing stations at TLS]],0)</f>
        <v>0</v>
      </c>
      <c r="DT116" s="479">
        <f>IF(WWWW[[#This Row],['# Functional hand washing stations during reporting period]]*100&gt;WWWW[[#This Row],[Total PoP ]],WWWW[[#This Row],[Total PoP ]],WWWW[[#This Row],['# Functional hand washing stations during reporting period]]*100)</f>
        <v>114</v>
      </c>
      <c r="DU116" s="479" t="str">
        <f>IF(OR(WWWW[[#This Row],['#_students at TLS_CFS]]="",WWWW[[#This Row],['#_students at TLS_CFS]]=0),"No","Yes")</f>
        <v>Yes</v>
      </c>
      <c r="DV11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6" s="593" t="str">
        <f>VLOOKUP(WWWW[[#This Row],[Site Name]],SiteDB6[[Site Name]:[CCCM Management]],6,FALSE)</f>
        <v>Yes</v>
      </c>
      <c r="DZ116" s="593" t="str">
        <f>VLOOKUP(WWWW[[#This Row],[Site Name]],SiteDB6[[Site Name]:[CCCM Focal Agency]],7,FALSE)</f>
        <v>KMSS-LSO</v>
      </c>
      <c r="EA116" s="593" t="str">
        <f>VLOOKUP(WWWW[[#This Row],[Site Name]],SiteDB6[[Site Name]:[Location Type 1]],9,FALSE)</f>
        <v>Camp</v>
      </c>
      <c r="EB116" s="593" t="str">
        <f>VLOOKUP(WWWW[[#This Row],[Site Name]],SiteDB6[[Site Name]:[Type of Accommodation]],10,FALSE)</f>
        <v>Camp</v>
      </c>
      <c r="EC116" s="593" t="str">
        <f>VLOOKUP(WWWW[[#This Row],[Site Name]],SiteDB6[[Site Name]:[Ethnic or GCA/NGCA]],11,FALSE)</f>
        <v>GCA</v>
      </c>
      <c r="ED116" s="593">
        <f>VLOOKUP(WWWW[[#This Row],[Site Name]],SiteDB6[[Site Name]:[Lat]],12,FALSE)</f>
        <v>23.682887999999998</v>
      </c>
      <c r="EE116" s="593">
        <f>VLOOKUP(WWWW[[#This Row],[Site Name]],SiteDB6[[Site Name]:[Long]],13,FALSE)</f>
        <v>97.810101000000003</v>
      </c>
      <c r="EF116" s="593" t="str">
        <f>VLOOKUP(WWWW[[#This Row],[Site Name]],SiteDB6[[Site Name]:[Pcode]],3,FALSE)</f>
        <v>MMR015CMP225</v>
      </c>
      <c r="EG116" s="598" t="str">
        <f t="shared" si="1"/>
        <v>Covered</v>
      </c>
      <c r="EH116" s="598" t="str">
        <f>VLOOKUP(WWWW[[#This Row],[Site Name]],SiteDB6[[Site Name]:[open in cccm?]],2,FALSE)</f>
        <v>cccm_2019OCT</v>
      </c>
    </row>
    <row r="117" spans="1:138" hidden="1">
      <c r="A117" s="591" t="s">
        <v>3261</v>
      </c>
      <c r="B117" s="591" t="s">
        <v>195</v>
      </c>
      <c r="C117" s="592" t="s">
        <v>195</v>
      </c>
      <c r="D117" s="592" t="s">
        <v>3045</v>
      </c>
      <c r="E117" s="592" t="s">
        <v>711</v>
      </c>
      <c r="F117" s="592" t="s">
        <v>730</v>
      </c>
      <c r="G117" s="721" t="str">
        <f>VLOOKUP(WWWW[[#This Row],[Site Name]],SiteDB6[[Site Name]:[Location Type]],8,FALSE)</f>
        <v>Camp</v>
      </c>
      <c r="H117" s="592" t="s">
        <v>731</v>
      </c>
      <c r="I117" s="594">
        <v>34</v>
      </c>
      <c r="J117" s="594">
        <v>182</v>
      </c>
      <c r="K117" s="595" t="s">
        <v>3289</v>
      </c>
      <c r="L117" s="596" t="s">
        <v>3290</v>
      </c>
      <c r="M117" s="594">
        <v>49</v>
      </c>
      <c r="N117" s="594"/>
      <c r="O117" s="594">
        <v>1</v>
      </c>
      <c r="P117" s="594"/>
      <c r="Q117" s="597" t="s">
        <v>43</v>
      </c>
      <c r="R117" s="594"/>
      <c r="S117" s="594">
        <v>3</v>
      </c>
      <c r="T117" s="523">
        <v>4</v>
      </c>
      <c r="U117" s="594"/>
      <c r="V117" s="594"/>
      <c r="W117" s="594">
        <v>1</v>
      </c>
      <c r="X117" s="594"/>
      <c r="Y117" s="594"/>
      <c r="Z117" s="594"/>
      <c r="AA117" s="594"/>
      <c r="AB117" s="594"/>
      <c r="AC117" s="594"/>
      <c r="AD117" s="594"/>
      <c r="AE117" s="594"/>
      <c r="AF117" s="594"/>
      <c r="AG117" s="594"/>
      <c r="AH117" s="594"/>
      <c r="AI117" s="594"/>
      <c r="AJ117" s="594"/>
      <c r="AK117" s="594"/>
      <c r="AL117" s="594"/>
      <c r="AM117" s="594"/>
      <c r="AN117" s="594"/>
      <c r="AO117" s="598"/>
      <c r="AP117" s="594"/>
      <c r="AQ117" s="594">
        <v>10</v>
      </c>
      <c r="AR117" s="599"/>
      <c r="AS117" s="594"/>
      <c r="AT117" s="594"/>
      <c r="AU117" s="594"/>
      <c r="AV117" s="594"/>
      <c r="AW117" s="594"/>
      <c r="AX117" s="593" t="s">
        <v>43</v>
      </c>
      <c r="AY117" s="598" t="s">
        <v>140</v>
      </c>
      <c r="AZ117" s="594"/>
      <c r="BA117" s="594"/>
      <c r="BB117" s="594"/>
      <c r="BC117" s="594"/>
      <c r="BD117" s="523"/>
      <c r="BE117" s="593"/>
      <c r="BF117" s="594"/>
      <c r="BG117" s="594"/>
      <c r="BH117" s="594"/>
      <c r="BI117" s="594">
        <v>2</v>
      </c>
      <c r="BJ117" s="594"/>
      <c r="BK117" s="594"/>
      <c r="BL117" s="594">
        <v>1</v>
      </c>
      <c r="BM117" s="594"/>
      <c r="BN117" s="594"/>
      <c r="BO117" s="593" t="s">
        <v>139</v>
      </c>
      <c r="BP117" s="594"/>
      <c r="BQ117" s="599"/>
      <c r="BR117" s="593"/>
      <c r="BS117" s="472"/>
      <c r="BT117" s="472"/>
      <c r="BU117" s="523"/>
      <c r="BV117" s="472"/>
      <c r="BW117" s="523"/>
      <c r="BX117" s="523"/>
      <c r="BY117" s="523"/>
      <c r="BZ117" s="601" t="str">
        <f>IFERROR(WWWW[[#This Row],['#_Water sources passed]]/WWWW[[#This Row],['#_Water sources tested for fecal coliform ]],"no test")</f>
        <v>no test</v>
      </c>
      <c r="CA117" s="599" t="str">
        <f>IFERROR(WWWW[[#This Row],['#_Household passed]]/WWWW[[#This Row],['#_Household water samples tested for fecal coliform]],"no test")</f>
        <v>no test</v>
      </c>
      <c r="CB117" s="600" t="str">
        <f>IF(AND(WWWW[[#This Row],[% of water sources passed]]="no test",WWWW[[#This Row],[% Household passed]]="no test"),"No Test","Tested")</f>
        <v>No Test</v>
      </c>
      <c r="CC117" s="600">
        <f>WWWW[[#This Row],['#_Constructed/existing protected hand dug well]]-WWWW[[#This Row],['#_Non-functional protected hand dug well]]</f>
        <v>4</v>
      </c>
      <c r="CD117" s="600">
        <f>(WWWW[[#This Row],['#_Constructed/Existing tube wells/boreholes/handpumps_WASH_agency]]+WWWW[[#This Row],['#_Non-Cluster partner water tube-wells/boreholes/handpumps]])-WWWW[[#This Row],['#_Non-functional tube wells/boreholes/handpumps]]</f>
        <v>1</v>
      </c>
      <c r="CE117" s="600">
        <f>WWWW[[#This Row],['#_Constructed/Existingwater storage tank with gravity fed reticulation system]]-WWWW[[#This Row],['#_Non-functional storage tank gravity fed reticulation system]]</f>
        <v>0</v>
      </c>
      <c r="CF117" s="478">
        <f>(WWWW[[#This Row],['#_Water_Liters_supplied_by_Water boating or water trucking]]/90)/15</f>
        <v>0</v>
      </c>
      <c r="CG117" s="478">
        <f>WWWW[[#This Row],['#_Water_Liters_from_Constructed/Existing water distribution system from river or natural spring]]/90/15</f>
        <v>0</v>
      </c>
      <c r="CH117" s="478">
        <f>WWWW[[#This Row],['#_of water points in TLS/CFS /THF]]*500</f>
        <v>0</v>
      </c>
      <c r="CI11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7" s="599">
        <f>IF(WWWW[[#This Row],[Location Type 1]]="Village",WWWW[[#This Row],[Access to safe drinking water for Village]],WWWW[[#This Row],[Access to safe drinking water for Camp]])</f>
        <v>1</v>
      </c>
      <c r="CL117" s="597">
        <f>WWWW[[#This Row],[%Equitable and continuous access to sufficient quantity of safe drinking water]]*WWWW[[#This Row],[Total PoP ]]</f>
        <v>182</v>
      </c>
      <c r="CM117" s="599">
        <f>IF((WWWW[[#This Row],['#_Constructed/Existing protected/fenced ponds]]*250)/WWWW[[#This Row],[Total PoP ]]&gt;1,1,(WWWW[[#This Row],['#_Constructed/Existing protected/fenced ponds]]*250)/WWWW[[#This Row],[Total PoP ]])</f>
        <v>0</v>
      </c>
      <c r="CN117" s="597">
        <f>WWWW[[#This Row],[% Access to unimproved water points]]*WWWW[[#This Row],[Total PoP ]]</f>
        <v>0</v>
      </c>
      <c r="CO11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Q117" s="597">
        <f>WWWW[[#This Row],[HRP1]]/500</f>
        <v>0.36399999999999999</v>
      </c>
      <c r="CR117" s="602">
        <f>1-WWWW[[#This Row],[% Equitable and continuous access to sufficient quantity of domestic water]]</f>
        <v>0</v>
      </c>
      <c r="CS117" s="597">
        <f>WWWW[[#This Row],[%equitable and continuous access to sufficient quantity of safe drinking and domestic water''s GAP]]*WWWW[[#This Row],[Total PoP ]]</f>
        <v>0</v>
      </c>
      <c r="CT117" s="600">
        <f>IF(WWWW[[#This Row],[Total required water points]]-WWWW[[#This Row],['#Water points coverage]]&lt;0,0,WWWW[[#This Row],[Total required water points]]-WWWW[[#This Row],['#Water points coverage]])</f>
        <v>0.63600000000000001</v>
      </c>
      <c r="CU117" s="600">
        <f>ROUND(IF(WWWW[[#This Row],[Total PoP ]]&lt;500,1,WWWW[[#This Row],[Total PoP ]]/500),0)</f>
        <v>1</v>
      </c>
      <c r="CV117" s="600">
        <f>(WWWW[[#This Row],['#_Constructed latrines_by_WASHAgencies]]+WWWW[[#This Row],['#_Non Cluster partner latrines]])-WWWW[[#This Row],['#_Non-functional latrines]]</f>
        <v>10</v>
      </c>
      <c r="CW117" s="70">
        <f>WWWW[[#This Row],[HRP2]]/WWWW[[#This Row],[Total PoP ]]</f>
        <v>1</v>
      </c>
      <c r="CX11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CY11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7" s="600">
        <f>IF(WWWW[[#This Row],['# of functional latrines in THF supported by WASH partners during the reporting period2]]="",0,WWWW[[#This Row],['# of functional latrines in THF supported by WASH partners during the reporting period2]]*50)</f>
        <v>0</v>
      </c>
      <c r="DB117" s="600">
        <f>WWWW[[#This Row],['# students access to functioning school latrines_HRP5]]+WWWW[[#This Row],['# People access to functioning latrines in THF_HRP5]]</f>
        <v>0</v>
      </c>
      <c r="DC117" s="600">
        <f>ROUND(IF(WWWW[[#This Row],[Location Type 1]]="camp",WWWW[[#This Row],[Total PoP ]]/20,IF(WWWW[[#This Row],[Location Type 1]]="Temporary Location",WWWW[[#This Row],[Total PoP ]]/50,WWWW[[#This Row],[Total HH]])),0)</f>
        <v>9</v>
      </c>
      <c r="DD117" s="600">
        <f>IF(WWWW[[#This Row],[Total required Latrines]]-(WWWW[[#This Row],['#_Constructed latrines_by_WASHAgencies]]+WWWW[[#This Row],['#_Non Cluster partner latrines]])&lt;0,0,WWWW[[#This Row],[Total required Latrines]]-(WWWW[[#This Row],['#_Constructed latrines_by_WASHAgencies]]+WWWW[[#This Row],['#_Non Cluster partner latrines]]))</f>
        <v>0</v>
      </c>
      <c r="DE117" s="602">
        <f>1-WWWW[[#This Row],[% people access to functioning Latrine]]</f>
        <v>0</v>
      </c>
      <c r="DF117" s="601">
        <f>IF(OR(WWWW[[#This Row],['#_Non-functional latrines]]="",WWWW[[#This Row],['#_Non-functional latrines]]=0),0,WWWW[[#This Row],['#_Non-functional latrines]]/(WWWW[[#This Row],['#_Constructed latrines_by_WASHAgencies]]+WWWW[[#This Row],['#_Non Cluster partner latrines]]))</f>
        <v>0</v>
      </c>
      <c r="DG117" s="597">
        <f>IF(500*(WWWW[[#This Row],['#_male hygiene promoters]]+WWWW[[#This Row],['#_female hygiene promoters]])&gt;WWWW[[#This Row],[Total PoP ]],WWWW[[#This Row],[Total PoP ]],500*(WWWW[[#This Row],['#_male hygiene promoters]]+WWWW[[#This Row],['#_female hygiene promoters]]))</f>
        <v>182</v>
      </c>
      <c r="DH11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7" s="600">
        <f>IF(WWWW[[#This Row],['# People with access to soap]]&gt;WWWW[[#This Row],['# People with access to Sanity Pads]],WWWW[[#This Row],['# People with access to soap]],WWWW[[#This Row],['# People with access to Sanity Pads]])</f>
        <v>0</v>
      </c>
      <c r="DK117" s="600">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L117" s="602">
        <f>IF(WWWW[[#This Row],[HRP3]]/WWWW[[#This Row],[Total PoP ]]&gt;1,1,WWWW[[#This Row],[HRP3]]/WWWW[[#This Row],[Total PoP ]])</f>
        <v>1</v>
      </c>
      <c r="DM117" s="601">
        <f>1-WWWW[[#This Row],[Hygiene Coverage%]]</f>
        <v>0</v>
      </c>
      <c r="DN117" s="599">
        <f>WWWW[[#This Row],['# people reached by regular dedicated hygiene promotion_5]]/WWWW[[#This Row],[Total PoP ]]</f>
        <v>1</v>
      </c>
      <c r="DO11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7" s="600">
        <f>WWWW[[#This Row],['#_Constructed/Existing hand washing stations]]-WWWW[[#This Row],['#_Non-Functional_hand_washing_stations]]</f>
        <v>0</v>
      </c>
      <c r="DR117" s="597">
        <f>IF(WWWW[[#This Row],['# Functional hand washing stations during reporting period]]*20&gt;WWWW[[#This Row],[Total HH]],WWWW[[#This Row],[Total HH]],WWWW[[#This Row],['# Functional hand washing stations during reporting period]]*20)</f>
        <v>0</v>
      </c>
      <c r="DS117" s="597">
        <f>IF(WWWW[[#This Row],[Is sufficient soap available for TLS? (Yes/No)]]="yes",WWWW[[#This Row],['#_Constructed/Existing hand washing stations at TLS]],0)</f>
        <v>0</v>
      </c>
      <c r="DT117" s="479">
        <f>IF(WWWW[[#This Row],['# Functional hand washing stations during reporting period]]*100&gt;WWWW[[#This Row],[Total PoP ]],WWWW[[#This Row],[Total PoP ]],WWWW[[#This Row],['# Functional hand washing stations during reporting period]]*100)</f>
        <v>0</v>
      </c>
      <c r="DU117" s="479" t="str">
        <f>IF(OR(WWWW[[#This Row],['#_students at TLS_CFS]]="",WWWW[[#This Row],['#_students at TLS_CFS]]=0),"No","Yes")</f>
        <v>Yes</v>
      </c>
      <c r="DV11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7" s="593" t="str">
        <f>VLOOKUP(WWWW[[#This Row],[Site Name]],SiteDB6[[Site Name]:[CCCM Management]],6,FALSE)</f>
        <v>Yes</v>
      </c>
      <c r="DZ117" s="593" t="str">
        <f>VLOOKUP(WWWW[[#This Row],[Site Name]],SiteDB6[[Site Name]:[CCCM Focal Agency]],7,FALSE)</f>
        <v>KBC-NSS</v>
      </c>
      <c r="EA117" s="593" t="str">
        <f>VLOOKUP(WWWW[[#This Row],[Site Name]],SiteDB6[[Site Name]:[Location Type 1]],9,FALSE)</f>
        <v>Camp</v>
      </c>
      <c r="EB117" s="593" t="str">
        <f>VLOOKUP(WWWW[[#This Row],[Site Name]],SiteDB6[[Site Name]:[Type of Accommodation]],10,FALSE)</f>
        <v>Camp</v>
      </c>
      <c r="EC117" s="593" t="str">
        <f>VLOOKUP(WWWW[[#This Row],[Site Name]],SiteDB6[[Site Name]:[Ethnic or GCA/NGCA]],11,FALSE)</f>
        <v>GCA</v>
      </c>
      <c r="ED117" s="593">
        <f>VLOOKUP(WWWW[[#This Row],[Site Name]],SiteDB6[[Site Name]:[Lat]],12,FALSE)</f>
        <v>23.354268999999999</v>
      </c>
      <c r="EE117" s="593">
        <f>VLOOKUP(WWWW[[#This Row],[Site Name]],SiteDB6[[Site Name]:[Long]],13,FALSE)</f>
        <v>98.218626999999998</v>
      </c>
      <c r="EF117" s="593" t="str">
        <f>VLOOKUP(WWWW[[#This Row],[Site Name]],SiteDB6[[Site Name]:[Pcode]],3,FALSE)</f>
        <v>MMR015CMP218</v>
      </c>
      <c r="EG117" s="598" t="str">
        <f t="shared" si="1"/>
        <v>Covered</v>
      </c>
      <c r="EH117" s="598" t="str">
        <f>VLOOKUP(WWWW[[#This Row],[Site Name]],SiteDB6[[Site Name]:[open in cccm?]],2,FALSE)</f>
        <v>cccm_2019OCT</v>
      </c>
    </row>
    <row r="118" spans="1:138" hidden="1">
      <c r="A118" s="591" t="s">
        <v>3261</v>
      </c>
      <c r="B118" s="591" t="s">
        <v>195</v>
      </c>
      <c r="C118" s="592" t="s">
        <v>195</v>
      </c>
      <c r="D118" s="592" t="s">
        <v>3045</v>
      </c>
      <c r="E118" s="592" t="s">
        <v>711</v>
      </c>
      <c r="F118" s="592" t="s">
        <v>732</v>
      </c>
      <c r="G118" s="721" t="str">
        <f>VLOOKUP(WWWW[[#This Row],[Site Name]],SiteDB6[[Site Name]:[Location Type]],8,FALSE)</f>
        <v>Camp</v>
      </c>
      <c r="H118" s="592" t="s">
        <v>743</v>
      </c>
      <c r="I118" s="594">
        <v>38</v>
      </c>
      <c r="J118" s="594">
        <v>161</v>
      </c>
      <c r="K118" s="595" t="s">
        <v>3289</v>
      </c>
      <c r="L118" s="596" t="s">
        <v>3290</v>
      </c>
      <c r="M118" s="594">
        <v>15</v>
      </c>
      <c r="N118" s="594"/>
      <c r="O118" s="594"/>
      <c r="P118" s="594"/>
      <c r="Q118" s="597" t="s">
        <v>43</v>
      </c>
      <c r="R118" s="594">
        <v>3</v>
      </c>
      <c r="S118" s="594">
        <v>3</v>
      </c>
      <c r="T118" s="523"/>
      <c r="U118" s="594"/>
      <c r="V118" s="594"/>
      <c r="W118" s="594"/>
      <c r="X118" s="594"/>
      <c r="Y118" s="594"/>
      <c r="Z118" s="594"/>
      <c r="AA118" s="594">
        <v>15</v>
      </c>
      <c r="AB118" s="594"/>
      <c r="AC118" s="594"/>
      <c r="AD118" s="594"/>
      <c r="AE118" s="594"/>
      <c r="AF118" s="594">
        <v>1</v>
      </c>
      <c r="AG118" s="594">
        <v>3</v>
      </c>
      <c r="AH118" s="594"/>
      <c r="AI118" s="594"/>
      <c r="AJ118" s="594"/>
      <c r="AK118" s="594"/>
      <c r="AL118" s="594"/>
      <c r="AM118" s="594"/>
      <c r="AN118" s="594"/>
      <c r="AO118" s="598"/>
      <c r="AP118" s="594">
        <v>8</v>
      </c>
      <c r="AQ118" s="594"/>
      <c r="AR118" s="599"/>
      <c r="AS118" s="594"/>
      <c r="AT118" s="594"/>
      <c r="AU118" s="594"/>
      <c r="AV118" s="594"/>
      <c r="AW118" s="594"/>
      <c r="AX118" s="593" t="s">
        <v>43</v>
      </c>
      <c r="AY118" s="598" t="s">
        <v>140</v>
      </c>
      <c r="AZ118" s="594"/>
      <c r="BA118" s="594"/>
      <c r="BB118" s="594"/>
      <c r="BC118" s="594"/>
      <c r="BD118" s="523"/>
      <c r="BE118" s="593"/>
      <c r="BF118" s="594">
        <v>5</v>
      </c>
      <c r="BG118" s="594"/>
      <c r="BH118" s="594"/>
      <c r="BI118" s="594">
        <v>2</v>
      </c>
      <c r="BJ118" s="594"/>
      <c r="BK118" s="594"/>
      <c r="BL118" s="594">
        <v>1</v>
      </c>
      <c r="BM118" s="594"/>
      <c r="BN118" s="594"/>
      <c r="BO118" s="593"/>
      <c r="BP118" s="594"/>
      <c r="BQ118" s="599"/>
      <c r="BR118" s="593"/>
      <c r="BS118" s="472"/>
      <c r="BT118" s="472"/>
      <c r="BU118" s="523"/>
      <c r="BV118" s="472"/>
      <c r="BW118" s="523"/>
      <c r="BX118" s="523"/>
      <c r="BY118" s="523"/>
      <c r="BZ118" s="601" t="str">
        <f>IFERROR(WWWW[[#This Row],['#_Water sources passed]]/WWWW[[#This Row],['#_Water sources tested for fecal coliform ]],"no test")</f>
        <v>no test</v>
      </c>
      <c r="CA118" s="599" t="str">
        <f>IFERROR(WWWW[[#This Row],['#_Household passed]]/WWWW[[#This Row],['#_Household water samples tested for fecal coliform]],"no test")</f>
        <v>no test</v>
      </c>
      <c r="CB118" s="600" t="str">
        <f>IF(AND(WWWW[[#This Row],[% of water sources passed]]="no test",WWWW[[#This Row],[% Household passed]]="no test"),"No Test","Tested")</f>
        <v>No Test</v>
      </c>
      <c r="CC118" s="600">
        <f>WWWW[[#This Row],['#_Constructed/existing protected hand dug well]]-WWWW[[#This Row],['#_Non-functional protected hand dug well]]</f>
        <v>0</v>
      </c>
      <c r="CD118" s="600">
        <f>(WWWW[[#This Row],['#_Constructed/Existing tube wells/boreholes/handpumps_WASH_agency]]+WWWW[[#This Row],['#_Non-Cluster partner water tube-wells/boreholes/handpumps]])-WWWW[[#This Row],['#_Non-functional tube wells/boreholes/handpumps]]</f>
        <v>0</v>
      </c>
      <c r="CE118" s="600">
        <f>WWWW[[#This Row],['#_Constructed/Existingwater storage tank with gravity fed reticulation system]]-WWWW[[#This Row],['#_Non-functional storage tank gravity fed reticulation system]]</f>
        <v>15</v>
      </c>
      <c r="CF118" s="478">
        <f>(WWWW[[#This Row],['#_Water_Liters_supplied_by_Water boating or water trucking]]/90)/15</f>
        <v>0</v>
      </c>
      <c r="CG118" s="478">
        <f>WWWW[[#This Row],['#_Water_Liters_from_Constructed/Existing water distribution system from river or natural spring]]/90/15</f>
        <v>7.4074074074074081E-4</v>
      </c>
      <c r="CH118" s="478">
        <f>WWWW[[#This Row],['#_of water points in TLS/CFS /THF]]*500</f>
        <v>0</v>
      </c>
      <c r="CI11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1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18" s="599">
        <f>IF(WWWW[[#This Row],[Location Type 1]]="Village",WWWW[[#This Row],[Access to safe drinking water for Village]],WWWW[[#This Row],[Access to safe drinking water for Camp]])</f>
        <v>1</v>
      </c>
      <c r="CL118" s="597">
        <f>WWWW[[#This Row],[%Equitable and continuous access to sufficient quantity of safe drinking water]]*WWWW[[#This Row],[Total PoP ]]</f>
        <v>161</v>
      </c>
      <c r="CM118" s="599">
        <f>IF((WWWW[[#This Row],['#_Constructed/Existing protected/fenced ponds]]*250)/WWWW[[#This Row],[Total PoP ]]&gt;1,1,(WWWW[[#This Row],['#_Constructed/Existing protected/fenced ponds]]*250)/WWWW[[#This Row],[Total PoP ]])</f>
        <v>0</v>
      </c>
      <c r="CN118" s="597">
        <f>WWWW[[#This Row],[% Access to unimproved water points]]*WWWW[[#This Row],[Total PoP ]]</f>
        <v>0</v>
      </c>
      <c r="CO11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1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118" s="597">
        <f>WWWW[[#This Row],[HRP1]]/500</f>
        <v>0.32200000000000001</v>
      </c>
      <c r="CR118" s="602">
        <f>1-WWWW[[#This Row],[% Equitable and continuous access to sufficient quantity of domestic water]]</f>
        <v>0</v>
      </c>
      <c r="CS118" s="597">
        <f>WWWW[[#This Row],[%equitable and continuous access to sufficient quantity of safe drinking and domestic water''s GAP]]*WWWW[[#This Row],[Total PoP ]]</f>
        <v>0</v>
      </c>
      <c r="CT118" s="600">
        <f>IF(WWWW[[#This Row],[Total required water points]]-WWWW[[#This Row],['#Water points coverage]]&lt;0,0,WWWW[[#This Row],[Total required water points]]-WWWW[[#This Row],['#Water points coverage]])</f>
        <v>0.67799999999999994</v>
      </c>
      <c r="CU118" s="600">
        <f>ROUND(IF(WWWW[[#This Row],[Total PoP ]]&lt;500,1,WWWW[[#This Row],[Total PoP ]]/500),0)</f>
        <v>1</v>
      </c>
      <c r="CV118" s="600">
        <f>(WWWW[[#This Row],['#_Constructed latrines_by_WASHAgencies]]+WWWW[[#This Row],['#_Non Cluster partner latrines]])-WWWW[[#This Row],['#_Non-functional latrines]]</f>
        <v>8</v>
      </c>
      <c r="CW118" s="70">
        <f>WWWW[[#This Row],[HRP2]]/WWWW[[#This Row],[Total PoP ]]</f>
        <v>0.99378881987577639</v>
      </c>
      <c r="CX11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11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8" s="600">
        <f>IF(WWWW[[#This Row],['# of functional latrines in THF supported by WASH partners during the reporting period2]]="",0,WWWW[[#This Row],['# of functional latrines in THF supported by WASH partners during the reporting period2]]*50)</f>
        <v>0</v>
      </c>
      <c r="DB118" s="600">
        <f>WWWW[[#This Row],['# students access to functioning school latrines_HRP5]]+WWWW[[#This Row],['# People access to functioning latrines in THF_HRP5]]</f>
        <v>0</v>
      </c>
      <c r="DC118" s="600">
        <f>ROUND(IF(WWWW[[#This Row],[Location Type 1]]="camp",WWWW[[#This Row],[Total PoP ]]/20,IF(WWWW[[#This Row],[Location Type 1]]="Temporary Location",WWWW[[#This Row],[Total PoP ]]/50,WWWW[[#This Row],[Total HH]])),0)</f>
        <v>8</v>
      </c>
      <c r="DD118" s="600">
        <f>IF(WWWW[[#This Row],[Total required Latrines]]-(WWWW[[#This Row],['#_Constructed latrines_by_WASHAgencies]]+WWWW[[#This Row],['#_Non Cluster partner latrines]])&lt;0,0,WWWW[[#This Row],[Total required Latrines]]-(WWWW[[#This Row],['#_Constructed latrines_by_WASHAgencies]]+WWWW[[#This Row],['#_Non Cluster partner latrines]]))</f>
        <v>0</v>
      </c>
      <c r="DE118" s="602">
        <f>1-WWWW[[#This Row],[% people access to functioning Latrine]]</f>
        <v>6.2111801242236142E-3</v>
      </c>
      <c r="DF118" s="601">
        <f>IF(OR(WWWW[[#This Row],['#_Non-functional latrines]]="",WWWW[[#This Row],['#_Non-functional latrines]]=0),0,WWWW[[#This Row],['#_Non-functional latrines]]/(WWWW[[#This Row],['#_Constructed latrines_by_WASHAgencies]]+WWWW[[#This Row],['#_Non Cluster partner latrines]]))</f>
        <v>0</v>
      </c>
      <c r="DG118" s="597">
        <f>IF(500*(WWWW[[#This Row],['#_male hygiene promoters]]+WWWW[[#This Row],['#_female hygiene promoters]])&gt;WWWW[[#This Row],[Total PoP ]],WWWW[[#This Row],[Total PoP ]],500*(WWWW[[#This Row],['#_male hygiene promoters]]+WWWW[[#This Row],['#_female hygiene promoters]]))</f>
        <v>161</v>
      </c>
      <c r="DH11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8" s="600">
        <f>IF(WWWW[[#This Row],['# People with access to soap]]&gt;WWWW[[#This Row],['# People with access to Sanity Pads]],WWWW[[#This Row],['# People with access to soap]],WWWW[[#This Row],['# People with access to Sanity Pads]])</f>
        <v>0</v>
      </c>
      <c r="DK118" s="600">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118" s="602">
        <f>IF(WWWW[[#This Row],[HRP3]]/WWWW[[#This Row],[Total PoP ]]&gt;1,1,WWWW[[#This Row],[HRP3]]/WWWW[[#This Row],[Total PoP ]])</f>
        <v>1</v>
      </c>
      <c r="DM118" s="601">
        <f>1-WWWW[[#This Row],[Hygiene Coverage%]]</f>
        <v>0</v>
      </c>
      <c r="DN118" s="599">
        <f>WWWW[[#This Row],['# people reached by regular dedicated hygiene promotion_5]]/WWWW[[#This Row],[Total PoP ]]</f>
        <v>1</v>
      </c>
      <c r="DO11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8" s="600">
        <f>WWWW[[#This Row],['#_Constructed/Existing hand washing stations]]-WWWW[[#This Row],['#_Non-Functional_hand_washing_stations]]</f>
        <v>5</v>
      </c>
      <c r="DR118" s="597">
        <f>IF(WWWW[[#This Row],['# Functional hand washing stations during reporting period]]*20&gt;WWWW[[#This Row],[Total HH]],WWWW[[#This Row],[Total HH]],WWWW[[#This Row],['# Functional hand washing stations during reporting period]]*20)</f>
        <v>38</v>
      </c>
      <c r="DS118" s="597">
        <f>IF(WWWW[[#This Row],[Is sufficient soap available for TLS? (Yes/No)]]="yes",WWWW[[#This Row],['#_Constructed/Existing hand washing stations at TLS]],0)</f>
        <v>0</v>
      </c>
      <c r="DT118" s="479">
        <f>IF(WWWW[[#This Row],['# Functional hand washing stations during reporting period]]*100&gt;WWWW[[#This Row],[Total PoP ]],WWWW[[#This Row],[Total PoP ]],WWWW[[#This Row],['# Functional hand washing stations during reporting period]]*100)</f>
        <v>161</v>
      </c>
      <c r="DU118" s="479" t="str">
        <f>IF(OR(WWWW[[#This Row],['#_students at TLS_CFS]]="",WWWW[[#This Row],['#_students at TLS_CFS]]=0),"No","Yes")</f>
        <v>Yes</v>
      </c>
      <c r="DV11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8" s="593" t="str">
        <f>VLOOKUP(WWWW[[#This Row],[Site Name]],SiteDB6[[Site Name]:[CCCM Management]],6,FALSE)</f>
        <v>Yes</v>
      </c>
      <c r="DZ118" s="593" t="str">
        <f>VLOOKUP(WWWW[[#This Row],[Site Name]],SiteDB6[[Site Name]:[CCCM Focal Agency]],7,FALSE)</f>
        <v>KBC-NSS</v>
      </c>
      <c r="EA118" s="593" t="str">
        <f>VLOOKUP(WWWW[[#This Row],[Site Name]],SiteDB6[[Site Name]:[Location Type 1]],9,FALSE)</f>
        <v>Camp</v>
      </c>
      <c r="EB118" s="593" t="str">
        <f>VLOOKUP(WWWW[[#This Row],[Site Name]],SiteDB6[[Site Name]:[Type of Accommodation]],10,FALSE)</f>
        <v>Camp</v>
      </c>
      <c r="EC118" s="593" t="str">
        <f>VLOOKUP(WWWW[[#This Row],[Site Name]],SiteDB6[[Site Name]:[Ethnic or GCA/NGCA]],11,FALSE)</f>
        <v>GCA</v>
      </c>
      <c r="ED118" s="593">
        <f>VLOOKUP(WWWW[[#This Row],[Site Name]],SiteDB6[[Site Name]:[Lat]],12,FALSE)</f>
        <v>23.094290000000001</v>
      </c>
      <c r="EE118" s="593">
        <f>VLOOKUP(WWWW[[#This Row],[Site Name]],SiteDB6[[Site Name]:[Long]],13,FALSE)</f>
        <v>97.404089999999997</v>
      </c>
      <c r="EF118" s="593" t="str">
        <f>VLOOKUP(WWWW[[#This Row],[Site Name]],SiteDB6[[Site Name]:[Pcode]],3,FALSE)</f>
        <v>MMR015CMP014</v>
      </c>
      <c r="EG118" s="598" t="str">
        <f t="shared" si="1"/>
        <v>Covered</v>
      </c>
      <c r="EH118" s="598" t="str">
        <f>VLOOKUP(WWWW[[#This Row],[Site Name]],SiteDB6[[Site Name]:[open in cccm?]],2,FALSE)</f>
        <v>cccm_2019OCT</v>
      </c>
    </row>
    <row r="119" spans="1:138" hidden="1">
      <c r="A119" s="591" t="s">
        <v>3261</v>
      </c>
      <c r="B119" s="591" t="s">
        <v>195</v>
      </c>
      <c r="C119" s="592" t="s">
        <v>195</v>
      </c>
      <c r="D119" s="592" t="s">
        <v>3045</v>
      </c>
      <c r="E119" s="592" t="s">
        <v>711</v>
      </c>
      <c r="F119" s="592" t="s">
        <v>712</v>
      </c>
      <c r="G119" s="721" t="str">
        <f>VLOOKUP(WWWW[[#This Row],[Site Name]],SiteDB6[[Site Name]:[Location Type]],8,FALSE)</f>
        <v>Camp</v>
      </c>
      <c r="H119" s="592" t="s">
        <v>749</v>
      </c>
      <c r="I119" s="594">
        <v>111</v>
      </c>
      <c r="J119" s="594">
        <v>568</v>
      </c>
      <c r="K119" s="595" t="s">
        <v>3289</v>
      </c>
      <c r="L119" s="596" t="s">
        <v>3290</v>
      </c>
      <c r="M119" s="594">
        <v>153</v>
      </c>
      <c r="N119" s="594"/>
      <c r="O119" s="594">
        <v>1</v>
      </c>
      <c r="P119" s="594"/>
      <c r="Q119" s="597"/>
      <c r="R119" s="594"/>
      <c r="S119" s="594">
        <v>3</v>
      </c>
      <c r="T119" s="523"/>
      <c r="U119" s="594"/>
      <c r="V119" s="594"/>
      <c r="W119" s="594"/>
      <c r="X119" s="594"/>
      <c r="Y119" s="594"/>
      <c r="Z119" s="594"/>
      <c r="AA119" s="594">
        <v>1</v>
      </c>
      <c r="AB119" s="594"/>
      <c r="AC119" s="594"/>
      <c r="AD119" s="594"/>
      <c r="AE119" s="594"/>
      <c r="AF119" s="594"/>
      <c r="AG119" s="594"/>
      <c r="AH119" s="594"/>
      <c r="AI119" s="594"/>
      <c r="AJ119" s="594"/>
      <c r="AK119" s="594"/>
      <c r="AL119" s="594"/>
      <c r="AM119" s="594"/>
      <c r="AN119" s="594"/>
      <c r="AO119" s="598"/>
      <c r="AP119" s="594"/>
      <c r="AQ119" s="594">
        <v>16</v>
      </c>
      <c r="AR119" s="599"/>
      <c r="AS119" s="594"/>
      <c r="AT119" s="594"/>
      <c r="AU119" s="594"/>
      <c r="AV119" s="594"/>
      <c r="AW119" s="594"/>
      <c r="AX119" s="593" t="s">
        <v>143</v>
      </c>
      <c r="AY119" s="598" t="s">
        <v>143</v>
      </c>
      <c r="AZ119" s="594"/>
      <c r="BA119" s="594"/>
      <c r="BB119" s="594"/>
      <c r="BC119" s="594"/>
      <c r="BD119" s="523"/>
      <c r="BE119" s="593"/>
      <c r="BF119" s="594"/>
      <c r="BG119" s="594"/>
      <c r="BH119" s="594"/>
      <c r="BI119" s="594"/>
      <c r="BJ119" s="594"/>
      <c r="BK119" s="594"/>
      <c r="BL119" s="594"/>
      <c r="BM119" s="594"/>
      <c r="BN119" s="594"/>
      <c r="BO119" s="593" t="s">
        <v>139</v>
      </c>
      <c r="BP119" s="594"/>
      <c r="BQ119" s="599"/>
      <c r="BR119" s="593"/>
      <c r="BS119" s="472"/>
      <c r="BT119" s="472"/>
      <c r="BU119" s="523"/>
      <c r="BV119" s="472"/>
      <c r="BW119" s="523"/>
      <c r="BX119" s="523"/>
      <c r="BY119" s="523"/>
      <c r="BZ119" s="601" t="str">
        <f>IFERROR(WWWW[[#This Row],['#_Water sources passed]]/WWWW[[#This Row],['#_Water sources tested for fecal coliform ]],"no test")</f>
        <v>no test</v>
      </c>
      <c r="CA119" s="599" t="str">
        <f>IFERROR(WWWW[[#This Row],['#_Household passed]]/WWWW[[#This Row],['#_Household water samples tested for fecal coliform]],"no test")</f>
        <v>no test</v>
      </c>
      <c r="CB119" s="600" t="str">
        <f>IF(AND(WWWW[[#This Row],[% of water sources passed]]="no test",WWWW[[#This Row],[% Household passed]]="no test"),"No Test","Tested")</f>
        <v>No Test</v>
      </c>
      <c r="CC119" s="600">
        <f>WWWW[[#This Row],['#_Constructed/existing protected hand dug well]]-WWWW[[#This Row],['#_Non-functional protected hand dug well]]</f>
        <v>0</v>
      </c>
      <c r="CD119" s="600">
        <f>(WWWW[[#This Row],['#_Constructed/Existing tube wells/boreholes/handpumps_WASH_agency]]+WWWW[[#This Row],['#_Non-Cluster partner water tube-wells/boreholes/handpumps]])-WWWW[[#This Row],['#_Non-functional tube wells/boreholes/handpumps]]</f>
        <v>0</v>
      </c>
      <c r="CE119" s="600">
        <f>WWWW[[#This Row],['#_Constructed/Existingwater storage tank with gravity fed reticulation system]]-WWWW[[#This Row],['#_Non-functional storage tank gravity fed reticulation system]]</f>
        <v>1</v>
      </c>
      <c r="CF119" s="478">
        <f>(WWWW[[#This Row],['#_Water_Liters_supplied_by_Water boating or water trucking]]/90)/15</f>
        <v>0</v>
      </c>
      <c r="CG119" s="478">
        <f>WWWW[[#This Row],['#_Water_Liters_from_Constructed/Existing water distribution system from river or natural spring]]/90/15</f>
        <v>0</v>
      </c>
      <c r="CH119" s="478">
        <f>WWWW[[#This Row],['#_of water points in TLS/CFS /THF]]*500</f>
        <v>0</v>
      </c>
      <c r="CI11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0.11737089201877936</v>
      </c>
      <c r="CJ11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0.11737089201877936</v>
      </c>
      <c r="CK119" s="599">
        <f>IF(WWWW[[#This Row],[Location Type 1]]="Village",WWWW[[#This Row],[Access to safe drinking water for Village]],WWWW[[#This Row],[Access to safe drinking water for Camp]])</f>
        <v>0.11737089201877936</v>
      </c>
      <c r="CL119" s="597">
        <f>WWWW[[#This Row],[%Equitable and continuous access to sufficient quantity of safe drinking water]]*WWWW[[#This Row],[Total PoP ]]</f>
        <v>66.666666666666671</v>
      </c>
      <c r="CM119" s="599">
        <f>IF((WWWW[[#This Row],['#_Constructed/Existing protected/fenced ponds]]*250)/WWWW[[#This Row],[Total PoP ]]&gt;1,1,(WWWW[[#This Row],['#_Constructed/Existing protected/fenced ponds]]*250)/WWWW[[#This Row],[Total PoP ]])</f>
        <v>0</v>
      </c>
      <c r="CN119" s="597">
        <f>WWWW[[#This Row],[% Access to unimproved water points]]*WWWW[[#This Row],[Total PoP ]]</f>
        <v>0</v>
      </c>
      <c r="CO11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0.11737089201877936</v>
      </c>
      <c r="CP11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19" s="597">
        <f>WWWW[[#This Row],[HRP1]]/500</f>
        <v>0.13333333333333333</v>
      </c>
      <c r="CR119" s="602">
        <f>1-WWWW[[#This Row],[% Equitable and continuous access to sufficient quantity of domestic water]]</f>
        <v>0.88262910798122063</v>
      </c>
      <c r="CS119" s="597">
        <f>WWWW[[#This Row],[%equitable and continuous access to sufficient quantity of safe drinking and domestic water''s GAP]]*WWWW[[#This Row],[Total PoP ]]</f>
        <v>501.33333333333331</v>
      </c>
      <c r="CT119" s="600">
        <f>IF(WWWW[[#This Row],[Total required water points]]-WWWW[[#This Row],['#Water points coverage]]&lt;0,0,WWWW[[#This Row],[Total required water points]]-WWWW[[#This Row],['#Water points coverage]])</f>
        <v>0.8666666666666667</v>
      </c>
      <c r="CU119" s="600">
        <f>ROUND(IF(WWWW[[#This Row],[Total PoP ]]&lt;500,1,WWWW[[#This Row],[Total PoP ]]/500),0)</f>
        <v>1</v>
      </c>
      <c r="CV119" s="600">
        <f>(WWWW[[#This Row],['#_Constructed latrines_by_WASHAgencies]]+WWWW[[#This Row],['#_Non Cluster partner latrines]])-WWWW[[#This Row],['#_Non-functional latrines]]</f>
        <v>16</v>
      </c>
      <c r="CW119" s="70">
        <f>WWWW[[#This Row],[HRP2]]/WWWW[[#This Row],[Total PoP ]]</f>
        <v>0.56338028169014087</v>
      </c>
      <c r="CX11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11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1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19" s="600">
        <f>IF(WWWW[[#This Row],['# of functional latrines in THF supported by WASH partners during the reporting period2]]="",0,WWWW[[#This Row],['# of functional latrines in THF supported by WASH partners during the reporting period2]]*50)</f>
        <v>0</v>
      </c>
      <c r="DB119" s="600">
        <f>WWWW[[#This Row],['# students access to functioning school latrines_HRP5]]+WWWW[[#This Row],['# People access to functioning latrines in THF_HRP5]]</f>
        <v>0</v>
      </c>
      <c r="DC119" s="600">
        <f>ROUND(IF(WWWW[[#This Row],[Location Type 1]]="camp",WWWW[[#This Row],[Total PoP ]]/20,IF(WWWW[[#This Row],[Location Type 1]]="Temporary Location",WWWW[[#This Row],[Total PoP ]]/50,WWWW[[#This Row],[Total HH]])),0)</f>
        <v>28</v>
      </c>
      <c r="DD119" s="600">
        <f>IF(WWWW[[#This Row],[Total required Latrines]]-(WWWW[[#This Row],['#_Constructed latrines_by_WASHAgencies]]+WWWW[[#This Row],['#_Non Cluster partner latrines]])&lt;0,0,WWWW[[#This Row],[Total required Latrines]]-(WWWW[[#This Row],['#_Constructed latrines_by_WASHAgencies]]+WWWW[[#This Row],['#_Non Cluster partner latrines]]))</f>
        <v>12</v>
      </c>
      <c r="DE119" s="602">
        <f>1-WWWW[[#This Row],[% people access to functioning Latrine]]</f>
        <v>0.43661971830985913</v>
      </c>
      <c r="DF119" s="601">
        <f>IF(OR(WWWW[[#This Row],['#_Non-functional latrines]]="",WWWW[[#This Row],['#_Non-functional latrines]]=0),0,WWWW[[#This Row],['#_Non-functional latrines]]/(WWWW[[#This Row],['#_Constructed latrines_by_WASHAgencies]]+WWWW[[#This Row],['#_Non Cluster partner latrines]]))</f>
        <v>0</v>
      </c>
      <c r="DG119" s="597">
        <f>IF(500*(WWWW[[#This Row],['#_male hygiene promoters]]+WWWW[[#This Row],['#_female hygiene promoters]])&gt;WWWW[[#This Row],[Total PoP ]],WWWW[[#This Row],[Total PoP ]],500*(WWWW[[#This Row],['#_male hygiene promoters]]+WWWW[[#This Row],['#_female hygiene promoters]]))</f>
        <v>0</v>
      </c>
      <c r="DH11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1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19" s="600">
        <f>IF(WWWW[[#This Row],['# People with access to soap]]&gt;WWWW[[#This Row],['# People with access to Sanity Pads]],WWWW[[#This Row],['# People with access to soap]],WWWW[[#This Row],['# People with access to Sanity Pads]])</f>
        <v>0</v>
      </c>
      <c r="DK11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19" s="602">
        <f>IF(WWWW[[#This Row],[HRP3]]/WWWW[[#This Row],[Total PoP ]]&gt;1,1,WWWW[[#This Row],[HRP3]]/WWWW[[#This Row],[Total PoP ]])</f>
        <v>0</v>
      </c>
      <c r="DM119" s="601">
        <f>1-WWWW[[#This Row],[Hygiene Coverage%]]</f>
        <v>1</v>
      </c>
      <c r="DN119" s="599">
        <f>WWWW[[#This Row],['# people reached by regular dedicated hygiene promotion_5]]/WWWW[[#This Row],[Total PoP ]]</f>
        <v>0</v>
      </c>
      <c r="DO11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1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19" s="600">
        <f>WWWW[[#This Row],['#_Constructed/Existing hand washing stations]]-WWWW[[#This Row],['#_Non-Functional_hand_washing_stations]]</f>
        <v>0</v>
      </c>
      <c r="DR119" s="597">
        <f>IF(WWWW[[#This Row],['# Functional hand washing stations during reporting period]]*20&gt;WWWW[[#This Row],[Total HH]],WWWW[[#This Row],[Total HH]],WWWW[[#This Row],['# Functional hand washing stations during reporting period]]*20)</f>
        <v>0</v>
      </c>
      <c r="DS119" s="597">
        <f>IF(WWWW[[#This Row],[Is sufficient soap available for TLS? (Yes/No)]]="yes",WWWW[[#This Row],['#_Constructed/Existing hand washing stations at TLS]],0)</f>
        <v>0</v>
      </c>
      <c r="DT119" s="479">
        <f>IF(WWWW[[#This Row],['# Functional hand washing stations during reporting period]]*100&gt;WWWW[[#This Row],[Total PoP ]],WWWW[[#This Row],[Total PoP ]],WWWW[[#This Row],['# Functional hand washing stations during reporting period]]*100)</f>
        <v>0</v>
      </c>
      <c r="DU119" s="479" t="str">
        <f>IF(OR(WWWW[[#This Row],['#_students at TLS_CFS]]="",WWWW[[#This Row],['#_students at TLS_CFS]]=0),"No","Yes")</f>
        <v>Yes</v>
      </c>
      <c r="DV11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19" s="593" t="str">
        <f>VLOOKUP(WWWW[[#This Row],[Site Name]],SiteDB6[[Site Name]:[CCCM Management]],6,FALSE)</f>
        <v>Yes</v>
      </c>
      <c r="DZ119" s="593" t="str">
        <f>VLOOKUP(WWWW[[#This Row],[Site Name]],SiteDB6[[Site Name]:[CCCM Focal Agency]],7,FALSE)</f>
        <v>KBC-NSS</v>
      </c>
      <c r="EA119" s="593" t="str">
        <f>VLOOKUP(WWWW[[#This Row],[Site Name]],SiteDB6[[Site Name]:[Location Type 1]],9,FALSE)</f>
        <v>Camp</v>
      </c>
      <c r="EB119" s="593" t="str">
        <f>VLOOKUP(WWWW[[#This Row],[Site Name]],SiteDB6[[Site Name]:[Type of Accommodation]],10,FALSE)</f>
        <v>Camp</v>
      </c>
      <c r="EC119" s="593" t="str">
        <f>VLOOKUP(WWWW[[#This Row],[Site Name]],SiteDB6[[Site Name]:[Ethnic or GCA/NGCA]],11,FALSE)</f>
        <v>GCA</v>
      </c>
      <c r="ED119" s="593">
        <f>VLOOKUP(WWWW[[#This Row],[Site Name]],SiteDB6[[Site Name]:[Lat]],12,FALSE)</f>
        <v>23.838190000000001</v>
      </c>
      <c r="EE119" s="593">
        <f>VLOOKUP(WWWW[[#This Row],[Site Name]],SiteDB6[[Site Name]:[Long]],13,FALSE)</f>
        <v>97.709879999999998</v>
      </c>
      <c r="EF119" s="593" t="str">
        <f>VLOOKUP(WWWW[[#This Row],[Site Name]],SiteDB6[[Site Name]:[Pcode]],3,FALSE)</f>
        <v>MMR015CMP215</v>
      </c>
      <c r="EG119" s="598" t="str">
        <f t="shared" si="1"/>
        <v>Covered</v>
      </c>
      <c r="EH119" s="598" t="str">
        <f>VLOOKUP(WWWW[[#This Row],[Site Name]],SiteDB6[[Site Name]:[open in cccm?]],2,FALSE)</f>
        <v>cccm_2019OCT</v>
      </c>
    </row>
    <row r="120" spans="1:138" hidden="1">
      <c r="A120" s="591" t="s">
        <v>3261</v>
      </c>
      <c r="B120" s="591" t="s">
        <v>195</v>
      </c>
      <c r="C120" s="592" t="s">
        <v>195</v>
      </c>
      <c r="D120" s="592" t="s">
        <v>3092</v>
      </c>
      <c r="E120" s="592" t="s">
        <v>39</v>
      </c>
      <c r="F120" s="592" t="s">
        <v>198</v>
      </c>
      <c r="G120" s="721" t="str">
        <f>VLOOKUP(WWWW[[#This Row],[Site Name]],SiteDB6[[Site Name]:[Location Type]],8,FALSE)</f>
        <v>Camp</v>
      </c>
      <c r="H120" s="592" t="s">
        <v>206</v>
      </c>
      <c r="I120" s="594">
        <v>17</v>
      </c>
      <c r="J120" s="594">
        <v>76</v>
      </c>
      <c r="K120" s="595">
        <v>43466</v>
      </c>
      <c r="L120" s="596">
        <v>43830</v>
      </c>
      <c r="M120" s="594"/>
      <c r="N120" s="594"/>
      <c r="O120" s="594"/>
      <c r="P120" s="594"/>
      <c r="Q120" s="597" t="s">
        <v>139</v>
      </c>
      <c r="R120" s="594"/>
      <c r="S120" s="594">
        <v>3</v>
      </c>
      <c r="T120" s="523"/>
      <c r="U120" s="594"/>
      <c r="V120" s="594"/>
      <c r="W120" s="594"/>
      <c r="X120" s="594">
        <v>1</v>
      </c>
      <c r="Y120" s="594"/>
      <c r="Z120" s="594"/>
      <c r="AA120" s="594"/>
      <c r="AB120" s="594"/>
      <c r="AC120" s="594"/>
      <c r="AD120" s="594"/>
      <c r="AE120" s="594"/>
      <c r="AF120" s="594"/>
      <c r="AG120" s="594"/>
      <c r="AH120" s="594"/>
      <c r="AI120" s="594"/>
      <c r="AJ120" s="594"/>
      <c r="AK120" s="594"/>
      <c r="AL120" s="594"/>
      <c r="AM120" s="594"/>
      <c r="AN120" s="594"/>
      <c r="AO120" s="598"/>
      <c r="AP120" s="594">
        <v>4</v>
      </c>
      <c r="AQ120" s="594"/>
      <c r="AR120" s="599"/>
      <c r="AS120" s="594"/>
      <c r="AT120" s="594"/>
      <c r="AU120" s="594"/>
      <c r="AV120" s="594"/>
      <c r="AW120" s="594"/>
      <c r="AX120" s="593" t="s">
        <v>43</v>
      </c>
      <c r="AY120" s="598" t="s">
        <v>140</v>
      </c>
      <c r="AZ120" s="594"/>
      <c r="BA120" s="594"/>
      <c r="BB120" s="594"/>
      <c r="BC120" s="594"/>
      <c r="BD120" s="523"/>
      <c r="BE120" s="593"/>
      <c r="BF120" s="594">
        <v>2</v>
      </c>
      <c r="BG120" s="594"/>
      <c r="BH120" s="594"/>
      <c r="BI120" s="594">
        <v>2</v>
      </c>
      <c r="BJ120" s="594"/>
      <c r="BK120" s="594"/>
      <c r="BL120" s="594"/>
      <c r="BM120" s="594"/>
      <c r="BN120" s="594"/>
      <c r="BO120" s="593"/>
      <c r="BP120" s="594"/>
      <c r="BQ120" s="599"/>
      <c r="BR120" s="593"/>
      <c r="BS120" s="472"/>
      <c r="BT120" s="472"/>
      <c r="BU120" s="523"/>
      <c r="BV120" s="472"/>
      <c r="BW120" s="523"/>
      <c r="BX120" s="523"/>
      <c r="BY120" s="523"/>
      <c r="BZ120" s="601" t="str">
        <f>IFERROR(WWWW[[#This Row],['#_Water sources passed]]/WWWW[[#This Row],['#_Water sources tested for fecal coliform ]],"no test")</f>
        <v>no test</v>
      </c>
      <c r="CA120" s="599" t="str">
        <f>IFERROR(WWWW[[#This Row],['#_Household passed]]/WWWW[[#This Row],['#_Household water samples tested for fecal coliform]],"no test")</f>
        <v>no test</v>
      </c>
      <c r="CB120" s="600" t="str">
        <f>IF(AND(WWWW[[#This Row],[% of water sources passed]]="no test",WWWW[[#This Row],[% Household passed]]="no test"),"No Test","Tested")</f>
        <v>No Test</v>
      </c>
      <c r="CC120" s="600">
        <f>WWWW[[#This Row],['#_Constructed/existing protected hand dug well]]-WWWW[[#This Row],['#_Non-functional protected hand dug well]]</f>
        <v>0</v>
      </c>
      <c r="CD120" s="600">
        <f>(WWWW[[#This Row],['#_Constructed/Existing tube wells/boreholes/handpumps_WASH_agency]]+WWWW[[#This Row],['#_Non-Cluster partner water tube-wells/boreholes/handpumps]])-WWWW[[#This Row],['#_Non-functional tube wells/boreholes/handpumps]]</f>
        <v>1</v>
      </c>
      <c r="CE120" s="600">
        <f>WWWW[[#This Row],['#_Constructed/Existingwater storage tank with gravity fed reticulation system]]-WWWW[[#This Row],['#_Non-functional storage tank gravity fed reticulation system]]</f>
        <v>0</v>
      </c>
      <c r="CF120" s="478">
        <f>(WWWW[[#This Row],['#_Water_Liters_supplied_by_Water boating or water trucking]]/90)/15</f>
        <v>0</v>
      </c>
      <c r="CG120" s="478">
        <f>WWWW[[#This Row],['#_Water_Liters_from_Constructed/Existing water distribution system from river or natural spring]]/90/15</f>
        <v>0</v>
      </c>
      <c r="CH120" s="478">
        <f>WWWW[[#This Row],['#_of water points in TLS/CFS /THF]]*500</f>
        <v>0</v>
      </c>
      <c r="CI12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0" s="599">
        <f>IF(WWWW[[#This Row],[Location Type 1]]="Village",WWWW[[#This Row],[Access to safe drinking water for Village]],WWWW[[#This Row],[Access to safe drinking water for Camp]])</f>
        <v>1</v>
      </c>
      <c r="CL120" s="597">
        <f>WWWW[[#This Row],[%Equitable and continuous access to sufficient quantity of safe drinking water]]*WWWW[[#This Row],[Total PoP ]]</f>
        <v>76</v>
      </c>
      <c r="CM120" s="599">
        <f>IF((WWWW[[#This Row],['#_Constructed/Existing protected/fenced ponds]]*250)/WWWW[[#This Row],[Total PoP ]]&gt;1,1,(WWWW[[#This Row],['#_Constructed/Existing protected/fenced ponds]]*250)/WWWW[[#This Row],[Total PoP ]])</f>
        <v>0</v>
      </c>
      <c r="CN120" s="597">
        <f>WWWW[[#This Row],[% Access to unimproved water points]]*WWWW[[#This Row],[Total PoP ]]</f>
        <v>0</v>
      </c>
      <c r="CO12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Q120" s="597">
        <f>WWWW[[#This Row],[HRP1]]/500</f>
        <v>0.152</v>
      </c>
      <c r="CR120" s="602">
        <f>1-WWWW[[#This Row],[% Equitable and continuous access to sufficient quantity of domestic water]]</f>
        <v>0</v>
      </c>
      <c r="CS120" s="597">
        <f>WWWW[[#This Row],[%equitable and continuous access to sufficient quantity of safe drinking and domestic water''s GAP]]*WWWW[[#This Row],[Total PoP ]]</f>
        <v>0</v>
      </c>
      <c r="CT120" s="600">
        <f>IF(WWWW[[#This Row],[Total required water points]]-WWWW[[#This Row],['#Water points coverage]]&lt;0,0,WWWW[[#This Row],[Total required water points]]-WWWW[[#This Row],['#Water points coverage]])</f>
        <v>0.84799999999999998</v>
      </c>
      <c r="CU120" s="600">
        <f>ROUND(IF(WWWW[[#This Row],[Total PoP ]]&lt;500,1,WWWW[[#This Row],[Total PoP ]]/500),0)</f>
        <v>1</v>
      </c>
      <c r="CV120" s="600">
        <f>(WWWW[[#This Row],['#_Constructed latrines_by_WASHAgencies]]+WWWW[[#This Row],['#_Non Cluster partner latrines]])-WWWW[[#This Row],['#_Non-functional latrines]]</f>
        <v>4</v>
      </c>
      <c r="CW120" s="70">
        <f>WWWW[[#This Row],[HRP2]]/WWWW[[#This Row],[Total PoP ]]</f>
        <v>1</v>
      </c>
      <c r="CX12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v>
      </c>
      <c r="CY12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0" s="600">
        <f>IF(WWWW[[#This Row],['# of functional latrines in THF supported by WASH partners during the reporting period2]]="",0,WWWW[[#This Row],['# of functional latrines in THF supported by WASH partners during the reporting period2]]*50)</f>
        <v>0</v>
      </c>
      <c r="DB120" s="600">
        <f>WWWW[[#This Row],['# students access to functioning school latrines_HRP5]]+WWWW[[#This Row],['# People access to functioning latrines in THF_HRP5]]</f>
        <v>0</v>
      </c>
      <c r="DC120" s="600">
        <f>ROUND(IF(WWWW[[#This Row],[Location Type 1]]="camp",WWWW[[#This Row],[Total PoP ]]/20,IF(WWWW[[#This Row],[Location Type 1]]="Temporary Location",WWWW[[#This Row],[Total PoP ]]/50,WWWW[[#This Row],[Total HH]])),0)</f>
        <v>4</v>
      </c>
      <c r="DD120" s="600">
        <f>IF(WWWW[[#This Row],[Total required Latrines]]-(WWWW[[#This Row],['#_Constructed latrines_by_WASHAgencies]]+WWWW[[#This Row],['#_Non Cluster partner latrines]])&lt;0,0,WWWW[[#This Row],[Total required Latrines]]-(WWWW[[#This Row],['#_Constructed latrines_by_WASHAgencies]]+WWWW[[#This Row],['#_Non Cluster partner latrines]]))</f>
        <v>0</v>
      </c>
      <c r="DE120" s="602">
        <f>1-WWWW[[#This Row],[% people access to functioning Latrine]]</f>
        <v>0</v>
      </c>
      <c r="DF120" s="601">
        <f>IF(OR(WWWW[[#This Row],['#_Non-functional latrines]]="",WWWW[[#This Row],['#_Non-functional latrines]]=0),0,WWWW[[#This Row],['#_Non-functional latrines]]/(WWWW[[#This Row],['#_Constructed latrines_by_WASHAgencies]]+WWWW[[#This Row],['#_Non Cluster partner latrines]]))</f>
        <v>0</v>
      </c>
      <c r="DG120" s="597">
        <f>IF(500*(WWWW[[#This Row],['#_male hygiene promoters]]+WWWW[[#This Row],['#_female hygiene promoters]])&gt;WWWW[[#This Row],[Total PoP ]],WWWW[[#This Row],[Total PoP ]],500*(WWWW[[#This Row],['#_male hygiene promoters]]+WWWW[[#This Row],['#_female hygiene promoters]]))</f>
        <v>0</v>
      </c>
      <c r="DH12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0" s="600">
        <f>IF(WWWW[[#This Row],['# People with access to soap]]&gt;WWWW[[#This Row],['# People with access to Sanity Pads]],WWWW[[#This Row],['# People with access to soap]],WWWW[[#This Row],['# People with access to Sanity Pads]])</f>
        <v>0</v>
      </c>
      <c r="DK12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0" s="602">
        <f>IF(WWWW[[#This Row],[HRP3]]/WWWW[[#This Row],[Total PoP ]]&gt;1,1,WWWW[[#This Row],[HRP3]]/WWWW[[#This Row],[Total PoP ]])</f>
        <v>0</v>
      </c>
      <c r="DM120" s="601">
        <f>1-WWWW[[#This Row],[Hygiene Coverage%]]</f>
        <v>1</v>
      </c>
      <c r="DN120" s="599">
        <f>WWWW[[#This Row],['# people reached by regular dedicated hygiene promotion_5]]/WWWW[[#This Row],[Total PoP ]]</f>
        <v>0</v>
      </c>
      <c r="DO12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0" s="600">
        <f>WWWW[[#This Row],['#_Constructed/Existing hand washing stations]]-WWWW[[#This Row],['#_Non-Functional_hand_washing_stations]]</f>
        <v>2</v>
      </c>
      <c r="DR120" s="597">
        <f>IF(WWWW[[#This Row],['# Functional hand washing stations during reporting period]]*20&gt;WWWW[[#This Row],[Total HH]],WWWW[[#This Row],[Total HH]],WWWW[[#This Row],['# Functional hand washing stations during reporting period]]*20)</f>
        <v>17</v>
      </c>
      <c r="DS120" s="597">
        <f>IF(WWWW[[#This Row],[Is sufficient soap available for TLS? (Yes/No)]]="yes",WWWW[[#This Row],['#_Constructed/Existing hand washing stations at TLS]],0)</f>
        <v>0</v>
      </c>
      <c r="DT120" s="479">
        <f>IF(WWWW[[#This Row],['# Functional hand washing stations during reporting period]]*100&gt;WWWW[[#This Row],[Total PoP ]],WWWW[[#This Row],[Total PoP ]],WWWW[[#This Row],['# Functional hand washing stations during reporting period]]*100)</f>
        <v>76</v>
      </c>
      <c r="DU120" s="479" t="str">
        <f>IF(OR(WWWW[[#This Row],['#_students at TLS_CFS]]="",WWWW[[#This Row],['#_students at TLS_CFS]]=0),"No","Yes")</f>
        <v>No</v>
      </c>
      <c r="DV12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0" s="593" t="str">
        <f>VLOOKUP(WWWW[[#This Row],[Site Name]],SiteDB6[[Site Name]:[CCCM Management]],6,FALSE)</f>
        <v>Yes</v>
      </c>
      <c r="DZ120" s="593" t="str">
        <f>VLOOKUP(WWWW[[#This Row],[Site Name]],SiteDB6[[Site Name]:[CCCM Focal Agency]],7,FALSE)</f>
        <v>KMSS-BMO</v>
      </c>
      <c r="EA120" s="593" t="str">
        <f>VLOOKUP(WWWW[[#This Row],[Site Name]],SiteDB6[[Site Name]:[Location Type 1]],9,FALSE)</f>
        <v>Camp</v>
      </c>
      <c r="EB120" s="593" t="str">
        <f>VLOOKUP(WWWW[[#This Row],[Site Name]],SiteDB6[[Site Name]:[Type of Accommodation]],10,FALSE)</f>
        <v>Camp</v>
      </c>
      <c r="EC120" s="593" t="str">
        <f>VLOOKUP(WWWW[[#This Row],[Site Name]],SiteDB6[[Site Name]:[Ethnic or GCA/NGCA]],11,FALSE)</f>
        <v>GCA</v>
      </c>
      <c r="ED120" s="593">
        <f>VLOOKUP(WWWW[[#This Row],[Site Name]],SiteDB6[[Site Name]:[Lat]],12,FALSE)</f>
        <v>24.32638</v>
      </c>
      <c r="EE120" s="593">
        <f>VLOOKUP(WWWW[[#This Row],[Site Name]],SiteDB6[[Site Name]:[Long]],13,FALSE)</f>
        <v>97.315860000000001</v>
      </c>
      <c r="EF120" s="593" t="str">
        <f>VLOOKUP(WWWW[[#This Row],[Site Name]],SiteDB6[[Site Name]:[Pcode]],3,FALSE)</f>
        <v>MMR001CMP054</v>
      </c>
      <c r="EG120" s="598" t="str">
        <f t="shared" si="1"/>
        <v>Covered</v>
      </c>
      <c r="EH120" s="598" t="str">
        <f>VLOOKUP(WWWW[[#This Row],[Site Name]],SiteDB6[[Site Name]:[open in cccm?]],2,FALSE)</f>
        <v>Closed_cccm_2019May</v>
      </c>
    </row>
    <row r="121" spans="1:138" hidden="1">
      <c r="A121" s="591" t="s">
        <v>3261</v>
      </c>
      <c r="B121" s="591" t="s">
        <v>195</v>
      </c>
      <c r="C121" s="592" t="s">
        <v>195</v>
      </c>
      <c r="D121" s="592" t="s">
        <v>3045</v>
      </c>
      <c r="E121" s="592" t="s">
        <v>711</v>
      </c>
      <c r="F121" s="592" t="s">
        <v>715</v>
      </c>
      <c r="G121" s="721" t="str">
        <f>VLOOKUP(WWWW[[#This Row],[Site Name]],SiteDB6[[Site Name]:[Location Type]],8,FALSE)</f>
        <v>Camp</v>
      </c>
      <c r="H121" s="592" t="s">
        <v>738</v>
      </c>
      <c r="I121" s="594">
        <v>103</v>
      </c>
      <c r="J121" s="594">
        <v>632</v>
      </c>
      <c r="K121" s="595" t="s">
        <v>3289</v>
      </c>
      <c r="L121" s="596" t="s">
        <v>3290</v>
      </c>
      <c r="M121" s="594">
        <v>88</v>
      </c>
      <c r="N121" s="594"/>
      <c r="O121" s="594"/>
      <c r="P121" s="594"/>
      <c r="Q121" s="597" t="s">
        <v>43</v>
      </c>
      <c r="R121" s="594">
        <v>4</v>
      </c>
      <c r="S121" s="594">
        <v>3</v>
      </c>
      <c r="T121" s="523"/>
      <c r="U121" s="594"/>
      <c r="V121" s="594"/>
      <c r="W121" s="594"/>
      <c r="X121" s="594"/>
      <c r="Y121" s="594"/>
      <c r="Z121" s="594"/>
      <c r="AA121" s="594">
        <v>20</v>
      </c>
      <c r="AB121" s="594"/>
      <c r="AC121" s="594"/>
      <c r="AD121" s="594"/>
      <c r="AE121" s="594"/>
      <c r="AF121" s="594"/>
      <c r="AG121" s="594"/>
      <c r="AH121" s="594"/>
      <c r="AI121" s="594"/>
      <c r="AJ121" s="594"/>
      <c r="AK121" s="594"/>
      <c r="AL121" s="594"/>
      <c r="AM121" s="594">
        <v>1</v>
      </c>
      <c r="AN121" s="594"/>
      <c r="AO121" s="598"/>
      <c r="AP121" s="594">
        <v>105</v>
      </c>
      <c r="AQ121" s="594"/>
      <c r="AR121" s="599"/>
      <c r="AS121" s="594"/>
      <c r="AT121" s="594"/>
      <c r="AU121" s="594"/>
      <c r="AV121" s="594"/>
      <c r="AW121" s="594"/>
      <c r="AX121" s="593" t="s">
        <v>43</v>
      </c>
      <c r="AY121" s="598" t="s">
        <v>140</v>
      </c>
      <c r="AZ121" s="594"/>
      <c r="BA121" s="594"/>
      <c r="BB121" s="594"/>
      <c r="BC121" s="594"/>
      <c r="BD121" s="523"/>
      <c r="BE121" s="593"/>
      <c r="BF121" s="594">
        <v>2</v>
      </c>
      <c r="BG121" s="594"/>
      <c r="BH121" s="594"/>
      <c r="BI121" s="594"/>
      <c r="BJ121" s="594"/>
      <c r="BK121" s="594"/>
      <c r="BL121" s="594">
        <v>1</v>
      </c>
      <c r="BM121" s="594"/>
      <c r="BN121" s="594"/>
      <c r="BO121" s="593" t="s">
        <v>139</v>
      </c>
      <c r="BP121" s="594"/>
      <c r="BQ121" s="599"/>
      <c r="BR121" s="593"/>
      <c r="BS121" s="472"/>
      <c r="BT121" s="472"/>
      <c r="BU121" s="523"/>
      <c r="BV121" s="472"/>
      <c r="BW121" s="523"/>
      <c r="BX121" s="523"/>
      <c r="BY121" s="523"/>
      <c r="BZ121" s="601" t="str">
        <f>IFERROR(WWWW[[#This Row],['#_Water sources passed]]/WWWW[[#This Row],['#_Water sources tested for fecal coliform ]],"no test")</f>
        <v>no test</v>
      </c>
      <c r="CA121" s="599" t="str">
        <f>IFERROR(WWWW[[#This Row],['#_Household passed]]/WWWW[[#This Row],['#_Household water samples tested for fecal coliform]],"no test")</f>
        <v>no test</v>
      </c>
      <c r="CB121" s="600" t="str">
        <f>IF(AND(WWWW[[#This Row],[% of water sources passed]]="no test",WWWW[[#This Row],[% Household passed]]="no test"),"No Test","Tested")</f>
        <v>No Test</v>
      </c>
      <c r="CC121" s="600">
        <f>WWWW[[#This Row],['#_Constructed/existing protected hand dug well]]-WWWW[[#This Row],['#_Non-functional protected hand dug well]]</f>
        <v>0</v>
      </c>
      <c r="CD121" s="600">
        <f>(WWWW[[#This Row],['#_Constructed/Existing tube wells/boreholes/handpumps_WASH_agency]]+WWWW[[#This Row],['#_Non-Cluster partner water tube-wells/boreholes/handpumps]])-WWWW[[#This Row],['#_Non-functional tube wells/boreholes/handpumps]]</f>
        <v>0</v>
      </c>
      <c r="CE121" s="600">
        <f>WWWW[[#This Row],['#_Constructed/Existingwater storage tank with gravity fed reticulation system]]-WWWW[[#This Row],['#_Non-functional storage tank gravity fed reticulation system]]</f>
        <v>20</v>
      </c>
      <c r="CF121" s="478">
        <f>(WWWW[[#This Row],['#_Water_Liters_supplied_by_Water boating or water trucking]]/90)/15</f>
        <v>0</v>
      </c>
      <c r="CG121" s="478">
        <f>WWWW[[#This Row],['#_Water_Liters_from_Constructed/Existing water distribution system from river or natural spring]]/90/15</f>
        <v>0</v>
      </c>
      <c r="CH121" s="478">
        <f>WWWW[[#This Row],['#_of water points in TLS/CFS /THF]]*500</f>
        <v>0</v>
      </c>
      <c r="CI12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1" s="599">
        <f>IF(WWWW[[#This Row],[Location Type 1]]="Village",WWWW[[#This Row],[Access to safe drinking water for Village]],WWWW[[#This Row],[Access to safe drinking water for Camp]])</f>
        <v>1</v>
      </c>
      <c r="CL121" s="597">
        <f>WWWW[[#This Row],[%Equitable and continuous access to sufficient quantity of safe drinking water]]*WWWW[[#This Row],[Total PoP ]]</f>
        <v>632</v>
      </c>
      <c r="CM121" s="599">
        <f>IF((WWWW[[#This Row],['#_Constructed/Existing protected/fenced ponds]]*250)/WWWW[[#This Row],[Total PoP ]]&gt;1,1,(WWWW[[#This Row],['#_Constructed/Existing protected/fenced ponds]]*250)/WWWW[[#This Row],[Total PoP ]])</f>
        <v>0</v>
      </c>
      <c r="CN121" s="597">
        <f>WWWW[[#This Row],[% Access to unimproved water points]]*WWWW[[#This Row],[Total PoP ]]</f>
        <v>0</v>
      </c>
      <c r="CO12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Q121" s="597">
        <f>WWWW[[#This Row],[HRP1]]/500</f>
        <v>1.264</v>
      </c>
      <c r="CR121" s="602">
        <f>1-WWWW[[#This Row],[% Equitable and continuous access to sufficient quantity of domestic water]]</f>
        <v>0</v>
      </c>
      <c r="CS121" s="597">
        <f>WWWW[[#This Row],[%equitable and continuous access to sufficient quantity of safe drinking and domestic water''s GAP]]*WWWW[[#This Row],[Total PoP ]]</f>
        <v>0</v>
      </c>
      <c r="CT121" s="600">
        <f>IF(WWWW[[#This Row],[Total required water points]]-WWWW[[#This Row],['#Water points coverage]]&lt;0,0,WWWW[[#This Row],[Total required water points]]-WWWW[[#This Row],['#Water points coverage]])</f>
        <v>0</v>
      </c>
      <c r="CU121" s="600">
        <f>ROUND(IF(WWWW[[#This Row],[Total PoP ]]&lt;500,1,WWWW[[#This Row],[Total PoP ]]/500),0)</f>
        <v>1</v>
      </c>
      <c r="CV121" s="600">
        <f>(WWWW[[#This Row],['#_Constructed latrines_by_WASHAgencies]]+WWWW[[#This Row],['#_Non Cluster partner latrines]])-WWWW[[#This Row],['#_Non-functional latrines]]</f>
        <v>105</v>
      </c>
      <c r="CW121" s="70">
        <f>WWWW[[#This Row],[HRP2]]/WWWW[[#This Row],[Total PoP ]]</f>
        <v>0.83069620253164556</v>
      </c>
      <c r="CX12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CY12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1" s="600">
        <f>IF(WWWW[[#This Row],['# of functional latrines in THF supported by WASH partners during the reporting period2]]="",0,WWWW[[#This Row],['# of functional latrines in THF supported by WASH partners during the reporting period2]]*50)</f>
        <v>0</v>
      </c>
      <c r="DB121" s="600">
        <f>WWWW[[#This Row],['# students access to functioning school latrines_HRP5]]+WWWW[[#This Row],['# People access to functioning latrines in THF_HRP5]]</f>
        <v>0</v>
      </c>
      <c r="DC121" s="600">
        <f>ROUND(IF(WWWW[[#This Row],[Location Type 1]]="camp",WWWW[[#This Row],[Total PoP ]]/20,IF(WWWW[[#This Row],[Location Type 1]]="Temporary Location",WWWW[[#This Row],[Total PoP ]]/50,WWWW[[#This Row],[Total HH]])),0)</f>
        <v>103</v>
      </c>
      <c r="DD121" s="600">
        <f>IF(WWWW[[#This Row],[Total required Latrines]]-(WWWW[[#This Row],['#_Constructed latrines_by_WASHAgencies]]+WWWW[[#This Row],['#_Non Cluster partner latrines]])&lt;0,0,WWWW[[#This Row],[Total required Latrines]]-(WWWW[[#This Row],['#_Constructed latrines_by_WASHAgencies]]+WWWW[[#This Row],['#_Non Cluster partner latrines]]))</f>
        <v>0</v>
      </c>
      <c r="DE121" s="602">
        <f>1-WWWW[[#This Row],[% people access to functioning Latrine]]</f>
        <v>0.16930379746835444</v>
      </c>
      <c r="DF121" s="601">
        <f>IF(OR(WWWW[[#This Row],['#_Non-functional latrines]]="",WWWW[[#This Row],['#_Non-functional latrines]]=0),0,WWWW[[#This Row],['#_Non-functional latrines]]/(WWWW[[#This Row],['#_Constructed latrines_by_WASHAgencies]]+WWWW[[#This Row],['#_Non Cluster partner latrines]]))</f>
        <v>0</v>
      </c>
      <c r="DG121" s="597">
        <f>IF(500*(WWWW[[#This Row],['#_male hygiene promoters]]+WWWW[[#This Row],['#_female hygiene promoters]])&gt;WWWW[[#This Row],[Total PoP ]],WWWW[[#This Row],[Total PoP ]],500*(WWWW[[#This Row],['#_male hygiene promoters]]+WWWW[[#This Row],['#_female hygiene promoters]]))</f>
        <v>500</v>
      </c>
      <c r="DH12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1" s="600">
        <f>IF(WWWW[[#This Row],['# People with access to soap]]&gt;WWWW[[#This Row],['# People with access to Sanity Pads]],WWWW[[#This Row],['# People with access to soap]],WWWW[[#This Row],['# People with access to Sanity Pads]])</f>
        <v>0</v>
      </c>
      <c r="DK121"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21" s="602">
        <f>IF(WWWW[[#This Row],[HRP3]]/WWWW[[#This Row],[Total PoP ]]&gt;1,1,WWWW[[#This Row],[HRP3]]/WWWW[[#This Row],[Total PoP ]])</f>
        <v>0.79113924050632911</v>
      </c>
      <c r="DM121" s="601">
        <f>1-WWWW[[#This Row],[Hygiene Coverage%]]</f>
        <v>0.20886075949367089</v>
      </c>
      <c r="DN121" s="599">
        <f>WWWW[[#This Row],['# people reached by regular dedicated hygiene promotion_5]]/WWWW[[#This Row],[Total PoP ]]</f>
        <v>0.79113924050632911</v>
      </c>
      <c r="DO12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1" s="600">
        <f>WWWW[[#This Row],['#_Constructed/Existing hand washing stations]]-WWWW[[#This Row],['#_Non-Functional_hand_washing_stations]]</f>
        <v>2</v>
      </c>
      <c r="DR121" s="597">
        <f>IF(WWWW[[#This Row],['# Functional hand washing stations during reporting period]]*20&gt;WWWW[[#This Row],[Total HH]],WWWW[[#This Row],[Total HH]],WWWW[[#This Row],['# Functional hand washing stations during reporting period]]*20)</f>
        <v>40</v>
      </c>
      <c r="DS121" s="597">
        <f>IF(WWWW[[#This Row],[Is sufficient soap available for TLS? (Yes/No)]]="yes",WWWW[[#This Row],['#_Constructed/Existing hand washing stations at TLS]],0)</f>
        <v>0</v>
      </c>
      <c r="DT121" s="479">
        <f>IF(WWWW[[#This Row],['# Functional hand washing stations during reporting period]]*100&gt;WWWW[[#This Row],[Total PoP ]],WWWW[[#This Row],[Total PoP ]],WWWW[[#This Row],['# Functional hand washing stations during reporting period]]*100)</f>
        <v>200</v>
      </c>
      <c r="DU121" s="479" t="str">
        <f>IF(OR(WWWW[[#This Row],['#_students at TLS_CFS]]="",WWWW[[#This Row],['#_students at TLS_CFS]]=0),"No","Yes")</f>
        <v>Yes</v>
      </c>
      <c r="DV12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1" s="593" t="str">
        <f>VLOOKUP(WWWW[[#This Row],[Site Name]],SiteDB6[[Site Name]:[CCCM Management]],6,FALSE)</f>
        <v>Yes</v>
      </c>
      <c r="DZ121" s="593" t="str">
        <f>VLOOKUP(WWWW[[#This Row],[Site Name]],SiteDB6[[Site Name]:[CCCM Focal Agency]],7,FALSE)</f>
        <v>KMSS-LSO</v>
      </c>
      <c r="EA121" s="593" t="str">
        <f>VLOOKUP(WWWW[[#This Row],[Site Name]],SiteDB6[[Site Name]:[Location Type 1]],9,FALSE)</f>
        <v>Village Type Camp</v>
      </c>
      <c r="EB121" s="593" t="str">
        <f>VLOOKUP(WWWW[[#This Row],[Site Name]],SiteDB6[[Site Name]:[Type of Accommodation]],10,FALSE)</f>
        <v>Camp</v>
      </c>
      <c r="EC121" s="593" t="str">
        <f>VLOOKUP(WWWW[[#This Row],[Site Name]],SiteDB6[[Site Name]:[Ethnic or GCA/NGCA]],11,FALSE)</f>
        <v>GCA</v>
      </c>
      <c r="ED121" s="593">
        <f>VLOOKUP(WWWW[[#This Row],[Site Name]],SiteDB6[[Site Name]:[Lat]],12,FALSE)</f>
        <v>23.447111</v>
      </c>
      <c r="EE121" s="593">
        <f>VLOOKUP(WWWW[[#This Row],[Site Name]],SiteDB6[[Site Name]:[Long]],13,FALSE)</f>
        <v>97.868876999999998</v>
      </c>
      <c r="EF121" s="593" t="str">
        <f>VLOOKUP(WWWW[[#This Row],[Site Name]],SiteDB6[[Site Name]:[Pcode]],3,FALSE)</f>
        <v>MMR015CMP219</v>
      </c>
      <c r="EG121" s="598" t="str">
        <f t="shared" si="1"/>
        <v>Covered</v>
      </c>
      <c r="EH121" s="598" t="str">
        <f>VLOOKUP(WWWW[[#This Row],[Site Name]],SiteDB6[[Site Name]:[open in cccm?]],2,FALSE)</f>
        <v>cccm_2019OCT</v>
      </c>
    </row>
    <row r="122" spans="1:138" hidden="1">
      <c r="A122" s="591" t="s">
        <v>3261</v>
      </c>
      <c r="B122" s="591" t="s">
        <v>195</v>
      </c>
      <c r="C122" s="592" t="s">
        <v>195</v>
      </c>
      <c r="D122" s="592" t="s">
        <v>3045</v>
      </c>
      <c r="E122" s="592" t="s">
        <v>711</v>
      </c>
      <c r="F122" s="592" t="s">
        <v>715</v>
      </c>
      <c r="G122" s="721" t="str">
        <f>VLOOKUP(WWWW[[#This Row],[Site Name]],SiteDB6[[Site Name]:[Location Type]],8,FALSE)</f>
        <v>Camp</v>
      </c>
      <c r="H122" s="592" t="s">
        <v>758</v>
      </c>
      <c r="I122" s="594">
        <v>33</v>
      </c>
      <c r="J122" s="594">
        <v>196</v>
      </c>
      <c r="K122" s="56" t="s">
        <v>3289</v>
      </c>
      <c r="L122" s="56" t="s">
        <v>3290</v>
      </c>
      <c r="M122" s="594">
        <v>53</v>
      </c>
      <c r="N122" s="594">
        <v>2</v>
      </c>
      <c r="O122" s="594"/>
      <c r="P122" s="594"/>
      <c r="Q122" s="597" t="s">
        <v>43</v>
      </c>
      <c r="R122" s="594">
        <v>5</v>
      </c>
      <c r="S122" s="594"/>
      <c r="T122" s="523"/>
      <c r="U122" s="594"/>
      <c r="V122" s="594"/>
      <c r="W122" s="594"/>
      <c r="X122" s="594"/>
      <c r="Y122" s="594"/>
      <c r="Z122" s="594"/>
      <c r="AA122" s="594">
        <v>16</v>
      </c>
      <c r="AB122" s="594"/>
      <c r="AC122" s="594"/>
      <c r="AD122" s="594"/>
      <c r="AE122" s="594"/>
      <c r="AF122" s="594"/>
      <c r="AG122" s="594">
        <v>3</v>
      </c>
      <c r="AH122" s="594">
        <v>1</v>
      </c>
      <c r="AI122" s="594"/>
      <c r="AJ122" s="594"/>
      <c r="AK122" s="594"/>
      <c r="AL122" s="594"/>
      <c r="AM122" s="594">
        <v>2</v>
      </c>
      <c r="AN122" s="594">
        <v>1</v>
      </c>
      <c r="AO122" s="598"/>
      <c r="AP122" s="594">
        <v>37</v>
      </c>
      <c r="AQ122" s="594"/>
      <c r="AR122" s="599"/>
      <c r="AS122" s="594"/>
      <c r="AT122" s="594"/>
      <c r="AU122" s="594"/>
      <c r="AV122" s="594"/>
      <c r="AW122" s="594">
        <v>3</v>
      </c>
      <c r="AX122" s="474" t="s">
        <v>139</v>
      </c>
      <c r="AY122" s="598" t="s">
        <v>1195</v>
      </c>
      <c r="AZ122" s="594"/>
      <c r="BA122" s="594"/>
      <c r="BB122" s="594">
        <v>2</v>
      </c>
      <c r="BC122" s="594"/>
      <c r="BD122" s="523"/>
      <c r="BE122" s="593"/>
      <c r="BF122" s="594">
        <v>7</v>
      </c>
      <c r="BG122" s="594"/>
      <c r="BH122" s="594"/>
      <c r="BI122" s="594"/>
      <c r="BJ122" s="594"/>
      <c r="BK122" s="594"/>
      <c r="BL122" s="594">
        <v>1</v>
      </c>
      <c r="BM122" s="594"/>
      <c r="BN122" s="594"/>
      <c r="BO122" s="593"/>
      <c r="BP122" s="594"/>
      <c r="BQ122" s="599"/>
      <c r="BR122" s="593"/>
      <c r="BS122" s="472"/>
      <c r="BT122" s="472"/>
      <c r="BU122" s="523"/>
      <c r="BV122" s="472"/>
      <c r="BW122" s="523"/>
      <c r="BX122" s="523"/>
      <c r="BY122" s="523"/>
      <c r="BZ122" s="601" t="str">
        <f>IFERROR(WWWW[[#This Row],['#_Water sources passed]]/WWWW[[#This Row],['#_Water sources tested for fecal coliform ]],"no test")</f>
        <v>no test</v>
      </c>
      <c r="CA122" s="599" t="str">
        <f>IFERROR(WWWW[[#This Row],['#_Household passed]]/WWWW[[#This Row],['#_Household water samples tested for fecal coliform]],"no test")</f>
        <v>no test</v>
      </c>
      <c r="CB122" s="600" t="str">
        <f>IF(AND(WWWW[[#This Row],[% of water sources passed]]="no test",WWWW[[#This Row],[% Household passed]]="no test"),"No Test","Tested")</f>
        <v>No Test</v>
      </c>
      <c r="CC122" s="600">
        <f>WWWW[[#This Row],['#_Constructed/existing protected hand dug well]]-WWWW[[#This Row],['#_Non-functional protected hand dug well]]</f>
        <v>0</v>
      </c>
      <c r="CD122" s="600">
        <f>(WWWW[[#This Row],['#_Constructed/Existing tube wells/boreholes/handpumps_WASH_agency]]+WWWW[[#This Row],['#_Non-Cluster partner water tube-wells/boreholes/handpumps]])-WWWW[[#This Row],['#_Non-functional tube wells/boreholes/handpumps]]</f>
        <v>0</v>
      </c>
      <c r="CE122" s="600">
        <f>WWWW[[#This Row],['#_Constructed/Existingwater storage tank with gravity fed reticulation system]]-WWWW[[#This Row],['#_Non-functional storage tank gravity fed reticulation system]]</f>
        <v>16</v>
      </c>
      <c r="CF122" s="478">
        <f>(WWWW[[#This Row],['#_Water_Liters_supplied_by_Water boating or water trucking]]/90)/15</f>
        <v>0</v>
      </c>
      <c r="CG122" s="478">
        <f>WWWW[[#This Row],['#_Water_Liters_from_Constructed/Existing water distribution system from river or natural spring]]/90/15</f>
        <v>0</v>
      </c>
      <c r="CH122" s="478">
        <f>WWWW[[#This Row],['#_of water points in TLS/CFS /THF]]*500</f>
        <v>500</v>
      </c>
      <c r="CI12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2" s="599">
        <f>IF(WWWW[[#This Row],[Location Type 1]]="Village",WWWW[[#This Row],[Access to safe drinking water for Village]],WWWW[[#This Row],[Access to safe drinking water for Camp]])</f>
        <v>1</v>
      </c>
      <c r="CL122" s="597">
        <f>WWWW[[#This Row],[%Equitable and continuous access to sufficient quantity of safe drinking water]]*WWWW[[#This Row],[Total PoP ]]</f>
        <v>196</v>
      </c>
      <c r="CM122" s="599">
        <f>IF((WWWW[[#This Row],['#_Constructed/Existing protected/fenced ponds]]*250)/WWWW[[#This Row],[Total PoP ]]&gt;1,1,(WWWW[[#This Row],['#_Constructed/Existing protected/fenced ponds]]*250)/WWWW[[#This Row],[Total PoP ]])</f>
        <v>0</v>
      </c>
      <c r="CN122" s="597">
        <f>WWWW[[#This Row],[% Access to unimproved water points]]*WWWW[[#This Row],[Total PoP ]]</f>
        <v>0</v>
      </c>
      <c r="CO12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196</v>
      </c>
      <c r="CQ122" s="597">
        <f>WWWW[[#This Row],[HRP1]]/500</f>
        <v>0.39200000000000002</v>
      </c>
      <c r="CR122" s="602">
        <f>1-WWWW[[#This Row],[% Equitable and continuous access to sufficient quantity of domestic water]]</f>
        <v>0</v>
      </c>
      <c r="CS122" s="597">
        <f>WWWW[[#This Row],[%equitable and continuous access to sufficient quantity of safe drinking and domestic water''s GAP]]*WWWW[[#This Row],[Total PoP ]]</f>
        <v>0</v>
      </c>
      <c r="CT122" s="600">
        <f>IF(WWWW[[#This Row],[Total required water points]]-WWWW[[#This Row],['#Water points coverage]]&lt;0,0,WWWW[[#This Row],[Total required water points]]-WWWW[[#This Row],['#Water points coverage]])</f>
        <v>0.60799999999999998</v>
      </c>
      <c r="CU122" s="600">
        <f>ROUND(IF(WWWW[[#This Row],[Total PoP ]]&lt;500,1,WWWW[[#This Row],[Total PoP ]]/500),0)</f>
        <v>1</v>
      </c>
      <c r="CV122" s="600">
        <f>(WWWW[[#This Row],['#_Constructed latrines_by_WASHAgencies]]+WWWW[[#This Row],['#_Non Cluster partner latrines]])-WWWW[[#This Row],['#_Non-functional latrines]]</f>
        <v>37</v>
      </c>
      <c r="CW122" s="70">
        <f>WWWW[[#This Row],[HRP2]]/WWWW[[#This Row],[Total PoP ]]</f>
        <v>1</v>
      </c>
      <c r="CX12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196</v>
      </c>
      <c r="CY12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53</v>
      </c>
      <c r="DA122" s="600">
        <f>IF(WWWW[[#This Row],['# of functional latrines in THF supported by WASH partners during the reporting period2]]="",0,WWWW[[#This Row],['# of functional latrines in THF supported by WASH partners during the reporting period2]]*50)</f>
        <v>0</v>
      </c>
      <c r="DB122" s="600">
        <f>WWWW[[#This Row],['# students access to functioning school latrines_HRP5]]+WWWW[[#This Row],['# People access to functioning latrines in THF_HRP5]]</f>
        <v>53</v>
      </c>
      <c r="DC122" s="600">
        <f>ROUND(IF(WWWW[[#This Row],[Location Type 1]]="camp",WWWW[[#This Row],[Total PoP ]]/20,IF(WWWW[[#This Row],[Location Type 1]]="Temporary Location",WWWW[[#This Row],[Total PoP ]]/50,WWWW[[#This Row],[Total HH]])),0)</f>
        <v>10</v>
      </c>
      <c r="DD122" s="600">
        <f>IF(WWWW[[#This Row],[Total required Latrines]]-(WWWW[[#This Row],['#_Constructed latrines_by_WASHAgencies]]+WWWW[[#This Row],['#_Non Cluster partner latrines]])&lt;0,0,WWWW[[#This Row],[Total required Latrines]]-(WWWW[[#This Row],['#_Constructed latrines_by_WASHAgencies]]+WWWW[[#This Row],['#_Non Cluster partner latrines]]))</f>
        <v>0</v>
      </c>
      <c r="DE122" s="602">
        <f>1-WWWW[[#This Row],[% people access to functioning Latrine]]</f>
        <v>0</v>
      </c>
      <c r="DF122" s="601">
        <f>IF(OR(WWWW[[#This Row],['#_Non-functional latrines]]="",WWWW[[#This Row],['#_Non-functional latrines]]=0),0,WWWW[[#This Row],['#_Non-functional latrines]]/(WWWW[[#This Row],['#_Constructed latrines_by_WASHAgencies]]+WWWW[[#This Row],['#_Non Cluster partner latrines]]))</f>
        <v>0</v>
      </c>
      <c r="DG122" s="597">
        <f>IF(500*(WWWW[[#This Row],['#_male hygiene promoters]]+WWWW[[#This Row],['#_female hygiene promoters]])&gt;WWWW[[#This Row],[Total PoP ]],WWWW[[#This Row],[Total PoP ]],500*(WWWW[[#This Row],['#_male hygiene promoters]]+WWWW[[#This Row],['#_female hygiene promoters]]))</f>
        <v>196</v>
      </c>
      <c r="DH12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2" s="600">
        <f>IF(WWWW[[#This Row],['# People with access to soap]]&gt;WWWW[[#This Row],['# People with access to Sanity Pads]],WWWW[[#This Row],['# People with access to soap]],WWWW[[#This Row],['# People with access to Sanity Pads]])</f>
        <v>0</v>
      </c>
      <c r="DK122" s="600">
        <f>IF(WWWW[[#This Row],['# people reached by regular dedicated hygiene promotion_5]]&gt;WWWW[[#This Row],['# People received regular supply of hygiene items_6]],WWWW[[#This Row],['# people reached by regular dedicated hygiene promotion_5]],WWWW[[#This Row],['# People received regular supply of hygiene items_6]])</f>
        <v>196</v>
      </c>
      <c r="DL122" s="602">
        <f>IF(WWWW[[#This Row],[HRP3]]/WWWW[[#This Row],[Total PoP ]]&gt;1,1,WWWW[[#This Row],[HRP3]]/WWWW[[#This Row],[Total PoP ]])</f>
        <v>1</v>
      </c>
      <c r="DM122" s="601">
        <f>1-WWWW[[#This Row],[Hygiene Coverage%]]</f>
        <v>0</v>
      </c>
      <c r="DN122" s="599">
        <f>WWWW[[#This Row],['# people reached by regular dedicated hygiene promotion_5]]/WWWW[[#This Row],[Total PoP ]]</f>
        <v>1</v>
      </c>
      <c r="DO12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2" s="600">
        <f>WWWW[[#This Row],['#_Constructed/Existing hand washing stations]]-WWWW[[#This Row],['#_Non-Functional_hand_washing_stations]]</f>
        <v>7</v>
      </c>
      <c r="DR122" s="597">
        <f>IF(WWWW[[#This Row],['# Functional hand washing stations during reporting period]]*20&gt;WWWW[[#This Row],[Total HH]],WWWW[[#This Row],[Total HH]],WWWW[[#This Row],['# Functional hand washing stations during reporting period]]*20)</f>
        <v>33</v>
      </c>
      <c r="DS122" s="597">
        <f>IF(WWWW[[#This Row],[Is sufficient soap available for TLS? (Yes/No)]]="yes",WWWW[[#This Row],['#_Constructed/Existing hand washing stations at TLS]],0)</f>
        <v>0</v>
      </c>
      <c r="DT122" s="479">
        <f>IF(WWWW[[#This Row],['# Functional hand washing stations during reporting period]]*100&gt;WWWW[[#This Row],[Total PoP ]],WWWW[[#This Row],[Total PoP ]],WWWW[[#This Row],['# Functional hand washing stations during reporting period]]*100)</f>
        <v>196</v>
      </c>
      <c r="DU122" s="479" t="str">
        <f>IF(OR(WWWW[[#This Row],['#_students at TLS_CFS]]="",WWWW[[#This Row],['#_students at TLS_CFS]]=0),"No","Yes")</f>
        <v>Yes</v>
      </c>
      <c r="DV12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122" s="593" t="str">
        <f>VLOOKUP(WWWW[[#This Row],[Site Name]],SiteDB6[[Site Name]:[CCCM Management]],6,FALSE)</f>
        <v>Yes</v>
      </c>
      <c r="DZ122" s="593" t="str">
        <f>VLOOKUP(WWWW[[#This Row],[Site Name]],SiteDB6[[Site Name]:[CCCM Focal Agency]],7,FALSE)</f>
        <v>KMSS-LSO</v>
      </c>
      <c r="EA122" s="593" t="str">
        <f>VLOOKUP(WWWW[[#This Row],[Site Name]],SiteDB6[[Site Name]:[Location Type 1]],9,FALSE)</f>
        <v>Camp</v>
      </c>
      <c r="EB122" s="593" t="str">
        <f>VLOOKUP(WWWW[[#This Row],[Site Name]],SiteDB6[[Site Name]:[Type of Accommodation]],10,FALSE)</f>
        <v>Camp</v>
      </c>
      <c r="EC122" s="593" t="str">
        <f>VLOOKUP(WWWW[[#This Row],[Site Name]],SiteDB6[[Site Name]:[Ethnic or GCA/NGCA]],11,FALSE)</f>
        <v>GCA</v>
      </c>
      <c r="ED122" s="593">
        <f>VLOOKUP(WWWW[[#This Row],[Site Name]],SiteDB6[[Site Name]:[Lat]],12,FALSE)</f>
        <v>0</v>
      </c>
      <c r="EE122" s="593">
        <f>VLOOKUP(WWWW[[#This Row],[Site Name]],SiteDB6[[Site Name]:[Long]],13,FALSE)</f>
        <v>0</v>
      </c>
      <c r="EF122" s="593" t="str">
        <f>VLOOKUP(WWWW[[#This Row],[Site Name]],SiteDB6[[Site Name]:[Pcode]],3,FALSE)</f>
        <v>MMR015CMP249</v>
      </c>
      <c r="EG122" s="598" t="str">
        <f t="shared" si="1"/>
        <v>Covered</v>
      </c>
      <c r="EH122" s="598" t="str">
        <f>VLOOKUP(WWWW[[#This Row],[Site Name]],SiteDB6[[Site Name]:[open in cccm?]],2,FALSE)</f>
        <v>cccm_2019OCT</v>
      </c>
    </row>
    <row r="123" spans="1:138" hidden="1">
      <c r="A123" s="591" t="s">
        <v>3261</v>
      </c>
      <c r="B123" s="591" t="s">
        <v>195</v>
      </c>
      <c r="C123" s="592" t="s">
        <v>195</v>
      </c>
      <c r="D123" s="592" t="s">
        <v>3045</v>
      </c>
      <c r="E123" s="592" t="s">
        <v>711</v>
      </c>
      <c r="F123" s="592" t="s">
        <v>732</v>
      </c>
      <c r="G123" s="721" t="str">
        <f>VLOOKUP(WWWW[[#This Row],[Site Name]],SiteDB6[[Site Name]:[Location Type]],8,FALSE)</f>
        <v>Camp</v>
      </c>
      <c r="H123" s="592" t="s">
        <v>733</v>
      </c>
      <c r="I123" s="594">
        <v>6</v>
      </c>
      <c r="J123" s="594">
        <v>27</v>
      </c>
      <c r="K123" s="595" t="s">
        <v>3289</v>
      </c>
      <c r="L123" s="596" t="s">
        <v>3290</v>
      </c>
      <c r="M123" s="594">
        <v>6</v>
      </c>
      <c r="N123" s="594"/>
      <c r="O123" s="594"/>
      <c r="P123" s="594"/>
      <c r="Q123" s="597"/>
      <c r="R123" s="594"/>
      <c r="S123" s="594"/>
      <c r="T123" s="523"/>
      <c r="U123" s="594"/>
      <c r="V123" s="594"/>
      <c r="W123" s="594"/>
      <c r="X123" s="594"/>
      <c r="Y123" s="594"/>
      <c r="Z123" s="594"/>
      <c r="AA123" s="594"/>
      <c r="AB123" s="594"/>
      <c r="AC123" s="594"/>
      <c r="AD123" s="594"/>
      <c r="AE123" s="594"/>
      <c r="AF123" s="594"/>
      <c r="AG123" s="594"/>
      <c r="AH123" s="594"/>
      <c r="AI123" s="594"/>
      <c r="AJ123" s="594"/>
      <c r="AK123" s="594"/>
      <c r="AL123" s="594"/>
      <c r="AM123" s="594"/>
      <c r="AN123" s="594"/>
      <c r="AO123" s="598"/>
      <c r="AP123" s="594">
        <v>6</v>
      </c>
      <c r="AQ123" s="594"/>
      <c r="AR123" s="599"/>
      <c r="AS123" s="594"/>
      <c r="AT123" s="594"/>
      <c r="AU123" s="594"/>
      <c r="AV123" s="594"/>
      <c r="AW123" s="594"/>
      <c r="AX123" s="593" t="s">
        <v>139</v>
      </c>
      <c r="AY123" s="598" t="s">
        <v>1195</v>
      </c>
      <c r="AZ123" s="594"/>
      <c r="BA123" s="594"/>
      <c r="BB123" s="594"/>
      <c r="BC123" s="594"/>
      <c r="BD123" s="523"/>
      <c r="BE123" s="593"/>
      <c r="BF123" s="594"/>
      <c r="BG123" s="594"/>
      <c r="BH123" s="594"/>
      <c r="BI123" s="594"/>
      <c r="BJ123" s="594"/>
      <c r="BK123" s="594"/>
      <c r="BL123" s="594"/>
      <c r="BM123" s="594"/>
      <c r="BN123" s="594"/>
      <c r="BO123" s="593" t="s">
        <v>139</v>
      </c>
      <c r="BP123" s="594"/>
      <c r="BQ123" s="599"/>
      <c r="BR123" s="593"/>
      <c r="BS123" s="472"/>
      <c r="BT123" s="472"/>
      <c r="BU123" s="523"/>
      <c r="BV123" s="472"/>
      <c r="BW123" s="523"/>
      <c r="BX123" s="523"/>
      <c r="BY123" s="523"/>
      <c r="BZ123" s="601" t="str">
        <f>IFERROR(WWWW[[#This Row],['#_Water sources passed]]/WWWW[[#This Row],['#_Water sources tested for fecal coliform ]],"no test")</f>
        <v>no test</v>
      </c>
      <c r="CA123" s="599" t="str">
        <f>IFERROR(WWWW[[#This Row],['#_Household passed]]/WWWW[[#This Row],['#_Household water samples tested for fecal coliform]],"no test")</f>
        <v>no test</v>
      </c>
      <c r="CB123" s="600" t="str">
        <f>IF(AND(WWWW[[#This Row],[% of water sources passed]]="no test",WWWW[[#This Row],[% Household passed]]="no test"),"No Test","Tested")</f>
        <v>No Test</v>
      </c>
      <c r="CC123" s="600">
        <f>WWWW[[#This Row],['#_Constructed/existing protected hand dug well]]-WWWW[[#This Row],['#_Non-functional protected hand dug well]]</f>
        <v>0</v>
      </c>
      <c r="CD123" s="600">
        <f>(WWWW[[#This Row],['#_Constructed/Existing tube wells/boreholes/handpumps_WASH_agency]]+WWWW[[#This Row],['#_Non-Cluster partner water tube-wells/boreholes/handpumps]])-WWWW[[#This Row],['#_Non-functional tube wells/boreholes/handpumps]]</f>
        <v>0</v>
      </c>
      <c r="CE123" s="600">
        <f>WWWW[[#This Row],['#_Constructed/Existingwater storage tank with gravity fed reticulation system]]-WWWW[[#This Row],['#_Non-functional storage tank gravity fed reticulation system]]</f>
        <v>0</v>
      </c>
      <c r="CF123" s="478">
        <f>(WWWW[[#This Row],['#_Water_Liters_supplied_by_Water boating or water trucking]]/90)/15</f>
        <v>0</v>
      </c>
      <c r="CG123" s="478">
        <f>WWWW[[#This Row],['#_Water_Liters_from_Constructed/Existing water distribution system from river or natural spring]]/90/15</f>
        <v>0</v>
      </c>
      <c r="CH123" s="478">
        <f>WWWW[[#This Row],['#_of water points in TLS/CFS /THF]]*500</f>
        <v>0</v>
      </c>
      <c r="CI12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3" s="599">
        <f>IF(WWWW[[#This Row],[Location Type 1]]="Village",WWWW[[#This Row],[Access to safe drinking water for Village]],WWWW[[#This Row],[Access to safe drinking water for Camp]])</f>
        <v>0</v>
      </c>
      <c r="CL123" s="597">
        <f>WWWW[[#This Row],[%Equitable and continuous access to sufficient quantity of safe drinking water]]*WWWW[[#This Row],[Total PoP ]]</f>
        <v>0</v>
      </c>
      <c r="CM123" s="599">
        <f>IF((WWWW[[#This Row],['#_Constructed/Existing protected/fenced ponds]]*250)/WWWW[[#This Row],[Total PoP ]]&gt;1,1,(WWWW[[#This Row],['#_Constructed/Existing protected/fenced ponds]]*250)/WWWW[[#This Row],[Total PoP ]])</f>
        <v>0</v>
      </c>
      <c r="CN123" s="597">
        <f>WWWW[[#This Row],[% Access to unimproved water points]]*WWWW[[#This Row],[Total PoP ]]</f>
        <v>0</v>
      </c>
      <c r="CO12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3" s="597">
        <f>WWWW[[#This Row],[HRP1]]/500</f>
        <v>0</v>
      </c>
      <c r="CR123" s="602">
        <f>1-WWWW[[#This Row],[% Equitable and continuous access to sufficient quantity of domestic water]]</f>
        <v>1</v>
      </c>
      <c r="CS123" s="597">
        <f>WWWW[[#This Row],[%equitable and continuous access to sufficient quantity of safe drinking and domestic water''s GAP]]*WWWW[[#This Row],[Total PoP ]]</f>
        <v>27</v>
      </c>
      <c r="CT123" s="600">
        <f>IF(WWWW[[#This Row],[Total required water points]]-WWWW[[#This Row],['#Water points coverage]]&lt;0,0,WWWW[[#This Row],[Total required water points]]-WWWW[[#This Row],['#Water points coverage]])</f>
        <v>1</v>
      </c>
      <c r="CU123" s="600">
        <f>ROUND(IF(WWWW[[#This Row],[Total PoP ]]&lt;500,1,WWWW[[#This Row],[Total PoP ]]/500),0)</f>
        <v>1</v>
      </c>
      <c r="CV123" s="600">
        <f>(WWWW[[#This Row],['#_Constructed latrines_by_WASHAgencies]]+WWWW[[#This Row],['#_Non Cluster partner latrines]])-WWWW[[#This Row],['#_Non-functional latrines]]</f>
        <v>6</v>
      </c>
      <c r="CW123" s="70">
        <f>WWWW[[#This Row],[HRP2]]/WWWW[[#This Row],[Total PoP ]]</f>
        <v>1</v>
      </c>
      <c r="CX12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v>
      </c>
      <c r="CY12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3" s="600">
        <f>IF(WWWW[[#This Row],['# of functional latrines in THF supported by WASH partners during the reporting period2]]="",0,WWWW[[#This Row],['# of functional latrines in THF supported by WASH partners during the reporting period2]]*50)</f>
        <v>0</v>
      </c>
      <c r="DB123" s="600">
        <f>WWWW[[#This Row],['# students access to functioning school latrines_HRP5]]+WWWW[[#This Row],['# People access to functioning latrines in THF_HRP5]]</f>
        <v>0</v>
      </c>
      <c r="DC123" s="600">
        <f>ROUND(IF(WWWW[[#This Row],[Location Type 1]]="camp",WWWW[[#This Row],[Total PoP ]]/20,IF(WWWW[[#This Row],[Location Type 1]]="Temporary Location",WWWW[[#This Row],[Total PoP ]]/50,WWWW[[#This Row],[Total HH]])),0)</f>
        <v>1</v>
      </c>
      <c r="DD123" s="600">
        <f>IF(WWWW[[#This Row],[Total required Latrines]]-(WWWW[[#This Row],['#_Constructed latrines_by_WASHAgencies]]+WWWW[[#This Row],['#_Non Cluster partner latrines]])&lt;0,0,WWWW[[#This Row],[Total required Latrines]]-(WWWW[[#This Row],['#_Constructed latrines_by_WASHAgencies]]+WWWW[[#This Row],['#_Non Cluster partner latrines]]))</f>
        <v>0</v>
      </c>
      <c r="DE123" s="602">
        <f>1-WWWW[[#This Row],[% people access to functioning Latrine]]</f>
        <v>0</v>
      </c>
      <c r="DF123" s="601">
        <f>IF(OR(WWWW[[#This Row],['#_Non-functional latrines]]="",WWWW[[#This Row],['#_Non-functional latrines]]=0),0,WWWW[[#This Row],['#_Non-functional latrines]]/(WWWW[[#This Row],['#_Constructed latrines_by_WASHAgencies]]+WWWW[[#This Row],['#_Non Cluster partner latrines]]))</f>
        <v>0</v>
      </c>
      <c r="DG123" s="597">
        <f>IF(500*(WWWW[[#This Row],['#_male hygiene promoters]]+WWWW[[#This Row],['#_female hygiene promoters]])&gt;WWWW[[#This Row],[Total PoP ]],WWWW[[#This Row],[Total PoP ]],500*(WWWW[[#This Row],['#_male hygiene promoters]]+WWWW[[#This Row],['#_female hygiene promoters]]))</f>
        <v>0</v>
      </c>
      <c r="DH12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3" s="600">
        <f>IF(WWWW[[#This Row],['# People with access to soap]]&gt;WWWW[[#This Row],['# People with access to Sanity Pads]],WWWW[[#This Row],['# People with access to soap]],WWWW[[#This Row],['# People with access to Sanity Pads]])</f>
        <v>0</v>
      </c>
      <c r="DK123"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3" s="602">
        <f>IF(WWWW[[#This Row],[HRP3]]/WWWW[[#This Row],[Total PoP ]]&gt;1,1,WWWW[[#This Row],[HRP3]]/WWWW[[#This Row],[Total PoP ]])</f>
        <v>0</v>
      </c>
      <c r="DM123" s="601">
        <f>1-WWWW[[#This Row],[Hygiene Coverage%]]</f>
        <v>1</v>
      </c>
      <c r="DN123" s="599">
        <f>WWWW[[#This Row],['# people reached by regular dedicated hygiene promotion_5]]/WWWW[[#This Row],[Total PoP ]]</f>
        <v>0</v>
      </c>
      <c r="DO12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3" s="600">
        <f>WWWW[[#This Row],['#_Constructed/Existing hand washing stations]]-WWWW[[#This Row],['#_Non-Functional_hand_washing_stations]]</f>
        <v>0</v>
      </c>
      <c r="DR123" s="597">
        <f>IF(WWWW[[#This Row],['# Functional hand washing stations during reporting period]]*20&gt;WWWW[[#This Row],[Total HH]],WWWW[[#This Row],[Total HH]],WWWW[[#This Row],['# Functional hand washing stations during reporting period]]*20)</f>
        <v>0</v>
      </c>
      <c r="DS123" s="597">
        <f>IF(WWWW[[#This Row],[Is sufficient soap available for TLS? (Yes/No)]]="yes",WWWW[[#This Row],['#_Constructed/Existing hand washing stations at TLS]],0)</f>
        <v>0</v>
      </c>
      <c r="DT123" s="479">
        <f>IF(WWWW[[#This Row],['# Functional hand washing stations during reporting period]]*100&gt;WWWW[[#This Row],[Total PoP ]],WWWW[[#This Row],[Total PoP ]],WWWW[[#This Row],['# Functional hand washing stations during reporting period]]*100)</f>
        <v>0</v>
      </c>
      <c r="DU123" s="479" t="str">
        <f>IF(OR(WWWW[[#This Row],['#_students at TLS_CFS]]="",WWWW[[#This Row],['#_students at TLS_CFS]]=0),"No","Yes")</f>
        <v>Yes</v>
      </c>
      <c r="DV12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3" s="593">
        <f>VLOOKUP(WWWW[[#This Row],[Site Name]],SiteDB6[[Site Name]:[CCCM Management]],6,FALSE)</f>
        <v>0</v>
      </c>
      <c r="DZ123" s="593" t="str">
        <f>VLOOKUP(WWWW[[#This Row],[Site Name]],SiteDB6[[Site Name]:[CCCM Focal Agency]],7,FALSE)</f>
        <v>uncovered</v>
      </c>
      <c r="EA123" s="593" t="str">
        <f>VLOOKUP(WWWW[[#This Row],[Site Name]],SiteDB6[[Site Name]:[Location Type 1]],9,FALSE)</f>
        <v>Camp</v>
      </c>
      <c r="EB123" s="593" t="str">
        <f>VLOOKUP(WWWW[[#This Row],[Site Name]],SiteDB6[[Site Name]:[Type of Accommodation]],10,FALSE)</f>
        <v>Camp like setting</v>
      </c>
      <c r="EC123" s="593" t="str">
        <f>VLOOKUP(WWWW[[#This Row],[Site Name]],SiteDB6[[Site Name]:[Ethnic or GCA/NGCA]],11,FALSE)</f>
        <v>GCA</v>
      </c>
      <c r="ED123" s="593">
        <f>VLOOKUP(WWWW[[#This Row],[Site Name]],SiteDB6[[Site Name]:[Lat]],12,FALSE)</f>
        <v>22.765999999999998</v>
      </c>
      <c r="EE123" s="593">
        <f>VLOOKUP(WWWW[[#This Row],[Site Name]],SiteDB6[[Site Name]:[Long]],13,FALSE)</f>
        <v>97.358999999999995</v>
      </c>
      <c r="EF123" s="593" t="str">
        <f>VLOOKUP(WWWW[[#This Row],[Site Name]],SiteDB6[[Site Name]:[Pcode]],3,FALSE)</f>
        <v>MMR015CMP221</v>
      </c>
      <c r="EG123" s="598" t="str">
        <f t="shared" si="1"/>
        <v>Covered</v>
      </c>
      <c r="EH123" s="598" t="str">
        <f>VLOOKUP(WWWW[[#This Row],[Site Name]],SiteDB6[[Site Name]:[open in cccm?]],2,FALSE)</f>
        <v>cccm_2019OCT</v>
      </c>
    </row>
    <row r="124" spans="1:138" hidden="1">
      <c r="A124" s="591" t="s">
        <v>3261</v>
      </c>
      <c r="B124" s="591" t="s">
        <v>195</v>
      </c>
      <c r="C124" s="592" t="s">
        <v>195</v>
      </c>
      <c r="D124" s="592" t="s">
        <v>3092</v>
      </c>
      <c r="E124" s="592" t="s">
        <v>39</v>
      </c>
      <c r="F124" s="592" t="s">
        <v>217</v>
      </c>
      <c r="G124" s="721" t="str">
        <f>VLOOKUP(WWWW[[#This Row],[Site Name]],SiteDB6[[Site Name]:[Location Type]],8,FALSE)</f>
        <v>Camp</v>
      </c>
      <c r="H124" s="592" t="s">
        <v>218</v>
      </c>
      <c r="I124" s="594">
        <v>48</v>
      </c>
      <c r="J124" s="594">
        <v>285</v>
      </c>
      <c r="K124" s="595">
        <v>43466</v>
      </c>
      <c r="L124" s="596">
        <v>43830</v>
      </c>
      <c r="M124" s="594"/>
      <c r="N124" s="594"/>
      <c r="O124" s="594"/>
      <c r="P124" s="594"/>
      <c r="Q124" s="597" t="s">
        <v>43</v>
      </c>
      <c r="R124" s="594">
        <v>1</v>
      </c>
      <c r="S124" s="594">
        <v>3</v>
      </c>
      <c r="T124" s="523"/>
      <c r="U124" s="594"/>
      <c r="V124" s="594"/>
      <c r="W124" s="594"/>
      <c r="X124" s="594">
        <v>2</v>
      </c>
      <c r="Y124" s="594"/>
      <c r="Z124" s="594"/>
      <c r="AA124" s="594"/>
      <c r="AB124" s="594"/>
      <c r="AC124" s="594"/>
      <c r="AD124" s="594"/>
      <c r="AE124" s="594"/>
      <c r="AF124" s="594"/>
      <c r="AG124" s="594"/>
      <c r="AH124" s="594"/>
      <c r="AI124" s="594"/>
      <c r="AJ124" s="594"/>
      <c r="AK124" s="594"/>
      <c r="AL124" s="594"/>
      <c r="AM124" s="594"/>
      <c r="AN124" s="594"/>
      <c r="AO124" s="598"/>
      <c r="AP124" s="594">
        <v>13</v>
      </c>
      <c r="AQ124" s="594"/>
      <c r="AR124" s="599"/>
      <c r="AS124" s="594"/>
      <c r="AT124" s="594"/>
      <c r="AU124" s="594"/>
      <c r="AV124" s="594"/>
      <c r="AW124" s="594"/>
      <c r="AX124" s="593" t="s">
        <v>43</v>
      </c>
      <c r="AY124" s="598" t="s">
        <v>140</v>
      </c>
      <c r="AZ124" s="594"/>
      <c r="BA124" s="594"/>
      <c r="BB124" s="594"/>
      <c r="BC124" s="594"/>
      <c r="BD124" s="523"/>
      <c r="BE124" s="593"/>
      <c r="BF124" s="594">
        <v>4</v>
      </c>
      <c r="BG124" s="594"/>
      <c r="BH124" s="594"/>
      <c r="BI124" s="594">
        <v>3</v>
      </c>
      <c r="BJ124" s="594"/>
      <c r="BK124" s="594"/>
      <c r="BL124" s="594"/>
      <c r="BM124" s="594"/>
      <c r="BN124" s="594"/>
      <c r="BO124" s="593"/>
      <c r="BP124" s="594"/>
      <c r="BQ124" s="599"/>
      <c r="BR124" s="593"/>
      <c r="BS124" s="472"/>
      <c r="BT124" s="472"/>
      <c r="BU124" s="523"/>
      <c r="BV124" s="472"/>
      <c r="BW124" s="523"/>
      <c r="BX124" s="523"/>
      <c r="BY124" s="523"/>
      <c r="BZ124" s="601" t="str">
        <f>IFERROR(WWWW[[#This Row],['#_Water sources passed]]/WWWW[[#This Row],['#_Water sources tested for fecal coliform ]],"no test")</f>
        <v>no test</v>
      </c>
      <c r="CA124" s="599" t="str">
        <f>IFERROR(WWWW[[#This Row],['#_Household passed]]/WWWW[[#This Row],['#_Household water samples tested for fecal coliform]],"no test")</f>
        <v>no test</v>
      </c>
      <c r="CB124" s="600" t="str">
        <f>IF(AND(WWWW[[#This Row],[% of water sources passed]]="no test",WWWW[[#This Row],[% Household passed]]="no test"),"No Test","Tested")</f>
        <v>No Test</v>
      </c>
      <c r="CC124" s="600">
        <f>WWWW[[#This Row],['#_Constructed/existing protected hand dug well]]-WWWW[[#This Row],['#_Non-functional protected hand dug well]]</f>
        <v>0</v>
      </c>
      <c r="CD124" s="600">
        <f>(WWWW[[#This Row],['#_Constructed/Existing tube wells/boreholes/handpumps_WASH_agency]]+WWWW[[#This Row],['#_Non-Cluster partner water tube-wells/boreholes/handpumps]])-WWWW[[#This Row],['#_Non-functional tube wells/boreholes/handpumps]]</f>
        <v>2</v>
      </c>
      <c r="CE124" s="600">
        <f>WWWW[[#This Row],['#_Constructed/Existingwater storage tank with gravity fed reticulation system]]-WWWW[[#This Row],['#_Non-functional storage tank gravity fed reticulation system]]</f>
        <v>0</v>
      </c>
      <c r="CF124" s="478">
        <f>(WWWW[[#This Row],['#_Water_Liters_supplied_by_Water boating or water trucking]]/90)/15</f>
        <v>0</v>
      </c>
      <c r="CG124" s="478">
        <f>WWWW[[#This Row],['#_Water_Liters_from_Constructed/Existing water distribution system from river or natural spring]]/90/15</f>
        <v>0</v>
      </c>
      <c r="CH124" s="478">
        <f>WWWW[[#This Row],['#_of water points in TLS/CFS /THF]]*500</f>
        <v>0</v>
      </c>
      <c r="CI12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4" s="599">
        <f>IF(WWWW[[#This Row],[Location Type 1]]="Village",WWWW[[#This Row],[Access to safe drinking water for Village]],WWWW[[#This Row],[Access to safe drinking water for Camp]])</f>
        <v>1</v>
      </c>
      <c r="CL124" s="597">
        <f>WWWW[[#This Row],[%Equitable and continuous access to sufficient quantity of safe drinking water]]*WWWW[[#This Row],[Total PoP ]]</f>
        <v>285</v>
      </c>
      <c r="CM124" s="599">
        <f>IF((WWWW[[#This Row],['#_Constructed/Existing protected/fenced ponds]]*250)/WWWW[[#This Row],[Total PoP ]]&gt;1,1,(WWWW[[#This Row],['#_Constructed/Existing protected/fenced ponds]]*250)/WWWW[[#This Row],[Total PoP ]])</f>
        <v>0</v>
      </c>
      <c r="CN124" s="597">
        <f>WWWW[[#This Row],[% Access to unimproved water points]]*WWWW[[#This Row],[Total PoP ]]</f>
        <v>0</v>
      </c>
      <c r="CO12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285</v>
      </c>
      <c r="CQ124" s="597">
        <f>WWWW[[#This Row],[HRP1]]/500</f>
        <v>0.56999999999999995</v>
      </c>
      <c r="CR124" s="602">
        <f>1-WWWW[[#This Row],[% Equitable and continuous access to sufficient quantity of domestic water]]</f>
        <v>0</v>
      </c>
      <c r="CS124" s="597">
        <f>WWWW[[#This Row],[%equitable and continuous access to sufficient quantity of safe drinking and domestic water''s GAP]]*WWWW[[#This Row],[Total PoP ]]</f>
        <v>0</v>
      </c>
      <c r="CT124" s="600">
        <f>IF(WWWW[[#This Row],[Total required water points]]-WWWW[[#This Row],['#Water points coverage]]&lt;0,0,WWWW[[#This Row],[Total required water points]]-WWWW[[#This Row],['#Water points coverage]])</f>
        <v>0.43000000000000005</v>
      </c>
      <c r="CU124" s="600">
        <f>ROUND(IF(WWWW[[#This Row],[Total PoP ]]&lt;500,1,WWWW[[#This Row],[Total PoP ]]/500),0)</f>
        <v>1</v>
      </c>
      <c r="CV124" s="600">
        <f>(WWWW[[#This Row],['#_Constructed latrines_by_WASHAgencies]]+WWWW[[#This Row],['#_Non Cluster partner latrines]])-WWWW[[#This Row],['#_Non-functional latrines]]</f>
        <v>13</v>
      </c>
      <c r="CW124" s="70">
        <f>WWWW[[#This Row],[HRP2]]/WWWW[[#This Row],[Total PoP ]]</f>
        <v>0.91228070175438591</v>
      </c>
      <c r="CX12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12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4" s="600">
        <f>IF(WWWW[[#This Row],['# of functional latrines in THF supported by WASH partners during the reporting period2]]="",0,WWWW[[#This Row],['# of functional latrines in THF supported by WASH partners during the reporting period2]]*50)</f>
        <v>0</v>
      </c>
      <c r="DB124" s="600">
        <f>WWWW[[#This Row],['# students access to functioning school latrines_HRP5]]+WWWW[[#This Row],['# People access to functioning latrines in THF_HRP5]]</f>
        <v>0</v>
      </c>
      <c r="DC124" s="600">
        <f>ROUND(IF(WWWW[[#This Row],[Location Type 1]]="camp",WWWW[[#This Row],[Total PoP ]]/20,IF(WWWW[[#This Row],[Location Type 1]]="Temporary Location",WWWW[[#This Row],[Total PoP ]]/50,WWWW[[#This Row],[Total HH]])),0)</f>
        <v>14</v>
      </c>
      <c r="DD124" s="600">
        <f>IF(WWWW[[#This Row],[Total required Latrines]]-(WWWW[[#This Row],['#_Constructed latrines_by_WASHAgencies]]+WWWW[[#This Row],['#_Non Cluster partner latrines]])&lt;0,0,WWWW[[#This Row],[Total required Latrines]]-(WWWW[[#This Row],['#_Constructed latrines_by_WASHAgencies]]+WWWW[[#This Row],['#_Non Cluster partner latrines]]))</f>
        <v>1</v>
      </c>
      <c r="DE124" s="602">
        <f>1-WWWW[[#This Row],[% people access to functioning Latrine]]</f>
        <v>8.7719298245614086E-2</v>
      </c>
      <c r="DF124" s="601">
        <f>IF(OR(WWWW[[#This Row],['#_Non-functional latrines]]="",WWWW[[#This Row],['#_Non-functional latrines]]=0),0,WWWW[[#This Row],['#_Non-functional latrines]]/(WWWW[[#This Row],['#_Constructed latrines_by_WASHAgencies]]+WWWW[[#This Row],['#_Non Cluster partner latrines]]))</f>
        <v>0</v>
      </c>
      <c r="DG124" s="597">
        <f>IF(500*(WWWW[[#This Row],['#_male hygiene promoters]]+WWWW[[#This Row],['#_female hygiene promoters]])&gt;WWWW[[#This Row],[Total PoP ]],WWWW[[#This Row],[Total PoP ]],500*(WWWW[[#This Row],['#_male hygiene promoters]]+WWWW[[#This Row],['#_female hygiene promoters]]))</f>
        <v>0</v>
      </c>
      <c r="DH12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4" s="600">
        <f>IF(WWWW[[#This Row],['# People with access to soap]]&gt;WWWW[[#This Row],['# People with access to Sanity Pads]],WWWW[[#This Row],['# People with access to soap]],WWWW[[#This Row],['# People with access to Sanity Pads]])</f>
        <v>0</v>
      </c>
      <c r="DK12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4" s="602">
        <f>IF(WWWW[[#This Row],[HRP3]]/WWWW[[#This Row],[Total PoP ]]&gt;1,1,WWWW[[#This Row],[HRP3]]/WWWW[[#This Row],[Total PoP ]])</f>
        <v>0</v>
      </c>
      <c r="DM124" s="601">
        <f>1-WWWW[[#This Row],[Hygiene Coverage%]]</f>
        <v>1</v>
      </c>
      <c r="DN124" s="599">
        <f>WWWW[[#This Row],['# people reached by regular dedicated hygiene promotion_5]]/WWWW[[#This Row],[Total PoP ]]</f>
        <v>0</v>
      </c>
      <c r="DO12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4" s="600">
        <f>WWWW[[#This Row],['#_Constructed/Existing hand washing stations]]-WWWW[[#This Row],['#_Non-Functional_hand_washing_stations]]</f>
        <v>4</v>
      </c>
      <c r="DR124" s="597">
        <f>IF(WWWW[[#This Row],['# Functional hand washing stations during reporting period]]*20&gt;WWWW[[#This Row],[Total HH]],WWWW[[#This Row],[Total HH]],WWWW[[#This Row],['# Functional hand washing stations during reporting period]]*20)</f>
        <v>48</v>
      </c>
      <c r="DS124" s="597">
        <f>IF(WWWW[[#This Row],[Is sufficient soap available for TLS? (Yes/No)]]="yes",WWWW[[#This Row],['#_Constructed/Existing hand washing stations at TLS]],0)</f>
        <v>0</v>
      </c>
      <c r="DT124" s="479">
        <f>IF(WWWW[[#This Row],['# Functional hand washing stations during reporting period]]*100&gt;WWWW[[#This Row],[Total PoP ]],WWWW[[#This Row],[Total PoP ]],WWWW[[#This Row],['# Functional hand washing stations during reporting period]]*100)</f>
        <v>285</v>
      </c>
      <c r="DU124" s="479" t="str">
        <f>IF(OR(WWWW[[#This Row],['#_students at TLS_CFS]]="",WWWW[[#This Row],['#_students at TLS_CFS]]=0),"No","Yes")</f>
        <v>No</v>
      </c>
      <c r="DV12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4" s="593" t="str">
        <f>VLOOKUP(WWWW[[#This Row],[Site Name]],SiteDB6[[Site Name]:[CCCM Management]],6,FALSE)</f>
        <v>Yes</v>
      </c>
      <c r="DZ124" s="593" t="str">
        <f>VLOOKUP(WWWW[[#This Row],[Site Name]],SiteDB6[[Site Name]:[CCCM Focal Agency]],7,FALSE)</f>
        <v>KBC-BMO</v>
      </c>
      <c r="EA124" s="593" t="str">
        <f>VLOOKUP(WWWW[[#This Row],[Site Name]],SiteDB6[[Site Name]:[Location Type 1]],9,FALSE)</f>
        <v>Camp</v>
      </c>
      <c r="EB124" s="593" t="str">
        <f>VLOOKUP(WWWW[[#This Row],[Site Name]],SiteDB6[[Site Name]:[Type of Accommodation]],10,FALSE)</f>
        <v>Camp</v>
      </c>
      <c r="EC124" s="593" t="str">
        <f>VLOOKUP(WWWW[[#This Row],[Site Name]],SiteDB6[[Site Name]:[Ethnic or GCA/NGCA]],11,FALSE)</f>
        <v>GCA</v>
      </c>
      <c r="ED124" s="593">
        <f>VLOOKUP(WWWW[[#This Row],[Site Name]],SiteDB6[[Site Name]:[Lat]],12,FALSE)</f>
        <v>24.200361000000001</v>
      </c>
      <c r="EE124" s="593">
        <f>VLOOKUP(WWWW[[#This Row],[Site Name]],SiteDB6[[Site Name]:[Long]],13,FALSE)</f>
        <v>96.807353000000006</v>
      </c>
      <c r="EF124" s="593" t="str">
        <f>VLOOKUP(WWWW[[#This Row],[Site Name]],SiteDB6[[Site Name]:[Pcode]],3,FALSE)</f>
        <v>MMR001CMP067</v>
      </c>
      <c r="EG124" s="598" t="str">
        <f t="shared" si="1"/>
        <v>Covered</v>
      </c>
      <c r="EH124" s="598" t="str">
        <f>VLOOKUP(WWWW[[#This Row],[Site Name]],SiteDB6[[Site Name]:[open in cccm?]],2,FALSE)</f>
        <v>cccm_2019OCT</v>
      </c>
    </row>
    <row r="125" spans="1:138" hidden="1">
      <c r="A125" s="591" t="s">
        <v>3261</v>
      </c>
      <c r="B125" s="591" t="s">
        <v>195</v>
      </c>
      <c r="C125" s="592" t="s">
        <v>195</v>
      </c>
      <c r="D125" s="592" t="s">
        <v>3092</v>
      </c>
      <c r="E125" s="592" t="s">
        <v>39</v>
      </c>
      <c r="F125" s="592" t="s">
        <v>217</v>
      </c>
      <c r="G125" s="721" t="str">
        <f>VLOOKUP(WWWW[[#This Row],[Site Name]],SiteDB6[[Site Name]:[Location Type]],8,FALSE)</f>
        <v>Camp</v>
      </c>
      <c r="H125" s="592" t="s">
        <v>219</v>
      </c>
      <c r="I125" s="594">
        <v>38</v>
      </c>
      <c r="J125" s="594">
        <v>189</v>
      </c>
      <c r="K125" s="595">
        <v>43466</v>
      </c>
      <c r="L125" s="596">
        <v>43830</v>
      </c>
      <c r="M125" s="594"/>
      <c r="N125" s="594"/>
      <c r="O125" s="594"/>
      <c r="P125" s="594"/>
      <c r="Q125" s="597" t="s">
        <v>43</v>
      </c>
      <c r="R125" s="594">
        <v>1</v>
      </c>
      <c r="S125" s="594">
        <v>5</v>
      </c>
      <c r="T125" s="523"/>
      <c r="U125" s="594"/>
      <c r="V125" s="594"/>
      <c r="W125" s="594"/>
      <c r="X125" s="594">
        <v>1</v>
      </c>
      <c r="Y125" s="594"/>
      <c r="Z125" s="594"/>
      <c r="AA125" s="594"/>
      <c r="AB125" s="594"/>
      <c r="AC125" s="594"/>
      <c r="AD125" s="594"/>
      <c r="AE125" s="594"/>
      <c r="AF125" s="594"/>
      <c r="AG125" s="594"/>
      <c r="AH125" s="594"/>
      <c r="AI125" s="594"/>
      <c r="AJ125" s="594"/>
      <c r="AK125" s="594"/>
      <c r="AL125" s="594"/>
      <c r="AM125" s="594"/>
      <c r="AN125" s="594"/>
      <c r="AO125" s="598"/>
      <c r="AP125" s="594">
        <v>9</v>
      </c>
      <c r="AQ125" s="594"/>
      <c r="AR125" s="599"/>
      <c r="AS125" s="594"/>
      <c r="AT125" s="594"/>
      <c r="AU125" s="594"/>
      <c r="AV125" s="594"/>
      <c r="AW125" s="594"/>
      <c r="AX125" s="593" t="s">
        <v>43</v>
      </c>
      <c r="AY125" s="598" t="s">
        <v>140</v>
      </c>
      <c r="AZ125" s="594"/>
      <c r="BA125" s="594"/>
      <c r="BB125" s="594"/>
      <c r="BC125" s="594"/>
      <c r="BD125" s="523"/>
      <c r="BE125" s="593"/>
      <c r="BF125" s="594">
        <v>0</v>
      </c>
      <c r="BG125" s="594"/>
      <c r="BH125" s="594"/>
      <c r="BI125" s="594">
        <v>2</v>
      </c>
      <c r="BJ125" s="594"/>
      <c r="BK125" s="594"/>
      <c r="BL125" s="594"/>
      <c r="BM125" s="594"/>
      <c r="BN125" s="594"/>
      <c r="BO125" s="593"/>
      <c r="BP125" s="594"/>
      <c r="BQ125" s="599"/>
      <c r="BR125" s="593"/>
      <c r="BS125" s="472"/>
      <c r="BT125" s="472"/>
      <c r="BU125" s="523"/>
      <c r="BV125" s="472"/>
      <c r="BW125" s="523"/>
      <c r="BX125" s="523"/>
      <c r="BY125" s="523"/>
      <c r="BZ125" s="601" t="str">
        <f>IFERROR(WWWW[[#This Row],['#_Water sources passed]]/WWWW[[#This Row],['#_Water sources tested for fecal coliform ]],"no test")</f>
        <v>no test</v>
      </c>
      <c r="CA125" s="599" t="str">
        <f>IFERROR(WWWW[[#This Row],['#_Household passed]]/WWWW[[#This Row],['#_Household water samples tested for fecal coliform]],"no test")</f>
        <v>no test</v>
      </c>
      <c r="CB125" s="600" t="str">
        <f>IF(AND(WWWW[[#This Row],[% of water sources passed]]="no test",WWWW[[#This Row],[% Household passed]]="no test"),"No Test","Tested")</f>
        <v>No Test</v>
      </c>
      <c r="CC125" s="600">
        <f>WWWW[[#This Row],['#_Constructed/existing protected hand dug well]]-WWWW[[#This Row],['#_Non-functional protected hand dug well]]</f>
        <v>0</v>
      </c>
      <c r="CD125" s="600">
        <f>(WWWW[[#This Row],['#_Constructed/Existing tube wells/boreholes/handpumps_WASH_agency]]+WWWW[[#This Row],['#_Non-Cluster partner water tube-wells/boreholes/handpumps]])-WWWW[[#This Row],['#_Non-functional tube wells/boreholes/handpumps]]</f>
        <v>1</v>
      </c>
      <c r="CE125" s="600">
        <f>WWWW[[#This Row],['#_Constructed/Existingwater storage tank with gravity fed reticulation system]]-WWWW[[#This Row],['#_Non-functional storage tank gravity fed reticulation system]]</f>
        <v>0</v>
      </c>
      <c r="CF125" s="478">
        <f>(WWWW[[#This Row],['#_Water_Liters_supplied_by_Water boating or water trucking]]/90)/15</f>
        <v>0</v>
      </c>
      <c r="CG125" s="478">
        <f>WWWW[[#This Row],['#_Water_Liters_from_Constructed/Existing water distribution system from river or natural spring]]/90/15</f>
        <v>0</v>
      </c>
      <c r="CH125" s="478">
        <f>WWWW[[#This Row],['#_of water points in TLS/CFS /THF]]*500</f>
        <v>0</v>
      </c>
      <c r="CI12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5" s="599">
        <f>IF(WWWW[[#This Row],[Location Type 1]]="Village",WWWW[[#This Row],[Access to safe drinking water for Village]],WWWW[[#This Row],[Access to safe drinking water for Camp]])</f>
        <v>1</v>
      </c>
      <c r="CL125" s="597">
        <f>WWWW[[#This Row],[%Equitable and continuous access to sufficient quantity of safe drinking water]]*WWWW[[#This Row],[Total PoP ]]</f>
        <v>189</v>
      </c>
      <c r="CM125" s="599">
        <f>IF((WWWW[[#This Row],['#_Constructed/Existing protected/fenced ponds]]*250)/WWWW[[#This Row],[Total PoP ]]&gt;1,1,(WWWW[[#This Row],['#_Constructed/Existing protected/fenced ponds]]*250)/WWWW[[#This Row],[Total PoP ]])</f>
        <v>0</v>
      </c>
      <c r="CN125" s="597">
        <f>WWWW[[#This Row],[% Access to unimproved water points]]*WWWW[[#This Row],[Total PoP ]]</f>
        <v>0</v>
      </c>
      <c r="CO12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125" s="597">
        <f>WWWW[[#This Row],[HRP1]]/500</f>
        <v>0.378</v>
      </c>
      <c r="CR125" s="602">
        <f>1-WWWW[[#This Row],[% Equitable and continuous access to sufficient quantity of domestic water]]</f>
        <v>0</v>
      </c>
      <c r="CS125" s="597">
        <f>WWWW[[#This Row],[%equitable and continuous access to sufficient quantity of safe drinking and domestic water''s GAP]]*WWWW[[#This Row],[Total PoP ]]</f>
        <v>0</v>
      </c>
      <c r="CT125" s="600">
        <f>IF(WWWW[[#This Row],[Total required water points]]-WWWW[[#This Row],['#Water points coverage]]&lt;0,0,WWWW[[#This Row],[Total required water points]]-WWWW[[#This Row],['#Water points coverage]])</f>
        <v>0.622</v>
      </c>
      <c r="CU125" s="600">
        <f>ROUND(IF(WWWW[[#This Row],[Total PoP ]]&lt;500,1,WWWW[[#This Row],[Total PoP ]]/500),0)</f>
        <v>1</v>
      </c>
      <c r="CV125" s="600">
        <f>(WWWW[[#This Row],['#_Constructed latrines_by_WASHAgencies]]+WWWW[[#This Row],['#_Non Cluster partner latrines]])-WWWW[[#This Row],['#_Non-functional latrines]]</f>
        <v>9</v>
      </c>
      <c r="CW125" s="70">
        <f>WWWW[[#This Row],[HRP2]]/WWWW[[#This Row],[Total PoP ]]</f>
        <v>0.95238095238095233</v>
      </c>
      <c r="CX12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2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5" s="600">
        <f>IF(WWWW[[#This Row],['# of functional latrines in THF supported by WASH partners during the reporting period2]]="",0,WWWW[[#This Row],['# of functional latrines in THF supported by WASH partners during the reporting period2]]*50)</f>
        <v>0</v>
      </c>
      <c r="DB125" s="600">
        <f>WWWW[[#This Row],['# students access to functioning school latrines_HRP5]]+WWWW[[#This Row],['# People access to functioning latrines in THF_HRP5]]</f>
        <v>0</v>
      </c>
      <c r="DC125" s="600">
        <f>ROUND(IF(WWWW[[#This Row],[Location Type 1]]="camp",WWWW[[#This Row],[Total PoP ]]/20,IF(WWWW[[#This Row],[Location Type 1]]="Temporary Location",WWWW[[#This Row],[Total PoP ]]/50,WWWW[[#This Row],[Total HH]])),0)</f>
        <v>9</v>
      </c>
      <c r="DD125" s="600">
        <f>IF(WWWW[[#This Row],[Total required Latrines]]-(WWWW[[#This Row],['#_Constructed latrines_by_WASHAgencies]]+WWWW[[#This Row],['#_Non Cluster partner latrines]])&lt;0,0,WWWW[[#This Row],[Total required Latrines]]-(WWWW[[#This Row],['#_Constructed latrines_by_WASHAgencies]]+WWWW[[#This Row],['#_Non Cluster partner latrines]]))</f>
        <v>0</v>
      </c>
      <c r="DE125" s="602">
        <f>1-WWWW[[#This Row],[% people access to functioning Latrine]]</f>
        <v>4.7619047619047672E-2</v>
      </c>
      <c r="DF125" s="601">
        <f>IF(OR(WWWW[[#This Row],['#_Non-functional latrines]]="",WWWW[[#This Row],['#_Non-functional latrines]]=0),0,WWWW[[#This Row],['#_Non-functional latrines]]/(WWWW[[#This Row],['#_Constructed latrines_by_WASHAgencies]]+WWWW[[#This Row],['#_Non Cluster partner latrines]]))</f>
        <v>0</v>
      </c>
      <c r="DG125" s="597">
        <f>IF(500*(WWWW[[#This Row],['#_male hygiene promoters]]+WWWW[[#This Row],['#_female hygiene promoters]])&gt;WWWW[[#This Row],[Total PoP ]],WWWW[[#This Row],[Total PoP ]],500*(WWWW[[#This Row],['#_male hygiene promoters]]+WWWW[[#This Row],['#_female hygiene promoters]]))</f>
        <v>0</v>
      </c>
      <c r="DH12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5" s="600">
        <f>IF(WWWW[[#This Row],['# People with access to soap]]&gt;WWWW[[#This Row],['# People with access to Sanity Pads]],WWWW[[#This Row],['# People with access to soap]],WWWW[[#This Row],['# People with access to Sanity Pads]])</f>
        <v>0</v>
      </c>
      <c r="DK12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5" s="602">
        <f>IF(WWWW[[#This Row],[HRP3]]/WWWW[[#This Row],[Total PoP ]]&gt;1,1,WWWW[[#This Row],[HRP3]]/WWWW[[#This Row],[Total PoP ]])</f>
        <v>0</v>
      </c>
      <c r="DM125" s="601">
        <f>1-WWWW[[#This Row],[Hygiene Coverage%]]</f>
        <v>1</v>
      </c>
      <c r="DN125" s="599">
        <f>WWWW[[#This Row],['# people reached by regular dedicated hygiene promotion_5]]/WWWW[[#This Row],[Total PoP ]]</f>
        <v>0</v>
      </c>
      <c r="DO12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5" s="600">
        <f>WWWW[[#This Row],['#_Constructed/Existing hand washing stations]]-WWWW[[#This Row],['#_Non-Functional_hand_washing_stations]]</f>
        <v>0</v>
      </c>
      <c r="DR125" s="597">
        <f>IF(WWWW[[#This Row],['# Functional hand washing stations during reporting period]]*20&gt;WWWW[[#This Row],[Total HH]],WWWW[[#This Row],[Total HH]],WWWW[[#This Row],['# Functional hand washing stations during reporting period]]*20)</f>
        <v>0</v>
      </c>
      <c r="DS125" s="597">
        <f>IF(WWWW[[#This Row],[Is sufficient soap available for TLS? (Yes/No)]]="yes",WWWW[[#This Row],['#_Constructed/Existing hand washing stations at TLS]],0)</f>
        <v>0</v>
      </c>
      <c r="DT125" s="479">
        <f>IF(WWWW[[#This Row],['# Functional hand washing stations during reporting period]]*100&gt;WWWW[[#This Row],[Total PoP ]],WWWW[[#This Row],[Total PoP ]],WWWW[[#This Row],['# Functional hand washing stations during reporting period]]*100)</f>
        <v>0</v>
      </c>
      <c r="DU125" s="479" t="str">
        <f>IF(OR(WWWW[[#This Row],['#_students at TLS_CFS]]="",WWWW[[#This Row],['#_students at TLS_CFS]]=0),"No","Yes")</f>
        <v>No</v>
      </c>
      <c r="DV12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5" s="593" t="str">
        <f>VLOOKUP(WWWW[[#This Row],[Site Name]],SiteDB6[[Site Name]:[CCCM Management]],6,FALSE)</f>
        <v>Yes</v>
      </c>
      <c r="DZ125" s="593" t="str">
        <f>VLOOKUP(WWWW[[#This Row],[Site Name]],SiteDB6[[Site Name]:[CCCM Focal Agency]],7,FALSE)</f>
        <v>KMSS-BMO</v>
      </c>
      <c r="EA125" s="593" t="str">
        <f>VLOOKUP(WWWW[[#This Row],[Site Name]],SiteDB6[[Site Name]:[Location Type 1]],9,FALSE)</f>
        <v>Camp</v>
      </c>
      <c r="EB125" s="593" t="str">
        <f>VLOOKUP(WWWW[[#This Row],[Site Name]],SiteDB6[[Site Name]:[Type of Accommodation]],10,FALSE)</f>
        <v>Camp</v>
      </c>
      <c r="EC125" s="593" t="str">
        <f>VLOOKUP(WWWW[[#This Row],[Site Name]],SiteDB6[[Site Name]:[Ethnic or GCA/NGCA]],11,FALSE)</f>
        <v>GCA</v>
      </c>
      <c r="ED125" s="593">
        <f>VLOOKUP(WWWW[[#This Row],[Site Name]],SiteDB6[[Site Name]:[Lat]],12,FALSE)</f>
        <v>24.200367</v>
      </c>
      <c r="EE125" s="593">
        <f>VLOOKUP(WWWW[[#This Row],[Site Name]],SiteDB6[[Site Name]:[Long]],13,FALSE)</f>
        <v>96.807353000000006</v>
      </c>
      <c r="EF125" s="593" t="str">
        <f>VLOOKUP(WWWW[[#This Row],[Site Name]],SiteDB6[[Site Name]:[Pcode]],3,FALSE)</f>
        <v>MMR001CMP068</v>
      </c>
      <c r="EG125" s="598" t="str">
        <f t="shared" si="1"/>
        <v>Covered</v>
      </c>
      <c r="EH125" s="598" t="str">
        <f>VLOOKUP(WWWW[[#This Row],[Site Name]],SiteDB6[[Site Name]:[open in cccm?]],2,FALSE)</f>
        <v>cccm_2019OCT</v>
      </c>
    </row>
    <row r="126" spans="1:138" s="470" customFormat="1" hidden="1">
      <c r="A126" s="591" t="s">
        <v>3261</v>
      </c>
      <c r="B126" s="591" t="s">
        <v>195</v>
      </c>
      <c r="C126" s="592" t="s">
        <v>195</v>
      </c>
      <c r="D126" s="592" t="s">
        <v>3045</v>
      </c>
      <c r="E126" s="592" t="s">
        <v>711</v>
      </c>
      <c r="F126" s="592" t="s">
        <v>730</v>
      </c>
      <c r="G126" s="721" t="str">
        <f>VLOOKUP(WWWW[[#This Row],[Site Name]],SiteDB6[[Site Name]:[Location Type]],8,FALSE)</f>
        <v>Camp</v>
      </c>
      <c r="H126" s="592" t="s">
        <v>760</v>
      </c>
      <c r="I126" s="594">
        <v>38</v>
      </c>
      <c r="J126" s="523">
        <v>183</v>
      </c>
      <c r="K126" s="595" t="s">
        <v>3289</v>
      </c>
      <c r="L126" s="596" t="s">
        <v>3290</v>
      </c>
      <c r="M126" s="594">
        <v>55</v>
      </c>
      <c r="N126" s="594"/>
      <c r="O126" s="594"/>
      <c r="P126" s="594"/>
      <c r="Q126" s="597" t="s">
        <v>43</v>
      </c>
      <c r="R126" s="594">
        <v>4</v>
      </c>
      <c r="S126" s="594"/>
      <c r="T126" s="523">
        <v>1</v>
      </c>
      <c r="U126" s="594"/>
      <c r="V126" s="594"/>
      <c r="W126" s="594">
        <v>1</v>
      </c>
      <c r="X126" s="594"/>
      <c r="Y126" s="594"/>
      <c r="Z126" s="594"/>
      <c r="AA126" s="594">
        <v>13</v>
      </c>
      <c r="AB126" s="594"/>
      <c r="AC126" s="594"/>
      <c r="AD126" s="594"/>
      <c r="AE126" s="594"/>
      <c r="AF126" s="594"/>
      <c r="AG126" s="594">
        <v>1</v>
      </c>
      <c r="AH126" s="594">
        <v>1</v>
      </c>
      <c r="AI126" s="594"/>
      <c r="AJ126" s="594"/>
      <c r="AK126" s="594"/>
      <c r="AL126" s="594"/>
      <c r="AM126" s="594"/>
      <c r="AN126" s="594"/>
      <c r="AO126" s="598"/>
      <c r="AP126" s="594">
        <v>27</v>
      </c>
      <c r="AQ126" s="594">
        <v>9</v>
      </c>
      <c r="AR126" s="599"/>
      <c r="AS126" s="594"/>
      <c r="AT126" s="594"/>
      <c r="AU126" s="594"/>
      <c r="AV126" s="594"/>
      <c r="AW126" s="594"/>
      <c r="AX126" s="593" t="s">
        <v>139</v>
      </c>
      <c r="AY126" s="598" t="s">
        <v>139</v>
      </c>
      <c r="AZ126" s="594"/>
      <c r="BA126" s="594"/>
      <c r="BB126" s="594"/>
      <c r="BC126" s="594"/>
      <c r="BD126" s="523"/>
      <c r="BE126" s="593"/>
      <c r="BF126" s="594"/>
      <c r="BG126" s="594"/>
      <c r="BH126" s="594"/>
      <c r="BI126" s="594"/>
      <c r="BJ126" s="594"/>
      <c r="BK126" s="594"/>
      <c r="BL126" s="594">
        <v>1</v>
      </c>
      <c r="BM126" s="594"/>
      <c r="BN126" s="594"/>
      <c r="BO126" s="593"/>
      <c r="BP126" s="594"/>
      <c r="BQ126" s="599"/>
      <c r="BR126" s="593"/>
      <c r="BS126" s="472"/>
      <c r="BT126" s="472"/>
      <c r="BU126" s="523"/>
      <c r="BV126" s="472"/>
      <c r="BW126" s="523"/>
      <c r="BX126" s="523"/>
      <c r="BY126" s="523"/>
      <c r="BZ126" s="601" t="str">
        <f>IFERROR(WWWW[[#This Row],['#_Water sources passed]]/WWWW[[#This Row],['#_Water sources tested for fecal coliform ]],"no test")</f>
        <v>no test</v>
      </c>
      <c r="CA126" s="599" t="str">
        <f>IFERROR(WWWW[[#This Row],['#_Household passed]]/WWWW[[#This Row],['#_Household water samples tested for fecal coliform]],"no test")</f>
        <v>no test</v>
      </c>
      <c r="CB126" s="600" t="str">
        <f>IF(AND(WWWW[[#This Row],[% of water sources passed]]="no test",WWWW[[#This Row],[% Household passed]]="no test"),"No Test","Tested")</f>
        <v>No Test</v>
      </c>
      <c r="CC126" s="600">
        <f>WWWW[[#This Row],['#_Constructed/existing protected hand dug well]]-WWWW[[#This Row],['#_Non-functional protected hand dug well]]</f>
        <v>1</v>
      </c>
      <c r="CD126" s="600">
        <f>(WWWW[[#This Row],['#_Constructed/Existing tube wells/boreholes/handpumps_WASH_agency]]+WWWW[[#This Row],['#_Non-Cluster partner water tube-wells/boreholes/handpumps]])-WWWW[[#This Row],['#_Non-functional tube wells/boreholes/handpumps]]</f>
        <v>1</v>
      </c>
      <c r="CE126" s="600">
        <f>WWWW[[#This Row],['#_Constructed/Existingwater storage tank with gravity fed reticulation system]]-WWWW[[#This Row],['#_Non-functional storage tank gravity fed reticulation system]]</f>
        <v>13</v>
      </c>
      <c r="CF126" s="478">
        <f>(WWWW[[#This Row],['#_Water_Liters_supplied_by_Water boating or water trucking]]/90)/15</f>
        <v>0</v>
      </c>
      <c r="CG126" s="478">
        <f>WWWW[[#This Row],['#_Water_Liters_from_Constructed/Existing water distribution system from river or natural spring]]/90/15</f>
        <v>0</v>
      </c>
      <c r="CH126" s="478">
        <f>WWWW[[#This Row],['#_of water points in TLS/CFS /THF]]*500</f>
        <v>0</v>
      </c>
      <c r="CI12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2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26" s="599">
        <f>IF(WWWW[[#This Row],[Location Type 1]]="Village",WWWW[[#This Row],[Access to safe drinking water for Village]],WWWW[[#This Row],[Access to safe drinking water for Camp]])</f>
        <v>1</v>
      </c>
      <c r="CL126" s="597">
        <f>WWWW[[#This Row],[%Equitable and continuous access to sufficient quantity of safe drinking water]]*WWWW[[#This Row],[Total PoP ]]</f>
        <v>183</v>
      </c>
      <c r="CM126" s="599">
        <f>IF((WWWW[[#This Row],['#_Constructed/Existing protected/fenced ponds]]*250)/WWWW[[#This Row],[Total PoP ]]&gt;1,1,(WWWW[[#This Row],['#_Constructed/Existing protected/fenced ponds]]*250)/WWWW[[#This Row],[Total PoP ]])</f>
        <v>0</v>
      </c>
      <c r="CN126" s="597">
        <f>WWWW[[#This Row],[% Access to unimproved water points]]*WWWW[[#This Row],[Total PoP ]]</f>
        <v>0</v>
      </c>
      <c r="CO12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2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Q126" s="597">
        <f>WWWW[[#This Row],[HRP1]]/500</f>
        <v>0.36599999999999999</v>
      </c>
      <c r="CR126" s="602">
        <f>1-WWWW[[#This Row],[% Equitable and continuous access to sufficient quantity of domestic water]]</f>
        <v>0</v>
      </c>
      <c r="CS126" s="597">
        <f>WWWW[[#This Row],[%equitable and continuous access to sufficient quantity of safe drinking and domestic water''s GAP]]*WWWW[[#This Row],[Total PoP ]]</f>
        <v>0</v>
      </c>
      <c r="CT126" s="600">
        <f>IF(WWWW[[#This Row],[Total required water points]]-WWWW[[#This Row],['#Water points coverage]]&lt;0,0,WWWW[[#This Row],[Total required water points]]-WWWW[[#This Row],['#Water points coverage]])</f>
        <v>0.63400000000000001</v>
      </c>
      <c r="CU126" s="600">
        <f>ROUND(IF(WWWW[[#This Row],[Total PoP ]]&lt;500,1,WWWW[[#This Row],[Total PoP ]]/500),0)</f>
        <v>1</v>
      </c>
      <c r="CV126" s="600">
        <f>(WWWW[[#This Row],['#_Constructed latrines_by_WASHAgencies]]+WWWW[[#This Row],['#_Non Cluster partner latrines]])-WWWW[[#This Row],['#_Non-functional latrines]]</f>
        <v>36</v>
      </c>
      <c r="CW126" s="70">
        <f>WWWW[[#This Row],[HRP2]]/WWWW[[#This Row],[Total PoP ]]</f>
        <v>1</v>
      </c>
      <c r="CX12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183</v>
      </c>
      <c r="CY12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6" s="600">
        <f>IF(WWWW[[#This Row],['# of functional latrines in THF supported by WASH partners during the reporting period2]]="",0,WWWW[[#This Row],['# of functional latrines in THF supported by WASH partners during the reporting period2]]*50)</f>
        <v>0</v>
      </c>
      <c r="DB126" s="600">
        <f>WWWW[[#This Row],['# students access to functioning school latrines_HRP5]]+WWWW[[#This Row],['# People access to functioning latrines in THF_HRP5]]</f>
        <v>0</v>
      </c>
      <c r="DC126" s="600">
        <f>ROUND(IF(WWWW[[#This Row],[Location Type 1]]="camp",WWWW[[#This Row],[Total PoP ]]/20,IF(WWWW[[#This Row],[Location Type 1]]="Temporary Location",WWWW[[#This Row],[Total PoP ]]/50,WWWW[[#This Row],[Total HH]])),0)</f>
        <v>9</v>
      </c>
      <c r="DD126" s="600">
        <f>IF(WWWW[[#This Row],[Total required Latrines]]-(WWWW[[#This Row],['#_Constructed latrines_by_WASHAgencies]]+WWWW[[#This Row],['#_Non Cluster partner latrines]])&lt;0,0,WWWW[[#This Row],[Total required Latrines]]-(WWWW[[#This Row],['#_Constructed latrines_by_WASHAgencies]]+WWWW[[#This Row],['#_Non Cluster partner latrines]]))</f>
        <v>0</v>
      </c>
      <c r="DE126" s="602">
        <f>1-WWWW[[#This Row],[% people access to functioning Latrine]]</f>
        <v>0</v>
      </c>
      <c r="DF126" s="601">
        <f>IF(OR(WWWW[[#This Row],['#_Non-functional latrines]]="",WWWW[[#This Row],['#_Non-functional latrines]]=0),0,WWWW[[#This Row],['#_Non-functional latrines]]/(WWWW[[#This Row],['#_Constructed latrines_by_WASHAgencies]]+WWWW[[#This Row],['#_Non Cluster partner latrines]]))</f>
        <v>0</v>
      </c>
      <c r="DG126" s="597">
        <f>IF(500*(WWWW[[#This Row],['#_male hygiene promoters]]+WWWW[[#This Row],['#_female hygiene promoters]])&gt;WWWW[[#This Row],[Total PoP ]],WWWW[[#This Row],[Total PoP ]],500*(WWWW[[#This Row],['#_male hygiene promoters]]+WWWW[[#This Row],['#_female hygiene promoters]]))</f>
        <v>183</v>
      </c>
      <c r="DH12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6" s="600">
        <f>IF(WWWW[[#This Row],['# People with access to soap]]&gt;WWWW[[#This Row],['# People with access to Sanity Pads]],WWWW[[#This Row],['# People with access to soap]],WWWW[[#This Row],['# People with access to Sanity Pads]])</f>
        <v>0</v>
      </c>
      <c r="DK126" s="600">
        <f>IF(WWWW[[#This Row],['# people reached by regular dedicated hygiene promotion_5]]&gt;WWWW[[#This Row],['# People received regular supply of hygiene items_6]],WWWW[[#This Row],['# people reached by regular dedicated hygiene promotion_5]],WWWW[[#This Row],['# People received regular supply of hygiene items_6]])</f>
        <v>183</v>
      </c>
      <c r="DL126" s="602">
        <f>IF(WWWW[[#This Row],[HRP3]]/WWWW[[#This Row],[Total PoP ]]&gt;1,1,WWWW[[#This Row],[HRP3]]/WWWW[[#This Row],[Total PoP ]])</f>
        <v>1</v>
      </c>
      <c r="DM126" s="601">
        <f>1-WWWW[[#This Row],[Hygiene Coverage%]]</f>
        <v>0</v>
      </c>
      <c r="DN126" s="599">
        <f>WWWW[[#This Row],['# people reached by regular dedicated hygiene promotion_5]]/WWWW[[#This Row],[Total PoP ]]</f>
        <v>1</v>
      </c>
      <c r="DO12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6" s="600">
        <f>WWWW[[#This Row],['#_Constructed/Existing hand washing stations]]-WWWW[[#This Row],['#_Non-Functional_hand_washing_stations]]</f>
        <v>0</v>
      </c>
      <c r="DR126" s="597">
        <f>IF(WWWW[[#This Row],['# Functional hand washing stations during reporting period]]*20&gt;WWWW[[#This Row],[Total HH]],WWWW[[#This Row],[Total HH]],WWWW[[#This Row],['# Functional hand washing stations during reporting period]]*20)</f>
        <v>0</v>
      </c>
      <c r="DS126" s="597">
        <f>IF(WWWW[[#This Row],[Is sufficient soap available for TLS? (Yes/No)]]="yes",WWWW[[#This Row],['#_Constructed/Existing hand washing stations at TLS]],0)</f>
        <v>0</v>
      </c>
      <c r="DT126" s="479">
        <f>IF(WWWW[[#This Row],['# Functional hand washing stations during reporting period]]*100&gt;WWWW[[#This Row],[Total PoP ]],WWWW[[#This Row],[Total PoP ]],WWWW[[#This Row],['# Functional hand washing stations during reporting period]]*100)</f>
        <v>0</v>
      </c>
      <c r="DU126" s="479" t="str">
        <f>IF(OR(WWWW[[#This Row],['#_students at TLS_CFS]]="",WWWW[[#This Row],['#_students at TLS_CFS]]=0),"No","Yes")</f>
        <v>Yes</v>
      </c>
      <c r="DV12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6" s="593">
        <f>VLOOKUP(WWWW[[#This Row],[Site Name]],SiteDB6[[Site Name]:[CCCM Management]],6,FALSE)</f>
        <v>0</v>
      </c>
      <c r="DZ126" s="593">
        <f>VLOOKUP(WWWW[[#This Row],[Site Name]],SiteDB6[[Site Name]:[CCCM Focal Agency]],7,FALSE)</f>
        <v>0</v>
      </c>
      <c r="EA126" s="593" t="str">
        <f>VLOOKUP(WWWW[[#This Row],[Site Name]],SiteDB6[[Site Name]:[Location Type 1]],9,FALSE)</f>
        <v>Camp</v>
      </c>
      <c r="EB126" s="593" t="str">
        <f>VLOOKUP(WWWW[[#This Row],[Site Name]],SiteDB6[[Site Name]:[Type of Accommodation]],10,FALSE)</f>
        <v>Closed Camp</v>
      </c>
      <c r="EC126" s="593" t="str">
        <f>VLOOKUP(WWWW[[#This Row],[Site Name]],SiteDB6[[Site Name]:[Ethnic or GCA/NGCA]],11,FALSE)</f>
        <v>GCA</v>
      </c>
      <c r="ED126" s="593">
        <f>VLOOKUP(WWWW[[#This Row],[Site Name]],SiteDB6[[Site Name]:[Lat]],12,FALSE)</f>
        <v>23.353999999999999</v>
      </c>
      <c r="EE126" s="593">
        <f>VLOOKUP(WWWW[[#This Row],[Site Name]],SiteDB6[[Site Name]:[Long]],13,FALSE)</f>
        <v>98.221000000000004</v>
      </c>
      <c r="EF126" s="593" t="str">
        <f>VLOOKUP(WWWW[[#This Row],[Site Name]],SiteDB6[[Site Name]:[Pcode]],3,FALSE)</f>
        <v>MMR015CMP226</v>
      </c>
      <c r="EG126" s="598" t="str">
        <f t="shared" si="1"/>
        <v>Covered</v>
      </c>
      <c r="EH126" s="598" t="str">
        <f>VLOOKUP(WWWW[[#This Row],[Site Name]],SiteDB6[[Site Name]:[open in cccm?]],2,FALSE)</f>
        <v>closed_cccm2018Mar</v>
      </c>
    </row>
    <row r="127" spans="1:138" s="470" customFormat="1" hidden="1">
      <c r="A127" s="591" t="s">
        <v>3261</v>
      </c>
      <c r="B127" s="591" t="s">
        <v>195</v>
      </c>
      <c r="C127" s="592" t="s">
        <v>195</v>
      </c>
      <c r="D127" s="592" t="s">
        <v>3037</v>
      </c>
      <c r="E127" s="592" t="s">
        <v>39</v>
      </c>
      <c r="F127" s="592" t="s">
        <v>145</v>
      </c>
      <c r="G127" s="721" t="str">
        <f>VLOOKUP(WWWW[[#This Row],[Site Name]],SiteDB6[[Site Name]:[Location Type]],8,FALSE)</f>
        <v>Camp</v>
      </c>
      <c r="H127" s="592" t="s">
        <v>224</v>
      </c>
      <c r="I127" s="594">
        <v>1230</v>
      </c>
      <c r="J127" s="594">
        <v>6501</v>
      </c>
      <c r="K127" s="595">
        <v>43374</v>
      </c>
      <c r="L127" s="596">
        <v>43738</v>
      </c>
      <c r="M127" s="594">
        <v>427</v>
      </c>
      <c r="N127" s="594"/>
      <c r="O127" s="594"/>
      <c r="P127" s="594">
        <v>0</v>
      </c>
      <c r="Q127" s="597" t="s">
        <v>43</v>
      </c>
      <c r="R127" s="594">
        <v>3</v>
      </c>
      <c r="S127" s="594">
        <v>4</v>
      </c>
      <c r="T127" s="523"/>
      <c r="U127" s="594"/>
      <c r="V127" s="594"/>
      <c r="W127" s="594"/>
      <c r="X127" s="594"/>
      <c r="Y127" s="594"/>
      <c r="Z127" s="594"/>
      <c r="AA127" s="594">
        <v>3</v>
      </c>
      <c r="AB127" s="594"/>
      <c r="AC127" s="594"/>
      <c r="AD127" s="594"/>
      <c r="AE127" s="594"/>
      <c r="AF127" s="594">
        <v>358250</v>
      </c>
      <c r="AG127" s="594"/>
      <c r="AH127" s="594"/>
      <c r="AI127" s="594"/>
      <c r="AJ127" s="594"/>
      <c r="AK127" s="594"/>
      <c r="AL127" s="594"/>
      <c r="AM127" s="594"/>
      <c r="AN127" s="594">
        <v>3</v>
      </c>
      <c r="AO127" s="598"/>
      <c r="AP127" s="594">
        <v>225</v>
      </c>
      <c r="AQ127" s="594"/>
      <c r="AR127" s="599"/>
      <c r="AS127" s="594"/>
      <c r="AT127" s="594"/>
      <c r="AU127" s="594"/>
      <c r="AV127" s="594"/>
      <c r="AW127" s="594"/>
      <c r="AX127" s="593" t="s">
        <v>43</v>
      </c>
      <c r="AY127" s="598" t="s">
        <v>140</v>
      </c>
      <c r="AZ127" s="594">
        <v>2</v>
      </c>
      <c r="BA127" s="594">
        <v>2</v>
      </c>
      <c r="BB127" s="594">
        <v>8</v>
      </c>
      <c r="BC127" s="594"/>
      <c r="BD127" s="523"/>
      <c r="BE127" s="593"/>
      <c r="BF127" s="594">
        <v>50</v>
      </c>
      <c r="BG127" s="594"/>
      <c r="BH127" s="594"/>
      <c r="BI127" s="594">
        <v>22</v>
      </c>
      <c r="BJ127" s="594"/>
      <c r="BK127" s="594"/>
      <c r="BL127" s="594">
        <v>6</v>
      </c>
      <c r="BM127" s="594"/>
      <c r="BN127" s="594"/>
      <c r="BO127" s="593" t="s">
        <v>43</v>
      </c>
      <c r="BP127" s="594"/>
      <c r="BQ127" s="599"/>
      <c r="BR127" s="593"/>
      <c r="BS127" s="472"/>
      <c r="BT127" s="472"/>
      <c r="BU127" s="523"/>
      <c r="BV127" s="472"/>
      <c r="BW127" s="523"/>
      <c r="BX127" s="523"/>
      <c r="BY127" s="523"/>
      <c r="BZ127" s="601" t="str">
        <f>IFERROR(WWWW[[#This Row],['#_Water sources passed]]/WWWW[[#This Row],['#_Water sources tested for fecal coliform ]],"no test")</f>
        <v>no test</v>
      </c>
      <c r="CA127" s="599" t="str">
        <f>IFERROR(WWWW[[#This Row],['#_Household passed]]/WWWW[[#This Row],['#_Household water samples tested for fecal coliform]],"no test")</f>
        <v>no test</v>
      </c>
      <c r="CB127" s="600" t="str">
        <f>IF(AND(WWWW[[#This Row],[% of water sources passed]]="no test",WWWW[[#This Row],[% Household passed]]="no test"),"No Test","Tested")</f>
        <v>No Test</v>
      </c>
      <c r="CC127" s="600">
        <f>WWWW[[#This Row],['#_Constructed/existing protected hand dug well]]-WWWW[[#This Row],['#_Non-functional protected hand dug well]]</f>
        <v>0</v>
      </c>
      <c r="CD127" s="600">
        <f>(WWWW[[#This Row],['#_Constructed/Existing tube wells/boreholes/handpumps_WASH_agency]]+WWWW[[#This Row],['#_Non-Cluster partner water tube-wells/boreholes/handpumps]])-WWWW[[#This Row],['#_Non-functional tube wells/boreholes/handpumps]]</f>
        <v>0</v>
      </c>
      <c r="CE127" s="600">
        <f>WWWW[[#This Row],['#_Constructed/Existingwater storage tank with gravity fed reticulation system]]-WWWW[[#This Row],['#_Non-functional storage tank gravity fed reticulation system]]</f>
        <v>3</v>
      </c>
      <c r="CF127" s="478">
        <f>(WWWW[[#This Row],['#_Water_Liters_supplied_by_Water boating or water trucking]]/90)/15</f>
        <v>0</v>
      </c>
      <c r="CG127" s="478">
        <f>WWWW[[#This Row],['#_Water_Liters_from_Constructed/Existing water distribution system from river or natural spring]]/90/15</f>
        <v>265.37037037037038</v>
      </c>
      <c r="CH127" s="478">
        <f>WWWW[[#This Row],['#_of water points in TLS/CFS /THF]]*500</f>
        <v>1500</v>
      </c>
      <c r="CI12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7.1584428606425221E-2</v>
      </c>
      <c r="CJ12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7.1584428606425221E-2</v>
      </c>
      <c r="CK127" s="599">
        <f>IF(WWWW[[#This Row],[Location Type 1]]="Village",WWWW[[#This Row],[Access to safe drinking water for Village]],WWWW[[#This Row],[Access to safe drinking water for Camp]])</f>
        <v>7.1584428606425221E-2</v>
      </c>
      <c r="CL127" s="597">
        <f>WWWW[[#This Row],[%Equitable and continuous access to sufficient quantity of safe drinking water]]*WWWW[[#This Row],[Total PoP ]]</f>
        <v>465.37037037037038</v>
      </c>
      <c r="CM127" s="599">
        <f>IF((WWWW[[#This Row],['#_Constructed/Existing protected/fenced ponds]]*250)/WWWW[[#This Row],[Total PoP ]]&gt;1,1,(WWWW[[#This Row],['#_Constructed/Existing protected/fenced ponds]]*250)/WWWW[[#This Row],[Total PoP ]])</f>
        <v>0</v>
      </c>
      <c r="CN127" s="597">
        <f>WWWW[[#This Row],[% Access to unimproved water points]]*WWWW[[#This Row],[Total PoP ]]</f>
        <v>0</v>
      </c>
      <c r="CO12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7.1584428606425221E-2</v>
      </c>
      <c r="CP12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465.37037037037038</v>
      </c>
      <c r="CQ127" s="597">
        <f>WWWW[[#This Row],[HRP1]]/500</f>
        <v>0.93074074074074076</v>
      </c>
      <c r="CR127" s="602">
        <f>1-WWWW[[#This Row],[% Equitable and continuous access to sufficient quantity of domestic water]]</f>
        <v>0.92841557139357478</v>
      </c>
      <c r="CS127" s="597">
        <f>WWWW[[#This Row],[%equitable and continuous access to sufficient quantity of safe drinking and domestic water''s GAP]]*WWWW[[#This Row],[Total PoP ]]</f>
        <v>6035.6296296296296</v>
      </c>
      <c r="CT127" s="600">
        <f>IF(WWWW[[#This Row],[Total required water points]]-WWWW[[#This Row],['#Water points coverage]]&lt;0,0,WWWW[[#This Row],[Total required water points]]-WWWW[[#This Row],['#Water points coverage]])</f>
        <v>12.06925925925926</v>
      </c>
      <c r="CU127" s="600">
        <f>ROUND(IF(WWWW[[#This Row],[Total PoP ]]&lt;500,1,WWWW[[#This Row],[Total PoP ]]/500),0)</f>
        <v>13</v>
      </c>
      <c r="CV127" s="600">
        <f>(WWWW[[#This Row],['#_Constructed latrines_by_WASHAgencies]]+WWWW[[#This Row],['#_Non Cluster partner latrines]])-WWWW[[#This Row],['#_Non-functional latrines]]</f>
        <v>225</v>
      </c>
      <c r="CW127" s="70">
        <f>WWWW[[#This Row],[HRP2]]/WWWW[[#This Row],[Total PoP ]]</f>
        <v>0.6983540993693278</v>
      </c>
      <c r="CX12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4540</v>
      </c>
      <c r="CY12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400</v>
      </c>
      <c r="DA127" s="600">
        <f>IF(WWWW[[#This Row],['# of functional latrines in THF supported by WASH partners during the reporting period2]]="",0,WWWW[[#This Row],['# of functional latrines in THF supported by WASH partners during the reporting period2]]*50)</f>
        <v>0</v>
      </c>
      <c r="DB127" s="600">
        <f>WWWW[[#This Row],['# students access to functioning school latrines_HRP5]]+WWWW[[#This Row],['# People access to functioning latrines in THF_HRP5]]</f>
        <v>400</v>
      </c>
      <c r="DC127" s="600">
        <f>ROUND(IF(WWWW[[#This Row],[Location Type 1]]="camp",WWWW[[#This Row],[Total PoP ]]/20,IF(WWWW[[#This Row],[Location Type 1]]="Temporary Location",WWWW[[#This Row],[Total PoP ]]/50,WWWW[[#This Row],[Total HH]])),0)</f>
        <v>325</v>
      </c>
      <c r="DD127" s="600">
        <f>IF(WWWW[[#This Row],[Total required Latrines]]-(WWWW[[#This Row],['#_Constructed latrines_by_WASHAgencies]]+WWWW[[#This Row],['#_Non Cluster partner latrines]])&lt;0,0,WWWW[[#This Row],[Total required Latrines]]-(WWWW[[#This Row],['#_Constructed latrines_by_WASHAgencies]]+WWWW[[#This Row],['#_Non Cluster partner latrines]]))</f>
        <v>100</v>
      </c>
      <c r="DE127" s="602">
        <f>1-WWWW[[#This Row],[% people access to functioning Latrine]]</f>
        <v>0.3016459006306722</v>
      </c>
      <c r="DF127" s="601">
        <f>IF(OR(WWWW[[#This Row],['#_Non-functional latrines]]="",WWWW[[#This Row],['#_Non-functional latrines]]=0),0,WWWW[[#This Row],['#_Non-functional latrines]]/(WWWW[[#This Row],['#_Constructed latrines_by_WASHAgencies]]+WWWW[[#This Row],['#_Non Cluster partner latrines]]))</f>
        <v>0</v>
      </c>
      <c r="DG127" s="597">
        <f>IF(500*(WWWW[[#This Row],['#_male hygiene promoters]]+WWWW[[#This Row],['#_female hygiene promoters]])&gt;WWWW[[#This Row],[Total PoP ]],WWWW[[#This Row],[Total PoP ]],500*(WWWW[[#This Row],['#_male hygiene promoters]]+WWWW[[#This Row],['#_female hygiene promoters]]))</f>
        <v>3000</v>
      </c>
      <c r="DH12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7" s="600">
        <f>IF(WWWW[[#This Row],['# People with access to soap]]&gt;WWWW[[#This Row],['# People with access to Sanity Pads]],WWWW[[#This Row],['# People with access to soap]],WWWW[[#This Row],['# People with access to Sanity Pads]])</f>
        <v>0</v>
      </c>
      <c r="DK127" s="600">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L127" s="602">
        <f>IF(WWWW[[#This Row],[HRP3]]/WWWW[[#This Row],[Total PoP ]]&gt;1,1,WWWW[[#This Row],[HRP3]]/WWWW[[#This Row],[Total PoP ]])</f>
        <v>0.46146746654360865</v>
      </c>
      <c r="DM127" s="601">
        <f>1-WWWW[[#This Row],[Hygiene Coverage%]]</f>
        <v>0.53853253345639129</v>
      </c>
      <c r="DN127" s="599">
        <f>WWWW[[#This Row],['# people reached by regular dedicated hygiene promotion_5]]/WWWW[[#This Row],[Total PoP ]]</f>
        <v>0.46146746654360865</v>
      </c>
      <c r="DO12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7" s="600">
        <f>WWWW[[#This Row],['#_Constructed/Existing hand washing stations]]-WWWW[[#This Row],['#_Non-Functional_hand_washing_stations]]</f>
        <v>50</v>
      </c>
      <c r="DR127" s="597">
        <f>IF(WWWW[[#This Row],['# Functional hand washing stations during reporting period]]*20&gt;WWWW[[#This Row],[Total HH]],WWWW[[#This Row],[Total HH]],WWWW[[#This Row],['# Functional hand washing stations during reporting period]]*20)</f>
        <v>1000</v>
      </c>
      <c r="DS127" s="597">
        <f>IF(WWWW[[#This Row],[Is sufficient soap available for TLS? (Yes/No)]]="yes",WWWW[[#This Row],['#_Constructed/Existing hand washing stations at TLS]],0)</f>
        <v>0</v>
      </c>
      <c r="DT127" s="479">
        <f>IF(WWWW[[#This Row],['# Functional hand washing stations during reporting period]]*100&gt;WWWW[[#This Row],[Total PoP ]],WWWW[[#This Row],[Total PoP ]],WWWW[[#This Row],['# Functional hand washing stations during reporting period]]*100)</f>
        <v>5000</v>
      </c>
      <c r="DU127" s="479" t="str">
        <f>IF(OR(WWWW[[#This Row],['#_students at TLS_CFS]]="",WWWW[[#This Row],['#_students at TLS_CFS]]=0),"No","Yes")</f>
        <v>Yes</v>
      </c>
      <c r="DV12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127" s="593" t="str">
        <f>VLOOKUP(WWWW[[#This Row],[Site Name]],SiteDB6[[Site Name]:[CCCM Management]],6,FALSE)</f>
        <v>Yes</v>
      </c>
      <c r="DZ127" s="593" t="str">
        <f>VLOOKUP(WWWW[[#This Row],[Site Name]],SiteDB6[[Site Name]:[CCCM Focal Agency]],7,FALSE)</f>
        <v>KMSS-MYT</v>
      </c>
      <c r="EA127" s="593" t="str">
        <f>VLOOKUP(WWWW[[#This Row],[Site Name]],SiteDB6[[Site Name]:[Location Type 1]],9,FALSE)</f>
        <v>Camp</v>
      </c>
      <c r="EB127" s="593" t="str">
        <f>VLOOKUP(WWWW[[#This Row],[Site Name]],SiteDB6[[Site Name]:[Type of Accommodation]],10,FALSE)</f>
        <v>Camp</v>
      </c>
      <c r="EC127" s="593" t="str">
        <f>VLOOKUP(WWWW[[#This Row],[Site Name]],SiteDB6[[Site Name]:[Ethnic or GCA/NGCA]],11,FALSE)</f>
        <v>NGCA</v>
      </c>
      <c r="ED127" s="593">
        <f>VLOOKUP(WWWW[[#This Row],[Site Name]],SiteDB6[[Site Name]:[Lat]],12,FALSE)</f>
        <v>24.755253</v>
      </c>
      <c r="EE127" s="593">
        <f>VLOOKUP(WWWW[[#This Row],[Site Name]],SiteDB6[[Site Name]:[Long]],13,FALSE)</f>
        <v>97.546893999999995</v>
      </c>
      <c r="EF127" s="593" t="str">
        <f>VLOOKUP(WWWW[[#This Row],[Site Name]],SiteDB6[[Site Name]:[Pcode]],3,FALSE)</f>
        <v>MMR001CMP116</v>
      </c>
      <c r="EG127" s="598" t="str">
        <f t="shared" si="1"/>
        <v>Covered</v>
      </c>
      <c r="EH127" s="598" t="str">
        <f>VLOOKUP(WWWW[[#This Row],[Site Name]],SiteDB6[[Site Name]:[open in cccm?]],2,FALSE)</f>
        <v>cccm_2019OCT</v>
      </c>
    </row>
    <row r="128" spans="1:138" s="470" customFormat="1" hidden="1">
      <c r="A128" s="591" t="s">
        <v>3261</v>
      </c>
      <c r="B128" s="591" t="s">
        <v>195</v>
      </c>
      <c r="C128" s="592" t="s">
        <v>195</v>
      </c>
      <c r="D128" s="592" t="s">
        <v>221</v>
      </c>
      <c r="E128" s="592" t="s">
        <v>39</v>
      </c>
      <c r="F128" s="592" t="s">
        <v>145</v>
      </c>
      <c r="G128" s="721" t="str">
        <f>VLOOKUP(WWWW[[#This Row],[Site Name]],SiteDB6[[Site Name]:[Location Type]],8,FALSE)</f>
        <v>Camp_not registered</v>
      </c>
      <c r="H128" s="592" t="s">
        <v>226</v>
      </c>
      <c r="I128" s="594">
        <v>134</v>
      </c>
      <c r="J128" s="594">
        <v>709</v>
      </c>
      <c r="K128" s="595"/>
      <c r="L128" s="596">
        <v>43281</v>
      </c>
      <c r="M128" s="594"/>
      <c r="N128" s="594"/>
      <c r="O128" s="594"/>
      <c r="P128" s="594"/>
      <c r="Q128" s="597"/>
      <c r="R128" s="594"/>
      <c r="S128" s="594">
        <v>4</v>
      </c>
      <c r="T128" s="523"/>
      <c r="U128" s="594"/>
      <c r="V128" s="594"/>
      <c r="W128" s="594"/>
      <c r="X128" s="594"/>
      <c r="Y128" s="594"/>
      <c r="Z128" s="594"/>
      <c r="AA128" s="594"/>
      <c r="AB128" s="594"/>
      <c r="AC128" s="594"/>
      <c r="AD128" s="594"/>
      <c r="AE128" s="594"/>
      <c r="AF128" s="594"/>
      <c r="AG128" s="594"/>
      <c r="AH128" s="594"/>
      <c r="AI128" s="594"/>
      <c r="AJ128" s="594"/>
      <c r="AK128" s="594"/>
      <c r="AL128" s="594"/>
      <c r="AM128" s="594"/>
      <c r="AN128" s="594"/>
      <c r="AO128" s="598"/>
      <c r="AP128" s="594"/>
      <c r="AQ128" s="594"/>
      <c r="AR128" s="599"/>
      <c r="AS128" s="594"/>
      <c r="AT128" s="594"/>
      <c r="AU128" s="594"/>
      <c r="AV128" s="594"/>
      <c r="AW128" s="594"/>
      <c r="AX128" s="593" t="s">
        <v>43</v>
      </c>
      <c r="AY128" s="598" t="s">
        <v>1195</v>
      </c>
      <c r="AZ128" s="594"/>
      <c r="BA128" s="594"/>
      <c r="BB128" s="594"/>
      <c r="BC128" s="594"/>
      <c r="BD128" s="523"/>
      <c r="BE128" s="593"/>
      <c r="BF128" s="594"/>
      <c r="BG128" s="594"/>
      <c r="BH128" s="594"/>
      <c r="BI128" s="594"/>
      <c r="BJ128" s="594"/>
      <c r="BK128" s="594"/>
      <c r="BL128" s="594"/>
      <c r="BM128" s="594"/>
      <c r="BN128" s="594"/>
      <c r="BO128" s="593"/>
      <c r="BP128" s="594"/>
      <c r="BQ128" s="599"/>
      <c r="BR128" s="593"/>
      <c r="BS128" s="472"/>
      <c r="BT128" s="472"/>
      <c r="BU128" s="523"/>
      <c r="BV128" s="472"/>
      <c r="BW128" s="523"/>
      <c r="BX128" s="523"/>
      <c r="BY128" s="523"/>
      <c r="BZ128" s="601" t="str">
        <f>IFERROR(WWWW[[#This Row],['#_Water sources passed]]/WWWW[[#This Row],['#_Water sources tested for fecal coliform ]],"no test")</f>
        <v>no test</v>
      </c>
      <c r="CA128" s="599" t="str">
        <f>IFERROR(WWWW[[#This Row],['#_Household passed]]/WWWW[[#This Row],['#_Household water samples tested for fecal coliform]],"no test")</f>
        <v>no test</v>
      </c>
      <c r="CB128" s="600" t="str">
        <f>IF(AND(WWWW[[#This Row],[% of water sources passed]]="no test",WWWW[[#This Row],[% Household passed]]="no test"),"No Test","Tested")</f>
        <v>No Test</v>
      </c>
      <c r="CC128" s="600">
        <f>WWWW[[#This Row],['#_Constructed/existing protected hand dug well]]-WWWW[[#This Row],['#_Non-functional protected hand dug well]]</f>
        <v>0</v>
      </c>
      <c r="CD128" s="600">
        <f>(WWWW[[#This Row],['#_Constructed/Existing tube wells/boreholes/handpumps_WASH_agency]]+WWWW[[#This Row],['#_Non-Cluster partner water tube-wells/boreholes/handpumps]])-WWWW[[#This Row],['#_Non-functional tube wells/boreholes/handpumps]]</f>
        <v>0</v>
      </c>
      <c r="CE128" s="600">
        <f>WWWW[[#This Row],['#_Constructed/Existingwater storage tank with gravity fed reticulation system]]-WWWW[[#This Row],['#_Non-functional storage tank gravity fed reticulation system]]</f>
        <v>0</v>
      </c>
      <c r="CF128" s="478">
        <f>(WWWW[[#This Row],['#_Water_Liters_supplied_by_Water boating or water trucking]]/90)/15</f>
        <v>0</v>
      </c>
      <c r="CG128" s="478">
        <f>WWWW[[#This Row],['#_Water_Liters_from_Constructed/Existing water distribution system from river or natural spring]]/90/15</f>
        <v>0</v>
      </c>
      <c r="CH128" s="478">
        <f>WWWW[[#This Row],['#_of water points in TLS/CFS /THF]]*500</f>
        <v>0</v>
      </c>
      <c r="CI12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8" s="599">
        <f>IF(WWWW[[#This Row],[Location Type 1]]="Village",WWWW[[#This Row],[Access to safe drinking water for Village]],WWWW[[#This Row],[Access to safe drinking water for Camp]])</f>
        <v>0</v>
      </c>
      <c r="CL128" s="597">
        <f>WWWW[[#This Row],[%Equitable and continuous access to sufficient quantity of safe drinking water]]*WWWW[[#This Row],[Total PoP ]]</f>
        <v>0</v>
      </c>
      <c r="CM128" s="599">
        <f>IF((WWWW[[#This Row],['#_Constructed/Existing protected/fenced ponds]]*250)/WWWW[[#This Row],[Total PoP ]]&gt;1,1,(WWWW[[#This Row],['#_Constructed/Existing protected/fenced ponds]]*250)/WWWW[[#This Row],[Total PoP ]])</f>
        <v>0</v>
      </c>
      <c r="CN128" s="597">
        <f>WWWW[[#This Row],[% Access to unimproved water points]]*WWWW[[#This Row],[Total PoP ]]</f>
        <v>0</v>
      </c>
      <c r="CO12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8" s="597">
        <f>WWWW[[#This Row],[HRP1]]/500</f>
        <v>0</v>
      </c>
      <c r="CR128" s="602">
        <f>1-WWWW[[#This Row],[% Equitable and continuous access to sufficient quantity of domestic water]]</f>
        <v>1</v>
      </c>
      <c r="CS128" s="597">
        <f>WWWW[[#This Row],[%equitable and continuous access to sufficient quantity of safe drinking and domestic water''s GAP]]*WWWW[[#This Row],[Total PoP ]]</f>
        <v>709</v>
      </c>
      <c r="CT128" s="600">
        <f>IF(WWWW[[#This Row],[Total required water points]]-WWWW[[#This Row],['#Water points coverage]]&lt;0,0,WWWW[[#This Row],[Total required water points]]-WWWW[[#This Row],['#Water points coverage]])</f>
        <v>1</v>
      </c>
      <c r="CU128" s="600">
        <f>ROUND(IF(WWWW[[#This Row],[Total PoP ]]&lt;500,1,WWWW[[#This Row],[Total PoP ]]/500),0)</f>
        <v>1</v>
      </c>
      <c r="CV128" s="600">
        <f>(WWWW[[#This Row],['#_Constructed latrines_by_WASHAgencies]]+WWWW[[#This Row],['#_Non Cluster partner latrines]])-WWWW[[#This Row],['#_Non-functional latrines]]</f>
        <v>0</v>
      </c>
      <c r="CW128" s="70">
        <f>WWWW[[#This Row],[HRP2]]/WWWW[[#This Row],[Total PoP ]]</f>
        <v>0</v>
      </c>
      <c r="CX12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2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8" s="600">
        <f>IF(WWWW[[#This Row],['# of functional latrines in THF supported by WASH partners during the reporting period2]]="",0,WWWW[[#This Row],['# of functional latrines in THF supported by WASH partners during the reporting period2]]*50)</f>
        <v>0</v>
      </c>
      <c r="DB128" s="600">
        <f>WWWW[[#This Row],['# students access to functioning school latrines_HRP5]]+WWWW[[#This Row],['# People access to functioning latrines in THF_HRP5]]</f>
        <v>0</v>
      </c>
      <c r="DC128" s="600">
        <f>ROUND(IF(WWWW[[#This Row],[Location Type 1]]="camp",WWWW[[#This Row],[Total PoP ]]/20,IF(WWWW[[#This Row],[Location Type 1]]="Temporary Location",WWWW[[#This Row],[Total PoP ]]/50,WWWW[[#This Row],[Total HH]])),0)</f>
        <v>35</v>
      </c>
      <c r="DD128" s="600">
        <f>IF(WWWW[[#This Row],[Total required Latrines]]-(WWWW[[#This Row],['#_Constructed latrines_by_WASHAgencies]]+WWWW[[#This Row],['#_Non Cluster partner latrines]])&lt;0,0,WWWW[[#This Row],[Total required Latrines]]-(WWWW[[#This Row],['#_Constructed latrines_by_WASHAgencies]]+WWWW[[#This Row],['#_Non Cluster partner latrines]]))</f>
        <v>35</v>
      </c>
      <c r="DE128" s="602">
        <f>1-WWWW[[#This Row],[% people access to functioning Latrine]]</f>
        <v>1</v>
      </c>
      <c r="DF128" s="601">
        <f>IF(OR(WWWW[[#This Row],['#_Non-functional latrines]]="",WWWW[[#This Row],['#_Non-functional latrines]]=0),0,WWWW[[#This Row],['#_Non-functional latrines]]/(WWWW[[#This Row],['#_Constructed latrines_by_WASHAgencies]]+WWWW[[#This Row],['#_Non Cluster partner latrines]]))</f>
        <v>0</v>
      </c>
      <c r="DG128" s="597">
        <f>IF(500*(WWWW[[#This Row],['#_male hygiene promoters]]+WWWW[[#This Row],['#_female hygiene promoters]])&gt;WWWW[[#This Row],[Total PoP ]],WWWW[[#This Row],[Total PoP ]],500*(WWWW[[#This Row],['#_male hygiene promoters]]+WWWW[[#This Row],['#_female hygiene promoters]]))</f>
        <v>0</v>
      </c>
      <c r="DH12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8" s="600">
        <f>IF(WWWW[[#This Row],['# People with access to soap]]&gt;WWWW[[#This Row],['# People with access to Sanity Pads]],WWWW[[#This Row],['# People with access to soap]],WWWW[[#This Row],['# People with access to Sanity Pads]])</f>
        <v>0</v>
      </c>
      <c r="DK12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8" s="602">
        <f>IF(WWWW[[#This Row],[HRP3]]/WWWW[[#This Row],[Total PoP ]]&gt;1,1,WWWW[[#This Row],[HRP3]]/WWWW[[#This Row],[Total PoP ]])</f>
        <v>0</v>
      </c>
      <c r="DM128" s="601">
        <f>1-WWWW[[#This Row],[Hygiene Coverage%]]</f>
        <v>1</v>
      </c>
      <c r="DN128" s="599">
        <f>WWWW[[#This Row],['# people reached by regular dedicated hygiene promotion_5]]/WWWW[[#This Row],[Total PoP ]]</f>
        <v>0</v>
      </c>
      <c r="DO12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8" s="600">
        <f>WWWW[[#This Row],['#_Constructed/Existing hand washing stations]]-WWWW[[#This Row],['#_Non-Functional_hand_washing_stations]]</f>
        <v>0</v>
      </c>
      <c r="DR128" s="597">
        <f>IF(WWWW[[#This Row],['# Functional hand washing stations during reporting period]]*20&gt;WWWW[[#This Row],[Total HH]],WWWW[[#This Row],[Total HH]],WWWW[[#This Row],['# Functional hand washing stations during reporting period]]*20)</f>
        <v>0</v>
      </c>
      <c r="DS128" s="597">
        <f>IF(WWWW[[#This Row],[Is sufficient soap available for TLS? (Yes/No)]]="yes",WWWW[[#This Row],['#_Constructed/Existing hand washing stations at TLS]],0)</f>
        <v>0</v>
      </c>
      <c r="DT128" s="479">
        <f>IF(WWWW[[#This Row],['# Functional hand washing stations during reporting period]]*100&gt;WWWW[[#This Row],[Total PoP ]],WWWW[[#This Row],[Total PoP ]],WWWW[[#This Row],['# Functional hand washing stations during reporting period]]*100)</f>
        <v>0</v>
      </c>
      <c r="DU128" s="479" t="str">
        <f>IF(OR(WWWW[[#This Row],['#_students at TLS_CFS]]="",WWWW[[#This Row],['#_students at TLS_CFS]]=0),"No","Yes")</f>
        <v>No</v>
      </c>
      <c r="DV12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8" s="593">
        <f>VLOOKUP(WWWW[[#This Row],[Site Name]],SiteDB6[[Site Name]:[CCCM Management]],6,FALSE)</f>
        <v>0</v>
      </c>
      <c r="DZ128" s="593">
        <f>VLOOKUP(WWWW[[#This Row],[Site Name]],SiteDB6[[Site Name]:[CCCM Focal Agency]],7,FALSE)</f>
        <v>0</v>
      </c>
      <c r="EA128" s="593" t="str">
        <f>VLOOKUP(WWWW[[#This Row],[Site Name]],SiteDB6[[Site Name]:[Location Type 1]],9,FALSE)</f>
        <v>Camp</v>
      </c>
      <c r="EB128" s="593" t="str">
        <f>VLOOKUP(WWWW[[#This Row],[Site Name]],SiteDB6[[Site Name]:[Type of Accommodation]],10,FALSE)</f>
        <v>CAMP</v>
      </c>
      <c r="EC128" s="593" t="str">
        <f>VLOOKUP(WWWW[[#This Row],[Site Name]],SiteDB6[[Site Name]:[Ethnic or GCA/NGCA]],11,FALSE)</f>
        <v>NGCA</v>
      </c>
      <c r="ED128" s="593">
        <f>VLOOKUP(WWWW[[#This Row],[Site Name]],SiteDB6[[Site Name]:[Lat]],12,FALSE)</f>
        <v>0</v>
      </c>
      <c r="EE128" s="593">
        <f>VLOOKUP(WWWW[[#This Row],[Site Name]],SiteDB6[[Site Name]:[Long]],13,FALSE)</f>
        <v>0</v>
      </c>
      <c r="EF128" s="593">
        <f>VLOOKUP(WWWW[[#This Row],[Site Name]],SiteDB6[[Site Name]:[Pcode]],3,FALSE)</f>
        <v>0</v>
      </c>
      <c r="EG128" s="598" t="str">
        <f t="shared" si="1"/>
        <v>Covered</v>
      </c>
      <c r="EH128" s="598">
        <f>VLOOKUP(WWWW[[#This Row],[Site Name]],Site_DB!$C$389:$D$1120,2,FALSE)</f>
        <v>0</v>
      </c>
    </row>
    <row r="129" spans="1:138" s="470" customFormat="1" hidden="1">
      <c r="A129" s="591" t="s">
        <v>3261</v>
      </c>
      <c r="B129" s="591" t="s">
        <v>195</v>
      </c>
      <c r="C129" s="592" t="s">
        <v>195</v>
      </c>
      <c r="D129" s="592" t="s">
        <v>221</v>
      </c>
      <c r="E129" s="592" t="s">
        <v>39</v>
      </c>
      <c r="F129" s="592" t="s">
        <v>145</v>
      </c>
      <c r="G129" s="721" t="str">
        <f>VLOOKUP(WWWW[[#This Row],[Site Name]],SiteDB6[[Site Name]:[Location Type]],8,FALSE)</f>
        <v>Camp_not registered</v>
      </c>
      <c r="H129" s="592" t="s">
        <v>225</v>
      </c>
      <c r="I129" s="594">
        <v>546</v>
      </c>
      <c r="J129" s="594">
        <v>2550</v>
      </c>
      <c r="K129" s="595"/>
      <c r="L129" s="596">
        <v>43281</v>
      </c>
      <c r="M129" s="594"/>
      <c r="N129" s="594"/>
      <c r="O129" s="594"/>
      <c r="P129" s="594"/>
      <c r="Q129" s="597"/>
      <c r="R129" s="594"/>
      <c r="S129" s="594">
        <v>5</v>
      </c>
      <c r="T129" s="523"/>
      <c r="U129" s="594"/>
      <c r="V129" s="594"/>
      <c r="W129" s="594"/>
      <c r="X129" s="594"/>
      <c r="Y129" s="594"/>
      <c r="Z129" s="594"/>
      <c r="AA129" s="594"/>
      <c r="AB129" s="594"/>
      <c r="AC129" s="594"/>
      <c r="AD129" s="594"/>
      <c r="AE129" s="594"/>
      <c r="AF129" s="594"/>
      <c r="AG129" s="594"/>
      <c r="AH129" s="594"/>
      <c r="AI129" s="594"/>
      <c r="AJ129" s="594"/>
      <c r="AK129" s="594"/>
      <c r="AL129" s="594"/>
      <c r="AM129" s="594"/>
      <c r="AN129" s="594"/>
      <c r="AO129" s="598"/>
      <c r="AP129" s="594"/>
      <c r="AQ129" s="594"/>
      <c r="AR129" s="599"/>
      <c r="AS129" s="594"/>
      <c r="AT129" s="594"/>
      <c r="AU129" s="594"/>
      <c r="AV129" s="594"/>
      <c r="AW129" s="594"/>
      <c r="AX129" s="593" t="s">
        <v>139</v>
      </c>
      <c r="AY129" s="598" t="s">
        <v>139</v>
      </c>
      <c r="AZ129" s="594"/>
      <c r="BA129" s="594"/>
      <c r="BB129" s="594"/>
      <c r="BC129" s="594"/>
      <c r="BD129" s="523"/>
      <c r="BE129" s="593"/>
      <c r="BF129" s="594"/>
      <c r="BG129" s="594"/>
      <c r="BH129" s="594"/>
      <c r="BI129" s="594"/>
      <c r="BJ129" s="594"/>
      <c r="BK129" s="594"/>
      <c r="BL129" s="594"/>
      <c r="BM129" s="594"/>
      <c r="BN129" s="594"/>
      <c r="BO129" s="593"/>
      <c r="BP129" s="594"/>
      <c r="BQ129" s="599"/>
      <c r="BR129" s="593"/>
      <c r="BS129" s="472"/>
      <c r="BT129" s="472"/>
      <c r="BU129" s="523"/>
      <c r="BV129" s="472"/>
      <c r="BW129" s="523"/>
      <c r="BX129" s="523"/>
      <c r="BY129" s="523"/>
      <c r="BZ129" s="601" t="str">
        <f>IFERROR(WWWW[[#This Row],['#_Water sources passed]]/WWWW[[#This Row],['#_Water sources tested for fecal coliform ]],"no test")</f>
        <v>no test</v>
      </c>
      <c r="CA129" s="599" t="str">
        <f>IFERROR(WWWW[[#This Row],['#_Household passed]]/WWWW[[#This Row],['#_Household water samples tested for fecal coliform]],"no test")</f>
        <v>no test</v>
      </c>
      <c r="CB129" s="600" t="str">
        <f>IF(AND(WWWW[[#This Row],[% of water sources passed]]="no test",WWWW[[#This Row],[% Household passed]]="no test"),"No Test","Tested")</f>
        <v>No Test</v>
      </c>
      <c r="CC129" s="600">
        <f>WWWW[[#This Row],['#_Constructed/existing protected hand dug well]]-WWWW[[#This Row],['#_Non-functional protected hand dug well]]</f>
        <v>0</v>
      </c>
      <c r="CD129" s="600">
        <f>(WWWW[[#This Row],['#_Constructed/Existing tube wells/boreholes/handpumps_WASH_agency]]+WWWW[[#This Row],['#_Non-Cluster partner water tube-wells/boreholes/handpumps]])-WWWW[[#This Row],['#_Non-functional tube wells/boreholes/handpumps]]</f>
        <v>0</v>
      </c>
      <c r="CE129" s="600">
        <f>WWWW[[#This Row],['#_Constructed/Existingwater storage tank with gravity fed reticulation system]]-WWWW[[#This Row],['#_Non-functional storage tank gravity fed reticulation system]]</f>
        <v>0</v>
      </c>
      <c r="CF129" s="478">
        <f>(WWWW[[#This Row],['#_Water_Liters_supplied_by_Water boating or water trucking]]/90)/15</f>
        <v>0</v>
      </c>
      <c r="CG129" s="478">
        <f>WWWW[[#This Row],['#_Water_Liters_from_Constructed/Existing water distribution system from river or natural spring]]/90/15</f>
        <v>0</v>
      </c>
      <c r="CH129" s="478">
        <f>WWWW[[#This Row],['#_of water points in TLS/CFS /THF]]*500</f>
        <v>0</v>
      </c>
      <c r="CI12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2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29" s="599">
        <f>IF(WWWW[[#This Row],[Location Type 1]]="Village",WWWW[[#This Row],[Access to safe drinking water for Village]],WWWW[[#This Row],[Access to safe drinking water for Camp]])</f>
        <v>0</v>
      </c>
      <c r="CL129" s="597">
        <f>WWWW[[#This Row],[%Equitable and continuous access to sufficient quantity of safe drinking water]]*WWWW[[#This Row],[Total PoP ]]</f>
        <v>0</v>
      </c>
      <c r="CM129" s="599">
        <f>IF((WWWW[[#This Row],['#_Constructed/Existing protected/fenced ponds]]*250)/WWWW[[#This Row],[Total PoP ]]&gt;1,1,(WWWW[[#This Row],['#_Constructed/Existing protected/fenced ponds]]*250)/WWWW[[#This Row],[Total PoP ]])</f>
        <v>0</v>
      </c>
      <c r="CN129" s="597">
        <f>WWWW[[#This Row],[% Access to unimproved water points]]*WWWW[[#This Row],[Total PoP ]]</f>
        <v>0</v>
      </c>
      <c r="CO12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2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29" s="597">
        <f>WWWW[[#This Row],[HRP1]]/500</f>
        <v>0</v>
      </c>
      <c r="CR129" s="602">
        <f>1-WWWW[[#This Row],[% Equitable and continuous access to sufficient quantity of domestic water]]</f>
        <v>1</v>
      </c>
      <c r="CS129" s="597">
        <f>WWWW[[#This Row],[%equitable and continuous access to sufficient quantity of safe drinking and domestic water''s GAP]]*WWWW[[#This Row],[Total PoP ]]</f>
        <v>2550</v>
      </c>
      <c r="CT129" s="600">
        <f>IF(WWWW[[#This Row],[Total required water points]]-WWWW[[#This Row],['#Water points coverage]]&lt;0,0,WWWW[[#This Row],[Total required water points]]-WWWW[[#This Row],['#Water points coverage]])</f>
        <v>5</v>
      </c>
      <c r="CU129" s="600">
        <f>ROUND(IF(WWWW[[#This Row],[Total PoP ]]&lt;500,1,WWWW[[#This Row],[Total PoP ]]/500),0)</f>
        <v>5</v>
      </c>
      <c r="CV129" s="600">
        <f>(WWWW[[#This Row],['#_Constructed latrines_by_WASHAgencies]]+WWWW[[#This Row],['#_Non Cluster partner latrines]])-WWWW[[#This Row],['#_Non-functional latrines]]</f>
        <v>0</v>
      </c>
      <c r="CW129" s="70">
        <f>WWWW[[#This Row],[HRP2]]/WWWW[[#This Row],[Total PoP ]]</f>
        <v>0</v>
      </c>
      <c r="CX12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2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2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29" s="600">
        <f>IF(WWWW[[#This Row],['# of functional latrines in THF supported by WASH partners during the reporting period2]]="",0,WWWW[[#This Row],['# of functional latrines in THF supported by WASH partners during the reporting period2]]*50)</f>
        <v>0</v>
      </c>
      <c r="DB129" s="600">
        <f>WWWW[[#This Row],['# students access to functioning school latrines_HRP5]]+WWWW[[#This Row],['# People access to functioning latrines in THF_HRP5]]</f>
        <v>0</v>
      </c>
      <c r="DC129" s="600">
        <f>ROUND(IF(WWWW[[#This Row],[Location Type 1]]="camp",WWWW[[#This Row],[Total PoP ]]/20,IF(WWWW[[#This Row],[Location Type 1]]="Temporary Location",WWWW[[#This Row],[Total PoP ]]/50,WWWW[[#This Row],[Total HH]])),0)</f>
        <v>128</v>
      </c>
      <c r="DD129" s="600">
        <f>IF(WWWW[[#This Row],[Total required Latrines]]-(WWWW[[#This Row],['#_Constructed latrines_by_WASHAgencies]]+WWWW[[#This Row],['#_Non Cluster partner latrines]])&lt;0,0,WWWW[[#This Row],[Total required Latrines]]-(WWWW[[#This Row],['#_Constructed latrines_by_WASHAgencies]]+WWWW[[#This Row],['#_Non Cluster partner latrines]]))</f>
        <v>128</v>
      </c>
      <c r="DE129" s="602">
        <f>1-WWWW[[#This Row],[% people access to functioning Latrine]]</f>
        <v>1</v>
      </c>
      <c r="DF129" s="601">
        <f>IF(OR(WWWW[[#This Row],['#_Non-functional latrines]]="",WWWW[[#This Row],['#_Non-functional latrines]]=0),0,WWWW[[#This Row],['#_Non-functional latrines]]/(WWWW[[#This Row],['#_Constructed latrines_by_WASHAgencies]]+WWWW[[#This Row],['#_Non Cluster partner latrines]]))</f>
        <v>0</v>
      </c>
      <c r="DG129" s="597">
        <f>IF(500*(WWWW[[#This Row],['#_male hygiene promoters]]+WWWW[[#This Row],['#_female hygiene promoters]])&gt;WWWW[[#This Row],[Total PoP ]],WWWW[[#This Row],[Total PoP ]],500*(WWWW[[#This Row],['#_male hygiene promoters]]+WWWW[[#This Row],['#_female hygiene promoters]]))</f>
        <v>0</v>
      </c>
      <c r="DH12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2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29" s="600">
        <f>IF(WWWW[[#This Row],['# People with access to soap]]&gt;WWWW[[#This Row],['# People with access to Sanity Pads]],WWWW[[#This Row],['# People with access to soap]],WWWW[[#This Row],['# People with access to Sanity Pads]])</f>
        <v>0</v>
      </c>
      <c r="DK12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29" s="602">
        <f>IF(WWWW[[#This Row],[HRP3]]/WWWW[[#This Row],[Total PoP ]]&gt;1,1,WWWW[[#This Row],[HRP3]]/WWWW[[#This Row],[Total PoP ]])</f>
        <v>0</v>
      </c>
      <c r="DM129" s="601">
        <f>1-WWWW[[#This Row],[Hygiene Coverage%]]</f>
        <v>1</v>
      </c>
      <c r="DN129" s="599">
        <f>WWWW[[#This Row],['# people reached by regular dedicated hygiene promotion_5]]/WWWW[[#This Row],[Total PoP ]]</f>
        <v>0</v>
      </c>
      <c r="DO12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2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29" s="600">
        <f>WWWW[[#This Row],['#_Constructed/Existing hand washing stations]]-WWWW[[#This Row],['#_Non-Functional_hand_washing_stations]]</f>
        <v>0</v>
      </c>
      <c r="DR129" s="597">
        <f>IF(WWWW[[#This Row],['# Functional hand washing stations during reporting period]]*20&gt;WWWW[[#This Row],[Total HH]],WWWW[[#This Row],[Total HH]],WWWW[[#This Row],['# Functional hand washing stations during reporting period]]*20)</f>
        <v>0</v>
      </c>
      <c r="DS129" s="597">
        <f>IF(WWWW[[#This Row],[Is sufficient soap available for TLS? (Yes/No)]]="yes",WWWW[[#This Row],['#_Constructed/Existing hand washing stations at TLS]],0)</f>
        <v>0</v>
      </c>
      <c r="DT129" s="479">
        <f>IF(WWWW[[#This Row],['# Functional hand washing stations during reporting period]]*100&gt;WWWW[[#This Row],[Total PoP ]],WWWW[[#This Row],[Total PoP ]],WWWW[[#This Row],['# Functional hand washing stations during reporting period]]*100)</f>
        <v>0</v>
      </c>
      <c r="DU129" s="479" t="str">
        <f>IF(OR(WWWW[[#This Row],['#_students at TLS_CFS]]="",WWWW[[#This Row],['#_students at TLS_CFS]]=0),"No","Yes")</f>
        <v>No</v>
      </c>
      <c r="DV12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29" s="593">
        <f>VLOOKUP(WWWW[[#This Row],[Site Name]],SiteDB6[[Site Name]:[CCCM Management]],6,FALSE)</f>
        <v>0</v>
      </c>
      <c r="DZ129" s="593">
        <f>VLOOKUP(WWWW[[#This Row],[Site Name]],SiteDB6[[Site Name]:[CCCM Focal Agency]],7,FALSE)</f>
        <v>0</v>
      </c>
      <c r="EA129" s="593" t="str">
        <f>VLOOKUP(WWWW[[#This Row],[Site Name]],SiteDB6[[Site Name]:[Location Type 1]],9,FALSE)</f>
        <v>Camp</v>
      </c>
      <c r="EB129" s="593" t="str">
        <f>VLOOKUP(WWWW[[#This Row],[Site Name]],SiteDB6[[Site Name]:[Type of Accommodation]],10,FALSE)</f>
        <v>Host Families</v>
      </c>
      <c r="EC129" s="593" t="str">
        <f>VLOOKUP(WWWW[[#This Row],[Site Name]],SiteDB6[[Site Name]:[Ethnic or GCA/NGCA]],11,FALSE)</f>
        <v>NGCA</v>
      </c>
      <c r="ED129" s="593">
        <f>VLOOKUP(WWWW[[#This Row],[Site Name]],SiteDB6[[Site Name]:[Lat]],12,FALSE)</f>
        <v>0</v>
      </c>
      <c r="EE129" s="593">
        <f>VLOOKUP(WWWW[[#This Row],[Site Name]],SiteDB6[[Site Name]:[Long]],13,FALSE)</f>
        <v>0</v>
      </c>
      <c r="EF129" s="593">
        <f>VLOOKUP(WWWW[[#This Row],[Site Name]],SiteDB6[[Site Name]:[Pcode]],3,FALSE)</f>
        <v>0</v>
      </c>
      <c r="EG129" s="598" t="str">
        <f t="shared" si="1"/>
        <v>Covered</v>
      </c>
      <c r="EH129" s="598">
        <f>VLOOKUP(WWWW[[#This Row],[Site Name]],Site_DB!$C$389:$D$1120,2,FALSE)</f>
        <v>0</v>
      </c>
    </row>
    <row r="130" spans="1:138" hidden="1">
      <c r="A130" s="591" t="s">
        <v>3261</v>
      </c>
      <c r="B130" s="591" t="s">
        <v>195</v>
      </c>
      <c r="C130" s="592" t="s">
        <v>195</v>
      </c>
      <c r="D130" s="592" t="s">
        <v>3092</v>
      </c>
      <c r="E130" s="592" t="s">
        <v>39</v>
      </c>
      <c r="F130" s="592" t="s">
        <v>198</v>
      </c>
      <c r="G130" s="721" t="str">
        <f>VLOOKUP(WWWW[[#This Row],[Site Name]],SiteDB6[[Site Name]:[Location Type]],8,FALSE)</f>
        <v>Camp</v>
      </c>
      <c r="H130" s="592" t="s">
        <v>207</v>
      </c>
      <c r="I130" s="594">
        <v>10</v>
      </c>
      <c r="J130" s="594">
        <v>59</v>
      </c>
      <c r="K130" s="595">
        <v>43466</v>
      </c>
      <c r="L130" s="596">
        <v>43830</v>
      </c>
      <c r="M130" s="594"/>
      <c r="N130" s="594"/>
      <c r="O130" s="594"/>
      <c r="P130" s="594"/>
      <c r="Q130" s="597" t="s">
        <v>139</v>
      </c>
      <c r="R130" s="594"/>
      <c r="S130" s="594">
        <v>5</v>
      </c>
      <c r="T130" s="523"/>
      <c r="U130" s="594"/>
      <c r="V130" s="594"/>
      <c r="W130" s="594"/>
      <c r="X130" s="594">
        <v>1</v>
      </c>
      <c r="Y130" s="594"/>
      <c r="Z130" s="594"/>
      <c r="AA130" s="594"/>
      <c r="AB130" s="594"/>
      <c r="AC130" s="594"/>
      <c r="AD130" s="594"/>
      <c r="AE130" s="594"/>
      <c r="AF130" s="594"/>
      <c r="AG130" s="594"/>
      <c r="AH130" s="594"/>
      <c r="AI130" s="594"/>
      <c r="AJ130" s="594"/>
      <c r="AK130" s="594"/>
      <c r="AL130" s="594"/>
      <c r="AM130" s="594"/>
      <c r="AN130" s="594"/>
      <c r="AO130" s="598"/>
      <c r="AP130" s="594">
        <v>10</v>
      </c>
      <c r="AQ130" s="594"/>
      <c r="AR130" s="599"/>
      <c r="AS130" s="594"/>
      <c r="AT130" s="594"/>
      <c r="AU130" s="594"/>
      <c r="AV130" s="594"/>
      <c r="AW130" s="594"/>
      <c r="AX130" s="593" t="s">
        <v>43</v>
      </c>
      <c r="AY130" s="598" t="s">
        <v>140</v>
      </c>
      <c r="AZ130" s="594"/>
      <c r="BA130" s="594"/>
      <c r="BB130" s="594"/>
      <c r="BC130" s="594"/>
      <c r="BD130" s="523"/>
      <c r="BE130" s="593"/>
      <c r="BF130" s="594">
        <v>1</v>
      </c>
      <c r="BG130" s="594"/>
      <c r="BH130" s="594"/>
      <c r="BI130" s="594">
        <v>2</v>
      </c>
      <c r="BJ130" s="594"/>
      <c r="BK130" s="594"/>
      <c r="BL130" s="594"/>
      <c r="BM130" s="594"/>
      <c r="BN130" s="594"/>
      <c r="BO130" s="593"/>
      <c r="BP130" s="594"/>
      <c r="BQ130" s="599"/>
      <c r="BR130" s="593"/>
      <c r="BS130" s="472"/>
      <c r="BT130" s="472"/>
      <c r="BU130" s="523"/>
      <c r="BV130" s="472"/>
      <c r="BW130" s="523"/>
      <c r="BX130" s="523"/>
      <c r="BY130" s="523"/>
      <c r="BZ130" s="601" t="str">
        <f>IFERROR(WWWW[[#This Row],['#_Water sources passed]]/WWWW[[#This Row],['#_Water sources tested for fecal coliform ]],"no test")</f>
        <v>no test</v>
      </c>
      <c r="CA130" s="599" t="str">
        <f>IFERROR(WWWW[[#This Row],['#_Household passed]]/WWWW[[#This Row],['#_Household water samples tested for fecal coliform]],"no test")</f>
        <v>no test</v>
      </c>
      <c r="CB130" s="600" t="str">
        <f>IF(AND(WWWW[[#This Row],[% of water sources passed]]="no test",WWWW[[#This Row],[% Household passed]]="no test"),"No Test","Tested")</f>
        <v>No Test</v>
      </c>
      <c r="CC130" s="600">
        <f>WWWW[[#This Row],['#_Constructed/existing protected hand dug well]]-WWWW[[#This Row],['#_Non-functional protected hand dug well]]</f>
        <v>0</v>
      </c>
      <c r="CD130" s="600">
        <f>(WWWW[[#This Row],['#_Constructed/Existing tube wells/boreholes/handpumps_WASH_agency]]+WWWW[[#This Row],['#_Non-Cluster partner water tube-wells/boreholes/handpumps]])-WWWW[[#This Row],['#_Non-functional tube wells/boreholes/handpumps]]</f>
        <v>1</v>
      </c>
      <c r="CE130" s="600">
        <f>WWWW[[#This Row],['#_Constructed/Existingwater storage tank with gravity fed reticulation system]]-WWWW[[#This Row],['#_Non-functional storage tank gravity fed reticulation system]]</f>
        <v>0</v>
      </c>
      <c r="CF130" s="478">
        <f>(WWWW[[#This Row],['#_Water_Liters_supplied_by_Water boating or water trucking]]/90)/15</f>
        <v>0</v>
      </c>
      <c r="CG130" s="478">
        <f>WWWW[[#This Row],['#_Water_Liters_from_Constructed/Existing water distribution system from river or natural spring]]/90/15</f>
        <v>0</v>
      </c>
      <c r="CH130" s="478">
        <f>WWWW[[#This Row],['#_of water points in TLS/CFS /THF]]*500</f>
        <v>0</v>
      </c>
      <c r="CI13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0" s="599">
        <f>IF(WWWW[[#This Row],[Location Type 1]]="Village",WWWW[[#This Row],[Access to safe drinking water for Village]],WWWW[[#This Row],[Access to safe drinking water for Camp]])</f>
        <v>1</v>
      </c>
      <c r="CL130" s="597">
        <f>WWWW[[#This Row],[%Equitable and continuous access to sufficient quantity of safe drinking water]]*WWWW[[#This Row],[Total PoP ]]</f>
        <v>59</v>
      </c>
      <c r="CM130" s="599">
        <f>IF((WWWW[[#This Row],['#_Constructed/Existing protected/fenced ponds]]*250)/WWWW[[#This Row],[Total PoP ]]&gt;1,1,(WWWW[[#This Row],['#_Constructed/Existing protected/fenced ponds]]*250)/WWWW[[#This Row],[Total PoP ]])</f>
        <v>0</v>
      </c>
      <c r="CN130" s="597">
        <f>WWWW[[#This Row],[% Access to unimproved water points]]*WWWW[[#This Row],[Total PoP ]]</f>
        <v>0</v>
      </c>
      <c r="CO13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v>
      </c>
      <c r="CQ130" s="597">
        <f>WWWW[[#This Row],[HRP1]]/500</f>
        <v>0.11799999999999999</v>
      </c>
      <c r="CR130" s="602">
        <f>1-WWWW[[#This Row],[% Equitable and continuous access to sufficient quantity of domestic water]]</f>
        <v>0</v>
      </c>
      <c r="CS130" s="597">
        <f>WWWW[[#This Row],[%equitable and continuous access to sufficient quantity of safe drinking and domestic water''s GAP]]*WWWW[[#This Row],[Total PoP ]]</f>
        <v>0</v>
      </c>
      <c r="CT130" s="600">
        <f>IF(WWWW[[#This Row],[Total required water points]]-WWWW[[#This Row],['#Water points coverage]]&lt;0,0,WWWW[[#This Row],[Total required water points]]-WWWW[[#This Row],['#Water points coverage]])</f>
        <v>0.88200000000000001</v>
      </c>
      <c r="CU130" s="600">
        <f>ROUND(IF(WWWW[[#This Row],[Total PoP ]]&lt;500,1,WWWW[[#This Row],[Total PoP ]]/500),0)</f>
        <v>1</v>
      </c>
      <c r="CV130" s="600">
        <f>(WWWW[[#This Row],['#_Constructed latrines_by_WASHAgencies]]+WWWW[[#This Row],['#_Non Cluster partner latrines]])-WWWW[[#This Row],['#_Non-functional latrines]]</f>
        <v>10</v>
      </c>
      <c r="CW130" s="70">
        <f>WWWW[[#This Row],[HRP2]]/WWWW[[#This Row],[Total PoP ]]</f>
        <v>1</v>
      </c>
      <c r="CX13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59</v>
      </c>
      <c r="CY13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0" s="600">
        <f>IF(WWWW[[#This Row],['# of functional latrines in THF supported by WASH partners during the reporting period2]]="",0,WWWW[[#This Row],['# of functional latrines in THF supported by WASH partners during the reporting period2]]*50)</f>
        <v>0</v>
      </c>
      <c r="DB130" s="600">
        <f>WWWW[[#This Row],['# students access to functioning school latrines_HRP5]]+WWWW[[#This Row],['# People access to functioning latrines in THF_HRP5]]</f>
        <v>0</v>
      </c>
      <c r="DC130" s="600">
        <f>ROUND(IF(WWWW[[#This Row],[Location Type 1]]="camp",WWWW[[#This Row],[Total PoP ]]/20,IF(WWWW[[#This Row],[Location Type 1]]="Temporary Location",WWWW[[#This Row],[Total PoP ]]/50,WWWW[[#This Row],[Total HH]])),0)</f>
        <v>3</v>
      </c>
      <c r="DD130" s="600">
        <f>IF(WWWW[[#This Row],[Total required Latrines]]-(WWWW[[#This Row],['#_Constructed latrines_by_WASHAgencies]]+WWWW[[#This Row],['#_Non Cluster partner latrines]])&lt;0,0,WWWW[[#This Row],[Total required Latrines]]-(WWWW[[#This Row],['#_Constructed latrines_by_WASHAgencies]]+WWWW[[#This Row],['#_Non Cluster partner latrines]]))</f>
        <v>0</v>
      </c>
      <c r="DE130" s="602">
        <f>1-WWWW[[#This Row],[% people access to functioning Latrine]]</f>
        <v>0</v>
      </c>
      <c r="DF130" s="601">
        <f>IF(OR(WWWW[[#This Row],['#_Non-functional latrines]]="",WWWW[[#This Row],['#_Non-functional latrines]]=0),0,WWWW[[#This Row],['#_Non-functional latrines]]/(WWWW[[#This Row],['#_Constructed latrines_by_WASHAgencies]]+WWWW[[#This Row],['#_Non Cluster partner latrines]]))</f>
        <v>0</v>
      </c>
      <c r="DG130" s="597">
        <f>IF(500*(WWWW[[#This Row],['#_male hygiene promoters]]+WWWW[[#This Row],['#_female hygiene promoters]])&gt;WWWW[[#This Row],[Total PoP ]],WWWW[[#This Row],[Total PoP ]],500*(WWWW[[#This Row],['#_male hygiene promoters]]+WWWW[[#This Row],['#_female hygiene promoters]]))</f>
        <v>0</v>
      </c>
      <c r="DH13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0" s="600">
        <f>IF(WWWW[[#This Row],['# People with access to soap]]&gt;WWWW[[#This Row],['# People with access to Sanity Pads]],WWWW[[#This Row],['# People with access to soap]],WWWW[[#This Row],['# People with access to Sanity Pads]])</f>
        <v>0</v>
      </c>
      <c r="DK13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0" s="602">
        <f>IF(WWWW[[#This Row],[HRP3]]/WWWW[[#This Row],[Total PoP ]]&gt;1,1,WWWW[[#This Row],[HRP3]]/WWWW[[#This Row],[Total PoP ]])</f>
        <v>0</v>
      </c>
      <c r="DM130" s="601">
        <f>1-WWWW[[#This Row],[Hygiene Coverage%]]</f>
        <v>1</v>
      </c>
      <c r="DN130" s="599">
        <f>WWWW[[#This Row],['# people reached by regular dedicated hygiene promotion_5]]/WWWW[[#This Row],[Total PoP ]]</f>
        <v>0</v>
      </c>
      <c r="DO13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0" s="600">
        <f>WWWW[[#This Row],['#_Constructed/Existing hand washing stations]]-WWWW[[#This Row],['#_Non-Functional_hand_washing_stations]]</f>
        <v>1</v>
      </c>
      <c r="DR130" s="597">
        <f>IF(WWWW[[#This Row],['# Functional hand washing stations during reporting period]]*20&gt;WWWW[[#This Row],[Total HH]],WWWW[[#This Row],[Total HH]],WWWW[[#This Row],['# Functional hand washing stations during reporting period]]*20)</f>
        <v>10</v>
      </c>
      <c r="DS130" s="597">
        <f>IF(WWWW[[#This Row],[Is sufficient soap available for TLS? (Yes/No)]]="yes",WWWW[[#This Row],['#_Constructed/Existing hand washing stations at TLS]],0)</f>
        <v>0</v>
      </c>
      <c r="DT130" s="479">
        <f>IF(WWWW[[#This Row],['# Functional hand washing stations during reporting period]]*100&gt;WWWW[[#This Row],[Total PoP ]],WWWW[[#This Row],[Total PoP ]],WWWW[[#This Row],['# Functional hand washing stations during reporting period]]*100)</f>
        <v>59</v>
      </c>
      <c r="DU130" s="479" t="str">
        <f>IF(OR(WWWW[[#This Row],['#_students at TLS_CFS]]="",WWWW[[#This Row],['#_students at TLS_CFS]]=0),"No","Yes")</f>
        <v>No</v>
      </c>
      <c r="DV13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0" s="593" t="str">
        <f>VLOOKUP(WWWW[[#This Row],[Site Name]],SiteDB6[[Site Name]:[CCCM Management]],6,FALSE)</f>
        <v>Yes</v>
      </c>
      <c r="DZ130" s="593" t="str">
        <f>VLOOKUP(WWWW[[#This Row],[Site Name]],SiteDB6[[Site Name]:[CCCM Focal Agency]],7,FALSE)</f>
        <v>Shalom</v>
      </c>
      <c r="EA130" s="593" t="str">
        <f>VLOOKUP(WWWW[[#This Row],[Site Name]],SiteDB6[[Site Name]:[Location Type 1]],9,FALSE)</f>
        <v>Camp</v>
      </c>
      <c r="EB130" s="593" t="str">
        <f>VLOOKUP(WWWW[[#This Row],[Site Name]],SiteDB6[[Site Name]:[Type of Accommodation]],10,FALSE)</f>
        <v>Camp</v>
      </c>
      <c r="EC130" s="593" t="str">
        <f>VLOOKUP(WWWW[[#This Row],[Site Name]],SiteDB6[[Site Name]:[Ethnic or GCA/NGCA]],11,FALSE)</f>
        <v>GCA</v>
      </c>
      <c r="ED130" s="593">
        <f>VLOOKUP(WWWW[[#This Row],[Site Name]],SiteDB6[[Site Name]:[Lat]],12,FALSE)</f>
        <v>24.24953</v>
      </c>
      <c r="EE130" s="593">
        <f>VLOOKUP(WWWW[[#This Row],[Site Name]],SiteDB6[[Site Name]:[Long]],13,FALSE)</f>
        <v>97.240639999999999</v>
      </c>
      <c r="EF130" s="593" t="str">
        <f>VLOOKUP(WWWW[[#This Row],[Site Name]],SiteDB6[[Site Name]:[Pcode]],3,FALSE)</f>
        <v>MMR001CMP053</v>
      </c>
      <c r="EG130" s="598" t="str">
        <f t="shared" si="1"/>
        <v>Covered</v>
      </c>
      <c r="EH130" s="598" t="str">
        <f>VLOOKUP(WWWW[[#This Row],[Site Name]],SiteDB6[[Site Name]:[open in cccm?]],2,FALSE)</f>
        <v>Closed_cccm2019Apr</v>
      </c>
    </row>
    <row r="131" spans="1:138" hidden="1">
      <c r="A131" s="591" t="s">
        <v>3261</v>
      </c>
      <c r="B131" s="591" t="s">
        <v>195</v>
      </c>
      <c r="C131" s="592" t="s">
        <v>195</v>
      </c>
      <c r="D131" s="592" t="s">
        <v>3045</v>
      </c>
      <c r="E131" s="592" t="s">
        <v>711</v>
      </c>
      <c r="F131" s="592" t="s">
        <v>715</v>
      </c>
      <c r="G131" s="721" t="str">
        <f>VLOOKUP(WWWW[[#This Row],[Site Name]],SiteDB6[[Site Name]:[Location Type]],8,FALSE)</f>
        <v>Camp</v>
      </c>
      <c r="H131" s="592" t="s">
        <v>734</v>
      </c>
      <c r="I131" s="594">
        <v>205</v>
      </c>
      <c r="J131" s="594">
        <v>1077</v>
      </c>
      <c r="K131" s="56" t="s">
        <v>3289</v>
      </c>
      <c r="L131" s="56" t="s">
        <v>3290</v>
      </c>
      <c r="M131" s="594">
        <v>328</v>
      </c>
      <c r="N131" s="594"/>
      <c r="O131" s="594"/>
      <c r="P131" s="594"/>
      <c r="Q131" s="597" t="s">
        <v>43</v>
      </c>
      <c r="R131" s="594">
        <v>5</v>
      </c>
      <c r="S131" s="594">
        <v>5</v>
      </c>
      <c r="T131" s="523">
        <v>2</v>
      </c>
      <c r="U131" s="594"/>
      <c r="V131" s="594"/>
      <c r="W131" s="594">
        <v>1</v>
      </c>
      <c r="X131" s="594"/>
      <c r="Y131" s="594"/>
      <c r="Z131" s="594"/>
      <c r="AA131" s="594">
        <v>99</v>
      </c>
      <c r="AB131" s="594"/>
      <c r="AC131" s="594"/>
      <c r="AD131" s="594"/>
      <c r="AE131" s="594"/>
      <c r="AF131" s="594"/>
      <c r="AG131" s="594">
        <v>3</v>
      </c>
      <c r="AH131" s="594">
        <v>1</v>
      </c>
      <c r="AI131" s="594"/>
      <c r="AJ131" s="594"/>
      <c r="AK131" s="594"/>
      <c r="AL131" s="594"/>
      <c r="AM131" s="594"/>
      <c r="AN131" s="594">
        <v>2</v>
      </c>
      <c r="AO131" s="598"/>
      <c r="AP131" s="594">
        <v>200</v>
      </c>
      <c r="AQ131" s="594">
        <v>5</v>
      </c>
      <c r="AR131" s="599"/>
      <c r="AS131" s="594"/>
      <c r="AT131" s="594"/>
      <c r="AU131" s="594"/>
      <c r="AV131" s="594"/>
      <c r="AW131" s="594">
        <v>18</v>
      </c>
      <c r="AX131" s="593" t="s">
        <v>139</v>
      </c>
      <c r="AY131" s="598" t="s">
        <v>139</v>
      </c>
      <c r="AZ131" s="594"/>
      <c r="BA131" s="594"/>
      <c r="BB131" s="594">
        <v>2</v>
      </c>
      <c r="BC131" s="594"/>
      <c r="BD131" s="523"/>
      <c r="BE131" s="593"/>
      <c r="BF131" s="594">
        <v>2</v>
      </c>
      <c r="BG131" s="594"/>
      <c r="BH131" s="594"/>
      <c r="BI131" s="594">
        <v>5</v>
      </c>
      <c r="BJ131" s="594"/>
      <c r="BK131" s="594"/>
      <c r="BL131" s="594">
        <v>1</v>
      </c>
      <c r="BM131" s="594"/>
      <c r="BN131" s="594"/>
      <c r="BO131" s="593"/>
      <c r="BP131" s="594"/>
      <c r="BQ131" s="599"/>
      <c r="BR131" s="593"/>
      <c r="BS131" s="472"/>
      <c r="BT131" s="472"/>
      <c r="BU131" s="523"/>
      <c r="BV131" s="472"/>
      <c r="BW131" s="523"/>
      <c r="BX131" s="523"/>
      <c r="BY131" s="523"/>
      <c r="BZ131" s="601" t="str">
        <f>IFERROR(WWWW[[#This Row],['#_Water sources passed]]/WWWW[[#This Row],['#_Water sources tested for fecal coliform ]],"no test")</f>
        <v>no test</v>
      </c>
      <c r="CA131" s="599" t="str">
        <f>IFERROR(WWWW[[#This Row],['#_Household passed]]/WWWW[[#This Row],['#_Household water samples tested for fecal coliform]],"no test")</f>
        <v>no test</v>
      </c>
      <c r="CB131" s="600" t="str">
        <f>IF(AND(WWWW[[#This Row],[% of water sources passed]]="no test",WWWW[[#This Row],[% Household passed]]="no test"),"No Test","Tested")</f>
        <v>No Test</v>
      </c>
      <c r="CC131" s="600">
        <f>WWWW[[#This Row],['#_Constructed/existing protected hand dug well]]-WWWW[[#This Row],['#_Non-functional protected hand dug well]]</f>
        <v>2</v>
      </c>
      <c r="CD131" s="600">
        <f>(WWWW[[#This Row],['#_Constructed/Existing tube wells/boreholes/handpumps_WASH_agency]]+WWWW[[#This Row],['#_Non-Cluster partner water tube-wells/boreholes/handpumps]])-WWWW[[#This Row],['#_Non-functional tube wells/boreholes/handpumps]]</f>
        <v>1</v>
      </c>
      <c r="CE131" s="600">
        <f>WWWW[[#This Row],['#_Constructed/Existingwater storage tank with gravity fed reticulation system]]-WWWW[[#This Row],['#_Non-functional storage tank gravity fed reticulation system]]</f>
        <v>99</v>
      </c>
      <c r="CF131" s="478">
        <f>(WWWW[[#This Row],['#_Water_Liters_supplied_by_Water boating or water trucking]]/90)/15</f>
        <v>0</v>
      </c>
      <c r="CG131" s="478">
        <f>WWWW[[#This Row],['#_Water_Liters_from_Constructed/Existing water distribution system from river or natural spring]]/90/15</f>
        <v>0</v>
      </c>
      <c r="CH131" s="478">
        <f>WWWW[[#This Row],['#_of water points in TLS/CFS /THF]]*500</f>
        <v>1000</v>
      </c>
      <c r="CI13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1" s="599">
        <f>IF(WWWW[[#This Row],[Location Type 1]]="Village",WWWW[[#This Row],[Access to safe drinking water for Village]],WWWW[[#This Row],[Access to safe drinking water for Camp]])</f>
        <v>1</v>
      </c>
      <c r="CL131" s="597">
        <f>WWWW[[#This Row],[%Equitable and continuous access to sufficient quantity of safe drinking water]]*WWWW[[#This Row],[Total PoP ]]</f>
        <v>1077</v>
      </c>
      <c r="CM131" s="599">
        <f>IF((WWWW[[#This Row],['#_Constructed/Existing protected/fenced ponds]]*250)/WWWW[[#This Row],[Total PoP ]]&gt;1,1,(WWWW[[#This Row],['#_Constructed/Existing protected/fenced ponds]]*250)/WWWW[[#This Row],[Total PoP ]])</f>
        <v>0</v>
      </c>
      <c r="CN131" s="597">
        <f>WWWW[[#This Row],[% Access to unimproved water points]]*WWWW[[#This Row],[Total PoP ]]</f>
        <v>0</v>
      </c>
      <c r="CO13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Q131" s="597">
        <f>WWWW[[#This Row],[HRP1]]/500</f>
        <v>2.1539999999999999</v>
      </c>
      <c r="CR131" s="602">
        <f>1-WWWW[[#This Row],[% Equitable and continuous access to sufficient quantity of domestic water]]</f>
        <v>0</v>
      </c>
      <c r="CS131" s="597">
        <f>WWWW[[#This Row],[%equitable and continuous access to sufficient quantity of safe drinking and domestic water''s GAP]]*WWWW[[#This Row],[Total PoP ]]</f>
        <v>0</v>
      </c>
      <c r="CT131" s="600">
        <f>IF(WWWW[[#This Row],[Total required water points]]-WWWW[[#This Row],['#Water points coverage]]&lt;0,0,WWWW[[#This Row],[Total required water points]]-WWWW[[#This Row],['#Water points coverage]])</f>
        <v>0</v>
      </c>
      <c r="CU131" s="600">
        <f>ROUND(IF(WWWW[[#This Row],[Total PoP ]]&lt;500,1,WWWW[[#This Row],[Total PoP ]]/500),0)</f>
        <v>2</v>
      </c>
      <c r="CV131" s="600">
        <f>(WWWW[[#This Row],['#_Constructed latrines_by_WASHAgencies]]+WWWW[[#This Row],['#_Non Cluster partner latrines]])-WWWW[[#This Row],['#_Non-functional latrines]]</f>
        <v>205</v>
      </c>
      <c r="CW131" s="70">
        <f>WWWW[[#This Row],[HRP2]]/WWWW[[#This Row],[Total PoP ]]</f>
        <v>0.95171773444753949</v>
      </c>
      <c r="CX13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CY13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131" s="600">
        <f>IF(WWWW[[#This Row],['# of functional latrines in THF supported by WASH partners during the reporting period2]]="",0,WWWW[[#This Row],['# of functional latrines in THF supported by WASH partners during the reporting period2]]*50)</f>
        <v>0</v>
      </c>
      <c r="DB131" s="600">
        <f>WWWW[[#This Row],['# students access to functioning school latrines_HRP5]]+WWWW[[#This Row],['# People access to functioning latrines in THF_HRP5]]</f>
        <v>100</v>
      </c>
      <c r="DC131" s="600">
        <f>ROUND(IF(WWWW[[#This Row],[Location Type 1]]="camp",WWWW[[#This Row],[Total PoP ]]/20,IF(WWWW[[#This Row],[Location Type 1]]="Temporary Location",WWWW[[#This Row],[Total PoP ]]/50,WWWW[[#This Row],[Total HH]])),0)</f>
        <v>205</v>
      </c>
      <c r="DD131" s="600">
        <f>IF(WWWW[[#This Row],[Total required Latrines]]-(WWWW[[#This Row],['#_Constructed latrines_by_WASHAgencies]]+WWWW[[#This Row],['#_Non Cluster partner latrines]])&lt;0,0,WWWW[[#This Row],[Total required Latrines]]-(WWWW[[#This Row],['#_Constructed latrines_by_WASHAgencies]]+WWWW[[#This Row],['#_Non Cluster partner latrines]]))</f>
        <v>0</v>
      </c>
      <c r="DE131" s="602">
        <f>1-WWWW[[#This Row],[% people access to functioning Latrine]]</f>
        <v>4.8282265552460513E-2</v>
      </c>
      <c r="DF131" s="601">
        <f>IF(OR(WWWW[[#This Row],['#_Non-functional latrines]]="",WWWW[[#This Row],['#_Non-functional latrines]]=0),0,WWWW[[#This Row],['#_Non-functional latrines]]/(WWWW[[#This Row],['#_Constructed latrines_by_WASHAgencies]]+WWWW[[#This Row],['#_Non Cluster partner latrines]]))</f>
        <v>0</v>
      </c>
      <c r="DG131" s="597">
        <f>IF(500*(WWWW[[#This Row],['#_male hygiene promoters]]+WWWW[[#This Row],['#_female hygiene promoters]])&gt;WWWW[[#This Row],[Total PoP ]],WWWW[[#This Row],[Total PoP ]],500*(WWWW[[#This Row],['#_male hygiene promoters]]+WWWW[[#This Row],['#_female hygiene promoters]]))</f>
        <v>500</v>
      </c>
      <c r="DH13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1" s="600">
        <f>IF(WWWW[[#This Row],['# People with access to soap]]&gt;WWWW[[#This Row],['# People with access to Sanity Pads]],WWWW[[#This Row],['# People with access to soap]],WWWW[[#This Row],['# People with access to Sanity Pads]])</f>
        <v>0</v>
      </c>
      <c r="DK131" s="60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131" s="602">
        <f>IF(WWWW[[#This Row],[HRP3]]/WWWW[[#This Row],[Total PoP ]]&gt;1,1,WWWW[[#This Row],[HRP3]]/WWWW[[#This Row],[Total PoP ]])</f>
        <v>0.46425255338904364</v>
      </c>
      <c r="DM131" s="601">
        <f>1-WWWW[[#This Row],[Hygiene Coverage%]]</f>
        <v>0.53574744661095641</v>
      </c>
      <c r="DN131" s="599">
        <f>WWWW[[#This Row],['# people reached by regular dedicated hygiene promotion_5]]/WWWW[[#This Row],[Total PoP ]]</f>
        <v>0.46425255338904364</v>
      </c>
      <c r="DO13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1" s="600">
        <f>WWWW[[#This Row],['#_Constructed/Existing hand washing stations]]-WWWW[[#This Row],['#_Non-Functional_hand_washing_stations]]</f>
        <v>2</v>
      </c>
      <c r="DR131" s="597">
        <f>IF(WWWW[[#This Row],['# Functional hand washing stations during reporting period]]*20&gt;WWWW[[#This Row],[Total HH]],WWWW[[#This Row],[Total HH]],WWWW[[#This Row],['# Functional hand washing stations during reporting period]]*20)</f>
        <v>40</v>
      </c>
      <c r="DS131" s="597">
        <f>IF(WWWW[[#This Row],[Is sufficient soap available for TLS? (Yes/No)]]="yes",WWWW[[#This Row],['#_Constructed/Existing hand washing stations at TLS]],0)</f>
        <v>0</v>
      </c>
      <c r="DT131" s="479">
        <f>IF(WWWW[[#This Row],['# Functional hand washing stations during reporting period]]*100&gt;WWWW[[#This Row],[Total PoP ]],WWWW[[#This Row],[Total PoP ]],WWWW[[#This Row],['# Functional hand washing stations during reporting period]]*100)</f>
        <v>200</v>
      </c>
      <c r="DU131" s="479" t="str">
        <f>IF(OR(WWWW[[#This Row],['#_students at TLS_CFS]]="",WWWW[[#This Row],['#_students at TLS_CFS]]=0),"No","Yes")</f>
        <v>Yes</v>
      </c>
      <c r="DV13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131" s="593" t="str">
        <f>VLOOKUP(WWWW[[#This Row],[Site Name]],SiteDB6[[Site Name]:[CCCM Management]],6,FALSE)</f>
        <v>Yes</v>
      </c>
      <c r="DZ131" s="593" t="str">
        <f>VLOOKUP(WWWW[[#This Row],[Site Name]],SiteDB6[[Site Name]:[CCCM Focal Agency]],7,FALSE)</f>
        <v>KBC-NSS</v>
      </c>
      <c r="EA131" s="593" t="str">
        <f>VLOOKUP(WWWW[[#This Row],[Site Name]],SiteDB6[[Site Name]:[Location Type 1]],9,FALSE)</f>
        <v>Village Type Camp</v>
      </c>
      <c r="EB131" s="593" t="str">
        <f>VLOOKUP(WWWW[[#This Row],[Site Name]],SiteDB6[[Site Name]:[Type of Accommodation]],10,FALSE)</f>
        <v>Camp</v>
      </c>
      <c r="EC131" s="593" t="str">
        <f>VLOOKUP(WWWW[[#This Row],[Site Name]],SiteDB6[[Site Name]:[Ethnic or GCA/NGCA]],11,FALSE)</f>
        <v>GCA</v>
      </c>
      <c r="ED131" s="593">
        <f>VLOOKUP(WWWW[[#This Row],[Site Name]],SiteDB6[[Site Name]:[Lat]],12,FALSE)</f>
        <v>23.38503</v>
      </c>
      <c r="EE131" s="593">
        <f>VLOOKUP(WWWW[[#This Row],[Site Name]],SiteDB6[[Site Name]:[Long]],13,FALSE)</f>
        <v>97.837040000000002</v>
      </c>
      <c r="EF131" s="593" t="str">
        <f>VLOOKUP(WWWW[[#This Row],[Site Name]],SiteDB6[[Site Name]:[Pcode]],3,FALSE)</f>
        <v>MMR015CMP020</v>
      </c>
      <c r="EG131" s="598" t="str">
        <f t="shared" si="1"/>
        <v>Covered</v>
      </c>
      <c r="EH131" s="598" t="str">
        <f>VLOOKUP(WWWW[[#This Row],[Site Name]],SiteDB6[[Site Name]:[open in cccm?]],2,FALSE)</f>
        <v>cccm_2019OCT</v>
      </c>
    </row>
    <row r="132" spans="1:138" hidden="1">
      <c r="A132" s="591" t="s">
        <v>3261</v>
      </c>
      <c r="B132" s="591" t="s">
        <v>3293</v>
      </c>
      <c r="C132" s="591" t="s">
        <v>3293</v>
      </c>
      <c r="D132" s="404" t="s">
        <v>3292</v>
      </c>
      <c r="E132" s="592" t="s">
        <v>711</v>
      </c>
      <c r="F132" s="592" t="s">
        <v>718</v>
      </c>
      <c r="G132" s="721" t="str">
        <f>VLOOKUP(WWWW[[#This Row],[Site Name]],SiteDB6[[Site Name]:[Location Type]],8,FALSE)</f>
        <v>Camp</v>
      </c>
      <c r="H132" s="592" t="s">
        <v>719</v>
      </c>
      <c r="I132" s="594">
        <v>29</v>
      </c>
      <c r="J132" s="594">
        <v>235</v>
      </c>
      <c r="K132" s="595" t="s">
        <v>3289</v>
      </c>
      <c r="L132" s="596" t="s">
        <v>3290</v>
      </c>
      <c r="M132" s="594">
        <v>48</v>
      </c>
      <c r="N132" s="594">
        <v>2</v>
      </c>
      <c r="O132" s="594"/>
      <c r="P132" s="594"/>
      <c r="Q132" s="597" t="s">
        <v>43</v>
      </c>
      <c r="R132" s="594">
        <v>2</v>
      </c>
      <c r="S132" s="594"/>
      <c r="T132" s="523">
        <v>1</v>
      </c>
      <c r="U132" s="594"/>
      <c r="V132" s="594"/>
      <c r="W132" s="594">
        <v>2</v>
      </c>
      <c r="X132" s="594"/>
      <c r="Y132" s="594"/>
      <c r="Z132" s="594"/>
      <c r="AA132" s="594"/>
      <c r="AB132" s="594"/>
      <c r="AC132" s="594"/>
      <c r="AD132" s="594"/>
      <c r="AE132" s="594">
        <v>2</v>
      </c>
      <c r="AF132" s="594"/>
      <c r="AG132" s="594">
        <v>1</v>
      </c>
      <c r="AH132" s="594">
        <v>1</v>
      </c>
      <c r="AI132" s="594"/>
      <c r="AJ132" s="594"/>
      <c r="AK132" s="594"/>
      <c r="AL132" s="594"/>
      <c r="AM132" s="594">
        <v>4</v>
      </c>
      <c r="AN132" s="594"/>
      <c r="AO132" s="598"/>
      <c r="AP132" s="594">
        <v>8</v>
      </c>
      <c r="AQ132" s="594"/>
      <c r="AR132" s="599"/>
      <c r="AS132" s="594"/>
      <c r="AT132" s="594"/>
      <c r="AU132" s="594"/>
      <c r="AV132" s="594"/>
      <c r="AW132" s="594">
        <v>8</v>
      </c>
      <c r="AX132" s="593" t="s">
        <v>43</v>
      </c>
      <c r="AY132" s="598" t="s">
        <v>140</v>
      </c>
      <c r="AZ132" s="594"/>
      <c r="BA132" s="594"/>
      <c r="BB132" s="594">
        <v>0</v>
      </c>
      <c r="BC132" s="594"/>
      <c r="BD132" s="523"/>
      <c r="BE132" s="593"/>
      <c r="BF132" s="594">
        <v>4</v>
      </c>
      <c r="BG132" s="594"/>
      <c r="BH132" s="594">
        <v>0</v>
      </c>
      <c r="BI132" s="594">
        <v>2</v>
      </c>
      <c r="BJ132" s="594"/>
      <c r="BK132" s="594"/>
      <c r="BL132" s="594">
        <v>2</v>
      </c>
      <c r="BM132" s="594"/>
      <c r="BN132" s="594"/>
      <c r="BO132" s="474" t="s">
        <v>43</v>
      </c>
      <c r="BP132" s="594">
        <v>10</v>
      </c>
      <c r="BQ132" s="599">
        <v>0.45</v>
      </c>
      <c r="BR132" s="593"/>
      <c r="BS132" s="472"/>
      <c r="BT132" s="472"/>
      <c r="BU132" s="523"/>
      <c r="BV132" s="472"/>
      <c r="BW132" s="523"/>
      <c r="BX132" s="523"/>
      <c r="BY132" s="523"/>
      <c r="BZ132" s="601" t="str">
        <f>IFERROR(WWWW[[#This Row],['#_Water sources passed]]/WWWW[[#This Row],['#_Water sources tested for fecal coliform ]],"no test")</f>
        <v>no test</v>
      </c>
      <c r="CA132" s="599" t="str">
        <f>IFERROR(WWWW[[#This Row],['#_Household passed]]/WWWW[[#This Row],['#_Household water samples tested for fecal coliform]],"no test")</f>
        <v>no test</v>
      </c>
      <c r="CB132" s="600" t="str">
        <f>IF(AND(WWWW[[#This Row],[% of water sources passed]]="no test",WWWW[[#This Row],[% Household passed]]="no test"),"No Test","Tested")</f>
        <v>No Test</v>
      </c>
      <c r="CC132" s="600">
        <f>WWWW[[#This Row],['#_Constructed/existing protected hand dug well]]-WWWW[[#This Row],['#_Non-functional protected hand dug well]]</f>
        <v>1</v>
      </c>
      <c r="CD132" s="600">
        <f>(WWWW[[#This Row],['#_Constructed/Existing tube wells/boreholes/handpumps_WASH_agency]]+WWWW[[#This Row],['#_Non-Cluster partner water tube-wells/boreholes/handpumps]])-WWWW[[#This Row],['#_Non-functional tube wells/boreholes/handpumps]]</f>
        <v>2</v>
      </c>
      <c r="CE132" s="600">
        <f>WWWW[[#This Row],['#_Constructed/Existingwater storage tank with gravity fed reticulation system]]-WWWW[[#This Row],['#_Non-functional storage tank gravity fed reticulation system]]</f>
        <v>0</v>
      </c>
      <c r="CF132" s="478">
        <f>(WWWW[[#This Row],['#_Water_Liters_supplied_by_Water boating or water trucking]]/90)/15</f>
        <v>0</v>
      </c>
      <c r="CG132" s="478">
        <f>WWWW[[#This Row],['#_Water_Liters_from_Constructed/Existing water distribution system from river or natural spring]]/90/15</f>
        <v>0</v>
      </c>
      <c r="CH132" s="478">
        <f>WWWW[[#This Row],['#_of water points in TLS/CFS /THF]]*500</f>
        <v>0</v>
      </c>
      <c r="CI13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2" s="599">
        <f>IF(WWWW[[#This Row],[Location Type 1]]="Village",WWWW[[#This Row],[Access to safe drinking water for Village]],WWWW[[#This Row],[Access to safe drinking water for Camp]])</f>
        <v>1</v>
      </c>
      <c r="CL132" s="597">
        <f>WWWW[[#This Row],[%Equitable and continuous access to sufficient quantity of safe drinking water]]*WWWW[[#This Row],[Total PoP ]]</f>
        <v>235</v>
      </c>
      <c r="CM132" s="599">
        <f>IF((WWWW[[#This Row],['#_Constructed/Existing protected/fenced ponds]]*250)/WWWW[[#This Row],[Total PoP ]]&gt;1,1,(WWWW[[#This Row],['#_Constructed/Existing protected/fenced ponds]]*250)/WWWW[[#This Row],[Total PoP ]])</f>
        <v>1</v>
      </c>
      <c r="CN132" s="597">
        <f>WWWW[[#This Row],[% Access to unimproved water points]]*WWWW[[#This Row],[Total PoP ]]</f>
        <v>235</v>
      </c>
      <c r="CO13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132" s="597">
        <f>WWWW[[#This Row],[HRP1]]/500</f>
        <v>0.47</v>
      </c>
      <c r="CR132" s="602">
        <f>1-WWWW[[#This Row],[% Equitable and continuous access to sufficient quantity of domestic water]]</f>
        <v>0</v>
      </c>
      <c r="CS132" s="597">
        <f>WWWW[[#This Row],[%equitable and continuous access to sufficient quantity of safe drinking and domestic water''s GAP]]*WWWW[[#This Row],[Total PoP ]]</f>
        <v>0</v>
      </c>
      <c r="CT132" s="600">
        <f>IF(WWWW[[#This Row],[Total required water points]]-WWWW[[#This Row],['#Water points coverage]]&lt;0,0,WWWW[[#This Row],[Total required water points]]-WWWW[[#This Row],['#Water points coverage]])</f>
        <v>0.53</v>
      </c>
      <c r="CU132" s="600">
        <f>ROUND(IF(WWWW[[#This Row],[Total PoP ]]&lt;500,1,WWWW[[#This Row],[Total PoP ]]/500),0)</f>
        <v>1</v>
      </c>
      <c r="CV132" s="600">
        <f>(WWWW[[#This Row],['#_Constructed latrines_by_WASHAgencies]]+WWWW[[#This Row],['#_Non Cluster partner latrines]])-WWWW[[#This Row],['#_Non-functional latrines]]</f>
        <v>8</v>
      </c>
      <c r="CW132" s="70">
        <f>WWWW[[#This Row],[HRP2]]/WWWW[[#This Row],[Total PoP ]]</f>
        <v>0.68085106382978722</v>
      </c>
      <c r="CX13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13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2" s="600">
        <f>IF(WWWW[[#This Row],['# of functional latrines in THF supported by WASH partners during the reporting period2]]="",0,WWWW[[#This Row],['# of functional latrines in THF supported by WASH partners during the reporting period2]]*50)</f>
        <v>0</v>
      </c>
      <c r="DB132" s="600">
        <f>WWWW[[#This Row],['# students access to functioning school latrines_HRP5]]+WWWW[[#This Row],['# People access to functioning latrines in THF_HRP5]]</f>
        <v>0</v>
      </c>
      <c r="DC132" s="600">
        <f>ROUND(IF(WWWW[[#This Row],[Location Type 1]]="camp",WWWW[[#This Row],[Total PoP ]]/20,IF(WWWW[[#This Row],[Location Type 1]]="Temporary Location",WWWW[[#This Row],[Total PoP ]]/50,WWWW[[#This Row],[Total HH]])),0)</f>
        <v>12</v>
      </c>
      <c r="DD132" s="600">
        <f>IF(WWWW[[#This Row],[Total required Latrines]]-(WWWW[[#This Row],['#_Constructed latrines_by_WASHAgencies]]+WWWW[[#This Row],['#_Non Cluster partner latrines]])&lt;0,0,WWWW[[#This Row],[Total required Latrines]]-(WWWW[[#This Row],['#_Constructed latrines_by_WASHAgencies]]+WWWW[[#This Row],['#_Non Cluster partner latrines]]))</f>
        <v>4</v>
      </c>
      <c r="DE132" s="602">
        <f>1-WWWW[[#This Row],[% people access to functioning Latrine]]</f>
        <v>0.31914893617021278</v>
      </c>
      <c r="DF132" s="601">
        <f>IF(OR(WWWW[[#This Row],['#_Non-functional latrines]]="",WWWW[[#This Row],['#_Non-functional latrines]]=0),0,WWWW[[#This Row],['#_Non-functional latrines]]/(WWWW[[#This Row],['#_Constructed latrines_by_WASHAgencies]]+WWWW[[#This Row],['#_Non Cluster partner latrines]]))</f>
        <v>0</v>
      </c>
      <c r="DG132" s="597">
        <f>IF(500*(WWWW[[#This Row],['#_male hygiene promoters]]+WWWW[[#This Row],['#_female hygiene promoters]])&gt;WWWW[[#This Row],[Total PoP ]],WWWW[[#This Row],[Total PoP ]],500*(WWWW[[#This Row],['#_male hygiene promoters]]+WWWW[[#This Row],['#_female hygiene promoters]]))</f>
        <v>235</v>
      </c>
      <c r="DH13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2" s="600">
        <f>IF(WWWW[[#This Row],['# People with access to soap]]&gt;WWWW[[#This Row],['# People with access to Sanity Pads]],WWWW[[#This Row],['# People with access to soap]],WWWW[[#This Row],['# People with access to Sanity Pads]])</f>
        <v>0</v>
      </c>
      <c r="DK132" s="600">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132" s="602">
        <f>IF(WWWW[[#This Row],[HRP3]]/WWWW[[#This Row],[Total PoP ]]&gt;1,1,WWWW[[#This Row],[HRP3]]/WWWW[[#This Row],[Total PoP ]])</f>
        <v>1</v>
      </c>
      <c r="DM132" s="601">
        <f>1-WWWW[[#This Row],[Hygiene Coverage%]]</f>
        <v>0</v>
      </c>
      <c r="DN132" s="599">
        <f>WWWW[[#This Row],['# people reached by regular dedicated hygiene promotion_5]]/WWWW[[#This Row],[Total PoP ]]</f>
        <v>1</v>
      </c>
      <c r="DO13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2" s="600">
        <f>WWWW[[#This Row],['#_Constructed/Existing hand washing stations]]-WWWW[[#This Row],['#_Non-Functional_hand_washing_stations]]</f>
        <v>4</v>
      </c>
      <c r="DR132" s="597">
        <f>IF(WWWW[[#This Row],['# Functional hand washing stations during reporting period]]*20&gt;WWWW[[#This Row],[Total HH]],WWWW[[#This Row],[Total HH]],WWWW[[#This Row],['# Functional hand washing stations during reporting period]]*20)</f>
        <v>29</v>
      </c>
      <c r="DS132" s="597">
        <f>IF(WWWW[[#This Row],[Is sufficient soap available for TLS? (Yes/No)]]="yes",WWWW[[#This Row],['#_Constructed/Existing hand washing stations at TLS]],0)</f>
        <v>4</v>
      </c>
      <c r="DT132" s="479">
        <f>IF(WWWW[[#This Row],['# Functional hand washing stations during reporting period]]*100&gt;WWWW[[#This Row],[Total PoP ]],WWWW[[#This Row],[Total PoP ]],WWWW[[#This Row],['# Functional hand washing stations during reporting period]]*100)</f>
        <v>235</v>
      </c>
      <c r="DU132" s="479" t="str">
        <f>IF(OR(WWWW[[#This Row],['#_students at TLS_CFS]]="",WWWW[[#This Row],['#_students at TLS_CFS]]=0),"No","Yes")</f>
        <v>Yes</v>
      </c>
      <c r="DV13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2" s="593" t="str">
        <f>VLOOKUP(WWWW[[#This Row],[Site Name]],SiteDB6[[Site Name]:[CCCM Management]],6,FALSE)</f>
        <v>Yes</v>
      </c>
      <c r="DZ132" s="593" t="str">
        <f>VLOOKUP(WWWW[[#This Row],[Site Name]],SiteDB6[[Site Name]:[CCCM Focal Agency]],7,FALSE)</f>
        <v>KMSS-LSO</v>
      </c>
      <c r="EA132" s="593" t="str">
        <f>VLOOKUP(WWWW[[#This Row],[Site Name]],SiteDB6[[Site Name]:[Location Type 1]],9,FALSE)</f>
        <v>Camp</v>
      </c>
      <c r="EB132" s="593" t="str">
        <f>VLOOKUP(WWWW[[#This Row],[Site Name]],SiteDB6[[Site Name]:[Type of Accommodation]],10,FALSE)</f>
        <v>Camp</v>
      </c>
      <c r="EC132" s="593" t="str">
        <f>VLOOKUP(WWWW[[#This Row],[Site Name]],SiteDB6[[Site Name]:[Ethnic or GCA/NGCA]],11,FALSE)</f>
        <v>GCA</v>
      </c>
      <c r="ED132" s="593">
        <f>VLOOKUP(WWWW[[#This Row],[Site Name]],SiteDB6[[Site Name]:[Lat]],12,FALSE)</f>
        <v>23.24661</v>
      </c>
      <c r="EE132" s="593">
        <f>VLOOKUP(WWWW[[#This Row],[Site Name]],SiteDB6[[Site Name]:[Long]],13,FALSE)</f>
        <v>97.116680000000002</v>
      </c>
      <c r="EF132" s="593" t="str">
        <f>VLOOKUP(WWWW[[#This Row],[Site Name]],SiteDB6[[Site Name]:[Pcode]],3,FALSE)</f>
        <v>MMR015CMP209</v>
      </c>
      <c r="EG132" s="598" t="str">
        <f t="shared" si="1"/>
        <v>Covered</v>
      </c>
      <c r="EH132" s="598" t="str">
        <f>VLOOKUP(WWWW[[#This Row],[Site Name]],SiteDB6[[Site Name]:[open in cccm?]],2,FALSE)</f>
        <v>cccm_2019OCT</v>
      </c>
    </row>
    <row r="133" spans="1:138" hidden="1">
      <c r="A133" s="591" t="s">
        <v>3261</v>
      </c>
      <c r="B133" s="591" t="s">
        <v>3293</v>
      </c>
      <c r="C133" s="591" t="s">
        <v>3293</v>
      </c>
      <c r="D133" s="404" t="s">
        <v>3292</v>
      </c>
      <c r="E133" s="592" t="s">
        <v>711</v>
      </c>
      <c r="F133" s="592" t="s">
        <v>712</v>
      </c>
      <c r="G133" s="721" t="str">
        <f>VLOOKUP(WWWW[[#This Row],[Site Name]],SiteDB6[[Site Name]:[Location Type]],8,FALSE)</f>
        <v>Camp</v>
      </c>
      <c r="H133" s="592" t="s">
        <v>723</v>
      </c>
      <c r="I133" s="594">
        <v>76</v>
      </c>
      <c r="J133" s="594">
        <v>390</v>
      </c>
      <c r="K133" s="595" t="s">
        <v>3289</v>
      </c>
      <c r="L133" s="596" t="s">
        <v>3290</v>
      </c>
      <c r="M133" s="594"/>
      <c r="N133" s="594">
        <v>2</v>
      </c>
      <c r="O133" s="594"/>
      <c r="P133" s="594"/>
      <c r="Q133" s="597" t="s">
        <v>43</v>
      </c>
      <c r="R133" s="594">
        <v>7</v>
      </c>
      <c r="S133" s="594">
        <v>4</v>
      </c>
      <c r="T133" s="523">
        <v>0</v>
      </c>
      <c r="U133" s="594"/>
      <c r="V133" s="594"/>
      <c r="W133" s="594">
        <v>1</v>
      </c>
      <c r="X133" s="594"/>
      <c r="Y133" s="594"/>
      <c r="Z133" s="594"/>
      <c r="AA133" s="594">
        <v>1</v>
      </c>
      <c r="AB133" s="594"/>
      <c r="AC133" s="594"/>
      <c r="AD133" s="594"/>
      <c r="AE133" s="594"/>
      <c r="AF133" s="594"/>
      <c r="AG133" s="594">
        <v>1</v>
      </c>
      <c r="AH133" s="594">
        <v>2</v>
      </c>
      <c r="AI133" s="594"/>
      <c r="AJ133" s="594"/>
      <c r="AK133" s="594"/>
      <c r="AL133" s="594"/>
      <c r="AM133" s="594">
        <v>8</v>
      </c>
      <c r="AN133" s="594"/>
      <c r="AO133" s="598"/>
      <c r="AP133" s="594">
        <v>14</v>
      </c>
      <c r="AQ133" s="594">
        <v>6</v>
      </c>
      <c r="AR133" s="599"/>
      <c r="AS133" s="594"/>
      <c r="AT133" s="594">
        <v>1</v>
      </c>
      <c r="AU133" s="594"/>
      <c r="AV133" s="594"/>
      <c r="AW133" s="594">
        <v>14</v>
      </c>
      <c r="AX133" s="593" t="s">
        <v>43</v>
      </c>
      <c r="AY133" s="598" t="s">
        <v>140</v>
      </c>
      <c r="AZ133" s="594"/>
      <c r="BA133" s="594"/>
      <c r="BB133" s="594"/>
      <c r="BC133" s="594"/>
      <c r="BD133" s="523"/>
      <c r="BE133" s="593"/>
      <c r="BF133" s="594">
        <v>8</v>
      </c>
      <c r="BG133" s="594"/>
      <c r="BH133" s="594">
        <v>0</v>
      </c>
      <c r="BI133" s="594">
        <v>2</v>
      </c>
      <c r="BJ133" s="594"/>
      <c r="BK133" s="594">
        <v>1</v>
      </c>
      <c r="BL133" s="594">
        <v>1</v>
      </c>
      <c r="BM133" s="594"/>
      <c r="BN133" s="594"/>
      <c r="BO133" s="474" t="s">
        <v>43</v>
      </c>
      <c r="BP133" s="594">
        <v>10</v>
      </c>
      <c r="BQ133" s="599">
        <v>0.7</v>
      </c>
      <c r="BR133" s="593"/>
      <c r="BS133" s="472"/>
      <c r="BT133" s="472"/>
      <c r="BU133" s="523"/>
      <c r="BV133" s="472"/>
      <c r="BW133" s="523"/>
      <c r="BX133" s="523"/>
      <c r="BY133" s="523"/>
      <c r="BZ133" s="601" t="str">
        <f>IFERROR(WWWW[[#This Row],['#_Water sources passed]]/WWWW[[#This Row],['#_Water sources tested for fecal coliform ]],"no test")</f>
        <v>no test</v>
      </c>
      <c r="CA133" s="599" t="str">
        <f>IFERROR(WWWW[[#This Row],['#_Household passed]]/WWWW[[#This Row],['#_Household water samples tested for fecal coliform]],"no test")</f>
        <v>no test</v>
      </c>
      <c r="CB133" s="600" t="str">
        <f>IF(AND(WWWW[[#This Row],[% of water sources passed]]="no test",WWWW[[#This Row],[% Household passed]]="no test"),"No Test","Tested")</f>
        <v>No Test</v>
      </c>
      <c r="CC133" s="600">
        <f>WWWW[[#This Row],['#_Constructed/existing protected hand dug well]]-WWWW[[#This Row],['#_Non-functional protected hand dug well]]</f>
        <v>0</v>
      </c>
      <c r="CD133" s="600">
        <f>(WWWW[[#This Row],['#_Constructed/Existing tube wells/boreholes/handpumps_WASH_agency]]+WWWW[[#This Row],['#_Non-Cluster partner water tube-wells/boreholes/handpumps]])-WWWW[[#This Row],['#_Non-functional tube wells/boreholes/handpumps]]</f>
        <v>1</v>
      </c>
      <c r="CE133" s="600">
        <f>WWWW[[#This Row],['#_Constructed/Existingwater storage tank with gravity fed reticulation system]]-WWWW[[#This Row],['#_Non-functional storage tank gravity fed reticulation system]]</f>
        <v>1</v>
      </c>
      <c r="CF133" s="478">
        <f>(WWWW[[#This Row],['#_Water_Liters_supplied_by_Water boating or water trucking]]/90)/15</f>
        <v>0</v>
      </c>
      <c r="CG133" s="478">
        <f>WWWW[[#This Row],['#_Water_Liters_from_Constructed/Existing water distribution system from river or natural spring]]/90/15</f>
        <v>0</v>
      </c>
      <c r="CH133" s="478">
        <f>WWWW[[#This Row],['#_of water points in TLS/CFS /THF]]*500</f>
        <v>0</v>
      </c>
      <c r="CI13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0.81196581196581197</v>
      </c>
      <c r="CK133" s="599">
        <f>IF(WWWW[[#This Row],[Location Type 1]]="Village",WWWW[[#This Row],[Access to safe drinking water for Village]],WWWW[[#This Row],[Access to safe drinking water for Camp]])</f>
        <v>1</v>
      </c>
      <c r="CL133" s="597">
        <f>WWWW[[#This Row],[%Equitable and continuous access to sufficient quantity of safe drinking water]]*WWWW[[#This Row],[Total PoP ]]</f>
        <v>390</v>
      </c>
      <c r="CM133" s="599">
        <f>IF((WWWW[[#This Row],['#_Constructed/Existing protected/fenced ponds]]*250)/WWWW[[#This Row],[Total PoP ]]&gt;1,1,(WWWW[[#This Row],['#_Constructed/Existing protected/fenced ponds]]*250)/WWWW[[#This Row],[Total PoP ]])</f>
        <v>0</v>
      </c>
      <c r="CN133" s="597">
        <f>WWWW[[#This Row],[% Access to unimproved water points]]*WWWW[[#This Row],[Total PoP ]]</f>
        <v>0</v>
      </c>
      <c r="CO13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CQ133" s="597">
        <f>WWWW[[#This Row],[HRP1]]/500</f>
        <v>0.78</v>
      </c>
      <c r="CR133" s="602">
        <f>1-WWWW[[#This Row],[% Equitable and continuous access to sufficient quantity of domestic water]]</f>
        <v>0</v>
      </c>
      <c r="CS133" s="597">
        <f>WWWW[[#This Row],[%equitable and continuous access to sufficient quantity of safe drinking and domestic water''s GAP]]*WWWW[[#This Row],[Total PoP ]]</f>
        <v>0</v>
      </c>
      <c r="CT133" s="600">
        <f>IF(WWWW[[#This Row],[Total required water points]]-WWWW[[#This Row],['#Water points coverage]]&lt;0,0,WWWW[[#This Row],[Total required water points]]-WWWW[[#This Row],['#Water points coverage]])</f>
        <v>0.21999999999999997</v>
      </c>
      <c r="CU133" s="600">
        <f>ROUND(IF(WWWW[[#This Row],[Total PoP ]]&lt;500,1,WWWW[[#This Row],[Total PoP ]]/500),0)</f>
        <v>1</v>
      </c>
      <c r="CV133" s="600">
        <f>(WWWW[[#This Row],['#_Constructed latrines_by_WASHAgencies]]+WWWW[[#This Row],['#_Non Cluster partner latrines]])-WWWW[[#This Row],['#_Non-functional latrines]]</f>
        <v>20</v>
      </c>
      <c r="CW133" s="70">
        <f>WWWW[[#This Row],[HRP2]]/WWWW[[#This Row],[Total PoP ]]</f>
        <v>1</v>
      </c>
      <c r="CX13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390</v>
      </c>
      <c r="CY13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3" s="600">
        <f>IF(WWWW[[#This Row],['# of functional latrines in THF supported by WASH partners during the reporting period2]]="",0,WWWW[[#This Row],['# of functional latrines in THF supported by WASH partners during the reporting period2]]*50)</f>
        <v>0</v>
      </c>
      <c r="DB133" s="600">
        <f>WWWW[[#This Row],['# students access to functioning school latrines_HRP5]]+WWWW[[#This Row],['# People access to functioning latrines in THF_HRP5]]</f>
        <v>0</v>
      </c>
      <c r="DC133" s="600">
        <f>ROUND(IF(WWWW[[#This Row],[Location Type 1]]="camp",WWWW[[#This Row],[Total PoP ]]/20,IF(WWWW[[#This Row],[Location Type 1]]="Temporary Location",WWWW[[#This Row],[Total PoP ]]/50,WWWW[[#This Row],[Total HH]])),0)</f>
        <v>20</v>
      </c>
      <c r="DD133" s="600">
        <f>IF(WWWW[[#This Row],[Total required Latrines]]-(WWWW[[#This Row],['#_Constructed latrines_by_WASHAgencies]]+WWWW[[#This Row],['#_Non Cluster partner latrines]])&lt;0,0,WWWW[[#This Row],[Total required Latrines]]-(WWWW[[#This Row],['#_Constructed latrines_by_WASHAgencies]]+WWWW[[#This Row],['#_Non Cluster partner latrines]]))</f>
        <v>0</v>
      </c>
      <c r="DE133" s="602">
        <f>1-WWWW[[#This Row],[% people access to functioning Latrine]]</f>
        <v>0</v>
      </c>
      <c r="DF133" s="601">
        <f>IF(OR(WWWW[[#This Row],['#_Non-functional latrines]]="",WWWW[[#This Row],['#_Non-functional latrines]]=0),0,WWWW[[#This Row],['#_Non-functional latrines]]/(WWWW[[#This Row],['#_Constructed latrines_by_WASHAgencies]]+WWWW[[#This Row],['#_Non Cluster partner latrines]]))</f>
        <v>0</v>
      </c>
      <c r="DG133" s="597">
        <f>IF(500*(WWWW[[#This Row],['#_male hygiene promoters]]+WWWW[[#This Row],['#_female hygiene promoters]])&gt;WWWW[[#This Row],[Total PoP ]],WWWW[[#This Row],[Total PoP ]],500*(WWWW[[#This Row],['#_male hygiene promoters]]+WWWW[[#This Row],['#_female hygiene promoters]]))</f>
        <v>390</v>
      </c>
      <c r="DH13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3" s="600">
        <f>IF(WWWW[[#This Row],['# People with access to soap]]&gt;WWWW[[#This Row],['# People with access to Sanity Pads]],WWWW[[#This Row],['# People with access to soap]],WWWW[[#This Row],['# People with access to Sanity Pads]])</f>
        <v>0</v>
      </c>
      <c r="DK133" s="600">
        <f>IF(WWWW[[#This Row],['# people reached by regular dedicated hygiene promotion_5]]&gt;WWWW[[#This Row],['# People received regular supply of hygiene items_6]],WWWW[[#This Row],['# people reached by regular dedicated hygiene promotion_5]],WWWW[[#This Row],['# People received regular supply of hygiene items_6]])</f>
        <v>390</v>
      </c>
      <c r="DL133" s="602">
        <f>IF(WWWW[[#This Row],[HRP3]]/WWWW[[#This Row],[Total PoP ]]&gt;1,1,WWWW[[#This Row],[HRP3]]/WWWW[[#This Row],[Total PoP ]])</f>
        <v>1</v>
      </c>
      <c r="DM133" s="601">
        <f>1-WWWW[[#This Row],[Hygiene Coverage%]]</f>
        <v>0</v>
      </c>
      <c r="DN133" s="599">
        <f>WWWW[[#This Row],['# people reached by regular dedicated hygiene promotion_5]]/WWWW[[#This Row],[Total PoP ]]</f>
        <v>1</v>
      </c>
      <c r="DO13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3" s="600">
        <f>WWWW[[#This Row],['#_Constructed/Existing hand washing stations]]-WWWW[[#This Row],['#_Non-Functional_hand_washing_stations]]</f>
        <v>8</v>
      </c>
      <c r="DR133" s="597">
        <f>IF(WWWW[[#This Row],['# Functional hand washing stations during reporting period]]*20&gt;WWWW[[#This Row],[Total HH]],WWWW[[#This Row],[Total HH]],WWWW[[#This Row],['# Functional hand washing stations during reporting period]]*20)</f>
        <v>76</v>
      </c>
      <c r="DS133" s="597">
        <f>IF(WWWW[[#This Row],[Is sufficient soap available for TLS? (Yes/No)]]="yes",WWWW[[#This Row],['#_Constructed/Existing hand washing stations at TLS]],0)</f>
        <v>8</v>
      </c>
      <c r="DT133" s="479">
        <f>IF(WWWW[[#This Row],['# Functional hand washing stations during reporting period]]*100&gt;WWWW[[#This Row],[Total PoP ]],WWWW[[#This Row],[Total PoP ]],WWWW[[#This Row],['# Functional hand washing stations during reporting period]]*100)</f>
        <v>390</v>
      </c>
      <c r="DU133" s="479" t="str">
        <f>IF(OR(WWWW[[#This Row],['#_students at TLS_CFS]]="",WWWW[[#This Row],['#_students at TLS_CFS]]=0),"No","Yes")</f>
        <v>No</v>
      </c>
      <c r="DV13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3" s="593" t="str">
        <f>VLOOKUP(WWWW[[#This Row],[Site Name]],SiteDB6[[Site Name]:[CCCM Management]],6,FALSE)</f>
        <v>Yes</v>
      </c>
      <c r="DZ133" s="593" t="str">
        <f>VLOOKUP(WWWW[[#This Row],[Site Name]],SiteDB6[[Site Name]:[CCCM Focal Agency]],7,FALSE)</f>
        <v>KBC-NSS</v>
      </c>
      <c r="EA133" s="593" t="str">
        <f>VLOOKUP(WWWW[[#This Row],[Site Name]],SiteDB6[[Site Name]:[Location Type 1]],9,FALSE)</f>
        <v>Camp</v>
      </c>
      <c r="EB133" s="593" t="str">
        <f>VLOOKUP(WWWW[[#This Row],[Site Name]],SiteDB6[[Site Name]:[Type of Accommodation]],10,FALSE)</f>
        <v>Camp</v>
      </c>
      <c r="EC133" s="593" t="str">
        <f>VLOOKUP(WWWW[[#This Row],[Site Name]],SiteDB6[[Site Name]:[Ethnic or GCA/NGCA]],11,FALSE)</f>
        <v>GCA</v>
      </c>
      <c r="ED133" s="593">
        <f>VLOOKUP(WWWW[[#This Row],[Site Name]],SiteDB6[[Site Name]:[Lat]],12,FALSE)</f>
        <v>23.821380000000001</v>
      </c>
      <c r="EE133" s="593">
        <f>VLOOKUP(WWWW[[#This Row],[Site Name]],SiteDB6[[Site Name]:[Long]],13,FALSE)</f>
        <v>97.681970000000007</v>
      </c>
      <c r="EF133" s="593" t="str">
        <f>VLOOKUP(WWWW[[#This Row],[Site Name]],SiteDB6[[Site Name]:[Pcode]],3,FALSE)</f>
        <v>MMR015CMP004</v>
      </c>
      <c r="EG133" s="598" t="str">
        <f t="shared" si="1"/>
        <v>Covered</v>
      </c>
      <c r="EH133" s="598" t="str">
        <f>VLOOKUP(WWWW[[#This Row],[Site Name]],SiteDB6[[Site Name]:[open in cccm?]],2,FALSE)</f>
        <v>cccm_2019OCT</v>
      </c>
    </row>
    <row r="134" spans="1:138" hidden="1">
      <c r="A134" s="591" t="s">
        <v>3261</v>
      </c>
      <c r="B134" s="591" t="s">
        <v>3293</v>
      </c>
      <c r="C134" s="591" t="s">
        <v>3293</v>
      </c>
      <c r="D134" s="404" t="s">
        <v>3292</v>
      </c>
      <c r="E134" s="592" t="s">
        <v>711</v>
      </c>
      <c r="F134" s="592" t="s">
        <v>712</v>
      </c>
      <c r="G134" s="721" t="str">
        <f>VLOOKUP(WWWW[[#This Row],[Site Name]],SiteDB6[[Site Name]:[Location Type]],8,FALSE)</f>
        <v>Camp</v>
      </c>
      <c r="H134" s="592" t="s">
        <v>713</v>
      </c>
      <c r="I134" s="594">
        <v>43</v>
      </c>
      <c r="J134" s="594">
        <v>212</v>
      </c>
      <c r="K134" s="595" t="s">
        <v>3289</v>
      </c>
      <c r="L134" s="596" t="s">
        <v>3290</v>
      </c>
      <c r="M134" s="594"/>
      <c r="N134" s="594">
        <v>2</v>
      </c>
      <c r="O134" s="594"/>
      <c r="P134" s="594"/>
      <c r="Q134" s="597" t="s">
        <v>43</v>
      </c>
      <c r="R134" s="594">
        <v>3</v>
      </c>
      <c r="S134" s="594">
        <v>5</v>
      </c>
      <c r="T134" s="523">
        <v>1</v>
      </c>
      <c r="U134" s="594"/>
      <c r="V134" s="594"/>
      <c r="W134" s="594">
        <v>2</v>
      </c>
      <c r="X134" s="594"/>
      <c r="Y134" s="594"/>
      <c r="Z134" s="594"/>
      <c r="AA134" s="594"/>
      <c r="AB134" s="594"/>
      <c r="AC134" s="594"/>
      <c r="AD134" s="594"/>
      <c r="AE134" s="594">
        <v>1</v>
      </c>
      <c r="AF134" s="594"/>
      <c r="AG134" s="594">
        <v>1</v>
      </c>
      <c r="AH134" s="594">
        <v>2</v>
      </c>
      <c r="AI134" s="594"/>
      <c r="AJ134" s="594"/>
      <c r="AK134" s="594"/>
      <c r="AL134" s="594"/>
      <c r="AM134" s="594">
        <v>3</v>
      </c>
      <c r="AN134" s="594"/>
      <c r="AO134" s="598"/>
      <c r="AP134" s="594">
        <v>14</v>
      </c>
      <c r="AQ134" s="594"/>
      <c r="AR134" s="599"/>
      <c r="AS134" s="594"/>
      <c r="AT134" s="594">
        <v>2</v>
      </c>
      <c r="AU134" s="594"/>
      <c r="AV134" s="594"/>
      <c r="AW134" s="594">
        <v>14</v>
      </c>
      <c r="AX134" s="593" t="s">
        <v>43</v>
      </c>
      <c r="AY134" s="598" t="s">
        <v>140</v>
      </c>
      <c r="AZ134" s="594"/>
      <c r="BA134" s="594"/>
      <c r="BB134" s="594"/>
      <c r="BC134" s="594"/>
      <c r="BD134" s="523"/>
      <c r="BE134" s="593"/>
      <c r="BF134" s="594">
        <v>3</v>
      </c>
      <c r="BG134" s="594"/>
      <c r="BH134" s="594">
        <v>0</v>
      </c>
      <c r="BI134" s="594">
        <v>2</v>
      </c>
      <c r="BJ134" s="594"/>
      <c r="BK134" s="594">
        <v>1</v>
      </c>
      <c r="BL134" s="594">
        <v>1</v>
      </c>
      <c r="BM134" s="594"/>
      <c r="BN134" s="594"/>
      <c r="BO134" s="474" t="s">
        <v>43</v>
      </c>
      <c r="BP134" s="594">
        <v>9</v>
      </c>
      <c r="BQ134" s="599">
        <v>0.8</v>
      </c>
      <c r="BR134" s="593"/>
      <c r="BS134" s="472"/>
      <c r="BT134" s="472"/>
      <c r="BU134" s="523"/>
      <c r="BV134" s="472"/>
      <c r="BW134" s="523"/>
      <c r="BX134" s="523"/>
      <c r="BY134" s="523"/>
      <c r="BZ134" s="601" t="str">
        <f>IFERROR(WWWW[[#This Row],['#_Water sources passed]]/WWWW[[#This Row],['#_Water sources tested for fecal coliform ]],"no test")</f>
        <v>no test</v>
      </c>
      <c r="CA134" s="599" t="str">
        <f>IFERROR(WWWW[[#This Row],['#_Household passed]]/WWWW[[#This Row],['#_Household water samples tested for fecal coliform]],"no test")</f>
        <v>no test</v>
      </c>
      <c r="CB134" s="600" t="str">
        <f>IF(AND(WWWW[[#This Row],[% of water sources passed]]="no test",WWWW[[#This Row],[% Household passed]]="no test"),"No Test","Tested")</f>
        <v>No Test</v>
      </c>
      <c r="CC134" s="600">
        <f>WWWW[[#This Row],['#_Constructed/existing protected hand dug well]]-WWWW[[#This Row],['#_Non-functional protected hand dug well]]</f>
        <v>1</v>
      </c>
      <c r="CD134" s="600">
        <f>(WWWW[[#This Row],['#_Constructed/Existing tube wells/boreholes/handpumps_WASH_agency]]+WWWW[[#This Row],['#_Non-Cluster partner water tube-wells/boreholes/handpumps]])-WWWW[[#This Row],['#_Non-functional tube wells/boreholes/handpumps]]</f>
        <v>2</v>
      </c>
      <c r="CE134" s="600">
        <f>WWWW[[#This Row],['#_Constructed/Existingwater storage tank with gravity fed reticulation system]]-WWWW[[#This Row],['#_Non-functional storage tank gravity fed reticulation system]]</f>
        <v>0</v>
      </c>
      <c r="CF134" s="478">
        <f>(WWWW[[#This Row],['#_Water_Liters_supplied_by_Water boating or water trucking]]/90)/15</f>
        <v>0</v>
      </c>
      <c r="CG134" s="478">
        <f>WWWW[[#This Row],['#_Water_Liters_from_Constructed/Existing water distribution system from river or natural spring]]/90/15</f>
        <v>0</v>
      </c>
      <c r="CH134" s="478">
        <f>WWWW[[#This Row],['#_of water points in TLS/CFS /THF]]*500</f>
        <v>0</v>
      </c>
      <c r="CI13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3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34" s="599">
        <f>IF(WWWW[[#This Row],[Location Type 1]]="Village",WWWW[[#This Row],[Access to safe drinking water for Village]],WWWW[[#This Row],[Access to safe drinking water for Camp]])</f>
        <v>1</v>
      </c>
      <c r="CL134" s="597">
        <f>WWWW[[#This Row],[%Equitable and continuous access to sufficient quantity of safe drinking water]]*WWWW[[#This Row],[Total PoP ]]</f>
        <v>212</v>
      </c>
      <c r="CM134" s="599">
        <f>IF((WWWW[[#This Row],['#_Constructed/Existing protected/fenced ponds]]*250)/WWWW[[#This Row],[Total PoP ]]&gt;1,1,(WWWW[[#This Row],['#_Constructed/Existing protected/fenced ponds]]*250)/WWWW[[#This Row],[Total PoP ]])</f>
        <v>1</v>
      </c>
      <c r="CN134" s="597">
        <f>WWWW[[#This Row],[% Access to unimproved water points]]*WWWW[[#This Row],[Total PoP ]]</f>
        <v>212</v>
      </c>
      <c r="CO13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3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Q134" s="597">
        <f>WWWW[[#This Row],[HRP1]]/500</f>
        <v>0.42399999999999999</v>
      </c>
      <c r="CR134" s="602">
        <f>1-WWWW[[#This Row],[% Equitable and continuous access to sufficient quantity of domestic water]]</f>
        <v>0</v>
      </c>
      <c r="CS134" s="597">
        <f>WWWW[[#This Row],[%equitable and continuous access to sufficient quantity of safe drinking and domestic water''s GAP]]*WWWW[[#This Row],[Total PoP ]]</f>
        <v>0</v>
      </c>
      <c r="CT134" s="600">
        <f>IF(WWWW[[#This Row],[Total required water points]]-WWWW[[#This Row],['#Water points coverage]]&lt;0,0,WWWW[[#This Row],[Total required water points]]-WWWW[[#This Row],['#Water points coverage]])</f>
        <v>0.57600000000000007</v>
      </c>
      <c r="CU134" s="600">
        <f>ROUND(IF(WWWW[[#This Row],[Total PoP ]]&lt;500,1,WWWW[[#This Row],[Total PoP ]]/500),0)</f>
        <v>1</v>
      </c>
      <c r="CV134" s="600">
        <f>(WWWW[[#This Row],['#_Constructed latrines_by_WASHAgencies]]+WWWW[[#This Row],['#_Non Cluster partner latrines]])-WWWW[[#This Row],['#_Non-functional latrines]]</f>
        <v>14</v>
      </c>
      <c r="CW134" s="70">
        <f>WWWW[[#This Row],[HRP2]]/WWWW[[#This Row],[Total PoP ]]</f>
        <v>1</v>
      </c>
      <c r="CX13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212</v>
      </c>
      <c r="CY13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4" s="600">
        <f>IF(WWWW[[#This Row],['# of functional latrines in THF supported by WASH partners during the reporting period2]]="",0,WWWW[[#This Row],['# of functional latrines in THF supported by WASH partners during the reporting period2]]*50)</f>
        <v>0</v>
      </c>
      <c r="DB134" s="600">
        <f>WWWW[[#This Row],['# students access to functioning school latrines_HRP5]]+WWWW[[#This Row],['# People access to functioning latrines in THF_HRP5]]</f>
        <v>0</v>
      </c>
      <c r="DC134" s="600">
        <f>ROUND(IF(WWWW[[#This Row],[Location Type 1]]="camp",WWWW[[#This Row],[Total PoP ]]/20,IF(WWWW[[#This Row],[Location Type 1]]="Temporary Location",WWWW[[#This Row],[Total PoP ]]/50,WWWW[[#This Row],[Total HH]])),0)</f>
        <v>11</v>
      </c>
      <c r="DD134" s="600">
        <f>IF(WWWW[[#This Row],[Total required Latrines]]-(WWWW[[#This Row],['#_Constructed latrines_by_WASHAgencies]]+WWWW[[#This Row],['#_Non Cluster partner latrines]])&lt;0,0,WWWW[[#This Row],[Total required Latrines]]-(WWWW[[#This Row],['#_Constructed latrines_by_WASHAgencies]]+WWWW[[#This Row],['#_Non Cluster partner latrines]]))</f>
        <v>0</v>
      </c>
      <c r="DE134" s="602">
        <f>1-WWWW[[#This Row],[% people access to functioning Latrine]]</f>
        <v>0</v>
      </c>
      <c r="DF134" s="601">
        <f>IF(OR(WWWW[[#This Row],['#_Non-functional latrines]]="",WWWW[[#This Row],['#_Non-functional latrines]]=0),0,WWWW[[#This Row],['#_Non-functional latrines]]/(WWWW[[#This Row],['#_Constructed latrines_by_WASHAgencies]]+WWWW[[#This Row],['#_Non Cluster partner latrines]]))</f>
        <v>0</v>
      </c>
      <c r="DG134" s="597">
        <f>IF(500*(WWWW[[#This Row],['#_male hygiene promoters]]+WWWW[[#This Row],['#_female hygiene promoters]])&gt;WWWW[[#This Row],[Total PoP ]],WWWW[[#This Row],[Total PoP ]],500*(WWWW[[#This Row],['#_male hygiene promoters]]+WWWW[[#This Row],['#_female hygiene promoters]]))</f>
        <v>212</v>
      </c>
      <c r="DH13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4" s="600">
        <f>IF(WWWW[[#This Row],['# People with access to soap]]&gt;WWWW[[#This Row],['# People with access to Sanity Pads]],WWWW[[#This Row],['# People with access to soap]],WWWW[[#This Row],['# People with access to Sanity Pads]])</f>
        <v>0</v>
      </c>
      <c r="DK134" s="600">
        <f>IF(WWWW[[#This Row],['# people reached by regular dedicated hygiene promotion_5]]&gt;WWWW[[#This Row],['# People received regular supply of hygiene items_6]],WWWW[[#This Row],['# people reached by regular dedicated hygiene promotion_5]],WWWW[[#This Row],['# People received regular supply of hygiene items_6]])</f>
        <v>212</v>
      </c>
      <c r="DL134" s="602">
        <f>IF(WWWW[[#This Row],[HRP3]]/WWWW[[#This Row],[Total PoP ]]&gt;1,1,WWWW[[#This Row],[HRP3]]/WWWW[[#This Row],[Total PoP ]])</f>
        <v>1</v>
      </c>
      <c r="DM134" s="601">
        <f>1-WWWW[[#This Row],[Hygiene Coverage%]]</f>
        <v>0</v>
      </c>
      <c r="DN134" s="599">
        <f>WWWW[[#This Row],['# people reached by regular dedicated hygiene promotion_5]]/WWWW[[#This Row],[Total PoP ]]</f>
        <v>1</v>
      </c>
      <c r="DO13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4" s="600">
        <f>WWWW[[#This Row],['#_Constructed/Existing hand washing stations]]-WWWW[[#This Row],['#_Non-Functional_hand_washing_stations]]</f>
        <v>3</v>
      </c>
      <c r="DR134" s="597">
        <f>IF(WWWW[[#This Row],['# Functional hand washing stations during reporting period]]*20&gt;WWWW[[#This Row],[Total HH]],WWWW[[#This Row],[Total HH]],WWWW[[#This Row],['# Functional hand washing stations during reporting period]]*20)</f>
        <v>43</v>
      </c>
      <c r="DS134" s="597">
        <f>IF(WWWW[[#This Row],[Is sufficient soap available for TLS? (Yes/No)]]="yes",WWWW[[#This Row],['#_Constructed/Existing hand washing stations at TLS]],0)</f>
        <v>3</v>
      </c>
      <c r="DT134" s="479">
        <f>IF(WWWW[[#This Row],['# Functional hand washing stations during reporting period]]*100&gt;WWWW[[#This Row],[Total PoP ]],WWWW[[#This Row],[Total PoP ]],WWWW[[#This Row],['# Functional hand washing stations during reporting period]]*100)</f>
        <v>212</v>
      </c>
      <c r="DU134" s="479" t="str">
        <f>IF(OR(WWWW[[#This Row],['#_students at TLS_CFS]]="",WWWW[[#This Row],['#_students at TLS_CFS]]=0),"No","Yes")</f>
        <v>No</v>
      </c>
      <c r="DV13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4" s="593" t="str">
        <f>VLOOKUP(WWWW[[#This Row],[Site Name]],SiteDB6[[Site Name]:[CCCM Management]],6,FALSE)</f>
        <v>Yes</v>
      </c>
      <c r="DZ134" s="593" t="str">
        <f>VLOOKUP(WWWW[[#This Row],[Site Name]],SiteDB6[[Site Name]:[CCCM Focal Agency]],7,FALSE)</f>
        <v>KMSS-LSO</v>
      </c>
      <c r="EA134" s="593" t="str">
        <f>VLOOKUP(WWWW[[#This Row],[Site Name]],SiteDB6[[Site Name]:[Location Type 1]],9,FALSE)</f>
        <v>Camp</v>
      </c>
      <c r="EB134" s="593" t="str">
        <f>VLOOKUP(WWWW[[#This Row],[Site Name]],SiteDB6[[Site Name]:[Type of Accommodation]],10,FALSE)</f>
        <v>Camp</v>
      </c>
      <c r="EC134" s="593" t="str">
        <f>VLOOKUP(WWWW[[#This Row],[Site Name]],SiteDB6[[Site Name]:[Ethnic or GCA/NGCA]],11,FALSE)</f>
        <v>GCA</v>
      </c>
      <c r="ED134" s="593">
        <f>VLOOKUP(WWWW[[#This Row],[Site Name]],SiteDB6[[Site Name]:[Lat]],12,FALSE)</f>
        <v>23.828150000000001</v>
      </c>
      <c r="EE134" s="593">
        <f>VLOOKUP(WWWW[[#This Row],[Site Name]],SiteDB6[[Site Name]:[Long]],13,FALSE)</f>
        <v>97.670360000000002</v>
      </c>
      <c r="EF134" s="593" t="str">
        <f>VLOOKUP(WWWW[[#This Row],[Site Name]],SiteDB6[[Site Name]:[Pcode]],3,FALSE)</f>
        <v>MMR015CMP003</v>
      </c>
      <c r="EG134" s="598" t="str">
        <f t="shared" si="1"/>
        <v>Covered</v>
      </c>
      <c r="EH134" s="598" t="str">
        <f>VLOOKUP(WWWW[[#This Row],[Site Name]],SiteDB6[[Site Name]:[open in cccm?]],2,FALSE)</f>
        <v>cccm_2019OCT</v>
      </c>
    </row>
    <row r="135" spans="1:138" hidden="1">
      <c r="A135" s="591" t="s">
        <v>3261</v>
      </c>
      <c r="B135" s="591" t="s">
        <v>312</v>
      </c>
      <c r="C135" s="592" t="s">
        <v>312</v>
      </c>
      <c r="D135" s="592"/>
      <c r="E135" s="592" t="s">
        <v>39</v>
      </c>
      <c r="F135" s="592" t="s">
        <v>198</v>
      </c>
      <c r="G135" s="721" t="str">
        <f>VLOOKUP(WWWW[[#This Row],[Site Name]],SiteDB6[[Site Name]:[Location Type]],8,FALSE)</f>
        <v>Camp</v>
      </c>
      <c r="H135" s="592" t="s">
        <v>1018</v>
      </c>
      <c r="I135" s="594">
        <v>190</v>
      </c>
      <c r="J135" s="594">
        <v>928</v>
      </c>
      <c r="K135" s="595"/>
      <c r="L135" s="596"/>
      <c r="M135" s="594"/>
      <c r="N135" s="594"/>
      <c r="O135" s="594"/>
      <c r="P135" s="594"/>
      <c r="Q135" s="597"/>
      <c r="R135" s="594"/>
      <c r="S135" s="594">
        <v>5</v>
      </c>
      <c r="T135" s="523"/>
      <c r="U135" s="594"/>
      <c r="V135" s="594"/>
      <c r="W135" s="594"/>
      <c r="X135" s="594"/>
      <c r="Y135" s="594"/>
      <c r="Z135" s="594"/>
      <c r="AA135" s="594"/>
      <c r="AB135" s="594"/>
      <c r="AC135" s="594"/>
      <c r="AD135" s="594"/>
      <c r="AE135" s="594"/>
      <c r="AF135" s="594"/>
      <c r="AG135" s="594"/>
      <c r="AH135" s="594"/>
      <c r="AI135" s="594"/>
      <c r="AJ135" s="594"/>
      <c r="AK135" s="594"/>
      <c r="AL135" s="594"/>
      <c r="AM135" s="594"/>
      <c r="AN135" s="594"/>
      <c r="AO135" s="598"/>
      <c r="AP135" s="594"/>
      <c r="AQ135" s="594"/>
      <c r="AR135" s="599"/>
      <c r="AS135" s="594"/>
      <c r="AT135" s="594"/>
      <c r="AU135" s="594"/>
      <c r="AV135" s="594"/>
      <c r="AW135" s="594"/>
      <c r="AX135" s="593"/>
      <c r="AY135" s="598"/>
      <c r="AZ135" s="594"/>
      <c r="BA135" s="594"/>
      <c r="BB135" s="594"/>
      <c r="BC135" s="594"/>
      <c r="BD135" s="523"/>
      <c r="BE135" s="593"/>
      <c r="BF135" s="594"/>
      <c r="BG135" s="594"/>
      <c r="BH135" s="594"/>
      <c r="BI135" s="594"/>
      <c r="BJ135" s="594"/>
      <c r="BK135" s="594"/>
      <c r="BL135" s="594"/>
      <c r="BM135" s="594"/>
      <c r="BN135" s="594"/>
      <c r="BO135" s="593"/>
      <c r="BP135" s="594"/>
      <c r="BQ135" s="599"/>
      <c r="BR135" s="593"/>
      <c r="BS135" s="472"/>
      <c r="BT135" s="472"/>
      <c r="BU135" s="523"/>
      <c r="BV135" s="472"/>
      <c r="BW135" s="523"/>
      <c r="BX135" s="523"/>
      <c r="BY135" s="523"/>
      <c r="BZ135" s="601" t="str">
        <f>IFERROR(WWWW[[#This Row],['#_Water sources passed]]/WWWW[[#This Row],['#_Water sources tested for fecal coliform ]],"no test")</f>
        <v>no test</v>
      </c>
      <c r="CA135" s="599" t="str">
        <f>IFERROR(WWWW[[#This Row],['#_Household passed]]/WWWW[[#This Row],['#_Household water samples tested for fecal coliform]],"no test")</f>
        <v>no test</v>
      </c>
      <c r="CB135" s="600" t="str">
        <f>IF(AND(WWWW[[#This Row],[% of water sources passed]]="no test",WWWW[[#This Row],[% Household passed]]="no test"),"No Test","Tested")</f>
        <v>No Test</v>
      </c>
      <c r="CC135" s="600">
        <f>WWWW[[#This Row],['#_Constructed/existing protected hand dug well]]-WWWW[[#This Row],['#_Non-functional protected hand dug well]]</f>
        <v>0</v>
      </c>
      <c r="CD135" s="600">
        <f>(WWWW[[#This Row],['#_Constructed/Existing tube wells/boreholes/handpumps_WASH_agency]]+WWWW[[#This Row],['#_Non-Cluster partner water tube-wells/boreholes/handpumps]])-WWWW[[#This Row],['#_Non-functional tube wells/boreholes/handpumps]]</f>
        <v>0</v>
      </c>
      <c r="CE135" s="600">
        <f>WWWW[[#This Row],['#_Constructed/Existingwater storage tank with gravity fed reticulation system]]-WWWW[[#This Row],['#_Non-functional storage tank gravity fed reticulation system]]</f>
        <v>0</v>
      </c>
      <c r="CF135" s="478">
        <f>(WWWW[[#This Row],['#_Water_Liters_supplied_by_Water boating or water trucking]]/90)/15</f>
        <v>0</v>
      </c>
      <c r="CG135" s="478">
        <f>WWWW[[#This Row],['#_Water_Liters_from_Constructed/Existing water distribution system from river or natural spring]]/90/15</f>
        <v>0</v>
      </c>
      <c r="CH135" s="478">
        <f>WWWW[[#This Row],['#_of water points in TLS/CFS /THF]]*500</f>
        <v>0</v>
      </c>
      <c r="CI13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5" s="599">
        <f>IF(WWWW[[#This Row],[Location Type 1]]="Village",WWWW[[#This Row],[Access to safe drinking water for Village]],WWWW[[#This Row],[Access to safe drinking water for Camp]])</f>
        <v>0</v>
      </c>
      <c r="CL135" s="597">
        <f>WWWW[[#This Row],[%Equitable and continuous access to sufficient quantity of safe drinking water]]*WWWW[[#This Row],[Total PoP ]]</f>
        <v>0</v>
      </c>
      <c r="CM135" s="599">
        <f>IF((WWWW[[#This Row],['#_Constructed/Existing protected/fenced ponds]]*250)/WWWW[[#This Row],[Total PoP ]]&gt;1,1,(WWWW[[#This Row],['#_Constructed/Existing protected/fenced ponds]]*250)/WWWW[[#This Row],[Total PoP ]])</f>
        <v>0</v>
      </c>
      <c r="CN135" s="597">
        <f>WWWW[[#This Row],[% Access to unimproved water points]]*WWWW[[#This Row],[Total PoP ]]</f>
        <v>0</v>
      </c>
      <c r="CO13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5" s="597">
        <f>WWWW[[#This Row],[HRP1]]/500</f>
        <v>0</v>
      </c>
      <c r="CR135" s="602">
        <f>1-WWWW[[#This Row],[% Equitable and continuous access to sufficient quantity of domestic water]]</f>
        <v>1</v>
      </c>
      <c r="CS135" s="597">
        <f>WWWW[[#This Row],[%equitable and continuous access to sufficient quantity of safe drinking and domestic water''s GAP]]*WWWW[[#This Row],[Total PoP ]]</f>
        <v>928</v>
      </c>
      <c r="CT135" s="600">
        <f>IF(WWWW[[#This Row],[Total required water points]]-WWWW[[#This Row],['#Water points coverage]]&lt;0,0,WWWW[[#This Row],[Total required water points]]-WWWW[[#This Row],['#Water points coverage]])</f>
        <v>2</v>
      </c>
      <c r="CU135" s="600">
        <f>ROUND(IF(WWWW[[#This Row],[Total PoP ]]&lt;500,1,WWWW[[#This Row],[Total PoP ]]/500),0)</f>
        <v>2</v>
      </c>
      <c r="CV135" s="600">
        <f>(WWWW[[#This Row],['#_Constructed latrines_by_WASHAgencies]]+WWWW[[#This Row],['#_Non Cluster partner latrines]])-WWWW[[#This Row],['#_Non-functional latrines]]</f>
        <v>0</v>
      </c>
      <c r="CW135" s="70">
        <f>WWWW[[#This Row],[HRP2]]/WWWW[[#This Row],[Total PoP ]]</f>
        <v>0</v>
      </c>
      <c r="CX13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5" s="600">
        <f>IF(WWWW[[#This Row],['# of functional latrines in THF supported by WASH partners during the reporting period2]]="",0,WWWW[[#This Row],['# of functional latrines in THF supported by WASH partners during the reporting period2]]*50)</f>
        <v>0</v>
      </c>
      <c r="DB135" s="600">
        <f>WWWW[[#This Row],['# students access to functioning school latrines_HRP5]]+WWWW[[#This Row],['# People access to functioning latrines in THF_HRP5]]</f>
        <v>0</v>
      </c>
      <c r="DC135" s="600">
        <f>ROUND(IF(WWWW[[#This Row],[Location Type 1]]="camp",WWWW[[#This Row],[Total PoP ]]/20,IF(WWWW[[#This Row],[Location Type 1]]="Temporary Location",WWWW[[#This Row],[Total PoP ]]/50,WWWW[[#This Row],[Total HH]])),0)</f>
        <v>46</v>
      </c>
      <c r="DD135" s="600">
        <f>IF(WWWW[[#This Row],[Total required Latrines]]-(WWWW[[#This Row],['#_Constructed latrines_by_WASHAgencies]]+WWWW[[#This Row],['#_Non Cluster partner latrines]])&lt;0,0,WWWW[[#This Row],[Total required Latrines]]-(WWWW[[#This Row],['#_Constructed latrines_by_WASHAgencies]]+WWWW[[#This Row],['#_Non Cluster partner latrines]]))</f>
        <v>46</v>
      </c>
      <c r="DE135" s="602">
        <f>1-WWWW[[#This Row],[% people access to functioning Latrine]]</f>
        <v>1</v>
      </c>
      <c r="DF135" s="601">
        <f>IF(OR(WWWW[[#This Row],['#_Non-functional latrines]]="",WWWW[[#This Row],['#_Non-functional latrines]]=0),0,WWWW[[#This Row],['#_Non-functional latrines]]/(WWWW[[#This Row],['#_Constructed latrines_by_WASHAgencies]]+WWWW[[#This Row],['#_Non Cluster partner latrines]]))</f>
        <v>0</v>
      </c>
      <c r="DG135" s="597">
        <f>IF(500*(WWWW[[#This Row],['#_male hygiene promoters]]+WWWW[[#This Row],['#_female hygiene promoters]])&gt;WWWW[[#This Row],[Total PoP ]],WWWW[[#This Row],[Total PoP ]],500*(WWWW[[#This Row],['#_male hygiene promoters]]+WWWW[[#This Row],['#_female hygiene promoters]]))</f>
        <v>0</v>
      </c>
      <c r="DH13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5" s="600">
        <f>IF(WWWW[[#This Row],['# People with access to soap]]&gt;WWWW[[#This Row],['# People with access to Sanity Pads]],WWWW[[#This Row],['# People with access to soap]],WWWW[[#This Row],['# People with access to Sanity Pads]])</f>
        <v>0</v>
      </c>
      <c r="DK13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5" s="602">
        <f>IF(WWWW[[#This Row],[HRP3]]/WWWW[[#This Row],[Total PoP ]]&gt;1,1,WWWW[[#This Row],[HRP3]]/WWWW[[#This Row],[Total PoP ]])</f>
        <v>0</v>
      </c>
      <c r="DM135" s="601">
        <f>1-WWWW[[#This Row],[Hygiene Coverage%]]</f>
        <v>1</v>
      </c>
      <c r="DN135" s="599">
        <f>WWWW[[#This Row],['# people reached by regular dedicated hygiene promotion_5]]/WWWW[[#This Row],[Total PoP ]]</f>
        <v>0</v>
      </c>
      <c r="DO13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5" s="600">
        <f>WWWW[[#This Row],['#_Constructed/Existing hand washing stations]]-WWWW[[#This Row],['#_Non-Functional_hand_washing_stations]]</f>
        <v>0</v>
      </c>
      <c r="DR135" s="597">
        <f>IF(WWWW[[#This Row],['# Functional hand washing stations during reporting period]]*20&gt;WWWW[[#This Row],[Total HH]],WWWW[[#This Row],[Total HH]],WWWW[[#This Row],['# Functional hand washing stations during reporting period]]*20)</f>
        <v>0</v>
      </c>
      <c r="DS135" s="597">
        <f>IF(WWWW[[#This Row],[Is sufficient soap available for TLS? (Yes/No)]]="yes",WWWW[[#This Row],['#_Constructed/Existing hand washing stations at TLS]],0)</f>
        <v>0</v>
      </c>
      <c r="DT135" s="479">
        <f>IF(WWWW[[#This Row],['# Functional hand washing stations during reporting period]]*100&gt;WWWW[[#This Row],[Total PoP ]],WWWW[[#This Row],[Total PoP ]],WWWW[[#This Row],['# Functional hand washing stations during reporting period]]*100)</f>
        <v>0</v>
      </c>
      <c r="DU135" s="479" t="str">
        <f>IF(OR(WWWW[[#This Row],['#_students at TLS_CFS]]="",WWWW[[#This Row],['#_students at TLS_CFS]]=0),"No","Yes")</f>
        <v>No</v>
      </c>
      <c r="DV13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5" s="593">
        <f>VLOOKUP(WWWW[[#This Row],[Site Name]],SiteDB6[[Site Name]:[CCCM Management]],6,FALSE)</f>
        <v>0</v>
      </c>
      <c r="DZ135" s="593" t="str">
        <f>VLOOKUP(WWWW[[#This Row],[Site Name]],SiteDB6[[Site Name]:[CCCM Focal Agency]],7,FALSE)</f>
        <v>uncovered</v>
      </c>
      <c r="EA135" s="593" t="str">
        <f>VLOOKUP(WWWW[[#This Row],[Site Name]],SiteDB6[[Site Name]:[Location Type 1]],9,FALSE)</f>
        <v>Camp</v>
      </c>
      <c r="EB135" s="593" t="str">
        <f>VLOOKUP(WWWW[[#This Row],[Site Name]],SiteDB6[[Site Name]:[Type of Accommodation]],10,FALSE)</f>
        <v>Host Families</v>
      </c>
      <c r="EC135" s="593" t="str">
        <f>VLOOKUP(WWWW[[#This Row],[Site Name]],SiteDB6[[Site Name]:[Ethnic or GCA/NGCA]],11,FALSE)</f>
        <v>GCA</v>
      </c>
      <c r="ED135" s="593">
        <f>VLOOKUP(WWWW[[#This Row],[Site Name]],SiteDB6[[Site Name]:[Lat]],12,FALSE)</f>
        <v>24.263786</v>
      </c>
      <c r="EE135" s="593">
        <f>VLOOKUP(WWWW[[#This Row],[Site Name]],SiteDB6[[Site Name]:[Long]],13,FALSE)</f>
        <v>97.228835000000004</v>
      </c>
      <c r="EF135" s="593" t="str">
        <f>VLOOKUP(WWWW[[#This Row],[Site Name]],SiteDB6[[Site Name]:[Pcode]],3,FALSE)</f>
        <v>MMR001CMP163</v>
      </c>
      <c r="EG135" s="598" t="str">
        <f t="shared" ref="EG135:EG198" si="2">IF(C135="none","Notcovered","Covered")</f>
        <v>Notcovered</v>
      </c>
      <c r="EH135" s="598" t="str">
        <f>VLOOKUP(WWWW[[#This Row],[Site Name]],SiteDB6[[Site Name]:[open in cccm?]],2,FALSE)</f>
        <v>cccm_2019OCT</v>
      </c>
    </row>
    <row r="136" spans="1:138" hidden="1">
      <c r="A136" s="591" t="s">
        <v>3261</v>
      </c>
      <c r="B136" s="591" t="s">
        <v>312</v>
      </c>
      <c r="C136" s="592" t="s">
        <v>312</v>
      </c>
      <c r="D136" s="592"/>
      <c r="E136" s="592" t="s">
        <v>39</v>
      </c>
      <c r="F136" s="592" t="s">
        <v>155</v>
      </c>
      <c r="G136" s="721" t="str">
        <f>VLOOKUP(WWWW[[#This Row],[Site Name]],SiteDB6[[Site Name]:[Location Type]],8,FALSE)</f>
        <v>Camp</v>
      </c>
      <c r="H136" s="592" t="s">
        <v>2004</v>
      </c>
      <c r="I136" s="594">
        <v>6</v>
      </c>
      <c r="J136" s="594">
        <v>32</v>
      </c>
      <c r="K136" s="595"/>
      <c r="L136" s="596"/>
      <c r="M136" s="594"/>
      <c r="N136" s="594"/>
      <c r="O136" s="594"/>
      <c r="P136" s="594"/>
      <c r="Q136" s="597"/>
      <c r="R136" s="594"/>
      <c r="S136" s="594">
        <v>3</v>
      </c>
      <c r="T136" s="523"/>
      <c r="U136" s="594"/>
      <c r="V136" s="594"/>
      <c r="W136" s="594"/>
      <c r="X136" s="594"/>
      <c r="Y136" s="594"/>
      <c r="Z136" s="594"/>
      <c r="AA136" s="594"/>
      <c r="AB136" s="594"/>
      <c r="AC136" s="594"/>
      <c r="AD136" s="594"/>
      <c r="AE136" s="594"/>
      <c r="AF136" s="594"/>
      <c r="AG136" s="594"/>
      <c r="AH136" s="594"/>
      <c r="AI136" s="594"/>
      <c r="AJ136" s="594"/>
      <c r="AK136" s="594"/>
      <c r="AL136" s="594"/>
      <c r="AM136" s="594"/>
      <c r="AN136" s="594"/>
      <c r="AO136" s="598"/>
      <c r="AP136" s="594"/>
      <c r="AQ136" s="594"/>
      <c r="AR136" s="599"/>
      <c r="AS136" s="594"/>
      <c r="AT136" s="594"/>
      <c r="AU136" s="594"/>
      <c r="AV136" s="594"/>
      <c r="AW136" s="594"/>
      <c r="AX136" s="593"/>
      <c r="AY136" s="598"/>
      <c r="AZ136" s="594"/>
      <c r="BA136" s="594"/>
      <c r="BB136" s="594"/>
      <c r="BC136" s="594"/>
      <c r="BD136" s="523"/>
      <c r="BE136" s="593"/>
      <c r="BF136" s="594"/>
      <c r="BG136" s="594"/>
      <c r="BH136" s="594"/>
      <c r="BI136" s="594"/>
      <c r="BJ136" s="594"/>
      <c r="BK136" s="594"/>
      <c r="BL136" s="594"/>
      <c r="BM136" s="594"/>
      <c r="BN136" s="594"/>
      <c r="BO136" s="593"/>
      <c r="BP136" s="594"/>
      <c r="BQ136" s="599"/>
      <c r="BR136" s="593"/>
      <c r="BS136" s="472"/>
      <c r="BT136" s="472"/>
      <c r="BU136" s="523"/>
      <c r="BV136" s="472"/>
      <c r="BW136" s="523"/>
      <c r="BX136" s="523"/>
      <c r="BY136" s="523"/>
      <c r="BZ136" s="601" t="str">
        <f>IFERROR(WWWW[[#This Row],['#_Water sources passed]]/WWWW[[#This Row],['#_Water sources tested for fecal coliform ]],"no test")</f>
        <v>no test</v>
      </c>
      <c r="CA136" s="599" t="str">
        <f>IFERROR(WWWW[[#This Row],['#_Household passed]]/WWWW[[#This Row],['#_Household water samples tested for fecal coliform]],"no test")</f>
        <v>no test</v>
      </c>
      <c r="CB136" s="600" t="str">
        <f>IF(AND(WWWW[[#This Row],[% of water sources passed]]="no test",WWWW[[#This Row],[% Household passed]]="no test"),"No Test","Tested")</f>
        <v>No Test</v>
      </c>
      <c r="CC136" s="600">
        <f>WWWW[[#This Row],['#_Constructed/existing protected hand dug well]]-WWWW[[#This Row],['#_Non-functional protected hand dug well]]</f>
        <v>0</v>
      </c>
      <c r="CD136" s="600">
        <f>(WWWW[[#This Row],['#_Constructed/Existing tube wells/boreholes/handpumps_WASH_agency]]+WWWW[[#This Row],['#_Non-Cluster partner water tube-wells/boreholes/handpumps]])-WWWW[[#This Row],['#_Non-functional tube wells/boreholes/handpumps]]</f>
        <v>0</v>
      </c>
      <c r="CE136" s="600">
        <f>WWWW[[#This Row],['#_Constructed/Existingwater storage tank with gravity fed reticulation system]]-WWWW[[#This Row],['#_Non-functional storage tank gravity fed reticulation system]]</f>
        <v>0</v>
      </c>
      <c r="CF136" s="478">
        <f>(WWWW[[#This Row],['#_Water_Liters_supplied_by_Water boating or water trucking]]/90)/15</f>
        <v>0</v>
      </c>
      <c r="CG136" s="478">
        <f>WWWW[[#This Row],['#_Water_Liters_from_Constructed/Existing water distribution system from river or natural spring]]/90/15</f>
        <v>0</v>
      </c>
      <c r="CH136" s="478">
        <f>WWWW[[#This Row],['#_of water points in TLS/CFS /THF]]*500</f>
        <v>0</v>
      </c>
      <c r="CI13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6" s="599">
        <f>IF(WWWW[[#This Row],[Location Type 1]]="Village",WWWW[[#This Row],[Access to safe drinking water for Village]],WWWW[[#This Row],[Access to safe drinking water for Camp]])</f>
        <v>0</v>
      </c>
      <c r="CL136" s="597">
        <f>WWWW[[#This Row],[%Equitable and continuous access to sufficient quantity of safe drinking water]]*WWWW[[#This Row],[Total PoP ]]</f>
        <v>0</v>
      </c>
      <c r="CM136" s="599">
        <f>IF((WWWW[[#This Row],['#_Constructed/Existing protected/fenced ponds]]*250)/WWWW[[#This Row],[Total PoP ]]&gt;1,1,(WWWW[[#This Row],['#_Constructed/Existing protected/fenced ponds]]*250)/WWWW[[#This Row],[Total PoP ]])</f>
        <v>0</v>
      </c>
      <c r="CN136" s="597">
        <f>WWWW[[#This Row],[% Access to unimproved water points]]*WWWW[[#This Row],[Total PoP ]]</f>
        <v>0</v>
      </c>
      <c r="CO13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6" s="597">
        <f>WWWW[[#This Row],[HRP1]]/500</f>
        <v>0</v>
      </c>
      <c r="CR136" s="602">
        <f>1-WWWW[[#This Row],[% Equitable and continuous access to sufficient quantity of domestic water]]</f>
        <v>1</v>
      </c>
      <c r="CS136" s="597">
        <f>WWWW[[#This Row],[%equitable and continuous access to sufficient quantity of safe drinking and domestic water''s GAP]]*WWWW[[#This Row],[Total PoP ]]</f>
        <v>32</v>
      </c>
      <c r="CT136" s="600">
        <f>IF(WWWW[[#This Row],[Total required water points]]-WWWW[[#This Row],['#Water points coverage]]&lt;0,0,WWWW[[#This Row],[Total required water points]]-WWWW[[#This Row],['#Water points coverage]])</f>
        <v>1</v>
      </c>
      <c r="CU136" s="600">
        <f>ROUND(IF(WWWW[[#This Row],[Total PoP ]]&lt;500,1,WWWW[[#This Row],[Total PoP ]]/500),0)</f>
        <v>1</v>
      </c>
      <c r="CV136" s="600">
        <f>(WWWW[[#This Row],['#_Constructed latrines_by_WASHAgencies]]+WWWW[[#This Row],['#_Non Cluster partner latrines]])-WWWW[[#This Row],['#_Non-functional latrines]]</f>
        <v>0</v>
      </c>
      <c r="CW136" s="70">
        <f>WWWW[[#This Row],[HRP2]]/WWWW[[#This Row],[Total PoP ]]</f>
        <v>0</v>
      </c>
      <c r="CX13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6" s="600">
        <f>IF(WWWW[[#This Row],['# of functional latrines in THF supported by WASH partners during the reporting period2]]="",0,WWWW[[#This Row],['# of functional latrines in THF supported by WASH partners during the reporting period2]]*50)</f>
        <v>0</v>
      </c>
      <c r="DB136" s="600">
        <f>WWWW[[#This Row],['# students access to functioning school latrines_HRP5]]+WWWW[[#This Row],['# People access to functioning latrines in THF_HRP5]]</f>
        <v>0</v>
      </c>
      <c r="DC136" s="600">
        <f>ROUND(IF(WWWW[[#This Row],[Location Type 1]]="camp",WWWW[[#This Row],[Total PoP ]]/20,IF(WWWW[[#This Row],[Location Type 1]]="Temporary Location",WWWW[[#This Row],[Total PoP ]]/50,WWWW[[#This Row],[Total HH]])),0)</f>
        <v>2</v>
      </c>
      <c r="DD136" s="600">
        <f>IF(WWWW[[#This Row],[Total required Latrines]]-(WWWW[[#This Row],['#_Constructed latrines_by_WASHAgencies]]+WWWW[[#This Row],['#_Non Cluster partner latrines]])&lt;0,0,WWWW[[#This Row],[Total required Latrines]]-(WWWW[[#This Row],['#_Constructed latrines_by_WASHAgencies]]+WWWW[[#This Row],['#_Non Cluster partner latrines]]))</f>
        <v>2</v>
      </c>
      <c r="DE136" s="602">
        <f>1-WWWW[[#This Row],[% people access to functioning Latrine]]</f>
        <v>1</v>
      </c>
      <c r="DF136" s="601">
        <f>IF(OR(WWWW[[#This Row],['#_Non-functional latrines]]="",WWWW[[#This Row],['#_Non-functional latrines]]=0),0,WWWW[[#This Row],['#_Non-functional latrines]]/(WWWW[[#This Row],['#_Constructed latrines_by_WASHAgencies]]+WWWW[[#This Row],['#_Non Cluster partner latrines]]))</f>
        <v>0</v>
      </c>
      <c r="DG136" s="597">
        <f>IF(500*(WWWW[[#This Row],['#_male hygiene promoters]]+WWWW[[#This Row],['#_female hygiene promoters]])&gt;WWWW[[#This Row],[Total PoP ]],WWWW[[#This Row],[Total PoP ]],500*(WWWW[[#This Row],['#_male hygiene promoters]]+WWWW[[#This Row],['#_female hygiene promoters]]))</f>
        <v>0</v>
      </c>
      <c r="DH13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6" s="600">
        <f>IF(WWWW[[#This Row],['# People with access to soap]]&gt;WWWW[[#This Row],['# People with access to Sanity Pads]],WWWW[[#This Row],['# People with access to soap]],WWWW[[#This Row],['# People with access to Sanity Pads]])</f>
        <v>0</v>
      </c>
      <c r="DK13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6" s="602">
        <f>IF(WWWW[[#This Row],[HRP3]]/WWWW[[#This Row],[Total PoP ]]&gt;1,1,WWWW[[#This Row],[HRP3]]/WWWW[[#This Row],[Total PoP ]])</f>
        <v>0</v>
      </c>
      <c r="DM136" s="601">
        <f>1-WWWW[[#This Row],[Hygiene Coverage%]]</f>
        <v>1</v>
      </c>
      <c r="DN136" s="599">
        <f>WWWW[[#This Row],['# people reached by regular dedicated hygiene promotion_5]]/WWWW[[#This Row],[Total PoP ]]</f>
        <v>0</v>
      </c>
      <c r="DO13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6" s="600">
        <f>WWWW[[#This Row],['#_Constructed/Existing hand washing stations]]-WWWW[[#This Row],['#_Non-Functional_hand_washing_stations]]</f>
        <v>0</v>
      </c>
      <c r="DR136" s="597">
        <f>IF(WWWW[[#This Row],['# Functional hand washing stations during reporting period]]*20&gt;WWWW[[#This Row],[Total HH]],WWWW[[#This Row],[Total HH]],WWWW[[#This Row],['# Functional hand washing stations during reporting period]]*20)</f>
        <v>0</v>
      </c>
      <c r="DS136" s="597">
        <f>IF(WWWW[[#This Row],[Is sufficient soap available for TLS? (Yes/No)]]="yes",WWWW[[#This Row],['#_Constructed/Existing hand washing stations at TLS]],0)</f>
        <v>0</v>
      </c>
      <c r="DT136" s="479">
        <f>IF(WWWW[[#This Row],['# Functional hand washing stations during reporting period]]*100&gt;WWWW[[#This Row],[Total PoP ]],WWWW[[#This Row],[Total PoP ]],WWWW[[#This Row],['# Functional hand washing stations during reporting period]]*100)</f>
        <v>0</v>
      </c>
      <c r="DU136" s="479" t="str">
        <f>IF(OR(WWWW[[#This Row],['#_students at TLS_CFS]]="",WWWW[[#This Row],['#_students at TLS_CFS]]=0),"No","Yes")</f>
        <v>No</v>
      </c>
      <c r="DV13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6" s="593">
        <f>VLOOKUP(WWWW[[#This Row],[Site Name]],SiteDB6[[Site Name]:[CCCM Management]],6,FALSE)</f>
        <v>0</v>
      </c>
      <c r="DZ136" s="593" t="str">
        <f>VLOOKUP(WWWW[[#This Row],[Site Name]],SiteDB6[[Site Name]:[CCCM Focal Agency]],7,FALSE)</f>
        <v>uncovered</v>
      </c>
      <c r="EA136" s="593" t="str">
        <f>VLOOKUP(WWWW[[#This Row],[Site Name]],SiteDB6[[Site Name]:[Location Type 1]],9,FALSE)</f>
        <v>Camp</v>
      </c>
      <c r="EB136" s="593" t="str">
        <f>VLOOKUP(WWWW[[#This Row],[Site Name]],SiteDB6[[Site Name]:[Type of Accommodation]],10,FALSE)</f>
        <v>Camp like setting</v>
      </c>
      <c r="EC136" s="593" t="str">
        <f>VLOOKUP(WWWW[[#This Row],[Site Name]],SiteDB6[[Site Name]:[Ethnic or GCA/NGCA]],11,FALSE)</f>
        <v>GCA</v>
      </c>
      <c r="ED136" s="593">
        <f>VLOOKUP(WWWW[[#This Row],[Site Name]],SiteDB6[[Site Name]:[Lat]],12,FALSE)</f>
        <v>0</v>
      </c>
      <c r="EE136" s="593">
        <f>VLOOKUP(WWWW[[#This Row],[Site Name]],SiteDB6[[Site Name]:[Long]],13,FALSE)</f>
        <v>0</v>
      </c>
      <c r="EF136" s="593" t="str">
        <f>VLOOKUP(WWWW[[#This Row],[Site Name]],SiteDB6[[Site Name]:[Pcode]],3,FALSE)</f>
        <v>MMR001CMP262</v>
      </c>
      <c r="EG136" s="598" t="str">
        <f t="shared" si="2"/>
        <v>Notcovered</v>
      </c>
      <c r="EH136" s="598" t="str">
        <f>VLOOKUP(WWWW[[#This Row],[Site Name]],SiteDB6[[Site Name]:[open in cccm?]],2,FALSE)</f>
        <v>cccm_2019OCT</v>
      </c>
    </row>
    <row r="137" spans="1:138" hidden="1">
      <c r="A137" s="591" t="s">
        <v>3261</v>
      </c>
      <c r="B137" s="591" t="s">
        <v>312</v>
      </c>
      <c r="C137" s="592" t="s">
        <v>312</v>
      </c>
      <c r="D137" s="592"/>
      <c r="E137" s="592" t="s">
        <v>39</v>
      </c>
      <c r="F137" s="592" t="s">
        <v>187</v>
      </c>
      <c r="G137" s="721" t="str">
        <f>VLOOKUP(WWWW[[#This Row],[Site Name]],SiteDB6[[Site Name]:[Location Type]],8,FALSE)</f>
        <v>Camp</v>
      </c>
      <c r="H137" s="592" t="s">
        <v>2852</v>
      </c>
      <c r="I137" s="594">
        <v>29</v>
      </c>
      <c r="J137" s="594">
        <v>140</v>
      </c>
      <c r="K137" s="595"/>
      <c r="L137" s="596"/>
      <c r="M137" s="594"/>
      <c r="N137" s="594"/>
      <c r="O137" s="594"/>
      <c r="P137" s="594"/>
      <c r="Q137" s="597"/>
      <c r="R137" s="594"/>
      <c r="S137" s="594">
        <v>5</v>
      </c>
      <c r="T137" s="523"/>
      <c r="U137" s="594"/>
      <c r="V137" s="594"/>
      <c r="W137" s="594"/>
      <c r="X137" s="594"/>
      <c r="Y137" s="594"/>
      <c r="Z137" s="594"/>
      <c r="AA137" s="594"/>
      <c r="AB137" s="594"/>
      <c r="AC137" s="594"/>
      <c r="AD137" s="594"/>
      <c r="AE137" s="594"/>
      <c r="AF137" s="594"/>
      <c r="AG137" s="594"/>
      <c r="AH137" s="594"/>
      <c r="AI137" s="594"/>
      <c r="AJ137" s="594"/>
      <c r="AK137" s="594"/>
      <c r="AL137" s="594"/>
      <c r="AM137" s="594"/>
      <c r="AN137" s="594"/>
      <c r="AO137" s="598"/>
      <c r="AP137" s="594"/>
      <c r="AQ137" s="594"/>
      <c r="AR137" s="599"/>
      <c r="AS137" s="594"/>
      <c r="AT137" s="594"/>
      <c r="AU137" s="594"/>
      <c r="AV137" s="594"/>
      <c r="AW137" s="594"/>
      <c r="AX137" s="593"/>
      <c r="AY137" s="598"/>
      <c r="AZ137" s="594"/>
      <c r="BA137" s="594"/>
      <c r="BB137" s="594"/>
      <c r="BC137" s="594"/>
      <c r="BD137" s="523"/>
      <c r="BE137" s="593"/>
      <c r="BF137" s="594"/>
      <c r="BG137" s="594"/>
      <c r="BH137" s="594"/>
      <c r="BI137" s="594"/>
      <c r="BJ137" s="594"/>
      <c r="BK137" s="594"/>
      <c r="BL137" s="594"/>
      <c r="BM137" s="594"/>
      <c r="BN137" s="594"/>
      <c r="BO137" s="593"/>
      <c r="BP137" s="594"/>
      <c r="BQ137" s="599"/>
      <c r="BR137" s="593"/>
      <c r="BS137" s="472"/>
      <c r="BT137" s="472"/>
      <c r="BU137" s="523"/>
      <c r="BV137" s="472"/>
      <c r="BW137" s="523"/>
      <c r="BX137" s="523"/>
      <c r="BY137" s="523"/>
      <c r="BZ137" s="601" t="str">
        <f>IFERROR(WWWW[[#This Row],['#_Water sources passed]]/WWWW[[#This Row],['#_Water sources tested for fecal coliform ]],"no test")</f>
        <v>no test</v>
      </c>
      <c r="CA137" s="599" t="str">
        <f>IFERROR(WWWW[[#This Row],['#_Household passed]]/WWWW[[#This Row],['#_Household water samples tested for fecal coliform]],"no test")</f>
        <v>no test</v>
      </c>
      <c r="CB137" s="600" t="str">
        <f>IF(AND(WWWW[[#This Row],[% of water sources passed]]="no test",WWWW[[#This Row],[% Household passed]]="no test"),"No Test","Tested")</f>
        <v>No Test</v>
      </c>
      <c r="CC137" s="600">
        <f>WWWW[[#This Row],['#_Constructed/existing protected hand dug well]]-WWWW[[#This Row],['#_Non-functional protected hand dug well]]</f>
        <v>0</v>
      </c>
      <c r="CD137" s="600">
        <f>(WWWW[[#This Row],['#_Constructed/Existing tube wells/boreholes/handpumps_WASH_agency]]+WWWW[[#This Row],['#_Non-Cluster partner water tube-wells/boreholes/handpumps]])-WWWW[[#This Row],['#_Non-functional tube wells/boreholes/handpumps]]</f>
        <v>0</v>
      </c>
      <c r="CE137" s="600">
        <f>WWWW[[#This Row],['#_Constructed/Existingwater storage tank with gravity fed reticulation system]]-WWWW[[#This Row],['#_Non-functional storage tank gravity fed reticulation system]]</f>
        <v>0</v>
      </c>
      <c r="CF137" s="478">
        <f>(WWWW[[#This Row],['#_Water_Liters_supplied_by_Water boating or water trucking]]/90)/15</f>
        <v>0</v>
      </c>
      <c r="CG137" s="478">
        <f>WWWW[[#This Row],['#_Water_Liters_from_Constructed/Existing water distribution system from river or natural spring]]/90/15</f>
        <v>0</v>
      </c>
      <c r="CH137" s="478">
        <f>WWWW[[#This Row],['#_of water points in TLS/CFS /THF]]*500</f>
        <v>0</v>
      </c>
      <c r="CI13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7" s="599">
        <f>IF(WWWW[[#This Row],[Location Type 1]]="Village",WWWW[[#This Row],[Access to safe drinking water for Village]],WWWW[[#This Row],[Access to safe drinking water for Camp]])</f>
        <v>0</v>
      </c>
      <c r="CL137" s="597">
        <f>WWWW[[#This Row],[%Equitable and continuous access to sufficient quantity of safe drinking water]]*WWWW[[#This Row],[Total PoP ]]</f>
        <v>0</v>
      </c>
      <c r="CM137" s="599">
        <f>IF((WWWW[[#This Row],['#_Constructed/Existing protected/fenced ponds]]*250)/WWWW[[#This Row],[Total PoP ]]&gt;1,1,(WWWW[[#This Row],['#_Constructed/Existing protected/fenced ponds]]*250)/WWWW[[#This Row],[Total PoP ]])</f>
        <v>0</v>
      </c>
      <c r="CN137" s="597">
        <f>WWWW[[#This Row],[% Access to unimproved water points]]*WWWW[[#This Row],[Total PoP ]]</f>
        <v>0</v>
      </c>
      <c r="CO13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7" s="597">
        <f>WWWW[[#This Row],[HRP1]]/500</f>
        <v>0</v>
      </c>
      <c r="CR137" s="602">
        <f>1-WWWW[[#This Row],[% Equitable and continuous access to sufficient quantity of domestic water]]</f>
        <v>1</v>
      </c>
      <c r="CS137" s="597">
        <f>WWWW[[#This Row],[%equitable and continuous access to sufficient quantity of safe drinking and domestic water''s GAP]]*WWWW[[#This Row],[Total PoP ]]</f>
        <v>140</v>
      </c>
      <c r="CT137" s="600">
        <f>IF(WWWW[[#This Row],[Total required water points]]-WWWW[[#This Row],['#Water points coverage]]&lt;0,0,WWWW[[#This Row],[Total required water points]]-WWWW[[#This Row],['#Water points coverage]])</f>
        <v>1</v>
      </c>
      <c r="CU137" s="600">
        <f>ROUND(IF(WWWW[[#This Row],[Total PoP ]]&lt;500,1,WWWW[[#This Row],[Total PoP ]]/500),0)</f>
        <v>1</v>
      </c>
      <c r="CV137" s="600">
        <f>(WWWW[[#This Row],['#_Constructed latrines_by_WASHAgencies]]+WWWW[[#This Row],['#_Non Cluster partner latrines]])-WWWW[[#This Row],['#_Non-functional latrines]]</f>
        <v>0</v>
      </c>
      <c r="CW137" s="70">
        <f>WWWW[[#This Row],[HRP2]]/WWWW[[#This Row],[Total PoP ]]</f>
        <v>0</v>
      </c>
      <c r="CX13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7" s="600">
        <f>IF(WWWW[[#This Row],['# of functional latrines in THF supported by WASH partners during the reporting period2]]="",0,WWWW[[#This Row],['# of functional latrines in THF supported by WASH partners during the reporting period2]]*50)</f>
        <v>0</v>
      </c>
      <c r="DB137" s="600">
        <f>WWWW[[#This Row],['# students access to functioning school latrines_HRP5]]+WWWW[[#This Row],['# People access to functioning latrines in THF_HRP5]]</f>
        <v>0</v>
      </c>
      <c r="DC137" s="600">
        <f>ROUND(IF(WWWW[[#This Row],[Location Type 1]]="camp",WWWW[[#This Row],[Total PoP ]]/20,IF(WWWW[[#This Row],[Location Type 1]]="Temporary Location",WWWW[[#This Row],[Total PoP ]]/50,WWWW[[#This Row],[Total HH]])),0)</f>
        <v>7</v>
      </c>
      <c r="DD137" s="600">
        <f>IF(WWWW[[#This Row],[Total required Latrines]]-(WWWW[[#This Row],['#_Constructed latrines_by_WASHAgencies]]+WWWW[[#This Row],['#_Non Cluster partner latrines]])&lt;0,0,WWWW[[#This Row],[Total required Latrines]]-(WWWW[[#This Row],['#_Constructed latrines_by_WASHAgencies]]+WWWW[[#This Row],['#_Non Cluster partner latrines]]))</f>
        <v>7</v>
      </c>
      <c r="DE137" s="602">
        <f>1-WWWW[[#This Row],[% people access to functioning Latrine]]</f>
        <v>1</v>
      </c>
      <c r="DF137" s="601">
        <f>IF(OR(WWWW[[#This Row],['#_Non-functional latrines]]="",WWWW[[#This Row],['#_Non-functional latrines]]=0),0,WWWW[[#This Row],['#_Non-functional latrines]]/(WWWW[[#This Row],['#_Constructed latrines_by_WASHAgencies]]+WWWW[[#This Row],['#_Non Cluster partner latrines]]))</f>
        <v>0</v>
      </c>
      <c r="DG137" s="597">
        <f>IF(500*(WWWW[[#This Row],['#_male hygiene promoters]]+WWWW[[#This Row],['#_female hygiene promoters]])&gt;WWWW[[#This Row],[Total PoP ]],WWWW[[#This Row],[Total PoP ]],500*(WWWW[[#This Row],['#_male hygiene promoters]]+WWWW[[#This Row],['#_female hygiene promoters]]))</f>
        <v>0</v>
      </c>
      <c r="DH13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7" s="600">
        <f>IF(WWWW[[#This Row],['# People with access to soap]]&gt;WWWW[[#This Row],['# People with access to Sanity Pads]],WWWW[[#This Row],['# People with access to soap]],WWWW[[#This Row],['# People with access to Sanity Pads]])</f>
        <v>0</v>
      </c>
      <c r="DK13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7" s="602">
        <f>IF(WWWW[[#This Row],[HRP3]]/WWWW[[#This Row],[Total PoP ]]&gt;1,1,WWWW[[#This Row],[HRP3]]/WWWW[[#This Row],[Total PoP ]])</f>
        <v>0</v>
      </c>
      <c r="DM137" s="601">
        <f>1-WWWW[[#This Row],[Hygiene Coverage%]]</f>
        <v>1</v>
      </c>
      <c r="DN137" s="599">
        <f>WWWW[[#This Row],['# people reached by regular dedicated hygiene promotion_5]]/WWWW[[#This Row],[Total PoP ]]</f>
        <v>0</v>
      </c>
      <c r="DO13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7" s="600">
        <f>WWWW[[#This Row],['#_Constructed/Existing hand washing stations]]-WWWW[[#This Row],['#_Non-Functional_hand_washing_stations]]</f>
        <v>0</v>
      </c>
      <c r="DR137" s="597">
        <f>IF(WWWW[[#This Row],['# Functional hand washing stations during reporting period]]*20&gt;WWWW[[#This Row],[Total HH]],WWWW[[#This Row],[Total HH]],WWWW[[#This Row],['# Functional hand washing stations during reporting period]]*20)</f>
        <v>0</v>
      </c>
      <c r="DS137" s="597">
        <f>IF(WWWW[[#This Row],[Is sufficient soap available for TLS? (Yes/No)]]="yes",WWWW[[#This Row],['#_Constructed/Existing hand washing stations at TLS]],0)</f>
        <v>0</v>
      </c>
      <c r="DT137" s="479">
        <f>IF(WWWW[[#This Row],['# Functional hand washing stations during reporting period]]*100&gt;WWWW[[#This Row],[Total PoP ]],WWWW[[#This Row],[Total PoP ]],WWWW[[#This Row],['# Functional hand washing stations during reporting period]]*100)</f>
        <v>0</v>
      </c>
      <c r="DU137" s="479" t="str">
        <f>IF(OR(WWWW[[#This Row],['#_students at TLS_CFS]]="",WWWW[[#This Row],['#_students at TLS_CFS]]=0),"No","Yes")</f>
        <v>No</v>
      </c>
      <c r="DV13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7" s="593">
        <f>VLOOKUP(WWWW[[#This Row],[Site Name]],SiteDB6[[Site Name]:[CCCM Management]],6,FALSE)</f>
        <v>0</v>
      </c>
      <c r="DZ137" s="593" t="str">
        <f>VLOOKUP(WWWW[[#This Row],[Site Name]],SiteDB6[[Site Name]:[CCCM Focal Agency]],7,FALSE)</f>
        <v>uncovered</v>
      </c>
      <c r="EA137" s="593" t="str">
        <f>VLOOKUP(WWWW[[#This Row],[Site Name]],SiteDB6[[Site Name]:[Location Type 1]],9,FALSE)</f>
        <v>Camp</v>
      </c>
      <c r="EB137" s="593" t="str">
        <f>VLOOKUP(WWWW[[#This Row],[Site Name]],SiteDB6[[Site Name]:[Type of Accommodation]],10,FALSE)</f>
        <v>Camp like setting</v>
      </c>
      <c r="EC137" s="593" t="str">
        <f>VLOOKUP(WWWW[[#This Row],[Site Name]],SiteDB6[[Site Name]:[Ethnic or GCA/NGCA]],11,FALSE)</f>
        <v>GCA</v>
      </c>
      <c r="ED137" s="593">
        <f>VLOOKUP(WWWW[[#This Row],[Site Name]],SiteDB6[[Site Name]:[Lat]],12,FALSE)</f>
        <v>26.299828999999999</v>
      </c>
      <c r="EE137" s="593">
        <f>VLOOKUP(WWWW[[#This Row],[Site Name]],SiteDB6[[Site Name]:[Long]],13,FALSE)</f>
        <v>97.487258999999995</v>
      </c>
      <c r="EF137" s="593" t="str">
        <f>VLOOKUP(WWWW[[#This Row],[Site Name]],SiteDB6[[Site Name]:[Pcode]],3,FALSE)</f>
        <v>MMR001CMP272</v>
      </c>
      <c r="EG137" s="598" t="str">
        <f t="shared" si="2"/>
        <v>Notcovered</v>
      </c>
      <c r="EH137" s="598" t="str">
        <f>VLOOKUP(WWWW[[#This Row],[Site Name]],SiteDB6[[Site Name]:[open in cccm?]],2,FALSE)</f>
        <v>cccm_2019OCT</v>
      </c>
    </row>
    <row r="138" spans="1:138" hidden="1">
      <c r="A138" s="591" t="s">
        <v>3261</v>
      </c>
      <c r="B138" s="591" t="s">
        <v>312</v>
      </c>
      <c r="C138" s="592" t="s">
        <v>312</v>
      </c>
      <c r="D138" s="592"/>
      <c r="E138" s="592" t="s">
        <v>39</v>
      </c>
      <c r="F138" s="592" t="s">
        <v>145</v>
      </c>
      <c r="G138" s="721" t="str">
        <f>VLOOKUP(WWWW[[#This Row],[Site Name]],SiteDB6[[Site Name]:[Location Type]],8,FALSE)</f>
        <v>Camp</v>
      </c>
      <c r="H138" s="592" t="s">
        <v>1052</v>
      </c>
      <c r="I138" s="594">
        <v>62</v>
      </c>
      <c r="J138" s="594">
        <v>410</v>
      </c>
      <c r="K138" s="595"/>
      <c r="L138" s="596"/>
      <c r="M138" s="594"/>
      <c r="N138" s="594"/>
      <c r="O138" s="594"/>
      <c r="P138" s="594"/>
      <c r="Q138" s="597"/>
      <c r="R138" s="594"/>
      <c r="S138" s="594">
        <v>5</v>
      </c>
      <c r="T138" s="523"/>
      <c r="U138" s="594"/>
      <c r="V138" s="594"/>
      <c r="W138" s="594"/>
      <c r="X138" s="594"/>
      <c r="Y138" s="594"/>
      <c r="Z138" s="594"/>
      <c r="AA138" s="594"/>
      <c r="AB138" s="594"/>
      <c r="AC138" s="594"/>
      <c r="AD138" s="594"/>
      <c r="AE138" s="594"/>
      <c r="AF138" s="594"/>
      <c r="AG138" s="594"/>
      <c r="AH138" s="594"/>
      <c r="AI138" s="594"/>
      <c r="AJ138" s="594"/>
      <c r="AK138" s="594"/>
      <c r="AL138" s="594"/>
      <c r="AM138" s="594"/>
      <c r="AN138" s="594"/>
      <c r="AO138" s="598"/>
      <c r="AP138" s="594"/>
      <c r="AQ138" s="594"/>
      <c r="AR138" s="599"/>
      <c r="AS138" s="594"/>
      <c r="AT138" s="594"/>
      <c r="AU138" s="594"/>
      <c r="AV138" s="594"/>
      <c r="AW138" s="594"/>
      <c r="AX138" s="593"/>
      <c r="AY138" s="598"/>
      <c r="AZ138" s="594"/>
      <c r="BA138" s="594"/>
      <c r="BB138" s="594"/>
      <c r="BC138" s="594"/>
      <c r="BD138" s="523"/>
      <c r="BE138" s="593"/>
      <c r="BF138" s="594"/>
      <c r="BG138" s="594"/>
      <c r="BH138" s="594"/>
      <c r="BI138" s="594"/>
      <c r="BJ138" s="594"/>
      <c r="BK138" s="594"/>
      <c r="BL138" s="594"/>
      <c r="BM138" s="594"/>
      <c r="BN138" s="594"/>
      <c r="BO138" s="593"/>
      <c r="BP138" s="594"/>
      <c r="BQ138" s="599"/>
      <c r="BR138" s="593"/>
      <c r="BS138" s="472"/>
      <c r="BT138" s="472"/>
      <c r="BU138" s="523"/>
      <c r="BV138" s="472"/>
      <c r="BW138" s="523"/>
      <c r="BX138" s="523"/>
      <c r="BY138" s="523"/>
      <c r="BZ138" s="601" t="str">
        <f>IFERROR(WWWW[[#This Row],['#_Water sources passed]]/WWWW[[#This Row],['#_Water sources tested for fecal coliform ]],"no test")</f>
        <v>no test</v>
      </c>
      <c r="CA138" s="599" t="str">
        <f>IFERROR(WWWW[[#This Row],['#_Household passed]]/WWWW[[#This Row],['#_Household water samples tested for fecal coliform]],"no test")</f>
        <v>no test</v>
      </c>
      <c r="CB138" s="600" t="str">
        <f>IF(AND(WWWW[[#This Row],[% of water sources passed]]="no test",WWWW[[#This Row],[% Household passed]]="no test"),"No Test","Tested")</f>
        <v>No Test</v>
      </c>
      <c r="CC138" s="600">
        <f>WWWW[[#This Row],['#_Constructed/existing protected hand dug well]]-WWWW[[#This Row],['#_Non-functional protected hand dug well]]</f>
        <v>0</v>
      </c>
      <c r="CD138" s="600">
        <f>(WWWW[[#This Row],['#_Constructed/Existing tube wells/boreholes/handpumps_WASH_agency]]+WWWW[[#This Row],['#_Non-Cluster partner water tube-wells/boreholes/handpumps]])-WWWW[[#This Row],['#_Non-functional tube wells/boreholes/handpumps]]</f>
        <v>0</v>
      </c>
      <c r="CE138" s="600">
        <f>WWWW[[#This Row],['#_Constructed/Existingwater storage tank with gravity fed reticulation system]]-WWWW[[#This Row],['#_Non-functional storage tank gravity fed reticulation system]]</f>
        <v>0</v>
      </c>
      <c r="CF138" s="478">
        <f>(WWWW[[#This Row],['#_Water_Liters_supplied_by_Water boating or water trucking]]/90)/15</f>
        <v>0</v>
      </c>
      <c r="CG138" s="478">
        <f>WWWW[[#This Row],['#_Water_Liters_from_Constructed/Existing water distribution system from river or natural spring]]/90/15</f>
        <v>0</v>
      </c>
      <c r="CH138" s="478">
        <f>WWWW[[#This Row],['#_of water points in TLS/CFS /THF]]*500</f>
        <v>0</v>
      </c>
      <c r="CI13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8" s="599">
        <f>IF(WWWW[[#This Row],[Location Type 1]]="Village",WWWW[[#This Row],[Access to safe drinking water for Village]],WWWW[[#This Row],[Access to safe drinking water for Camp]])</f>
        <v>0</v>
      </c>
      <c r="CL138" s="597">
        <f>WWWW[[#This Row],[%Equitable and continuous access to sufficient quantity of safe drinking water]]*WWWW[[#This Row],[Total PoP ]]</f>
        <v>0</v>
      </c>
      <c r="CM138" s="599">
        <f>IF((WWWW[[#This Row],['#_Constructed/Existing protected/fenced ponds]]*250)/WWWW[[#This Row],[Total PoP ]]&gt;1,1,(WWWW[[#This Row],['#_Constructed/Existing protected/fenced ponds]]*250)/WWWW[[#This Row],[Total PoP ]])</f>
        <v>0</v>
      </c>
      <c r="CN138" s="597">
        <f>WWWW[[#This Row],[% Access to unimproved water points]]*WWWW[[#This Row],[Total PoP ]]</f>
        <v>0</v>
      </c>
      <c r="CO13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8" s="597">
        <f>WWWW[[#This Row],[HRP1]]/500</f>
        <v>0</v>
      </c>
      <c r="CR138" s="602">
        <f>1-WWWW[[#This Row],[% Equitable and continuous access to sufficient quantity of domestic water]]</f>
        <v>1</v>
      </c>
      <c r="CS138" s="597">
        <f>WWWW[[#This Row],[%equitable and continuous access to sufficient quantity of safe drinking and domestic water''s GAP]]*WWWW[[#This Row],[Total PoP ]]</f>
        <v>410</v>
      </c>
      <c r="CT138" s="600">
        <f>IF(WWWW[[#This Row],[Total required water points]]-WWWW[[#This Row],['#Water points coverage]]&lt;0,0,WWWW[[#This Row],[Total required water points]]-WWWW[[#This Row],['#Water points coverage]])</f>
        <v>1</v>
      </c>
      <c r="CU138" s="600">
        <f>ROUND(IF(WWWW[[#This Row],[Total PoP ]]&lt;500,1,WWWW[[#This Row],[Total PoP ]]/500),0)</f>
        <v>1</v>
      </c>
      <c r="CV138" s="600">
        <f>(WWWW[[#This Row],['#_Constructed latrines_by_WASHAgencies]]+WWWW[[#This Row],['#_Non Cluster partner latrines]])-WWWW[[#This Row],['#_Non-functional latrines]]</f>
        <v>0</v>
      </c>
      <c r="CW138" s="70">
        <f>WWWW[[#This Row],[HRP2]]/WWWW[[#This Row],[Total PoP ]]</f>
        <v>0</v>
      </c>
      <c r="CX13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8" s="600">
        <f>IF(WWWW[[#This Row],['# of functional latrines in THF supported by WASH partners during the reporting period2]]="",0,WWWW[[#This Row],['# of functional latrines in THF supported by WASH partners during the reporting period2]]*50)</f>
        <v>0</v>
      </c>
      <c r="DB138" s="600">
        <f>WWWW[[#This Row],['# students access to functioning school latrines_HRP5]]+WWWW[[#This Row],['# People access to functioning latrines in THF_HRP5]]</f>
        <v>0</v>
      </c>
      <c r="DC138" s="600">
        <f>ROUND(IF(WWWW[[#This Row],[Location Type 1]]="camp",WWWW[[#This Row],[Total PoP ]]/20,IF(WWWW[[#This Row],[Location Type 1]]="Temporary Location",WWWW[[#This Row],[Total PoP ]]/50,WWWW[[#This Row],[Total HH]])),0)</f>
        <v>21</v>
      </c>
      <c r="DD138" s="600">
        <f>IF(WWWW[[#This Row],[Total required Latrines]]-(WWWW[[#This Row],['#_Constructed latrines_by_WASHAgencies]]+WWWW[[#This Row],['#_Non Cluster partner latrines]])&lt;0,0,WWWW[[#This Row],[Total required Latrines]]-(WWWW[[#This Row],['#_Constructed latrines_by_WASHAgencies]]+WWWW[[#This Row],['#_Non Cluster partner latrines]]))</f>
        <v>21</v>
      </c>
      <c r="DE138" s="602">
        <f>1-WWWW[[#This Row],[% people access to functioning Latrine]]</f>
        <v>1</v>
      </c>
      <c r="DF138" s="601">
        <f>IF(OR(WWWW[[#This Row],['#_Non-functional latrines]]="",WWWW[[#This Row],['#_Non-functional latrines]]=0),0,WWWW[[#This Row],['#_Non-functional latrines]]/(WWWW[[#This Row],['#_Constructed latrines_by_WASHAgencies]]+WWWW[[#This Row],['#_Non Cluster partner latrines]]))</f>
        <v>0</v>
      </c>
      <c r="DG138" s="597">
        <f>IF(500*(WWWW[[#This Row],['#_male hygiene promoters]]+WWWW[[#This Row],['#_female hygiene promoters]])&gt;WWWW[[#This Row],[Total PoP ]],WWWW[[#This Row],[Total PoP ]],500*(WWWW[[#This Row],['#_male hygiene promoters]]+WWWW[[#This Row],['#_female hygiene promoters]]))</f>
        <v>0</v>
      </c>
      <c r="DH13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8" s="600">
        <f>IF(WWWW[[#This Row],['# People with access to soap]]&gt;WWWW[[#This Row],['# People with access to Sanity Pads]],WWWW[[#This Row],['# People with access to soap]],WWWW[[#This Row],['# People with access to Sanity Pads]])</f>
        <v>0</v>
      </c>
      <c r="DK13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8" s="602">
        <f>IF(WWWW[[#This Row],[HRP3]]/WWWW[[#This Row],[Total PoP ]]&gt;1,1,WWWW[[#This Row],[HRP3]]/WWWW[[#This Row],[Total PoP ]])</f>
        <v>0</v>
      </c>
      <c r="DM138" s="601">
        <f>1-WWWW[[#This Row],[Hygiene Coverage%]]</f>
        <v>1</v>
      </c>
      <c r="DN138" s="599">
        <f>WWWW[[#This Row],['# people reached by regular dedicated hygiene promotion_5]]/WWWW[[#This Row],[Total PoP ]]</f>
        <v>0</v>
      </c>
      <c r="DO13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8" s="600">
        <f>WWWW[[#This Row],['#_Constructed/Existing hand washing stations]]-WWWW[[#This Row],['#_Non-Functional_hand_washing_stations]]</f>
        <v>0</v>
      </c>
      <c r="DR138" s="597">
        <f>IF(WWWW[[#This Row],['# Functional hand washing stations during reporting period]]*20&gt;WWWW[[#This Row],[Total HH]],WWWW[[#This Row],[Total HH]],WWWW[[#This Row],['# Functional hand washing stations during reporting period]]*20)</f>
        <v>0</v>
      </c>
      <c r="DS138" s="597">
        <f>IF(WWWW[[#This Row],[Is sufficient soap available for TLS? (Yes/No)]]="yes",WWWW[[#This Row],['#_Constructed/Existing hand washing stations at TLS]],0)</f>
        <v>0</v>
      </c>
      <c r="DT138" s="479">
        <f>IF(WWWW[[#This Row],['# Functional hand washing stations during reporting period]]*100&gt;WWWW[[#This Row],[Total PoP ]],WWWW[[#This Row],[Total PoP ]],WWWW[[#This Row],['# Functional hand washing stations during reporting period]]*100)</f>
        <v>0</v>
      </c>
      <c r="DU138" s="479" t="str">
        <f>IF(OR(WWWW[[#This Row],['#_students at TLS_CFS]]="",WWWW[[#This Row],['#_students at TLS_CFS]]=0),"No","Yes")</f>
        <v>No</v>
      </c>
      <c r="DV13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8" s="593">
        <f>VLOOKUP(WWWW[[#This Row],[Site Name]],SiteDB6[[Site Name]:[CCCM Management]],6,FALSE)</f>
        <v>0</v>
      </c>
      <c r="DZ138" s="593" t="str">
        <f>VLOOKUP(WWWW[[#This Row],[Site Name]],SiteDB6[[Site Name]:[CCCM Focal Agency]],7,FALSE)</f>
        <v>uncovered</v>
      </c>
      <c r="EA138" s="593" t="str">
        <f>VLOOKUP(WWWW[[#This Row],[Site Name]],SiteDB6[[Site Name]:[Location Type 1]],9,FALSE)</f>
        <v>Camp</v>
      </c>
      <c r="EB138" s="593" t="str">
        <f>VLOOKUP(WWWW[[#This Row],[Site Name]],SiteDB6[[Site Name]:[Type of Accommodation]],10,FALSE)</f>
        <v>Camp like setting</v>
      </c>
      <c r="EC138" s="593" t="str">
        <f>VLOOKUP(WWWW[[#This Row],[Site Name]],SiteDB6[[Site Name]:[Ethnic or GCA/NGCA]],11,FALSE)</f>
        <v>GCA</v>
      </c>
      <c r="ED138" s="593">
        <f>VLOOKUP(WWWW[[#This Row],[Site Name]],SiteDB6[[Site Name]:[Lat]],12,FALSE)</f>
        <v>25.305008999999998</v>
      </c>
      <c r="EE138" s="593">
        <f>VLOOKUP(WWWW[[#This Row],[Site Name]],SiteDB6[[Site Name]:[Long]],13,FALSE)</f>
        <v>97.430321000000006</v>
      </c>
      <c r="EF138" s="593" t="str">
        <f>VLOOKUP(WWWW[[#This Row],[Site Name]],SiteDB6[[Site Name]:[Pcode]],3,FALSE)</f>
        <v>MMR001CMP248</v>
      </c>
      <c r="EG138" s="598" t="str">
        <f t="shared" si="2"/>
        <v>Notcovered</v>
      </c>
      <c r="EH138" s="598" t="str">
        <f>VLOOKUP(WWWW[[#This Row],[Site Name]],SiteDB6[[Site Name]:[open in cccm?]],2,FALSE)</f>
        <v>cccm_2019OCT</v>
      </c>
    </row>
    <row r="139" spans="1:138" hidden="1">
      <c r="A139" s="591" t="s">
        <v>3261</v>
      </c>
      <c r="B139" s="591" t="s">
        <v>312</v>
      </c>
      <c r="C139" s="592" t="s">
        <v>312</v>
      </c>
      <c r="D139" s="592"/>
      <c r="E139" s="592" t="s">
        <v>39</v>
      </c>
      <c r="F139" s="592" t="s">
        <v>160</v>
      </c>
      <c r="G139" s="721" t="str">
        <f>VLOOKUP(WWWW[[#This Row],[Site Name]],SiteDB6[[Site Name]:[Location Type]],8,FALSE)</f>
        <v>Camp</v>
      </c>
      <c r="H139" s="592" t="s">
        <v>1043</v>
      </c>
      <c r="I139" s="594">
        <v>27</v>
      </c>
      <c r="J139" s="594">
        <v>121</v>
      </c>
      <c r="K139" s="595"/>
      <c r="L139" s="596"/>
      <c r="M139" s="594"/>
      <c r="N139" s="594"/>
      <c r="O139" s="594"/>
      <c r="P139" s="594"/>
      <c r="Q139" s="597"/>
      <c r="R139" s="594"/>
      <c r="S139" s="594">
        <v>5</v>
      </c>
      <c r="T139" s="523"/>
      <c r="U139" s="594"/>
      <c r="V139" s="594"/>
      <c r="W139" s="594"/>
      <c r="X139" s="594"/>
      <c r="Y139" s="594"/>
      <c r="Z139" s="594"/>
      <c r="AA139" s="594"/>
      <c r="AB139" s="594"/>
      <c r="AC139" s="594"/>
      <c r="AD139" s="594"/>
      <c r="AE139" s="594"/>
      <c r="AF139" s="594"/>
      <c r="AG139" s="594"/>
      <c r="AH139" s="594"/>
      <c r="AI139" s="594"/>
      <c r="AJ139" s="594"/>
      <c r="AK139" s="594"/>
      <c r="AL139" s="594"/>
      <c r="AM139" s="594"/>
      <c r="AN139" s="594"/>
      <c r="AO139" s="598"/>
      <c r="AP139" s="594"/>
      <c r="AQ139" s="594"/>
      <c r="AR139" s="599"/>
      <c r="AS139" s="594"/>
      <c r="AT139" s="594"/>
      <c r="AU139" s="594"/>
      <c r="AV139" s="594"/>
      <c r="AW139" s="594"/>
      <c r="AX139" s="593"/>
      <c r="AY139" s="598"/>
      <c r="AZ139" s="594"/>
      <c r="BA139" s="594"/>
      <c r="BB139" s="594"/>
      <c r="BC139" s="594"/>
      <c r="BD139" s="523"/>
      <c r="BE139" s="593"/>
      <c r="BF139" s="594"/>
      <c r="BG139" s="594"/>
      <c r="BH139" s="594"/>
      <c r="BI139" s="594"/>
      <c r="BJ139" s="594"/>
      <c r="BK139" s="594"/>
      <c r="BL139" s="594"/>
      <c r="BM139" s="594"/>
      <c r="BN139" s="594"/>
      <c r="BO139" s="593"/>
      <c r="BP139" s="594"/>
      <c r="BQ139" s="599"/>
      <c r="BR139" s="593"/>
      <c r="BS139" s="472"/>
      <c r="BT139" s="472"/>
      <c r="BU139" s="523"/>
      <c r="BV139" s="472"/>
      <c r="BW139" s="523"/>
      <c r="BX139" s="523"/>
      <c r="BY139" s="523"/>
      <c r="BZ139" s="601" t="str">
        <f>IFERROR(WWWW[[#This Row],['#_Water sources passed]]/WWWW[[#This Row],['#_Water sources tested for fecal coliform ]],"no test")</f>
        <v>no test</v>
      </c>
      <c r="CA139" s="599" t="str">
        <f>IFERROR(WWWW[[#This Row],['#_Household passed]]/WWWW[[#This Row],['#_Household water samples tested for fecal coliform]],"no test")</f>
        <v>no test</v>
      </c>
      <c r="CB139" s="600" t="str">
        <f>IF(AND(WWWW[[#This Row],[% of water sources passed]]="no test",WWWW[[#This Row],[% Household passed]]="no test"),"No Test","Tested")</f>
        <v>No Test</v>
      </c>
      <c r="CC139" s="600">
        <f>WWWW[[#This Row],['#_Constructed/existing protected hand dug well]]-WWWW[[#This Row],['#_Non-functional protected hand dug well]]</f>
        <v>0</v>
      </c>
      <c r="CD139" s="600">
        <f>(WWWW[[#This Row],['#_Constructed/Existing tube wells/boreholes/handpumps_WASH_agency]]+WWWW[[#This Row],['#_Non-Cluster partner water tube-wells/boreholes/handpumps]])-WWWW[[#This Row],['#_Non-functional tube wells/boreholes/handpumps]]</f>
        <v>0</v>
      </c>
      <c r="CE139" s="600">
        <f>WWWW[[#This Row],['#_Constructed/Existingwater storage tank with gravity fed reticulation system]]-WWWW[[#This Row],['#_Non-functional storage tank gravity fed reticulation system]]</f>
        <v>0</v>
      </c>
      <c r="CF139" s="478">
        <f>(WWWW[[#This Row],['#_Water_Liters_supplied_by_Water boating or water trucking]]/90)/15</f>
        <v>0</v>
      </c>
      <c r="CG139" s="478">
        <f>WWWW[[#This Row],['#_Water_Liters_from_Constructed/Existing water distribution system from river or natural spring]]/90/15</f>
        <v>0</v>
      </c>
      <c r="CH139" s="478">
        <f>WWWW[[#This Row],['#_of water points in TLS/CFS /THF]]*500</f>
        <v>0</v>
      </c>
      <c r="CI13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3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39" s="599">
        <f>IF(WWWW[[#This Row],[Location Type 1]]="Village",WWWW[[#This Row],[Access to safe drinking water for Village]],WWWW[[#This Row],[Access to safe drinking water for Camp]])</f>
        <v>0</v>
      </c>
      <c r="CL139" s="597">
        <f>WWWW[[#This Row],[%Equitable and continuous access to sufficient quantity of safe drinking water]]*WWWW[[#This Row],[Total PoP ]]</f>
        <v>0</v>
      </c>
      <c r="CM139" s="599">
        <f>IF((WWWW[[#This Row],['#_Constructed/Existing protected/fenced ponds]]*250)/WWWW[[#This Row],[Total PoP ]]&gt;1,1,(WWWW[[#This Row],['#_Constructed/Existing protected/fenced ponds]]*250)/WWWW[[#This Row],[Total PoP ]])</f>
        <v>0</v>
      </c>
      <c r="CN139" s="597">
        <f>WWWW[[#This Row],[% Access to unimproved water points]]*WWWW[[#This Row],[Total PoP ]]</f>
        <v>0</v>
      </c>
      <c r="CO13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3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39" s="597">
        <f>WWWW[[#This Row],[HRP1]]/500</f>
        <v>0</v>
      </c>
      <c r="CR139" s="602">
        <f>1-WWWW[[#This Row],[% Equitable and continuous access to sufficient quantity of domestic water]]</f>
        <v>1</v>
      </c>
      <c r="CS139" s="597">
        <f>WWWW[[#This Row],[%equitable and continuous access to sufficient quantity of safe drinking and domestic water''s GAP]]*WWWW[[#This Row],[Total PoP ]]</f>
        <v>121</v>
      </c>
      <c r="CT139" s="600">
        <f>IF(WWWW[[#This Row],[Total required water points]]-WWWW[[#This Row],['#Water points coverage]]&lt;0,0,WWWW[[#This Row],[Total required water points]]-WWWW[[#This Row],['#Water points coverage]])</f>
        <v>1</v>
      </c>
      <c r="CU139" s="600">
        <f>ROUND(IF(WWWW[[#This Row],[Total PoP ]]&lt;500,1,WWWW[[#This Row],[Total PoP ]]/500),0)</f>
        <v>1</v>
      </c>
      <c r="CV139" s="600">
        <f>(WWWW[[#This Row],['#_Constructed latrines_by_WASHAgencies]]+WWWW[[#This Row],['#_Non Cluster partner latrines]])-WWWW[[#This Row],['#_Non-functional latrines]]</f>
        <v>0</v>
      </c>
      <c r="CW139" s="70">
        <f>WWWW[[#This Row],[HRP2]]/WWWW[[#This Row],[Total PoP ]]</f>
        <v>0</v>
      </c>
      <c r="CX13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3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3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39" s="600">
        <f>IF(WWWW[[#This Row],['# of functional latrines in THF supported by WASH partners during the reporting period2]]="",0,WWWW[[#This Row],['# of functional latrines in THF supported by WASH partners during the reporting period2]]*50)</f>
        <v>0</v>
      </c>
      <c r="DB139" s="600">
        <f>WWWW[[#This Row],['# students access to functioning school latrines_HRP5]]+WWWW[[#This Row],['# People access to functioning latrines in THF_HRP5]]</f>
        <v>0</v>
      </c>
      <c r="DC139" s="600">
        <f>ROUND(IF(WWWW[[#This Row],[Location Type 1]]="camp",WWWW[[#This Row],[Total PoP ]]/20,IF(WWWW[[#This Row],[Location Type 1]]="Temporary Location",WWWW[[#This Row],[Total PoP ]]/50,WWWW[[#This Row],[Total HH]])),0)</f>
        <v>6</v>
      </c>
      <c r="DD139" s="600">
        <f>IF(WWWW[[#This Row],[Total required Latrines]]-(WWWW[[#This Row],['#_Constructed latrines_by_WASHAgencies]]+WWWW[[#This Row],['#_Non Cluster partner latrines]])&lt;0,0,WWWW[[#This Row],[Total required Latrines]]-(WWWW[[#This Row],['#_Constructed latrines_by_WASHAgencies]]+WWWW[[#This Row],['#_Non Cluster partner latrines]]))</f>
        <v>6</v>
      </c>
      <c r="DE139" s="602">
        <f>1-WWWW[[#This Row],[% people access to functioning Latrine]]</f>
        <v>1</v>
      </c>
      <c r="DF139" s="601">
        <f>IF(OR(WWWW[[#This Row],['#_Non-functional latrines]]="",WWWW[[#This Row],['#_Non-functional latrines]]=0),0,WWWW[[#This Row],['#_Non-functional latrines]]/(WWWW[[#This Row],['#_Constructed latrines_by_WASHAgencies]]+WWWW[[#This Row],['#_Non Cluster partner latrines]]))</f>
        <v>0</v>
      </c>
      <c r="DG139" s="597">
        <f>IF(500*(WWWW[[#This Row],['#_male hygiene promoters]]+WWWW[[#This Row],['#_female hygiene promoters]])&gt;WWWW[[#This Row],[Total PoP ]],WWWW[[#This Row],[Total PoP ]],500*(WWWW[[#This Row],['#_male hygiene promoters]]+WWWW[[#This Row],['#_female hygiene promoters]]))</f>
        <v>0</v>
      </c>
      <c r="DH13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3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39" s="600">
        <f>IF(WWWW[[#This Row],['# People with access to soap]]&gt;WWWW[[#This Row],['# People with access to Sanity Pads]],WWWW[[#This Row],['# People with access to soap]],WWWW[[#This Row],['# People with access to Sanity Pads]])</f>
        <v>0</v>
      </c>
      <c r="DK13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39" s="602">
        <f>IF(WWWW[[#This Row],[HRP3]]/WWWW[[#This Row],[Total PoP ]]&gt;1,1,WWWW[[#This Row],[HRP3]]/WWWW[[#This Row],[Total PoP ]])</f>
        <v>0</v>
      </c>
      <c r="DM139" s="601">
        <f>1-WWWW[[#This Row],[Hygiene Coverage%]]</f>
        <v>1</v>
      </c>
      <c r="DN139" s="599">
        <f>WWWW[[#This Row],['# people reached by regular dedicated hygiene promotion_5]]/WWWW[[#This Row],[Total PoP ]]</f>
        <v>0</v>
      </c>
      <c r="DO13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3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39" s="600">
        <f>WWWW[[#This Row],['#_Constructed/Existing hand washing stations]]-WWWW[[#This Row],['#_Non-Functional_hand_washing_stations]]</f>
        <v>0</v>
      </c>
      <c r="DR139" s="597">
        <f>IF(WWWW[[#This Row],['# Functional hand washing stations during reporting period]]*20&gt;WWWW[[#This Row],[Total HH]],WWWW[[#This Row],[Total HH]],WWWW[[#This Row],['# Functional hand washing stations during reporting period]]*20)</f>
        <v>0</v>
      </c>
      <c r="DS139" s="597">
        <f>IF(WWWW[[#This Row],[Is sufficient soap available for TLS? (Yes/No)]]="yes",WWWW[[#This Row],['#_Constructed/Existing hand washing stations at TLS]],0)</f>
        <v>0</v>
      </c>
      <c r="DT139" s="479">
        <f>IF(WWWW[[#This Row],['# Functional hand washing stations during reporting period]]*100&gt;WWWW[[#This Row],[Total PoP ]],WWWW[[#This Row],[Total PoP ]],WWWW[[#This Row],['# Functional hand washing stations during reporting period]]*100)</f>
        <v>0</v>
      </c>
      <c r="DU139" s="479" t="str">
        <f>IF(OR(WWWW[[#This Row],['#_students at TLS_CFS]]="",WWWW[[#This Row],['#_students at TLS_CFS]]=0),"No","Yes")</f>
        <v>No</v>
      </c>
      <c r="DV13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39" s="593">
        <f>VLOOKUP(WWWW[[#This Row],[Site Name]],SiteDB6[[Site Name]:[CCCM Management]],6,FALSE)</f>
        <v>0</v>
      </c>
      <c r="DZ139" s="593" t="str">
        <f>VLOOKUP(WWWW[[#This Row],[Site Name]],SiteDB6[[Site Name]:[CCCM Focal Agency]],7,FALSE)</f>
        <v>uncovered</v>
      </c>
      <c r="EA139" s="593" t="str">
        <f>VLOOKUP(WWWW[[#This Row],[Site Name]],SiteDB6[[Site Name]:[Location Type 1]],9,FALSE)</f>
        <v>Camp</v>
      </c>
      <c r="EB139" s="593" t="str">
        <f>VLOOKUP(WWWW[[#This Row],[Site Name]],SiteDB6[[Site Name]:[Type of Accommodation]],10,FALSE)</f>
        <v>Host Families</v>
      </c>
      <c r="EC139" s="593" t="str">
        <f>VLOOKUP(WWWW[[#This Row],[Site Name]],SiteDB6[[Site Name]:[Ethnic or GCA/NGCA]],11,FALSE)</f>
        <v>GCA</v>
      </c>
      <c r="ED139" s="593">
        <f>VLOOKUP(WWWW[[#This Row],[Site Name]],SiteDB6[[Site Name]:[Lat]],12,FALSE)</f>
        <v>24.996279999999999</v>
      </c>
      <c r="EE139" s="593">
        <f>VLOOKUP(WWWW[[#This Row],[Site Name]],SiteDB6[[Site Name]:[Long]],13,FALSE)</f>
        <v>96.52534</v>
      </c>
      <c r="EF139" s="593" t="str">
        <f>VLOOKUP(WWWW[[#This Row],[Site Name]],SiteDB6[[Site Name]:[Pcode]],3,FALSE)</f>
        <v>MMR001CMP232</v>
      </c>
      <c r="EG139" s="598" t="str">
        <f t="shared" si="2"/>
        <v>Notcovered</v>
      </c>
      <c r="EH139" s="598" t="str">
        <f>VLOOKUP(WWWW[[#This Row],[Site Name]],SiteDB6[[Site Name]:[open in cccm?]],2,FALSE)</f>
        <v>cccm_2019OCT</v>
      </c>
    </row>
    <row r="140" spans="1:138" hidden="1">
      <c r="A140" s="591" t="s">
        <v>3261</v>
      </c>
      <c r="B140" s="591" t="s">
        <v>312</v>
      </c>
      <c r="C140" s="592" t="s">
        <v>312</v>
      </c>
      <c r="D140" s="592"/>
      <c r="E140" s="592" t="s">
        <v>39</v>
      </c>
      <c r="F140" s="592" t="s">
        <v>208</v>
      </c>
      <c r="G140" s="721" t="str">
        <f>VLOOKUP(WWWW[[#This Row],[Site Name]],SiteDB6[[Site Name]:[Location Type]],8,FALSE)</f>
        <v>Camp</v>
      </c>
      <c r="H140" s="592" t="s">
        <v>3058</v>
      </c>
      <c r="I140" s="594"/>
      <c r="J140" s="594">
        <v>26</v>
      </c>
      <c r="K140" s="595"/>
      <c r="L140" s="596"/>
      <c r="M140" s="594"/>
      <c r="N140" s="594"/>
      <c r="O140" s="594"/>
      <c r="P140" s="594"/>
      <c r="Q140" s="597"/>
      <c r="R140" s="594"/>
      <c r="S140" s="594">
        <v>1</v>
      </c>
      <c r="T140" s="523"/>
      <c r="U140" s="594"/>
      <c r="V140" s="594"/>
      <c r="W140" s="594"/>
      <c r="X140" s="594"/>
      <c r="Y140" s="594"/>
      <c r="Z140" s="594"/>
      <c r="AA140" s="594"/>
      <c r="AB140" s="594"/>
      <c r="AC140" s="594"/>
      <c r="AD140" s="594"/>
      <c r="AE140" s="594"/>
      <c r="AF140" s="594"/>
      <c r="AG140" s="594"/>
      <c r="AH140" s="594"/>
      <c r="AI140" s="594"/>
      <c r="AJ140" s="594"/>
      <c r="AK140" s="594"/>
      <c r="AL140" s="594"/>
      <c r="AM140" s="594"/>
      <c r="AN140" s="594"/>
      <c r="AO140" s="598"/>
      <c r="AP140" s="594"/>
      <c r="AQ140" s="594"/>
      <c r="AR140" s="599"/>
      <c r="AS140" s="594"/>
      <c r="AT140" s="594"/>
      <c r="AU140" s="594"/>
      <c r="AV140" s="594"/>
      <c r="AW140" s="594"/>
      <c r="AX140" s="593"/>
      <c r="AY140" s="598"/>
      <c r="AZ140" s="594"/>
      <c r="BA140" s="594"/>
      <c r="BB140" s="594"/>
      <c r="BC140" s="594"/>
      <c r="BD140" s="523"/>
      <c r="BE140" s="593"/>
      <c r="BF140" s="594"/>
      <c r="BG140" s="594"/>
      <c r="BH140" s="594"/>
      <c r="BI140" s="594"/>
      <c r="BJ140" s="594"/>
      <c r="BK140" s="594"/>
      <c r="BL140" s="594"/>
      <c r="BM140" s="594"/>
      <c r="BN140" s="594"/>
      <c r="BO140" s="593"/>
      <c r="BP140" s="594"/>
      <c r="BQ140" s="599"/>
      <c r="BR140" s="593"/>
      <c r="BS140" s="472"/>
      <c r="BT140" s="472"/>
      <c r="BU140" s="523"/>
      <c r="BV140" s="472"/>
      <c r="BW140" s="523"/>
      <c r="BX140" s="523"/>
      <c r="BY140" s="523"/>
      <c r="BZ140" s="601" t="str">
        <f>IFERROR(WWWW[[#This Row],['#_Water sources passed]]/WWWW[[#This Row],['#_Water sources tested for fecal coliform ]],"no test")</f>
        <v>no test</v>
      </c>
      <c r="CA140" s="599" t="str">
        <f>IFERROR(WWWW[[#This Row],['#_Household passed]]/WWWW[[#This Row],['#_Household water samples tested for fecal coliform]],"no test")</f>
        <v>no test</v>
      </c>
      <c r="CB140" s="600" t="str">
        <f>IF(AND(WWWW[[#This Row],[% of water sources passed]]="no test",WWWW[[#This Row],[% Household passed]]="no test"),"No Test","Tested")</f>
        <v>No Test</v>
      </c>
      <c r="CC140" s="600">
        <f>WWWW[[#This Row],['#_Constructed/existing protected hand dug well]]-WWWW[[#This Row],['#_Non-functional protected hand dug well]]</f>
        <v>0</v>
      </c>
      <c r="CD140" s="600">
        <f>(WWWW[[#This Row],['#_Constructed/Existing tube wells/boreholes/handpumps_WASH_agency]]+WWWW[[#This Row],['#_Non-Cluster partner water tube-wells/boreholes/handpumps]])-WWWW[[#This Row],['#_Non-functional tube wells/boreholes/handpumps]]</f>
        <v>0</v>
      </c>
      <c r="CE140" s="600">
        <f>WWWW[[#This Row],['#_Constructed/Existingwater storage tank with gravity fed reticulation system]]-WWWW[[#This Row],['#_Non-functional storage tank gravity fed reticulation system]]</f>
        <v>0</v>
      </c>
      <c r="CF140" s="478">
        <f>(WWWW[[#This Row],['#_Water_Liters_supplied_by_Water boating or water trucking]]/90)/15</f>
        <v>0</v>
      </c>
      <c r="CG140" s="478">
        <f>WWWW[[#This Row],['#_Water_Liters_from_Constructed/Existing water distribution system from river or natural spring]]/90/15</f>
        <v>0</v>
      </c>
      <c r="CH140" s="478">
        <f>WWWW[[#This Row],['#_of water points in TLS/CFS /THF]]*500</f>
        <v>0</v>
      </c>
      <c r="CI14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0" s="599">
        <f>IF(WWWW[[#This Row],[Location Type 1]]="Village",WWWW[[#This Row],[Access to safe drinking water for Village]],WWWW[[#This Row],[Access to safe drinking water for Camp]])</f>
        <v>0</v>
      </c>
      <c r="CL140" s="597">
        <f>WWWW[[#This Row],[%Equitable and continuous access to sufficient quantity of safe drinking water]]*WWWW[[#This Row],[Total PoP ]]</f>
        <v>0</v>
      </c>
      <c r="CM140" s="599">
        <f>IF((WWWW[[#This Row],['#_Constructed/Existing protected/fenced ponds]]*250)/WWWW[[#This Row],[Total PoP ]]&gt;1,1,(WWWW[[#This Row],['#_Constructed/Existing protected/fenced ponds]]*250)/WWWW[[#This Row],[Total PoP ]])</f>
        <v>0</v>
      </c>
      <c r="CN140" s="597">
        <f>WWWW[[#This Row],[% Access to unimproved water points]]*WWWW[[#This Row],[Total PoP ]]</f>
        <v>0</v>
      </c>
      <c r="CO14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0" s="597">
        <f>WWWW[[#This Row],[HRP1]]/500</f>
        <v>0</v>
      </c>
      <c r="CR140" s="602">
        <f>1-WWWW[[#This Row],[% Equitable and continuous access to sufficient quantity of domestic water]]</f>
        <v>1</v>
      </c>
      <c r="CS140" s="597">
        <f>WWWW[[#This Row],[%equitable and continuous access to sufficient quantity of safe drinking and domestic water''s GAP]]*WWWW[[#This Row],[Total PoP ]]</f>
        <v>26</v>
      </c>
      <c r="CT140" s="600">
        <f>IF(WWWW[[#This Row],[Total required water points]]-WWWW[[#This Row],['#Water points coverage]]&lt;0,0,WWWW[[#This Row],[Total required water points]]-WWWW[[#This Row],['#Water points coverage]])</f>
        <v>1</v>
      </c>
      <c r="CU140" s="600">
        <f>ROUND(IF(WWWW[[#This Row],[Total PoP ]]&lt;500,1,WWWW[[#This Row],[Total PoP ]]/500),0)</f>
        <v>1</v>
      </c>
      <c r="CV140" s="600">
        <f>(WWWW[[#This Row],['#_Constructed latrines_by_WASHAgencies]]+WWWW[[#This Row],['#_Non Cluster partner latrines]])-WWWW[[#This Row],['#_Non-functional latrines]]</f>
        <v>0</v>
      </c>
      <c r="CW140" s="70">
        <f>WWWW[[#This Row],[HRP2]]/WWWW[[#This Row],[Total PoP ]]</f>
        <v>0</v>
      </c>
      <c r="CX14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0" s="600">
        <f>IF(WWWW[[#This Row],['# of functional latrines in THF supported by WASH partners during the reporting period2]]="",0,WWWW[[#This Row],['# of functional latrines in THF supported by WASH partners during the reporting period2]]*50)</f>
        <v>0</v>
      </c>
      <c r="DB140" s="600">
        <f>WWWW[[#This Row],['# students access to functioning school latrines_HRP5]]+WWWW[[#This Row],['# People access to functioning latrines in THF_HRP5]]</f>
        <v>0</v>
      </c>
      <c r="DC140" s="600">
        <f>ROUND(IF(WWWW[[#This Row],[Location Type 1]]="camp",WWWW[[#This Row],[Total PoP ]]/20,IF(WWWW[[#This Row],[Location Type 1]]="Temporary Location",WWWW[[#This Row],[Total PoP ]]/50,WWWW[[#This Row],[Total HH]])),0)</f>
        <v>1</v>
      </c>
      <c r="DD140" s="600">
        <f>IF(WWWW[[#This Row],[Total required Latrines]]-(WWWW[[#This Row],['#_Constructed latrines_by_WASHAgencies]]+WWWW[[#This Row],['#_Non Cluster partner latrines]])&lt;0,0,WWWW[[#This Row],[Total required Latrines]]-(WWWW[[#This Row],['#_Constructed latrines_by_WASHAgencies]]+WWWW[[#This Row],['#_Non Cluster partner latrines]]))</f>
        <v>1</v>
      </c>
      <c r="DE140" s="602">
        <f>1-WWWW[[#This Row],[% people access to functioning Latrine]]</f>
        <v>1</v>
      </c>
      <c r="DF140" s="601">
        <f>IF(OR(WWWW[[#This Row],['#_Non-functional latrines]]="",WWWW[[#This Row],['#_Non-functional latrines]]=0),0,WWWW[[#This Row],['#_Non-functional latrines]]/(WWWW[[#This Row],['#_Constructed latrines_by_WASHAgencies]]+WWWW[[#This Row],['#_Non Cluster partner latrines]]))</f>
        <v>0</v>
      </c>
      <c r="DG140" s="597">
        <f>IF(500*(WWWW[[#This Row],['#_male hygiene promoters]]+WWWW[[#This Row],['#_female hygiene promoters]])&gt;WWWW[[#This Row],[Total PoP ]],WWWW[[#This Row],[Total PoP ]],500*(WWWW[[#This Row],['#_male hygiene promoters]]+WWWW[[#This Row],['#_female hygiene promoters]]))</f>
        <v>0</v>
      </c>
      <c r="DH14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0" s="600">
        <f>IF(WWWW[[#This Row],['# People with access to soap]]&gt;WWWW[[#This Row],['# People with access to Sanity Pads]],WWWW[[#This Row],['# People with access to soap]],WWWW[[#This Row],['# People with access to Sanity Pads]])</f>
        <v>0</v>
      </c>
      <c r="DK14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0" s="602">
        <f>IF(WWWW[[#This Row],[HRP3]]/WWWW[[#This Row],[Total PoP ]]&gt;1,1,WWWW[[#This Row],[HRP3]]/WWWW[[#This Row],[Total PoP ]])</f>
        <v>0</v>
      </c>
      <c r="DM140" s="601">
        <f>1-WWWW[[#This Row],[Hygiene Coverage%]]</f>
        <v>1</v>
      </c>
      <c r="DN140" s="599">
        <f>WWWW[[#This Row],['# people reached by regular dedicated hygiene promotion_5]]/WWWW[[#This Row],[Total PoP ]]</f>
        <v>0</v>
      </c>
      <c r="DO140" s="599"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140" s="599"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140" s="600">
        <f>WWWW[[#This Row],['#_Constructed/Existing hand washing stations]]-WWWW[[#This Row],['#_Non-Functional_hand_washing_stations]]</f>
        <v>0</v>
      </c>
      <c r="DR140" s="597">
        <f>IF(WWWW[[#This Row],['# Functional hand washing stations during reporting period]]*20&gt;WWWW[[#This Row],[Total HH]],WWWW[[#This Row],[Total HH]],WWWW[[#This Row],['# Functional hand washing stations during reporting period]]*20)</f>
        <v>0</v>
      </c>
      <c r="DS140" s="597">
        <f>IF(WWWW[[#This Row],[Is sufficient soap available for TLS? (Yes/No)]]="yes",WWWW[[#This Row],['#_Constructed/Existing hand washing stations at TLS]],0)</f>
        <v>0</v>
      </c>
      <c r="DT140" s="479">
        <f>IF(WWWW[[#This Row],['# Functional hand washing stations during reporting period]]*100&gt;WWWW[[#This Row],[Total PoP ]],WWWW[[#This Row],[Total PoP ]],WWWW[[#This Row],['# Functional hand washing stations during reporting period]]*100)</f>
        <v>0</v>
      </c>
      <c r="DU140" s="479" t="str">
        <f>IF(OR(WWWW[[#This Row],['#_students at TLS_CFS]]="",WWWW[[#This Row],['#_students at TLS_CFS]]=0),"No","Yes")</f>
        <v>No</v>
      </c>
      <c r="DV14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0" s="593">
        <f>VLOOKUP(WWWW[[#This Row],[Site Name]],SiteDB6[[Site Name]:[CCCM Management]],6,FALSE)</f>
        <v>0</v>
      </c>
      <c r="DZ140" s="593" t="str">
        <f>VLOOKUP(WWWW[[#This Row],[Site Name]],SiteDB6[[Site Name]:[CCCM Focal Agency]],7,FALSE)</f>
        <v>uncovered</v>
      </c>
      <c r="EA140" s="593" t="str">
        <f>VLOOKUP(WWWW[[#This Row],[Site Name]],SiteDB6[[Site Name]:[Location Type 1]],9,FALSE)</f>
        <v>Camp</v>
      </c>
      <c r="EB140" s="593" t="str">
        <f>VLOOKUP(WWWW[[#This Row],[Site Name]],SiteDB6[[Site Name]:[Type of Accommodation]],10,FALSE)</f>
        <v>Boarding School</v>
      </c>
      <c r="EC140" s="593" t="str">
        <f>VLOOKUP(WWWW[[#This Row],[Site Name]],SiteDB6[[Site Name]:[Ethnic or GCA/NGCA]],11,FALSE)</f>
        <v>GCA</v>
      </c>
      <c r="ED140" s="593">
        <f>VLOOKUP(WWWW[[#This Row],[Site Name]],SiteDB6[[Site Name]:[Lat]],12,FALSE)</f>
        <v>24.613662999999999</v>
      </c>
      <c r="EE140" s="593">
        <f>VLOOKUP(WWWW[[#This Row],[Site Name]],SiteDB6[[Site Name]:[Long]],13,FALSE)</f>
        <v>97.461727999999994</v>
      </c>
      <c r="EF140" s="593" t="str">
        <f>VLOOKUP(WWWW[[#This Row],[Site Name]],SiteDB6[[Site Name]:[Pcode]],3,FALSE)</f>
        <v>MMR001CMP274</v>
      </c>
      <c r="EG140" s="598" t="str">
        <f t="shared" si="2"/>
        <v>Notcovered</v>
      </c>
      <c r="EH140" s="598" t="str">
        <f>VLOOKUP(WWWW[[#This Row],[Site Name]],SiteDB6[[Site Name]:[open in cccm?]],2,FALSE)</f>
        <v>cccm_2019OCT</v>
      </c>
    </row>
    <row r="141" spans="1:138" hidden="1">
      <c r="A141" s="591" t="s">
        <v>3261</v>
      </c>
      <c r="B141" s="591" t="s">
        <v>312</v>
      </c>
      <c r="C141" s="592" t="s">
        <v>312</v>
      </c>
      <c r="D141" s="592"/>
      <c r="E141" s="592" t="s">
        <v>39</v>
      </c>
      <c r="F141" s="592" t="s">
        <v>176</v>
      </c>
      <c r="G141" s="721" t="str">
        <f>VLOOKUP(WWWW[[#This Row],[Site Name]],SiteDB6[[Site Name]:[Location Type]],8,FALSE)</f>
        <v>Camp</v>
      </c>
      <c r="H141" s="592" t="s">
        <v>1083</v>
      </c>
      <c r="I141" s="594">
        <v>10</v>
      </c>
      <c r="J141" s="594">
        <v>56</v>
      </c>
      <c r="K141" s="595"/>
      <c r="L141" s="596"/>
      <c r="M141" s="594"/>
      <c r="N141" s="594"/>
      <c r="O141" s="594"/>
      <c r="P141" s="594"/>
      <c r="Q141" s="597"/>
      <c r="R141" s="594"/>
      <c r="S141" s="594">
        <v>5</v>
      </c>
      <c r="T141" s="523"/>
      <c r="U141" s="594"/>
      <c r="V141" s="594"/>
      <c r="W141" s="594"/>
      <c r="X141" s="594"/>
      <c r="Y141" s="594"/>
      <c r="Z141" s="594"/>
      <c r="AA141" s="594"/>
      <c r="AB141" s="594"/>
      <c r="AC141" s="594"/>
      <c r="AD141" s="594"/>
      <c r="AE141" s="594"/>
      <c r="AF141" s="594"/>
      <c r="AG141" s="594"/>
      <c r="AH141" s="594"/>
      <c r="AI141" s="594"/>
      <c r="AJ141" s="594"/>
      <c r="AK141" s="594"/>
      <c r="AL141" s="594"/>
      <c r="AM141" s="594"/>
      <c r="AN141" s="594"/>
      <c r="AO141" s="598"/>
      <c r="AP141" s="594"/>
      <c r="AQ141" s="594"/>
      <c r="AR141" s="599"/>
      <c r="AS141" s="594"/>
      <c r="AT141" s="594"/>
      <c r="AU141" s="594"/>
      <c r="AV141" s="594"/>
      <c r="AW141" s="594"/>
      <c r="AX141" s="593"/>
      <c r="AY141" s="598"/>
      <c r="AZ141" s="594"/>
      <c r="BA141" s="594"/>
      <c r="BB141" s="594"/>
      <c r="BC141" s="594"/>
      <c r="BD141" s="523"/>
      <c r="BE141" s="593"/>
      <c r="BF141" s="594"/>
      <c r="BG141" s="594"/>
      <c r="BH141" s="594"/>
      <c r="BI141" s="594"/>
      <c r="BJ141" s="594"/>
      <c r="BK141" s="594"/>
      <c r="BL141" s="594"/>
      <c r="BM141" s="594"/>
      <c r="BN141" s="594"/>
      <c r="BO141" s="593"/>
      <c r="BP141" s="594"/>
      <c r="BQ141" s="599"/>
      <c r="BR141" s="593"/>
      <c r="BS141" s="472"/>
      <c r="BT141" s="472"/>
      <c r="BU141" s="523"/>
      <c r="BV141" s="472"/>
      <c r="BW141" s="523"/>
      <c r="BX141" s="523"/>
      <c r="BY141" s="523"/>
      <c r="BZ141" s="601" t="str">
        <f>IFERROR(WWWW[[#This Row],['#_Water sources passed]]/WWWW[[#This Row],['#_Water sources tested for fecal coliform ]],"no test")</f>
        <v>no test</v>
      </c>
      <c r="CA141" s="599" t="str">
        <f>IFERROR(WWWW[[#This Row],['#_Household passed]]/WWWW[[#This Row],['#_Household water samples tested for fecal coliform]],"no test")</f>
        <v>no test</v>
      </c>
      <c r="CB141" s="600" t="str">
        <f>IF(AND(WWWW[[#This Row],[% of water sources passed]]="no test",WWWW[[#This Row],[% Household passed]]="no test"),"No Test","Tested")</f>
        <v>No Test</v>
      </c>
      <c r="CC141" s="600">
        <f>WWWW[[#This Row],['#_Constructed/existing protected hand dug well]]-WWWW[[#This Row],['#_Non-functional protected hand dug well]]</f>
        <v>0</v>
      </c>
      <c r="CD141" s="600">
        <f>(WWWW[[#This Row],['#_Constructed/Existing tube wells/boreholes/handpumps_WASH_agency]]+WWWW[[#This Row],['#_Non-Cluster partner water tube-wells/boreholes/handpumps]])-WWWW[[#This Row],['#_Non-functional tube wells/boreholes/handpumps]]</f>
        <v>0</v>
      </c>
      <c r="CE141" s="600">
        <f>WWWW[[#This Row],['#_Constructed/Existingwater storage tank with gravity fed reticulation system]]-WWWW[[#This Row],['#_Non-functional storage tank gravity fed reticulation system]]</f>
        <v>0</v>
      </c>
      <c r="CF141" s="478">
        <f>(WWWW[[#This Row],['#_Water_Liters_supplied_by_Water boating or water trucking]]/90)/15</f>
        <v>0</v>
      </c>
      <c r="CG141" s="478">
        <f>WWWW[[#This Row],['#_Water_Liters_from_Constructed/Existing water distribution system from river or natural spring]]/90/15</f>
        <v>0</v>
      </c>
      <c r="CH141" s="478">
        <f>WWWW[[#This Row],['#_of water points in TLS/CFS /THF]]*500</f>
        <v>0</v>
      </c>
      <c r="CI14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1" s="599">
        <f>IF(WWWW[[#This Row],[Location Type 1]]="Village",WWWW[[#This Row],[Access to safe drinking water for Village]],WWWW[[#This Row],[Access to safe drinking water for Camp]])</f>
        <v>0</v>
      </c>
      <c r="CL141" s="597">
        <f>WWWW[[#This Row],[%Equitable and continuous access to sufficient quantity of safe drinking water]]*WWWW[[#This Row],[Total PoP ]]</f>
        <v>0</v>
      </c>
      <c r="CM141" s="599">
        <f>IF((WWWW[[#This Row],['#_Constructed/Existing protected/fenced ponds]]*250)/WWWW[[#This Row],[Total PoP ]]&gt;1,1,(WWWW[[#This Row],['#_Constructed/Existing protected/fenced ponds]]*250)/WWWW[[#This Row],[Total PoP ]])</f>
        <v>0</v>
      </c>
      <c r="CN141" s="597">
        <f>WWWW[[#This Row],[% Access to unimproved water points]]*WWWW[[#This Row],[Total PoP ]]</f>
        <v>0</v>
      </c>
      <c r="CO14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1" s="597">
        <f>WWWW[[#This Row],[HRP1]]/500</f>
        <v>0</v>
      </c>
      <c r="CR141" s="602">
        <f>1-WWWW[[#This Row],[% Equitable and continuous access to sufficient quantity of domestic water]]</f>
        <v>1</v>
      </c>
      <c r="CS141" s="597">
        <f>WWWW[[#This Row],[%equitable and continuous access to sufficient quantity of safe drinking and domestic water''s GAP]]*WWWW[[#This Row],[Total PoP ]]</f>
        <v>56</v>
      </c>
      <c r="CT141" s="600">
        <f>IF(WWWW[[#This Row],[Total required water points]]-WWWW[[#This Row],['#Water points coverage]]&lt;0,0,WWWW[[#This Row],[Total required water points]]-WWWW[[#This Row],['#Water points coverage]])</f>
        <v>1</v>
      </c>
      <c r="CU141" s="600">
        <f>ROUND(IF(WWWW[[#This Row],[Total PoP ]]&lt;500,1,WWWW[[#This Row],[Total PoP ]]/500),0)</f>
        <v>1</v>
      </c>
      <c r="CV141" s="600">
        <f>(WWWW[[#This Row],['#_Constructed latrines_by_WASHAgencies]]+WWWW[[#This Row],['#_Non Cluster partner latrines]])-WWWW[[#This Row],['#_Non-functional latrines]]</f>
        <v>0</v>
      </c>
      <c r="CW141" s="70">
        <f>WWWW[[#This Row],[HRP2]]/WWWW[[#This Row],[Total PoP ]]</f>
        <v>0</v>
      </c>
      <c r="CX14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1" s="600">
        <f>IF(WWWW[[#This Row],['# of functional latrines in THF supported by WASH partners during the reporting period2]]="",0,WWWW[[#This Row],['# of functional latrines in THF supported by WASH partners during the reporting period2]]*50)</f>
        <v>0</v>
      </c>
      <c r="DB141" s="600">
        <f>WWWW[[#This Row],['# students access to functioning school latrines_HRP5]]+WWWW[[#This Row],['# People access to functioning latrines in THF_HRP5]]</f>
        <v>0</v>
      </c>
      <c r="DC141" s="600">
        <f>ROUND(IF(WWWW[[#This Row],[Location Type 1]]="camp",WWWW[[#This Row],[Total PoP ]]/20,IF(WWWW[[#This Row],[Location Type 1]]="Temporary Location",WWWW[[#This Row],[Total PoP ]]/50,WWWW[[#This Row],[Total HH]])),0)</f>
        <v>3</v>
      </c>
      <c r="DD141" s="600">
        <f>IF(WWWW[[#This Row],[Total required Latrines]]-(WWWW[[#This Row],['#_Constructed latrines_by_WASHAgencies]]+WWWW[[#This Row],['#_Non Cluster partner latrines]])&lt;0,0,WWWW[[#This Row],[Total required Latrines]]-(WWWW[[#This Row],['#_Constructed latrines_by_WASHAgencies]]+WWWW[[#This Row],['#_Non Cluster partner latrines]]))</f>
        <v>3</v>
      </c>
      <c r="DE141" s="602">
        <f>1-WWWW[[#This Row],[% people access to functioning Latrine]]</f>
        <v>1</v>
      </c>
      <c r="DF141" s="601">
        <f>IF(OR(WWWW[[#This Row],['#_Non-functional latrines]]="",WWWW[[#This Row],['#_Non-functional latrines]]=0),0,WWWW[[#This Row],['#_Non-functional latrines]]/(WWWW[[#This Row],['#_Constructed latrines_by_WASHAgencies]]+WWWW[[#This Row],['#_Non Cluster partner latrines]]))</f>
        <v>0</v>
      </c>
      <c r="DG141" s="597">
        <f>IF(500*(WWWW[[#This Row],['#_male hygiene promoters]]+WWWW[[#This Row],['#_female hygiene promoters]])&gt;WWWW[[#This Row],[Total PoP ]],WWWW[[#This Row],[Total PoP ]],500*(WWWW[[#This Row],['#_male hygiene promoters]]+WWWW[[#This Row],['#_female hygiene promoters]]))</f>
        <v>0</v>
      </c>
      <c r="DH14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1" s="600">
        <f>IF(WWWW[[#This Row],['# People with access to soap]]&gt;WWWW[[#This Row],['# People with access to Sanity Pads]],WWWW[[#This Row],['# People with access to soap]],WWWW[[#This Row],['# People with access to Sanity Pads]])</f>
        <v>0</v>
      </c>
      <c r="DK14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1" s="602">
        <f>IF(WWWW[[#This Row],[HRP3]]/WWWW[[#This Row],[Total PoP ]]&gt;1,1,WWWW[[#This Row],[HRP3]]/WWWW[[#This Row],[Total PoP ]])</f>
        <v>0</v>
      </c>
      <c r="DM141" s="601">
        <f>1-WWWW[[#This Row],[Hygiene Coverage%]]</f>
        <v>1</v>
      </c>
      <c r="DN141" s="599">
        <f>WWWW[[#This Row],['# people reached by regular dedicated hygiene promotion_5]]/WWWW[[#This Row],[Total PoP ]]</f>
        <v>0</v>
      </c>
      <c r="DO14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1" s="600">
        <f>WWWW[[#This Row],['#_Constructed/Existing hand washing stations]]-WWWW[[#This Row],['#_Non-Functional_hand_washing_stations]]</f>
        <v>0</v>
      </c>
      <c r="DR141" s="597">
        <f>IF(WWWW[[#This Row],['# Functional hand washing stations during reporting period]]*20&gt;WWWW[[#This Row],[Total HH]],WWWW[[#This Row],[Total HH]],WWWW[[#This Row],['# Functional hand washing stations during reporting period]]*20)</f>
        <v>0</v>
      </c>
      <c r="DS141" s="597">
        <f>IF(WWWW[[#This Row],[Is sufficient soap available for TLS? (Yes/No)]]="yes",WWWW[[#This Row],['#_Constructed/Existing hand washing stations at TLS]],0)</f>
        <v>0</v>
      </c>
      <c r="DT141" s="479">
        <f>IF(WWWW[[#This Row],['# Functional hand washing stations during reporting period]]*100&gt;WWWW[[#This Row],[Total PoP ]],WWWW[[#This Row],[Total PoP ]],WWWW[[#This Row],['# Functional hand washing stations during reporting period]]*100)</f>
        <v>0</v>
      </c>
      <c r="DU141" s="479" t="str">
        <f>IF(OR(WWWW[[#This Row],['#_students at TLS_CFS]]="",WWWW[[#This Row],['#_students at TLS_CFS]]=0),"No","Yes")</f>
        <v>No</v>
      </c>
      <c r="DV14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1" s="593">
        <f>VLOOKUP(WWWW[[#This Row],[Site Name]],SiteDB6[[Site Name]:[CCCM Management]],6,FALSE)</f>
        <v>0</v>
      </c>
      <c r="DZ141" s="593" t="str">
        <f>VLOOKUP(WWWW[[#This Row],[Site Name]],SiteDB6[[Site Name]:[CCCM Focal Agency]],7,FALSE)</f>
        <v>uncovered</v>
      </c>
      <c r="EA141" s="593" t="str">
        <f>VLOOKUP(WWWW[[#This Row],[Site Name]],SiteDB6[[Site Name]:[Location Type 1]],9,FALSE)</f>
        <v>Camp</v>
      </c>
      <c r="EB141" s="593" t="str">
        <f>VLOOKUP(WWWW[[#This Row],[Site Name]],SiteDB6[[Site Name]:[Type of Accommodation]],10,FALSE)</f>
        <v>Host Families</v>
      </c>
      <c r="EC141" s="593" t="str">
        <f>VLOOKUP(WWWW[[#This Row],[Site Name]],SiteDB6[[Site Name]:[Ethnic or GCA/NGCA]],11,FALSE)</f>
        <v>GCA</v>
      </c>
      <c r="ED141" s="593">
        <f>VLOOKUP(WWWW[[#This Row],[Site Name]],SiteDB6[[Site Name]:[Lat]],12,FALSE)</f>
        <v>27.248964999999998</v>
      </c>
      <c r="EE141" s="593">
        <f>VLOOKUP(WWWW[[#This Row],[Site Name]],SiteDB6[[Site Name]:[Long]],13,FALSE)</f>
        <v>97.561105999999995</v>
      </c>
      <c r="EF141" s="593" t="str">
        <f>VLOOKUP(WWWW[[#This Row],[Site Name]],SiteDB6[[Site Name]:[Pcode]],3,FALSE)</f>
        <v>MMR001CMP227</v>
      </c>
      <c r="EG141" s="598" t="str">
        <f t="shared" si="2"/>
        <v>Notcovered</v>
      </c>
      <c r="EH141" s="598" t="str">
        <f>VLOOKUP(WWWW[[#This Row],[Site Name]],SiteDB6[[Site Name]:[open in cccm?]],2,FALSE)</f>
        <v>cccm_2019OCT</v>
      </c>
    </row>
    <row r="142" spans="1:138" hidden="1">
      <c r="A142" s="591" t="s">
        <v>3261</v>
      </c>
      <c r="B142" s="591" t="s">
        <v>312</v>
      </c>
      <c r="C142" s="592" t="s">
        <v>312</v>
      </c>
      <c r="D142" s="592"/>
      <c r="E142" s="592" t="s">
        <v>39</v>
      </c>
      <c r="F142" s="592" t="s">
        <v>208</v>
      </c>
      <c r="G142" s="721" t="str">
        <f>VLOOKUP(WWWW[[#This Row],[Site Name]],SiteDB6[[Site Name]:[Location Type]],8,FALSE)</f>
        <v>Camp</v>
      </c>
      <c r="H142" s="592" t="s">
        <v>1021</v>
      </c>
      <c r="I142" s="594">
        <v>3</v>
      </c>
      <c r="J142" s="594">
        <v>18</v>
      </c>
      <c r="K142" s="595"/>
      <c r="L142" s="596"/>
      <c r="M142" s="594"/>
      <c r="N142" s="594"/>
      <c r="O142" s="594"/>
      <c r="P142" s="594"/>
      <c r="Q142" s="597"/>
      <c r="R142" s="594"/>
      <c r="S142" s="594">
        <v>5</v>
      </c>
      <c r="T142" s="523"/>
      <c r="U142" s="594"/>
      <c r="V142" s="594"/>
      <c r="W142" s="594"/>
      <c r="X142" s="594"/>
      <c r="Y142" s="594"/>
      <c r="Z142" s="594"/>
      <c r="AA142" s="594"/>
      <c r="AB142" s="594"/>
      <c r="AC142" s="594"/>
      <c r="AD142" s="594"/>
      <c r="AE142" s="594"/>
      <c r="AF142" s="594"/>
      <c r="AG142" s="594"/>
      <c r="AH142" s="594"/>
      <c r="AI142" s="594"/>
      <c r="AJ142" s="594"/>
      <c r="AK142" s="594"/>
      <c r="AL142" s="594"/>
      <c r="AM142" s="594"/>
      <c r="AN142" s="594"/>
      <c r="AO142" s="598"/>
      <c r="AP142" s="594"/>
      <c r="AQ142" s="594"/>
      <c r="AR142" s="599"/>
      <c r="AS142" s="594"/>
      <c r="AT142" s="594"/>
      <c r="AU142" s="594"/>
      <c r="AV142" s="594"/>
      <c r="AW142" s="594"/>
      <c r="AX142" s="593"/>
      <c r="AY142" s="598"/>
      <c r="AZ142" s="594"/>
      <c r="BA142" s="594"/>
      <c r="BB142" s="594"/>
      <c r="BC142" s="594"/>
      <c r="BD142" s="523"/>
      <c r="BE142" s="593"/>
      <c r="BF142" s="594"/>
      <c r="BG142" s="594"/>
      <c r="BH142" s="594"/>
      <c r="BI142" s="594"/>
      <c r="BJ142" s="594"/>
      <c r="BK142" s="594"/>
      <c r="BL142" s="594"/>
      <c r="BM142" s="594"/>
      <c r="BN142" s="594"/>
      <c r="BO142" s="593"/>
      <c r="BP142" s="594"/>
      <c r="BQ142" s="599"/>
      <c r="BR142" s="593"/>
      <c r="BS142" s="472"/>
      <c r="BT142" s="472"/>
      <c r="BU142" s="523"/>
      <c r="BV142" s="472"/>
      <c r="BW142" s="523"/>
      <c r="BX142" s="523"/>
      <c r="BY142" s="523"/>
      <c r="BZ142" s="601" t="str">
        <f>IFERROR(WWWW[[#This Row],['#_Water sources passed]]/WWWW[[#This Row],['#_Water sources tested for fecal coliform ]],"no test")</f>
        <v>no test</v>
      </c>
      <c r="CA142" s="599" t="str">
        <f>IFERROR(WWWW[[#This Row],['#_Household passed]]/WWWW[[#This Row],['#_Household water samples tested for fecal coliform]],"no test")</f>
        <v>no test</v>
      </c>
      <c r="CB142" s="600" t="str">
        <f>IF(AND(WWWW[[#This Row],[% of water sources passed]]="no test",WWWW[[#This Row],[% Household passed]]="no test"),"No Test","Tested")</f>
        <v>No Test</v>
      </c>
      <c r="CC142" s="600">
        <f>WWWW[[#This Row],['#_Constructed/existing protected hand dug well]]-WWWW[[#This Row],['#_Non-functional protected hand dug well]]</f>
        <v>0</v>
      </c>
      <c r="CD142" s="600">
        <f>(WWWW[[#This Row],['#_Constructed/Existing tube wells/boreholes/handpumps_WASH_agency]]+WWWW[[#This Row],['#_Non-Cluster partner water tube-wells/boreholes/handpumps]])-WWWW[[#This Row],['#_Non-functional tube wells/boreholes/handpumps]]</f>
        <v>0</v>
      </c>
      <c r="CE142" s="600">
        <f>WWWW[[#This Row],['#_Constructed/Existingwater storage tank with gravity fed reticulation system]]-WWWW[[#This Row],['#_Non-functional storage tank gravity fed reticulation system]]</f>
        <v>0</v>
      </c>
      <c r="CF142" s="478">
        <f>(WWWW[[#This Row],['#_Water_Liters_supplied_by_Water boating or water trucking]]/90)/15</f>
        <v>0</v>
      </c>
      <c r="CG142" s="478">
        <f>WWWW[[#This Row],['#_Water_Liters_from_Constructed/Existing water distribution system from river or natural spring]]/90/15</f>
        <v>0</v>
      </c>
      <c r="CH142" s="478">
        <f>WWWW[[#This Row],['#_of water points in TLS/CFS /THF]]*500</f>
        <v>0</v>
      </c>
      <c r="CI14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2" s="599">
        <f>IF(WWWW[[#This Row],[Location Type 1]]="Village",WWWW[[#This Row],[Access to safe drinking water for Village]],WWWW[[#This Row],[Access to safe drinking water for Camp]])</f>
        <v>0</v>
      </c>
      <c r="CL142" s="597">
        <f>WWWW[[#This Row],[%Equitable and continuous access to sufficient quantity of safe drinking water]]*WWWW[[#This Row],[Total PoP ]]</f>
        <v>0</v>
      </c>
      <c r="CM142" s="599">
        <f>IF((WWWW[[#This Row],['#_Constructed/Existing protected/fenced ponds]]*250)/WWWW[[#This Row],[Total PoP ]]&gt;1,1,(WWWW[[#This Row],['#_Constructed/Existing protected/fenced ponds]]*250)/WWWW[[#This Row],[Total PoP ]])</f>
        <v>0</v>
      </c>
      <c r="CN142" s="597">
        <f>WWWW[[#This Row],[% Access to unimproved water points]]*WWWW[[#This Row],[Total PoP ]]</f>
        <v>0</v>
      </c>
      <c r="CO14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2" s="597">
        <f>WWWW[[#This Row],[HRP1]]/500</f>
        <v>0</v>
      </c>
      <c r="CR142" s="602">
        <f>1-WWWW[[#This Row],[% Equitable and continuous access to sufficient quantity of domestic water]]</f>
        <v>1</v>
      </c>
      <c r="CS142" s="597">
        <f>WWWW[[#This Row],[%equitable and continuous access to sufficient quantity of safe drinking and domestic water''s GAP]]*WWWW[[#This Row],[Total PoP ]]</f>
        <v>18</v>
      </c>
      <c r="CT142" s="600">
        <f>IF(WWWW[[#This Row],[Total required water points]]-WWWW[[#This Row],['#Water points coverage]]&lt;0,0,WWWW[[#This Row],[Total required water points]]-WWWW[[#This Row],['#Water points coverage]])</f>
        <v>1</v>
      </c>
      <c r="CU142" s="600">
        <f>ROUND(IF(WWWW[[#This Row],[Total PoP ]]&lt;500,1,WWWW[[#This Row],[Total PoP ]]/500),0)</f>
        <v>1</v>
      </c>
      <c r="CV142" s="600">
        <f>(WWWW[[#This Row],['#_Constructed latrines_by_WASHAgencies]]+WWWW[[#This Row],['#_Non Cluster partner latrines]])-WWWW[[#This Row],['#_Non-functional latrines]]</f>
        <v>0</v>
      </c>
      <c r="CW142" s="70">
        <f>WWWW[[#This Row],[HRP2]]/WWWW[[#This Row],[Total PoP ]]</f>
        <v>0</v>
      </c>
      <c r="CX14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2" s="600">
        <f>IF(WWWW[[#This Row],['# of functional latrines in THF supported by WASH partners during the reporting period2]]="",0,WWWW[[#This Row],['# of functional latrines in THF supported by WASH partners during the reporting period2]]*50)</f>
        <v>0</v>
      </c>
      <c r="DB142" s="600">
        <f>WWWW[[#This Row],['# students access to functioning school latrines_HRP5]]+WWWW[[#This Row],['# People access to functioning latrines in THF_HRP5]]</f>
        <v>0</v>
      </c>
      <c r="DC142" s="600">
        <f>ROUND(IF(WWWW[[#This Row],[Location Type 1]]="camp",WWWW[[#This Row],[Total PoP ]]/20,IF(WWWW[[#This Row],[Location Type 1]]="Temporary Location",WWWW[[#This Row],[Total PoP ]]/50,WWWW[[#This Row],[Total HH]])),0)</f>
        <v>1</v>
      </c>
      <c r="DD142" s="600">
        <f>IF(WWWW[[#This Row],[Total required Latrines]]-(WWWW[[#This Row],['#_Constructed latrines_by_WASHAgencies]]+WWWW[[#This Row],['#_Non Cluster partner latrines]])&lt;0,0,WWWW[[#This Row],[Total required Latrines]]-(WWWW[[#This Row],['#_Constructed latrines_by_WASHAgencies]]+WWWW[[#This Row],['#_Non Cluster partner latrines]]))</f>
        <v>1</v>
      </c>
      <c r="DE142" s="602">
        <f>1-WWWW[[#This Row],[% people access to functioning Latrine]]</f>
        <v>1</v>
      </c>
      <c r="DF142" s="601">
        <f>IF(OR(WWWW[[#This Row],['#_Non-functional latrines]]="",WWWW[[#This Row],['#_Non-functional latrines]]=0),0,WWWW[[#This Row],['#_Non-functional latrines]]/(WWWW[[#This Row],['#_Constructed latrines_by_WASHAgencies]]+WWWW[[#This Row],['#_Non Cluster partner latrines]]))</f>
        <v>0</v>
      </c>
      <c r="DG142" s="597">
        <f>IF(500*(WWWW[[#This Row],['#_male hygiene promoters]]+WWWW[[#This Row],['#_female hygiene promoters]])&gt;WWWW[[#This Row],[Total PoP ]],WWWW[[#This Row],[Total PoP ]],500*(WWWW[[#This Row],['#_male hygiene promoters]]+WWWW[[#This Row],['#_female hygiene promoters]]))</f>
        <v>0</v>
      </c>
      <c r="DH14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2" s="600">
        <f>IF(WWWW[[#This Row],['# People with access to soap]]&gt;WWWW[[#This Row],['# People with access to Sanity Pads]],WWWW[[#This Row],['# People with access to soap]],WWWW[[#This Row],['# People with access to Sanity Pads]])</f>
        <v>0</v>
      </c>
      <c r="DK14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2" s="602">
        <f>IF(WWWW[[#This Row],[HRP3]]/WWWW[[#This Row],[Total PoP ]]&gt;1,1,WWWW[[#This Row],[HRP3]]/WWWW[[#This Row],[Total PoP ]])</f>
        <v>0</v>
      </c>
      <c r="DM142" s="601">
        <f>1-WWWW[[#This Row],[Hygiene Coverage%]]</f>
        <v>1</v>
      </c>
      <c r="DN142" s="599">
        <f>WWWW[[#This Row],['# people reached by regular dedicated hygiene promotion_5]]/WWWW[[#This Row],[Total PoP ]]</f>
        <v>0</v>
      </c>
      <c r="DO14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2" s="600">
        <f>WWWW[[#This Row],['#_Constructed/Existing hand washing stations]]-WWWW[[#This Row],['#_Non-Functional_hand_washing_stations]]</f>
        <v>0</v>
      </c>
      <c r="DR142" s="597">
        <f>IF(WWWW[[#This Row],['# Functional hand washing stations during reporting period]]*20&gt;WWWW[[#This Row],[Total HH]],WWWW[[#This Row],[Total HH]],WWWW[[#This Row],['# Functional hand washing stations during reporting period]]*20)</f>
        <v>0</v>
      </c>
      <c r="DS142" s="597">
        <f>IF(WWWW[[#This Row],[Is sufficient soap available for TLS? (Yes/No)]]="yes",WWWW[[#This Row],['#_Constructed/Existing hand washing stations at TLS]],0)</f>
        <v>0</v>
      </c>
      <c r="DT142" s="479">
        <f>IF(WWWW[[#This Row],['# Functional hand washing stations during reporting period]]*100&gt;WWWW[[#This Row],[Total PoP ]],WWWW[[#This Row],[Total PoP ]],WWWW[[#This Row],['# Functional hand washing stations during reporting period]]*100)</f>
        <v>0</v>
      </c>
      <c r="DU142" s="479" t="str">
        <f>IF(OR(WWWW[[#This Row],['#_students at TLS_CFS]]="",WWWW[[#This Row],['#_students at TLS_CFS]]=0),"No","Yes")</f>
        <v>No</v>
      </c>
      <c r="DV14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2" s="593">
        <f>VLOOKUP(WWWW[[#This Row],[Site Name]],SiteDB6[[Site Name]:[CCCM Management]],6,FALSE)</f>
        <v>0</v>
      </c>
      <c r="DZ142" s="593" t="str">
        <f>VLOOKUP(WWWW[[#This Row],[Site Name]],SiteDB6[[Site Name]:[CCCM Focal Agency]],7,FALSE)</f>
        <v>uncovered</v>
      </c>
      <c r="EA142" s="593" t="str">
        <f>VLOOKUP(WWWW[[#This Row],[Site Name]],SiteDB6[[Site Name]:[Location Type 1]],9,FALSE)</f>
        <v>Camp</v>
      </c>
      <c r="EB142" s="593" t="str">
        <f>VLOOKUP(WWWW[[#This Row],[Site Name]],SiteDB6[[Site Name]:[Type of Accommodation]],10,FALSE)</f>
        <v>Host Families</v>
      </c>
      <c r="EC142" s="593" t="str">
        <f>VLOOKUP(WWWW[[#This Row],[Site Name]],SiteDB6[[Site Name]:[Ethnic or GCA/NGCA]],11,FALSE)</f>
        <v>GCA</v>
      </c>
      <c r="ED142" s="593">
        <f>VLOOKUP(WWWW[[#This Row],[Site Name]],SiteDB6[[Site Name]:[Lat]],12,FALSE)</f>
        <v>24.377054000000001</v>
      </c>
      <c r="EE142" s="593">
        <f>VLOOKUP(WWWW[[#This Row],[Site Name]],SiteDB6[[Site Name]:[Long]],13,FALSE)</f>
        <v>97.343406999999999</v>
      </c>
      <c r="EF142" s="593" t="str">
        <f>VLOOKUP(WWWW[[#This Row],[Site Name]],SiteDB6[[Site Name]:[Pcode]],3,FALSE)</f>
        <v>MMR001CMP200</v>
      </c>
      <c r="EG142" s="598" t="str">
        <f t="shared" si="2"/>
        <v>Notcovered</v>
      </c>
      <c r="EH142" s="598" t="str">
        <f>VLOOKUP(WWWW[[#This Row],[Site Name]],SiteDB6[[Site Name]:[open in cccm?]],2,FALSE)</f>
        <v>cccm_2019OCT</v>
      </c>
    </row>
    <row r="143" spans="1:138" hidden="1">
      <c r="A143" s="591" t="s">
        <v>3261</v>
      </c>
      <c r="B143" s="591" t="s">
        <v>312</v>
      </c>
      <c r="C143" s="592" t="s">
        <v>312</v>
      </c>
      <c r="D143" s="592"/>
      <c r="E143" s="592" t="s">
        <v>39</v>
      </c>
      <c r="F143" s="592" t="s">
        <v>208</v>
      </c>
      <c r="G143" s="721" t="str">
        <f>VLOOKUP(WWWW[[#This Row],[Site Name]],SiteDB6[[Site Name]:[Location Type]],8,FALSE)</f>
        <v>Camp</v>
      </c>
      <c r="H143" s="592" t="s">
        <v>3063</v>
      </c>
      <c r="I143" s="594"/>
      <c r="J143" s="594">
        <v>31</v>
      </c>
      <c r="K143" s="595"/>
      <c r="L143" s="596"/>
      <c r="M143" s="594"/>
      <c r="N143" s="594"/>
      <c r="O143" s="594"/>
      <c r="P143" s="594"/>
      <c r="Q143" s="597"/>
      <c r="R143" s="594"/>
      <c r="S143" s="594">
        <v>5</v>
      </c>
      <c r="T143" s="523"/>
      <c r="U143" s="594"/>
      <c r="V143" s="594"/>
      <c r="W143" s="594"/>
      <c r="X143" s="594"/>
      <c r="Y143" s="594"/>
      <c r="Z143" s="594"/>
      <c r="AA143" s="594"/>
      <c r="AB143" s="594"/>
      <c r="AC143" s="594"/>
      <c r="AD143" s="594"/>
      <c r="AE143" s="594"/>
      <c r="AF143" s="594"/>
      <c r="AG143" s="594"/>
      <c r="AH143" s="594"/>
      <c r="AI143" s="594"/>
      <c r="AJ143" s="594"/>
      <c r="AK143" s="594"/>
      <c r="AL143" s="594"/>
      <c r="AM143" s="594"/>
      <c r="AN143" s="594"/>
      <c r="AO143" s="598"/>
      <c r="AP143" s="594"/>
      <c r="AQ143" s="594"/>
      <c r="AR143" s="599"/>
      <c r="AS143" s="594"/>
      <c r="AT143" s="594"/>
      <c r="AU143" s="594"/>
      <c r="AV143" s="594"/>
      <c r="AW143" s="594"/>
      <c r="AX143" s="593"/>
      <c r="AY143" s="598"/>
      <c r="AZ143" s="594"/>
      <c r="BA143" s="594"/>
      <c r="BB143" s="594"/>
      <c r="BC143" s="594"/>
      <c r="BD143" s="523"/>
      <c r="BE143" s="593"/>
      <c r="BF143" s="594"/>
      <c r="BG143" s="594"/>
      <c r="BH143" s="594"/>
      <c r="BI143" s="594"/>
      <c r="BJ143" s="594"/>
      <c r="BK143" s="594"/>
      <c r="BL143" s="594"/>
      <c r="BM143" s="594"/>
      <c r="BN143" s="594"/>
      <c r="BO143" s="593"/>
      <c r="BP143" s="594"/>
      <c r="BQ143" s="599"/>
      <c r="BR143" s="593"/>
      <c r="BS143" s="472"/>
      <c r="BT143" s="472"/>
      <c r="BU143" s="523"/>
      <c r="BV143" s="472"/>
      <c r="BW143" s="523"/>
      <c r="BX143" s="523"/>
      <c r="BY143" s="523"/>
      <c r="BZ143" s="601" t="str">
        <f>IFERROR(WWWW[[#This Row],['#_Water sources passed]]/WWWW[[#This Row],['#_Water sources tested for fecal coliform ]],"no test")</f>
        <v>no test</v>
      </c>
      <c r="CA143" s="599" t="str">
        <f>IFERROR(WWWW[[#This Row],['#_Household passed]]/WWWW[[#This Row],['#_Household water samples tested for fecal coliform]],"no test")</f>
        <v>no test</v>
      </c>
      <c r="CB143" s="600" t="str">
        <f>IF(AND(WWWW[[#This Row],[% of water sources passed]]="no test",WWWW[[#This Row],[% Household passed]]="no test"),"No Test","Tested")</f>
        <v>No Test</v>
      </c>
      <c r="CC143" s="600">
        <f>WWWW[[#This Row],['#_Constructed/existing protected hand dug well]]-WWWW[[#This Row],['#_Non-functional protected hand dug well]]</f>
        <v>0</v>
      </c>
      <c r="CD143" s="600">
        <f>(WWWW[[#This Row],['#_Constructed/Existing tube wells/boreholes/handpumps_WASH_agency]]+WWWW[[#This Row],['#_Non-Cluster partner water tube-wells/boreholes/handpumps]])-WWWW[[#This Row],['#_Non-functional tube wells/boreholes/handpumps]]</f>
        <v>0</v>
      </c>
      <c r="CE143" s="600">
        <f>WWWW[[#This Row],['#_Constructed/Existingwater storage tank with gravity fed reticulation system]]-WWWW[[#This Row],['#_Non-functional storage tank gravity fed reticulation system]]</f>
        <v>0</v>
      </c>
      <c r="CF143" s="478">
        <f>(WWWW[[#This Row],['#_Water_Liters_supplied_by_Water boating or water trucking]]/90)/15</f>
        <v>0</v>
      </c>
      <c r="CG143" s="478">
        <f>WWWW[[#This Row],['#_Water_Liters_from_Constructed/Existing water distribution system from river or natural spring]]/90/15</f>
        <v>0</v>
      </c>
      <c r="CH143" s="478">
        <f>WWWW[[#This Row],['#_of water points in TLS/CFS /THF]]*500</f>
        <v>0</v>
      </c>
      <c r="CI14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3" s="599">
        <f>IF(WWWW[[#This Row],[Location Type 1]]="Village",WWWW[[#This Row],[Access to safe drinking water for Village]],WWWW[[#This Row],[Access to safe drinking water for Camp]])</f>
        <v>0</v>
      </c>
      <c r="CL143" s="597">
        <f>WWWW[[#This Row],[%Equitable and continuous access to sufficient quantity of safe drinking water]]*WWWW[[#This Row],[Total PoP ]]</f>
        <v>0</v>
      </c>
      <c r="CM143" s="599">
        <f>IF((WWWW[[#This Row],['#_Constructed/Existing protected/fenced ponds]]*250)/WWWW[[#This Row],[Total PoP ]]&gt;1,1,(WWWW[[#This Row],['#_Constructed/Existing protected/fenced ponds]]*250)/WWWW[[#This Row],[Total PoP ]])</f>
        <v>0</v>
      </c>
      <c r="CN143" s="597">
        <f>WWWW[[#This Row],[% Access to unimproved water points]]*WWWW[[#This Row],[Total PoP ]]</f>
        <v>0</v>
      </c>
      <c r="CO14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3" s="597">
        <f>WWWW[[#This Row],[HRP1]]/500</f>
        <v>0</v>
      </c>
      <c r="CR143" s="602">
        <f>1-WWWW[[#This Row],[% Equitable and continuous access to sufficient quantity of domestic water]]</f>
        <v>1</v>
      </c>
      <c r="CS143" s="597">
        <f>WWWW[[#This Row],[%equitable and continuous access to sufficient quantity of safe drinking and domestic water''s GAP]]*WWWW[[#This Row],[Total PoP ]]</f>
        <v>31</v>
      </c>
      <c r="CT143" s="600">
        <f>IF(WWWW[[#This Row],[Total required water points]]-WWWW[[#This Row],['#Water points coverage]]&lt;0,0,WWWW[[#This Row],[Total required water points]]-WWWW[[#This Row],['#Water points coverage]])</f>
        <v>1</v>
      </c>
      <c r="CU143" s="600">
        <f>ROUND(IF(WWWW[[#This Row],[Total PoP ]]&lt;500,1,WWWW[[#This Row],[Total PoP ]]/500),0)</f>
        <v>1</v>
      </c>
      <c r="CV143" s="600">
        <f>(WWWW[[#This Row],['#_Constructed latrines_by_WASHAgencies]]+WWWW[[#This Row],['#_Non Cluster partner latrines]])-WWWW[[#This Row],['#_Non-functional latrines]]</f>
        <v>0</v>
      </c>
      <c r="CW143" s="70">
        <f>WWWW[[#This Row],[HRP2]]/WWWW[[#This Row],[Total PoP ]]</f>
        <v>0</v>
      </c>
      <c r="CX14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3" s="600">
        <f>IF(WWWW[[#This Row],['# of functional latrines in THF supported by WASH partners during the reporting period2]]="",0,WWWW[[#This Row],['# of functional latrines in THF supported by WASH partners during the reporting period2]]*50)</f>
        <v>0</v>
      </c>
      <c r="DB143" s="600">
        <f>WWWW[[#This Row],['# students access to functioning school latrines_HRP5]]+WWWW[[#This Row],['# People access to functioning latrines in THF_HRP5]]</f>
        <v>0</v>
      </c>
      <c r="DC143" s="600">
        <f>ROUND(IF(WWWW[[#This Row],[Location Type 1]]="camp",WWWW[[#This Row],[Total PoP ]]/20,IF(WWWW[[#This Row],[Location Type 1]]="Temporary Location",WWWW[[#This Row],[Total PoP ]]/50,WWWW[[#This Row],[Total HH]])),0)</f>
        <v>2</v>
      </c>
      <c r="DD143" s="600">
        <f>IF(WWWW[[#This Row],[Total required Latrines]]-(WWWW[[#This Row],['#_Constructed latrines_by_WASHAgencies]]+WWWW[[#This Row],['#_Non Cluster partner latrines]])&lt;0,0,WWWW[[#This Row],[Total required Latrines]]-(WWWW[[#This Row],['#_Constructed latrines_by_WASHAgencies]]+WWWW[[#This Row],['#_Non Cluster partner latrines]]))</f>
        <v>2</v>
      </c>
      <c r="DE143" s="602">
        <f>1-WWWW[[#This Row],[% people access to functioning Latrine]]</f>
        <v>1</v>
      </c>
      <c r="DF143" s="601">
        <f>IF(OR(WWWW[[#This Row],['#_Non-functional latrines]]="",WWWW[[#This Row],['#_Non-functional latrines]]=0),0,WWWW[[#This Row],['#_Non-functional latrines]]/(WWWW[[#This Row],['#_Constructed latrines_by_WASHAgencies]]+WWWW[[#This Row],['#_Non Cluster partner latrines]]))</f>
        <v>0</v>
      </c>
      <c r="DG143" s="597">
        <f>IF(500*(WWWW[[#This Row],['#_male hygiene promoters]]+WWWW[[#This Row],['#_female hygiene promoters]])&gt;WWWW[[#This Row],[Total PoP ]],WWWW[[#This Row],[Total PoP ]],500*(WWWW[[#This Row],['#_male hygiene promoters]]+WWWW[[#This Row],['#_female hygiene promoters]]))</f>
        <v>0</v>
      </c>
      <c r="DH14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3" s="600">
        <f>IF(WWWW[[#This Row],['# People with access to soap]]&gt;WWWW[[#This Row],['# People with access to Sanity Pads]],WWWW[[#This Row],['# People with access to soap]],WWWW[[#This Row],['# People with access to Sanity Pads]])</f>
        <v>0</v>
      </c>
      <c r="DK143"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3" s="602">
        <f>IF(WWWW[[#This Row],[HRP3]]/WWWW[[#This Row],[Total PoP ]]&gt;1,1,WWWW[[#This Row],[HRP3]]/WWWW[[#This Row],[Total PoP ]])</f>
        <v>0</v>
      </c>
      <c r="DM143" s="601">
        <f>1-WWWW[[#This Row],[Hygiene Coverage%]]</f>
        <v>1</v>
      </c>
      <c r="DN143" s="599">
        <f>WWWW[[#This Row],['# people reached by regular dedicated hygiene promotion_5]]/WWWW[[#This Row],[Total PoP ]]</f>
        <v>0</v>
      </c>
      <c r="DO143" s="599"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143" s="599"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143" s="600">
        <f>WWWW[[#This Row],['#_Constructed/Existing hand washing stations]]-WWWW[[#This Row],['#_Non-Functional_hand_washing_stations]]</f>
        <v>0</v>
      </c>
      <c r="DR143" s="597">
        <f>IF(WWWW[[#This Row],['# Functional hand washing stations during reporting period]]*20&gt;WWWW[[#This Row],[Total HH]],WWWW[[#This Row],[Total HH]],WWWW[[#This Row],['# Functional hand washing stations during reporting period]]*20)</f>
        <v>0</v>
      </c>
      <c r="DS143" s="597">
        <f>IF(WWWW[[#This Row],[Is sufficient soap available for TLS? (Yes/No)]]="yes",WWWW[[#This Row],['#_Constructed/Existing hand washing stations at TLS]],0)</f>
        <v>0</v>
      </c>
      <c r="DT143" s="479">
        <f>IF(WWWW[[#This Row],['# Functional hand washing stations during reporting period]]*100&gt;WWWW[[#This Row],[Total PoP ]],WWWW[[#This Row],[Total PoP ]],WWWW[[#This Row],['# Functional hand washing stations during reporting period]]*100)</f>
        <v>0</v>
      </c>
      <c r="DU143" s="479" t="str">
        <f>IF(OR(WWWW[[#This Row],['#_students at TLS_CFS]]="",WWWW[[#This Row],['#_students at TLS_CFS]]=0),"No","Yes")</f>
        <v>No</v>
      </c>
      <c r="DV14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3" s="593">
        <f>VLOOKUP(WWWW[[#This Row],[Site Name]],SiteDB6[[Site Name]:[CCCM Management]],6,FALSE)</f>
        <v>0</v>
      </c>
      <c r="DZ143" s="593" t="str">
        <f>VLOOKUP(WWWW[[#This Row],[Site Name]],SiteDB6[[Site Name]:[CCCM Focal Agency]],7,FALSE)</f>
        <v>uncovered</v>
      </c>
      <c r="EA143" s="593" t="str">
        <f>VLOOKUP(WWWW[[#This Row],[Site Name]],SiteDB6[[Site Name]:[Location Type 1]],9,FALSE)</f>
        <v>Camp</v>
      </c>
      <c r="EB143" s="593" t="str">
        <f>VLOOKUP(WWWW[[#This Row],[Site Name]],SiteDB6[[Site Name]:[Type of Accommodation]],10,FALSE)</f>
        <v>Boarding School</v>
      </c>
      <c r="EC143" s="593" t="str">
        <f>VLOOKUP(WWWW[[#This Row],[Site Name]],SiteDB6[[Site Name]:[Ethnic or GCA/NGCA]],11,FALSE)</f>
        <v>GCA</v>
      </c>
      <c r="ED143" s="593">
        <f>VLOOKUP(WWWW[[#This Row],[Site Name]],SiteDB6[[Site Name]:[Lat]],12,FALSE)</f>
        <v>24.721878</v>
      </c>
      <c r="EE143" s="593">
        <f>VLOOKUP(WWWW[[#This Row],[Site Name]],SiteDB6[[Site Name]:[Long]],13,FALSE)</f>
        <v>97.721878000000004</v>
      </c>
      <c r="EF143" s="593" t="str">
        <f>VLOOKUP(WWWW[[#This Row],[Site Name]],SiteDB6[[Site Name]:[Pcode]],3,FALSE)</f>
        <v>MMR001CMP275</v>
      </c>
      <c r="EG143" s="598" t="str">
        <f t="shared" si="2"/>
        <v>Notcovered</v>
      </c>
      <c r="EH143" s="598" t="str">
        <f>VLOOKUP(WWWW[[#This Row],[Site Name]],SiteDB6[[Site Name]:[open in cccm?]],2,FALSE)</f>
        <v>cccm_2019OCT</v>
      </c>
    </row>
    <row r="144" spans="1:138" hidden="1">
      <c r="A144" s="591" t="s">
        <v>3261</v>
      </c>
      <c r="B144" s="524" t="s">
        <v>312</v>
      </c>
      <c r="C144" s="524" t="s">
        <v>312</v>
      </c>
      <c r="D144" s="592"/>
      <c r="E144" s="592" t="s">
        <v>39</v>
      </c>
      <c r="F144" s="592" t="s">
        <v>145</v>
      </c>
      <c r="G144" s="721" t="str">
        <f>VLOOKUP(WWWW[[#This Row],[Site Name]],SiteDB6[[Site Name]:[Location Type]],8,FALSE)</f>
        <v>Camp</v>
      </c>
      <c r="H144" s="592" t="s">
        <v>180</v>
      </c>
      <c r="I144" s="594">
        <v>407</v>
      </c>
      <c r="J144" s="594">
        <v>1801</v>
      </c>
      <c r="K144" s="595"/>
      <c r="L144" s="596"/>
      <c r="M144" s="594">
        <v>218</v>
      </c>
      <c r="N144" s="594"/>
      <c r="O144" s="594"/>
      <c r="P144" s="594"/>
      <c r="Q144" s="597" t="s">
        <v>43</v>
      </c>
      <c r="R144" s="594"/>
      <c r="S144" s="594">
        <v>4</v>
      </c>
      <c r="T144" s="523"/>
      <c r="U144" s="594"/>
      <c r="V144" s="594"/>
      <c r="W144" s="594"/>
      <c r="X144" s="594"/>
      <c r="Y144" s="594"/>
      <c r="Z144" s="594"/>
      <c r="AA144" s="594">
        <v>6</v>
      </c>
      <c r="AB144" s="594"/>
      <c r="AC144" s="594"/>
      <c r="AD144" s="594"/>
      <c r="AE144" s="594"/>
      <c r="AF144" s="594"/>
      <c r="AG144" s="594"/>
      <c r="AH144" s="594"/>
      <c r="AI144" s="594"/>
      <c r="AJ144" s="594"/>
      <c r="AK144" s="594"/>
      <c r="AL144" s="594"/>
      <c r="AM144" s="594"/>
      <c r="AN144" s="594"/>
      <c r="AO144" s="598"/>
      <c r="AP144" s="594">
        <v>407</v>
      </c>
      <c r="AQ144" s="594"/>
      <c r="AR144" s="599"/>
      <c r="AS144" s="594"/>
      <c r="AT144" s="594"/>
      <c r="AU144" s="594"/>
      <c r="AV144" s="594"/>
      <c r="AW144" s="594"/>
      <c r="AX144" s="593" t="s">
        <v>43</v>
      </c>
      <c r="AY144" s="598" t="s">
        <v>140</v>
      </c>
      <c r="AZ144" s="594">
        <v>3</v>
      </c>
      <c r="BA144" s="594"/>
      <c r="BB144" s="594"/>
      <c r="BC144" s="594"/>
      <c r="BD144" s="523"/>
      <c r="BE144" s="593"/>
      <c r="BF144" s="594">
        <v>400</v>
      </c>
      <c r="BG144" s="594"/>
      <c r="BH144" s="594"/>
      <c r="BI144" s="594"/>
      <c r="BJ144" s="594"/>
      <c r="BK144" s="594"/>
      <c r="BL144" s="594"/>
      <c r="BM144" s="594"/>
      <c r="BN144" s="594"/>
      <c r="BO144" s="593" t="s">
        <v>139</v>
      </c>
      <c r="BP144" s="594"/>
      <c r="BQ144" s="599"/>
      <c r="BR144" s="593"/>
      <c r="BS144" s="472"/>
      <c r="BT144" s="472"/>
      <c r="BU144" s="523"/>
      <c r="BV144" s="472"/>
      <c r="BW144" s="523"/>
      <c r="BX144" s="523"/>
      <c r="BY144" s="523"/>
      <c r="BZ144" s="601" t="str">
        <f>IFERROR(WWWW[[#This Row],['#_Water sources passed]]/WWWW[[#This Row],['#_Water sources tested for fecal coliform ]],"no test")</f>
        <v>no test</v>
      </c>
      <c r="CA144" s="599" t="str">
        <f>IFERROR(WWWW[[#This Row],['#_Household passed]]/WWWW[[#This Row],['#_Household water samples tested for fecal coliform]],"no test")</f>
        <v>no test</v>
      </c>
      <c r="CB144" s="600" t="str">
        <f>IF(AND(WWWW[[#This Row],[% of water sources passed]]="no test",WWWW[[#This Row],[% Household passed]]="no test"),"No Test","Tested")</f>
        <v>No Test</v>
      </c>
      <c r="CC144" s="600">
        <f>WWWW[[#This Row],['#_Constructed/existing protected hand dug well]]-WWWW[[#This Row],['#_Non-functional protected hand dug well]]</f>
        <v>0</v>
      </c>
      <c r="CD144" s="600">
        <f>(WWWW[[#This Row],['#_Constructed/Existing tube wells/boreholes/handpumps_WASH_agency]]+WWWW[[#This Row],['#_Non-Cluster partner water tube-wells/boreholes/handpumps]])-WWWW[[#This Row],['#_Non-functional tube wells/boreholes/handpumps]]</f>
        <v>0</v>
      </c>
      <c r="CE144" s="600">
        <f>WWWW[[#This Row],['#_Constructed/Existingwater storage tank with gravity fed reticulation system]]-WWWW[[#This Row],['#_Non-functional storage tank gravity fed reticulation system]]</f>
        <v>6</v>
      </c>
      <c r="CF144" s="478">
        <f>(WWWW[[#This Row],['#_Water_Liters_supplied_by_Water boating or water trucking]]/90)/15</f>
        <v>0</v>
      </c>
      <c r="CG144" s="478">
        <f>WWWW[[#This Row],['#_Water_Liters_from_Constructed/Existing water distribution system from river or natural spring]]/90/15</f>
        <v>0</v>
      </c>
      <c r="CH144" s="478">
        <f>WWWW[[#This Row],['#_of water points in TLS/CFS /THF]]*500</f>
        <v>0</v>
      </c>
      <c r="CI14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0.2220988339811216</v>
      </c>
      <c r="CJ14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0.2220988339811216</v>
      </c>
      <c r="CK144" s="599">
        <f>IF(WWWW[[#This Row],[Location Type 1]]="Village",WWWW[[#This Row],[Access to safe drinking water for Village]],WWWW[[#This Row],[Access to safe drinking water for Camp]])</f>
        <v>0.2220988339811216</v>
      </c>
      <c r="CL144" s="597">
        <f>WWWW[[#This Row],[%Equitable and continuous access to sufficient quantity of safe drinking water]]*WWWW[[#This Row],[Total PoP ]]</f>
        <v>400</v>
      </c>
      <c r="CM144" s="599">
        <f>IF((WWWW[[#This Row],['#_Constructed/Existing protected/fenced ponds]]*250)/WWWW[[#This Row],[Total PoP ]]&gt;1,1,(WWWW[[#This Row],['#_Constructed/Existing protected/fenced ponds]]*250)/WWWW[[#This Row],[Total PoP ]])</f>
        <v>0</v>
      </c>
      <c r="CN144" s="597">
        <f>WWWW[[#This Row],[% Access to unimproved water points]]*WWWW[[#This Row],[Total PoP ]]</f>
        <v>0</v>
      </c>
      <c r="CO14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P14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144" s="597">
        <f>WWWW[[#This Row],[HRP1]]/500</f>
        <v>0.8</v>
      </c>
      <c r="CR144" s="602">
        <f>1-WWWW[[#This Row],[% Equitable and continuous access to sufficient quantity of domestic water]]</f>
        <v>0.77790116601887838</v>
      </c>
      <c r="CS144" s="597">
        <f>WWWW[[#This Row],[%equitable and continuous access to sufficient quantity of safe drinking and domestic water''s GAP]]*WWWW[[#This Row],[Total PoP ]]</f>
        <v>1401</v>
      </c>
      <c r="CT144" s="600">
        <f>IF(WWWW[[#This Row],[Total required water points]]-WWWW[[#This Row],['#Water points coverage]]&lt;0,0,WWWW[[#This Row],[Total required water points]]-WWWW[[#This Row],['#Water points coverage]])</f>
        <v>3.2</v>
      </c>
      <c r="CU144" s="600">
        <f>ROUND(IF(WWWW[[#This Row],[Total PoP ]]&lt;500,1,WWWW[[#This Row],[Total PoP ]]/500),0)</f>
        <v>4</v>
      </c>
      <c r="CV144" s="600">
        <f>(WWWW[[#This Row],['#_Constructed latrines_by_WASHAgencies]]+WWWW[[#This Row],['#_Non Cluster partner latrines]])-WWWW[[#This Row],['#_Non-functional latrines]]</f>
        <v>407</v>
      </c>
      <c r="CW144" s="70">
        <f>WWWW[[#This Row],[HRP2]]/WWWW[[#This Row],[Total PoP ]]</f>
        <v>1</v>
      </c>
      <c r="CX14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1801</v>
      </c>
      <c r="CY14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4" s="600">
        <f>IF(WWWW[[#This Row],['# of functional latrines in THF supported by WASH partners during the reporting period2]]="",0,WWWW[[#This Row],['# of functional latrines in THF supported by WASH partners during the reporting period2]]*50)</f>
        <v>0</v>
      </c>
      <c r="DB144" s="600">
        <f>WWWW[[#This Row],['# students access to functioning school latrines_HRP5]]+WWWW[[#This Row],['# People access to functioning latrines in THF_HRP5]]</f>
        <v>0</v>
      </c>
      <c r="DC144" s="600">
        <f>ROUND(IF(WWWW[[#This Row],[Location Type 1]]="camp",WWWW[[#This Row],[Total PoP ]]/20,IF(WWWW[[#This Row],[Location Type 1]]="Temporary Location",WWWW[[#This Row],[Total PoP ]]/50,WWWW[[#This Row],[Total HH]])),0)</f>
        <v>407</v>
      </c>
      <c r="DD144" s="600">
        <f>IF(WWWW[[#This Row],[Total required Latrines]]-(WWWW[[#This Row],['#_Constructed latrines_by_WASHAgencies]]+WWWW[[#This Row],['#_Non Cluster partner latrines]])&lt;0,0,WWWW[[#This Row],[Total required Latrines]]-(WWWW[[#This Row],['#_Constructed latrines_by_WASHAgencies]]+WWWW[[#This Row],['#_Non Cluster partner latrines]]))</f>
        <v>0</v>
      </c>
      <c r="DE144" s="602">
        <f>1-WWWW[[#This Row],[% people access to functioning Latrine]]</f>
        <v>0</v>
      </c>
      <c r="DF144" s="601">
        <f>IF(OR(WWWW[[#This Row],['#_Non-functional latrines]]="",WWWW[[#This Row],['#_Non-functional latrines]]=0),0,WWWW[[#This Row],['#_Non-functional latrines]]/(WWWW[[#This Row],['#_Constructed latrines_by_WASHAgencies]]+WWWW[[#This Row],['#_Non Cluster partner latrines]]))</f>
        <v>0</v>
      </c>
      <c r="DG144" s="597">
        <f>IF(500*(WWWW[[#This Row],['#_male hygiene promoters]]+WWWW[[#This Row],['#_female hygiene promoters]])&gt;WWWW[[#This Row],[Total PoP ]],WWWW[[#This Row],[Total PoP ]],500*(WWWW[[#This Row],['#_male hygiene promoters]]+WWWW[[#This Row],['#_female hygiene promoters]]))</f>
        <v>0</v>
      </c>
      <c r="DH14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4" s="600">
        <f>IF(WWWW[[#This Row],['# People with access to soap]]&gt;WWWW[[#This Row],['# People with access to Sanity Pads]],WWWW[[#This Row],['# People with access to soap]],WWWW[[#This Row],['# People with access to Sanity Pads]])</f>
        <v>0</v>
      </c>
      <c r="DK14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4" s="602">
        <f>IF(WWWW[[#This Row],[HRP3]]/WWWW[[#This Row],[Total PoP ]]&gt;1,1,WWWW[[#This Row],[HRP3]]/WWWW[[#This Row],[Total PoP ]])</f>
        <v>0</v>
      </c>
      <c r="DM144" s="601">
        <f>1-WWWW[[#This Row],[Hygiene Coverage%]]</f>
        <v>1</v>
      </c>
      <c r="DN144" s="599">
        <f>WWWW[[#This Row],['# people reached by regular dedicated hygiene promotion_5]]/WWWW[[#This Row],[Total PoP ]]</f>
        <v>0</v>
      </c>
      <c r="DO14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4" s="600">
        <f>WWWW[[#This Row],['#_Constructed/Existing hand washing stations]]-WWWW[[#This Row],['#_Non-Functional_hand_washing_stations]]</f>
        <v>400</v>
      </c>
      <c r="DR144" s="597">
        <f>IF(WWWW[[#This Row],['# Functional hand washing stations during reporting period]]*20&gt;WWWW[[#This Row],[Total HH]],WWWW[[#This Row],[Total HH]],WWWW[[#This Row],['# Functional hand washing stations during reporting period]]*20)</f>
        <v>407</v>
      </c>
      <c r="DS144" s="597">
        <f>IF(WWWW[[#This Row],[Is sufficient soap available for TLS? (Yes/No)]]="yes",WWWW[[#This Row],['#_Constructed/Existing hand washing stations at TLS]],0)</f>
        <v>0</v>
      </c>
      <c r="DT144" s="479">
        <f>IF(WWWW[[#This Row],['# Functional hand washing stations during reporting period]]*100&gt;WWWW[[#This Row],[Total PoP ]],WWWW[[#This Row],[Total PoP ]],WWWW[[#This Row],['# Functional hand washing stations during reporting period]]*100)</f>
        <v>1801</v>
      </c>
      <c r="DU144" s="479" t="str">
        <f>IF(OR(WWWW[[#This Row],['#_students at TLS_CFS]]="",WWWW[[#This Row],['#_students at TLS_CFS]]=0),"No","Yes")</f>
        <v>Yes</v>
      </c>
      <c r="DV14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4" s="593" t="str">
        <f>VLOOKUP(WWWW[[#This Row],[Site Name]],SiteDB6[[Site Name]:[CCCM Management]],6,FALSE)</f>
        <v>Yes</v>
      </c>
      <c r="DZ144" s="593" t="str">
        <f>VLOOKUP(WWWW[[#This Row],[Site Name]],SiteDB6[[Site Name]:[CCCM Focal Agency]],7,FALSE)</f>
        <v>KMSS-MYT</v>
      </c>
      <c r="EA144" s="593" t="str">
        <f>VLOOKUP(WWWW[[#This Row],[Site Name]],SiteDB6[[Site Name]:[Location Type 1]],9,FALSE)</f>
        <v>Village Type Camp</v>
      </c>
      <c r="EB144" s="593" t="str">
        <f>VLOOKUP(WWWW[[#This Row],[Site Name]],SiteDB6[[Site Name]:[Type of Accommodation]],10,FALSE)</f>
        <v>Camp</v>
      </c>
      <c r="EC144" s="593" t="str">
        <f>VLOOKUP(WWWW[[#This Row],[Site Name]],SiteDB6[[Site Name]:[Ethnic or GCA/NGCA]],11,FALSE)</f>
        <v>NGCA</v>
      </c>
      <c r="ED144" s="593">
        <f>VLOOKUP(WWWW[[#This Row],[Site Name]],SiteDB6[[Site Name]:[Lat]],12,FALSE)</f>
        <v>24.980250000000002</v>
      </c>
      <c r="EE144" s="593">
        <f>VLOOKUP(WWWW[[#This Row],[Site Name]],SiteDB6[[Site Name]:[Long]],13,FALSE)</f>
        <v>97.715230000000005</v>
      </c>
      <c r="EF144" s="593" t="str">
        <f>VLOOKUP(WWWW[[#This Row],[Site Name]],SiteDB6[[Site Name]:[Pcode]],3,FALSE)</f>
        <v>MMR001CMP119</v>
      </c>
      <c r="EG144" s="598" t="str">
        <f t="shared" si="2"/>
        <v>Notcovered</v>
      </c>
      <c r="EH144" s="598" t="str">
        <f>VLOOKUP(WWWW[[#This Row],[Site Name]],SiteDB6[[Site Name]:[open in cccm?]],2,FALSE)</f>
        <v>cccm_2019OCT</v>
      </c>
    </row>
    <row r="145" spans="1:138" hidden="1">
      <c r="A145" s="591" t="s">
        <v>3261</v>
      </c>
      <c r="B145" s="591" t="s">
        <v>312</v>
      </c>
      <c r="C145" s="592" t="s">
        <v>312</v>
      </c>
      <c r="D145" s="592"/>
      <c r="E145" s="592" t="s">
        <v>711</v>
      </c>
      <c r="F145" s="592" t="s">
        <v>752</v>
      </c>
      <c r="G145" s="721" t="str">
        <f>VLOOKUP(WWWW[[#This Row],[Site Name]],SiteDB6[[Site Name]:[Location Type]],8,FALSE)</f>
        <v>Camp</v>
      </c>
      <c r="H145" s="592" t="s">
        <v>753</v>
      </c>
      <c r="I145" s="594">
        <v>37</v>
      </c>
      <c r="J145" s="594">
        <v>120</v>
      </c>
      <c r="K145" s="595"/>
      <c r="L145" s="596"/>
      <c r="M145" s="594"/>
      <c r="N145" s="594"/>
      <c r="O145" s="594"/>
      <c r="P145" s="594"/>
      <c r="Q145" s="597"/>
      <c r="R145" s="594"/>
      <c r="S145" s="594">
        <v>5</v>
      </c>
      <c r="T145" s="523"/>
      <c r="U145" s="594"/>
      <c r="V145" s="594"/>
      <c r="W145" s="594"/>
      <c r="X145" s="594"/>
      <c r="Y145" s="594"/>
      <c r="Z145" s="594"/>
      <c r="AA145" s="594"/>
      <c r="AB145" s="594"/>
      <c r="AC145" s="594"/>
      <c r="AD145" s="594"/>
      <c r="AE145" s="594"/>
      <c r="AF145" s="594"/>
      <c r="AG145" s="594"/>
      <c r="AH145" s="594"/>
      <c r="AI145" s="594"/>
      <c r="AJ145" s="594"/>
      <c r="AK145" s="594"/>
      <c r="AL145" s="594"/>
      <c r="AM145" s="594"/>
      <c r="AN145" s="594"/>
      <c r="AO145" s="598"/>
      <c r="AP145" s="594"/>
      <c r="AQ145" s="594"/>
      <c r="AR145" s="599"/>
      <c r="AS145" s="594"/>
      <c r="AT145" s="594"/>
      <c r="AU145" s="594"/>
      <c r="AV145" s="594"/>
      <c r="AW145" s="594"/>
      <c r="AX145" s="593"/>
      <c r="AY145" s="598"/>
      <c r="AZ145" s="594"/>
      <c r="BA145" s="594"/>
      <c r="BB145" s="594"/>
      <c r="BC145" s="594"/>
      <c r="BD145" s="523"/>
      <c r="BE145" s="593"/>
      <c r="BF145" s="594"/>
      <c r="BG145" s="594"/>
      <c r="BH145" s="594"/>
      <c r="BI145" s="594"/>
      <c r="BJ145" s="594"/>
      <c r="BK145" s="594"/>
      <c r="BL145" s="594"/>
      <c r="BM145" s="594"/>
      <c r="BN145" s="594"/>
      <c r="BO145" s="593"/>
      <c r="BP145" s="594"/>
      <c r="BQ145" s="599"/>
      <c r="BR145" s="593"/>
      <c r="BS145" s="472"/>
      <c r="BT145" s="472"/>
      <c r="BU145" s="523"/>
      <c r="BV145" s="472"/>
      <c r="BW145" s="523"/>
      <c r="BX145" s="523"/>
      <c r="BY145" s="523"/>
      <c r="BZ145" s="601" t="str">
        <f>IFERROR(WWWW[[#This Row],['#_Water sources passed]]/WWWW[[#This Row],['#_Water sources tested for fecal coliform ]],"no test")</f>
        <v>no test</v>
      </c>
      <c r="CA145" s="599" t="str">
        <f>IFERROR(WWWW[[#This Row],['#_Household passed]]/WWWW[[#This Row],['#_Household water samples tested for fecal coliform]],"no test")</f>
        <v>no test</v>
      </c>
      <c r="CB145" s="600" t="str">
        <f>IF(AND(WWWW[[#This Row],[% of water sources passed]]="no test",WWWW[[#This Row],[% Household passed]]="no test"),"No Test","Tested")</f>
        <v>No Test</v>
      </c>
      <c r="CC145" s="600">
        <f>WWWW[[#This Row],['#_Constructed/existing protected hand dug well]]-WWWW[[#This Row],['#_Non-functional protected hand dug well]]</f>
        <v>0</v>
      </c>
      <c r="CD145" s="600">
        <f>(WWWW[[#This Row],['#_Constructed/Existing tube wells/boreholes/handpumps_WASH_agency]]+WWWW[[#This Row],['#_Non-Cluster partner water tube-wells/boreholes/handpumps]])-WWWW[[#This Row],['#_Non-functional tube wells/boreholes/handpumps]]</f>
        <v>0</v>
      </c>
      <c r="CE145" s="600">
        <f>WWWW[[#This Row],['#_Constructed/Existingwater storage tank with gravity fed reticulation system]]-WWWW[[#This Row],['#_Non-functional storage tank gravity fed reticulation system]]</f>
        <v>0</v>
      </c>
      <c r="CF145" s="478">
        <f>(WWWW[[#This Row],['#_Water_Liters_supplied_by_Water boating or water trucking]]/90)/15</f>
        <v>0</v>
      </c>
      <c r="CG145" s="478">
        <f>WWWW[[#This Row],['#_Water_Liters_from_Constructed/Existing water distribution system from river or natural spring]]/90/15</f>
        <v>0</v>
      </c>
      <c r="CH145" s="478">
        <f>WWWW[[#This Row],['#_of water points in TLS/CFS /THF]]*500</f>
        <v>0</v>
      </c>
      <c r="CI14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5" s="599">
        <f>IF(WWWW[[#This Row],[Location Type 1]]="Village",WWWW[[#This Row],[Access to safe drinking water for Village]],WWWW[[#This Row],[Access to safe drinking water for Camp]])</f>
        <v>0</v>
      </c>
      <c r="CL145" s="597">
        <f>WWWW[[#This Row],[%Equitable and continuous access to sufficient quantity of safe drinking water]]*WWWW[[#This Row],[Total PoP ]]</f>
        <v>0</v>
      </c>
      <c r="CM145" s="599">
        <f>IF((WWWW[[#This Row],['#_Constructed/Existing protected/fenced ponds]]*250)/WWWW[[#This Row],[Total PoP ]]&gt;1,1,(WWWW[[#This Row],['#_Constructed/Existing protected/fenced ponds]]*250)/WWWW[[#This Row],[Total PoP ]])</f>
        <v>0</v>
      </c>
      <c r="CN145" s="597">
        <f>WWWW[[#This Row],[% Access to unimproved water points]]*WWWW[[#This Row],[Total PoP ]]</f>
        <v>0</v>
      </c>
      <c r="CO14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5" s="597">
        <f>WWWW[[#This Row],[HRP1]]/500</f>
        <v>0</v>
      </c>
      <c r="CR145" s="602">
        <f>1-WWWW[[#This Row],[% Equitable and continuous access to sufficient quantity of domestic water]]</f>
        <v>1</v>
      </c>
      <c r="CS145" s="597">
        <f>WWWW[[#This Row],[%equitable and continuous access to sufficient quantity of safe drinking and domestic water''s GAP]]*WWWW[[#This Row],[Total PoP ]]</f>
        <v>120</v>
      </c>
      <c r="CT145" s="600">
        <f>IF(WWWW[[#This Row],[Total required water points]]-WWWW[[#This Row],['#Water points coverage]]&lt;0,0,WWWW[[#This Row],[Total required water points]]-WWWW[[#This Row],['#Water points coverage]])</f>
        <v>1</v>
      </c>
      <c r="CU145" s="600">
        <f>ROUND(IF(WWWW[[#This Row],[Total PoP ]]&lt;500,1,WWWW[[#This Row],[Total PoP ]]/500),0)</f>
        <v>1</v>
      </c>
      <c r="CV145" s="600">
        <f>(WWWW[[#This Row],['#_Constructed latrines_by_WASHAgencies]]+WWWW[[#This Row],['#_Non Cluster partner latrines]])-WWWW[[#This Row],['#_Non-functional latrines]]</f>
        <v>0</v>
      </c>
      <c r="CW145" s="70">
        <f>WWWW[[#This Row],[HRP2]]/WWWW[[#This Row],[Total PoP ]]</f>
        <v>0</v>
      </c>
      <c r="CX14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5" s="600">
        <f>IF(WWWW[[#This Row],['# of functional latrines in THF supported by WASH partners during the reporting period2]]="",0,WWWW[[#This Row],['# of functional latrines in THF supported by WASH partners during the reporting period2]]*50)</f>
        <v>0</v>
      </c>
      <c r="DB145" s="600">
        <f>WWWW[[#This Row],['# students access to functioning school latrines_HRP5]]+WWWW[[#This Row],['# People access to functioning latrines in THF_HRP5]]</f>
        <v>0</v>
      </c>
      <c r="DC145" s="600">
        <f>ROUND(IF(WWWW[[#This Row],[Location Type 1]]="camp",WWWW[[#This Row],[Total PoP ]]/20,IF(WWWW[[#This Row],[Location Type 1]]="Temporary Location",WWWW[[#This Row],[Total PoP ]]/50,WWWW[[#This Row],[Total HH]])),0)</f>
        <v>6</v>
      </c>
      <c r="DD145" s="600">
        <f>IF(WWWW[[#This Row],[Total required Latrines]]-(WWWW[[#This Row],['#_Constructed latrines_by_WASHAgencies]]+WWWW[[#This Row],['#_Non Cluster partner latrines]])&lt;0,0,WWWW[[#This Row],[Total required Latrines]]-(WWWW[[#This Row],['#_Constructed latrines_by_WASHAgencies]]+WWWW[[#This Row],['#_Non Cluster partner latrines]]))</f>
        <v>6</v>
      </c>
      <c r="DE145" s="602">
        <f>1-WWWW[[#This Row],[% people access to functioning Latrine]]</f>
        <v>1</v>
      </c>
      <c r="DF145" s="601">
        <f>IF(OR(WWWW[[#This Row],['#_Non-functional latrines]]="",WWWW[[#This Row],['#_Non-functional latrines]]=0),0,WWWW[[#This Row],['#_Non-functional latrines]]/(WWWW[[#This Row],['#_Constructed latrines_by_WASHAgencies]]+WWWW[[#This Row],['#_Non Cluster partner latrines]]))</f>
        <v>0</v>
      </c>
      <c r="DG145" s="597">
        <f>IF(500*(WWWW[[#This Row],['#_male hygiene promoters]]+WWWW[[#This Row],['#_female hygiene promoters]])&gt;WWWW[[#This Row],[Total PoP ]],WWWW[[#This Row],[Total PoP ]],500*(WWWW[[#This Row],['#_male hygiene promoters]]+WWWW[[#This Row],['#_female hygiene promoters]]))</f>
        <v>0</v>
      </c>
      <c r="DH14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5" s="600">
        <f>IF(WWWW[[#This Row],['# People with access to soap]]&gt;WWWW[[#This Row],['# People with access to Sanity Pads]],WWWW[[#This Row],['# People with access to soap]],WWWW[[#This Row],['# People with access to Sanity Pads]])</f>
        <v>0</v>
      </c>
      <c r="DK14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5" s="602">
        <f>IF(WWWW[[#This Row],[HRP3]]/WWWW[[#This Row],[Total PoP ]]&gt;1,1,WWWW[[#This Row],[HRP3]]/WWWW[[#This Row],[Total PoP ]])</f>
        <v>0</v>
      </c>
      <c r="DM145" s="601">
        <f>1-WWWW[[#This Row],[Hygiene Coverage%]]</f>
        <v>1</v>
      </c>
      <c r="DN145" s="599">
        <f>WWWW[[#This Row],['# people reached by regular dedicated hygiene promotion_5]]/WWWW[[#This Row],[Total PoP ]]</f>
        <v>0</v>
      </c>
      <c r="DO14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5" s="600">
        <f>WWWW[[#This Row],['#_Constructed/Existing hand washing stations]]-WWWW[[#This Row],['#_Non-Functional_hand_washing_stations]]</f>
        <v>0</v>
      </c>
      <c r="DR145" s="597">
        <f>IF(WWWW[[#This Row],['# Functional hand washing stations during reporting period]]*20&gt;WWWW[[#This Row],[Total HH]],WWWW[[#This Row],[Total HH]],WWWW[[#This Row],['# Functional hand washing stations during reporting period]]*20)</f>
        <v>0</v>
      </c>
      <c r="DS145" s="597">
        <f>IF(WWWW[[#This Row],[Is sufficient soap available for TLS? (Yes/No)]]="yes",WWWW[[#This Row],['#_Constructed/Existing hand washing stations at TLS]],0)</f>
        <v>0</v>
      </c>
      <c r="DT145" s="479">
        <f>IF(WWWW[[#This Row],['# Functional hand washing stations during reporting period]]*100&gt;WWWW[[#This Row],[Total PoP ]],WWWW[[#This Row],[Total PoP ]],WWWW[[#This Row],['# Functional hand washing stations during reporting period]]*100)</f>
        <v>0</v>
      </c>
      <c r="DU145" s="479" t="str">
        <f>IF(OR(WWWW[[#This Row],['#_students at TLS_CFS]]="",WWWW[[#This Row],['#_students at TLS_CFS]]=0),"No","Yes")</f>
        <v>No</v>
      </c>
      <c r="DV14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5" s="593">
        <f>VLOOKUP(WWWW[[#This Row],[Site Name]],SiteDB6[[Site Name]:[CCCM Management]],6,FALSE)</f>
        <v>0</v>
      </c>
      <c r="DZ145" s="593" t="str">
        <f>VLOOKUP(WWWW[[#This Row],[Site Name]],SiteDB6[[Site Name]:[CCCM Focal Agency]],7,FALSE)</f>
        <v>uncovered</v>
      </c>
      <c r="EA145" s="593" t="str">
        <f>VLOOKUP(WWWW[[#This Row],[Site Name]],SiteDB6[[Site Name]:[Location Type 1]],9,FALSE)</f>
        <v>Camp</v>
      </c>
      <c r="EB145" s="593" t="str">
        <f>VLOOKUP(WWWW[[#This Row],[Site Name]],SiteDB6[[Site Name]:[Type of Accommodation]],10,FALSE)</f>
        <v>Camp like setting</v>
      </c>
      <c r="EC145" s="593" t="str">
        <f>VLOOKUP(WWWW[[#This Row],[Site Name]],SiteDB6[[Site Name]:[Ethnic or GCA/NGCA]],11,FALSE)</f>
        <v>GCA</v>
      </c>
      <c r="ED145" s="593">
        <f>VLOOKUP(WWWW[[#This Row],[Site Name]],SiteDB6[[Site Name]:[Lat]],12,FALSE)</f>
        <v>22.677008000000001</v>
      </c>
      <c r="EE145" s="593">
        <f>VLOOKUP(WWWW[[#This Row],[Site Name]],SiteDB6[[Site Name]:[Long]],13,FALSE)</f>
        <v>97.314762999999999</v>
      </c>
      <c r="EF145" s="593" t="str">
        <f>VLOOKUP(WWWW[[#This Row],[Site Name]],SiteDB6[[Site Name]:[Pcode]],3,FALSE)</f>
        <v>MMR015CMP244</v>
      </c>
      <c r="EG145" s="598" t="str">
        <f t="shared" si="2"/>
        <v>Notcovered</v>
      </c>
      <c r="EH145" s="598" t="str">
        <f>VLOOKUP(WWWW[[#This Row],[Site Name]],SiteDB6[[Site Name]:[open in cccm?]],2,FALSE)</f>
        <v>cccm_2019OCT</v>
      </c>
    </row>
    <row r="146" spans="1:138" hidden="1">
      <c r="A146" s="591" t="s">
        <v>3261</v>
      </c>
      <c r="B146" s="591" t="s">
        <v>312</v>
      </c>
      <c r="C146" s="592" t="s">
        <v>312</v>
      </c>
      <c r="D146" s="592"/>
      <c r="E146" s="592" t="s">
        <v>39</v>
      </c>
      <c r="F146" s="592" t="s">
        <v>40</v>
      </c>
      <c r="G146" s="721" t="str">
        <f>VLOOKUP(WWWW[[#This Row],[Site Name]],SiteDB6[[Site Name]:[Location Type]],8,FALSE)</f>
        <v>Camp</v>
      </c>
      <c r="H146" s="592" t="s">
        <v>1004</v>
      </c>
      <c r="I146" s="594">
        <v>80</v>
      </c>
      <c r="J146" s="594">
        <v>290</v>
      </c>
      <c r="K146" s="595"/>
      <c r="L146" s="596"/>
      <c r="M146" s="594"/>
      <c r="N146" s="594"/>
      <c r="O146" s="594"/>
      <c r="P146" s="594"/>
      <c r="Q146" s="597"/>
      <c r="R146" s="594"/>
      <c r="S146" s="594"/>
      <c r="T146" s="523"/>
      <c r="U146" s="594"/>
      <c r="V146" s="594"/>
      <c r="W146" s="594"/>
      <c r="X146" s="594"/>
      <c r="Y146" s="594"/>
      <c r="Z146" s="594"/>
      <c r="AA146" s="594"/>
      <c r="AB146" s="594"/>
      <c r="AC146" s="594"/>
      <c r="AD146" s="594"/>
      <c r="AE146" s="594"/>
      <c r="AF146" s="594"/>
      <c r="AG146" s="594"/>
      <c r="AH146" s="594"/>
      <c r="AI146" s="594"/>
      <c r="AJ146" s="594"/>
      <c r="AK146" s="594"/>
      <c r="AL146" s="594"/>
      <c r="AM146" s="594"/>
      <c r="AN146" s="594"/>
      <c r="AO146" s="598"/>
      <c r="AP146" s="594"/>
      <c r="AQ146" s="594"/>
      <c r="AR146" s="599"/>
      <c r="AS146" s="594"/>
      <c r="AT146" s="594"/>
      <c r="AU146" s="594"/>
      <c r="AV146" s="594"/>
      <c r="AW146" s="594"/>
      <c r="AX146" s="593"/>
      <c r="AY146" s="598"/>
      <c r="AZ146" s="594"/>
      <c r="BA146" s="594"/>
      <c r="BB146" s="594"/>
      <c r="BC146" s="594"/>
      <c r="BD146" s="523"/>
      <c r="BE146" s="593"/>
      <c r="BF146" s="594"/>
      <c r="BG146" s="594"/>
      <c r="BH146" s="594"/>
      <c r="BI146" s="594"/>
      <c r="BJ146" s="594"/>
      <c r="BK146" s="594"/>
      <c r="BL146" s="594"/>
      <c r="BM146" s="594"/>
      <c r="BN146" s="594"/>
      <c r="BO146" s="593"/>
      <c r="BP146" s="594"/>
      <c r="BQ146" s="599"/>
      <c r="BR146" s="593"/>
      <c r="BS146" s="472"/>
      <c r="BT146" s="472"/>
      <c r="BU146" s="523"/>
      <c r="BV146" s="472"/>
      <c r="BW146" s="523"/>
      <c r="BX146" s="523"/>
      <c r="BY146" s="523"/>
      <c r="BZ146" s="601" t="str">
        <f>IFERROR(WWWW[[#This Row],['#_Water sources passed]]/WWWW[[#This Row],['#_Water sources tested for fecal coliform ]],"no test")</f>
        <v>no test</v>
      </c>
      <c r="CA146" s="599" t="str">
        <f>IFERROR(WWWW[[#This Row],['#_Household passed]]/WWWW[[#This Row],['#_Household water samples tested for fecal coliform]],"no test")</f>
        <v>no test</v>
      </c>
      <c r="CB146" s="600" t="str">
        <f>IF(AND(WWWW[[#This Row],[% of water sources passed]]="no test",WWWW[[#This Row],[% Household passed]]="no test"),"No Test","Tested")</f>
        <v>No Test</v>
      </c>
      <c r="CC146" s="600">
        <f>WWWW[[#This Row],['#_Constructed/existing protected hand dug well]]-WWWW[[#This Row],['#_Non-functional protected hand dug well]]</f>
        <v>0</v>
      </c>
      <c r="CD146" s="600">
        <f>(WWWW[[#This Row],['#_Constructed/Existing tube wells/boreholes/handpumps_WASH_agency]]+WWWW[[#This Row],['#_Non-Cluster partner water tube-wells/boreholes/handpumps]])-WWWW[[#This Row],['#_Non-functional tube wells/boreholes/handpumps]]</f>
        <v>0</v>
      </c>
      <c r="CE146" s="600">
        <f>WWWW[[#This Row],['#_Constructed/Existingwater storage tank with gravity fed reticulation system]]-WWWW[[#This Row],['#_Non-functional storage tank gravity fed reticulation system]]</f>
        <v>0</v>
      </c>
      <c r="CF146" s="478">
        <f>(WWWW[[#This Row],['#_Water_Liters_supplied_by_Water boating or water trucking]]/90)/15</f>
        <v>0</v>
      </c>
      <c r="CG146" s="478">
        <f>WWWW[[#This Row],['#_Water_Liters_from_Constructed/Existing water distribution system from river or natural spring]]/90/15</f>
        <v>0</v>
      </c>
      <c r="CH146" s="478">
        <f>WWWW[[#This Row],['#_of water points in TLS/CFS /THF]]*500</f>
        <v>0</v>
      </c>
      <c r="CI14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6" s="599">
        <f>IF(WWWW[[#This Row],[Location Type 1]]="Village",WWWW[[#This Row],[Access to safe drinking water for Village]],WWWW[[#This Row],[Access to safe drinking water for Camp]])</f>
        <v>0</v>
      </c>
      <c r="CL146" s="597">
        <f>WWWW[[#This Row],[%Equitable and continuous access to sufficient quantity of safe drinking water]]*WWWW[[#This Row],[Total PoP ]]</f>
        <v>0</v>
      </c>
      <c r="CM146" s="599">
        <f>IF((WWWW[[#This Row],['#_Constructed/Existing protected/fenced ponds]]*250)/WWWW[[#This Row],[Total PoP ]]&gt;1,1,(WWWW[[#This Row],['#_Constructed/Existing protected/fenced ponds]]*250)/WWWW[[#This Row],[Total PoP ]])</f>
        <v>0</v>
      </c>
      <c r="CN146" s="597">
        <f>WWWW[[#This Row],[% Access to unimproved water points]]*WWWW[[#This Row],[Total PoP ]]</f>
        <v>0</v>
      </c>
      <c r="CO14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6" s="597">
        <f>WWWW[[#This Row],[HRP1]]/500</f>
        <v>0</v>
      </c>
      <c r="CR146" s="602">
        <f>1-WWWW[[#This Row],[% Equitable and continuous access to sufficient quantity of domestic water]]</f>
        <v>1</v>
      </c>
      <c r="CS146" s="597">
        <f>WWWW[[#This Row],[%equitable and continuous access to sufficient quantity of safe drinking and domestic water''s GAP]]*WWWW[[#This Row],[Total PoP ]]</f>
        <v>290</v>
      </c>
      <c r="CT146" s="600">
        <f>IF(WWWW[[#This Row],[Total required water points]]-WWWW[[#This Row],['#Water points coverage]]&lt;0,0,WWWW[[#This Row],[Total required water points]]-WWWW[[#This Row],['#Water points coverage]])</f>
        <v>1</v>
      </c>
      <c r="CU146" s="600">
        <f>ROUND(IF(WWWW[[#This Row],[Total PoP ]]&lt;500,1,WWWW[[#This Row],[Total PoP ]]/500),0)</f>
        <v>1</v>
      </c>
      <c r="CV146" s="600">
        <f>(WWWW[[#This Row],['#_Constructed latrines_by_WASHAgencies]]+WWWW[[#This Row],['#_Non Cluster partner latrines]])-WWWW[[#This Row],['#_Non-functional latrines]]</f>
        <v>0</v>
      </c>
      <c r="CW146" s="70">
        <f>WWWW[[#This Row],[HRP2]]/WWWW[[#This Row],[Total PoP ]]</f>
        <v>0</v>
      </c>
      <c r="CX14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6" s="600">
        <f>IF(WWWW[[#This Row],['# of functional latrines in THF supported by WASH partners during the reporting period2]]="",0,WWWW[[#This Row],['# of functional latrines in THF supported by WASH partners during the reporting period2]]*50)</f>
        <v>0</v>
      </c>
      <c r="DB146" s="600">
        <f>WWWW[[#This Row],['# students access to functioning school latrines_HRP5]]+WWWW[[#This Row],['# People access to functioning latrines in THF_HRP5]]</f>
        <v>0</v>
      </c>
      <c r="DC146" s="600">
        <f>ROUND(IF(WWWW[[#This Row],[Location Type 1]]="camp",WWWW[[#This Row],[Total PoP ]]/20,IF(WWWW[[#This Row],[Location Type 1]]="Temporary Location",WWWW[[#This Row],[Total PoP ]]/50,WWWW[[#This Row],[Total HH]])),0)</f>
        <v>15</v>
      </c>
      <c r="DD146" s="600">
        <f>IF(WWWW[[#This Row],[Total required Latrines]]-(WWWW[[#This Row],['#_Constructed latrines_by_WASHAgencies]]+WWWW[[#This Row],['#_Non Cluster partner latrines]])&lt;0,0,WWWW[[#This Row],[Total required Latrines]]-(WWWW[[#This Row],['#_Constructed latrines_by_WASHAgencies]]+WWWW[[#This Row],['#_Non Cluster partner latrines]]))</f>
        <v>15</v>
      </c>
      <c r="DE146" s="602">
        <f>1-WWWW[[#This Row],[% people access to functioning Latrine]]</f>
        <v>1</v>
      </c>
      <c r="DF146" s="601">
        <f>IF(OR(WWWW[[#This Row],['#_Non-functional latrines]]="",WWWW[[#This Row],['#_Non-functional latrines]]=0),0,WWWW[[#This Row],['#_Non-functional latrines]]/(WWWW[[#This Row],['#_Constructed latrines_by_WASHAgencies]]+WWWW[[#This Row],['#_Non Cluster partner latrines]]))</f>
        <v>0</v>
      </c>
      <c r="DG146" s="597">
        <f>IF(500*(WWWW[[#This Row],['#_male hygiene promoters]]+WWWW[[#This Row],['#_female hygiene promoters]])&gt;WWWW[[#This Row],[Total PoP ]],WWWW[[#This Row],[Total PoP ]],500*(WWWW[[#This Row],['#_male hygiene promoters]]+WWWW[[#This Row],['#_female hygiene promoters]]))</f>
        <v>0</v>
      </c>
      <c r="DH14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6" s="600">
        <f>IF(WWWW[[#This Row],['# People with access to soap]]&gt;WWWW[[#This Row],['# People with access to Sanity Pads]],WWWW[[#This Row],['# People with access to soap]],WWWW[[#This Row],['# People with access to Sanity Pads]])</f>
        <v>0</v>
      </c>
      <c r="DK14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6" s="602">
        <f>IF(WWWW[[#This Row],[HRP3]]/WWWW[[#This Row],[Total PoP ]]&gt;1,1,WWWW[[#This Row],[HRP3]]/WWWW[[#This Row],[Total PoP ]])</f>
        <v>0</v>
      </c>
      <c r="DM146" s="601">
        <f>1-WWWW[[#This Row],[Hygiene Coverage%]]</f>
        <v>1</v>
      </c>
      <c r="DN146" s="599">
        <f>WWWW[[#This Row],['# people reached by regular dedicated hygiene promotion_5]]/WWWW[[#This Row],[Total PoP ]]</f>
        <v>0</v>
      </c>
      <c r="DO14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6" s="600">
        <f>WWWW[[#This Row],['#_Constructed/Existing hand washing stations]]-WWWW[[#This Row],['#_Non-Functional_hand_washing_stations]]</f>
        <v>0</v>
      </c>
      <c r="DR146" s="597">
        <f>IF(WWWW[[#This Row],['# Functional hand washing stations during reporting period]]*20&gt;WWWW[[#This Row],[Total HH]],WWWW[[#This Row],[Total HH]],WWWW[[#This Row],['# Functional hand washing stations during reporting period]]*20)</f>
        <v>0</v>
      </c>
      <c r="DS146" s="597">
        <f>IF(WWWW[[#This Row],[Is sufficient soap available for TLS? (Yes/No)]]="yes",WWWW[[#This Row],['#_Constructed/Existing hand washing stations at TLS]],0)</f>
        <v>0</v>
      </c>
      <c r="DT146" s="479">
        <f>IF(WWWW[[#This Row],['# Functional hand washing stations during reporting period]]*100&gt;WWWW[[#This Row],[Total PoP ]],WWWW[[#This Row],[Total PoP ]],WWWW[[#This Row],['# Functional hand washing stations during reporting period]]*100)</f>
        <v>0</v>
      </c>
      <c r="DU146" s="479" t="str">
        <f>IF(OR(WWWW[[#This Row],['#_students at TLS_CFS]]="",WWWW[[#This Row],['#_students at TLS_CFS]]=0),"No","Yes")</f>
        <v>No</v>
      </c>
      <c r="DV14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6" s="593">
        <f>VLOOKUP(WWWW[[#This Row],[Site Name]],SiteDB6[[Site Name]:[CCCM Management]],6,FALSE)</f>
        <v>0</v>
      </c>
      <c r="DZ146" s="593" t="str">
        <f>VLOOKUP(WWWW[[#This Row],[Site Name]],SiteDB6[[Site Name]:[CCCM Focal Agency]],7,FALSE)</f>
        <v>uncovered</v>
      </c>
      <c r="EA146" s="593" t="str">
        <f>VLOOKUP(WWWW[[#This Row],[Site Name]],SiteDB6[[Site Name]:[Location Type 1]],9,FALSE)</f>
        <v>Camp</v>
      </c>
      <c r="EB146" s="593" t="str">
        <f>VLOOKUP(WWWW[[#This Row],[Site Name]],SiteDB6[[Site Name]:[Type of Accommodation]],10,FALSE)</f>
        <v>Host Families</v>
      </c>
      <c r="EC146" s="593" t="str">
        <f>VLOOKUP(WWWW[[#This Row],[Site Name]],SiteDB6[[Site Name]:[Ethnic or GCA/NGCA]],11,FALSE)</f>
        <v>GCA</v>
      </c>
      <c r="ED146" s="593">
        <f>VLOOKUP(WWWW[[#This Row],[Site Name]],SiteDB6[[Site Name]:[Lat]],12,FALSE)</f>
        <v>24.118618999999999</v>
      </c>
      <c r="EE146" s="593">
        <f>VLOOKUP(WWWW[[#This Row],[Site Name]],SiteDB6[[Site Name]:[Long]],13,FALSE)</f>
        <v>97.298055000000005</v>
      </c>
      <c r="EF146" s="593" t="str">
        <f>VLOOKUP(WWWW[[#This Row],[Site Name]],SiteDB6[[Site Name]:[Pcode]],3,FALSE)</f>
        <v>MMR001CMP196</v>
      </c>
      <c r="EG146" s="598" t="str">
        <f t="shared" si="2"/>
        <v>Notcovered</v>
      </c>
      <c r="EH146" s="598" t="str">
        <f>VLOOKUP(WWWW[[#This Row],[Site Name]],SiteDB6[[Site Name]:[open in cccm?]],2,FALSE)</f>
        <v>cccm_2019OCT</v>
      </c>
    </row>
    <row r="147" spans="1:138" hidden="1">
      <c r="A147" s="591" t="s">
        <v>3261</v>
      </c>
      <c r="B147" s="591" t="s">
        <v>312</v>
      </c>
      <c r="C147" s="592" t="s">
        <v>312</v>
      </c>
      <c r="D147" s="592"/>
      <c r="E147" s="592" t="s">
        <v>39</v>
      </c>
      <c r="F147" s="592" t="s">
        <v>151</v>
      </c>
      <c r="G147" s="721" t="str">
        <f>VLOOKUP(WWWW[[#This Row],[Site Name]],SiteDB6[[Site Name]:[Location Type]],8,FALSE)</f>
        <v>Camp</v>
      </c>
      <c r="H147" s="592" t="s">
        <v>260</v>
      </c>
      <c r="I147" s="594">
        <v>3</v>
      </c>
      <c r="J147" s="594">
        <v>15</v>
      </c>
      <c r="K147" s="595"/>
      <c r="L147" s="596"/>
      <c r="M147" s="594"/>
      <c r="N147" s="594">
        <v>0</v>
      </c>
      <c r="O147" s="594"/>
      <c r="P147" s="594"/>
      <c r="Q147" s="597" t="s">
        <v>43</v>
      </c>
      <c r="R147" s="594"/>
      <c r="S147" s="594"/>
      <c r="T147" s="523">
        <v>1</v>
      </c>
      <c r="U147" s="594"/>
      <c r="V147" s="594"/>
      <c r="W147" s="594">
        <v>1</v>
      </c>
      <c r="X147" s="594"/>
      <c r="Y147" s="594"/>
      <c r="Z147" s="594"/>
      <c r="AA147" s="594">
        <v>0</v>
      </c>
      <c r="AB147" s="594"/>
      <c r="AC147" s="594"/>
      <c r="AD147" s="594"/>
      <c r="AE147" s="594"/>
      <c r="AF147" s="594"/>
      <c r="AG147" s="594"/>
      <c r="AH147" s="594">
        <v>1</v>
      </c>
      <c r="AI147" s="594"/>
      <c r="AJ147" s="594"/>
      <c r="AK147" s="594"/>
      <c r="AL147" s="594"/>
      <c r="AM147" s="594"/>
      <c r="AN147" s="594"/>
      <c r="AO147" s="598"/>
      <c r="AP147" s="594">
        <v>0</v>
      </c>
      <c r="AQ147" s="594"/>
      <c r="AR147" s="599"/>
      <c r="AS147" s="594"/>
      <c r="AT147" s="594"/>
      <c r="AU147" s="594"/>
      <c r="AV147" s="594"/>
      <c r="AW147" s="594">
        <v>0</v>
      </c>
      <c r="AX147" s="593" t="s">
        <v>43</v>
      </c>
      <c r="AY147" s="598" t="s">
        <v>1195</v>
      </c>
      <c r="AZ147" s="594"/>
      <c r="BA147" s="594"/>
      <c r="BB147" s="594"/>
      <c r="BC147" s="594"/>
      <c r="BD147" s="523"/>
      <c r="BE147" s="593"/>
      <c r="BF147" s="594"/>
      <c r="BG147" s="594"/>
      <c r="BH147" s="594">
        <v>0</v>
      </c>
      <c r="BI147" s="594"/>
      <c r="BJ147" s="594"/>
      <c r="BK147" s="594"/>
      <c r="BL147" s="594"/>
      <c r="BM147" s="594"/>
      <c r="BN147" s="594"/>
      <c r="BO147" s="593"/>
      <c r="BP147" s="594"/>
      <c r="BQ147" s="599"/>
      <c r="BR147" s="593"/>
      <c r="BS147" s="472"/>
      <c r="BT147" s="472"/>
      <c r="BU147" s="523"/>
      <c r="BV147" s="472"/>
      <c r="BW147" s="523"/>
      <c r="BX147" s="523"/>
      <c r="BY147" s="523"/>
      <c r="BZ147" s="601" t="str">
        <f>IFERROR(WWWW[[#This Row],['#_Water sources passed]]/WWWW[[#This Row],['#_Water sources tested for fecal coliform ]],"no test")</f>
        <v>no test</v>
      </c>
      <c r="CA147" s="599" t="str">
        <f>IFERROR(WWWW[[#This Row],['#_Household passed]]/WWWW[[#This Row],['#_Household water samples tested for fecal coliform]],"no test")</f>
        <v>no test</v>
      </c>
      <c r="CB147" s="600" t="str">
        <f>IF(AND(WWWW[[#This Row],[% of water sources passed]]="no test",WWWW[[#This Row],[% Household passed]]="no test"),"No Test","Tested")</f>
        <v>No Test</v>
      </c>
      <c r="CC147" s="600">
        <f>WWWW[[#This Row],['#_Constructed/existing protected hand dug well]]-WWWW[[#This Row],['#_Non-functional protected hand dug well]]</f>
        <v>1</v>
      </c>
      <c r="CD147" s="600">
        <f>(WWWW[[#This Row],['#_Constructed/Existing tube wells/boreholes/handpumps_WASH_agency]]+WWWW[[#This Row],['#_Non-Cluster partner water tube-wells/boreholes/handpumps]])-WWWW[[#This Row],['#_Non-functional tube wells/boreholes/handpumps]]</f>
        <v>1</v>
      </c>
      <c r="CE147" s="600">
        <f>WWWW[[#This Row],['#_Constructed/Existingwater storage tank with gravity fed reticulation system]]-WWWW[[#This Row],['#_Non-functional storage tank gravity fed reticulation system]]</f>
        <v>0</v>
      </c>
      <c r="CF147" s="478">
        <f>(WWWW[[#This Row],['#_Water_Liters_supplied_by_Water boating or water trucking]]/90)/15</f>
        <v>0</v>
      </c>
      <c r="CG147" s="478">
        <f>WWWW[[#This Row],['#_Water_Liters_from_Constructed/Existing water distribution system from river or natural spring]]/90/15</f>
        <v>0</v>
      </c>
      <c r="CH147" s="478">
        <f>WWWW[[#This Row],['#_of water points in TLS/CFS /THF]]*500</f>
        <v>0</v>
      </c>
      <c r="CI14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4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47" s="599">
        <f>IF(WWWW[[#This Row],[Location Type 1]]="Village",WWWW[[#This Row],[Access to safe drinking water for Village]],WWWW[[#This Row],[Access to safe drinking water for Camp]])</f>
        <v>1</v>
      </c>
      <c r="CL147" s="597">
        <f>WWWW[[#This Row],[%Equitable and continuous access to sufficient quantity of safe drinking water]]*WWWW[[#This Row],[Total PoP ]]</f>
        <v>15</v>
      </c>
      <c r="CM147" s="599">
        <f>IF((WWWW[[#This Row],['#_Constructed/Existing protected/fenced ponds]]*250)/WWWW[[#This Row],[Total PoP ]]&gt;1,1,(WWWW[[#This Row],['#_Constructed/Existing protected/fenced ponds]]*250)/WWWW[[#This Row],[Total PoP ]])</f>
        <v>0</v>
      </c>
      <c r="CN147" s="597">
        <f>WWWW[[#This Row],[% Access to unimproved water points]]*WWWW[[#This Row],[Total PoP ]]</f>
        <v>0</v>
      </c>
      <c r="CO14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4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Q147" s="597">
        <f>WWWW[[#This Row],[HRP1]]/500</f>
        <v>0.03</v>
      </c>
      <c r="CR147" s="602">
        <f>1-WWWW[[#This Row],[% Equitable and continuous access to sufficient quantity of domestic water]]</f>
        <v>0</v>
      </c>
      <c r="CS147" s="597">
        <f>WWWW[[#This Row],[%equitable and continuous access to sufficient quantity of safe drinking and domestic water''s GAP]]*WWWW[[#This Row],[Total PoP ]]</f>
        <v>0</v>
      </c>
      <c r="CT147" s="600">
        <f>IF(WWWW[[#This Row],[Total required water points]]-WWWW[[#This Row],['#Water points coverage]]&lt;0,0,WWWW[[#This Row],[Total required water points]]-WWWW[[#This Row],['#Water points coverage]])</f>
        <v>0.97</v>
      </c>
      <c r="CU147" s="600">
        <f>ROUND(IF(WWWW[[#This Row],[Total PoP ]]&lt;500,1,WWWW[[#This Row],[Total PoP ]]/500),0)</f>
        <v>1</v>
      </c>
      <c r="CV147" s="600">
        <f>(WWWW[[#This Row],['#_Constructed latrines_by_WASHAgencies]]+WWWW[[#This Row],['#_Non Cluster partner latrines]])-WWWW[[#This Row],['#_Non-functional latrines]]</f>
        <v>0</v>
      </c>
      <c r="CW147" s="70">
        <f>WWWW[[#This Row],[HRP2]]/WWWW[[#This Row],[Total PoP ]]</f>
        <v>0</v>
      </c>
      <c r="CX14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7" s="600">
        <f>IF(WWWW[[#This Row],['# of functional latrines in THF supported by WASH partners during the reporting period2]]="",0,WWWW[[#This Row],['# of functional latrines in THF supported by WASH partners during the reporting period2]]*50)</f>
        <v>0</v>
      </c>
      <c r="DB147" s="600">
        <f>WWWW[[#This Row],['# students access to functioning school latrines_HRP5]]+WWWW[[#This Row],['# People access to functioning latrines in THF_HRP5]]</f>
        <v>0</v>
      </c>
      <c r="DC147" s="600">
        <f>ROUND(IF(WWWW[[#This Row],[Location Type 1]]="camp",WWWW[[#This Row],[Total PoP ]]/20,IF(WWWW[[#This Row],[Location Type 1]]="Temporary Location",WWWW[[#This Row],[Total PoP ]]/50,WWWW[[#This Row],[Total HH]])),0)</f>
        <v>1</v>
      </c>
      <c r="DD147" s="600">
        <f>IF(WWWW[[#This Row],[Total required Latrines]]-(WWWW[[#This Row],['#_Constructed latrines_by_WASHAgencies]]+WWWW[[#This Row],['#_Non Cluster partner latrines]])&lt;0,0,WWWW[[#This Row],[Total required Latrines]]-(WWWW[[#This Row],['#_Constructed latrines_by_WASHAgencies]]+WWWW[[#This Row],['#_Non Cluster partner latrines]]))</f>
        <v>1</v>
      </c>
      <c r="DE147" s="602">
        <f>1-WWWW[[#This Row],[% people access to functioning Latrine]]</f>
        <v>1</v>
      </c>
      <c r="DF147" s="601">
        <f>IF(OR(WWWW[[#This Row],['#_Non-functional latrines]]="",WWWW[[#This Row],['#_Non-functional latrines]]=0),0,WWWW[[#This Row],['#_Non-functional latrines]]/(WWWW[[#This Row],['#_Constructed latrines_by_WASHAgencies]]+WWWW[[#This Row],['#_Non Cluster partner latrines]]))</f>
        <v>0</v>
      </c>
      <c r="DG147" s="597">
        <f>IF(500*(WWWW[[#This Row],['#_male hygiene promoters]]+WWWW[[#This Row],['#_female hygiene promoters]])&gt;WWWW[[#This Row],[Total PoP ]],WWWW[[#This Row],[Total PoP ]],500*(WWWW[[#This Row],['#_male hygiene promoters]]+WWWW[[#This Row],['#_female hygiene promoters]]))</f>
        <v>0</v>
      </c>
      <c r="DH14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7" s="600">
        <f>IF(WWWW[[#This Row],['# People with access to soap]]&gt;WWWW[[#This Row],['# People with access to Sanity Pads]],WWWW[[#This Row],['# People with access to soap]],WWWW[[#This Row],['# People with access to Sanity Pads]])</f>
        <v>0</v>
      </c>
      <c r="DK14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7" s="602">
        <f>IF(WWWW[[#This Row],[HRP3]]/WWWW[[#This Row],[Total PoP ]]&gt;1,1,WWWW[[#This Row],[HRP3]]/WWWW[[#This Row],[Total PoP ]])</f>
        <v>0</v>
      </c>
      <c r="DM147" s="601">
        <f>1-WWWW[[#This Row],[Hygiene Coverage%]]</f>
        <v>1</v>
      </c>
      <c r="DN147" s="599">
        <f>WWWW[[#This Row],['# people reached by regular dedicated hygiene promotion_5]]/WWWW[[#This Row],[Total PoP ]]</f>
        <v>0</v>
      </c>
      <c r="DO14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7" s="600">
        <f>WWWW[[#This Row],['#_Constructed/Existing hand washing stations]]-WWWW[[#This Row],['#_Non-Functional_hand_washing_stations]]</f>
        <v>0</v>
      </c>
      <c r="DR147" s="597">
        <f>IF(WWWW[[#This Row],['# Functional hand washing stations during reporting period]]*20&gt;WWWW[[#This Row],[Total HH]],WWWW[[#This Row],[Total HH]],WWWW[[#This Row],['# Functional hand washing stations during reporting period]]*20)</f>
        <v>0</v>
      </c>
      <c r="DS147" s="597">
        <f>IF(WWWW[[#This Row],[Is sufficient soap available for TLS? (Yes/No)]]="yes",WWWW[[#This Row],['#_Constructed/Existing hand washing stations at TLS]],0)</f>
        <v>0</v>
      </c>
      <c r="DT147" s="479">
        <f>IF(WWWW[[#This Row],['# Functional hand washing stations during reporting period]]*100&gt;WWWW[[#This Row],[Total PoP ]],WWWW[[#This Row],[Total PoP ]],WWWW[[#This Row],['# Functional hand washing stations during reporting period]]*100)</f>
        <v>0</v>
      </c>
      <c r="DU147" s="479" t="str">
        <f>IF(OR(WWWW[[#This Row],['#_students at TLS_CFS]]="",WWWW[[#This Row],['#_students at TLS_CFS]]=0),"No","Yes")</f>
        <v>No</v>
      </c>
      <c r="DV14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7" s="593" t="str">
        <f>VLOOKUP(WWWW[[#This Row],[Site Name]],SiteDB6[[Site Name]:[CCCM Management]],6,FALSE)</f>
        <v>Yes</v>
      </c>
      <c r="DZ147" s="593" t="str">
        <f>VLOOKUP(WWWW[[#This Row],[Site Name]],SiteDB6[[Site Name]:[CCCM Focal Agency]],7,FALSE)</f>
        <v>Shalom</v>
      </c>
      <c r="EA147" s="593" t="str">
        <f>VLOOKUP(WWWW[[#This Row],[Site Name]],SiteDB6[[Site Name]:[Location Type 1]],9,FALSE)</f>
        <v>Camp</v>
      </c>
      <c r="EB147" s="593" t="str">
        <f>VLOOKUP(WWWW[[#This Row],[Site Name]],SiteDB6[[Site Name]:[Type of Accommodation]],10,FALSE)</f>
        <v>Camp like setting</v>
      </c>
      <c r="EC147" s="593" t="str">
        <f>VLOOKUP(WWWW[[#This Row],[Site Name]],SiteDB6[[Site Name]:[Ethnic or GCA/NGCA]],11,FALSE)</f>
        <v>GCA</v>
      </c>
      <c r="ED147" s="593">
        <f>VLOOKUP(WWWW[[#This Row],[Site Name]],SiteDB6[[Site Name]:[Lat]],12,FALSE)</f>
        <v>25.6145</v>
      </c>
      <c r="EE147" s="593">
        <f>VLOOKUP(WWWW[[#This Row],[Site Name]],SiteDB6[[Site Name]:[Long]],13,FALSE)</f>
        <v>96.319829999999996</v>
      </c>
      <c r="EF147" s="593" t="str">
        <f>VLOOKUP(WWWW[[#This Row],[Site Name]],SiteDB6[[Site Name]:[Pcode]],3,FALSE)</f>
        <v>MMR001CMP091</v>
      </c>
      <c r="EG147" s="598" t="str">
        <f t="shared" si="2"/>
        <v>Notcovered</v>
      </c>
      <c r="EH147" s="598" t="str">
        <f>VLOOKUP(WWWW[[#This Row],[Site Name]],SiteDB6[[Site Name]:[open in cccm?]],2,FALSE)</f>
        <v>cccm_2019OCT</v>
      </c>
    </row>
    <row r="148" spans="1:138" hidden="1">
      <c r="A148" s="591" t="s">
        <v>3261</v>
      </c>
      <c r="B148" s="591" t="s">
        <v>312</v>
      </c>
      <c r="C148" s="592" t="s">
        <v>312</v>
      </c>
      <c r="D148" s="592"/>
      <c r="E148" s="592" t="s">
        <v>39</v>
      </c>
      <c r="F148" s="592" t="s">
        <v>160</v>
      </c>
      <c r="G148" s="721" t="str">
        <f>VLOOKUP(WWWW[[#This Row],[Site Name]],SiteDB6[[Site Name]:[Location Type]],8,FALSE)</f>
        <v>Camp</v>
      </c>
      <c r="H148" s="592" t="s">
        <v>1039</v>
      </c>
      <c r="I148" s="594">
        <v>14</v>
      </c>
      <c r="J148" s="594">
        <v>63</v>
      </c>
      <c r="K148" s="595"/>
      <c r="L148" s="596"/>
      <c r="M148" s="594"/>
      <c r="N148" s="594"/>
      <c r="O148" s="594"/>
      <c r="P148" s="594"/>
      <c r="Q148" s="597"/>
      <c r="R148" s="594"/>
      <c r="S148" s="594">
        <v>5</v>
      </c>
      <c r="T148" s="523"/>
      <c r="U148" s="594"/>
      <c r="V148" s="594"/>
      <c r="W148" s="594"/>
      <c r="X148" s="594"/>
      <c r="Y148" s="594"/>
      <c r="Z148" s="594"/>
      <c r="AA148" s="594"/>
      <c r="AB148" s="594"/>
      <c r="AC148" s="594"/>
      <c r="AD148" s="594"/>
      <c r="AE148" s="594"/>
      <c r="AF148" s="594"/>
      <c r="AG148" s="594"/>
      <c r="AH148" s="594"/>
      <c r="AI148" s="594"/>
      <c r="AJ148" s="594"/>
      <c r="AK148" s="594"/>
      <c r="AL148" s="594"/>
      <c r="AM148" s="594"/>
      <c r="AN148" s="594"/>
      <c r="AO148" s="598"/>
      <c r="AP148" s="594"/>
      <c r="AQ148" s="594"/>
      <c r="AR148" s="599"/>
      <c r="AS148" s="594"/>
      <c r="AT148" s="594"/>
      <c r="AU148" s="594"/>
      <c r="AV148" s="594"/>
      <c r="AW148" s="594"/>
      <c r="AX148" s="593"/>
      <c r="AY148" s="598"/>
      <c r="AZ148" s="594"/>
      <c r="BA148" s="594"/>
      <c r="BB148" s="594"/>
      <c r="BC148" s="594"/>
      <c r="BD148" s="523"/>
      <c r="BE148" s="593"/>
      <c r="BF148" s="594"/>
      <c r="BG148" s="594"/>
      <c r="BH148" s="594"/>
      <c r="BI148" s="594"/>
      <c r="BJ148" s="594"/>
      <c r="BK148" s="594"/>
      <c r="BL148" s="594"/>
      <c r="BM148" s="594"/>
      <c r="BN148" s="594"/>
      <c r="BO148" s="593"/>
      <c r="BP148" s="594"/>
      <c r="BQ148" s="599"/>
      <c r="BR148" s="593"/>
      <c r="BS148" s="472"/>
      <c r="BT148" s="472"/>
      <c r="BU148" s="523"/>
      <c r="BV148" s="472"/>
      <c r="BW148" s="523"/>
      <c r="BX148" s="523"/>
      <c r="BY148" s="523"/>
      <c r="BZ148" s="601" t="str">
        <f>IFERROR(WWWW[[#This Row],['#_Water sources passed]]/WWWW[[#This Row],['#_Water sources tested for fecal coliform ]],"no test")</f>
        <v>no test</v>
      </c>
      <c r="CA148" s="599" t="str">
        <f>IFERROR(WWWW[[#This Row],['#_Household passed]]/WWWW[[#This Row],['#_Household water samples tested for fecal coliform]],"no test")</f>
        <v>no test</v>
      </c>
      <c r="CB148" s="600" t="str">
        <f>IF(AND(WWWW[[#This Row],[% of water sources passed]]="no test",WWWW[[#This Row],[% Household passed]]="no test"),"No Test","Tested")</f>
        <v>No Test</v>
      </c>
      <c r="CC148" s="600">
        <f>WWWW[[#This Row],['#_Constructed/existing protected hand dug well]]-WWWW[[#This Row],['#_Non-functional protected hand dug well]]</f>
        <v>0</v>
      </c>
      <c r="CD148" s="600">
        <f>(WWWW[[#This Row],['#_Constructed/Existing tube wells/boreholes/handpumps_WASH_agency]]+WWWW[[#This Row],['#_Non-Cluster partner water tube-wells/boreholes/handpumps]])-WWWW[[#This Row],['#_Non-functional tube wells/boreholes/handpumps]]</f>
        <v>0</v>
      </c>
      <c r="CE148" s="600">
        <f>WWWW[[#This Row],['#_Constructed/Existingwater storage tank with gravity fed reticulation system]]-WWWW[[#This Row],['#_Non-functional storage tank gravity fed reticulation system]]</f>
        <v>0</v>
      </c>
      <c r="CF148" s="478">
        <f>(WWWW[[#This Row],['#_Water_Liters_supplied_by_Water boating or water trucking]]/90)/15</f>
        <v>0</v>
      </c>
      <c r="CG148" s="478">
        <f>WWWW[[#This Row],['#_Water_Liters_from_Constructed/Existing water distribution system from river or natural spring]]/90/15</f>
        <v>0</v>
      </c>
      <c r="CH148" s="478">
        <f>WWWW[[#This Row],['#_of water points in TLS/CFS /THF]]*500</f>
        <v>0</v>
      </c>
      <c r="CI14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8" s="599">
        <f>IF(WWWW[[#This Row],[Location Type 1]]="Village",WWWW[[#This Row],[Access to safe drinking water for Village]],WWWW[[#This Row],[Access to safe drinking water for Camp]])</f>
        <v>0</v>
      </c>
      <c r="CL148" s="597">
        <f>WWWW[[#This Row],[%Equitable and continuous access to sufficient quantity of safe drinking water]]*WWWW[[#This Row],[Total PoP ]]</f>
        <v>0</v>
      </c>
      <c r="CM148" s="599">
        <f>IF((WWWW[[#This Row],['#_Constructed/Existing protected/fenced ponds]]*250)/WWWW[[#This Row],[Total PoP ]]&gt;1,1,(WWWW[[#This Row],['#_Constructed/Existing protected/fenced ponds]]*250)/WWWW[[#This Row],[Total PoP ]])</f>
        <v>0</v>
      </c>
      <c r="CN148" s="597">
        <f>WWWW[[#This Row],[% Access to unimproved water points]]*WWWW[[#This Row],[Total PoP ]]</f>
        <v>0</v>
      </c>
      <c r="CO14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8" s="597">
        <f>WWWW[[#This Row],[HRP1]]/500</f>
        <v>0</v>
      </c>
      <c r="CR148" s="602">
        <f>1-WWWW[[#This Row],[% Equitable and continuous access to sufficient quantity of domestic water]]</f>
        <v>1</v>
      </c>
      <c r="CS148" s="597">
        <f>WWWW[[#This Row],[%equitable and continuous access to sufficient quantity of safe drinking and domestic water''s GAP]]*WWWW[[#This Row],[Total PoP ]]</f>
        <v>63</v>
      </c>
      <c r="CT148" s="600">
        <f>IF(WWWW[[#This Row],[Total required water points]]-WWWW[[#This Row],['#Water points coverage]]&lt;0,0,WWWW[[#This Row],[Total required water points]]-WWWW[[#This Row],['#Water points coverage]])</f>
        <v>1</v>
      </c>
      <c r="CU148" s="600">
        <f>ROUND(IF(WWWW[[#This Row],[Total PoP ]]&lt;500,1,WWWW[[#This Row],[Total PoP ]]/500),0)</f>
        <v>1</v>
      </c>
      <c r="CV148" s="600">
        <f>(WWWW[[#This Row],['#_Constructed latrines_by_WASHAgencies]]+WWWW[[#This Row],['#_Non Cluster partner latrines]])-WWWW[[#This Row],['#_Non-functional latrines]]</f>
        <v>0</v>
      </c>
      <c r="CW148" s="70">
        <f>WWWW[[#This Row],[HRP2]]/WWWW[[#This Row],[Total PoP ]]</f>
        <v>0</v>
      </c>
      <c r="CX14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8" s="600">
        <f>IF(WWWW[[#This Row],['# of functional latrines in THF supported by WASH partners during the reporting period2]]="",0,WWWW[[#This Row],['# of functional latrines in THF supported by WASH partners during the reporting period2]]*50)</f>
        <v>0</v>
      </c>
      <c r="DB148" s="600">
        <f>WWWW[[#This Row],['# students access to functioning school latrines_HRP5]]+WWWW[[#This Row],['# People access to functioning latrines in THF_HRP5]]</f>
        <v>0</v>
      </c>
      <c r="DC148" s="600">
        <f>ROUND(IF(WWWW[[#This Row],[Location Type 1]]="camp",WWWW[[#This Row],[Total PoP ]]/20,IF(WWWW[[#This Row],[Location Type 1]]="Temporary Location",WWWW[[#This Row],[Total PoP ]]/50,WWWW[[#This Row],[Total HH]])),0)</f>
        <v>3</v>
      </c>
      <c r="DD148" s="600">
        <f>IF(WWWW[[#This Row],[Total required Latrines]]-(WWWW[[#This Row],['#_Constructed latrines_by_WASHAgencies]]+WWWW[[#This Row],['#_Non Cluster partner latrines]])&lt;0,0,WWWW[[#This Row],[Total required Latrines]]-(WWWW[[#This Row],['#_Constructed latrines_by_WASHAgencies]]+WWWW[[#This Row],['#_Non Cluster partner latrines]]))</f>
        <v>3</v>
      </c>
      <c r="DE148" s="602">
        <f>1-WWWW[[#This Row],[% people access to functioning Latrine]]</f>
        <v>1</v>
      </c>
      <c r="DF148" s="601">
        <f>IF(OR(WWWW[[#This Row],['#_Non-functional latrines]]="",WWWW[[#This Row],['#_Non-functional latrines]]=0),0,WWWW[[#This Row],['#_Non-functional latrines]]/(WWWW[[#This Row],['#_Constructed latrines_by_WASHAgencies]]+WWWW[[#This Row],['#_Non Cluster partner latrines]]))</f>
        <v>0</v>
      </c>
      <c r="DG148" s="597">
        <f>IF(500*(WWWW[[#This Row],['#_male hygiene promoters]]+WWWW[[#This Row],['#_female hygiene promoters]])&gt;WWWW[[#This Row],[Total PoP ]],WWWW[[#This Row],[Total PoP ]],500*(WWWW[[#This Row],['#_male hygiene promoters]]+WWWW[[#This Row],['#_female hygiene promoters]]))</f>
        <v>0</v>
      </c>
      <c r="DH14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8" s="600">
        <f>IF(WWWW[[#This Row],['# People with access to soap]]&gt;WWWW[[#This Row],['# People with access to Sanity Pads]],WWWW[[#This Row],['# People with access to soap]],WWWW[[#This Row],['# People with access to Sanity Pads]])</f>
        <v>0</v>
      </c>
      <c r="DK14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8" s="602">
        <f>IF(WWWW[[#This Row],[HRP3]]/WWWW[[#This Row],[Total PoP ]]&gt;1,1,WWWW[[#This Row],[HRP3]]/WWWW[[#This Row],[Total PoP ]])</f>
        <v>0</v>
      </c>
      <c r="DM148" s="601">
        <f>1-WWWW[[#This Row],[Hygiene Coverage%]]</f>
        <v>1</v>
      </c>
      <c r="DN148" s="599">
        <f>WWWW[[#This Row],['# people reached by regular dedicated hygiene promotion_5]]/WWWW[[#This Row],[Total PoP ]]</f>
        <v>0</v>
      </c>
      <c r="DO14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8" s="600">
        <f>WWWW[[#This Row],['#_Constructed/Existing hand washing stations]]-WWWW[[#This Row],['#_Non-Functional_hand_washing_stations]]</f>
        <v>0</v>
      </c>
      <c r="DR148" s="597">
        <f>IF(WWWW[[#This Row],['# Functional hand washing stations during reporting period]]*20&gt;WWWW[[#This Row],[Total HH]],WWWW[[#This Row],[Total HH]],WWWW[[#This Row],['# Functional hand washing stations during reporting period]]*20)</f>
        <v>0</v>
      </c>
      <c r="DS148" s="597">
        <f>IF(WWWW[[#This Row],[Is sufficient soap available for TLS? (Yes/No)]]="yes",WWWW[[#This Row],['#_Constructed/Existing hand washing stations at TLS]],0)</f>
        <v>0</v>
      </c>
      <c r="DT148" s="479">
        <f>IF(WWWW[[#This Row],['# Functional hand washing stations during reporting period]]*100&gt;WWWW[[#This Row],[Total PoP ]],WWWW[[#This Row],[Total PoP ]],WWWW[[#This Row],['# Functional hand washing stations during reporting period]]*100)</f>
        <v>0</v>
      </c>
      <c r="DU148" s="479" t="str">
        <f>IF(OR(WWWW[[#This Row],['#_students at TLS_CFS]]="",WWWW[[#This Row],['#_students at TLS_CFS]]=0),"No","Yes")</f>
        <v>No</v>
      </c>
      <c r="DV14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8" s="593">
        <f>VLOOKUP(WWWW[[#This Row],[Site Name]],SiteDB6[[Site Name]:[CCCM Management]],6,FALSE)</f>
        <v>0</v>
      </c>
      <c r="DZ148" s="593" t="str">
        <f>VLOOKUP(WWWW[[#This Row],[Site Name]],SiteDB6[[Site Name]:[CCCM Focal Agency]],7,FALSE)</f>
        <v>uncovered</v>
      </c>
      <c r="EA148" s="593" t="str">
        <f>VLOOKUP(WWWW[[#This Row],[Site Name]],SiteDB6[[Site Name]:[Location Type 1]],9,FALSE)</f>
        <v>Camp</v>
      </c>
      <c r="EB148" s="593" t="str">
        <f>VLOOKUP(WWWW[[#This Row],[Site Name]],SiteDB6[[Site Name]:[Type of Accommodation]],10,FALSE)</f>
        <v>Host Families</v>
      </c>
      <c r="EC148" s="593" t="str">
        <f>VLOOKUP(WWWW[[#This Row],[Site Name]],SiteDB6[[Site Name]:[Ethnic or GCA/NGCA]],11,FALSE)</f>
        <v>GCA</v>
      </c>
      <c r="ED148" s="593">
        <f>VLOOKUP(WWWW[[#This Row],[Site Name]],SiteDB6[[Site Name]:[Lat]],12,FALSE)</f>
        <v>24.764959999999999</v>
      </c>
      <c r="EE148" s="593">
        <f>VLOOKUP(WWWW[[#This Row],[Site Name]],SiteDB6[[Site Name]:[Long]],13,FALSE)</f>
        <v>96.366919999999993</v>
      </c>
      <c r="EF148" s="593" t="str">
        <f>VLOOKUP(WWWW[[#This Row],[Site Name]],SiteDB6[[Site Name]:[Pcode]],3,FALSE)</f>
        <v>MMR001CMP233</v>
      </c>
      <c r="EG148" s="598" t="str">
        <f t="shared" si="2"/>
        <v>Notcovered</v>
      </c>
      <c r="EH148" s="598" t="str">
        <f>VLOOKUP(WWWW[[#This Row],[Site Name]],SiteDB6[[Site Name]:[open in cccm?]],2,FALSE)</f>
        <v>cccm_2019OCT</v>
      </c>
    </row>
    <row r="149" spans="1:138" hidden="1">
      <c r="A149" s="591" t="s">
        <v>3261</v>
      </c>
      <c r="B149" s="591" t="s">
        <v>312</v>
      </c>
      <c r="C149" s="592" t="s">
        <v>312</v>
      </c>
      <c r="D149" s="592"/>
      <c r="E149" s="592" t="s">
        <v>39</v>
      </c>
      <c r="F149" s="592" t="s">
        <v>208</v>
      </c>
      <c r="G149" s="721" t="str">
        <f>VLOOKUP(WWWW[[#This Row],[Site Name]],SiteDB6[[Site Name]:[Location Type]],8,FALSE)</f>
        <v>Camp</v>
      </c>
      <c r="H149" s="592" t="s">
        <v>1013</v>
      </c>
      <c r="I149" s="594">
        <v>223</v>
      </c>
      <c r="J149" s="594">
        <v>1067</v>
      </c>
      <c r="K149" s="595"/>
      <c r="L149" s="596"/>
      <c r="M149" s="594"/>
      <c r="N149" s="594"/>
      <c r="O149" s="594"/>
      <c r="P149" s="594"/>
      <c r="Q149" s="597"/>
      <c r="R149" s="594"/>
      <c r="S149" s="594">
        <v>5</v>
      </c>
      <c r="T149" s="523"/>
      <c r="U149" s="594"/>
      <c r="V149" s="594"/>
      <c r="W149" s="594"/>
      <c r="X149" s="594"/>
      <c r="Y149" s="594"/>
      <c r="Z149" s="594"/>
      <c r="AA149" s="594"/>
      <c r="AB149" s="594"/>
      <c r="AC149" s="594"/>
      <c r="AD149" s="594"/>
      <c r="AE149" s="594"/>
      <c r="AF149" s="594"/>
      <c r="AG149" s="594"/>
      <c r="AH149" s="594"/>
      <c r="AI149" s="594"/>
      <c r="AJ149" s="594"/>
      <c r="AK149" s="594"/>
      <c r="AL149" s="594"/>
      <c r="AM149" s="594"/>
      <c r="AN149" s="594"/>
      <c r="AO149" s="598"/>
      <c r="AP149" s="594"/>
      <c r="AQ149" s="594"/>
      <c r="AR149" s="599"/>
      <c r="AS149" s="594"/>
      <c r="AT149" s="594"/>
      <c r="AU149" s="594"/>
      <c r="AV149" s="594"/>
      <c r="AW149" s="594"/>
      <c r="AX149" s="593"/>
      <c r="AY149" s="598"/>
      <c r="AZ149" s="594"/>
      <c r="BA149" s="594"/>
      <c r="BB149" s="594"/>
      <c r="BC149" s="594"/>
      <c r="BD149" s="523"/>
      <c r="BE149" s="593"/>
      <c r="BF149" s="594"/>
      <c r="BG149" s="594"/>
      <c r="BH149" s="594"/>
      <c r="BI149" s="594"/>
      <c r="BJ149" s="594"/>
      <c r="BK149" s="594"/>
      <c r="BL149" s="594"/>
      <c r="BM149" s="594"/>
      <c r="BN149" s="594"/>
      <c r="BO149" s="593"/>
      <c r="BP149" s="594"/>
      <c r="BQ149" s="599"/>
      <c r="BR149" s="593"/>
      <c r="BS149" s="472"/>
      <c r="BT149" s="472"/>
      <c r="BU149" s="523"/>
      <c r="BV149" s="472"/>
      <c r="BW149" s="523"/>
      <c r="BX149" s="523"/>
      <c r="BY149" s="523"/>
      <c r="BZ149" s="601" t="str">
        <f>IFERROR(WWWW[[#This Row],['#_Water sources passed]]/WWWW[[#This Row],['#_Water sources tested for fecal coliform ]],"no test")</f>
        <v>no test</v>
      </c>
      <c r="CA149" s="599" t="str">
        <f>IFERROR(WWWW[[#This Row],['#_Household passed]]/WWWW[[#This Row],['#_Household water samples tested for fecal coliform]],"no test")</f>
        <v>no test</v>
      </c>
      <c r="CB149" s="600" t="str">
        <f>IF(AND(WWWW[[#This Row],[% of water sources passed]]="no test",WWWW[[#This Row],[% Household passed]]="no test"),"No Test","Tested")</f>
        <v>No Test</v>
      </c>
      <c r="CC149" s="600">
        <f>WWWW[[#This Row],['#_Constructed/existing protected hand dug well]]-WWWW[[#This Row],['#_Non-functional protected hand dug well]]</f>
        <v>0</v>
      </c>
      <c r="CD149" s="600">
        <f>(WWWW[[#This Row],['#_Constructed/Existing tube wells/boreholes/handpumps_WASH_agency]]+WWWW[[#This Row],['#_Non-Cluster partner water tube-wells/boreholes/handpumps]])-WWWW[[#This Row],['#_Non-functional tube wells/boreholes/handpumps]]</f>
        <v>0</v>
      </c>
      <c r="CE149" s="600">
        <f>WWWW[[#This Row],['#_Constructed/Existingwater storage tank with gravity fed reticulation system]]-WWWW[[#This Row],['#_Non-functional storage tank gravity fed reticulation system]]</f>
        <v>0</v>
      </c>
      <c r="CF149" s="478">
        <f>(WWWW[[#This Row],['#_Water_Liters_supplied_by_Water boating or water trucking]]/90)/15</f>
        <v>0</v>
      </c>
      <c r="CG149" s="478">
        <f>WWWW[[#This Row],['#_Water_Liters_from_Constructed/Existing water distribution system from river or natural spring]]/90/15</f>
        <v>0</v>
      </c>
      <c r="CH149" s="478">
        <f>WWWW[[#This Row],['#_of water points in TLS/CFS /THF]]*500</f>
        <v>0</v>
      </c>
      <c r="CI14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4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49" s="599">
        <f>IF(WWWW[[#This Row],[Location Type 1]]="Village",WWWW[[#This Row],[Access to safe drinking water for Village]],WWWW[[#This Row],[Access to safe drinking water for Camp]])</f>
        <v>0</v>
      </c>
      <c r="CL149" s="597">
        <f>WWWW[[#This Row],[%Equitable and continuous access to sufficient quantity of safe drinking water]]*WWWW[[#This Row],[Total PoP ]]</f>
        <v>0</v>
      </c>
      <c r="CM149" s="599">
        <f>IF((WWWW[[#This Row],['#_Constructed/Existing protected/fenced ponds]]*250)/WWWW[[#This Row],[Total PoP ]]&gt;1,1,(WWWW[[#This Row],['#_Constructed/Existing protected/fenced ponds]]*250)/WWWW[[#This Row],[Total PoP ]])</f>
        <v>0</v>
      </c>
      <c r="CN149" s="597">
        <f>WWWW[[#This Row],[% Access to unimproved water points]]*WWWW[[#This Row],[Total PoP ]]</f>
        <v>0</v>
      </c>
      <c r="CO14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4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49" s="597">
        <f>WWWW[[#This Row],[HRP1]]/500</f>
        <v>0</v>
      </c>
      <c r="CR149" s="602">
        <f>1-WWWW[[#This Row],[% Equitable and continuous access to sufficient quantity of domestic water]]</f>
        <v>1</v>
      </c>
      <c r="CS149" s="597">
        <f>WWWW[[#This Row],[%equitable and continuous access to sufficient quantity of safe drinking and domestic water''s GAP]]*WWWW[[#This Row],[Total PoP ]]</f>
        <v>1067</v>
      </c>
      <c r="CT149" s="600">
        <f>IF(WWWW[[#This Row],[Total required water points]]-WWWW[[#This Row],['#Water points coverage]]&lt;0,0,WWWW[[#This Row],[Total required water points]]-WWWW[[#This Row],['#Water points coverage]])</f>
        <v>2</v>
      </c>
      <c r="CU149" s="600">
        <f>ROUND(IF(WWWW[[#This Row],[Total PoP ]]&lt;500,1,WWWW[[#This Row],[Total PoP ]]/500),0)</f>
        <v>2</v>
      </c>
      <c r="CV149" s="600">
        <f>(WWWW[[#This Row],['#_Constructed latrines_by_WASHAgencies]]+WWWW[[#This Row],['#_Non Cluster partner latrines]])-WWWW[[#This Row],['#_Non-functional latrines]]</f>
        <v>0</v>
      </c>
      <c r="CW149" s="70">
        <f>WWWW[[#This Row],[HRP2]]/WWWW[[#This Row],[Total PoP ]]</f>
        <v>0</v>
      </c>
      <c r="CX14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4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4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49" s="600">
        <f>IF(WWWW[[#This Row],['# of functional latrines in THF supported by WASH partners during the reporting period2]]="",0,WWWW[[#This Row],['# of functional latrines in THF supported by WASH partners during the reporting period2]]*50)</f>
        <v>0</v>
      </c>
      <c r="DB149" s="600">
        <f>WWWW[[#This Row],['# students access to functioning school latrines_HRP5]]+WWWW[[#This Row],['# People access to functioning latrines in THF_HRP5]]</f>
        <v>0</v>
      </c>
      <c r="DC149" s="600">
        <f>ROUND(IF(WWWW[[#This Row],[Location Type 1]]="camp",WWWW[[#This Row],[Total PoP ]]/20,IF(WWWW[[#This Row],[Location Type 1]]="Temporary Location",WWWW[[#This Row],[Total PoP ]]/50,WWWW[[#This Row],[Total HH]])),0)</f>
        <v>53</v>
      </c>
      <c r="DD149" s="600">
        <f>IF(WWWW[[#This Row],[Total required Latrines]]-(WWWW[[#This Row],['#_Constructed latrines_by_WASHAgencies]]+WWWW[[#This Row],['#_Non Cluster partner latrines]])&lt;0,0,WWWW[[#This Row],[Total required Latrines]]-(WWWW[[#This Row],['#_Constructed latrines_by_WASHAgencies]]+WWWW[[#This Row],['#_Non Cluster partner latrines]]))</f>
        <v>53</v>
      </c>
      <c r="DE149" s="602">
        <f>1-WWWW[[#This Row],[% people access to functioning Latrine]]</f>
        <v>1</v>
      </c>
      <c r="DF149" s="601">
        <f>IF(OR(WWWW[[#This Row],['#_Non-functional latrines]]="",WWWW[[#This Row],['#_Non-functional latrines]]=0),0,WWWW[[#This Row],['#_Non-functional latrines]]/(WWWW[[#This Row],['#_Constructed latrines_by_WASHAgencies]]+WWWW[[#This Row],['#_Non Cluster partner latrines]]))</f>
        <v>0</v>
      </c>
      <c r="DG149" s="597">
        <f>IF(500*(WWWW[[#This Row],['#_male hygiene promoters]]+WWWW[[#This Row],['#_female hygiene promoters]])&gt;WWWW[[#This Row],[Total PoP ]],WWWW[[#This Row],[Total PoP ]],500*(WWWW[[#This Row],['#_male hygiene promoters]]+WWWW[[#This Row],['#_female hygiene promoters]]))</f>
        <v>0</v>
      </c>
      <c r="DH14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4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49" s="600">
        <f>IF(WWWW[[#This Row],['# People with access to soap]]&gt;WWWW[[#This Row],['# People with access to Sanity Pads]],WWWW[[#This Row],['# People with access to soap]],WWWW[[#This Row],['# People with access to Sanity Pads]])</f>
        <v>0</v>
      </c>
      <c r="DK14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49" s="602">
        <f>IF(WWWW[[#This Row],[HRP3]]/WWWW[[#This Row],[Total PoP ]]&gt;1,1,WWWW[[#This Row],[HRP3]]/WWWW[[#This Row],[Total PoP ]])</f>
        <v>0</v>
      </c>
      <c r="DM149" s="601">
        <f>1-WWWW[[#This Row],[Hygiene Coverage%]]</f>
        <v>1</v>
      </c>
      <c r="DN149" s="599">
        <f>WWWW[[#This Row],['# people reached by regular dedicated hygiene promotion_5]]/WWWW[[#This Row],[Total PoP ]]</f>
        <v>0</v>
      </c>
      <c r="DO14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4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49" s="600">
        <f>WWWW[[#This Row],['#_Constructed/Existing hand washing stations]]-WWWW[[#This Row],['#_Non-Functional_hand_washing_stations]]</f>
        <v>0</v>
      </c>
      <c r="DR149" s="597">
        <f>IF(WWWW[[#This Row],['# Functional hand washing stations during reporting period]]*20&gt;WWWW[[#This Row],[Total HH]],WWWW[[#This Row],[Total HH]],WWWW[[#This Row],['# Functional hand washing stations during reporting period]]*20)</f>
        <v>0</v>
      </c>
      <c r="DS149" s="597">
        <f>IF(WWWW[[#This Row],[Is sufficient soap available for TLS? (Yes/No)]]="yes",WWWW[[#This Row],['#_Constructed/Existing hand washing stations at TLS]],0)</f>
        <v>0</v>
      </c>
      <c r="DT149" s="479">
        <f>IF(WWWW[[#This Row],['# Functional hand washing stations during reporting period]]*100&gt;WWWW[[#This Row],[Total PoP ]],WWWW[[#This Row],[Total PoP ]],WWWW[[#This Row],['# Functional hand washing stations during reporting period]]*100)</f>
        <v>0</v>
      </c>
      <c r="DU149" s="479" t="str">
        <f>IF(OR(WWWW[[#This Row],['#_students at TLS_CFS]]="",WWWW[[#This Row],['#_students at TLS_CFS]]=0),"No","Yes")</f>
        <v>No</v>
      </c>
      <c r="DV14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49" s="593">
        <f>VLOOKUP(WWWW[[#This Row],[Site Name]],SiteDB6[[Site Name]:[CCCM Management]],6,FALSE)</f>
        <v>0</v>
      </c>
      <c r="DZ149" s="593" t="str">
        <f>VLOOKUP(WWWW[[#This Row],[Site Name]],SiteDB6[[Site Name]:[CCCM Focal Agency]],7,FALSE)</f>
        <v>uncovered</v>
      </c>
      <c r="EA149" s="593" t="str">
        <f>VLOOKUP(WWWW[[#This Row],[Site Name]],SiteDB6[[Site Name]:[Location Type 1]],9,FALSE)</f>
        <v>Camp</v>
      </c>
      <c r="EB149" s="593" t="str">
        <f>VLOOKUP(WWWW[[#This Row],[Site Name]],SiteDB6[[Site Name]:[Type of Accommodation]],10,FALSE)</f>
        <v>Host Families</v>
      </c>
      <c r="EC149" s="593" t="str">
        <f>VLOOKUP(WWWW[[#This Row],[Site Name]],SiteDB6[[Site Name]:[Ethnic or GCA/NGCA]],11,FALSE)</f>
        <v>GCA</v>
      </c>
      <c r="ED149" s="593">
        <f>VLOOKUP(WWWW[[#This Row],[Site Name]],SiteDB6[[Site Name]:[Lat]],12,FALSE)</f>
        <v>24.251232000000002</v>
      </c>
      <c r="EE149" s="593">
        <f>VLOOKUP(WWWW[[#This Row],[Site Name]],SiteDB6[[Site Name]:[Long]],13,FALSE)</f>
        <v>97.348405</v>
      </c>
      <c r="EF149" s="593" t="str">
        <f>VLOOKUP(WWWW[[#This Row],[Site Name]],SiteDB6[[Site Name]:[Pcode]],3,FALSE)</f>
        <v>MMR001CMP197</v>
      </c>
      <c r="EG149" s="598" t="str">
        <f t="shared" si="2"/>
        <v>Notcovered</v>
      </c>
      <c r="EH149" s="598" t="str">
        <f>VLOOKUP(WWWW[[#This Row],[Site Name]],SiteDB6[[Site Name]:[open in cccm?]],2,FALSE)</f>
        <v>cccm_2019OCT</v>
      </c>
    </row>
    <row r="150" spans="1:138" hidden="1">
      <c r="A150" s="591" t="s">
        <v>3261</v>
      </c>
      <c r="B150" s="591" t="s">
        <v>312</v>
      </c>
      <c r="C150" s="592" t="s">
        <v>312</v>
      </c>
      <c r="D150" s="592"/>
      <c r="E150" s="592" t="s">
        <v>39</v>
      </c>
      <c r="F150" s="592" t="s">
        <v>151</v>
      </c>
      <c r="G150" s="721" t="str">
        <f>VLOOKUP(WWWW[[#This Row],[Site Name]],SiteDB6[[Site Name]:[Location Type]],8,FALSE)</f>
        <v>Camp</v>
      </c>
      <c r="H150" s="592" t="s">
        <v>193</v>
      </c>
      <c r="I150" s="594">
        <v>10</v>
      </c>
      <c r="J150" s="594">
        <v>18</v>
      </c>
      <c r="K150" s="595"/>
      <c r="L150" s="596"/>
      <c r="M150" s="594"/>
      <c r="N150" s="594"/>
      <c r="O150" s="594"/>
      <c r="P150" s="594"/>
      <c r="Q150" s="597"/>
      <c r="R150" s="594"/>
      <c r="S150" s="594">
        <v>5</v>
      </c>
      <c r="T150" s="523"/>
      <c r="U150" s="594"/>
      <c r="V150" s="594"/>
      <c r="W150" s="594"/>
      <c r="X150" s="594"/>
      <c r="Y150" s="594"/>
      <c r="Z150" s="594"/>
      <c r="AA150" s="594"/>
      <c r="AB150" s="594"/>
      <c r="AC150" s="594"/>
      <c r="AD150" s="594"/>
      <c r="AE150" s="594"/>
      <c r="AF150" s="594"/>
      <c r="AG150" s="594"/>
      <c r="AH150" s="594"/>
      <c r="AI150" s="594"/>
      <c r="AJ150" s="594"/>
      <c r="AK150" s="594"/>
      <c r="AL150" s="594"/>
      <c r="AM150" s="594"/>
      <c r="AN150" s="594"/>
      <c r="AO150" s="598"/>
      <c r="AP150" s="594"/>
      <c r="AQ150" s="594"/>
      <c r="AR150" s="599"/>
      <c r="AS150" s="594"/>
      <c r="AT150" s="594"/>
      <c r="AU150" s="594"/>
      <c r="AV150" s="594"/>
      <c r="AW150" s="594"/>
      <c r="AX150" s="593"/>
      <c r="AY150" s="598"/>
      <c r="AZ150" s="594"/>
      <c r="BA150" s="594"/>
      <c r="BB150" s="594"/>
      <c r="BC150" s="594"/>
      <c r="BD150" s="523"/>
      <c r="BE150" s="593"/>
      <c r="BF150" s="594"/>
      <c r="BG150" s="594"/>
      <c r="BH150" s="594"/>
      <c r="BI150" s="594"/>
      <c r="BJ150" s="594"/>
      <c r="BK150" s="594"/>
      <c r="BL150" s="594"/>
      <c r="BM150" s="594"/>
      <c r="BN150" s="594"/>
      <c r="BO150" s="593"/>
      <c r="BP150" s="594"/>
      <c r="BQ150" s="599"/>
      <c r="BR150" s="593"/>
      <c r="BS150" s="472"/>
      <c r="BT150" s="472"/>
      <c r="BU150" s="523"/>
      <c r="BV150" s="472"/>
      <c r="BW150" s="523"/>
      <c r="BX150" s="523"/>
      <c r="BY150" s="523"/>
      <c r="BZ150" s="601" t="str">
        <f>IFERROR(WWWW[[#This Row],['#_Water sources passed]]/WWWW[[#This Row],['#_Water sources tested for fecal coliform ]],"no test")</f>
        <v>no test</v>
      </c>
      <c r="CA150" s="599" t="str">
        <f>IFERROR(WWWW[[#This Row],['#_Household passed]]/WWWW[[#This Row],['#_Household water samples tested for fecal coliform]],"no test")</f>
        <v>no test</v>
      </c>
      <c r="CB150" s="600" t="str">
        <f>IF(AND(WWWW[[#This Row],[% of water sources passed]]="no test",WWWW[[#This Row],[% Household passed]]="no test"),"No Test","Tested")</f>
        <v>No Test</v>
      </c>
      <c r="CC150" s="600">
        <f>WWWW[[#This Row],['#_Constructed/existing protected hand dug well]]-WWWW[[#This Row],['#_Non-functional protected hand dug well]]</f>
        <v>0</v>
      </c>
      <c r="CD150" s="600">
        <f>(WWWW[[#This Row],['#_Constructed/Existing tube wells/boreholes/handpumps_WASH_agency]]+WWWW[[#This Row],['#_Non-Cluster partner water tube-wells/boreholes/handpumps]])-WWWW[[#This Row],['#_Non-functional tube wells/boreholes/handpumps]]</f>
        <v>0</v>
      </c>
      <c r="CE150" s="600">
        <f>WWWW[[#This Row],['#_Constructed/Existingwater storage tank with gravity fed reticulation system]]-WWWW[[#This Row],['#_Non-functional storage tank gravity fed reticulation system]]</f>
        <v>0</v>
      </c>
      <c r="CF150" s="478">
        <f>(WWWW[[#This Row],['#_Water_Liters_supplied_by_Water boating or water trucking]]/90)/15</f>
        <v>0</v>
      </c>
      <c r="CG150" s="478">
        <f>WWWW[[#This Row],['#_Water_Liters_from_Constructed/Existing water distribution system from river or natural spring]]/90/15</f>
        <v>0</v>
      </c>
      <c r="CH150" s="478">
        <f>WWWW[[#This Row],['#_of water points in TLS/CFS /THF]]*500</f>
        <v>0</v>
      </c>
      <c r="CI15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0" s="599">
        <f>IF(WWWW[[#This Row],[Location Type 1]]="Village",WWWW[[#This Row],[Access to safe drinking water for Village]],WWWW[[#This Row],[Access to safe drinking water for Camp]])</f>
        <v>0</v>
      </c>
      <c r="CL150" s="597">
        <f>WWWW[[#This Row],[%Equitable and continuous access to sufficient quantity of safe drinking water]]*WWWW[[#This Row],[Total PoP ]]</f>
        <v>0</v>
      </c>
      <c r="CM150" s="599">
        <f>IF((WWWW[[#This Row],['#_Constructed/Existing protected/fenced ponds]]*250)/WWWW[[#This Row],[Total PoP ]]&gt;1,1,(WWWW[[#This Row],['#_Constructed/Existing protected/fenced ponds]]*250)/WWWW[[#This Row],[Total PoP ]])</f>
        <v>0</v>
      </c>
      <c r="CN150" s="597">
        <f>WWWW[[#This Row],[% Access to unimproved water points]]*WWWW[[#This Row],[Total PoP ]]</f>
        <v>0</v>
      </c>
      <c r="CO15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0" s="597">
        <f>WWWW[[#This Row],[HRP1]]/500</f>
        <v>0</v>
      </c>
      <c r="CR150" s="602">
        <f>1-WWWW[[#This Row],[% Equitable and continuous access to sufficient quantity of domestic water]]</f>
        <v>1</v>
      </c>
      <c r="CS150" s="597">
        <f>WWWW[[#This Row],[%equitable and continuous access to sufficient quantity of safe drinking and domestic water''s GAP]]*WWWW[[#This Row],[Total PoP ]]</f>
        <v>18</v>
      </c>
      <c r="CT150" s="600">
        <f>IF(WWWW[[#This Row],[Total required water points]]-WWWW[[#This Row],['#Water points coverage]]&lt;0,0,WWWW[[#This Row],[Total required water points]]-WWWW[[#This Row],['#Water points coverage]])</f>
        <v>1</v>
      </c>
      <c r="CU150" s="600">
        <f>ROUND(IF(WWWW[[#This Row],[Total PoP ]]&lt;500,1,WWWW[[#This Row],[Total PoP ]]/500),0)</f>
        <v>1</v>
      </c>
      <c r="CV150" s="600">
        <f>(WWWW[[#This Row],['#_Constructed latrines_by_WASHAgencies]]+WWWW[[#This Row],['#_Non Cluster partner latrines]])-WWWW[[#This Row],['#_Non-functional latrines]]</f>
        <v>0</v>
      </c>
      <c r="CW150" s="70">
        <f>WWWW[[#This Row],[HRP2]]/WWWW[[#This Row],[Total PoP ]]</f>
        <v>0</v>
      </c>
      <c r="CX15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0" s="600">
        <f>IF(WWWW[[#This Row],['# of functional latrines in THF supported by WASH partners during the reporting period2]]="",0,WWWW[[#This Row],['# of functional latrines in THF supported by WASH partners during the reporting period2]]*50)</f>
        <v>0</v>
      </c>
      <c r="DB150" s="600">
        <f>WWWW[[#This Row],['# students access to functioning school latrines_HRP5]]+WWWW[[#This Row],['# People access to functioning latrines in THF_HRP5]]</f>
        <v>0</v>
      </c>
      <c r="DC150" s="600">
        <f>ROUND(IF(WWWW[[#This Row],[Location Type 1]]="camp",WWWW[[#This Row],[Total PoP ]]/20,IF(WWWW[[#This Row],[Location Type 1]]="Temporary Location",WWWW[[#This Row],[Total PoP ]]/50,WWWW[[#This Row],[Total HH]])),0)</f>
        <v>1</v>
      </c>
      <c r="DD150" s="600">
        <f>IF(WWWW[[#This Row],[Total required Latrines]]-(WWWW[[#This Row],['#_Constructed latrines_by_WASHAgencies]]+WWWW[[#This Row],['#_Non Cluster partner latrines]])&lt;0,0,WWWW[[#This Row],[Total required Latrines]]-(WWWW[[#This Row],['#_Constructed latrines_by_WASHAgencies]]+WWWW[[#This Row],['#_Non Cluster partner latrines]]))</f>
        <v>1</v>
      </c>
      <c r="DE150" s="602">
        <f>1-WWWW[[#This Row],[% people access to functioning Latrine]]</f>
        <v>1</v>
      </c>
      <c r="DF150" s="601">
        <f>IF(OR(WWWW[[#This Row],['#_Non-functional latrines]]="",WWWW[[#This Row],['#_Non-functional latrines]]=0),0,WWWW[[#This Row],['#_Non-functional latrines]]/(WWWW[[#This Row],['#_Constructed latrines_by_WASHAgencies]]+WWWW[[#This Row],['#_Non Cluster partner latrines]]))</f>
        <v>0</v>
      </c>
      <c r="DG150" s="597">
        <f>IF(500*(WWWW[[#This Row],['#_male hygiene promoters]]+WWWW[[#This Row],['#_female hygiene promoters]])&gt;WWWW[[#This Row],[Total PoP ]],WWWW[[#This Row],[Total PoP ]],500*(WWWW[[#This Row],['#_male hygiene promoters]]+WWWW[[#This Row],['#_female hygiene promoters]]))</f>
        <v>0</v>
      </c>
      <c r="DH15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0" s="600">
        <f>IF(WWWW[[#This Row],['# People with access to soap]]&gt;WWWW[[#This Row],['# People with access to Sanity Pads]],WWWW[[#This Row],['# People with access to soap]],WWWW[[#This Row],['# People with access to Sanity Pads]])</f>
        <v>0</v>
      </c>
      <c r="DK15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0" s="602">
        <f>IF(WWWW[[#This Row],[HRP3]]/WWWW[[#This Row],[Total PoP ]]&gt;1,1,WWWW[[#This Row],[HRP3]]/WWWW[[#This Row],[Total PoP ]])</f>
        <v>0</v>
      </c>
      <c r="DM150" s="601">
        <f>1-WWWW[[#This Row],[Hygiene Coverage%]]</f>
        <v>1</v>
      </c>
      <c r="DN150" s="599">
        <f>WWWW[[#This Row],['# people reached by regular dedicated hygiene promotion_5]]/WWWW[[#This Row],[Total PoP ]]</f>
        <v>0</v>
      </c>
      <c r="DO15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0" s="600">
        <f>WWWW[[#This Row],['#_Constructed/Existing hand washing stations]]-WWWW[[#This Row],['#_Non-Functional_hand_washing_stations]]</f>
        <v>0</v>
      </c>
      <c r="DR150" s="597">
        <f>IF(WWWW[[#This Row],['# Functional hand washing stations during reporting period]]*20&gt;WWWW[[#This Row],[Total HH]],WWWW[[#This Row],[Total HH]],WWWW[[#This Row],['# Functional hand washing stations during reporting period]]*20)</f>
        <v>0</v>
      </c>
      <c r="DS150" s="597">
        <f>IF(WWWW[[#This Row],[Is sufficient soap available for TLS? (Yes/No)]]="yes",WWWW[[#This Row],['#_Constructed/Existing hand washing stations at TLS]],0)</f>
        <v>0</v>
      </c>
      <c r="DT150" s="479">
        <f>IF(WWWW[[#This Row],['# Functional hand washing stations during reporting period]]*100&gt;WWWW[[#This Row],[Total PoP ]],WWWW[[#This Row],[Total PoP ]],WWWW[[#This Row],['# Functional hand washing stations during reporting period]]*100)</f>
        <v>0</v>
      </c>
      <c r="DU150" s="479" t="str">
        <f>IF(OR(WWWW[[#This Row],['#_students at TLS_CFS]]="",WWWW[[#This Row],['#_students at TLS_CFS]]=0),"No","Yes")</f>
        <v>No</v>
      </c>
      <c r="DV15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0" s="593" t="str">
        <f>VLOOKUP(WWWW[[#This Row],[Site Name]],SiteDB6[[Site Name]:[CCCM Management]],6,FALSE)</f>
        <v>Yes</v>
      </c>
      <c r="DZ150" s="593" t="str">
        <f>VLOOKUP(WWWW[[#This Row],[Site Name]],SiteDB6[[Site Name]:[CCCM Focal Agency]],7,FALSE)</f>
        <v>KMSS-MYT</v>
      </c>
      <c r="EA150" s="593" t="str">
        <f>VLOOKUP(WWWW[[#This Row],[Site Name]],SiteDB6[[Site Name]:[Location Type 1]],9,FALSE)</f>
        <v>Camp</v>
      </c>
      <c r="EB150" s="593" t="str">
        <f>VLOOKUP(WWWW[[#This Row],[Site Name]],SiteDB6[[Site Name]:[Type of Accommodation]],10,FALSE)</f>
        <v>Camp</v>
      </c>
      <c r="EC150" s="593" t="str">
        <f>VLOOKUP(WWWW[[#This Row],[Site Name]],SiteDB6[[Site Name]:[Ethnic or GCA/NGCA]],11,FALSE)</f>
        <v>GCA</v>
      </c>
      <c r="ED150" s="593">
        <f>VLOOKUP(WWWW[[#This Row],[Site Name]],SiteDB6[[Site Name]:[Lat]],12,FALSE)</f>
        <v>25.920006000000001</v>
      </c>
      <c r="EE150" s="593">
        <f>VLOOKUP(WWWW[[#This Row],[Site Name]],SiteDB6[[Site Name]:[Long]],13,FALSE)</f>
        <v>96.662092000000001</v>
      </c>
      <c r="EF150" s="593" t="str">
        <f>VLOOKUP(WWWW[[#This Row],[Site Name]],SiteDB6[[Site Name]:[Pcode]],3,FALSE)</f>
        <v>MMR001CMP247</v>
      </c>
      <c r="EG150" s="598" t="str">
        <f t="shared" si="2"/>
        <v>Notcovered</v>
      </c>
      <c r="EH150" s="598" t="str">
        <f>VLOOKUP(WWWW[[#This Row],[Site Name]],SiteDB6[[Site Name]:[open in cccm?]],2,FALSE)</f>
        <v>cccm_2019OCT</v>
      </c>
    </row>
    <row r="151" spans="1:138" hidden="1">
      <c r="A151" s="591" t="s">
        <v>3261</v>
      </c>
      <c r="B151" s="591" t="s">
        <v>312</v>
      </c>
      <c r="C151" s="592" t="s">
        <v>312</v>
      </c>
      <c r="D151" s="592"/>
      <c r="E151" s="592" t="s">
        <v>39</v>
      </c>
      <c r="F151" s="592" t="s">
        <v>208</v>
      </c>
      <c r="G151" s="721" t="str">
        <f>VLOOKUP(WWWW[[#This Row],[Site Name]],SiteDB6[[Site Name]:[Location Type]],8,FALSE)</f>
        <v>Camp</v>
      </c>
      <c r="H151" s="592" t="s">
        <v>1023</v>
      </c>
      <c r="I151" s="594">
        <v>47</v>
      </c>
      <c r="J151" s="594">
        <v>153</v>
      </c>
      <c r="K151" s="595"/>
      <c r="L151" s="596"/>
      <c r="M151" s="594"/>
      <c r="N151" s="594"/>
      <c r="O151" s="594"/>
      <c r="P151" s="594"/>
      <c r="Q151" s="597"/>
      <c r="R151" s="594"/>
      <c r="S151" s="594">
        <v>4</v>
      </c>
      <c r="T151" s="523"/>
      <c r="U151" s="594"/>
      <c r="V151" s="594"/>
      <c r="W151" s="594"/>
      <c r="X151" s="594"/>
      <c r="Y151" s="594"/>
      <c r="Z151" s="594"/>
      <c r="AA151" s="594"/>
      <c r="AB151" s="594"/>
      <c r="AC151" s="594"/>
      <c r="AD151" s="594"/>
      <c r="AE151" s="594"/>
      <c r="AF151" s="594"/>
      <c r="AG151" s="594"/>
      <c r="AH151" s="594"/>
      <c r="AI151" s="594"/>
      <c r="AJ151" s="594"/>
      <c r="AK151" s="594"/>
      <c r="AL151" s="594"/>
      <c r="AM151" s="594"/>
      <c r="AN151" s="594"/>
      <c r="AO151" s="598"/>
      <c r="AP151" s="594"/>
      <c r="AQ151" s="594"/>
      <c r="AR151" s="599"/>
      <c r="AS151" s="594"/>
      <c r="AT151" s="594"/>
      <c r="AU151" s="594"/>
      <c r="AV151" s="594"/>
      <c r="AW151" s="594"/>
      <c r="AX151" s="593"/>
      <c r="AY151" s="598"/>
      <c r="AZ151" s="594"/>
      <c r="BA151" s="594"/>
      <c r="BB151" s="594"/>
      <c r="BC151" s="594"/>
      <c r="BD151" s="523"/>
      <c r="BE151" s="593"/>
      <c r="BF151" s="594"/>
      <c r="BG151" s="594"/>
      <c r="BH151" s="594"/>
      <c r="BI151" s="594"/>
      <c r="BJ151" s="594"/>
      <c r="BK151" s="594"/>
      <c r="BL151" s="594"/>
      <c r="BM151" s="594"/>
      <c r="BN151" s="594"/>
      <c r="BO151" s="593"/>
      <c r="BP151" s="594"/>
      <c r="BQ151" s="599"/>
      <c r="BR151" s="593"/>
      <c r="BS151" s="472"/>
      <c r="BT151" s="472"/>
      <c r="BU151" s="523"/>
      <c r="BV151" s="472"/>
      <c r="BW151" s="523"/>
      <c r="BX151" s="523"/>
      <c r="BY151" s="523"/>
      <c r="BZ151" s="601" t="str">
        <f>IFERROR(WWWW[[#This Row],['#_Water sources passed]]/WWWW[[#This Row],['#_Water sources tested for fecal coliform ]],"no test")</f>
        <v>no test</v>
      </c>
      <c r="CA151" s="599" t="str">
        <f>IFERROR(WWWW[[#This Row],['#_Household passed]]/WWWW[[#This Row],['#_Household water samples tested for fecal coliform]],"no test")</f>
        <v>no test</v>
      </c>
      <c r="CB151" s="600" t="str">
        <f>IF(AND(WWWW[[#This Row],[% of water sources passed]]="no test",WWWW[[#This Row],[% Household passed]]="no test"),"No Test","Tested")</f>
        <v>No Test</v>
      </c>
      <c r="CC151" s="600">
        <f>WWWW[[#This Row],['#_Constructed/existing protected hand dug well]]-WWWW[[#This Row],['#_Non-functional protected hand dug well]]</f>
        <v>0</v>
      </c>
      <c r="CD151" s="600">
        <f>(WWWW[[#This Row],['#_Constructed/Existing tube wells/boreholes/handpumps_WASH_agency]]+WWWW[[#This Row],['#_Non-Cluster partner water tube-wells/boreholes/handpumps]])-WWWW[[#This Row],['#_Non-functional tube wells/boreholes/handpumps]]</f>
        <v>0</v>
      </c>
      <c r="CE151" s="600">
        <f>WWWW[[#This Row],['#_Constructed/Existingwater storage tank with gravity fed reticulation system]]-WWWW[[#This Row],['#_Non-functional storage tank gravity fed reticulation system]]</f>
        <v>0</v>
      </c>
      <c r="CF151" s="478">
        <f>(WWWW[[#This Row],['#_Water_Liters_supplied_by_Water boating or water trucking]]/90)/15</f>
        <v>0</v>
      </c>
      <c r="CG151" s="478">
        <f>WWWW[[#This Row],['#_Water_Liters_from_Constructed/Existing water distribution system from river or natural spring]]/90/15</f>
        <v>0</v>
      </c>
      <c r="CH151" s="478">
        <f>WWWW[[#This Row],['#_of water points in TLS/CFS /THF]]*500</f>
        <v>0</v>
      </c>
      <c r="CI15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1" s="599">
        <f>IF(WWWW[[#This Row],[Location Type 1]]="Village",WWWW[[#This Row],[Access to safe drinking water for Village]],WWWW[[#This Row],[Access to safe drinking water for Camp]])</f>
        <v>0</v>
      </c>
      <c r="CL151" s="597">
        <f>WWWW[[#This Row],[%Equitable and continuous access to sufficient quantity of safe drinking water]]*WWWW[[#This Row],[Total PoP ]]</f>
        <v>0</v>
      </c>
      <c r="CM151" s="599">
        <f>IF((WWWW[[#This Row],['#_Constructed/Existing protected/fenced ponds]]*250)/WWWW[[#This Row],[Total PoP ]]&gt;1,1,(WWWW[[#This Row],['#_Constructed/Existing protected/fenced ponds]]*250)/WWWW[[#This Row],[Total PoP ]])</f>
        <v>0</v>
      </c>
      <c r="CN151" s="597">
        <f>WWWW[[#This Row],[% Access to unimproved water points]]*WWWW[[#This Row],[Total PoP ]]</f>
        <v>0</v>
      </c>
      <c r="CO15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1" s="597">
        <f>WWWW[[#This Row],[HRP1]]/500</f>
        <v>0</v>
      </c>
      <c r="CR151" s="602">
        <f>1-WWWW[[#This Row],[% Equitable and continuous access to sufficient quantity of domestic water]]</f>
        <v>1</v>
      </c>
      <c r="CS151" s="597">
        <f>WWWW[[#This Row],[%equitable and continuous access to sufficient quantity of safe drinking and domestic water''s GAP]]*WWWW[[#This Row],[Total PoP ]]</f>
        <v>153</v>
      </c>
      <c r="CT151" s="600">
        <f>IF(WWWW[[#This Row],[Total required water points]]-WWWW[[#This Row],['#Water points coverage]]&lt;0,0,WWWW[[#This Row],[Total required water points]]-WWWW[[#This Row],['#Water points coverage]])</f>
        <v>1</v>
      </c>
      <c r="CU151" s="600">
        <f>ROUND(IF(WWWW[[#This Row],[Total PoP ]]&lt;500,1,WWWW[[#This Row],[Total PoP ]]/500),0)</f>
        <v>1</v>
      </c>
      <c r="CV151" s="600">
        <f>(WWWW[[#This Row],['#_Constructed latrines_by_WASHAgencies]]+WWWW[[#This Row],['#_Non Cluster partner latrines]])-WWWW[[#This Row],['#_Non-functional latrines]]</f>
        <v>0</v>
      </c>
      <c r="CW151" s="70">
        <f>WWWW[[#This Row],[HRP2]]/WWWW[[#This Row],[Total PoP ]]</f>
        <v>0</v>
      </c>
      <c r="CX15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1" s="600">
        <f>IF(WWWW[[#This Row],['# of functional latrines in THF supported by WASH partners during the reporting period2]]="",0,WWWW[[#This Row],['# of functional latrines in THF supported by WASH partners during the reporting period2]]*50)</f>
        <v>0</v>
      </c>
      <c r="DB151" s="600">
        <f>WWWW[[#This Row],['# students access to functioning school latrines_HRP5]]+WWWW[[#This Row],['# People access to functioning latrines in THF_HRP5]]</f>
        <v>0</v>
      </c>
      <c r="DC151" s="600">
        <f>ROUND(IF(WWWW[[#This Row],[Location Type 1]]="camp",WWWW[[#This Row],[Total PoP ]]/20,IF(WWWW[[#This Row],[Location Type 1]]="Temporary Location",WWWW[[#This Row],[Total PoP ]]/50,WWWW[[#This Row],[Total HH]])),0)</f>
        <v>8</v>
      </c>
      <c r="DD151" s="600">
        <f>IF(WWWW[[#This Row],[Total required Latrines]]-(WWWW[[#This Row],['#_Constructed latrines_by_WASHAgencies]]+WWWW[[#This Row],['#_Non Cluster partner latrines]])&lt;0,0,WWWW[[#This Row],[Total required Latrines]]-(WWWW[[#This Row],['#_Constructed latrines_by_WASHAgencies]]+WWWW[[#This Row],['#_Non Cluster partner latrines]]))</f>
        <v>8</v>
      </c>
      <c r="DE151" s="602">
        <f>1-WWWW[[#This Row],[% people access to functioning Latrine]]</f>
        <v>1</v>
      </c>
      <c r="DF151" s="601">
        <f>IF(OR(WWWW[[#This Row],['#_Non-functional latrines]]="",WWWW[[#This Row],['#_Non-functional latrines]]=0),0,WWWW[[#This Row],['#_Non-functional latrines]]/(WWWW[[#This Row],['#_Constructed latrines_by_WASHAgencies]]+WWWW[[#This Row],['#_Non Cluster partner latrines]]))</f>
        <v>0</v>
      </c>
      <c r="DG151" s="597">
        <f>IF(500*(WWWW[[#This Row],['#_male hygiene promoters]]+WWWW[[#This Row],['#_female hygiene promoters]])&gt;WWWW[[#This Row],[Total PoP ]],WWWW[[#This Row],[Total PoP ]],500*(WWWW[[#This Row],['#_male hygiene promoters]]+WWWW[[#This Row],['#_female hygiene promoters]]))</f>
        <v>0</v>
      </c>
      <c r="DH15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1" s="600">
        <f>IF(WWWW[[#This Row],['# People with access to soap]]&gt;WWWW[[#This Row],['# People with access to Sanity Pads]],WWWW[[#This Row],['# People with access to soap]],WWWW[[#This Row],['# People with access to Sanity Pads]])</f>
        <v>0</v>
      </c>
      <c r="DK15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1" s="602">
        <f>IF(WWWW[[#This Row],[HRP3]]/WWWW[[#This Row],[Total PoP ]]&gt;1,1,WWWW[[#This Row],[HRP3]]/WWWW[[#This Row],[Total PoP ]])</f>
        <v>0</v>
      </c>
      <c r="DM151" s="601">
        <f>1-WWWW[[#This Row],[Hygiene Coverage%]]</f>
        <v>1</v>
      </c>
      <c r="DN151" s="599">
        <f>WWWW[[#This Row],['# people reached by regular dedicated hygiene promotion_5]]/WWWW[[#This Row],[Total PoP ]]</f>
        <v>0</v>
      </c>
      <c r="DO15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1" s="600">
        <f>WWWW[[#This Row],['#_Constructed/Existing hand washing stations]]-WWWW[[#This Row],['#_Non-Functional_hand_washing_stations]]</f>
        <v>0</v>
      </c>
      <c r="DR151" s="597">
        <f>IF(WWWW[[#This Row],['# Functional hand washing stations during reporting period]]*20&gt;WWWW[[#This Row],[Total HH]],WWWW[[#This Row],[Total HH]],WWWW[[#This Row],['# Functional hand washing stations during reporting period]]*20)</f>
        <v>0</v>
      </c>
      <c r="DS151" s="597">
        <f>IF(WWWW[[#This Row],[Is sufficient soap available for TLS? (Yes/No)]]="yes",WWWW[[#This Row],['#_Constructed/Existing hand washing stations at TLS]],0)</f>
        <v>0</v>
      </c>
      <c r="DT151" s="479">
        <f>IF(WWWW[[#This Row],['# Functional hand washing stations during reporting period]]*100&gt;WWWW[[#This Row],[Total PoP ]],WWWW[[#This Row],[Total PoP ]],WWWW[[#This Row],['# Functional hand washing stations during reporting period]]*100)</f>
        <v>0</v>
      </c>
      <c r="DU151" s="479" t="str">
        <f>IF(OR(WWWW[[#This Row],['#_students at TLS_CFS]]="",WWWW[[#This Row],['#_students at TLS_CFS]]=0),"No","Yes")</f>
        <v>No</v>
      </c>
      <c r="DV15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1" s="593">
        <f>VLOOKUP(WWWW[[#This Row],[Site Name]],SiteDB6[[Site Name]:[CCCM Management]],6,FALSE)</f>
        <v>0</v>
      </c>
      <c r="DZ151" s="593" t="str">
        <f>VLOOKUP(WWWW[[#This Row],[Site Name]],SiteDB6[[Site Name]:[CCCM Focal Agency]],7,FALSE)</f>
        <v>uncovered</v>
      </c>
      <c r="EA151" s="593" t="str">
        <f>VLOOKUP(WWWW[[#This Row],[Site Name]],SiteDB6[[Site Name]:[Location Type 1]],9,FALSE)</f>
        <v>Camp</v>
      </c>
      <c r="EB151" s="593" t="str">
        <f>VLOOKUP(WWWW[[#This Row],[Site Name]],SiteDB6[[Site Name]:[Type of Accommodation]],10,FALSE)</f>
        <v>Host Families</v>
      </c>
      <c r="EC151" s="593" t="str">
        <f>VLOOKUP(WWWW[[#This Row],[Site Name]],SiteDB6[[Site Name]:[Ethnic or GCA/NGCA]],11,FALSE)</f>
        <v>GCA</v>
      </c>
      <c r="ED151" s="593">
        <f>VLOOKUP(WWWW[[#This Row],[Site Name]],SiteDB6[[Site Name]:[Lat]],12,FALSE)</f>
        <v>24.404876999999999</v>
      </c>
      <c r="EE151" s="593">
        <f>VLOOKUP(WWWW[[#This Row],[Site Name]],SiteDB6[[Site Name]:[Long]],13,FALSE)</f>
        <v>97.407787999999996</v>
      </c>
      <c r="EF151" s="593" t="str">
        <f>VLOOKUP(WWWW[[#This Row],[Site Name]],SiteDB6[[Site Name]:[Pcode]],3,FALSE)</f>
        <v>MMR001CMP061</v>
      </c>
      <c r="EG151" s="598" t="str">
        <f t="shared" si="2"/>
        <v>Notcovered</v>
      </c>
      <c r="EH151" s="598" t="str">
        <f>VLOOKUP(WWWW[[#This Row],[Site Name]],SiteDB6[[Site Name]:[open in cccm?]],2,FALSE)</f>
        <v>cccm_2019OCT</v>
      </c>
    </row>
    <row r="152" spans="1:138" hidden="1">
      <c r="A152" s="591" t="s">
        <v>3261</v>
      </c>
      <c r="B152" s="591" t="s">
        <v>312</v>
      </c>
      <c r="C152" s="592" t="s">
        <v>312</v>
      </c>
      <c r="D152" s="592"/>
      <c r="E152" s="592" t="s">
        <v>39</v>
      </c>
      <c r="F152" s="592" t="s">
        <v>145</v>
      </c>
      <c r="G152" s="721" t="str">
        <f>VLOOKUP(WWWW[[#This Row],[Site Name]],SiteDB6[[Site Name]:[Location Type]],8,FALSE)</f>
        <v>Camp</v>
      </c>
      <c r="H152" s="592" t="s">
        <v>1059</v>
      </c>
      <c r="I152" s="594">
        <v>80</v>
      </c>
      <c r="J152" s="594">
        <v>449</v>
      </c>
      <c r="K152" s="595"/>
      <c r="L152" s="596"/>
      <c r="M152" s="594"/>
      <c r="N152" s="594"/>
      <c r="O152" s="594"/>
      <c r="P152" s="594"/>
      <c r="Q152" s="597"/>
      <c r="R152" s="594"/>
      <c r="S152" s="594">
        <v>4</v>
      </c>
      <c r="T152" s="523"/>
      <c r="U152" s="594"/>
      <c r="V152" s="594"/>
      <c r="W152" s="594"/>
      <c r="X152" s="594"/>
      <c r="Y152" s="594"/>
      <c r="Z152" s="594"/>
      <c r="AA152" s="594"/>
      <c r="AB152" s="594"/>
      <c r="AC152" s="594"/>
      <c r="AD152" s="594"/>
      <c r="AE152" s="594"/>
      <c r="AF152" s="594"/>
      <c r="AG152" s="594"/>
      <c r="AH152" s="594"/>
      <c r="AI152" s="594"/>
      <c r="AJ152" s="594"/>
      <c r="AK152" s="594"/>
      <c r="AL152" s="594"/>
      <c r="AM152" s="594"/>
      <c r="AN152" s="594"/>
      <c r="AO152" s="598"/>
      <c r="AP152" s="594"/>
      <c r="AQ152" s="594"/>
      <c r="AR152" s="599"/>
      <c r="AS152" s="594"/>
      <c r="AT152" s="594"/>
      <c r="AU152" s="594"/>
      <c r="AV152" s="594"/>
      <c r="AW152" s="594"/>
      <c r="AX152" s="593"/>
      <c r="AY152" s="598"/>
      <c r="AZ152" s="594"/>
      <c r="BA152" s="594"/>
      <c r="BB152" s="594"/>
      <c r="BC152" s="594"/>
      <c r="BD152" s="523"/>
      <c r="BE152" s="593"/>
      <c r="BF152" s="594"/>
      <c r="BG152" s="594"/>
      <c r="BH152" s="594"/>
      <c r="BI152" s="594"/>
      <c r="BJ152" s="594"/>
      <c r="BK152" s="594"/>
      <c r="BL152" s="594"/>
      <c r="BM152" s="594"/>
      <c r="BN152" s="594"/>
      <c r="BO152" s="593"/>
      <c r="BP152" s="594"/>
      <c r="BQ152" s="599"/>
      <c r="BR152" s="593"/>
      <c r="BS152" s="472"/>
      <c r="BT152" s="472"/>
      <c r="BU152" s="523"/>
      <c r="BV152" s="472"/>
      <c r="BW152" s="523"/>
      <c r="BX152" s="523"/>
      <c r="BY152" s="523"/>
      <c r="BZ152" s="601" t="str">
        <f>IFERROR(WWWW[[#This Row],['#_Water sources passed]]/WWWW[[#This Row],['#_Water sources tested for fecal coliform ]],"no test")</f>
        <v>no test</v>
      </c>
      <c r="CA152" s="599" t="str">
        <f>IFERROR(WWWW[[#This Row],['#_Household passed]]/WWWW[[#This Row],['#_Household water samples tested for fecal coliform]],"no test")</f>
        <v>no test</v>
      </c>
      <c r="CB152" s="600" t="str">
        <f>IF(AND(WWWW[[#This Row],[% of water sources passed]]="no test",WWWW[[#This Row],[% Household passed]]="no test"),"No Test","Tested")</f>
        <v>No Test</v>
      </c>
      <c r="CC152" s="600">
        <f>WWWW[[#This Row],['#_Constructed/existing protected hand dug well]]-WWWW[[#This Row],['#_Non-functional protected hand dug well]]</f>
        <v>0</v>
      </c>
      <c r="CD152" s="600">
        <f>(WWWW[[#This Row],['#_Constructed/Existing tube wells/boreholes/handpumps_WASH_agency]]+WWWW[[#This Row],['#_Non-Cluster partner water tube-wells/boreholes/handpumps]])-WWWW[[#This Row],['#_Non-functional tube wells/boreholes/handpumps]]</f>
        <v>0</v>
      </c>
      <c r="CE152" s="600">
        <f>WWWW[[#This Row],['#_Constructed/Existingwater storage tank with gravity fed reticulation system]]-WWWW[[#This Row],['#_Non-functional storage tank gravity fed reticulation system]]</f>
        <v>0</v>
      </c>
      <c r="CF152" s="478">
        <f>(WWWW[[#This Row],['#_Water_Liters_supplied_by_Water boating or water trucking]]/90)/15</f>
        <v>0</v>
      </c>
      <c r="CG152" s="478">
        <f>WWWW[[#This Row],['#_Water_Liters_from_Constructed/Existing water distribution system from river or natural spring]]/90/15</f>
        <v>0</v>
      </c>
      <c r="CH152" s="478">
        <f>WWWW[[#This Row],['#_of water points in TLS/CFS /THF]]*500</f>
        <v>0</v>
      </c>
      <c r="CI15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2" s="599">
        <f>IF(WWWW[[#This Row],[Location Type 1]]="Village",WWWW[[#This Row],[Access to safe drinking water for Village]],WWWW[[#This Row],[Access to safe drinking water for Camp]])</f>
        <v>0</v>
      </c>
      <c r="CL152" s="597">
        <f>WWWW[[#This Row],[%Equitable and continuous access to sufficient quantity of safe drinking water]]*WWWW[[#This Row],[Total PoP ]]</f>
        <v>0</v>
      </c>
      <c r="CM152" s="599">
        <f>IF((WWWW[[#This Row],['#_Constructed/Existing protected/fenced ponds]]*250)/WWWW[[#This Row],[Total PoP ]]&gt;1,1,(WWWW[[#This Row],['#_Constructed/Existing protected/fenced ponds]]*250)/WWWW[[#This Row],[Total PoP ]])</f>
        <v>0</v>
      </c>
      <c r="CN152" s="597">
        <f>WWWW[[#This Row],[% Access to unimproved water points]]*WWWW[[#This Row],[Total PoP ]]</f>
        <v>0</v>
      </c>
      <c r="CO15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2" s="597">
        <f>WWWW[[#This Row],[HRP1]]/500</f>
        <v>0</v>
      </c>
      <c r="CR152" s="602">
        <f>1-WWWW[[#This Row],[% Equitable and continuous access to sufficient quantity of domestic water]]</f>
        <v>1</v>
      </c>
      <c r="CS152" s="597">
        <f>WWWW[[#This Row],[%equitable and continuous access to sufficient quantity of safe drinking and domestic water''s GAP]]*WWWW[[#This Row],[Total PoP ]]</f>
        <v>449</v>
      </c>
      <c r="CT152" s="600">
        <f>IF(WWWW[[#This Row],[Total required water points]]-WWWW[[#This Row],['#Water points coverage]]&lt;0,0,WWWW[[#This Row],[Total required water points]]-WWWW[[#This Row],['#Water points coverage]])</f>
        <v>1</v>
      </c>
      <c r="CU152" s="600">
        <f>ROUND(IF(WWWW[[#This Row],[Total PoP ]]&lt;500,1,WWWW[[#This Row],[Total PoP ]]/500),0)</f>
        <v>1</v>
      </c>
      <c r="CV152" s="600">
        <f>(WWWW[[#This Row],['#_Constructed latrines_by_WASHAgencies]]+WWWW[[#This Row],['#_Non Cluster partner latrines]])-WWWW[[#This Row],['#_Non-functional latrines]]</f>
        <v>0</v>
      </c>
      <c r="CW152" s="70">
        <f>WWWW[[#This Row],[HRP2]]/WWWW[[#This Row],[Total PoP ]]</f>
        <v>0</v>
      </c>
      <c r="CX15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2" s="600">
        <f>IF(WWWW[[#This Row],['# of functional latrines in THF supported by WASH partners during the reporting period2]]="",0,WWWW[[#This Row],['# of functional latrines in THF supported by WASH partners during the reporting period2]]*50)</f>
        <v>0</v>
      </c>
      <c r="DB152" s="600">
        <f>WWWW[[#This Row],['# students access to functioning school latrines_HRP5]]+WWWW[[#This Row],['# People access to functioning latrines in THF_HRP5]]</f>
        <v>0</v>
      </c>
      <c r="DC152" s="600">
        <f>ROUND(IF(WWWW[[#This Row],[Location Type 1]]="camp",WWWW[[#This Row],[Total PoP ]]/20,IF(WWWW[[#This Row],[Location Type 1]]="Temporary Location",WWWW[[#This Row],[Total PoP ]]/50,WWWW[[#This Row],[Total HH]])),0)</f>
        <v>22</v>
      </c>
      <c r="DD152" s="600">
        <f>IF(WWWW[[#This Row],[Total required Latrines]]-(WWWW[[#This Row],['#_Constructed latrines_by_WASHAgencies]]+WWWW[[#This Row],['#_Non Cluster partner latrines]])&lt;0,0,WWWW[[#This Row],[Total required Latrines]]-(WWWW[[#This Row],['#_Constructed latrines_by_WASHAgencies]]+WWWW[[#This Row],['#_Non Cluster partner latrines]]))</f>
        <v>22</v>
      </c>
      <c r="DE152" s="602">
        <f>1-WWWW[[#This Row],[% people access to functioning Latrine]]</f>
        <v>1</v>
      </c>
      <c r="DF152" s="601">
        <f>IF(OR(WWWW[[#This Row],['#_Non-functional latrines]]="",WWWW[[#This Row],['#_Non-functional latrines]]=0),0,WWWW[[#This Row],['#_Non-functional latrines]]/(WWWW[[#This Row],['#_Constructed latrines_by_WASHAgencies]]+WWWW[[#This Row],['#_Non Cluster partner latrines]]))</f>
        <v>0</v>
      </c>
      <c r="DG152" s="597">
        <f>IF(500*(WWWW[[#This Row],['#_male hygiene promoters]]+WWWW[[#This Row],['#_female hygiene promoters]])&gt;WWWW[[#This Row],[Total PoP ]],WWWW[[#This Row],[Total PoP ]],500*(WWWW[[#This Row],['#_male hygiene promoters]]+WWWW[[#This Row],['#_female hygiene promoters]]))</f>
        <v>0</v>
      </c>
      <c r="DH15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2" s="600">
        <f>IF(WWWW[[#This Row],['# People with access to soap]]&gt;WWWW[[#This Row],['# People with access to Sanity Pads]],WWWW[[#This Row],['# People with access to soap]],WWWW[[#This Row],['# People with access to Sanity Pads]])</f>
        <v>0</v>
      </c>
      <c r="DK15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2" s="602">
        <f>IF(WWWW[[#This Row],[HRP3]]/WWWW[[#This Row],[Total PoP ]]&gt;1,1,WWWW[[#This Row],[HRP3]]/WWWW[[#This Row],[Total PoP ]])</f>
        <v>0</v>
      </c>
      <c r="DM152" s="601">
        <f>1-WWWW[[#This Row],[Hygiene Coverage%]]</f>
        <v>1</v>
      </c>
      <c r="DN152" s="599">
        <f>WWWW[[#This Row],['# people reached by regular dedicated hygiene promotion_5]]/WWWW[[#This Row],[Total PoP ]]</f>
        <v>0</v>
      </c>
      <c r="DO15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2" s="600">
        <f>WWWW[[#This Row],['#_Constructed/Existing hand washing stations]]-WWWW[[#This Row],['#_Non-Functional_hand_washing_stations]]</f>
        <v>0</v>
      </c>
      <c r="DR152" s="597">
        <f>IF(WWWW[[#This Row],['# Functional hand washing stations during reporting period]]*20&gt;WWWW[[#This Row],[Total HH]],WWWW[[#This Row],[Total HH]],WWWW[[#This Row],['# Functional hand washing stations during reporting period]]*20)</f>
        <v>0</v>
      </c>
      <c r="DS152" s="597">
        <f>IF(WWWW[[#This Row],[Is sufficient soap available for TLS? (Yes/No)]]="yes",WWWW[[#This Row],['#_Constructed/Existing hand washing stations at TLS]],0)</f>
        <v>0</v>
      </c>
      <c r="DT152" s="479">
        <f>IF(WWWW[[#This Row],['# Functional hand washing stations during reporting period]]*100&gt;WWWW[[#This Row],[Total PoP ]],WWWW[[#This Row],[Total PoP ]],WWWW[[#This Row],['# Functional hand washing stations during reporting period]]*100)</f>
        <v>0</v>
      </c>
      <c r="DU152" s="479" t="str">
        <f>IF(OR(WWWW[[#This Row],['#_students at TLS_CFS]]="",WWWW[[#This Row],['#_students at TLS_CFS]]=0),"No","Yes")</f>
        <v>No</v>
      </c>
      <c r="DV15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2" s="593">
        <f>VLOOKUP(WWWW[[#This Row],[Site Name]],SiteDB6[[Site Name]:[CCCM Management]],6,FALSE)</f>
        <v>0</v>
      </c>
      <c r="DZ152" s="593" t="str">
        <f>VLOOKUP(WWWW[[#This Row],[Site Name]],SiteDB6[[Site Name]:[CCCM Focal Agency]],7,FALSE)</f>
        <v>uncovered</v>
      </c>
      <c r="EA152" s="593" t="str">
        <f>VLOOKUP(WWWW[[#This Row],[Site Name]],SiteDB6[[Site Name]:[Location Type 1]],9,FALSE)</f>
        <v>Camp</v>
      </c>
      <c r="EB152" s="593" t="str">
        <f>VLOOKUP(WWWW[[#This Row],[Site Name]],SiteDB6[[Site Name]:[Type of Accommodation]],10,FALSE)</f>
        <v>Camp like setting</v>
      </c>
      <c r="EC152" s="593" t="str">
        <f>VLOOKUP(WWWW[[#This Row],[Site Name]],SiteDB6[[Site Name]:[Ethnic or GCA/NGCA]],11,FALSE)</f>
        <v>GCA</v>
      </c>
      <c r="ED152" s="593">
        <f>VLOOKUP(WWWW[[#This Row],[Site Name]],SiteDB6[[Site Name]:[Lat]],12,FALSE)</f>
        <v>25.391428000000001</v>
      </c>
      <c r="EE152" s="593">
        <f>VLOOKUP(WWWW[[#This Row],[Site Name]],SiteDB6[[Site Name]:[Long]],13,FALSE)</f>
        <v>97.898184999999998</v>
      </c>
      <c r="EF152" s="593" t="str">
        <f>VLOOKUP(WWWW[[#This Row],[Site Name]],SiteDB6[[Site Name]:[Pcode]],3,FALSE)</f>
        <v>MMR001CMP258</v>
      </c>
      <c r="EG152" s="598" t="str">
        <f t="shared" si="2"/>
        <v>Notcovered</v>
      </c>
      <c r="EH152" s="598" t="str">
        <f>VLOOKUP(WWWW[[#This Row],[Site Name]],SiteDB6[[Site Name]:[open in cccm?]],2,FALSE)</f>
        <v>cccm_2019OCT</v>
      </c>
    </row>
    <row r="153" spans="1:138" hidden="1">
      <c r="A153" s="591" t="s">
        <v>3261</v>
      </c>
      <c r="B153" s="591" t="s">
        <v>312</v>
      </c>
      <c r="C153" s="592" t="s">
        <v>312</v>
      </c>
      <c r="D153" s="592"/>
      <c r="E153" s="592" t="s">
        <v>39</v>
      </c>
      <c r="F153" s="592" t="s">
        <v>162</v>
      </c>
      <c r="G153" s="721" t="str">
        <f>VLOOKUP(WWWW[[#This Row],[Site Name]],SiteDB6[[Site Name]:[Location Type]],8,FALSE)</f>
        <v>Camp</v>
      </c>
      <c r="H153" s="592" t="s">
        <v>3130</v>
      </c>
      <c r="I153" s="594">
        <v>30</v>
      </c>
      <c r="J153" s="594">
        <v>159</v>
      </c>
      <c r="K153" s="595"/>
      <c r="L153" s="596"/>
      <c r="M153" s="594"/>
      <c r="N153" s="594"/>
      <c r="O153" s="594"/>
      <c r="P153" s="594"/>
      <c r="Q153" s="597"/>
      <c r="R153" s="594"/>
      <c r="S153" s="594">
        <v>2</v>
      </c>
      <c r="T153" s="523"/>
      <c r="U153" s="594"/>
      <c r="V153" s="594"/>
      <c r="W153" s="594"/>
      <c r="X153" s="594"/>
      <c r="Y153" s="594"/>
      <c r="Z153" s="594"/>
      <c r="AA153" s="594"/>
      <c r="AB153" s="594"/>
      <c r="AC153" s="594"/>
      <c r="AD153" s="594"/>
      <c r="AE153" s="594"/>
      <c r="AF153" s="594"/>
      <c r="AG153" s="594"/>
      <c r="AH153" s="594"/>
      <c r="AI153" s="594"/>
      <c r="AJ153" s="594"/>
      <c r="AK153" s="594"/>
      <c r="AL153" s="594"/>
      <c r="AM153" s="594"/>
      <c r="AN153" s="594"/>
      <c r="AO153" s="598"/>
      <c r="AP153" s="594"/>
      <c r="AQ153" s="594"/>
      <c r="AR153" s="599"/>
      <c r="AS153" s="594"/>
      <c r="AT153" s="594"/>
      <c r="AU153" s="594"/>
      <c r="AV153" s="594"/>
      <c r="AW153" s="594"/>
      <c r="AX153" s="593"/>
      <c r="AY153" s="598"/>
      <c r="AZ153" s="594"/>
      <c r="BA153" s="594"/>
      <c r="BB153" s="594"/>
      <c r="BC153" s="594"/>
      <c r="BD153" s="523"/>
      <c r="BE153" s="593"/>
      <c r="BF153" s="594"/>
      <c r="BG153" s="594"/>
      <c r="BH153" s="594"/>
      <c r="BI153" s="594"/>
      <c r="BJ153" s="594"/>
      <c r="BK153" s="594"/>
      <c r="BL153" s="594"/>
      <c r="BM153" s="594"/>
      <c r="BN153" s="594"/>
      <c r="BO153" s="593"/>
      <c r="BP153" s="594"/>
      <c r="BQ153" s="599"/>
      <c r="BR153" s="593"/>
      <c r="BS153" s="472"/>
      <c r="BT153" s="472"/>
      <c r="BU153" s="523"/>
      <c r="BV153" s="472"/>
      <c r="BW153" s="523"/>
      <c r="BX153" s="523"/>
      <c r="BY153" s="523"/>
      <c r="BZ153" s="601" t="str">
        <f>IFERROR(WWWW[[#This Row],['#_Water sources passed]]/WWWW[[#This Row],['#_Water sources tested for fecal coliform ]],"no test")</f>
        <v>no test</v>
      </c>
      <c r="CA153" s="599" t="str">
        <f>IFERROR(WWWW[[#This Row],['#_Household passed]]/WWWW[[#This Row],['#_Household water samples tested for fecal coliform]],"no test")</f>
        <v>no test</v>
      </c>
      <c r="CB153" s="600" t="str">
        <f>IF(AND(WWWW[[#This Row],[% of water sources passed]]="no test",WWWW[[#This Row],[% Household passed]]="no test"),"No Test","Tested")</f>
        <v>No Test</v>
      </c>
      <c r="CC153" s="600">
        <f>WWWW[[#This Row],['#_Constructed/existing protected hand dug well]]-WWWW[[#This Row],['#_Non-functional protected hand dug well]]</f>
        <v>0</v>
      </c>
      <c r="CD153" s="600">
        <f>(WWWW[[#This Row],['#_Constructed/Existing tube wells/boreholes/handpumps_WASH_agency]]+WWWW[[#This Row],['#_Non-Cluster partner water tube-wells/boreholes/handpumps]])-WWWW[[#This Row],['#_Non-functional tube wells/boreholes/handpumps]]</f>
        <v>0</v>
      </c>
      <c r="CE153" s="600">
        <f>WWWW[[#This Row],['#_Constructed/Existingwater storage tank with gravity fed reticulation system]]-WWWW[[#This Row],['#_Non-functional storage tank gravity fed reticulation system]]</f>
        <v>0</v>
      </c>
      <c r="CF153" s="478">
        <f>(WWWW[[#This Row],['#_Water_Liters_supplied_by_Water boating or water trucking]]/90)/15</f>
        <v>0</v>
      </c>
      <c r="CG153" s="478">
        <f>WWWW[[#This Row],['#_Water_Liters_from_Constructed/Existing water distribution system from river or natural spring]]/90/15</f>
        <v>0</v>
      </c>
      <c r="CH153" s="478">
        <f>WWWW[[#This Row],['#_of water points in TLS/CFS /THF]]*500</f>
        <v>0</v>
      </c>
      <c r="CI15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3" s="599">
        <f>IF(WWWW[[#This Row],[Location Type 1]]="Village",WWWW[[#This Row],[Access to safe drinking water for Village]],WWWW[[#This Row],[Access to safe drinking water for Camp]])</f>
        <v>0</v>
      </c>
      <c r="CL153" s="597">
        <f>WWWW[[#This Row],[%Equitable and continuous access to sufficient quantity of safe drinking water]]*WWWW[[#This Row],[Total PoP ]]</f>
        <v>0</v>
      </c>
      <c r="CM153" s="599">
        <f>IF((WWWW[[#This Row],['#_Constructed/Existing protected/fenced ponds]]*250)/WWWW[[#This Row],[Total PoP ]]&gt;1,1,(WWWW[[#This Row],['#_Constructed/Existing protected/fenced ponds]]*250)/WWWW[[#This Row],[Total PoP ]])</f>
        <v>0</v>
      </c>
      <c r="CN153" s="597">
        <f>WWWW[[#This Row],[% Access to unimproved water points]]*WWWW[[#This Row],[Total PoP ]]</f>
        <v>0</v>
      </c>
      <c r="CO15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3" s="597">
        <f>WWWW[[#This Row],[HRP1]]/500</f>
        <v>0</v>
      </c>
      <c r="CR153" s="602">
        <f>1-WWWW[[#This Row],[% Equitable and continuous access to sufficient quantity of domestic water]]</f>
        <v>1</v>
      </c>
      <c r="CS153" s="597">
        <f>WWWW[[#This Row],[%equitable and continuous access to sufficient quantity of safe drinking and domestic water''s GAP]]*WWWW[[#This Row],[Total PoP ]]</f>
        <v>159</v>
      </c>
      <c r="CT153" s="600">
        <f>IF(WWWW[[#This Row],[Total required water points]]-WWWW[[#This Row],['#Water points coverage]]&lt;0,0,WWWW[[#This Row],[Total required water points]]-WWWW[[#This Row],['#Water points coverage]])</f>
        <v>1</v>
      </c>
      <c r="CU153" s="600">
        <f>ROUND(IF(WWWW[[#This Row],[Total PoP ]]&lt;500,1,WWWW[[#This Row],[Total PoP ]]/500),0)</f>
        <v>1</v>
      </c>
      <c r="CV153" s="600">
        <f>(WWWW[[#This Row],['#_Constructed latrines_by_WASHAgencies]]+WWWW[[#This Row],['#_Non Cluster partner latrines]])-WWWW[[#This Row],['#_Non-functional latrines]]</f>
        <v>0</v>
      </c>
      <c r="CW153" s="70">
        <f>WWWW[[#This Row],[HRP2]]/WWWW[[#This Row],[Total PoP ]]</f>
        <v>0</v>
      </c>
      <c r="CX15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3" s="600">
        <f>IF(WWWW[[#This Row],['# of functional latrines in THF supported by WASH partners during the reporting period2]]="",0,WWWW[[#This Row],['# of functional latrines in THF supported by WASH partners during the reporting period2]]*50)</f>
        <v>0</v>
      </c>
      <c r="DB153" s="600">
        <f>WWWW[[#This Row],['# students access to functioning school latrines_HRP5]]+WWWW[[#This Row],['# People access to functioning latrines in THF_HRP5]]</f>
        <v>0</v>
      </c>
      <c r="DC153" s="600">
        <f>ROUND(IF(WWWW[[#This Row],[Location Type 1]]="camp",WWWW[[#This Row],[Total PoP ]]/20,IF(WWWW[[#This Row],[Location Type 1]]="Temporary Location",WWWW[[#This Row],[Total PoP ]]/50,WWWW[[#This Row],[Total HH]])),0)</f>
        <v>8</v>
      </c>
      <c r="DD153" s="600">
        <f>IF(WWWW[[#This Row],[Total required Latrines]]-(WWWW[[#This Row],['#_Constructed latrines_by_WASHAgencies]]+WWWW[[#This Row],['#_Non Cluster partner latrines]])&lt;0,0,WWWW[[#This Row],[Total required Latrines]]-(WWWW[[#This Row],['#_Constructed latrines_by_WASHAgencies]]+WWWW[[#This Row],['#_Non Cluster partner latrines]]))</f>
        <v>8</v>
      </c>
      <c r="DE153" s="602">
        <f>1-WWWW[[#This Row],[% people access to functioning Latrine]]</f>
        <v>1</v>
      </c>
      <c r="DF153" s="601">
        <f>IF(OR(WWWW[[#This Row],['#_Non-functional latrines]]="",WWWW[[#This Row],['#_Non-functional latrines]]=0),0,WWWW[[#This Row],['#_Non-functional latrines]]/(WWWW[[#This Row],['#_Constructed latrines_by_WASHAgencies]]+WWWW[[#This Row],['#_Non Cluster partner latrines]]))</f>
        <v>0</v>
      </c>
      <c r="DG153" s="597">
        <f>IF(500*(WWWW[[#This Row],['#_male hygiene promoters]]+WWWW[[#This Row],['#_female hygiene promoters]])&gt;WWWW[[#This Row],[Total PoP ]],WWWW[[#This Row],[Total PoP ]],500*(WWWW[[#This Row],['#_male hygiene promoters]]+WWWW[[#This Row],['#_female hygiene promoters]]))</f>
        <v>0</v>
      </c>
      <c r="DH15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3" s="600">
        <f>IF(WWWW[[#This Row],['# People with access to soap]]&gt;WWWW[[#This Row],['# People with access to Sanity Pads]],WWWW[[#This Row],['# People with access to soap]],WWWW[[#This Row],['# People with access to Sanity Pads]])</f>
        <v>0</v>
      </c>
      <c r="DK153"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3" s="602">
        <f>IF(WWWW[[#This Row],[HRP3]]/WWWW[[#This Row],[Total PoP ]]&gt;1,1,WWWW[[#This Row],[HRP3]]/WWWW[[#This Row],[Total PoP ]])</f>
        <v>0</v>
      </c>
      <c r="DM153" s="601">
        <f>1-WWWW[[#This Row],[Hygiene Coverage%]]</f>
        <v>1</v>
      </c>
      <c r="DN153" s="599">
        <f>WWWW[[#This Row],['# people reached by regular dedicated hygiene promotion_5]]/WWWW[[#This Row],[Total PoP ]]</f>
        <v>0</v>
      </c>
      <c r="DO15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3" s="600">
        <f>WWWW[[#This Row],['#_Constructed/Existing hand washing stations]]-WWWW[[#This Row],['#_Non-Functional_hand_washing_stations]]</f>
        <v>0</v>
      </c>
      <c r="DR153" s="597">
        <f>IF(WWWW[[#This Row],['# Functional hand washing stations during reporting period]]*20&gt;WWWW[[#This Row],[Total HH]],WWWW[[#This Row],[Total HH]],WWWW[[#This Row],['# Functional hand washing stations during reporting period]]*20)</f>
        <v>0</v>
      </c>
      <c r="DS153" s="597">
        <f>IF(WWWW[[#This Row],[Is sufficient soap available for TLS? (Yes/No)]]="yes",WWWW[[#This Row],['#_Constructed/Existing hand washing stations at TLS]],0)</f>
        <v>0</v>
      </c>
      <c r="DT153" s="479">
        <f>IF(WWWW[[#This Row],['# Functional hand washing stations during reporting period]]*100&gt;WWWW[[#This Row],[Total PoP ]],WWWW[[#This Row],[Total PoP ]],WWWW[[#This Row],['# Functional hand washing stations during reporting period]]*100)</f>
        <v>0</v>
      </c>
      <c r="DU153" s="479" t="str">
        <f>IF(OR(WWWW[[#This Row],['#_students at TLS_CFS]]="",WWWW[[#This Row],['#_students at TLS_CFS]]=0),"No","Yes")</f>
        <v>No</v>
      </c>
      <c r="DV15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3" s="593">
        <f>VLOOKUP(WWWW[[#This Row],[Site Name]],SiteDB6[[Site Name]:[CCCM Management]],6,FALSE)</f>
        <v>0</v>
      </c>
      <c r="DZ153" s="593" t="str">
        <f>VLOOKUP(WWWW[[#This Row],[Site Name]],SiteDB6[[Site Name]:[CCCM Focal Agency]],7,FALSE)</f>
        <v>uncovered</v>
      </c>
      <c r="EA153" s="593" t="str">
        <f>VLOOKUP(WWWW[[#This Row],[Site Name]],SiteDB6[[Site Name]:[Location Type 1]],9,FALSE)</f>
        <v>Camp</v>
      </c>
      <c r="EB153" s="593" t="str">
        <f>VLOOKUP(WWWW[[#This Row],[Site Name]],SiteDB6[[Site Name]:[Type of Accommodation]],10,FALSE)</f>
        <v>Camp like setting</v>
      </c>
      <c r="EC153" s="593" t="str">
        <f>VLOOKUP(WWWW[[#This Row],[Site Name]],SiteDB6[[Site Name]:[Ethnic or GCA/NGCA]],11,FALSE)</f>
        <v>GCA</v>
      </c>
      <c r="ED153" s="593">
        <f>VLOOKUP(WWWW[[#This Row],[Site Name]],SiteDB6[[Site Name]:[Lat]],12,FALSE)</f>
        <v>25.387892000000001</v>
      </c>
      <c r="EE153" s="593">
        <f>VLOOKUP(WWWW[[#This Row],[Site Name]],SiteDB6[[Site Name]:[Long]],13,FALSE)</f>
        <v>97.325181999999998</v>
      </c>
      <c r="EF153" s="593" t="str">
        <f>VLOOKUP(WWWW[[#This Row],[Site Name]],SiteDB6[[Site Name]:[Pcode]],3,FALSE)</f>
        <v>MMR001CMP276</v>
      </c>
      <c r="EG153" s="598" t="str">
        <f t="shared" si="2"/>
        <v>Notcovered</v>
      </c>
      <c r="EH153" s="598" t="str">
        <f>VLOOKUP(WWWW[[#This Row],[Site Name]],SiteDB6[[Site Name]:[open in cccm?]],2,FALSE)</f>
        <v>cccm_2019OCT</v>
      </c>
    </row>
    <row r="154" spans="1:138" hidden="1">
      <c r="A154" s="591" t="s">
        <v>3261</v>
      </c>
      <c r="B154" s="591" t="s">
        <v>312</v>
      </c>
      <c r="C154" s="592" t="s">
        <v>312</v>
      </c>
      <c r="D154" s="592"/>
      <c r="E154" s="592" t="s">
        <v>39</v>
      </c>
      <c r="F154" s="592" t="s">
        <v>151</v>
      </c>
      <c r="G154" s="721" t="str">
        <f>VLOOKUP(WWWW[[#This Row],[Site Name]],SiteDB6[[Site Name]:[Location Type]],8,FALSE)</f>
        <v>Camp</v>
      </c>
      <c r="H154" s="592" t="s">
        <v>192</v>
      </c>
      <c r="I154" s="594">
        <v>4</v>
      </c>
      <c r="J154" s="594">
        <v>11</v>
      </c>
      <c r="K154" s="595"/>
      <c r="L154" s="596"/>
      <c r="M154" s="594"/>
      <c r="N154" s="594"/>
      <c r="O154" s="594"/>
      <c r="P154" s="594"/>
      <c r="Q154" s="597"/>
      <c r="R154" s="594"/>
      <c r="S154" s="594">
        <v>3</v>
      </c>
      <c r="T154" s="523"/>
      <c r="U154" s="594"/>
      <c r="V154" s="594"/>
      <c r="W154" s="594"/>
      <c r="X154" s="594"/>
      <c r="Y154" s="594"/>
      <c r="Z154" s="594"/>
      <c r="AA154" s="594"/>
      <c r="AB154" s="594"/>
      <c r="AC154" s="594"/>
      <c r="AD154" s="594"/>
      <c r="AE154" s="594"/>
      <c r="AF154" s="594"/>
      <c r="AG154" s="594"/>
      <c r="AH154" s="594"/>
      <c r="AI154" s="594"/>
      <c r="AJ154" s="594"/>
      <c r="AK154" s="594"/>
      <c r="AL154" s="594"/>
      <c r="AM154" s="594"/>
      <c r="AN154" s="594"/>
      <c r="AO154" s="598"/>
      <c r="AP154" s="594"/>
      <c r="AQ154" s="594"/>
      <c r="AR154" s="599"/>
      <c r="AS154" s="594"/>
      <c r="AT154" s="594"/>
      <c r="AU154" s="594"/>
      <c r="AV154" s="594"/>
      <c r="AW154" s="594"/>
      <c r="AX154" s="593"/>
      <c r="AY154" s="598"/>
      <c r="AZ154" s="594"/>
      <c r="BA154" s="594"/>
      <c r="BB154" s="594"/>
      <c r="BC154" s="594"/>
      <c r="BD154" s="523"/>
      <c r="BE154" s="593"/>
      <c r="BF154" s="594"/>
      <c r="BG154" s="594"/>
      <c r="BH154" s="594"/>
      <c r="BI154" s="594"/>
      <c r="BJ154" s="594"/>
      <c r="BK154" s="594"/>
      <c r="BL154" s="594"/>
      <c r="BM154" s="594"/>
      <c r="BN154" s="594"/>
      <c r="BO154" s="593"/>
      <c r="BP154" s="594"/>
      <c r="BQ154" s="599"/>
      <c r="BR154" s="593"/>
      <c r="BS154" s="472"/>
      <c r="BT154" s="472"/>
      <c r="BU154" s="523"/>
      <c r="BV154" s="472"/>
      <c r="BW154" s="523"/>
      <c r="BX154" s="523"/>
      <c r="BY154" s="523"/>
      <c r="BZ154" s="601" t="str">
        <f>IFERROR(WWWW[[#This Row],['#_Water sources passed]]/WWWW[[#This Row],['#_Water sources tested for fecal coliform ]],"no test")</f>
        <v>no test</v>
      </c>
      <c r="CA154" s="599" t="str">
        <f>IFERROR(WWWW[[#This Row],['#_Household passed]]/WWWW[[#This Row],['#_Household water samples tested for fecal coliform]],"no test")</f>
        <v>no test</v>
      </c>
      <c r="CB154" s="600" t="str">
        <f>IF(AND(WWWW[[#This Row],[% of water sources passed]]="no test",WWWW[[#This Row],[% Household passed]]="no test"),"No Test","Tested")</f>
        <v>No Test</v>
      </c>
      <c r="CC154" s="600">
        <f>WWWW[[#This Row],['#_Constructed/existing protected hand dug well]]-WWWW[[#This Row],['#_Non-functional protected hand dug well]]</f>
        <v>0</v>
      </c>
      <c r="CD154" s="600">
        <f>(WWWW[[#This Row],['#_Constructed/Existing tube wells/boreholes/handpumps_WASH_agency]]+WWWW[[#This Row],['#_Non-Cluster partner water tube-wells/boreholes/handpumps]])-WWWW[[#This Row],['#_Non-functional tube wells/boreholes/handpumps]]</f>
        <v>0</v>
      </c>
      <c r="CE154" s="600">
        <f>WWWW[[#This Row],['#_Constructed/Existingwater storage tank with gravity fed reticulation system]]-WWWW[[#This Row],['#_Non-functional storage tank gravity fed reticulation system]]</f>
        <v>0</v>
      </c>
      <c r="CF154" s="478">
        <f>(WWWW[[#This Row],['#_Water_Liters_supplied_by_Water boating or water trucking]]/90)/15</f>
        <v>0</v>
      </c>
      <c r="CG154" s="478">
        <f>WWWW[[#This Row],['#_Water_Liters_from_Constructed/Existing water distribution system from river or natural spring]]/90/15</f>
        <v>0</v>
      </c>
      <c r="CH154" s="478">
        <f>WWWW[[#This Row],['#_of water points in TLS/CFS /THF]]*500</f>
        <v>0</v>
      </c>
      <c r="CI15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4" s="599">
        <f>IF(WWWW[[#This Row],[Location Type 1]]="Village",WWWW[[#This Row],[Access to safe drinking water for Village]],WWWW[[#This Row],[Access to safe drinking water for Camp]])</f>
        <v>0</v>
      </c>
      <c r="CL154" s="597">
        <f>WWWW[[#This Row],[%Equitable and continuous access to sufficient quantity of safe drinking water]]*WWWW[[#This Row],[Total PoP ]]</f>
        <v>0</v>
      </c>
      <c r="CM154" s="599">
        <f>IF((WWWW[[#This Row],['#_Constructed/Existing protected/fenced ponds]]*250)/WWWW[[#This Row],[Total PoP ]]&gt;1,1,(WWWW[[#This Row],['#_Constructed/Existing protected/fenced ponds]]*250)/WWWW[[#This Row],[Total PoP ]])</f>
        <v>0</v>
      </c>
      <c r="CN154" s="597">
        <f>WWWW[[#This Row],[% Access to unimproved water points]]*WWWW[[#This Row],[Total PoP ]]</f>
        <v>0</v>
      </c>
      <c r="CO15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4" s="597">
        <f>WWWW[[#This Row],[HRP1]]/500</f>
        <v>0</v>
      </c>
      <c r="CR154" s="602">
        <f>1-WWWW[[#This Row],[% Equitable and continuous access to sufficient quantity of domestic water]]</f>
        <v>1</v>
      </c>
      <c r="CS154" s="597">
        <f>WWWW[[#This Row],[%equitable and continuous access to sufficient quantity of safe drinking and domestic water''s GAP]]*WWWW[[#This Row],[Total PoP ]]</f>
        <v>11</v>
      </c>
      <c r="CT154" s="600">
        <f>IF(WWWW[[#This Row],[Total required water points]]-WWWW[[#This Row],['#Water points coverage]]&lt;0,0,WWWW[[#This Row],[Total required water points]]-WWWW[[#This Row],['#Water points coverage]])</f>
        <v>1</v>
      </c>
      <c r="CU154" s="600">
        <f>ROUND(IF(WWWW[[#This Row],[Total PoP ]]&lt;500,1,WWWW[[#This Row],[Total PoP ]]/500),0)</f>
        <v>1</v>
      </c>
      <c r="CV154" s="600">
        <f>(WWWW[[#This Row],['#_Constructed latrines_by_WASHAgencies]]+WWWW[[#This Row],['#_Non Cluster partner latrines]])-WWWW[[#This Row],['#_Non-functional latrines]]</f>
        <v>0</v>
      </c>
      <c r="CW154" s="70">
        <f>WWWW[[#This Row],[HRP2]]/WWWW[[#This Row],[Total PoP ]]</f>
        <v>0</v>
      </c>
      <c r="CX15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4" s="600">
        <f>IF(WWWW[[#This Row],['# of functional latrines in THF supported by WASH partners during the reporting period2]]="",0,WWWW[[#This Row],['# of functional latrines in THF supported by WASH partners during the reporting period2]]*50)</f>
        <v>0</v>
      </c>
      <c r="DB154" s="600">
        <f>WWWW[[#This Row],['# students access to functioning school latrines_HRP5]]+WWWW[[#This Row],['# People access to functioning latrines in THF_HRP5]]</f>
        <v>0</v>
      </c>
      <c r="DC154" s="600">
        <f>ROUND(IF(WWWW[[#This Row],[Location Type 1]]="camp",WWWW[[#This Row],[Total PoP ]]/20,IF(WWWW[[#This Row],[Location Type 1]]="Temporary Location",WWWW[[#This Row],[Total PoP ]]/50,WWWW[[#This Row],[Total HH]])),0)</f>
        <v>1</v>
      </c>
      <c r="DD154" s="600">
        <f>IF(WWWW[[#This Row],[Total required Latrines]]-(WWWW[[#This Row],['#_Constructed latrines_by_WASHAgencies]]+WWWW[[#This Row],['#_Non Cluster partner latrines]])&lt;0,0,WWWW[[#This Row],[Total required Latrines]]-(WWWW[[#This Row],['#_Constructed latrines_by_WASHAgencies]]+WWWW[[#This Row],['#_Non Cluster partner latrines]]))</f>
        <v>1</v>
      </c>
      <c r="DE154" s="602">
        <f>1-WWWW[[#This Row],[% people access to functioning Latrine]]</f>
        <v>1</v>
      </c>
      <c r="DF154" s="601">
        <f>IF(OR(WWWW[[#This Row],['#_Non-functional latrines]]="",WWWW[[#This Row],['#_Non-functional latrines]]=0),0,WWWW[[#This Row],['#_Non-functional latrines]]/(WWWW[[#This Row],['#_Constructed latrines_by_WASHAgencies]]+WWWW[[#This Row],['#_Non Cluster partner latrines]]))</f>
        <v>0</v>
      </c>
      <c r="DG154" s="597">
        <f>IF(500*(WWWW[[#This Row],['#_male hygiene promoters]]+WWWW[[#This Row],['#_female hygiene promoters]])&gt;WWWW[[#This Row],[Total PoP ]],WWWW[[#This Row],[Total PoP ]],500*(WWWW[[#This Row],['#_male hygiene promoters]]+WWWW[[#This Row],['#_female hygiene promoters]]))</f>
        <v>0</v>
      </c>
      <c r="DH15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4" s="600">
        <f>IF(WWWW[[#This Row],['# People with access to soap]]&gt;WWWW[[#This Row],['# People with access to Sanity Pads]],WWWW[[#This Row],['# People with access to soap]],WWWW[[#This Row],['# People with access to Sanity Pads]])</f>
        <v>0</v>
      </c>
      <c r="DK15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4" s="602">
        <f>IF(WWWW[[#This Row],[HRP3]]/WWWW[[#This Row],[Total PoP ]]&gt;1,1,WWWW[[#This Row],[HRP3]]/WWWW[[#This Row],[Total PoP ]])</f>
        <v>0</v>
      </c>
      <c r="DM154" s="601">
        <f>1-WWWW[[#This Row],[Hygiene Coverage%]]</f>
        <v>1</v>
      </c>
      <c r="DN154" s="599">
        <f>WWWW[[#This Row],['# people reached by regular dedicated hygiene promotion_5]]/WWWW[[#This Row],[Total PoP ]]</f>
        <v>0</v>
      </c>
      <c r="DO15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4" s="600">
        <f>WWWW[[#This Row],['#_Constructed/Existing hand washing stations]]-WWWW[[#This Row],['#_Non-Functional_hand_washing_stations]]</f>
        <v>0</v>
      </c>
      <c r="DR154" s="597">
        <f>IF(WWWW[[#This Row],['# Functional hand washing stations during reporting period]]*20&gt;WWWW[[#This Row],[Total HH]],WWWW[[#This Row],[Total HH]],WWWW[[#This Row],['# Functional hand washing stations during reporting period]]*20)</f>
        <v>0</v>
      </c>
      <c r="DS154" s="597">
        <f>IF(WWWW[[#This Row],[Is sufficient soap available for TLS? (Yes/No)]]="yes",WWWW[[#This Row],['#_Constructed/Existing hand washing stations at TLS]],0)</f>
        <v>0</v>
      </c>
      <c r="DT154" s="479">
        <f>IF(WWWW[[#This Row],['# Functional hand washing stations during reporting period]]*100&gt;WWWW[[#This Row],[Total PoP ]],WWWW[[#This Row],[Total PoP ]],WWWW[[#This Row],['# Functional hand washing stations during reporting period]]*100)</f>
        <v>0</v>
      </c>
      <c r="DU154" s="479" t="str">
        <f>IF(OR(WWWW[[#This Row],['#_students at TLS_CFS]]="",WWWW[[#This Row],['#_students at TLS_CFS]]=0),"No","Yes")</f>
        <v>No</v>
      </c>
      <c r="DV15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4" s="593" t="str">
        <f>VLOOKUP(WWWW[[#This Row],[Site Name]],SiteDB6[[Site Name]:[CCCM Management]],6,FALSE)</f>
        <v>Yes</v>
      </c>
      <c r="DZ154" s="593" t="str">
        <f>VLOOKUP(WWWW[[#This Row],[Site Name]],SiteDB6[[Site Name]:[CCCM Focal Agency]],7,FALSE)</f>
        <v>uncovered</v>
      </c>
      <c r="EA154" s="593" t="str">
        <f>VLOOKUP(WWWW[[#This Row],[Site Name]],SiteDB6[[Site Name]:[Location Type 1]],9,FALSE)</f>
        <v>Camp</v>
      </c>
      <c r="EB154" s="593" t="str">
        <f>VLOOKUP(WWWW[[#This Row],[Site Name]],SiteDB6[[Site Name]:[Type of Accommodation]],10,FALSE)</f>
        <v>Camp like setting</v>
      </c>
      <c r="EC154" s="593" t="str">
        <f>VLOOKUP(WWWW[[#This Row],[Site Name]],SiteDB6[[Site Name]:[Ethnic or GCA/NGCA]],11,FALSE)</f>
        <v>GCA</v>
      </c>
      <c r="ED154" s="593">
        <f>VLOOKUP(WWWW[[#This Row],[Site Name]],SiteDB6[[Site Name]:[Lat]],12,FALSE)</f>
        <v>25.920006000000001</v>
      </c>
      <c r="EE154" s="593">
        <f>VLOOKUP(WWWW[[#This Row],[Site Name]],SiteDB6[[Site Name]:[Long]],13,FALSE)</f>
        <v>96.662092000000001</v>
      </c>
      <c r="EF154" s="593" t="str">
        <f>VLOOKUP(WWWW[[#This Row],[Site Name]],SiteDB6[[Site Name]:[Pcode]],3,FALSE)</f>
        <v>MMR001CMP246</v>
      </c>
      <c r="EG154" s="598" t="str">
        <f t="shared" si="2"/>
        <v>Notcovered</v>
      </c>
      <c r="EH154" s="598" t="str">
        <f>VLOOKUP(WWWW[[#This Row],[Site Name]],SiteDB6[[Site Name]:[open in cccm?]],2,FALSE)</f>
        <v>cccm_2019OCT</v>
      </c>
    </row>
    <row r="155" spans="1:138" hidden="1">
      <c r="A155" s="591" t="s">
        <v>3261</v>
      </c>
      <c r="B155" s="591" t="s">
        <v>312</v>
      </c>
      <c r="C155" s="592" t="s">
        <v>312</v>
      </c>
      <c r="D155" s="592"/>
      <c r="E155" s="592" t="s">
        <v>39</v>
      </c>
      <c r="F155" s="592" t="s">
        <v>1148</v>
      </c>
      <c r="G155" s="721" t="str">
        <f>VLOOKUP(WWWW[[#This Row],[Site Name]],SiteDB6[[Site Name]:[Location Type]],8,FALSE)</f>
        <v>Camp</v>
      </c>
      <c r="H155" s="592" t="s">
        <v>2296</v>
      </c>
      <c r="I155" s="594">
        <v>31</v>
      </c>
      <c r="J155" s="594">
        <v>129</v>
      </c>
      <c r="K155" s="595"/>
      <c r="L155" s="596"/>
      <c r="M155" s="594"/>
      <c r="N155" s="594"/>
      <c r="O155" s="594"/>
      <c r="P155" s="594"/>
      <c r="Q155" s="597"/>
      <c r="R155" s="594"/>
      <c r="S155" s="594">
        <v>4</v>
      </c>
      <c r="T155" s="523"/>
      <c r="U155" s="594"/>
      <c r="V155" s="594"/>
      <c r="W155" s="594"/>
      <c r="X155" s="594"/>
      <c r="Y155" s="594"/>
      <c r="Z155" s="594"/>
      <c r="AA155" s="594"/>
      <c r="AB155" s="594"/>
      <c r="AC155" s="594"/>
      <c r="AD155" s="594"/>
      <c r="AE155" s="594"/>
      <c r="AF155" s="594"/>
      <c r="AG155" s="594"/>
      <c r="AH155" s="594"/>
      <c r="AI155" s="594"/>
      <c r="AJ155" s="594"/>
      <c r="AK155" s="594"/>
      <c r="AL155" s="594"/>
      <c r="AM155" s="594"/>
      <c r="AN155" s="594"/>
      <c r="AO155" s="598"/>
      <c r="AP155" s="594"/>
      <c r="AQ155" s="594"/>
      <c r="AR155" s="599"/>
      <c r="AS155" s="594"/>
      <c r="AT155" s="594"/>
      <c r="AU155" s="594"/>
      <c r="AV155" s="594"/>
      <c r="AW155" s="594"/>
      <c r="AX155" s="593"/>
      <c r="AY155" s="598"/>
      <c r="AZ155" s="594"/>
      <c r="BA155" s="594"/>
      <c r="BB155" s="594"/>
      <c r="BC155" s="594"/>
      <c r="BD155" s="523"/>
      <c r="BE155" s="593"/>
      <c r="BF155" s="594"/>
      <c r="BG155" s="594"/>
      <c r="BH155" s="594"/>
      <c r="BI155" s="594"/>
      <c r="BJ155" s="594"/>
      <c r="BK155" s="594"/>
      <c r="BL155" s="594"/>
      <c r="BM155" s="594"/>
      <c r="BN155" s="594"/>
      <c r="BO155" s="593"/>
      <c r="BP155" s="594"/>
      <c r="BQ155" s="599"/>
      <c r="BR155" s="593"/>
      <c r="BS155" s="472"/>
      <c r="BT155" s="472"/>
      <c r="BU155" s="523"/>
      <c r="BV155" s="472"/>
      <c r="BW155" s="523"/>
      <c r="BX155" s="523"/>
      <c r="BY155" s="523"/>
      <c r="BZ155" s="601" t="str">
        <f>IFERROR(WWWW[[#This Row],['#_Water sources passed]]/WWWW[[#This Row],['#_Water sources tested for fecal coliform ]],"no test")</f>
        <v>no test</v>
      </c>
      <c r="CA155" s="599" t="str">
        <f>IFERROR(WWWW[[#This Row],['#_Household passed]]/WWWW[[#This Row],['#_Household water samples tested for fecal coliform]],"no test")</f>
        <v>no test</v>
      </c>
      <c r="CB155" s="600" t="str">
        <f>IF(AND(WWWW[[#This Row],[% of water sources passed]]="no test",WWWW[[#This Row],[% Household passed]]="no test"),"No Test","Tested")</f>
        <v>No Test</v>
      </c>
      <c r="CC155" s="600">
        <f>WWWW[[#This Row],['#_Constructed/existing protected hand dug well]]-WWWW[[#This Row],['#_Non-functional protected hand dug well]]</f>
        <v>0</v>
      </c>
      <c r="CD155" s="600">
        <f>(WWWW[[#This Row],['#_Constructed/Existing tube wells/boreholes/handpumps_WASH_agency]]+WWWW[[#This Row],['#_Non-Cluster partner water tube-wells/boreholes/handpumps]])-WWWW[[#This Row],['#_Non-functional tube wells/boreholes/handpumps]]</f>
        <v>0</v>
      </c>
      <c r="CE155" s="600">
        <f>WWWW[[#This Row],['#_Constructed/Existingwater storage tank with gravity fed reticulation system]]-WWWW[[#This Row],['#_Non-functional storage tank gravity fed reticulation system]]</f>
        <v>0</v>
      </c>
      <c r="CF155" s="478">
        <f>(WWWW[[#This Row],['#_Water_Liters_supplied_by_Water boating or water trucking]]/90)/15</f>
        <v>0</v>
      </c>
      <c r="CG155" s="478">
        <f>WWWW[[#This Row],['#_Water_Liters_from_Constructed/Existing water distribution system from river or natural spring]]/90/15</f>
        <v>0</v>
      </c>
      <c r="CH155" s="478">
        <f>WWWW[[#This Row],['#_of water points in TLS/CFS /THF]]*500</f>
        <v>0</v>
      </c>
      <c r="CI15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5" s="599">
        <f>IF(WWWW[[#This Row],[Location Type 1]]="Village",WWWW[[#This Row],[Access to safe drinking water for Village]],WWWW[[#This Row],[Access to safe drinking water for Camp]])</f>
        <v>0</v>
      </c>
      <c r="CL155" s="597">
        <f>WWWW[[#This Row],[%Equitable and continuous access to sufficient quantity of safe drinking water]]*WWWW[[#This Row],[Total PoP ]]</f>
        <v>0</v>
      </c>
      <c r="CM155" s="599">
        <f>IF((WWWW[[#This Row],['#_Constructed/Existing protected/fenced ponds]]*250)/WWWW[[#This Row],[Total PoP ]]&gt;1,1,(WWWW[[#This Row],['#_Constructed/Existing protected/fenced ponds]]*250)/WWWW[[#This Row],[Total PoP ]])</f>
        <v>0</v>
      </c>
      <c r="CN155" s="597">
        <f>WWWW[[#This Row],[% Access to unimproved water points]]*WWWW[[#This Row],[Total PoP ]]</f>
        <v>0</v>
      </c>
      <c r="CO15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5" s="597">
        <f>WWWW[[#This Row],[HRP1]]/500</f>
        <v>0</v>
      </c>
      <c r="CR155" s="602">
        <f>1-WWWW[[#This Row],[% Equitable and continuous access to sufficient quantity of domestic water]]</f>
        <v>1</v>
      </c>
      <c r="CS155" s="597">
        <f>WWWW[[#This Row],[%equitable and continuous access to sufficient quantity of safe drinking and domestic water''s GAP]]*WWWW[[#This Row],[Total PoP ]]</f>
        <v>129</v>
      </c>
      <c r="CT155" s="600">
        <f>IF(WWWW[[#This Row],[Total required water points]]-WWWW[[#This Row],['#Water points coverage]]&lt;0,0,WWWW[[#This Row],[Total required water points]]-WWWW[[#This Row],['#Water points coverage]])</f>
        <v>1</v>
      </c>
      <c r="CU155" s="600">
        <f>ROUND(IF(WWWW[[#This Row],[Total PoP ]]&lt;500,1,WWWW[[#This Row],[Total PoP ]]/500),0)</f>
        <v>1</v>
      </c>
      <c r="CV155" s="600">
        <f>(WWWW[[#This Row],['#_Constructed latrines_by_WASHAgencies]]+WWWW[[#This Row],['#_Non Cluster partner latrines]])-WWWW[[#This Row],['#_Non-functional latrines]]</f>
        <v>0</v>
      </c>
      <c r="CW155" s="70">
        <f>WWWW[[#This Row],[HRP2]]/WWWW[[#This Row],[Total PoP ]]</f>
        <v>0</v>
      </c>
      <c r="CX15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5" s="600">
        <f>IF(WWWW[[#This Row],['# of functional latrines in THF supported by WASH partners during the reporting period2]]="",0,WWWW[[#This Row],['# of functional latrines in THF supported by WASH partners during the reporting period2]]*50)</f>
        <v>0</v>
      </c>
      <c r="DB155" s="600">
        <f>WWWW[[#This Row],['# students access to functioning school latrines_HRP5]]+WWWW[[#This Row],['# People access to functioning latrines in THF_HRP5]]</f>
        <v>0</v>
      </c>
      <c r="DC155" s="600">
        <f>ROUND(IF(WWWW[[#This Row],[Location Type 1]]="camp",WWWW[[#This Row],[Total PoP ]]/20,IF(WWWW[[#This Row],[Location Type 1]]="Temporary Location",WWWW[[#This Row],[Total PoP ]]/50,WWWW[[#This Row],[Total HH]])),0)</f>
        <v>6</v>
      </c>
      <c r="DD155" s="600">
        <f>IF(WWWW[[#This Row],[Total required Latrines]]-(WWWW[[#This Row],['#_Constructed latrines_by_WASHAgencies]]+WWWW[[#This Row],['#_Non Cluster partner latrines]])&lt;0,0,WWWW[[#This Row],[Total required Latrines]]-(WWWW[[#This Row],['#_Constructed latrines_by_WASHAgencies]]+WWWW[[#This Row],['#_Non Cluster partner latrines]]))</f>
        <v>6</v>
      </c>
      <c r="DE155" s="602">
        <f>1-WWWW[[#This Row],[% people access to functioning Latrine]]</f>
        <v>1</v>
      </c>
      <c r="DF155" s="601">
        <f>IF(OR(WWWW[[#This Row],['#_Non-functional latrines]]="",WWWW[[#This Row],['#_Non-functional latrines]]=0),0,WWWW[[#This Row],['#_Non-functional latrines]]/(WWWW[[#This Row],['#_Constructed latrines_by_WASHAgencies]]+WWWW[[#This Row],['#_Non Cluster partner latrines]]))</f>
        <v>0</v>
      </c>
      <c r="DG155" s="597">
        <f>IF(500*(WWWW[[#This Row],['#_male hygiene promoters]]+WWWW[[#This Row],['#_female hygiene promoters]])&gt;WWWW[[#This Row],[Total PoP ]],WWWW[[#This Row],[Total PoP ]],500*(WWWW[[#This Row],['#_male hygiene promoters]]+WWWW[[#This Row],['#_female hygiene promoters]]))</f>
        <v>0</v>
      </c>
      <c r="DH15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5" s="600">
        <f>IF(WWWW[[#This Row],['# People with access to soap]]&gt;WWWW[[#This Row],['# People with access to Sanity Pads]],WWWW[[#This Row],['# People with access to soap]],WWWW[[#This Row],['# People with access to Sanity Pads]])</f>
        <v>0</v>
      </c>
      <c r="DK15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5" s="602">
        <f>IF(WWWW[[#This Row],[HRP3]]/WWWW[[#This Row],[Total PoP ]]&gt;1,1,WWWW[[#This Row],[HRP3]]/WWWW[[#This Row],[Total PoP ]])</f>
        <v>0</v>
      </c>
      <c r="DM155" s="601">
        <f>1-WWWW[[#This Row],[Hygiene Coverage%]]</f>
        <v>1</v>
      </c>
      <c r="DN155" s="599">
        <f>WWWW[[#This Row],['# people reached by regular dedicated hygiene promotion_5]]/WWWW[[#This Row],[Total PoP ]]</f>
        <v>0</v>
      </c>
      <c r="DO15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5" s="600">
        <f>WWWW[[#This Row],['#_Constructed/Existing hand washing stations]]-WWWW[[#This Row],['#_Non-Functional_hand_washing_stations]]</f>
        <v>0</v>
      </c>
      <c r="DR155" s="597">
        <f>IF(WWWW[[#This Row],['# Functional hand washing stations during reporting period]]*20&gt;WWWW[[#This Row],[Total HH]],WWWW[[#This Row],[Total HH]],WWWW[[#This Row],['# Functional hand washing stations during reporting period]]*20)</f>
        <v>0</v>
      </c>
      <c r="DS155" s="597">
        <f>IF(WWWW[[#This Row],[Is sufficient soap available for TLS? (Yes/No)]]="yes",WWWW[[#This Row],['#_Constructed/Existing hand washing stations at TLS]],0)</f>
        <v>0</v>
      </c>
      <c r="DT155" s="479">
        <f>IF(WWWW[[#This Row],['# Functional hand washing stations during reporting period]]*100&gt;WWWW[[#This Row],[Total PoP ]],WWWW[[#This Row],[Total PoP ]],WWWW[[#This Row],['# Functional hand washing stations during reporting period]]*100)</f>
        <v>0</v>
      </c>
      <c r="DU155" s="479" t="str">
        <f>IF(OR(WWWW[[#This Row],['#_students at TLS_CFS]]="",WWWW[[#This Row],['#_students at TLS_CFS]]=0),"No","Yes")</f>
        <v>No</v>
      </c>
      <c r="DV15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5" s="593" t="str">
        <f>VLOOKUP(WWWW[[#This Row],[Site Name]],SiteDB6[[Site Name]:[CCCM Management]],6,FALSE)</f>
        <v>Yes</v>
      </c>
      <c r="DZ155" s="593" t="str">
        <f>VLOOKUP(WWWW[[#This Row],[Site Name]],SiteDB6[[Site Name]:[CCCM Focal Agency]],7,FALSE)</f>
        <v>KMSS-MYT</v>
      </c>
      <c r="EA155" s="593" t="str">
        <f>VLOOKUP(WWWW[[#This Row],[Site Name]],SiteDB6[[Site Name]:[Location Type 1]],9,FALSE)</f>
        <v>Camp</v>
      </c>
      <c r="EB155" s="593" t="str">
        <f>VLOOKUP(WWWW[[#This Row],[Site Name]],SiteDB6[[Site Name]:[Type of Accommodation]],10,FALSE)</f>
        <v>Camp</v>
      </c>
      <c r="EC155" s="593" t="str">
        <f>VLOOKUP(WWWW[[#This Row],[Site Name]],SiteDB6[[Site Name]:[Ethnic or GCA/NGCA]],11,FALSE)</f>
        <v>GCA</v>
      </c>
      <c r="ED155" s="593">
        <f>VLOOKUP(WWWW[[#This Row],[Site Name]],SiteDB6[[Site Name]:[Lat]],12,FALSE)</f>
        <v>26.350176000000001</v>
      </c>
      <c r="EE155" s="593">
        <f>VLOOKUP(WWWW[[#This Row],[Site Name]],SiteDB6[[Site Name]:[Long]],13,FALSE)</f>
        <v>96.711387999999999</v>
      </c>
      <c r="EF155" s="593" t="str">
        <f>VLOOKUP(WWWW[[#This Row],[Site Name]],SiteDB6[[Site Name]:[Pcode]],3,FALSE)</f>
        <v>MMR001CMP251</v>
      </c>
      <c r="EG155" s="598" t="str">
        <f t="shared" si="2"/>
        <v>Notcovered</v>
      </c>
      <c r="EH155" s="598" t="str">
        <f>VLOOKUP(WWWW[[#This Row],[Site Name]],SiteDB6[[Site Name]:[open in cccm?]],2,FALSE)</f>
        <v>cccm_2019OCT</v>
      </c>
    </row>
    <row r="156" spans="1:138" hidden="1">
      <c r="A156" s="591" t="s">
        <v>3261</v>
      </c>
      <c r="B156" s="591" t="s">
        <v>312</v>
      </c>
      <c r="C156" s="592" t="s">
        <v>312</v>
      </c>
      <c r="D156" s="592"/>
      <c r="E156" s="592" t="s">
        <v>39</v>
      </c>
      <c r="F156" s="592" t="s">
        <v>187</v>
      </c>
      <c r="G156" s="721" t="str">
        <f>VLOOKUP(WWWW[[#This Row],[Site Name]],SiteDB6[[Site Name]:[Location Type]],8,FALSE)</f>
        <v>Camp</v>
      </c>
      <c r="H156" s="592" t="s">
        <v>187</v>
      </c>
      <c r="I156" s="594">
        <v>5</v>
      </c>
      <c r="J156" s="594">
        <v>32</v>
      </c>
      <c r="K156" s="595"/>
      <c r="L156" s="596"/>
      <c r="M156" s="594"/>
      <c r="N156" s="594"/>
      <c r="O156" s="594"/>
      <c r="P156" s="594"/>
      <c r="Q156" s="597"/>
      <c r="R156" s="594"/>
      <c r="S156" s="594">
        <v>4</v>
      </c>
      <c r="T156" s="523"/>
      <c r="U156" s="594"/>
      <c r="V156" s="594"/>
      <c r="W156" s="594"/>
      <c r="X156" s="594"/>
      <c r="Y156" s="594"/>
      <c r="Z156" s="594"/>
      <c r="AA156" s="594"/>
      <c r="AB156" s="594"/>
      <c r="AC156" s="594"/>
      <c r="AD156" s="594"/>
      <c r="AE156" s="594"/>
      <c r="AF156" s="594"/>
      <c r="AG156" s="594"/>
      <c r="AH156" s="594"/>
      <c r="AI156" s="594"/>
      <c r="AJ156" s="594"/>
      <c r="AK156" s="594"/>
      <c r="AL156" s="594"/>
      <c r="AM156" s="594"/>
      <c r="AN156" s="594"/>
      <c r="AO156" s="598"/>
      <c r="AP156" s="594"/>
      <c r="AQ156" s="594"/>
      <c r="AR156" s="599"/>
      <c r="AS156" s="594"/>
      <c r="AT156" s="594"/>
      <c r="AU156" s="594"/>
      <c r="AV156" s="594"/>
      <c r="AW156" s="594"/>
      <c r="AX156" s="593"/>
      <c r="AY156" s="598"/>
      <c r="AZ156" s="594"/>
      <c r="BA156" s="594"/>
      <c r="BB156" s="594"/>
      <c r="BC156" s="594"/>
      <c r="BD156" s="523"/>
      <c r="BE156" s="593"/>
      <c r="BF156" s="594"/>
      <c r="BG156" s="594"/>
      <c r="BH156" s="594"/>
      <c r="BI156" s="594"/>
      <c r="BJ156" s="594"/>
      <c r="BK156" s="594"/>
      <c r="BL156" s="594"/>
      <c r="BM156" s="594"/>
      <c r="BN156" s="594"/>
      <c r="BO156" s="593"/>
      <c r="BP156" s="594"/>
      <c r="BQ156" s="599"/>
      <c r="BR156" s="593"/>
      <c r="BS156" s="472"/>
      <c r="BT156" s="472"/>
      <c r="BU156" s="523"/>
      <c r="BV156" s="472"/>
      <c r="BW156" s="523"/>
      <c r="BX156" s="523"/>
      <c r="BY156" s="523"/>
      <c r="BZ156" s="601" t="str">
        <f>IFERROR(WWWW[[#This Row],['#_Water sources passed]]/WWWW[[#This Row],['#_Water sources tested for fecal coliform ]],"no test")</f>
        <v>no test</v>
      </c>
      <c r="CA156" s="599" t="str">
        <f>IFERROR(WWWW[[#This Row],['#_Household passed]]/WWWW[[#This Row],['#_Household water samples tested for fecal coliform]],"no test")</f>
        <v>no test</v>
      </c>
      <c r="CB156" s="600" t="str">
        <f>IF(AND(WWWW[[#This Row],[% of water sources passed]]="no test",WWWW[[#This Row],[% Household passed]]="no test"),"No Test","Tested")</f>
        <v>No Test</v>
      </c>
      <c r="CC156" s="600">
        <f>WWWW[[#This Row],['#_Constructed/existing protected hand dug well]]-WWWW[[#This Row],['#_Non-functional protected hand dug well]]</f>
        <v>0</v>
      </c>
      <c r="CD156" s="600">
        <f>(WWWW[[#This Row],['#_Constructed/Existing tube wells/boreholes/handpumps_WASH_agency]]+WWWW[[#This Row],['#_Non-Cluster partner water tube-wells/boreholes/handpumps]])-WWWW[[#This Row],['#_Non-functional tube wells/boreholes/handpumps]]</f>
        <v>0</v>
      </c>
      <c r="CE156" s="600">
        <f>WWWW[[#This Row],['#_Constructed/Existingwater storage tank with gravity fed reticulation system]]-WWWW[[#This Row],['#_Non-functional storage tank gravity fed reticulation system]]</f>
        <v>0</v>
      </c>
      <c r="CF156" s="478">
        <f>(WWWW[[#This Row],['#_Water_Liters_supplied_by_Water boating or water trucking]]/90)/15</f>
        <v>0</v>
      </c>
      <c r="CG156" s="478">
        <f>WWWW[[#This Row],['#_Water_Liters_from_Constructed/Existing water distribution system from river or natural spring]]/90/15</f>
        <v>0</v>
      </c>
      <c r="CH156" s="478">
        <f>WWWW[[#This Row],['#_of water points in TLS/CFS /THF]]*500</f>
        <v>0</v>
      </c>
      <c r="CI15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6" s="599">
        <f>IF(WWWW[[#This Row],[Location Type 1]]="Village",WWWW[[#This Row],[Access to safe drinking water for Village]],WWWW[[#This Row],[Access to safe drinking water for Camp]])</f>
        <v>0</v>
      </c>
      <c r="CL156" s="597">
        <f>WWWW[[#This Row],[%Equitable and continuous access to sufficient quantity of safe drinking water]]*WWWW[[#This Row],[Total PoP ]]</f>
        <v>0</v>
      </c>
      <c r="CM156" s="599">
        <f>IF((WWWW[[#This Row],['#_Constructed/Existing protected/fenced ponds]]*250)/WWWW[[#This Row],[Total PoP ]]&gt;1,1,(WWWW[[#This Row],['#_Constructed/Existing protected/fenced ponds]]*250)/WWWW[[#This Row],[Total PoP ]])</f>
        <v>0</v>
      </c>
      <c r="CN156" s="597">
        <f>WWWW[[#This Row],[% Access to unimproved water points]]*WWWW[[#This Row],[Total PoP ]]</f>
        <v>0</v>
      </c>
      <c r="CO15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6" s="597">
        <f>WWWW[[#This Row],[HRP1]]/500</f>
        <v>0</v>
      </c>
      <c r="CR156" s="602">
        <f>1-WWWW[[#This Row],[% Equitable and continuous access to sufficient quantity of domestic water]]</f>
        <v>1</v>
      </c>
      <c r="CS156" s="597">
        <f>WWWW[[#This Row],[%equitable and continuous access to sufficient quantity of safe drinking and domestic water''s GAP]]*WWWW[[#This Row],[Total PoP ]]</f>
        <v>32</v>
      </c>
      <c r="CT156" s="600">
        <f>IF(WWWW[[#This Row],[Total required water points]]-WWWW[[#This Row],['#Water points coverage]]&lt;0,0,WWWW[[#This Row],[Total required water points]]-WWWW[[#This Row],['#Water points coverage]])</f>
        <v>1</v>
      </c>
      <c r="CU156" s="600">
        <f>ROUND(IF(WWWW[[#This Row],[Total PoP ]]&lt;500,1,WWWW[[#This Row],[Total PoP ]]/500),0)</f>
        <v>1</v>
      </c>
      <c r="CV156" s="600">
        <f>(WWWW[[#This Row],['#_Constructed latrines_by_WASHAgencies]]+WWWW[[#This Row],['#_Non Cluster partner latrines]])-WWWW[[#This Row],['#_Non-functional latrines]]</f>
        <v>0</v>
      </c>
      <c r="CW156" s="70">
        <f>WWWW[[#This Row],[HRP2]]/WWWW[[#This Row],[Total PoP ]]</f>
        <v>0</v>
      </c>
      <c r="CX15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6" s="600">
        <f>IF(WWWW[[#This Row],['# of functional latrines in THF supported by WASH partners during the reporting period2]]="",0,WWWW[[#This Row],['# of functional latrines in THF supported by WASH partners during the reporting period2]]*50)</f>
        <v>0</v>
      </c>
      <c r="DB156" s="600">
        <f>WWWW[[#This Row],['# students access to functioning school latrines_HRP5]]+WWWW[[#This Row],['# People access to functioning latrines in THF_HRP5]]</f>
        <v>0</v>
      </c>
      <c r="DC156" s="600">
        <f>ROUND(IF(WWWW[[#This Row],[Location Type 1]]="camp",WWWW[[#This Row],[Total PoP ]]/20,IF(WWWW[[#This Row],[Location Type 1]]="Temporary Location",WWWW[[#This Row],[Total PoP ]]/50,WWWW[[#This Row],[Total HH]])),0)</f>
        <v>2</v>
      </c>
      <c r="DD156" s="600">
        <f>IF(WWWW[[#This Row],[Total required Latrines]]-(WWWW[[#This Row],['#_Constructed latrines_by_WASHAgencies]]+WWWW[[#This Row],['#_Non Cluster partner latrines]])&lt;0,0,WWWW[[#This Row],[Total required Latrines]]-(WWWW[[#This Row],['#_Constructed latrines_by_WASHAgencies]]+WWWW[[#This Row],['#_Non Cluster partner latrines]]))</f>
        <v>2</v>
      </c>
      <c r="DE156" s="602">
        <f>1-WWWW[[#This Row],[% people access to functioning Latrine]]</f>
        <v>1</v>
      </c>
      <c r="DF156" s="601">
        <f>IF(OR(WWWW[[#This Row],['#_Non-functional latrines]]="",WWWW[[#This Row],['#_Non-functional latrines]]=0),0,WWWW[[#This Row],['#_Non-functional latrines]]/(WWWW[[#This Row],['#_Constructed latrines_by_WASHAgencies]]+WWWW[[#This Row],['#_Non Cluster partner latrines]]))</f>
        <v>0</v>
      </c>
      <c r="DG156" s="597">
        <f>IF(500*(WWWW[[#This Row],['#_male hygiene promoters]]+WWWW[[#This Row],['#_female hygiene promoters]])&gt;WWWW[[#This Row],[Total PoP ]],WWWW[[#This Row],[Total PoP ]],500*(WWWW[[#This Row],['#_male hygiene promoters]]+WWWW[[#This Row],['#_female hygiene promoters]]))</f>
        <v>0</v>
      </c>
      <c r="DH15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6" s="600">
        <f>IF(WWWW[[#This Row],['# People with access to soap]]&gt;WWWW[[#This Row],['# People with access to Sanity Pads]],WWWW[[#This Row],['# People with access to soap]],WWWW[[#This Row],['# People with access to Sanity Pads]])</f>
        <v>0</v>
      </c>
      <c r="DK15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6" s="602">
        <f>IF(WWWW[[#This Row],[HRP3]]/WWWW[[#This Row],[Total PoP ]]&gt;1,1,WWWW[[#This Row],[HRP3]]/WWWW[[#This Row],[Total PoP ]])</f>
        <v>0</v>
      </c>
      <c r="DM156" s="601">
        <f>1-WWWW[[#This Row],[Hygiene Coverage%]]</f>
        <v>1</v>
      </c>
      <c r="DN156" s="599">
        <f>WWWW[[#This Row],['# people reached by regular dedicated hygiene promotion_5]]/WWWW[[#This Row],[Total PoP ]]</f>
        <v>0</v>
      </c>
      <c r="DO15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6" s="600">
        <f>WWWW[[#This Row],['#_Constructed/Existing hand washing stations]]-WWWW[[#This Row],['#_Non-Functional_hand_washing_stations]]</f>
        <v>0</v>
      </c>
      <c r="DR156" s="597">
        <f>IF(WWWW[[#This Row],['# Functional hand washing stations during reporting period]]*20&gt;WWWW[[#This Row],[Total HH]],WWWW[[#This Row],[Total HH]],WWWW[[#This Row],['# Functional hand washing stations during reporting period]]*20)</f>
        <v>0</v>
      </c>
      <c r="DS156" s="597">
        <f>IF(WWWW[[#This Row],[Is sufficient soap available for TLS? (Yes/No)]]="yes",WWWW[[#This Row],['#_Constructed/Existing hand washing stations at TLS]],0)</f>
        <v>0</v>
      </c>
      <c r="DT156" s="479">
        <f>IF(WWWW[[#This Row],['# Functional hand washing stations during reporting period]]*100&gt;WWWW[[#This Row],[Total PoP ]],WWWW[[#This Row],[Total PoP ]],WWWW[[#This Row],['# Functional hand washing stations during reporting period]]*100)</f>
        <v>0</v>
      </c>
      <c r="DU156" s="479" t="str">
        <f>IF(OR(WWWW[[#This Row],['#_students at TLS_CFS]]="",WWWW[[#This Row],['#_students at TLS_CFS]]=0),"No","Yes")</f>
        <v>No</v>
      </c>
      <c r="DV15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6" s="593">
        <f>VLOOKUP(WWWW[[#This Row],[Site Name]],SiteDB6[[Site Name]:[CCCM Management]],6,FALSE)</f>
        <v>0</v>
      </c>
      <c r="DZ156" s="593" t="str">
        <f>VLOOKUP(WWWW[[#This Row],[Site Name]],SiteDB6[[Site Name]:[CCCM Focal Agency]],7,FALSE)</f>
        <v>uncovered</v>
      </c>
      <c r="EA156" s="593" t="str">
        <f>VLOOKUP(WWWW[[#This Row],[Site Name]],SiteDB6[[Site Name]:[Location Type 1]],9,FALSE)</f>
        <v>Camp</v>
      </c>
      <c r="EB156" s="593" t="str">
        <f>VLOOKUP(WWWW[[#This Row],[Site Name]],SiteDB6[[Site Name]:[Type of Accommodation]],10,FALSE)</f>
        <v>Camp like setting</v>
      </c>
      <c r="EC156" s="593" t="str">
        <f>VLOOKUP(WWWW[[#This Row],[Site Name]],SiteDB6[[Site Name]:[Ethnic or GCA/NGCA]],11,FALSE)</f>
        <v>GCA</v>
      </c>
      <c r="ED156" s="593">
        <f>VLOOKUP(WWWW[[#This Row],[Site Name]],SiteDB6[[Site Name]:[Lat]],12,FALSE)</f>
        <v>26.541930000000001</v>
      </c>
      <c r="EE156" s="593">
        <f>VLOOKUP(WWWW[[#This Row],[Site Name]],SiteDB6[[Site Name]:[Long]],13,FALSE)</f>
        <v>97.568836000000005</v>
      </c>
      <c r="EF156" s="593" t="str">
        <f>VLOOKUP(WWWW[[#This Row],[Site Name]],SiteDB6[[Site Name]:[Pcode]],3,FALSE)</f>
        <v>MMR001CMP206</v>
      </c>
      <c r="EG156" s="598" t="str">
        <f t="shared" si="2"/>
        <v>Notcovered</v>
      </c>
      <c r="EH156" s="598" t="str">
        <f>VLOOKUP(WWWW[[#This Row],[Site Name]],SiteDB6[[Site Name]:[open in cccm?]],2,FALSE)</f>
        <v>cccm_2019OCT</v>
      </c>
    </row>
    <row r="157" spans="1:138" hidden="1">
      <c r="A157" s="591" t="s">
        <v>3261</v>
      </c>
      <c r="B157" s="591" t="s">
        <v>312</v>
      </c>
      <c r="C157" s="592" t="s">
        <v>312</v>
      </c>
      <c r="D157" s="592"/>
      <c r="E157" s="592" t="s">
        <v>39</v>
      </c>
      <c r="F157" s="592" t="s">
        <v>1148</v>
      </c>
      <c r="G157" s="721" t="str">
        <f>VLOOKUP(WWWW[[#This Row],[Site Name]],SiteDB6[[Site Name]:[Location Type]],8,FALSE)</f>
        <v>Camp</v>
      </c>
      <c r="H157" s="592" t="s">
        <v>1150</v>
      </c>
      <c r="I157" s="594">
        <v>36</v>
      </c>
      <c r="J157" s="594">
        <v>152</v>
      </c>
      <c r="K157" s="595"/>
      <c r="L157" s="596"/>
      <c r="M157" s="594"/>
      <c r="N157" s="594"/>
      <c r="O157" s="594"/>
      <c r="P157" s="594"/>
      <c r="Q157" s="597"/>
      <c r="R157" s="594"/>
      <c r="S157" s="594">
        <v>5</v>
      </c>
      <c r="T157" s="523"/>
      <c r="U157" s="594"/>
      <c r="V157" s="594"/>
      <c r="W157" s="594"/>
      <c r="X157" s="594"/>
      <c r="Y157" s="594"/>
      <c r="Z157" s="594"/>
      <c r="AA157" s="594"/>
      <c r="AB157" s="594"/>
      <c r="AC157" s="594"/>
      <c r="AD157" s="594"/>
      <c r="AE157" s="594"/>
      <c r="AF157" s="594"/>
      <c r="AG157" s="594"/>
      <c r="AH157" s="594"/>
      <c r="AI157" s="594"/>
      <c r="AJ157" s="594"/>
      <c r="AK157" s="594"/>
      <c r="AL157" s="594"/>
      <c r="AM157" s="594"/>
      <c r="AN157" s="594"/>
      <c r="AO157" s="598"/>
      <c r="AP157" s="594"/>
      <c r="AQ157" s="594"/>
      <c r="AR157" s="599"/>
      <c r="AS157" s="594"/>
      <c r="AT157" s="594"/>
      <c r="AU157" s="594"/>
      <c r="AV157" s="594"/>
      <c r="AW157" s="594"/>
      <c r="AX157" s="593"/>
      <c r="AY157" s="598"/>
      <c r="AZ157" s="594"/>
      <c r="BA157" s="594"/>
      <c r="BB157" s="594"/>
      <c r="BC157" s="594"/>
      <c r="BD157" s="523"/>
      <c r="BE157" s="593"/>
      <c r="BF157" s="594"/>
      <c r="BG157" s="594"/>
      <c r="BH157" s="594"/>
      <c r="BI157" s="594"/>
      <c r="BJ157" s="594"/>
      <c r="BK157" s="594"/>
      <c r="BL157" s="594"/>
      <c r="BM157" s="594"/>
      <c r="BN157" s="594"/>
      <c r="BO157" s="593"/>
      <c r="BP157" s="594"/>
      <c r="BQ157" s="599"/>
      <c r="BR157" s="593"/>
      <c r="BS157" s="472"/>
      <c r="BT157" s="472"/>
      <c r="BU157" s="523"/>
      <c r="BV157" s="472"/>
      <c r="BW157" s="523"/>
      <c r="BX157" s="523"/>
      <c r="BY157" s="523"/>
      <c r="BZ157" s="601" t="str">
        <f>IFERROR(WWWW[[#This Row],['#_Water sources passed]]/WWWW[[#This Row],['#_Water sources tested for fecal coliform ]],"no test")</f>
        <v>no test</v>
      </c>
      <c r="CA157" s="599" t="str">
        <f>IFERROR(WWWW[[#This Row],['#_Household passed]]/WWWW[[#This Row],['#_Household water samples tested for fecal coliform]],"no test")</f>
        <v>no test</v>
      </c>
      <c r="CB157" s="600" t="str">
        <f>IF(AND(WWWW[[#This Row],[% of water sources passed]]="no test",WWWW[[#This Row],[% Household passed]]="no test"),"No Test","Tested")</f>
        <v>No Test</v>
      </c>
      <c r="CC157" s="600">
        <f>WWWW[[#This Row],['#_Constructed/existing protected hand dug well]]-WWWW[[#This Row],['#_Non-functional protected hand dug well]]</f>
        <v>0</v>
      </c>
      <c r="CD157" s="600">
        <f>(WWWW[[#This Row],['#_Constructed/Existing tube wells/boreholes/handpumps_WASH_agency]]+WWWW[[#This Row],['#_Non-Cluster partner water tube-wells/boreholes/handpumps]])-WWWW[[#This Row],['#_Non-functional tube wells/boreholes/handpumps]]</f>
        <v>0</v>
      </c>
      <c r="CE157" s="600">
        <f>WWWW[[#This Row],['#_Constructed/Existingwater storage tank with gravity fed reticulation system]]-WWWW[[#This Row],['#_Non-functional storage tank gravity fed reticulation system]]</f>
        <v>0</v>
      </c>
      <c r="CF157" s="478">
        <f>(WWWW[[#This Row],['#_Water_Liters_supplied_by_Water boating or water trucking]]/90)/15</f>
        <v>0</v>
      </c>
      <c r="CG157" s="478">
        <f>WWWW[[#This Row],['#_Water_Liters_from_Constructed/Existing water distribution system from river or natural spring]]/90/15</f>
        <v>0</v>
      </c>
      <c r="CH157" s="478">
        <f>WWWW[[#This Row],['#_of water points in TLS/CFS /THF]]*500</f>
        <v>0</v>
      </c>
      <c r="CI15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7" s="599">
        <f>IF(WWWW[[#This Row],[Location Type 1]]="Village",WWWW[[#This Row],[Access to safe drinking water for Village]],WWWW[[#This Row],[Access to safe drinking water for Camp]])</f>
        <v>0</v>
      </c>
      <c r="CL157" s="597">
        <f>WWWW[[#This Row],[%Equitable and continuous access to sufficient quantity of safe drinking water]]*WWWW[[#This Row],[Total PoP ]]</f>
        <v>0</v>
      </c>
      <c r="CM157" s="599">
        <f>IF((WWWW[[#This Row],['#_Constructed/Existing protected/fenced ponds]]*250)/WWWW[[#This Row],[Total PoP ]]&gt;1,1,(WWWW[[#This Row],['#_Constructed/Existing protected/fenced ponds]]*250)/WWWW[[#This Row],[Total PoP ]])</f>
        <v>0</v>
      </c>
      <c r="CN157" s="597">
        <f>WWWW[[#This Row],[% Access to unimproved water points]]*WWWW[[#This Row],[Total PoP ]]</f>
        <v>0</v>
      </c>
      <c r="CO15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7" s="597">
        <f>WWWW[[#This Row],[HRP1]]/500</f>
        <v>0</v>
      </c>
      <c r="CR157" s="602">
        <f>1-WWWW[[#This Row],[% Equitable and continuous access to sufficient quantity of domestic water]]</f>
        <v>1</v>
      </c>
      <c r="CS157" s="597">
        <f>WWWW[[#This Row],[%equitable and continuous access to sufficient quantity of safe drinking and domestic water''s GAP]]*WWWW[[#This Row],[Total PoP ]]</f>
        <v>152</v>
      </c>
      <c r="CT157" s="600">
        <f>IF(WWWW[[#This Row],[Total required water points]]-WWWW[[#This Row],['#Water points coverage]]&lt;0,0,WWWW[[#This Row],[Total required water points]]-WWWW[[#This Row],['#Water points coverage]])</f>
        <v>1</v>
      </c>
      <c r="CU157" s="600">
        <f>ROUND(IF(WWWW[[#This Row],[Total PoP ]]&lt;500,1,WWWW[[#This Row],[Total PoP ]]/500),0)</f>
        <v>1</v>
      </c>
      <c r="CV157" s="600">
        <f>(WWWW[[#This Row],['#_Constructed latrines_by_WASHAgencies]]+WWWW[[#This Row],['#_Non Cluster partner latrines]])-WWWW[[#This Row],['#_Non-functional latrines]]</f>
        <v>0</v>
      </c>
      <c r="CW157" s="70">
        <f>WWWW[[#This Row],[HRP2]]/WWWW[[#This Row],[Total PoP ]]</f>
        <v>0</v>
      </c>
      <c r="CX15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7" s="600">
        <f>IF(WWWW[[#This Row],['# of functional latrines in THF supported by WASH partners during the reporting period2]]="",0,WWWW[[#This Row],['# of functional latrines in THF supported by WASH partners during the reporting period2]]*50)</f>
        <v>0</v>
      </c>
      <c r="DB157" s="600">
        <f>WWWW[[#This Row],['# students access to functioning school latrines_HRP5]]+WWWW[[#This Row],['# People access to functioning latrines in THF_HRP5]]</f>
        <v>0</v>
      </c>
      <c r="DC157" s="600">
        <f>ROUND(IF(WWWW[[#This Row],[Location Type 1]]="camp",WWWW[[#This Row],[Total PoP ]]/20,IF(WWWW[[#This Row],[Location Type 1]]="Temporary Location",WWWW[[#This Row],[Total PoP ]]/50,WWWW[[#This Row],[Total HH]])),0)</f>
        <v>8</v>
      </c>
      <c r="DD157" s="600">
        <f>IF(WWWW[[#This Row],[Total required Latrines]]-(WWWW[[#This Row],['#_Constructed latrines_by_WASHAgencies]]+WWWW[[#This Row],['#_Non Cluster partner latrines]])&lt;0,0,WWWW[[#This Row],[Total required Latrines]]-(WWWW[[#This Row],['#_Constructed latrines_by_WASHAgencies]]+WWWW[[#This Row],['#_Non Cluster partner latrines]]))</f>
        <v>8</v>
      </c>
      <c r="DE157" s="602">
        <f>1-WWWW[[#This Row],[% people access to functioning Latrine]]</f>
        <v>1</v>
      </c>
      <c r="DF157" s="601">
        <f>IF(OR(WWWW[[#This Row],['#_Non-functional latrines]]="",WWWW[[#This Row],['#_Non-functional latrines]]=0),0,WWWW[[#This Row],['#_Non-functional latrines]]/(WWWW[[#This Row],['#_Constructed latrines_by_WASHAgencies]]+WWWW[[#This Row],['#_Non Cluster partner latrines]]))</f>
        <v>0</v>
      </c>
      <c r="DG157" s="597">
        <f>IF(500*(WWWW[[#This Row],['#_male hygiene promoters]]+WWWW[[#This Row],['#_female hygiene promoters]])&gt;WWWW[[#This Row],[Total PoP ]],WWWW[[#This Row],[Total PoP ]],500*(WWWW[[#This Row],['#_male hygiene promoters]]+WWWW[[#This Row],['#_female hygiene promoters]]))</f>
        <v>0</v>
      </c>
      <c r="DH15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7" s="600">
        <f>IF(WWWW[[#This Row],['# People with access to soap]]&gt;WWWW[[#This Row],['# People with access to Sanity Pads]],WWWW[[#This Row],['# People with access to soap]],WWWW[[#This Row],['# People with access to Sanity Pads]])</f>
        <v>0</v>
      </c>
      <c r="DK15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7" s="602">
        <f>IF(WWWW[[#This Row],[HRP3]]/WWWW[[#This Row],[Total PoP ]]&gt;1,1,WWWW[[#This Row],[HRP3]]/WWWW[[#This Row],[Total PoP ]])</f>
        <v>0</v>
      </c>
      <c r="DM157" s="601">
        <f>1-WWWW[[#This Row],[Hygiene Coverage%]]</f>
        <v>1</v>
      </c>
      <c r="DN157" s="599">
        <f>WWWW[[#This Row],['# people reached by regular dedicated hygiene promotion_5]]/WWWW[[#This Row],[Total PoP ]]</f>
        <v>0</v>
      </c>
      <c r="DO15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7" s="600">
        <f>WWWW[[#This Row],['#_Constructed/Existing hand washing stations]]-WWWW[[#This Row],['#_Non-Functional_hand_washing_stations]]</f>
        <v>0</v>
      </c>
      <c r="DR157" s="597">
        <f>IF(WWWW[[#This Row],['# Functional hand washing stations during reporting period]]*20&gt;WWWW[[#This Row],[Total HH]],WWWW[[#This Row],[Total HH]],WWWW[[#This Row],['# Functional hand washing stations during reporting period]]*20)</f>
        <v>0</v>
      </c>
      <c r="DS157" s="597">
        <f>IF(WWWW[[#This Row],[Is sufficient soap available for TLS? (Yes/No)]]="yes",WWWW[[#This Row],['#_Constructed/Existing hand washing stations at TLS]],0)</f>
        <v>0</v>
      </c>
      <c r="DT157" s="479">
        <f>IF(WWWW[[#This Row],['# Functional hand washing stations during reporting period]]*100&gt;WWWW[[#This Row],[Total PoP ]],WWWW[[#This Row],[Total PoP ]],WWWW[[#This Row],['# Functional hand washing stations during reporting period]]*100)</f>
        <v>0</v>
      </c>
      <c r="DU157" s="479" t="str">
        <f>IF(OR(WWWW[[#This Row],['#_students at TLS_CFS]]="",WWWW[[#This Row],['#_students at TLS_CFS]]=0),"No","Yes")</f>
        <v>No</v>
      </c>
      <c r="DV15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7" s="593" t="str">
        <f>VLOOKUP(WWWW[[#This Row],[Site Name]],SiteDB6[[Site Name]:[CCCM Management]],6,FALSE)</f>
        <v>Yes</v>
      </c>
      <c r="DZ157" s="593" t="str">
        <f>VLOOKUP(WWWW[[#This Row],[Site Name]],SiteDB6[[Site Name]:[CCCM Focal Agency]],7,FALSE)</f>
        <v>KMSS-MYT</v>
      </c>
      <c r="EA157" s="593" t="str">
        <f>VLOOKUP(WWWW[[#This Row],[Site Name]],SiteDB6[[Site Name]:[Location Type 1]],9,FALSE)</f>
        <v>Camp</v>
      </c>
      <c r="EB157" s="593" t="str">
        <f>VLOOKUP(WWWW[[#This Row],[Site Name]],SiteDB6[[Site Name]:[Type of Accommodation]],10,FALSE)</f>
        <v>Camp</v>
      </c>
      <c r="EC157" s="593" t="str">
        <f>VLOOKUP(WWWW[[#This Row],[Site Name]],SiteDB6[[Site Name]:[Ethnic or GCA/NGCA]],11,FALSE)</f>
        <v>GCA</v>
      </c>
      <c r="ED157" s="593">
        <f>VLOOKUP(WWWW[[#This Row],[Site Name]],SiteDB6[[Site Name]:[Lat]],12,FALSE)</f>
        <v>26.351690999999999</v>
      </c>
      <c r="EE157" s="593">
        <f>VLOOKUP(WWWW[[#This Row],[Site Name]],SiteDB6[[Site Name]:[Long]],13,FALSE)</f>
        <v>96.690871999999999</v>
      </c>
      <c r="EF157" s="593" t="str">
        <f>VLOOKUP(WWWW[[#This Row],[Site Name]],SiteDB6[[Site Name]:[Pcode]],3,FALSE)</f>
        <v>MMR001CMP254</v>
      </c>
      <c r="EG157" s="598" t="str">
        <f t="shared" si="2"/>
        <v>Notcovered</v>
      </c>
      <c r="EH157" s="598" t="str">
        <f>VLOOKUP(WWWW[[#This Row],[Site Name]],SiteDB6[[Site Name]:[open in cccm?]],2,FALSE)</f>
        <v>cccm_2019OCT</v>
      </c>
    </row>
    <row r="158" spans="1:138" hidden="1">
      <c r="A158" s="591" t="s">
        <v>3261</v>
      </c>
      <c r="B158" s="591" t="s">
        <v>312</v>
      </c>
      <c r="C158" s="592" t="s">
        <v>312</v>
      </c>
      <c r="D158" s="592"/>
      <c r="E158" s="592" t="s">
        <v>39</v>
      </c>
      <c r="F158" s="592" t="s">
        <v>1148</v>
      </c>
      <c r="G158" s="721" t="str">
        <f>VLOOKUP(WWWW[[#This Row],[Site Name]],SiteDB6[[Site Name]:[Location Type]],8,FALSE)</f>
        <v>Camp</v>
      </c>
      <c r="H158" s="592" t="s">
        <v>2177</v>
      </c>
      <c r="I158" s="594">
        <v>127</v>
      </c>
      <c r="J158" s="594">
        <v>450</v>
      </c>
      <c r="K158" s="595"/>
      <c r="L158" s="596"/>
      <c r="M158" s="594"/>
      <c r="N158" s="594"/>
      <c r="O158" s="594"/>
      <c r="P158" s="594"/>
      <c r="Q158" s="597"/>
      <c r="R158" s="594"/>
      <c r="S158" s="594">
        <v>4</v>
      </c>
      <c r="T158" s="523"/>
      <c r="U158" s="594"/>
      <c r="V158" s="594"/>
      <c r="W158" s="594"/>
      <c r="X158" s="594"/>
      <c r="Y158" s="594"/>
      <c r="Z158" s="594"/>
      <c r="AA158" s="594"/>
      <c r="AB158" s="594"/>
      <c r="AC158" s="594"/>
      <c r="AD158" s="594"/>
      <c r="AE158" s="594"/>
      <c r="AF158" s="594"/>
      <c r="AG158" s="594"/>
      <c r="AH158" s="594"/>
      <c r="AI158" s="594"/>
      <c r="AJ158" s="594"/>
      <c r="AK158" s="594"/>
      <c r="AL158" s="594"/>
      <c r="AM158" s="594"/>
      <c r="AN158" s="594"/>
      <c r="AO158" s="598"/>
      <c r="AP158" s="594"/>
      <c r="AQ158" s="594"/>
      <c r="AR158" s="599"/>
      <c r="AS158" s="594"/>
      <c r="AT158" s="594"/>
      <c r="AU158" s="594"/>
      <c r="AV158" s="594"/>
      <c r="AW158" s="594"/>
      <c r="AX158" s="593"/>
      <c r="AY158" s="598"/>
      <c r="AZ158" s="594"/>
      <c r="BA158" s="594"/>
      <c r="BB158" s="594"/>
      <c r="BC158" s="594"/>
      <c r="BD158" s="523"/>
      <c r="BE158" s="593"/>
      <c r="BF158" s="594"/>
      <c r="BG158" s="594"/>
      <c r="BH158" s="594"/>
      <c r="BI158" s="594"/>
      <c r="BJ158" s="594"/>
      <c r="BK158" s="594"/>
      <c r="BL158" s="594"/>
      <c r="BM158" s="594"/>
      <c r="BN158" s="594"/>
      <c r="BO158" s="593"/>
      <c r="BP158" s="594"/>
      <c r="BQ158" s="599"/>
      <c r="BR158" s="593"/>
      <c r="BS158" s="472"/>
      <c r="BT158" s="472"/>
      <c r="BU158" s="523"/>
      <c r="BV158" s="472"/>
      <c r="BW158" s="523"/>
      <c r="BX158" s="523"/>
      <c r="BY158" s="523"/>
      <c r="BZ158" s="601" t="str">
        <f>IFERROR(WWWW[[#This Row],['#_Water sources passed]]/WWWW[[#This Row],['#_Water sources tested for fecal coliform ]],"no test")</f>
        <v>no test</v>
      </c>
      <c r="CA158" s="599" t="str">
        <f>IFERROR(WWWW[[#This Row],['#_Household passed]]/WWWW[[#This Row],['#_Household water samples tested for fecal coliform]],"no test")</f>
        <v>no test</v>
      </c>
      <c r="CB158" s="600" t="str">
        <f>IF(AND(WWWW[[#This Row],[% of water sources passed]]="no test",WWWW[[#This Row],[% Household passed]]="no test"),"No Test","Tested")</f>
        <v>No Test</v>
      </c>
      <c r="CC158" s="600">
        <f>WWWW[[#This Row],['#_Constructed/existing protected hand dug well]]-WWWW[[#This Row],['#_Non-functional protected hand dug well]]</f>
        <v>0</v>
      </c>
      <c r="CD158" s="600">
        <f>(WWWW[[#This Row],['#_Constructed/Existing tube wells/boreholes/handpumps_WASH_agency]]+WWWW[[#This Row],['#_Non-Cluster partner water tube-wells/boreholes/handpumps]])-WWWW[[#This Row],['#_Non-functional tube wells/boreholes/handpumps]]</f>
        <v>0</v>
      </c>
      <c r="CE158" s="600">
        <f>WWWW[[#This Row],['#_Constructed/Existingwater storage tank with gravity fed reticulation system]]-WWWW[[#This Row],['#_Non-functional storage tank gravity fed reticulation system]]</f>
        <v>0</v>
      </c>
      <c r="CF158" s="478">
        <f>(WWWW[[#This Row],['#_Water_Liters_supplied_by_Water boating or water trucking]]/90)/15</f>
        <v>0</v>
      </c>
      <c r="CG158" s="478">
        <f>WWWW[[#This Row],['#_Water_Liters_from_Constructed/Existing water distribution system from river or natural spring]]/90/15</f>
        <v>0</v>
      </c>
      <c r="CH158" s="478">
        <f>WWWW[[#This Row],['#_of water points in TLS/CFS /THF]]*500</f>
        <v>0</v>
      </c>
      <c r="CI15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8" s="599">
        <f>IF(WWWW[[#This Row],[Location Type 1]]="Village",WWWW[[#This Row],[Access to safe drinking water for Village]],WWWW[[#This Row],[Access to safe drinking water for Camp]])</f>
        <v>0</v>
      </c>
      <c r="CL158" s="597">
        <f>WWWW[[#This Row],[%Equitable and continuous access to sufficient quantity of safe drinking water]]*WWWW[[#This Row],[Total PoP ]]</f>
        <v>0</v>
      </c>
      <c r="CM158" s="599">
        <f>IF((WWWW[[#This Row],['#_Constructed/Existing protected/fenced ponds]]*250)/WWWW[[#This Row],[Total PoP ]]&gt;1,1,(WWWW[[#This Row],['#_Constructed/Existing protected/fenced ponds]]*250)/WWWW[[#This Row],[Total PoP ]])</f>
        <v>0</v>
      </c>
      <c r="CN158" s="597">
        <f>WWWW[[#This Row],[% Access to unimproved water points]]*WWWW[[#This Row],[Total PoP ]]</f>
        <v>0</v>
      </c>
      <c r="CO15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8" s="597">
        <f>WWWW[[#This Row],[HRP1]]/500</f>
        <v>0</v>
      </c>
      <c r="CR158" s="602">
        <f>1-WWWW[[#This Row],[% Equitable and continuous access to sufficient quantity of domestic water]]</f>
        <v>1</v>
      </c>
      <c r="CS158" s="597">
        <f>WWWW[[#This Row],[%equitable and continuous access to sufficient quantity of safe drinking and domestic water''s GAP]]*WWWW[[#This Row],[Total PoP ]]</f>
        <v>450</v>
      </c>
      <c r="CT158" s="600">
        <f>IF(WWWW[[#This Row],[Total required water points]]-WWWW[[#This Row],['#Water points coverage]]&lt;0,0,WWWW[[#This Row],[Total required water points]]-WWWW[[#This Row],['#Water points coverage]])</f>
        <v>1</v>
      </c>
      <c r="CU158" s="600">
        <f>ROUND(IF(WWWW[[#This Row],[Total PoP ]]&lt;500,1,WWWW[[#This Row],[Total PoP ]]/500),0)</f>
        <v>1</v>
      </c>
      <c r="CV158" s="600">
        <f>(WWWW[[#This Row],['#_Constructed latrines_by_WASHAgencies]]+WWWW[[#This Row],['#_Non Cluster partner latrines]])-WWWW[[#This Row],['#_Non-functional latrines]]</f>
        <v>0</v>
      </c>
      <c r="CW158" s="70">
        <f>WWWW[[#This Row],[HRP2]]/WWWW[[#This Row],[Total PoP ]]</f>
        <v>0</v>
      </c>
      <c r="CX15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8" s="600">
        <f>IF(WWWW[[#This Row],['# of functional latrines in THF supported by WASH partners during the reporting period2]]="",0,WWWW[[#This Row],['# of functional latrines in THF supported by WASH partners during the reporting period2]]*50)</f>
        <v>0</v>
      </c>
      <c r="DB158" s="600">
        <f>WWWW[[#This Row],['# students access to functioning school latrines_HRP5]]+WWWW[[#This Row],['# People access to functioning latrines in THF_HRP5]]</f>
        <v>0</v>
      </c>
      <c r="DC158" s="600">
        <f>ROUND(IF(WWWW[[#This Row],[Location Type 1]]="camp",WWWW[[#This Row],[Total PoP ]]/20,IF(WWWW[[#This Row],[Location Type 1]]="Temporary Location",WWWW[[#This Row],[Total PoP ]]/50,WWWW[[#This Row],[Total HH]])),0)</f>
        <v>23</v>
      </c>
      <c r="DD158" s="600">
        <f>IF(WWWW[[#This Row],[Total required Latrines]]-(WWWW[[#This Row],['#_Constructed latrines_by_WASHAgencies]]+WWWW[[#This Row],['#_Non Cluster partner latrines]])&lt;0,0,WWWW[[#This Row],[Total required Latrines]]-(WWWW[[#This Row],['#_Constructed latrines_by_WASHAgencies]]+WWWW[[#This Row],['#_Non Cluster partner latrines]]))</f>
        <v>23</v>
      </c>
      <c r="DE158" s="602">
        <f>1-WWWW[[#This Row],[% people access to functioning Latrine]]</f>
        <v>1</v>
      </c>
      <c r="DF158" s="601">
        <f>IF(OR(WWWW[[#This Row],['#_Non-functional latrines]]="",WWWW[[#This Row],['#_Non-functional latrines]]=0),0,WWWW[[#This Row],['#_Non-functional latrines]]/(WWWW[[#This Row],['#_Constructed latrines_by_WASHAgencies]]+WWWW[[#This Row],['#_Non Cluster partner latrines]]))</f>
        <v>0</v>
      </c>
      <c r="DG158" s="597">
        <f>IF(500*(WWWW[[#This Row],['#_male hygiene promoters]]+WWWW[[#This Row],['#_female hygiene promoters]])&gt;WWWW[[#This Row],[Total PoP ]],WWWW[[#This Row],[Total PoP ]],500*(WWWW[[#This Row],['#_male hygiene promoters]]+WWWW[[#This Row],['#_female hygiene promoters]]))</f>
        <v>0</v>
      </c>
      <c r="DH15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8" s="600">
        <f>IF(WWWW[[#This Row],['# People with access to soap]]&gt;WWWW[[#This Row],['# People with access to Sanity Pads]],WWWW[[#This Row],['# People with access to soap]],WWWW[[#This Row],['# People with access to Sanity Pads]])</f>
        <v>0</v>
      </c>
      <c r="DK15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8" s="602">
        <f>IF(WWWW[[#This Row],[HRP3]]/WWWW[[#This Row],[Total PoP ]]&gt;1,1,WWWW[[#This Row],[HRP3]]/WWWW[[#This Row],[Total PoP ]])</f>
        <v>0</v>
      </c>
      <c r="DM158" s="601">
        <f>1-WWWW[[#This Row],[Hygiene Coverage%]]</f>
        <v>1</v>
      </c>
      <c r="DN158" s="599">
        <f>WWWW[[#This Row],['# people reached by regular dedicated hygiene promotion_5]]/WWWW[[#This Row],[Total PoP ]]</f>
        <v>0</v>
      </c>
      <c r="DO15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8" s="600">
        <f>WWWW[[#This Row],['#_Constructed/Existing hand washing stations]]-WWWW[[#This Row],['#_Non-Functional_hand_washing_stations]]</f>
        <v>0</v>
      </c>
      <c r="DR158" s="597">
        <f>IF(WWWW[[#This Row],['# Functional hand washing stations during reporting period]]*20&gt;WWWW[[#This Row],[Total HH]],WWWW[[#This Row],[Total HH]],WWWW[[#This Row],['# Functional hand washing stations during reporting period]]*20)</f>
        <v>0</v>
      </c>
      <c r="DS158" s="597">
        <f>IF(WWWW[[#This Row],[Is sufficient soap available for TLS? (Yes/No)]]="yes",WWWW[[#This Row],['#_Constructed/Existing hand washing stations at TLS]],0)</f>
        <v>0</v>
      </c>
      <c r="DT158" s="479">
        <f>IF(WWWW[[#This Row],['# Functional hand washing stations during reporting period]]*100&gt;WWWW[[#This Row],[Total PoP ]],WWWW[[#This Row],[Total PoP ]],WWWW[[#This Row],['# Functional hand washing stations during reporting period]]*100)</f>
        <v>0</v>
      </c>
      <c r="DU158" s="479" t="str">
        <f>IF(OR(WWWW[[#This Row],['#_students at TLS_CFS]]="",WWWW[[#This Row],['#_students at TLS_CFS]]=0),"No","Yes")</f>
        <v>No</v>
      </c>
      <c r="DV15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8" s="593" t="str">
        <f>VLOOKUP(WWWW[[#This Row],[Site Name]],SiteDB6[[Site Name]:[CCCM Management]],6,FALSE)</f>
        <v>Yes</v>
      </c>
      <c r="DZ158" s="593" t="str">
        <f>VLOOKUP(WWWW[[#This Row],[Site Name]],SiteDB6[[Site Name]:[CCCM Focal Agency]],7,FALSE)</f>
        <v>KBC-MYT</v>
      </c>
      <c r="EA158" s="593" t="str">
        <f>VLOOKUP(WWWW[[#This Row],[Site Name]],SiteDB6[[Site Name]:[Location Type 1]],9,FALSE)</f>
        <v>Camp</v>
      </c>
      <c r="EB158" s="593" t="str">
        <f>VLOOKUP(WWWW[[#This Row],[Site Name]],SiteDB6[[Site Name]:[Type of Accommodation]],10,FALSE)</f>
        <v>Camp</v>
      </c>
      <c r="EC158" s="593" t="str">
        <f>VLOOKUP(WWWW[[#This Row],[Site Name]],SiteDB6[[Site Name]:[Ethnic or GCA/NGCA]],11,FALSE)</f>
        <v>GCA</v>
      </c>
      <c r="ED158" s="593">
        <f>VLOOKUP(WWWW[[#This Row],[Site Name]],SiteDB6[[Site Name]:[Lat]],12,FALSE)</f>
        <v>0</v>
      </c>
      <c r="EE158" s="593">
        <f>VLOOKUP(WWWW[[#This Row],[Site Name]],SiteDB6[[Site Name]:[Long]],13,FALSE)</f>
        <v>0</v>
      </c>
      <c r="EF158" s="593" t="str">
        <f>VLOOKUP(WWWW[[#This Row],[Site Name]],SiteDB6[[Site Name]:[Pcode]],3,FALSE)</f>
        <v>MMR001CMP253</v>
      </c>
      <c r="EG158" s="598" t="str">
        <f t="shared" si="2"/>
        <v>Notcovered</v>
      </c>
      <c r="EH158" s="598" t="str">
        <f>VLOOKUP(WWWW[[#This Row],[Site Name]],SiteDB6[[Site Name]:[open in cccm?]],2,FALSE)</f>
        <v>cccm_2019OCT</v>
      </c>
    </row>
    <row r="159" spans="1:138" hidden="1">
      <c r="A159" s="591" t="s">
        <v>3261</v>
      </c>
      <c r="B159" s="591" t="s">
        <v>312</v>
      </c>
      <c r="C159" s="592" t="s">
        <v>312</v>
      </c>
      <c r="D159" s="592"/>
      <c r="E159" s="592" t="s">
        <v>39</v>
      </c>
      <c r="F159" s="592" t="s">
        <v>176</v>
      </c>
      <c r="G159" s="721" t="str">
        <f>VLOOKUP(WWWW[[#This Row],[Site Name]],SiteDB6[[Site Name]:[Location Type]],8,FALSE)</f>
        <v>Camp</v>
      </c>
      <c r="H159" s="592" t="s">
        <v>1089</v>
      </c>
      <c r="I159" s="594">
        <v>14</v>
      </c>
      <c r="J159" s="594">
        <v>75</v>
      </c>
      <c r="K159" s="595"/>
      <c r="L159" s="596"/>
      <c r="M159" s="594"/>
      <c r="N159" s="594"/>
      <c r="O159" s="594"/>
      <c r="P159" s="594"/>
      <c r="Q159" s="597"/>
      <c r="R159" s="594"/>
      <c r="S159" s="594">
        <v>4</v>
      </c>
      <c r="T159" s="523"/>
      <c r="U159" s="594"/>
      <c r="V159" s="594"/>
      <c r="W159" s="594"/>
      <c r="X159" s="594"/>
      <c r="Y159" s="594"/>
      <c r="Z159" s="594"/>
      <c r="AA159" s="594"/>
      <c r="AB159" s="594"/>
      <c r="AC159" s="594"/>
      <c r="AD159" s="594"/>
      <c r="AE159" s="594"/>
      <c r="AF159" s="594"/>
      <c r="AG159" s="594"/>
      <c r="AH159" s="594"/>
      <c r="AI159" s="594"/>
      <c r="AJ159" s="594"/>
      <c r="AK159" s="594"/>
      <c r="AL159" s="594"/>
      <c r="AM159" s="594"/>
      <c r="AN159" s="594"/>
      <c r="AO159" s="598"/>
      <c r="AP159" s="594"/>
      <c r="AQ159" s="594"/>
      <c r="AR159" s="599"/>
      <c r="AS159" s="594"/>
      <c r="AT159" s="594"/>
      <c r="AU159" s="594"/>
      <c r="AV159" s="594"/>
      <c r="AW159" s="594"/>
      <c r="AX159" s="593"/>
      <c r="AY159" s="598"/>
      <c r="AZ159" s="594"/>
      <c r="BA159" s="594"/>
      <c r="BB159" s="594"/>
      <c r="BC159" s="594"/>
      <c r="BD159" s="523"/>
      <c r="BE159" s="593"/>
      <c r="BF159" s="594"/>
      <c r="BG159" s="594"/>
      <c r="BH159" s="594"/>
      <c r="BI159" s="594"/>
      <c r="BJ159" s="594"/>
      <c r="BK159" s="594"/>
      <c r="BL159" s="594"/>
      <c r="BM159" s="594"/>
      <c r="BN159" s="594"/>
      <c r="BO159" s="593"/>
      <c r="BP159" s="594"/>
      <c r="BQ159" s="599"/>
      <c r="BR159" s="593"/>
      <c r="BS159" s="472"/>
      <c r="BT159" s="472"/>
      <c r="BU159" s="523"/>
      <c r="BV159" s="472"/>
      <c r="BW159" s="523"/>
      <c r="BX159" s="523"/>
      <c r="BY159" s="523"/>
      <c r="BZ159" s="601" t="str">
        <f>IFERROR(WWWW[[#This Row],['#_Water sources passed]]/WWWW[[#This Row],['#_Water sources tested for fecal coliform ]],"no test")</f>
        <v>no test</v>
      </c>
      <c r="CA159" s="599" t="str">
        <f>IFERROR(WWWW[[#This Row],['#_Household passed]]/WWWW[[#This Row],['#_Household water samples tested for fecal coliform]],"no test")</f>
        <v>no test</v>
      </c>
      <c r="CB159" s="600" t="str">
        <f>IF(AND(WWWW[[#This Row],[% of water sources passed]]="no test",WWWW[[#This Row],[% Household passed]]="no test"),"No Test","Tested")</f>
        <v>No Test</v>
      </c>
      <c r="CC159" s="600">
        <f>WWWW[[#This Row],['#_Constructed/existing protected hand dug well]]-WWWW[[#This Row],['#_Non-functional protected hand dug well]]</f>
        <v>0</v>
      </c>
      <c r="CD159" s="600">
        <f>(WWWW[[#This Row],['#_Constructed/Existing tube wells/boreholes/handpumps_WASH_agency]]+WWWW[[#This Row],['#_Non-Cluster partner water tube-wells/boreholes/handpumps]])-WWWW[[#This Row],['#_Non-functional tube wells/boreholes/handpumps]]</f>
        <v>0</v>
      </c>
      <c r="CE159" s="600">
        <f>WWWW[[#This Row],['#_Constructed/Existingwater storage tank with gravity fed reticulation system]]-WWWW[[#This Row],['#_Non-functional storage tank gravity fed reticulation system]]</f>
        <v>0</v>
      </c>
      <c r="CF159" s="478">
        <f>(WWWW[[#This Row],['#_Water_Liters_supplied_by_Water boating or water trucking]]/90)/15</f>
        <v>0</v>
      </c>
      <c r="CG159" s="478">
        <f>WWWW[[#This Row],['#_Water_Liters_from_Constructed/Existing water distribution system from river or natural spring]]/90/15</f>
        <v>0</v>
      </c>
      <c r="CH159" s="478">
        <f>WWWW[[#This Row],['#_of water points in TLS/CFS /THF]]*500</f>
        <v>0</v>
      </c>
      <c r="CI15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5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59" s="599">
        <f>IF(WWWW[[#This Row],[Location Type 1]]="Village",WWWW[[#This Row],[Access to safe drinking water for Village]],WWWW[[#This Row],[Access to safe drinking water for Camp]])</f>
        <v>0</v>
      </c>
      <c r="CL159" s="597">
        <f>WWWW[[#This Row],[%Equitable and continuous access to sufficient quantity of safe drinking water]]*WWWW[[#This Row],[Total PoP ]]</f>
        <v>0</v>
      </c>
      <c r="CM159" s="599">
        <f>IF((WWWW[[#This Row],['#_Constructed/Existing protected/fenced ponds]]*250)/WWWW[[#This Row],[Total PoP ]]&gt;1,1,(WWWW[[#This Row],['#_Constructed/Existing protected/fenced ponds]]*250)/WWWW[[#This Row],[Total PoP ]])</f>
        <v>0</v>
      </c>
      <c r="CN159" s="597">
        <f>WWWW[[#This Row],[% Access to unimproved water points]]*WWWW[[#This Row],[Total PoP ]]</f>
        <v>0</v>
      </c>
      <c r="CO15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5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59" s="597">
        <f>WWWW[[#This Row],[HRP1]]/500</f>
        <v>0</v>
      </c>
      <c r="CR159" s="602">
        <f>1-WWWW[[#This Row],[% Equitable and continuous access to sufficient quantity of domestic water]]</f>
        <v>1</v>
      </c>
      <c r="CS159" s="597">
        <f>WWWW[[#This Row],[%equitable and continuous access to sufficient quantity of safe drinking and domestic water''s GAP]]*WWWW[[#This Row],[Total PoP ]]</f>
        <v>75</v>
      </c>
      <c r="CT159" s="600">
        <f>IF(WWWW[[#This Row],[Total required water points]]-WWWW[[#This Row],['#Water points coverage]]&lt;0,0,WWWW[[#This Row],[Total required water points]]-WWWW[[#This Row],['#Water points coverage]])</f>
        <v>1</v>
      </c>
      <c r="CU159" s="600">
        <f>ROUND(IF(WWWW[[#This Row],[Total PoP ]]&lt;500,1,WWWW[[#This Row],[Total PoP ]]/500),0)</f>
        <v>1</v>
      </c>
      <c r="CV159" s="600">
        <f>(WWWW[[#This Row],['#_Constructed latrines_by_WASHAgencies]]+WWWW[[#This Row],['#_Non Cluster partner latrines]])-WWWW[[#This Row],['#_Non-functional latrines]]</f>
        <v>0</v>
      </c>
      <c r="CW159" s="70">
        <f>WWWW[[#This Row],[HRP2]]/WWWW[[#This Row],[Total PoP ]]</f>
        <v>0</v>
      </c>
      <c r="CX15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5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5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59" s="600">
        <f>IF(WWWW[[#This Row],['# of functional latrines in THF supported by WASH partners during the reporting period2]]="",0,WWWW[[#This Row],['# of functional latrines in THF supported by WASH partners during the reporting period2]]*50)</f>
        <v>0</v>
      </c>
      <c r="DB159" s="600">
        <f>WWWW[[#This Row],['# students access to functioning school latrines_HRP5]]+WWWW[[#This Row],['# People access to functioning latrines in THF_HRP5]]</f>
        <v>0</v>
      </c>
      <c r="DC159" s="600">
        <f>ROUND(IF(WWWW[[#This Row],[Location Type 1]]="camp",WWWW[[#This Row],[Total PoP ]]/20,IF(WWWW[[#This Row],[Location Type 1]]="Temporary Location",WWWW[[#This Row],[Total PoP ]]/50,WWWW[[#This Row],[Total HH]])),0)</f>
        <v>4</v>
      </c>
      <c r="DD159" s="600">
        <f>IF(WWWW[[#This Row],[Total required Latrines]]-(WWWW[[#This Row],['#_Constructed latrines_by_WASHAgencies]]+WWWW[[#This Row],['#_Non Cluster partner latrines]])&lt;0,0,WWWW[[#This Row],[Total required Latrines]]-(WWWW[[#This Row],['#_Constructed latrines_by_WASHAgencies]]+WWWW[[#This Row],['#_Non Cluster partner latrines]]))</f>
        <v>4</v>
      </c>
      <c r="DE159" s="602">
        <f>1-WWWW[[#This Row],[% people access to functioning Latrine]]</f>
        <v>1</v>
      </c>
      <c r="DF159" s="601">
        <f>IF(OR(WWWW[[#This Row],['#_Non-functional latrines]]="",WWWW[[#This Row],['#_Non-functional latrines]]=0),0,WWWW[[#This Row],['#_Non-functional latrines]]/(WWWW[[#This Row],['#_Constructed latrines_by_WASHAgencies]]+WWWW[[#This Row],['#_Non Cluster partner latrines]]))</f>
        <v>0</v>
      </c>
      <c r="DG159" s="597">
        <f>IF(500*(WWWW[[#This Row],['#_male hygiene promoters]]+WWWW[[#This Row],['#_female hygiene promoters]])&gt;WWWW[[#This Row],[Total PoP ]],WWWW[[#This Row],[Total PoP ]],500*(WWWW[[#This Row],['#_male hygiene promoters]]+WWWW[[#This Row],['#_female hygiene promoters]]))</f>
        <v>0</v>
      </c>
      <c r="DH15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5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59" s="600">
        <f>IF(WWWW[[#This Row],['# People with access to soap]]&gt;WWWW[[#This Row],['# People with access to Sanity Pads]],WWWW[[#This Row],['# People with access to soap]],WWWW[[#This Row],['# People with access to Sanity Pads]])</f>
        <v>0</v>
      </c>
      <c r="DK15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59" s="602">
        <f>IF(WWWW[[#This Row],[HRP3]]/WWWW[[#This Row],[Total PoP ]]&gt;1,1,WWWW[[#This Row],[HRP3]]/WWWW[[#This Row],[Total PoP ]])</f>
        <v>0</v>
      </c>
      <c r="DM159" s="601">
        <f>1-WWWW[[#This Row],[Hygiene Coverage%]]</f>
        <v>1</v>
      </c>
      <c r="DN159" s="599">
        <f>WWWW[[#This Row],['# people reached by regular dedicated hygiene promotion_5]]/WWWW[[#This Row],[Total PoP ]]</f>
        <v>0</v>
      </c>
      <c r="DO15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5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59" s="600">
        <f>WWWW[[#This Row],['#_Constructed/Existing hand washing stations]]-WWWW[[#This Row],['#_Non-Functional_hand_washing_stations]]</f>
        <v>0</v>
      </c>
      <c r="DR159" s="597">
        <f>IF(WWWW[[#This Row],['# Functional hand washing stations during reporting period]]*20&gt;WWWW[[#This Row],[Total HH]],WWWW[[#This Row],[Total HH]],WWWW[[#This Row],['# Functional hand washing stations during reporting period]]*20)</f>
        <v>0</v>
      </c>
      <c r="DS159" s="597">
        <f>IF(WWWW[[#This Row],[Is sufficient soap available for TLS? (Yes/No)]]="yes",WWWW[[#This Row],['#_Constructed/Existing hand washing stations at TLS]],0)</f>
        <v>0</v>
      </c>
      <c r="DT159" s="479">
        <f>IF(WWWW[[#This Row],['# Functional hand washing stations during reporting period]]*100&gt;WWWW[[#This Row],[Total PoP ]],WWWW[[#This Row],[Total PoP ]],WWWW[[#This Row],['# Functional hand washing stations during reporting period]]*100)</f>
        <v>0</v>
      </c>
      <c r="DU159" s="479" t="str">
        <f>IF(OR(WWWW[[#This Row],['#_students at TLS_CFS]]="",WWWW[[#This Row],['#_students at TLS_CFS]]=0),"No","Yes")</f>
        <v>No</v>
      </c>
      <c r="DV15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59" s="593">
        <f>VLOOKUP(WWWW[[#This Row],[Site Name]],SiteDB6[[Site Name]:[CCCM Management]],6,FALSE)</f>
        <v>0</v>
      </c>
      <c r="DZ159" s="593" t="str">
        <f>VLOOKUP(WWWW[[#This Row],[Site Name]],SiteDB6[[Site Name]:[CCCM Focal Agency]],7,FALSE)</f>
        <v>uncovered</v>
      </c>
      <c r="EA159" s="593" t="str">
        <f>VLOOKUP(WWWW[[#This Row],[Site Name]],SiteDB6[[Site Name]:[Location Type 1]],9,FALSE)</f>
        <v>Camp</v>
      </c>
      <c r="EB159" s="593" t="str">
        <f>VLOOKUP(WWWW[[#This Row],[Site Name]],SiteDB6[[Site Name]:[Type of Accommodation]],10,FALSE)</f>
        <v>Host Families</v>
      </c>
      <c r="EC159" s="593" t="str">
        <f>VLOOKUP(WWWW[[#This Row],[Site Name]],SiteDB6[[Site Name]:[Ethnic or GCA/NGCA]],11,FALSE)</f>
        <v>GCA</v>
      </c>
      <c r="ED159" s="593">
        <f>VLOOKUP(WWWW[[#This Row],[Site Name]],SiteDB6[[Site Name]:[Lat]],12,FALSE)</f>
        <v>27.311699999999998</v>
      </c>
      <c r="EE159" s="593">
        <f>VLOOKUP(WWWW[[#This Row],[Site Name]],SiteDB6[[Site Name]:[Long]],13,FALSE)</f>
        <v>97.415289999999999</v>
      </c>
      <c r="EF159" s="593" t="str">
        <f>VLOOKUP(WWWW[[#This Row],[Site Name]],SiteDB6[[Site Name]:[Pcode]],3,FALSE)</f>
        <v>MMR001CMP075</v>
      </c>
      <c r="EG159" s="598" t="str">
        <f t="shared" si="2"/>
        <v>Notcovered</v>
      </c>
      <c r="EH159" s="598" t="str">
        <f>VLOOKUP(WWWW[[#This Row],[Site Name]],SiteDB6[[Site Name]:[open in cccm?]],2,FALSE)</f>
        <v>cccm_2019OCT</v>
      </c>
    </row>
    <row r="160" spans="1:138" hidden="1">
      <c r="A160" s="591" t="s">
        <v>3261</v>
      </c>
      <c r="B160" s="524" t="s">
        <v>245</v>
      </c>
      <c r="C160" s="524" t="s">
        <v>245</v>
      </c>
      <c r="D160" s="592" t="s">
        <v>310</v>
      </c>
      <c r="E160" s="592" t="s">
        <v>39</v>
      </c>
      <c r="F160" s="592" t="s">
        <v>151</v>
      </c>
      <c r="G160" s="721" t="str">
        <f>VLOOKUP(WWWW[[#This Row],[Site Name]],SiteDB6[[Site Name]:[Location Type]],8,FALSE)</f>
        <v>Camp</v>
      </c>
      <c r="H160" s="592" t="s">
        <v>233</v>
      </c>
      <c r="I160" s="594">
        <v>70</v>
      </c>
      <c r="J160" s="594">
        <v>350</v>
      </c>
      <c r="K160" s="595">
        <v>43313</v>
      </c>
      <c r="L160" s="596">
        <v>44043</v>
      </c>
      <c r="M160" s="594"/>
      <c r="N160" s="594"/>
      <c r="O160" s="594"/>
      <c r="P160" s="594"/>
      <c r="Q160" s="597"/>
      <c r="R160" s="594"/>
      <c r="S160" s="594">
        <v>4</v>
      </c>
      <c r="T160" s="523"/>
      <c r="U160" s="594"/>
      <c r="V160" s="594"/>
      <c r="W160" s="594"/>
      <c r="X160" s="594"/>
      <c r="Y160" s="594"/>
      <c r="Z160" s="594"/>
      <c r="AA160" s="594"/>
      <c r="AB160" s="594"/>
      <c r="AC160" s="594"/>
      <c r="AD160" s="594"/>
      <c r="AE160" s="594"/>
      <c r="AF160" s="594"/>
      <c r="AG160" s="594"/>
      <c r="AH160" s="594"/>
      <c r="AI160" s="594"/>
      <c r="AJ160" s="594"/>
      <c r="AK160" s="594"/>
      <c r="AL160" s="594"/>
      <c r="AM160" s="594"/>
      <c r="AN160" s="594"/>
      <c r="AO160" s="598"/>
      <c r="AP160" s="594"/>
      <c r="AQ160" s="594"/>
      <c r="AR160" s="599"/>
      <c r="AS160" s="594"/>
      <c r="AT160" s="594"/>
      <c r="AU160" s="594"/>
      <c r="AV160" s="594"/>
      <c r="AW160" s="594"/>
      <c r="AX160" s="593"/>
      <c r="AY160" s="598"/>
      <c r="AZ160" s="594"/>
      <c r="BA160" s="594"/>
      <c r="BB160" s="594"/>
      <c r="BC160" s="594"/>
      <c r="BD160" s="523"/>
      <c r="BE160" s="593"/>
      <c r="BF160" s="594"/>
      <c r="BG160" s="594"/>
      <c r="BH160" s="594"/>
      <c r="BI160" s="594"/>
      <c r="BJ160" s="594"/>
      <c r="BK160" s="594"/>
      <c r="BL160" s="594"/>
      <c r="BM160" s="594"/>
      <c r="BN160" s="594"/>
      <c r="BO160" s="593"/>
      <c r="BP160" s="594"/>
      <c r="BQ160" s="599"/>
      <c r="BR160" s="593"/>
      <c r="BS160" s="472"/>
      <c r="BT160" s="472"/>
      <c r="BU160" s="523"/>
      <c r="BV160" s="472"/>
      <c r="BW160" s="523"/>
      <c r="BX160" s="523"/>
      <c r="BY160" s="523"/>
      <c r="BZ160" s="601" t="str">
        <f>IFERROR(WWWW[[#This Row],['#_Water sources passed]]/WWWW[[#This Row],['#_Water sources tested for fecal coliform ]],"no test")</f>
        <v>no test</v>
      </c>
      <c r="CA160" s="599" t="str">
        <f>IFERROR(WWWW[[#This Row],['#_Household passed]]/WWWW[[#This Row],['#_Household water samples tested for fecal coliform]],"no test")</f>
        <v>no test</v>
      </c>
      <c r="CB160" s="600" t="str">
        <f>IF(AND(WWWW[[#This Row],[% of water sources passed]]="no test",WWWW[[#This Row],[% Household passed]]="no test"),"No Test","Tested")</f>
        <v>No Test</v>
      </c>
      <c r="CC160" s="600">
        <f>WWWW[[#This Row],['#_Constructed/existing protected hand dug well]]-WWWW[[#This Row],['#_Non-functional protected hand dug well]]</f>
        <v>0</v>
      </c>
      <c r="CD160" s="600">
        <f>(WWWW[[#This Row],['#_Constructed/Existing tube wells/boreholes/handpumps_WASH_agency]]+WWWW[[#This Row],['#_Non-Cluster partner water tube-wells/boreholes/handpumps]])-WWWW[[#This Row],['#_Non-functional tube wells/boreholes/handpumps]]</f>
        <v>0</v>
      </c>
      <c r="CE160" s="600">
        <f>WWWW[[#This Row],['#_Constructed/Existingwater storage tank with gravity fed reticulation system]]-WWWW[[#This Row],['#_Non-functional storage tank gravity fed reticulation system]]</f>
        <v>0</v>
      </c>
      <c r="CF160" s="478">
        <f>(WWWW[[#This Row],['#_Water_Liters_supplied_by_Water boating or water trucking]]/90)/15</f>
        <v>0</v>
      </c>
      <c r="CG160" s="478">
        <f>WWWW[[#This Row],['#_Water_Liters_from_Constructed/Existing water distribution system from river or natural spring]]/90/15</f>
        <v>0</v>
      </c>
      <c r="CH160" s="478">
        <f>WWWW[[#This Row],['#_of water points in TLS/CFS /THF]]*500</f>
        <v>0</v>
      </c>
      <c r="CI16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0" s="599">
        <f>IF(WWWW[[#This Row],[Location Type 1]]="Village",WWWW[[#This Row],[Access to safe drinking water for Village]],WWWW[[#This Row],[Access to safe drinking water for Camp]])</f>
        <v>0</v>
      </c>
      <c r="CL160" s="597">
        <f>WWWW[[#This Row],[%Equitable and continuous access to sufficient quantity of safe drinking water]]*WWWW[[#This Row],[Total PoP ]]</f>
        <v>0</v>
      </c>
      <c r="CM160" s="599">
        <f>IF((WWWW[[#This Row],['#_Constructed/Existing protected/fenced ponds]]*250)/WWWW[[#This Row],[Total PoP ]]&gt;1,1,(WWWW[[#This Row],['#_Constructed/Existing protected/fenced ponds]]*250)/WWWW[[#This Row],[Total PoP ]])</f>
        <v>0</v>
      </c>
      <c r="CN160" s="597">
        <f>WWWW[[#This Row],[% Access to unimproved water points]]*WWWW[[#This Row],[Total PoP ]]</f>
        <v>0</v>
      </c>
      <c r="CO16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0" s="597">
        <f>WWWW[[#This Row],[HRP1]]/500</f>
        <v>0</v>
      </c>
      <c r="CR160" s="602">
        <f>1-WWWW[[#This Row],[% Equitable and continuous access to sufficient quantity of domestic water]]</f>
        <v>1</v>
      </c>
      <c r="CS160" s="597">
        <f>WWWW[[#This Row],[%equitable and continuous access to sufficient quantity of safe drinking and domestic water''s GAP]]*WWWW[[#This Row],[Total PoP ]]</f>
        <v>350</v>
      </c>
      <c r="CT160" s="600">
        <f>IF(WWWW[[#This Row],[Total required water points]]-WWWW[[#This Row],['#Water points coverage]]&lt;0,0,WWWW[[#This Row],[Total required water points]]-WWWW[[#This Row],['#Water points coverage]])</f>
        <v>1</v>
      </c>
      <c r="CU160" s="600">
        <f>ROUND(IF(WWWW[[#This Row],[Total PoP ]]&lt;500,1,WWWW[[#This Row],[Total PoP ]]/500),0)</f>
        <v>1</v>
      </c>
      <c r="CV160" s="600">
        <f>(WWWW[[#This Row],['#_Constructed latrines_by_WASHAgencies]]+WWWW[[#This Row],['#_Non Cluster partner latrines]])-WWWW[[#This Row],['#_Non-functional latrines]]</f>
        <v>0</v>
      </c>
      <c r="CW160" s="70">
        <f>WWWW[[#This Row],[HRP2]]/WWWW[[#This Row],[Total PoP ]]</f>
        <v>0</v>
      </c>
      <c r="CX16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6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0" s="600">
        <f>IF(WWWW[[#This Row],['# of functional latrines in THF supported by WASH partners during the reporting period2]]="",0,WWWW[[#This Row],['# of functional latrines in THF supported by WASH partners during the reporting period2]]*50)</f>
        <v>0</v>
      </c>
      <c r="DB160" s="600">
        <f>WWWW[[#This Row],['# students access to functioning school latrines_HRP5]]+WWWW[[#This Row],['# People access to functioning latrines in THF_HRP5]]</f>
        <v>0</v>
      </c>
      <c r="DC160" s="600">
        <f>ROUND(IF(WWWW[[#This Row],[Location Type 1]]="camp",WWWW[[#This Row],[Total PoP ]]/20,IF(WWWW[[#This Row],[Location Type 1]]="Temporary Location",WWWW[[#This Row],[Total PoP ]]/50,WWWW[[#This Row],[Total HH]])),0)</f>
        <v>18</v>
      </c>
      <c r="DD160" s="600">
        <f>IF(WWWW[[#This Row],[Total required Latrines]]-(WWWW[[#This Row],['#_Constructed latrines_by_WASHAgencies]]+WWWW[[#This Row],['#_Non Cluster partner latrines]])&lt;0,0,WWWW[[#This Row],[Total required Latrines]]-(WWWW[[#This Row],['#_Constructed latrines_by_WASHAgencies]]+WWWW[[#This Row],['#_Non Cluster partner latrines]]))</f>
        <v>18</v>
      </c>
      <c r="DE160" s="602">
        <f>1-WWWW[[#This Row],[% people access to functioning Latrine]]</f>
        <v>1</v>
      </c>
      <c r="DF160" s="601">
        <f>IF(OR(WWWW[[#This Row],['#_Non-functional latrines]]="",WWWW[[#This Row],['#_Non-functional latrines]]=0),0,WWWW[[#This Row],['#_Non-functional latrines]]/(WWWW[[#This Row],['#_Constructed latrines_by_WASHAgencies]]+WWWW[[#This Row],['#_Non Cluster partner latrines]]))</f>
        <v>0</v>
      </c>
      <c r="DG160" s="597">
        <f>IF(500*(WWWW[[#This Row],['#_male hygiene promoters]]+WWWW[[#This Row],['#_female hygiene promoters]])&gt;WWWW[[#This Row],[Total PoP ]],WWWW[[#This Row],[Total PoP ]],500*(WWWW[[#This Row],['#_male hygiene promoters]]+WWWW[[#This Row],['#_female hygiene promoters]]))</f>
        <v>0</v>
      </c>
      <c r="DH16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0" s="600">
        <f>IF(WWWW[[#This Row],['# People with access to soap]]&gt;WWWW[[#This Row],['# People with access to Sanity Pads]],WWWW[[#This Row],['# People with access to soap]],WWWW[[#This Row],['# People with access to Sanity Pads]])</f>
        <v>0</v>
      </c>
      <c r="DK16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0" s="602">
        <f>IF(WWWW[[#This Row],[HRP3]]/WWWW[[#This Row],[Total PoP ]]&gt;1,1,WWWW[[#This Row],[HRP3]]/WWWW[[#This Row],[Total PoP ]])</f>
        <v>0</v>
      </c>
      <c r="DM160" s="601">
        <f>1-WWWW[[#This Row],[Hygiene Coverage%]]</f>
        <v>1</v>
      </c>
      <c r="DN160" s="599">
        <f>WWWW[[#This Row],['# people reached by regular dedicated hygiene promotion_5]]/WWWW[[#This Row],[Total PoP ]]</f>
        <v>0</v>
      </c>
      <c r="DO16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0" s="600">
        <f>WWWW[[#This Row],['#_Constructed/Existing hand washing stations]]-WWWW[[#This Row],['#_Non-Functional_hand_washing_stations]]</f>
        <v>0</v>
      </c>
      <c r="DR160" s="597">
        <f>IF(WWWW[[#This Row],['# Functional hand washing stations during reporting period]]*20&gt;WWWW[[#This Row],[Total HH]],WWWW[[#This Row],[Total HH]],WWWW[[#This Row],['# Functional hand washing stations during reporting period]]*20)</f>
        <v>0</v>
      </c>
      <c r="DS160" s="597">
        <f>IF(WWWW[[#This Row],[Is sufficient soap available for TLS? (Yes/No)]]="yes",WWWW[[#This Row],['#_Constructed/Existing hand washing stations at TLS]],0)</f>
        <v>0</v>
      </c>
      <c r="DT160" s="479">
        <f>IF(WWWW[[#This Row],['# Functional hand washing stations during reporting period]]*100&gt;WWWW[[#This Row],[Total PoP ]],WWWW[[#This Row],[Total PoP ]],WWWW[[#This Row],['# Functional hand washing stations during reporting period]]*100)</f>
        <v>0</v>
      </c>
      <c r="DU160" s="479" t="str">
        <f>IF(OR(WWWW[[#This Row],['#_students at TLS_CFS]]="",WWWW[[#This Row],['#_students at TLS_CFS]]=0),"No","Yes")</f>
        <v>No</v>
      </c>
      <c r="DV16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0" s="593" t="str">
        <f>VLOOKUP(WWWW[[#This Row],[Site Name]],SiteDB6[[Site Name]:[CCCM Management]],6,FALSE)</f>
        <v>Yes</v>
      </c>
      <c r="DZ160" s="593" t="str">
        <f>VLOOKUP(WWWW[[#This Row],[Site Name]],SiteDB6[[Site Name]:[CCCM Focal Agency]],7,FALSE)</f>
        <v>KMSS-MYT</v>
      </c>
      <c r="EA160" s="593" t="str">
        <f>VLOOKUP(WWWW[[#This Row],[Site Name]],SiteDB6[[Site Name]:[Location Type 1]],9,FALSE)</f>
        <v>Camp</v>
      </c>
      <c r="EB160" s="593" t="str">
        <f>VLOOKUP(WWWW[[#This Row],[Site Name]],SiteDB6[[Site Name]:[Type of Accommodation]],10,FALSE)</f>
        <v>Camp</v>
      </c>
      <c r="EC160" s="593" t="str">
        <f>VLOOKUP(WWWW[[#This Row],[Site Name]],SiteDB6[[Site Name]:[Ethnic or GCA/NGCA]],11,FALSE)</f>
        <v>GCA</v>
      </c>
      <c r="ED160" s="593">
        <f>VLOOKUP(WWWW[[#This Row],[Site Name]],SiteDB6[[Site Name]:[Lat]],12,FALSE)</f>
        <v>25.656009999999998</v>
      </c>
      <c r="EE160" s="593">
        <f>VLOOKUP(WWWW[[#This Row],[Site Name]],SiteDB6[[Site Name]:[Long]],13,FALSE)</f>
        <v>96.361609999999999</v>
      </c>
      <c r="EF160" s="593" t="str">
        <f>VLOOKUP(WWWW[[#This Row],[Site Name]],SiteDB6[[Site Name]:[Pcode]],3,FALSE)</f>
        <v>MMR001CMP168</v>
      </c>
      <c r="EG160" s="598" t="str">
        <f t="shared" si="2"/>
        <v>Covered</v>
      </c>
      <c r="EH160" s="598" t="str">
        <f>VLOOKUP(WWWW[[#This Row],[Site Name]],SiteDB6[[Site Name]:[open in cccm?]],2,FALSE)</f>
        <v>cccm_2019OCT</v>
      </c>
    </row>
    <row r="161" spans="1:138" hidden="1">
      <c r="A161" s="591" t="s">
        <v>3261</v>
      </c>
      <c r="B161" s="591" t="s">
        <v>245</v>
      </c>
      <c r="C161" s="592" t="s">
        <v>245</v>
      </c>
      <c r="D161" s="592" t="s">
        <v>310</v>
      </c>
      <c r="E161" s="592" t="s">
        <v>39</v>
      </c>
      <c r="F161" s="592" t="s">
        <v>151</v>
      </c>
      <c r="G161" s="721" t="str">
        <f>VLOOKUP(WWWW[[#This Row],[Site Name]],SiteDB6[[Site Name]:[Location Type]],8,FALSE)</f>
        <v>Camp</v>
      </c>
      <c r="H161" s="592" t="s">
        <v>251</v>
      </c>
      <c r="I161" s="594">
        <v>70</v>
      </c>
      <c r="J161" s="594">
        <v>371</v>
      </c>
      <c r="K161" s="595">
        <v>43313</v>
      </c>
      <c r="L161" s="596">
        <v>44043</v>
      </c>
      <c r="M161" s="594"/>
      <c r="N161" s="594">
        <v>1</v>
      </c>
      <c r="O161" s="594"/>
      <c r="P161" s="594"/>
      <c r="Q161" s="597" t="s">
        <v>43</v>
      </c>
      <c r="R161" s="594">
        <v>10</v>
      </c>
      <c r="S161" s="594">
        <v>5</v>
      </c>
      <c r="T161" s="523">
        <v>1</v>
      </c>
      <c r="U161" s="594"/>
      <c r="V161" s="594"/>
      <c r="W161" s="594">
        <v>0</v>
      </c>
      <c r="X161" s="594">
        <v>0</v>
      </c>
      <c r="Y161" s="594"/>
      <c r="Z161" s="594"/>
      <c r="AA161" s="594">
        <v>0</v>
      </c>
      <c r="AB161" s="594"/>
      <c r="AC161" s="594"/>
      <c r="AD161" s="594">
        <v>0</v>
      </c>
      <c r="AE161" s="594">
        <v>0</v>
      </c>
      <c r="AF161" s="594">
        <v>0</v>
      </c>
      <c r="AG161" s="594">
        <v>0</v>
      </c>
      <c r="AH161" s="594">
        <v>1</v>
      </c>
      <c r="AI161" s="594"/>
      <c r="AJ161" s="594"/>
      <c r="AK161" s="594"/>
      <c r="AL161" s="594"/>
      <c r="AM161" s="594">
        <v>0</v>
      </c>
      <c r="AN161" s="594">
        <v>0</v>
      </c>
      <c r="AO161" s="598"/>
      <c r="AP161" s="594">
        <v>19</v>
      </c>
      <c r="AQ161" s="594">
        <v>7</v>
      </c>
      <c r="AR161" s="599" t="s">
        <v>2915</v>
      </c>
      <c r="AS161" s="594"/>
      <c r="AT161" s="594"/>
      <c r="AU161" s="594"/>
      <c r="AV161" s="594"/>
      <c r="AW161" s="594">
        <v>0</v>
      </c>
      <c r="AX161" s="593" t="s">
        <v>43</v>
      </c>
      <c r="AY161" s="598" t="s">
        <v>140</v>
      </c>
      <c r="AZ161" s="594">
        <v>0</v>
      </c>
      <c r="BA161" s="594">
        <v>0</v>
      </c>
      <c r="BB161" s="594">
        <v>0</v>
      </c>
      <c r="BC161" s="594"/>
      <c r="BD161" s="523"/>
      <c r="BE161" s="593"/>
      <c r="BF161" s="594">
        <v>2</v>
      </c>
      <c r="BG161" s="594"/>
      <c r="BH161" s="594">
        <v>0</v>
      </c>
      <c r="BI161" s="594">
        <v>4</v>
      </c>
      <c r="BJ161" s="594"/>
      <c r="BK161" s="594">
        <v>8</v>
      </c>
      <c r="BL161" s="594">
        <v>5</v>
      </c>
      <c r="BM161" s="594"/>
      <c r="BN161" s="594"/>
      <c r="BO161" s="593" t="s">
        <v>139</v>
      </c>
      <c r="BP161" s="594"/>
      <c r="BQ161" s="599"/>
      <c r="BR161" s="593"/>
      <c r="BS161" s="472"/>
      <c r="BT161" s="472"/>
      <c r="BU161" s="523"/>
      <c r="BV161" s="472"/>
      <c r="BW161" s="523"/>
      <c r="BX161" s="523"/>
      <c r="BY161" s="523"/>
      <c r="BZ161" s="601" t="str">
        <f>IFERROR(WWWW[[#This Row],['#_Water sources passed]]/WWWW[[#This Row],['#_Water sources tested for fecal coliform ]],"no test")</f>
        <v>no test</v>
      </c>
      <c r="CA161" s="599" t="str">
        <f>IFERROR(WWWW[[#This Row],['#_Household passed]]/WWWW[[#This Row],['#_Household water samples tested for fecal coliform]],"no test")</f>
        <v>no test</v>
      </c>
      <c r="CB161" s="600" t="str">
        <f>IF(AND(WWWW[[#This Row],[% of water sources passed]]="no test",WWWW[[#This Row],[% Household passed]]="no test"),"No Test","Tested")</f>
        <v>No Test</v>
      </c>
      <c r="CC161" s="600">
        <f>WWWW[[#This Row],['#_Constructed/existing protected hand dug well]]-WWWW[[#This Row],['#_Non-functional protected hand dug well]]</f>
        <v>1</v>
      </c>
      <c r="CD161" s="600">
        <f>(WWWW[[#This Row],['#_Constructed/Existing tube wells/boreholes/handpumps_WASH_agency]]+WWWW[[#This Row],['#_Non-Cluster partner water tube-wells/boreholes/handpumps]])-WWWW[[#This Row],['#_Non-functional tube wells/boreholes/handpumps]]</f>
        <v>0</v>
      </c>
      <c r="CE161" s="600">
        <f>WWWW[[#This Row],['#_Constructed/Existingwater storage tank with gravity fed reticulation system]]-WWWW[[#This Row],['#_Non-functional storage tank gravity fed reticulation system]]</f>
        <v>0</v>
      </c>
      <c r="CF161" s="478">
        <f>(WWWW[[#This Row],['#_Water_Liters_supplied_by_Water boating or water trucking]]/90)/15</f>
        <v>0</v>
      </c>
      <c r="CG161" s="478">
        <f>WWWW[[#This Row],['#_Water_Liters_from_Constructed/Existing water distribution system from river or natural spring]]/90/15</f>
        <v>0</v>
      </c>
      <c r="CH161" s="478">
        <f>WWWW[[#This Row],['#_of water points in TLS/CFS /THF]]*500</f>
        <v>0</v>
      </c>
      <c r="CI16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0.67385444743935308</v>
      </c>
      <c r="CK161" s="599">
        <f>IF(WWWW[[#This Row],[Location Type 1]]="Village",WWWW[[#This Row],[Access to safe drinking water for Village]],WWWW[[#This Row],[Access to safe drinking water for Camp]])</f>
        <v>1</v>
      </c>
      <c r="CL161" s="597">
        <f>WWWW[[#This Row],[%Equitable and continuous access to sufficient quantity of safe drinking water]]*WWWW[[#This Row],[Total PoP ]]</f>
        <v>371</v>
      </c>
      <c r="CM161" s="599">
        <f>IF((WWWW[[#This Row],['#_Constructed/Existing protected/fenced ponds]]*250)/WWWW[[#This Row],[Total PoP ]]&gt;1,1,(WWWW[[#This Row],['#_Constructed/Existing protected/fenced ponds]]*250)/WWWW[[#This Row],[Total PoP ]])</f>
        <v>0</v>
      </c>
      <c r="CN161" s="597">
        <f>WWWW[[#This Row],[% Access to unimproved water points]]*WWWW[[#This Row],[Total PoP ]]</f>
        <v>0</v>
      </c>
      <c r="CO16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371</v>
      </c>
      <c r="CQ161" s="597">
        <f>WWWW[[#This Row],[HRP1]]/500</f>
        <v>0.74199999999999999</v>
      </c>
      <c r="CR161" s="602">
        <f>1-WWWW[[#This Row],[% Equitable and continuous access to sufficient quantity of domestic water]]</f>
        <v>0</v>
      </c>
      <c r="CS161" s="597">
        <f>WWWW[[#This Row],[%equitable and continuous access to sufficient quantity of safe drinking and domestic water''s GAP]]*WWWW[[#This Row],[Total PoP ]]</f>
        <v>0</v>
      </c>
      <c r="CT161" s="600">
        <f>IF(WWWW[[#This Row],[Total required water points]]-WWWW[[#This Row],['#Water points coverage]]&lt;0,0,WWWW[[#This Row],[Total required water points]]-WWWW[[#This Row],['#Water points coverage]])</f>
        <v>0.25800000000000001</v>
      </c>
      <c r="CU161" s="600">
        <f>ROUND(IF(WWWW[[#This Row],[Total PoP ]]&lt;500,1,WWWW[[#This Row],[Total PoP ]]/500),0)</f>
        <v>1</v>
      </c>
      <c r="CV161" s="600">
        <f>(WWWW[[#This Row],['#_Constructed latrines_by_WASHAgencies]]+WWWW[[#This Row],['#_Non Cluster partner latrines]])-WWWW[[#This Row],['#_Non-functional latrines]]</f>
        <v>26</v>
      </c>
      <c r="CW161" s="70">
        <f>WWWW[[#This Row],[HRP2]]/WWWW[[#This Row],[Total PoP ]]</f>
        <v>1</v>
      </c>
      <c r="CX16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371</v>
      </c>
      <c r="CY16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1" s="600">
        <f>IF(WWWW[[#This Row],['# of functional latrines in THF supported by WASH partners during the reporting period2]]="",0,WWWW[[#This Row],['# of functional latrines in THF supported by WASH partners during the reporting period2]]*50)</f>
        <v>0</v>
      </c>
      <c r="DB161" s="600">
        <f>WWWW[[#This Row],['# students access to functioning school latrines_HRP5]]+WWWW[[#This Row],['# People access to functioning latrines in THF_HRP5]]</f>
        <v>0</v>
      </c>
      <c r="DC161" s="600">
        <f>ROUND(IF(WWWW[[#This Row],[Location Type 1]]="camp",WWWW[[#This Row],[Total PoP ]]/20,IF(WWWW[[#This Row],[Location Type 1]]="Temporary Location",WWWW[[#This Row],[Total PoP ]]/50,WWWW[[#This Row],[Total HH]])),0)</f>
        <v>19</v>
      </c>
      <c r="DD161" s="600">
        <f>IF(WWWW[[#This Row],[Total required Latrines]]-(WWWW[[#This Row],['#_Constructed latrines_by_WASHAgencies]]+WWWW[[#This Row],['#_Non Cluster partner latrines]])&lt;0,0,WWWW[[#This Row],[Total required Latrines]]-(WWWW[[#This Row],['#_Constructed latrines_by_WASHAgencies]]+WWWW[[#This Row],['#_Non Cluster partner latrines]]))</f>
        <v>0</v>
      </c>
      <c r="DE161" s="602">
        <f>1-WWWW[[#This Row],[% people access to functioning Latrine]]</f>
        <v>0</v>
      </c>
      <c r="DF161" s="601">
        <f>IF(OR(WWWW[[#This Row],['#_Non-functional latrines]]="",WWWW[[#This Row],['#_Non-functional latrines]]=0),0,WWWW[[#This Row],['#_Non-functional latrines]]/(WWWW[[#This Row],['#_Constructed latrines_by_WASHAgencies]]+WWWW[[#This Row],['#_Non Cluster partner latrines]]))</f>
        <v>0</v>
      </c>
      <c r="DG161" s="597">
        <f>IF(500*(WWWW[[#This Row],['#_male hygiene promoters]]+WWWW[[#This Row],['#_female hygiene promoters]])&gt;WWWW[[#This Row],[Total PoP ]],WWWW[[#This Row],[Total PoP ]],500*(WWWW[[#This Row],['#_male hygiene promoters]]+WWWW[[#This Row],['#_female hygiene promoters]]))</f>
        <v>371</v>
      </c>
      <c r="DH16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1" s="600">
        <f>IF(WWWW[[#This Row],['# People with access to soap]]&gt;WWWW[[#This Row],['# People with access to Sanity Pads]],WWWW[[#This Row],['# People with access to soap]],WWWW[[#This Row],['# People with access to Sanity Pads]])</f>
        <v>0</v>
      </c>
      <c r="DK161" s="600">
        <f>IF(WWWW[[#This Row],['# people reached by regular dedicated hygiene promotion_5]]&gt;WWWW[[#This Row],['# People received regular supply of hygiene items_6]],WWWW[[#This Row],['# people reached by regular dedicated hygiene promotion_5]],WWWW[[#This Row],['# People received regular supply of hygiene items_6]])</f>
        <v>371</v>
      </c>
      <c r="DL161" s="602">
        <f>IF(WWWW[[#This Row],[HRP3]]/WWWW[[#This Row],[Total PoP ]]&gt;1,1,WWWW[[#This Row],[HRP3]]/WWWW[[#This Row],[Total PoP ]])</f>
        <v>1</v>
      </c>
      <c r="DM161" s="601">
        <f>1-WWWW[[#This Row],[Hygiene Coverage%]]</f>
        <v>0</v>
      </c>
      <c r="DN161" s="599">
        <f>WWWW[[#This Row],['# people reached by regular dedicated hygiene promotion_5]]/WWWW[[#This Row],[Total PoP ]]</f>
        <v>1</v>
      </c>
      <c r="DO16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1" s="600">
        <f>WWWW[[#This Row],['#_Constructed/Existing hand washing stations]]-WWWW[[#This Row],['#_Non-Functional_hand_washing_stations]]</f>
        <v>2</v>
      </c>
      <c r="DR161" s="597">
        <f>IF(WWWW[[#This Row],['# Functional hand washing stations during reporting period]]*20&gt;WWWW[[#This Row],[Total HH]],WWWW[[#This Row],[Total HH]],WWWW[[#This Row],['# Functional hand washing stations during reporting period]]*20)</f>
        <v>40</v>
      </c>
      <c r="DS161" s="597">
        <f>IF(WWWW[[#This Row],[Is sufficient soap available for TLS? (Yes/No)]]="yes",WWWW[[#This Row],['#_Constructed/Existing hand washing stations at TLS]],0)</f>
        <v>0</v>
      </c>
      <c r="DT161" s="479">
        <f>IF(WWWW[[#This Row],['# Functional hand washing stations during reporting period]]*100&gt;WWWW[[#This Row],[Total PoP ]],WWWW[[#This Row],[Total PoP ]],WWWW[[#This Row],['# Functional hand washing stations during reporting period]]*100)</f>
        <v>200</v>
      </c>
      <c r="DU161" s="479" t="str">
        <f>IF(OR(WWWW[[#This Row],['#_students at TLS_CFS]]="",WWWW[[#This Row],['#_students at TLS_CFS]]=0),"No","Yes")</f>
        <v>No</v>
      </c>
      <c r="DV16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1" s="593" t="str">
        <f>VLOOKUP(WWWW[[#This Row],[Site Name]],SiteDB6[[Site Name]:[CCCM Management]],6,FALSE)</f>
        <v>Yes</v>
      </c>
      <c r="DZ161" s="593" t="str">
        <f>VLOOKUP(WWWW[[#This Row],[Site Name]],SiteDB6[[Site Name]:[CCCM Focal Agency]],7,FALSE)</f>
        <v>Shalom</v>
      </c>
      <c r="EA161" s="593" t="str">
        <f>VLOOKUP(WWWW[[#This Row],[Site Name]],SiteDB6[[Site Name]:[Location Type 1]],9,FALSE)</f>
        <v>Camp</v>
      </c>
      <c r="EB161" s="593" t="str">
        <f>VLOOKUP(WWWW[[#This Row],[Site Name]],SiteDB6[[Site Name]:[Type of Accommodation]],10,FALSE)</f>
        <v>Camp</v>
      </c>
      <c r="EC161" s="593" t="str">
        <f>VLOOKUP(WWWW[[#This Row],[Site Name]],SiteDB6[[Site Name]:[Ethnic or GCA/NGCA]],11,FALSE)</f>
        <v>GCA</v>
      </c>
      <c r="ED161" s="593">
        <f>VLOOKUP(WWWW[[#This Row],[Site Name]],SiteDB6[[Site Name]:[Lat]],12,FALSE)</f>
        <v>25.635300000000001</v>
      </c>
      <c r="EE161" s="593">
        <f>VLOOKUP(WWWW[[#This Row],[Site Name]],SiteDB6[[Site Name]:[Long]],13,FALSE)</f>
        <v>96.345569999999995</v>
      </c>
      <c r="EF161" s="593" t="str">
        <f>VLOOKUP(WWWW[[#This Row],[Site Name]],SiteDB6[[Site Name]:[Pcode]],3,FALSE)</f>
        <v>MMR001CMP176</v>
      </c>
      <c r="EG161" s="598" t="str">
        <f t="shared" si="2"/>
        <v>Covered</v>
      </c>
      <c r="EH161" s="598" t="str">
        <f>VLOOKUP(WWWW[[#This Row],[Site Name]],SiteDB6[[Site Name]:[open in cccm?]],2,FALSE)</f>
        <v>cccm_2019OCT</v>
      </c>
    </row>
    <row r="162" spans="1:138" hidden="1">
      <c r="A162" s="591" t="s">
        <v>3261</v>
      </c>
      <c r="B162" s="591" t="s">
        <v>245</v>
      </c>
      <c r="C162" s="592" t="s">
        <v>245</v>
      </c>
      <c r="D162" s="592" t="s">
        <v>310</v>
      </c>
      <c r="E162" s="592" t="s">
        <v>39</v>
      </c>
      <c r="F162" s="592" t="s">
        <v>151</v>
      </c>
      <c r="G162" s="721" t="str">
        <f>VLOOKUP(WWWW[[#This Row],[Site Name]],SiteDB6[[Site Name]:[Location Type]],8,FALSE)</f>
        <v>Camp</v>
      </c>
      <c r="H162" s="592" t="s">
        <v>252</v>
      </c>
      <c r="I162" s="594">
        <v>13</v>
      </c>
      <c r="J162" s="594">
        <v>83</v>
      </c>
      <c r="K162" s="595">
        <v>43313</v>
      </c>
      <c r="L162" s="596">
        <v>44043</v>
      </c>
      <c r="M162" s="594"/>
      <c r="N162" s="594">
        <v>1</v>
      </c>
      <c r="O162" s="594"/>
      <c r="P162" s="594"/>
      <c r="Q162" s="597" t="s">
        <v>43</v>
      </c>
      <c r="R162" s="594">
        <v>0</v>
      </c>
      <c r="S162" s="594">
        <v>3</v>
      </c>
      <c r="T162" s="523">
        <v>1</v>
      </c>
      <c r="U162" s="594"/>
      <c r="V162" s="594"/>
      <c r="W162" s="594">
        <v>0</v>
      </c>
      <c r="X162" s="594">
        <v>0</v>
      </c>
      <c r="Y162" s="594"/>
      <c r="Z162" s="594"/>
      <c r="AA162" s="594">
        <v>0</v>
      </c>
      <c r="AB162" s="594"/>
      <c r="AC162" s="594"/>
      <c r="AD162" s="594">
        <v>0</v>
      </c>
      <c r="AE162" s="594">
        <v>0</v>
      </c>
      <c r="AF162" s="594">
        <v>0</v>
      </c>
      <c r="AG162" s="594">
        <v>0</v>
      </c>
      <c r="AH162" s="594">
        <v>0</v>
      </c>
      <c r="AI162" s="594"/>
      <c r="AJ162" s="594"/>
      <c r="AK162" s="594"/>
      <c r="AL162" s="594"/>
      <c r="AM162" s="594">
        <v>0</v>
      </c>
      <c r="AN162" s="594">
        <v>0</v>
      </c>
      <c r="AO162" s="598"/>
      <c r="AP162" s="594">
        <v>5</v>
      </c>
      <c r="AQ162" s="594">
        <v>1</v>
      </c>
      <c r="AR162" s="599" t="s">
        <v>245</v>
      </c>
      <c r="AS162" s="594"/>
      <c r="AT162" s="594"/>
      <c r="AU162" s="594"/>
      <c r="AV162" s="594"/>
      <c r="AW162" s="594">
        <v>0</v>
      </c>
      <c r="AX162" s="593" t="s">
        <v>43</v>
      </c>
      <c r="AY162" s="598" t="s">
        <v>139</v>
      </c>
      <c r="AZ162" s="594">
        <v>0</v>
      </c>
      <c r="BA162" s="594">
        <v>0</v>
      </c>
      <c r="BB162" s="594">
        <v>0</v>
      </c>
      <c r="BC162" s="594"/>
      <c r="BD162" s="523"/>
      <c r="BE162" s="593"/>
      <c r="BF162" s="594">
        <v>3</v>
      </c>
      <c r="BG162" s="594"/>
      <c r="BH162" s="594">
        <v>0</v>
      </c>
      <c r="BI162" s="594">
        <v>2</v>
      </c>
      <c r="BJ162" s="594"/>
      <c r="BK162" s="594">
        <v>1</v>
      </c>
      <c r="BL162" s="594">
        <v>2</v>
      </c>
      <c r="BM162" s="594"/>
      <c r="BN162" s="594"/>
      <c r="BO162" s="593" t="s">
        <v>139</v>
      </c>
      <c r="BP162" s="594"/>
      <c r="BQ162" s="599"/>
      <c r="BR162" s="593"/>
      <c r="BS162" s="472"/>
      <c r="BT162" s="472"/>
      <c r="BU162" s="523"/>
      <c r="BV162" s="472"/>
      <c r="BW162" s="523"/>
      <c r="BX162" s="523"/>
      <c r="BY162" s="523"/>
      <c r="BZ162" s="601" t="str">
        <f>IFERROR(WWWW[[#This Row],['#_Water sources passed]]/WWWW[[#This Row],['#_Water sources tested for fecal coliform ]],"no test")</f>
        <v>no test</v>
      </c>
      <c r="CA162" s="599" t="str">
        <f>IFERROR(WWWW[[#This Row],['#_Household passed]]/WWWW[[#This Row],['#_Household water samples tested for fecal coliform]],"no test")</f>
        <v>no test</v>
      </c>
      <c r="CB162" s="600" t="str">
        <f>IF(AND(WWWW[[#This Row],[% of water sources passed]]="no test",WWWW[[#This Row],[% Household passed]]="no test"),"No Test","Tested")</f>
        <v>No Test</v>
      </c>
      <c r="CC162" s="600">
        <f>WWWW[[#This Row],['#_Constructed/existing protected hand dug well]]-WWWW[[#This Row],['#_Non-functional protected hand dug well]]</f>
        <v>1</v>
      </c>
      <c r="CD162" s="600">
        <f>(WWWW[[#This Row],['#_Constructed/Existing tube wells/boreholes/handpumps_WASH_agency]]+WWWW[[#This Row],['#_Non-Cluster partner water tube-wells/boreholes/handpumps]])-WWWW[[#This Row],['#_Non-functional tube wells/boreholes/handpumps]]</f>
        <v>0</v>
      </c>
      <c r="CE162" s="600">
        <f>WWWW[[#This Row],['#_Constructed/Existingwater storage tank with gravity fed reticulation system]]-WWWW[[#This Row],['#_Non-functional storage tank gravity fed reticulation system]]</f>
        <v>0</v>
      </c>
      <c r="CF162" s="478">
        <f>(WWWW[[#This Row],['#_Water_Liters_supplied_by_Water boating or water trucking]]/90)/15</f>
        <v>0</v>
      </c>
      <c r="CG162" s="478">
        <f>WWWW[[#This Row],['#_Water_Liters_from_Constructed/Existing water distribution system from river or natural spring]]/90/15</f>
        <v>0</v>
      </c>
      <c r="CH162" s="478">
        <f>WWWW[[#This Row],['#_of water points in TLS/CFS /THF]]*500</f>
        <v>0</v>
      </c>
      <c r="CI16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2" s="599">
        <f>IF(WWWW[[#This Row],[Location Type 1]]="Village",WWWW[[#This Row],[Access to safe drinking water for Village]],WWWW[[#This Row],[Access to safe drinking water for Camp]])</f>
        <v>1</v>
      </c>
      <c r="CL162" s="597">
        <f>WWWW[[#This Row],[%Equitable and continuous access to sufficient quantity of safe drinking water]]*WWWW[[#This Row],[Total PoP ]]</f>
        <v>83</v>
      </c>
      <c r="CM162" s="599">
        <f>IF((WWWW[[#This Row],['#_Constructed/Existing protected/fenced ponds]]*250)/WWWW[[#This Row],[Total PoP ]]&gt;1,1,(WWWW[[#This Row],['#_Constructed/Existing protected/fenced ponds]]*250)/WWWW[[#This Row],[Total PoP ]])</f>
        <v>0</v>
      </c>
      <c r="CN162" s="597">
        <f>WWWW[[#This Row],[% Access to unimproved water points]]*WWWW[[#This Row],[Total PoP ]]</f>
        <v>0</v>
      </c>
      <c r="CO16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Q162" s="597">
        <f>WWWW[[#This Row],[HRP1]]/500</f>
        <v>0.16600000000000001</v>
      </c>
      <c r="CR162" s="602">
        <f>1-WWWW[[#This Row],[% Equitable and continuous access to sufficient quantity of domestic water]]</f>
        <v>0</v>
      </c>
      <c r="CS162" s="597">
        <f>WWWW[[#This Row],[%equitable and continuous access to sufficient quantity of safe drinking and domestic water''s GAP]]*WWWW[[#This Row],[Total PoP ]]</f>
        <v>0</v>
      </c>
      <c r="CT162" s="600">
        <f>IF(WWWW[[#This Row],[Total required water points]]-WWWW[[#This Row],['#Water points coverage]]&lt;0,0,WWWW[[#This Row],[Total required water points]]-WWWW[[#This Row],['#Water points coverage]])</f>
        <v>0.83399999999999996</v>
      </c>
      <c r="CU162" s="600">
        <f>ROUND(IF(WWWW[[#This Row],[Total PoP ]]&lt;500,1,WWWW[[#This Row],[Total PoP ]]/500),0)</f>
        <v>1</v>
      </c>
      <c r="CV162" s="600">
        <f>(WWWW[[#This Row],['#_Constructed latrines_by_WASHAgencies]]+WWWW[[#This Row],['#_Non Cluster partner latrines]])-WWWW[[#This Row],['#_Non-functional latrines]]</f>
        <v>6</v>
      </c>
      <c r="CW162" s="70">
        <f>WWWW[[#This Row],[HRP2]]/WWWW[[#This Row],[Total PoP ]]</f>
        <v>1</v>
      </c>
      <c r="CX16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CY16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2" s="600">
        <f>IF(WWWW[[#This Row],['# of functional latrines in THF supported by WASH partners during the reporting period2]]="",0,WWWW[[#This Row],['# of functional latrines in THF supported by WASH partners during the reporting period2]]*50)</f>
        <v>0</v>
      </c>
      <c r="DB162" s="600">
        <f>WWWW[[#This Row],['# students access to functioning school latrines_HRP5]]+WWWW[[#This Row],['# People access to functioning latrines in THF_HRP5]]</f>
        <v>0</v>
      </c>
      <c r="DC162" s="600">
        <f>ROUND(IF(WWWW[[#This Row],[Location Type 1]]="camp",WWWW[[#This Row],[Total PoP ]]/20,IF(WWWW[[#This Row],[Location Type 1]]="Temporary Location",WWWW[[#This Row],[Total PoP ]]/50,WWWW[[#This Row],[Total HH]])),0)</f>
        <v>4</v>
      </c>
      <c r="DD162" s="600">
        <f>IF(WWWW[[#This Row],[Total required Latrines]]-(WWWW[[#This Row],['#_Constructed latrines_by_WASHAgencies]]+WWWW[[#This Row],['#_Non Cluster partner latrines]])&lt;0,0,WWWW[[#This Row],[Total required Latrines]]-(WWWW[[#This Row],['#_Constructed latrines_by_WASHAgencies]]+WWWW[[#This Row],['#_Non Cluster partner latrines]]))</f>
        <v>0</v>
      </c>
      <c r="DE162" s="602">
        <f>1-WWWW[[#This Row],[% people access to functioning Latrine]]</f>
        <v>0</v>
      </c>
      <c r="DF162" s="601">
        <f>IF(OR(WWWW[[#This Row],['#_Non-functional latrines]]="",WWWW[[#This Row],['#_Non-functional latrines]]=0),0,WWWW[[#This Row],['#_Non-functional latrines]]/(WWWW[[#This Row],['#_Constructed latrines_by_WASHAgencies]]+WWWW[[#This Row],['#_Non Cluster partner latrines]]))</f>
        <v>0</v>
      </c>
      <c r="DG162" s="597">
        <f>IF(500*(WWWW[[#This Row],['#_male hygiene promoters]]+WWWW[[#This Row],['#_female hygiene promoters]])&gt;WWWW[[#This Row],[Total PoP ]],WWWW[[#This Row],[Total PoP ]],500*(WWWW[[#This Row],['#_male hygiene promoters]]+WWWW[[#This Row],['#_female hygiene promoters]]))</f>
        <v>83</v>
      </c>
      <c r="DH16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2" s="600">
        <f>IF(WWWW[[#This Row],['# People with access to soap]]&gt;WWWW[[#This Row],['# People with access to Sanity Pads]],WWWW[[#This Row],['# People with access to soap]],WWWW[[#This Row],['# People with access to Sanity Pads]])</f>
        <v>0</v>
      </c>
      <c r="DK162" s="600">
        <f>IF(WWWW[[#This Row],['# people reached by regular dedicated hygiene promotion_5]]&gt;WWWW[[#This Row],['# People received regular supply of hygiene items_6]],WWWW[[#This Row],['# people reached by regular dedicated hygiene promotion_5]],WWWW[[#This Row],['# People received regular supply of hygiene items_6]])</f>
        <v>83</v>
      </c>
      <c r="DL162" s="602">
        <f>IF(WWWW[[#This Row],[HRP3]]/WWWW[[#This Row],[Total PoP ]]&gt;1,1,WWWW[[#This Row],[HRP3]]/WWWW[[#This Row],[Total PoP ]])</f>
        <v>1</v>
      </c>
      <c r="DM162" s="601">
        <f>1-WWWW[[#This Row],[Hygiene Coverage%]]</f>
        <v>0</v>
      </c>
      <c r="DN162" s="599">
        <f>WWWW[[#This Row],['# people reached by regular dedicated hygiene promotion_5]]/WWWW[[#This Row],[Total PoP ]]</f>
        <v>1</v>
      </c>
      <c r="DO16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2" s="600">
        <f>WWWW[[#This Row],['#_Constructed/Existing hand washing stations]]-WWWW[[#This Row],['#_Non-Functional_hand_washing_stations]]</f>
        <v>3</v>
      </c>
      <c r="DR162" s="597">
        <f>IF(WWWW[[#This Row],['# Functional hand washing stations during reporting period]]*20&gt;WWWW[[#This Row],[Total HH]],WWWW[[#This Row],[Total HH]],WWWW[[#This Row],['# Functional hand washing stations during reporting period]]*20)</f>
        <v>13</v>
      </c>
      <c r="DS162" s="597">
        <f>IF(WWWW[[#This Row],[Is sufficient soap available for TLS? (Yes/No)]]="yes",WWWW[[#This Row],['#_Constructed/Existing hand washing stations at TLS]],0)</f>
        <v>0</v>
      </c>
      <c r="DT162" s="479">
        <f>IF(WWWW[[#This Row],['# Functional hand washing stations during reporting period]]*100&gt;WWWW[[#This Row],[Total PoP ]],WWWW[[#This Row],[Total PoP ]],WWWW[[#This Row],['# Functional hand washing stations during reporting period]]*100)</f>
        <v>83</v>
      </c>
      <c r="DU162" s="479" t="str">
        <f>IF(OR(WWWW[[#This Row],['#_students at TLS_CFS]]="",WWWW[[#This Row],['#_students at TLS_CFS]]=0),"No","Yes")</f>
        <v>No</v>
      </c>
      <c r="DV16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2" s="593" t="str">
        <f>VLOOKUP(WWWW[[#This Row],[Site Name]],SiteDB6[[Site Name]:[CCCM Management]],6,FALSE)</f>
        <v>Yes</v>
      </c>
      <c r="DZ162" s="593" t="str">
        <f>VLOOKUP(WWWW[[#This Row],[Site Name]],SiteDB6[[Site Name]:[CCCM Focal Agency]],7,FALSE)</f>
        <v>Shalom</v>
      </c>
      <c r="EA162" s="593" t="str">
        <f>VLOOKUP(WWWW[[#This Row],[Site Name]],SiteDB6[[Site Name]:[Location Type 1]],9,FALSE)</f>
        <v>Camp</v>
      </c>
      <c r="EB162" s="593" t="str">
        <f>VLOOKUP(WWWW[[#This Row],[Site Name]],SiteDB6[[Site Name]:[Type of Accommodation]],10,FALSE)</f>
        <v>Camp</v>
      </c>
      <c r="EC162" s="593" t="str">
        <f>VLOOKUP(WWWW[[#This Row],[Site Name]],SiteDB6[[Site Name]:[Ethnic or GCA/NGCA]],11,FALSE)</f>
        <v>GCA</v>
      </c>
      <c r="ED162" s="593">
        <f>VLOOKUP(WWWW[[#This Row],[Site Name]],SiteDB6[[Site Name]:[Lat]],12,FALSE)</f>
        <v>25.616509000000001</v>
      </c>
      <c r="EE162" s="593">
        <f>VLOOKUP(WWWW[[#This Row],[Site Name]],SiteDB6[[Site Name]:[Long]],13,FALSE)</f>
        <v>96.317350000000005</v>
      </c>
      <c r="EF162" s="593" t="str">
        <f>VLOOKUP(WWWW[[#This Row],[Site Name]],SiteDB6[[Site Name]:[Pcode]],3,FALSE)</f>
        <v>MMR001CMP190</v>
      </c>
      <c r="EG162" s="598" t="str">
        <f t="shared" si="2"/>
        <v>Covered</v>
      </c>
      <c r="EH162" s="598" t="str">
        <f>VLOOKUP(WWWW[[#This Row],[Site Name]],SiteDB6[[Site Name]:[open in cccm?]],2,FALSE)</f>
        <v>cccm_2019OCT</v>
      </c>
    </row>
    <row r="163" spans="1:138" hidden="1">
      <c r="A163" s="591" t="s">
        <v>3261</v>
      </c>
      <c r="B163" s="591" t="s">
        <v>245</v>
      </c>
      <c r="C163" s="592" t="s">
        <v>245</v>
      </c>
      <c r="D163" s="592" t="s">
        <v>310</v>
      </c>
      <c r="E163" s="592" t="s">
        <v>39</v>
      </c>
      <c r="F163" s="592" t="s">
        <v>151</v>
      </c>
      <c r="G163" s="721" t="str">
        <f>VLOOKUP(WWWW[[#This Row],[Site Name]],SiteDB6[[Site Name]:[Location Type]],8,FALSE)</f>
        <v>Camp</v>
      </c>
      <c r="H163" s="592" t="s">
        <v>253</v>
      </c>
      <c r="I163" s="594">
        <v>36</v>
      </c>
      <c r="J163" s="594">
        <v>228</v>
      </c>
      <c r="K163" s="595">
        <v>43313</v>
      </c>
      <c r="L163" s="596">
        <v>44043</v>
      </c>
      <c r="M163" s="594"/>
      <c r="N163" s="594">
        <v>1</v>
      </c>
      <c r="O163" s="594"/>
      <c r="P163" s="594"/>
      <c r="Q163" s="597" t="s">
        <v>43</v>
      </c>
      <c r="R163" s="594">
        <v>2</v>
      </c>
      <c r="S163" s="594">
        <v>2</v>
      </c>
      <c r="T163" s="523">
        <v>2</v>
      </c>
      <c r="U163" s="594"/>
      <c r="V163" s="594"/>
      <c r="W163" s="594">
        <v>0</v>
      </c>
      <c r="X163" s="594">
        <v>0</v>
      </c>
      <c r="Y163" s="594"/>
      <c r="Z163" s="594"/>
      <c r="AA163" s="594">
        <v>0</v>
      </c>
      <c r="AB163" s="594"/>
      <c r="AC163" s="594"/>
      <c r="AD163" s="594">
        <v>0</v>
      </c>
      <c r="AE163" s="594">
        <v>0</v>
      </c>
      <c r="AF163" s="594">
        <v>0</v>
      </c>
      <c r="AG163" s="594">
        <v>0</v>
      </c>
      <c r="AH163" s="594">
        <v>1</v>
      </c>
      <c r="AI163" s="594"/>
      <c r="AJ163" s="594"/>
      <c r="AK163" s="594"/>
      <c r="AL163" s="594"/>
      <c r="AM163" s="594">
        <v>0</v>
      </c>
      <c r="AN163" s="594">
        <v>0</v>
      </c>
      <c r="AO163" s="598"/>
      <c r="AP163" s="594">
        <v>10</v>
      </c>
      <c r="AQ163" s="594">
        <v>0</v>
      </c>
      <c r="AR163" s="599" t="s">
        <v>245</v>
      </c>
      <c r="AS163" s="594"/>
      <c r="AT163" s="594"/>
      <c r="AU163" s="594"/>
      <c r="AV163" s="594"/>
      <c r="AW163" s="594">
        <v>0</v>
      </c>
      <c r="AX163" s="593" t="s">
        <v>43</v>
      </c>
      <c r="AY163" s="598" t="s">
        <v>140</v>
      </c>
      <c r="AZ163" s="594">
        <v>0</v>
      </c>
      <c r="BA163" s="594">
        <v>0</v>
      </c>
      <c r="BB163" s="594">
        <v>0</v>
      </c>
      <c r="BC163" s="594"/>
      <c r="BD163" s="523"/>
      <c r="BE163" s="593"/>
      <c r="BF163" s="594">
        <v>0</v>
      </c>
      <c r="BG163" s="594"/>
      <c r="BH163" s="594">
        <v>0</v>
      </c>
      <c r="BI163" s="594">
        <v>3</v>
      </c>
      <c r="BJ163" s="594"/>
      <c r="BK163" s="594">
        <v>2</v>
      </c>
      <c r="BL163" s="594">
        <v>2</v>
      </c>
      <c r="BM163" s="594"/>
      <c r="BN163" s="594"/>
      <c r="BO163" s="593" t="s">
        <v>139</v>
      </c>
      <c r="BP163" s="594"/>
      <c r="BQ163" s="599"/>
      <c r="BR163" s="593"/>
      <c r="BS163" s="472"/>
      <c r="BT163" s="472"/>
      <c r="BU163" s="523"/>
      <c r="BV163" s="472"/>
      <c r="BW163" s="523"/>
      <c r="BX163" s="523"/>
      <c r="BY163" s="523"/>
      <c r="BZ163" s="601" t="str">
        <f>IFERROR(WWWW[[#This Row],['#_Water sources passed]]/WWWW[[#This Row],['#_Water sources tested for fecal coliform ]],"no test")</f>
        <v>no test</v>
      </c>
      <c r="CA163" s="599" t="str">
        <f>IFERROR(WWWW[[#This Row],['#_Household passed]]/WWWW[[#This Row],['#_Household water samples tested for fecal coliform]],"no test")</f>
        <v>no test</v>
      </c>
      <c r="CB163" s="600" t="str">
        <f>IF(AND(WWWW[[#This Row],[% of water sources passed]]="no test",WWWW[[#This Row],[% Household passed]]="no test"),"No Test","Tested")</f>
        <v>No Test</v>
      </c>
      <c r="CC163" s="600">
        <f>WWWW[[#This Row],['#_Constructed/existing protected hand dug well]]-WWWW[[#This Row],['#_Non-functional protected hand dug well]]</f>
        <v>2</v>
      </c>
      <c r="CD163" s="600">
        <f>(WWWW[[#This Row],['#_Constructed/Existing tube wells/boreholes/handpumps_WASH_agency]]+WWWW[[#This Row],['#_Non-Cluster partner water tube-wells/boreholes/handpumps]])-WWWW[[#This Row],['#_Non-functional tube wells/boreholes/handpumps]]</f>
        <v>0</v>
      </c>
      <c r="CE163" s="600">
        <f>WWWW[[#This Row],['#_Constructed/Existingwater storage tank with gravity fed reticulation system]]-WWWW[[#This Row],['#_Non-functional storage tank gravity fed reticulation system]]</f>
        <v>0</v>
      </c>
      <c r="CF163" s="478">
        <f>(WWWW[[#This Row],['#_Water_Liters_supplied_by_Water boating or water trucking]]/90)/15</f>
        <v>0</v>
      </c>
      <c r="CG163" s="478">
        <f>WWWW[[#This Row],['#_Water_Liters_from_Constructed/Existing water distribution system from river or natural spring]]/90/15</f>
        <v>0</v>
      </c>
      <c r="CH163" s="478">
        <f>WWWW[[#This Row],['#_of water points in TLS/CFS /THF]]*500</f>
        <v>0</v>
      </c>
      <c r="CI16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3" s="599">
        <f>IF(WWWW[[#This Row],[Location Type 1]]="Village",WWWW[[#This Row],[Access to safe drinking water for Village]],WWWW[[#This Row],[Access to safe drinking water for Camp]])</f>
        <v>1</v>
      </c>
      <c r="CL163" s="597">
        <f>WWWW[[#This Row],[%Equitable and continuous access to sufficient quantity of safe drinking water]]*WWWW[[#This Row],[Total PoP ]]</f>
        <v>228</v>
      </c>
      <c r="CM163" s="599">
        <f>IF((WWWW[[#This Row],['#_Constructed/Existing protected/fenced ponds]]*250)/WWWW[[#This Row],[Total PoP ]]&gt;1,1,(WWWW[[#This Row],['#_Constructed/Existing protected/fenced ponds]]*250)/WWWW[[#This Row],[Total PoP ]])</f>
        <v>0</v>
      </c>
      <c r="CN163" s="597">
        <f>WWWW[[#This Row],[% Access to unimproved water points]]*WWWW[[#This Row],[Total PoP ]]</f>
        <v>0</v>
      </c>
      <c r="CO16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Q163" s="597">
        <f>WWWW[[#This Row],[HRP1]]/500</f>
        <v>0.45600000000000002</v>
      </c>
      <c r="CR163" s="602">
        <f>1-WWWW[[#This Row],[% Equitable and continuous access to sufficient quantity of domestic water]]</f>
        <v>0</v>
      </c>
      <c r="CS163" s="597">
        <f>WWWW[[#This Row],[%equitable and continuous access to sufficient quantity of safe drinking and domestic water''s GAP]]*WWWW[[#This Row],[Total PoP ]]</f>
        <v>0</v>
      </c>
      <c r="CT163" s="600">
        <f>IF(WWWW[[#This Row],[Total required water points]]-WWWW[[#This Row],['#Water points coverage]]&lt;0,0,WWWW[[#This Row],[Total required water points]]-WWWW[[#This Row],['#Water points coverage]])</f>
        <v>0.54400000000000004</v>
      </c>
      <c r="CU163" s="600">
        <f>ROUND(IF(WWWW[[#This Row],[Total PoP ]]&lt;500,1,WWWW[[#This Row],[Total PoP ]]/500),0)</f>
        <v>1</v>
      </c>
      <c r="CV163" s="600">
        <f>(WWWW[[#This Row],['#_Constructed latrines_by_WASHAgencies]]+WWWW[[#This Row],['#_Non Cluster partner latrines]])-WWWW[[#This Row],['#_Non-functional latrines]]</f>
        <v>10</v>
      </c>
      <c r="CW163" s="70">
        <f>WWWW[[#This Row],[HRP2]]/WWWW[[#This Row],[Total PoP ]]</f>
        <v>0.8771929824561403</v>
      </c>
      <c r="CX16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6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3" s="600">
        <f>IF(WWWW[[#This Row],['# of functional latrines in THF supported by WASH partners during the reporting period2]]="",0,WWWW[[#This Row],['# of functional latrines in THF supported by WASH partners during the reporting period2]]*50)</f>
        <v>0</v>
      </c>
      <c r="DB163" s="600">
        <f>WWWW[[#This Row],['# students access to functioning school latrines_HRP5]]+WWWW[[#This Row],['# People access to functioning latrines in THF_HRP5]]</f>
        <v>0</v>
      </c>
      <c r="DC163" s="600">
        <f>ROUND(IF(WWWW[[#This Row],[Location Type 1]]="camp",WWWW[[#This Row],[Total PoP ]]/20,IF(WWWW[[#This Row],[Location Type 1]]="Temporary Location",WWWW[[#This Row],[Total PoP ]]/50,WWWW[[#This Row],[Total HH]])),0)</f>
        <v>11</v>
      </c>
      <c r="DD163" s="600">
        <f>IF(WWWW[[#This Row],[Total required Latrines]]-(WWWW[[#This Row],['#_Constructed latrines_by_WASHAgencies]]+WWWW[[#This Row],['#_Non Cluster partner latrines]])&lt;0,0,WWWW[[#This Row],[Total required Latrines]]-(WWWW[[#This Row],['#_Constructed latrines_by_WASHAgencies]]+WWWW[[#This Row],['#_Non Cluster partner latrines]]))</f>
        <v>1</v>
      </c>
      <c r="DE163" s="602">
        <f>1-WWWW[[#This Row],[% people access to functioning Latrine]]</f>
        <v>0.1228070175438597</v>
      </c>
      <c r="DF163" s="601">
        <f>IF(OR(WWWW[[#This Row],['#_Non-functional latrines]]="",WWWW[[#This Row],['#_Non-functional latrines]]=0),0,WWWW[[#This Row],['#_Non-functional latrines]]/(WWWW[[#This Row],['#_Constructed latrines_by_WASHAgencies]]+WWWW[[#This Row],['#_Non Cluster partner latrines]]))</f>
        <v>0</v>
      </c>
      <c r="DG163" s="597">
        <f>IF(500*(WWWW[[#This Row],['#_male hygiene promoters]]+WWWW[[#This Row],['#_female hygiene promoters]])&gt;WWWW[[#This Row],[Total PoP ]],WWWW[[#This Row],[Total PoP ]],500*(WWWW[[#This Row],['#_male hygiene promoters]]+WWWW[[#This Row],['#_female hygiene promoters]]))</f>
        <v>228</v>
      </c>
      <c r="DH16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3" s="600">
        <f>IF(WWWW[[#This Row],['# People with access to soap]]&gt;WWWW[[#This Row],['# People with access to Sanity Pads]],WWWW[[#This Row],['# People with access to soap]],WWWW[[#This Row],['# People with access to Sanity Pads]])</f>
        <v>0</v>
      </c>
      <c r="DK163" s="600">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L163" s="602">
        <f>IF(WWWW[[#This Row],[HRP3]]/WWWW[[#This Row],[Total PoP ]]&gt;1,1,WWWW[[#This Row],[HRP3]]/WWWW[[#This Row],[Total PoP ]])</f>
        <v>1</v>
      </c>
      <c r="DM163" s="601">
        <f>1-WWWW[[#This Row],[Hygiene Coverage%]]</f>
        <v>0</v>
      </c>
      <c r="DN163" s="599">
        <f>WWWW[[#This Row],['# people reached by regular dedicated hygiene promotion_5]]/WWWW[[#This Row],[Total PoP ]]</f>
        <v>1</v>
      </c>
      <c r="DO16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3" s="600">
        <f>WWWW[[#This Row],['#_Constructed/Existing hand washing stations]]-WWWW[[#This Row],['#_Non-Functional_hand_washing_stations]]</f>
        <v>0</v>
      </c>
      <c r="DR163" s="597">
        <f>IF(WWWW[[#This Row],['# Functional hand washing stations during reporting period]]*20&gt;WWWW[[#This Row],[Total HH]],WWWW[[#This Row],[Total HH]],WWWW[[#This Row],['# Functional hand washing stations during reporting period]]*20)</f>
        <v>0</v>
      </c>
      <c r="DS163" s="597">
        <f>IF(WWWW[[#This Row],[Is sufficient soap available for TLS? (Yes/No)]]="yes",WWWW[[#This Row],['#_Constructed/Existing hand washing stations at TLS]],0)</f>
        <v>0</v>
      </c>
      <c r="DT163" s="479">
        <f>IF(WWWW[[#This Row],['# Functional hand washing stations during reporting period]]*100&gt;WWWW[[#This Row],[Total PoP ]],WWWW[[#This Row],[Total PoP ]],WWWW[[#This Row],['# Functional hand washing stations during reporting period]]*100)</f>
        <v>0</v>
      </c>
      <c r="DU163" s="479" t="str">
        <f>IF(OR(WWWW[[#This Row],['#_students at TLS_CFS]]="",WWWW[[#This Row],['#_students at TLS_CFS]]=0),"No","Yes")</f>
        <v>No</v>
      </c>
      <c r="DV16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3" s="593" t="str">
        <f>VLOOKUP(WWWW[[#This Row],[Site Name]],SiteDB6[[Site Name]:[CCCM Management]],6,FALSE)</f>
        <v>Yes</v>
      </c>
      <c r="DZ163" s="593" t="str">
        <f>VLOOKUP(WWWW[[#This Row],[Site Name]],SiteDB6[[Site Name]:[CCCM Focal Agency]],7,FALSE)</f>
        <v>KBC-MYT</v>
      </c>
      <c r="EA163" s="593" t="str">
        <f>VLOOKUP(WWWW[[#This Row],[Site Name]],SiteDB6[[Site Name]:[Location Type 1]],9,FALSE)</f>
        <v>Camp</v>
      </c>
      <c r="EB163" s="593" t="str">
        <f>VLOOKUP(WWWW[[#This Row],[Site Name]],SiteDB6[[Site Name]:[Type of Accommodation]],10,FALSE)</f>
        <v>Camp</v>
      </c>
      <c r="EC163" s="593" t="str">
        <f>VLOOKUP(WWWW[[#This Row],[Site Name]],SiteDB6[[Site Name]:[Ethnic or GCA/NGCA]],11,FALSE)</f>
        <v>GCA</v>
      </c>
      <c r="ED163" s="593">
        <f>VLOOKUP(WWWW[[#This Row],[Site Name]],SiteDB6[[Site Name]:[Lat]],12,FALSE)</f>
        <v>25.647649999999999</v>
      </c>
      <c r="EE163" s="593">
        <f>VLOOKUP(WWWW[[#This Row],[Site Name]],SiteDB6[[Site Name]:[Long]],13,FALSE)</f>
        <v>96.346469999999997</v>
      </c>
      <c r="EF163" s="593" t="str">
        <f>VLOOKUP(WWWW[[#This Row],[Site Name]],SiteDB6[[Site Name]:[Pcode]],3,FALSE)</f>
        <v>MMR001CMP169</v>
      </c>
      <c r="EG163" s="598" t="str">
        <f t="shared" si="2"/>
        <v>Covered</v>
      </c>
      <c r="EH163" s="598" t="str">
        <f>VLOOKUP(WWWW[[#This Row],[Site Name]],SiteDB6[[Site Name]:[open in cccm?]],2,FALSE)</f>
        <v>cccm_2019OCT</v>
      </c>
    </row>
    <row r="164" spans="1:138" hidden="1">
      <c r="A164" s="591" t="s">
        <v>3261</v>
      </c>
      <c r="B164" s="591" t="s">
        <v>245</v>
      </c>
      <c r="C164" s="592" t="s">
        <v>245</v>
      </c>
      <c r="D164" s="592" t="s">
        <v>310</v>
      </c>
      <c r="E164" s="592" t="s">
        <v>39</v>
      </c>
      <c r="F164" s="592" t="s">
        <v>151</v>
      </c>
      <c r="G164" s="721" t="str">
        <f>VLOOKUP(WWWW[[#This Row],[Site Name]],SiteDB6[[Site Name]:[Location Type]],8,FALSE)</f>
        <v>Camp</v>
      </c>
      <c r="H164" s="592" t="s">
        <v>254</v>
      </c>
      <c r="I164" s="594">
        <v>6</v>
      </c>
      <c r="J164" s="594">
        <v>31</v>
      </c>
      <c r="K164" s="595">
        <v>43313</v>
      </c>
      <c r="L164" s="596">
        <v>44043</v>
      </c>
      <c r="M164" s="594"/>
      <c r="N164" s="594">
        <v>1</v>
      </c>
      <c r="O164" s="594"/>
      <c r="P164" s="594"/>
      <c r="Q164" s="597" t="s">
        <v>43</v>
      </c>
      <c r="R164" s="594">
        <v>1</v>
      </c>
      <c r="S164" s="594">
        <v>3</v>
      </c>
      <c r="T164" s="523">
        <v>0</v>
      </c>
      <c r="U164" s="594"/>
      <c r="V164" s="594"/>
      <c r="W164" s="594">
        <v>0</v>
      </c>
      <c r="X164" s="594">
        <v>0</v>
      </c>
      <c r="Y164" s="594"/>
      <c r="Z164" s="594"/>
      <c r="AA164" s="594">
        <v>0</v>
      </c>
      <c r="AB164" s="594"/>
      <c r="AC164" s="594"/>
      <c r="AD164" s="594">
        <v>0</v>
      </c>
      <c r="AE164" s="594">
        <v>0</v>
      </c>
      <c r="AF164" s="594">
        <v>0</v>
      </c>
      <c r="AG164" s="594">
        <v>0</v>
      </c>
      <c r="AH164" s="594">
        <v>0</v>
      </c>
      <c r="AI164" s="594"/>
      <c r="AJ164" s="594"/>
      <c r="AK164" s="594"/>
      <c r="AL164" s="594"/>
      <c r="AM164" s="594">
        <v>0</v>
      </c>
      <c r="AN164" s="594">
        <v>0</v>
      </c>
      <c r="AO164" s="598"/>
      <c r="AP164" s="594">
        <v>2</v>
      </c>
      <c r="AQ164" s="594">
        <v>0</v>
      </c>
      <c r="AR164" s="599" t="s">
        <v>245</v>
      </c>
      <c r="AS164" s="594"/>
      <c r="AT164" s="594"/>
      <c r="AU164" s="594"/>
      <c r="AV164" s="594"/>
      <c r="AW164" s="594">
        <v>0</v>
      </c>
      <c r="AX164" s="593" t="s">
        <v>43</v>
      </c>
      <c r="AY164" s="598" t="s">
        <v>139</v>
      </c>
      <c r="AZ164" s="594">
        <v>0</v>
      </c>
      <c r="BA164" s="594">
        <v>0</v>
      </c>
      <c r="BB164" s="594">
        <v>0</v>
      </c>
      <c r="BC164" s="594"/>
      <c r="BD164" s="523"/>
      <c r="BE164" s="593"/>
      <c r="BF164" s="594">
        <v>0</v>
      </c>
      <c r="BG164" s="594"/>
      <c r="BH164" s="594">
        <v>0</v>
      </c>
      <c r="BI164" s="594">
        <v>1</v>
      </c>
      <c r="BJ164" s="594"/>
      <c r="BK164" s="594">
        <v>1</v>
      </c>
      <c r="BL164" s="594">
        <v>2</v>
      </c>
      <c r="BM164" s="594"/>
      <c r="BN164" s="594"/>
      <c r="BO164" s="593" t="s">
        <v>139</v>
      </c>
      <c r="BP164" s="594"/>
      <c r="BQ164" s="599"/>
      <c r="BR164" s="593"/>
      <c r="BS164" s="472"/>
      <c r="BT164" s="472"/>
      <c r="BU164" s="523"/>
      <c r="BV164" s="472"/>
      <c r="BW164" s="523"/>
      <c r="BX164" s="523"/>
      <c r="BY164" s="523"/>
      <c r="BZ164" s="601" t="str">
        <f>IFERROR(WWWW[[#This Row],['#_Water sources passed]]/WWWW[[#This Row],['#_Water sources tested for fecal coliform ]],"no test")</f>
        <v>no test</v>
      </c>
      <c r="CA164" s="599" t="str">
        <f>IFERROR(WWWW[[#This Row],['#_Household passed]]/WWWW[[#This Row],['#_Household water samples tested for fecal coliform]],"no test")</f>
        <v>no test</v>
      </c>
      <c r="CB164" s="600" t="str">
        <f>IF(AND(WWWW[[#This Row],[% of water sources passed]]="no test",WWWW[[#This Row],[% Household passed]]="no test"),"No Test","Tested")</f>
        <v>No Test</v>
      </c>
      <c r="CC164" s="600">
        <f>WWWW[[#This Row],['#_Constructed/existing protected hand dug well]]-WWWW[[#This Row],['#_Non-functional protected hand dug well]]</f>
        <v>0</v>
      </c>
      <c r="CD164" s="600">
        <f>(WWWW[[#This Row],['#_Constructed/Existing tube wells/boreholes/handpumps_WASH_agency]]+WWWW[[#This Row],['#_Non-Cluster partner water tube-wells/boreholes/handpumps]])-WWWW[[#This Row],['#_Non-functional tube wells/boreholes/handpumps]]</f>
        <v>0</v>
      </c>
      <c r="CE164" s="600">
        <f>WWWW[[#This Row],['#_Constructed/Existingwater storage tank with gravity fed reticulation system]]-WWWW[[#This Row],['#_Non-functional storage tank gravity fed reticulation system]]</f>
        <v>0</v>
      </c>
      <c r="CF164" s="478">
        <f>(WWWW[[#This Row],['#_Water_Liters_supplied_by_Water boating or water trucking]]/90)/15</f>
        <v>0</v>
      </c>
      <c r="CG164" s="478">
        <f>WWWW[[#This Row],['#_Water_Liters_from_Constructed/Existing water distribution system from river or natural spring]]/90/15</f>
        <v>0</v>
      </c>
      <c r="CH164" s="478">
        <f>WWWW[[#This Row],['#_of water points in TLS/CFS /THF]]*500</f>
        <v>0</v>
      </c>
      <c r="CI16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4" s="599">
        <f>IF(WWWW[[#This Row],[Location Type 1]]="Village",WWWW[[#This Row],[Access to safe drinking water for Village]],WWWW[[#This Row],[Access to safe drinking water for Camp]])</f>
        <v>0</v>
      </c>
      <c r="CL164" s="597">
        <f>WWWW[[#This Row],[%Equitable and continuous access to sufficient quantity of safe drinking water]]*WWWW[[#This Row],[Total PoP ]]</f>
        <v>0</v>
      </c>
      <c r="CM164" s="599">
        <f>IF((WWWW[[#This Row],['#_Constructed/Existing protected/fenced ponds]]*250)/WWWW[[#This Row],[Total PoP ]]&gt;1,1,(WWWW[[#This Row],['#_Constructed/Existing protected/fenced ponds]]*250)/WWWW[[#This Row],[Total PoP ]])</f>
        <v>0</v>
      </c>
      <c r="CN164" s="597">
        <f>WWWW[[#This Row],[% Access to unimproved water points]]*WWWW[[#This Row],[Total PoP ]]</f>
        <v>0</v>
      </c>
      <c r="CO16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4" s="597">
        <f>WWWW[[#This Row],[HRP1]]/500</f>
        <v>0</v>
      </c>
      <c r="CR164" s="602">
        <f>1-WWWW[[#This Row],[% Equitable and continuous access to sufficient quantity of domestic water]]</f>
        <v>1</v>
      </c>
      <c r="CS164" s="597">
        <f>WWWW[[#This Row],[%equitable and continuous access to sufficient quantity of safe drinking and domestic water''s GAP]]*WWWW[[#This Row],[Total PoP ]]</f>
        <v>31</v>
      </c>
      <c r="CT164" s="600">
        <f>IF(WWWW[[#This Row],[Total required water points]]-WWWW[[#This Row],['#Water points coverage]]&lt;0,0,WWWW[[#This Row],[Total required water points]]-WWWW[[#This Row],['#Water points coverage]])</f>
        <v>1</v>
      </c>
      <c r="CU164" s="600">
        <f>ROUND(IF(WWWW[[#This Row],[Total PoP ]]&lt;500,1,WWWW[[#This Row],[Total PoP ]]/500),0)</f>
        <v>1</v>
      </c>
      <c r="CV164" s="600">
        <f>(WWWW[[#This Row],['#_Constructed latrines_by_WASHAgencies]]+WWWW[[#This Row],['#_Non Cluster partner latrines]])-WWWW[[#This Row],['#_Non-functional latrines]]</f>
        <v>2</v>
      </c>
      <c r="CW164" s="70">
        <f>WWWW[[#This Row],[HRP2]]/WWWW[[#This Row],[Total PoP ]]</f>
        <v>1</v>
      </c>
      <c r="CX16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CY16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4" s="600">
        <f>IF(WWWW[[#This Row],['# of functional latrines in THF supported by WASH partners during the reporting period2]]="",0,WWWW[[#This Row],['# of functional latrines in THF supported by WASH partners during the reporting period2]]*50)</f>
        <v>0</v>
      </c>
      <c r="DB164" s="600">
        <f>WWWW[[#This Row],['# students access to functioning school latrines_HRP5]]+WWWW[[#This Row],['# People access to functioning latrines in THF_HRP5]]</f>
        <v>0</v>
      </c>
      <c r="DC164" s="600">
        <f>ROUND(IF(WWWW[[#This Row],[Location Type 1]]="camp",WWWW[[#This Row],[Total PoP ]]/20,IF(WWWW[[#This Row],[Location Type 1]]="Temporary Location",WWWW[[#This Row],[Total PoP ]]/50,WWWW[[#This Row],[Total HH]])),0)</f>
        <v>2</v>
      </c>
      <c r="DD164" s="600">
        <f>IF(WWWW[[#This Row],[Total required Latrines]]-(WWWW[[#This Row],['#_Constructed latrines_by_WASHAgencies]]+WWWW[[#This Row],['#_Non Cluster partner latrines]])&lt;0,0,WWWW[[#This Row],[Total required Latrines]]-(WWWW[[#This Row],['#_Constructed latrines_by_WASHAgencies]]+WWWW[[#This Row],['#_Non Cluster partner latrines]]))</f>
        <v>0</v>
      </c>
      <c r="DE164" s="602">
        <f>1-WWWW[[#This Row],[% people access to functioning Latrine]]</f>
        <v>0</v>
      </c>
      <c r="DF164" s="601">
        <f>IF(OR(WWWW[[#This Row],['#_Non-functional latrines]]="",WWWW[[#This Row],['#_Non-functional latrines]]=0),0,WWWW[[#This Row],['#_Non-functional latrines]]/(WWWW[[#This Row],['#_Constructed latrines_by_WASHAgencies]]+WWWW[[#This Row],['#_Non Cluster partner latrines]]))</f>
        <v>0</v>
      </c>
      <c r="DG164" s="597">
        <f>IF(500*(WWWW[[#This Row],['#_male hygiene promoters]]+WWWW[[#This Row],['#_female hygiene promoters]])&gt;WWWW[[#This Row],[Total PoP ]],WWWW[[#This Row],[Total PoP ]],500*(WWWW[[#This Row],['#_male hygiene promoters]]+WWWW[[#This Row],['#_female hygiene promoters]]))</f>
        <v>31</v>
      </c>
      <c r="DH16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4" s="600">
        <f>IF(WWWW[[#This Row],['# People with access to soap]]&gt;WWWW[[#This Row],['# People with access to Sanity Pads]],WWWW[[#This Row],['# People with access to soap]],WWWW[[#This Row],['# People with access to Sanity Pads]])</f>
        <v>0</v>
      </c>
      <c r="DK164" s="600">
        <f>IF(WWWW[[#This Row],['# people reached by regular dedicated hygiene promotion_5]]&gt;WWWW[[#This Row],['# People received regular supply of hygiene items_6]],WWWW[[#This Row],['# people reached by regular dedicated hygiene promotion_5]],WWWW[[#This Row],['# People received regular supply of hygiene items_6]])</f>
        <v>31</v>
      </c>
      <c r="DL164" s="602">
        <f>IF(WWWW[[#This Row],[HRP3]]/WWWW[[#This Row],[Total PoP ]]&gt;1,1,WWWW[[#This Row],[HRP3]]/WWWW[[#This Row],[Total PoP ]])</f>
        <v>1</v>
      </c>
      <c r="DM164" s="601">
        <f>1-WWWW[[#This Row],[Hygiene Coverage%]]</f>
        <v>0</v>
      </c>
      <c r="DN164" s="599">
        <f>WWWW[[#This Row],['# people reached by regular dedicated hygiene promotion_5]]/WWWW[[#This Row],[Total PoP ]]</f>
        <v>1</v>
      </c>
      <c r="DO16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4" s="600">
        <f>WWWW[[#This Row],['#_Constructed/Existing hand washing stations]]-WWWW[[#This Row],['#_Non-Functional_hand_washing_stations]]</f>
        <v>0</v>
      </c>
      <c r="DR164" s="597">
        <f>IF(WWWW[[#This Row],['# Functional hand washing stations during reporting period]]*20&gt;WWWW[[#This Row],[Total HH]],WWWW[[#This Row],[Total HH]],WWWW[[#This Row],['# Functional hand washing stations during reporting period]]*20)</f>
        <v>0</v>
      </c>
      <c r="DS164" s="597">
        <f>IF(WWWW[[#This Row],[Is sufficient soap available for TLS? (Yes/No)]]="yes",WWWW[[#This Row],['#_Constructed/Existing hand washing stations at TLS]],0)</f>
        <v>0</v>
      </c>
      <c r="DT164" s="479">
        <f>IF(WWWW[[#This Row],['# Functional hand washing stations during reporting period]]*100&gt;WWWW[[#This Row],[Total PoP ]],WWWW[[#This Row],[Total PoP ]],WWWW[[#This Row],['# Functional hand washing stations during reporting period]]*100)</f>
        <v>0</v>
      </c>
      <c r="DU164" s="479" t="str">
        <f>IF(OR(WWWW[[#This Row],['#_students at TLS_CFS]]="",WWWW[[#This Row],['#_students at TLS_CFS]]=0),"No","Yes")</f>
        <v>No</v>
      </c>
      <c r="DV16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4" s="593" t="str">
        <f>VLOOKUP(WWWW[[#This Row],[Site Name]],SiteDB6[[Site Name]:[CCCM Management]],6,FALSE)</f>
        <v>Yes</v>
      </c>
      <c r="DZ164" s="593" t="str">
        <f>VLOOKUP(WWWW[[#This Row],[Site Name]],SiteDB6[[Site Name]:[CCCM Focal Agency]],7,FALSE)</f>
        <v>Shalom</v>
      </c>
      <c r="EA164" s="593" t="str">
        <f>VLOOKUP(WWWW[[#This Row],[Site Name]],SiteDB6[[Site Name]:[Location Type 1]],9,FALSE)</f>
        <v>Camp</v>
      </c>
      <c r="EB164" s="593" t="str">
        <f>VLOOKUP(WWWW[[#This Row],[Site Name]],SiteDB6[[Site Name]:[Type of Accommodation]],10,FALSE)</f>
        <v>Camp like setting</v>
      </c>
      <c r="EC164" s="593" t="str">
        <f>VLOOKUP(WWWW[[#This Row],[Site Name]],SiteDB6[[Site Name]:[Ethnic or GCA/NGCA]],11,FALSE)</f>
        <v>GCA</v>
      </c>
      <c r="ED164" s="593">
        <f>VLOOKUP(WWWW[[#This Row],[Site Name]],SiteDB6[[Site Name]:[Lat]],12,FALSE)</f>
        <v>25.582065</v>
      </c>
      <c r="EE164" s="593">
        <f>VLOOKUP(WWWW[[#This Row],[Site Name]],SiteDB6[[Site Name]:[Long]],13,FALSE)</f>
        <v>96.283377000000002</v>
      </c>
      <c r="EF164" s="593" t="str">
        <f>VLOOKUP(WWWW[[#This Row],[Site Name]],SiteDB6[[Site Name]:[Pcode]],3,FALSE)</f>
        <v>MMR001CMP109</v>
      </c>
      <c r="EG164" s="598" t="str">
        <f t="shared" si="2"/>
        <v>Covered</v>
      </c>
      <c r="EH164" s="598" t="str">
        <f>VLOOKUP(WWWW[[#This Row],[Site Name]],SiteDB6[[Site Name]:[open in cccm?]],2,FALSE)</f>
        <v>cccm_2019OCT</v>
      </c>
    </row>
    <row r="165" spans="1:138" hidden="1">
      <c r="A165" s="591" t="s">
        <v>3261</v>
      </c>
      <c r="B165" s="591" t="s">
        <v>245</v>
      </c>
      <c r="C165" s="592" t="s">
        <v>245</v>
      </c>
      <c r="D165" s="592" t="s">
        <v>310</v>
      </c>
      <c r="E165" s="592" t="s">
        <v>39</v>
      </c>
      <c r="F165" s="592" t="s">
        <v>149</v>
      </c>
      <c r="G165" s="721" t="str">
        <f>VLOOKUP(WWWW[[#This Row],[Site Name]],SiteDB6[[Site Name]:[Location Type]],8,FALSE)</f>
        <v>Camp</v>
      </c>
      <c r="H165" s="592" t="s">
        <v>248</v>
      </c>
      <c r="I165" s="594">
        <v>162</v>
      </c>
      <c r="J165" s="594">
        <v>830</v>
      </c>
      <c r="K165" s="595">
        <v>43313</v>
      </c>
      <c r="L165" s="596">
        <v>44043</v>
      </c>
      <c r="M165" s="594"/>
      <c r="N165" s="594">
        <v>1</v>
      </c>
      <c r="O165" s="594"/>
      <c r="P165" s="594"/>
      <c r="Q165" s="597" t="s">
        <v>43</v>
      </c>
      <c r="R165" s="594">
        <v>2</v>
      </c>
      <c r="S165" s="594">
        <v>4</v>
      </c>
      <c r="T165" s="523">
        <v>0</v>
      </c>
      <c r="U165" s="594"/>
      <c r="V165" s="594"/>
      <c r="W165" s="594">
        <v>0</v>
      </c>
      <c r="X165" s="594"/>
      <c r="Y165" s="594"/>
      <c r="Z165" s="594"/>
      <c r="AA165" s="594">
        <v>1</v>
      </c>
      <c r="AB165" s="594"/>
      <c r="AC165" s="594"/>
      <c r="AD165" s="594"/>
      <c r="AE165" s="594"/>
      <c r="AF165" s="594"/>
      <c r="AG165" s="594"/>
      <c r="AH165" s="594">
        <v>1</v>
      </c>
      <c r="AI165" s="594"/>
      <c r="AJ165" s="594"/>
      <c r="AK165" s="594"/>
      <c r="AL165" s="594"/>
      <c r="AM165" s="594"/>
      <c r="AN165" s="594"/>
      <c r="AO165" s="598"/>
      <c r="AP165" s="594">
        <v>44</v>
      </c>
      <c r="AQ165" s="594">
        <v>12</v>
      </c>
      <c r="AR165" s="599" t="s">
        <v>1244</v>
      </c>
      <c r="AS165" s="594"/>
      <c r="AT165" s="594"/>
      <c r="AU165" s="594"/>
      <c r="AV165" s="594"/>
      <c r="AW165" s="594">
        <v>0</v>
      </c>
      <c r="AX165" s="593" t="s">
        <v>139</v>
      </c>
      <c r="AY165" s="598" t="s">
        <v>1195</v>
      </c>
      <c r="AZ165" s="594">
        <v>0</v>
      </c>
      <c r="BA165" s="594">
        <v>0</v>
      </c>
      <c r="BB165" s="594">
        <v>0</v>
      </c>
      <c r="BC165" s="594"/>
      <c r="BD165" s="523"/>
      <c r="BE165" s="593"/>
      <c r="BF165" s="594">
        <v>5</v>
      </c>
      <c r="BG165" s="594"/>
      <c r="BH165" s="594">
        <v>0</v>
      </c>
      <c r="BI165" s="594">
        <v>9</v>
      </c>
      <c r="BJ165" s="594"/>
      <c r="BK165" s="594">
        <v>2</v>
      </c>
      <c r="BL165" s="594">
        <v>3</v>
      </c>
      <c r="BM165" s="594"/>
      <c r="BN165" s="594"/>
      <c r="BO165" s="593" t="s">
        <v>139</v>
      </c>
      <c r="BP165" s="594"/>
      <c r="BQ165" s="599"/>
      <c r="BR165" s="593"/>
      <c r="BS165" s="472"/>
      <c r="BT165" s="472"/>
      <c r="BU165" s="523"/>
      <c r="BV165" s="472"/>
      <c r="BW165" s="523"/>
      <c r="BX165" s="523"/>
      <c r="BY165" s="523"/>
      <c r="BZ165" s="601" t="str">
        <f>IFERROR(WWWW[[#This Row],['#_Water sources passed]]/WWWW[[#This Row],['#_Water sources tested for fecal coliform ]],"no test")</f>
        <v>no test</v>
      </c>
      <c r="CA165" s="599" t="str">
        <f>IFERROR(WWWW[[#This Row],['#_Household passed]]/WWWW[[#This Row],['#_Household water samples tested for fecal coliform]],"no test")</f>
        <v>no test</v>
      </c>
      <c r="CB165" s="600" t="str">
        <f>IF(AND(WWWW[[#This Row],[% of water sources passed]]="no test",WWWW[[#This Row],[% Household passed]]="no test"),"No Test","Tested")</f>
        <v>No Test</v>
      </c>
      <c r="CC165" s="600">
        <f>WWWW[[#This Row],['#_Constructed/existing protected hand dug well]]-WWWW[[#This Row],['#_Non-functional protected hand dug well]]</f>
        <v>0</v>
      </c>
      <c r="CD165" s="600">
        <f>(WWWW[[#This Row],['#_Constructed/Existing tube wells/boreholes/handpumps_WASH_agency]]+WWWW[[#This Row],['#_Non-Cluster partner water tube-wells/boreholes/handpumps]])-WWWW[[#This Row],['#_Non-functional tube wells/boreholes/handpumps]]</f>
        <v>0</v>
      </c>
      <c r="CE165" s="600">
        <f>WWWW[[#This Row],['#_Constructed/Existingwater storage tank with gravity fed reticulation system]]-WWWW[[#This Row],['#_Non-functional storage tank gravity fed reticulation system]]</f>
        <v>1</v>
      </c>
      <c r="CF165" s="478">
        <f>(WWWW[[#This Row],['#_Water_Liters_supplied_by_Water boating or water trucking]]/90)/15</f>
        <v>0</v>
      </c>
      <c r="CG165" s="478">
        <f>WWWW[[#This Row],['#_Water_Liters_from_Constructed/Existing water distribution system from river or natural spring]]/90/15</f>
        <v>0</v>
      </c>
      <c r="CH165" s="478">
        <f>WWWW[[#This Row],['#_of water points in TLS/CFS /THF]]*500</f>
        <v>0</v>
      </c>
      <c r="CI16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8.0321285140562249E-2</v>
      </c>
      <c r="CJ16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8.0321285140562249E-2</v>
      </c>
      <c r="CK165" s="599">
        <f>IF(WWWW[[#This Row],[Location Type 1]]="Village",WWWW[[#This Row],[Access to safe drinking water for Village]],WWWW[[#This Row],[Access to safe drinking water for Camp]])</f>
        <v>8.0321285140562249E-2</v>
      </c>
      <c r="CL165" s="597">
        <f>WWWW[[#This Row],[%Equitable and continuous access to sufficient quantity of safe drinking water]]*WWWW[[#This Row],[Total PoP ]]</f>
        <v>66.666666666666671</v>
      </c>
      <c r="CM165" s="599">
        <f>IF((WWWW[[#This Row],['#_Constructed/Existing protected/fenced ponds]]*250)/WWWW[[#This Row],[Total PoP ]]&gt;1,1,(WWWW[[#This Row],['#_Constructed/Existing protected/fenced ponds]]*250)/WWWW[[#This Row],[Total PoP ]])</f>
        <v>0</v>
      </c>
      <c r="CN165" s="597">
        <f>WWWW[[#This Row],[% Access to unimproved water points]]*WWWW[[#This Row],[Total PoP ]]</f>
        <v>0</v>
      </c>
      <c r="CO16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P16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65" s="597">
        <f>WWWW[[#This Row],[HRP1]]/500</f>
        <v>0.13333333333333333</v>
      </c>
      <c r="CR165" s="602">
        <f>1-WWWW[[#This Row],[% Equitable and continuous access to sufficient quantity of domestic water]]</f>
        <v>0.91967871485943775</v>
      </c>
      <c r="CS165" s="597">
        <f>WWWW[[#This Row],[%equitable and continuous access to sufficient quantity of safe drinking and domestic water''s GAP]]*WWWW[[#This Row],[Total PoP ]]</f>
        <v>763.33333333333337</v>
      </c>
      <c r="CT165" s="600">
        <f>IF(WWWW[[#This Row],[Total required water points]]-WWWW[[#This Row],['#Water points coverage]]&lt;0,0,WWWW[[#This Row],[Total required water points]]-WWWW[[#This Row],['#Water points coverage]])</f>
        <v>1.8666666666666667</v>
      </c>
      <c r="CU165" s="600">
        <f>ROUND(IF(WWWW[[#This Row],[Total PoP ]]&lt;500,1,WWWW[[#This Row],[Total PoP ]]/500),0)</f>
        <v>2</v>
      </c>
      <c r="CV165" s="600">
        <f>(WWWW[[#This Row],['#_Constructed latrines_by_WASHAgencies]]+WWWW[[#This Row],['#_Non Cluster partner latrines]])-WWWW[[#This Row],['#_Non-functional latrines]]</f>
        <v>56</v>
      </c>
      <c r="CW165" s="70">
        <f>WWWW[[#This Row],[HRP2]]/WWWW[[#This Row],[Total PoP ]]</f>
        <v>1</v>
      </c>
      <c r="CX16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830</v>
      </c>
      <c r="CY16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5" s="600">
        <f>IF(WWWW[[#This Row],['# of functional latrines in THF supported by WASH partners during the reporting period2]]="",0,WWWW[[#This Row],['# of functional latrines in THF supported by WASH partners during the reporting period2]]*50)</f>
        <v>0</v>
      </c>
      <c r="DB165" s="600">
        <f>WWWW[[#This Row],['# students access to functioning school latrines_HRP5]]+WWWW[[#This Row],['# People access to functioning latrines in THF_HRP5]]</f>
        <v>0</v>
      </c>
      <c r="DC165" s="600">
        <f>ROUND(IF(WWWW[[#This Row],[Location Type 1]]="camp",WWWW[[#This Row],[Total PoP ]]/20,IF(WWWW[[#This Row],[Location Type 1]]="Temporary Location",WWWW[[#This Row],[Total PoP ]]/50,WWWW[[#This Row],[Total HH]])),0)</f>
        <v>42</v>
      </c>
      <c r="DD165" s="600">
        <f>IF(WWWW[[#This Row],[Total required Latrines]]-(WWWW[[#This Row],['#_Constructed latrines_by_WASHAgencies]]+WWWW[[#This Row],['#_Non Cluster partner latrines]])&lt;0,0,WWWW[[#This Row],[Total required Latrines]]-(WWWW[[#This Row],['#_Constructed latrines_by_WASHAgencies]]+WWWW[[#This Row],['#_Non Cluster partner latrines]]))</f>
        <v>0</v>
      </c>
      <c r="DE165" s="602">
        <f>1-WWWW[[#This Row],[% people access to functioning Latrine]]</f>
        <v>0</v>
      </c>
      <c r="DF165" s="601">
        <f>IF(OR(WWWW[[#This Row],['#_Non-functional latrines]]="",WWWW[[#This Row],['#_Non-functional latrines]]=0),0,WWWW[[#This Row],['#_Non-functional latrines]]/(WWWW[[#This Row],['#_Constructed latrines_by_WASHAgencies]]+WWWW[[#This Row],['#_Non Cluster partner latrines]]))</f>
        <v>0</v>
      </c>
      <c r="DG165" s="597">
        <f>IF(500*(WWWW[[#This Row],['#_male hygiene promoters]]+WWWW[[#This Row],['#_female hygiene promoters]])&gt;WWWW[[#This Row],[Total PoP ]],WWWW[[#This Row],[Total PoP ]],500*(WWWW[[#This Row],['#_male hygiene promoters]]+WWWW[[#This Row],['#_female hygiene promoters]]))</f>
        <v>830</v>
      </c>
      <c r="DH16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5" s="600">
        <f>IF(WWWW[[#This Row],['# People with access to soap]]&gt;WWWW[[#This Row],['# People with access to Sanity Pads]],WWWW[[#This Row],['# People with access to soap]],WWWW[[#This Row],['# People with access to Sanity Pads]])</f>
        <v>0</v>
      </c>
      <c r="DK165" s="600">
        <f>IF(WWWW[[#This Row],['# people reached by regular dedicated hygiene promotion_5]]&gt;WWWW[[#This Row],['# People received regular supply of hygiene items_6]],WWWW[[#This Row],['# people reached by regular dedicated hygiene promotion_5]],WWWW[[#This Row],['# People received regular supply of hygiene items_6]])</f>
        <v>830</v>
      </c>
      <c r="DL165" s="602">
        <f>IF(WWWW[[#This Row],[HRP3]]/WWWW[[#This Row],[Total PoP ]]&gt;1,1,WWWW[[#This Row],[HRP3]]/WWWW[[#This Row],[Total PoP ]])</f>
        <v>1</v>
      </c>
      <c r="DM165" s="601">
        <f>1-WWWW[[#This Row],[Hygiene Coverage%]]</f>
        <v>0</v>
      </c>
      <c r="DN165" s="599">
        <f>WWWW[[#This Row],['# people reached by regular dedicated hygiene promotion_5]]/WWWW[[#This Row],[Total PoP ]]</f>
        <v>1</v>
      </c>
      <c r="DO16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5" s="600">
        <f>WWWW[[#This Row],['#_Constructed/Existing hand washing stations]]-WWWW[[#This Row],['#_Non-Functional_hand_washing_stations]]</f>
        <v>5</v>
      </c>
      <c r="DR165" s="597">
        <f>IF(WWWW[[#This Row],['# Functional hand washing stations during reporting period]]*20&gt;WWWW[[#This Row],[Total HH]],WWWW[[#This Row],[Total HH]],WWWW[[#This Row],['# Functional hand washing stations during reporting period]]*20)</f>
        <v>100</v>
      </c>
      <c r="DS165" s="597">
        <f>IF(WWWW[[#This Row],[Is sufficient soap available for TLS? (Yes/No)]]="yes",WWWW[[#This Row],['#_Constructed/Existing hand washing stations at TLS]],0)</f>
        <v>0</v>
      </c>
      <c r="DT165" s="479">
        <f>IF(WWWW[[#This Row],['# Functional hand washing stations during reporting period]]*100&gt;WWWW[[#This Row],[Total PoP ]],WWWW[[#This Row],[Total PoP ]],WWWW[[#This Row],['# Functional hand washing stations during reporting period]]*100)</f>
        <v>500</v>
      </c>
      <c r="DU165" s="479" t="str">
        <f>IF(OR(WWWW[[#This Row],['#_students at TLS_CFS]]="",WWWW[[#This Row],['#_students at TLS_CFS]]=0),"No","Yes")</f>
        <v>No</v>
      </c>
      <c r="DV16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5" s="593" t="str">
        <f>VLOOKUP(WWWW[[#This Row],[Site Name]],SiteDB6[[Site Name]:[CCCM Management]],6,FALSE)</f>
        <v>Yes</v>
      </c>
      <c r="DZ165" s="593" t="str">
        <f>VLOOKUP(WWWW[[#This Row],[Site Name]],SiteDB6[[Site Name]:[CCCM Focal Agency]],7,FALSE)</f>
        <v>Shalom</v>
      </c>
      <c r="EA165" s="593" t="str">
        <f>VLOOKUP(WWWW[[#This Row],[Site Name]],SiteDB6[[Site Name]:[Location Type 1]],9,FALSE)</f>
        <v>Camp</v>
      </c>
      <c r="EB165" s="593" t="str">
        <f>VLOOKUP(WWWW[[#This Row],[Site Name]],SiteDB6[[Site Name]:[Type of Accommodation]],10,FALSE)</f>
        <v>Camp</v>
      </c>
      <c r="EC165" s="593" t="str">
        <f>VLOOKUP(WWWW[[#This Row],[Site Name]],SiteDB6[[Site Name]:[Ethnic or GCA/NGCA]],11,FALSE)</f>
        <v>GCA</v>
      </c>
      <c r="ED165" s="593">
        <f>VLOOKUP(WWWW[[#This Row],[Site Name]],SiteDB6[[Site Name]:[Lat]],12,FALSE)</f>
        <v>25.889410000000002</v>
      </c>
      <c r="EE165" s="593">
        <f>VLOOKUP(WWWW[[#This Row],[Site Name]],SiteDB6[[Site Name]:[Long]],13,FALSE)</f>
        <v>98.131550000000004</v>
      </c>
      <c r="EF165" s="593" t="str">
        <f>VLOOKUP(WWWW[[#This Row],[Site Name]],SiteDB6[[Site Name]:[Pcode]],3,FALSE)</f>
        <v>MMR001CMP042</v>
      </c>
      <c r="EG165" s="598" t="str">
        <f t="shared" si="2"/>
        <v>Covered</v>
      </c>
      <c r="EH165" s="598" t="str">
        <f>VLOOKUP(WWWW[[#This Row],[Site Name]],SiteDB6[[Site Name]:[open in cccm?]],2,FALSE)</f>
        <v>cccm_2019OCT</v>
      </c>
    </row>
    <row r="166" spans="1:138" hidden="1">
      <c r="A166" s="591" t="s">
        <v>3261</v>
      </c>
      <c r="B166" s="591" t="s">
        <v>245</v>
      </c>
      <c r="C166" s="592" t="s">
        <v>245</v>
      </c>
      <c r="D166" s="592" t="s">
        <v>310</v>
      </c>
      <c r="E166" s="592" t="s">
        <v>39</v>
      </c>
      <c r="F166" s="592" t="s">
        <v>151</v>
      </c>
      <c r="G166" s="721" t="str">
        <f>VLOOKUP(WWWW[[#This Row],[Site Name]],SiteDB6[[Site Name]:[Location Type]],8,FALSE)</f>
        <v>Camp</v>
      </c>
      <c r="H166" s="592" t="s">
        <v>255</v>
      </c>
      <c r="I166" s="594">
        <v>70</v>
      </c>
      <c r="J166" s="594">
        <v>377</v>
      </c>
      <c r="K166" s="595">
        <v>43313</v>
      </c>
      <c r="L166" s="596">
        <v>44043</v>
      </c>
      <c r="M166" s="594"/>
      <c r="N166" s="594">
        <v>1</v>
      </c>
      <c r="O166" s="594"/>
      <c r="P166" s="594"/>
      <c r="Q166" s="597" t="s">
        <v>43</v>
      </c>
      <c r="R166" s="594">
        <v>4</v>
      </c>
      <c r="S166" s="594"/>
      <c r="T166" s="523">
        <v>0</v>
      </c>
      <c r="U166" s="594"/>
      <c r="V166" s="594"/>
      <c r="W166" s="594">
        <v>0</v>
      </c>
      <c r="X166" s="594">
        <v>0</v>
      </c>
      <c r="Y166" s="594"/>
      <c r="Z166" s="594"/>
      <c r="AA166" s="594">
        <v>0</v>
      </c>
      <c r="AB166" s="594"/>
      <c r="AC166" s="594"/>
      <c r="AD166" s="594">
        <v>0</v>
      </c>
      <c r="AE166" s="594">
        <v>0</v>
      </c>
      <c r="AF166" s="594">
        <v>0</v>
      </c>
      <c r="AG166" s="594">
        <v>0</v>
      </c>
      <c r="AH166" s="594">
        <v>0</v>
      </c>
      <c r="AI166" s="594"/>
      <c r="AJ166" s="594"/>
      <c r="AK166" s="594"/>
      <c r="AL166" s="594"/>
      <c r="AM166" s="594">
        <v>0</v>
      </c>
      <c r="AN166" s="594">
        <v>0</v>
      </c>
      <c r="AO166" s="598"/>
      <c r="AP166" s="594">
        <v>22</v>
      </c>
      <c r="AQ166" s="594">
        <v>0</v>
      </c>
      <c r="AR166" s="599" t="s">
        <v>245</v>
      </c>
      <c r="AS166" s="594"/>
      <c r="AT166" s="594"/>
      <c r="AU166" s="594"/>
      <c r="AV166" s="594"/>
      <c r="AW166" s="594">
        <v>0</v>
      </c>
      <c r="AX166" s="593" t="s">
        <v>43</v>
      </c>
      <c r="AY166" s="598" t="s">
        <v>140</v>
      </c>
      <c r="AZ166" s="594">
        <v>0</v>
      </c>
      <c r="BA166" s="594">
        <v>1</v>
      </c>
      <c r="BB166" s="594">
        <v>0</v>
      </c>
      <c r="BC166" s="594"/>
      <c r="BD166" s="523"/>
      <c r="BE166" s="593"/>
      <c r="BF166" s="594">
        <v>8</v>
      </c>
      <c r="BG166" s="594">
        <v>4</v>
      </c>
      <c r="BH166" s="594">
        <v>0</v>
      </c>
      <c r="BI166" s="594">
        <v>3</v>
      </c>
      <c r="BJ166" s="594"/>
      <c r="BK166" s="594">
        <v>2</v>
      </c>
      <c r="BL166" s="594">
        <v>3</v>
      </c>
      <c r="BM166" s="594"/>
      <c r="BN166" s="594"/>
      <c r="BO166" s="593" t="s">
        <v>139</v>
      </c>
      <c r="BP166" s="594"/>
      <c r="BQ166" s="599"/>
      <c r="BR166" s="593"/>
      <c r="BS166" s="472"/>
      <c r="BT166" s="472"/>
      <c r="BU166" s="523"/>
      <c r="BV166" s="472"/>
      <c r="BW166" s="523"/>
      <c r="BX166" s="523"/>
      <c r="BY166" s="523"/>
      <c r="BZ166" s="601" t="str">
        <f>IFERROR(WWWW[[#This Row],['#_Water sources passed]]/WWWW[[#This Row],['#_Water sources tested for fecal coliform ]],"no test")</f>
        <v>no test</v>
      </c>
      <c r="CA166" s="599" t="str">
        <f>IFERROR(WWWW[[#This Row],['#_Household passed]]/WWWW[[#This Row],['#_Household water samples tested for fecal coliform]],"no test")</f>
        <v>no test</v>
      </c>
      <c r="CB166" s="600" t="str">
        <f>IF(AND(WWWW[[#This Row],[% of water sources passed]]="no test",WWWW[[#This Row],[% Household passed]]="no test"),"No Test","Tested")</f>
        <v>No Test</v>
      </c>
      <c r="CC166" s="600">
        <f>WWWW[[#This Row],['#_Constructed/existing protected hand dug well]]-WWWW[[#This Row],['#_Non-functional protected hand dug well]]</f>
        <v>0</v>
      </c>
      <c r="CD166" s="600">
        <f>(WWWW[[#This Row],['#_Constructed/Existing tube wells/boreholes/handpumps_WASH_agency]]+WWWW[[#This Row],['#_Non-Cluster partner water tube-wells/boreholes/handpumps]])-WWWW[[#This Row],['#_Non-functional tube wells/boreholes/handpumps]]</f>
        <v>0</v>
      </c>
      <c r="CE166" s="600">
        <f>WWWW[[#This Row],['#_Constructed/Existingwater storage tank with gravity fed reticulation system]]-WWWW[[#This Row],['#_Non-functional storage tank gravity fed reticulation system]]</f>
        <v>0</v>
      </c>
      <c r="CF166" s="478">
        <f>(WWWW[[#This Row],['#_Water_Liters_supplied_by_Water boating or water trucking]]/90)/15</f>
        <v>0</v>
      </c>
      <c r="CG166" s="478">
        <f>WWWW[[#This Row],['#_Water_Liters_from_Constructed/Existing water distribution system from river or natural spring]]/90/15</f>
        <v>0</v>
      </c>
      <c r="CH166" s="478">
        <f>WWWW[[#This Row],['#_of water points in TLS/CFS /THF]]*500</f>
        <v>0</v>
      </c>
      <c r="CI16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6" s="599">
        <f>IF(WWWW[[#This Row],[Location Type 1]]="Village",WWWW[[#This Row],[Access to safe drinking water for Village]],WWWW[[#This Row],[Access to safe drinking water for Camp]])</f>
        <v>0</v>
      </c>
      <c r="CL166" s="597">
        <f>WWWW[[#This Row],[%Equitable and continuous access to sufficient quantity of safe drinking water]]*WWWW[[#This Row],[Total PoP ]]</f>
        <v>0</v>
      </c>
      <c r="CM166" s="599">
        <f>IF((WWWW[[#This Row],['#_Constructed/Existing protected/fenced ponds]]*250)/WWWW[[#This Row],[Total PoP ]]&gt;1,1,(WWWW[[#This Row],['#_Constructed/Existing protected/fenced ponds]]*250)/WWWW[[#This Row],[Total PoP ]])</f>
        <v>0</v>
      </c>
      <c r="CN166" s="597">
        <f>WWWW[[#This Row],[% Access to unimproved water points]]*WWWW[[#This Row],[Total PoP ]]</f>
        <v>0</v>
      </c>
      <c r="CO16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6" s="597">
        <f>WWWW[[#This Row],[HRP1]]/500</f>
        <v>0</v>
      </c>
      <c r="CR166" s="602">
        <f>1-WWWW[[#This Row],[% Equitable and continuous access to sufficient quantity of domestic water]]</f>
        <v>1</v>
      </c>
      <c r="CS166" s="597">
        <f>WWWW[[#This Row],[%equitable and continuous access to sufficient quantity of safe drinking and domestic water''s GAP]]*WWWW[[#This Row],[Total PoP ]]</f>
        <v>377</v>
      </c>
      <c r="CT166" s="600">
        <f>IF(WWWW[[#This Row],[Total required water points]]-WWWW[[#This Row],['#Water points coverage]]&lt;0,0,WWWW[[#This Row],[Total required water points]]-WWWW[[#This Row],['#Water points coverage]])</f>
        <v>1</v>
      </c>
      <c r="CU166" s="600">
        <f>ROUND(IF(WWWW[[#This Row],[Total PoP ]]&lt;500,1,WWWW[[#This Row],[Total PoP ]]/500),0)</f>
        <v>1</v>
      </c>
      <c r="CV166" s="600">
        <f>(WWWW[[#This Row],['#_Constructed latrines_by_WASHAgencies]]+WWWW[[#This Row],['#_Non Cluster partner latrines]])-WWWW[[#This Row],['#_Non-functional latrines]]</f>
        <v>22</v>
      </c>
      <c r="CW166" s="70">
        <f>WWWW[[#This Row],[HRP2]]/WWWW[[#This Row],[Total PoP ]]</f>
        <v>1</v>
      </c>
      <c r="CX16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377</v>
      </c>
      <c r="CY16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6" s="600">
        <f>IF(WWWW[[#This Row],['# of functional latrines in THF supported by WASH partners during the reporting period2]]="",0,WWWW[[#This Row],['# of functional latrines in THF supported by WASH partners during the reporting period2]]*50)</f>
        <v>0</v>
      </c>
      <c r="DB166" s="600">
        <f>WWWW[[#This Row],['# students access to functioning school latrines_HRP5]]+WWWW[[#This Row],['# People access to functioning latrines in THF_HRP5]]</f>
        <v>0</v>
      </c>
      <c r="DC166" s="600">
        <f>ROUND(IF(WWWW[[#This Row],[Location Type 1]]="camp",WWWW[[#This Row],[Total PoP ]]/20,IF(WWWW[[#This Row],[Location Type 1]]="Temporary Location",WWWW[[#This Row],[Total PoP ]]/50,WWWW[[#This Row],[Total HH]])),0)</f>
        <v>19</v>
      </c>
      <c r="DD166" s="600">
        <f>IF(WWWW[[#This Row],[Total required Latrines]]-(WWWW[[#This Row],['#_Constructed latrines_by_WASHAgencies]]+WWWW[[#This Row],['#_Non Cluster partner latrines]])&lt;0,0,WWWW[[#This Row],[Total required Latrines]]-(WWWW[[#This Row],['#_Constructed latrines_by_WASHAgencies]]+WWWW[[#This Row],['#_Non Cluster partner latrines]]))</f>
        <v>0</v>
      </c>
      <c r="DE166" s="602">
        <f>1-WWWW[[#This Row],[% people access to functioning Latrine]]</f>
        <v>0</v>
      </c>
      <c r="DF166" s="601">
        <f>IF(OR(WWWW[[#This Row],['#_Non-functional latrines]]="",WWWW[[#This Row],['#_Non-functional latrines]]=0),0,WWWW[[#This Row],['#_Non-functional latrines]]/(WWWW[[#This Row],['#_Constructed latrines_by_WASHAgencies]]+WWWW[[#This Row],['#_Non Cluster partner latrines]]))</f>
        <v>0</v>
      </c>
      <c r="DG166" s="597">
        <f>IF(500*(WWWW[[#This Row],['#_male hygiene promoters]]+WWWW[[#This Row],['#_female hygiene promoters]])&gt;WWWW[[#This Row],[Total PoP ]],WWWW[[#This Row],[Total PoP ]],500*(WWWW[[#This Row],['#_male hygiene promoters]]+WWWW[[#This Row],['#_female hygiene promoters]]))</f>
        <v>377</v>
      </c>
      <c r="DH16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6" s="600">
        <f>IF(WWWW[[#This Row],['# People with access to soap]]&gt;WWWW[[#This Row],['# People with access to Sanity Pads]],WWWW[[#This Row],['# People with access to soap]],WWWW[[#This Row],['# People with access to Sanity Pads]])</f>
        <v>0</v>
      </c>
      <c r="DK166" s="600">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L166" s="602">
        <f>IF(WWWW[[#This Row],[HRP3]]/WWWW[[#This Row],[Total PoP ]]&gt;1,1,WWWW[[#This Row],[HRP3]]/WWWW[[#This Row],[Total PoP ]])</f>
        <v>1</v>
      </c>
      <c r="DM166" s="601">
        <f>1-WWWW[[#This Row],[Hygiene Coverage%]]</f>
        <v>0</v>
      </c>
      <c r="DN166" s="599">
        <f>WWWW[[#This Row],['# people reached by regular dedicated hygiene promotion_5]]/WWWW[[#This Row],[Total PoP ]]</f>
        <v>1</v>
      </c>
      <c r="DO16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6" s="600">
        <f>WWWW[[#This Row],['#_Constructed/Existing hand washing stations]]-WWWW[[#This Row],['#_Non-Functional_hand_washing_stations]]</f>
        <v>4</v>
      </c>
      <c r="DR166" s="597">
        <f>IF(WWWW[[#This Row],['# Functional hand washing stations during reporting period]]*20&gt;WWWW[[#This Row],[Total HH]],WWWW[[#This Row],[Total HH]],WWWW[[#This Row],['# Functional hand washing stations during reporting period]]*20)</f>
        <v>70</v>
      </c>
      <c r="DS166" s="597">
        <f>IF(WWWW[[#This Row],[Is sufficient soap available for TLS? (Yes/No)]]="yes",WWWW[[#This Row],['#_Constructed/Existing hand washing stations at TLS]],0)</f>
        <v>0</v>
      </c>
      <c r="DT166" s="479">
        <f>IF(WWWW[[#This Row],['# Functional hand washing stations during reporting period]]*100&gt;WWWW[[#This Row],[Total PoP ]],WWWW[[#This Row],[Total PoP ]],WWWW[[#This Row],['# Functional hand washing stations during reporting period]]*100)</f>
        <v>377</v>
      </c>
      <c r="DU166" s="479" t="str">
        <f>IF(OR(WWWW[[#This Row],['#_students at TLS_CFS]]="",WWWW[[#This Row],['#_students at TLS_CFS]]=0),"No","Yes")</f>
        <v>No</v>
      </c>
      <c r="DV16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6" s="593" t="str">
        <f>VLOOKUP(WWWW[[#This Row],[Site Name]],SiteDB6[[Site Name]:[CCCM Management]],6,FALSE)</f>
        <v>Yes</v>
      </c>
      <c r="DZ166" s="593" t="str">
        <f>VLOOKUP(WWWW[[#This Row],[Site Name]],SiteDB6[[Site Name]:[CCCM Focal Agency]],7,FALSE)</f>
        <v>Shalom</v>
      </c>
      <c r="EA166" s="593" t="str">
        <f>VLOOKUP(WWWW[[#This Row],[Site Name]],SiteDB6[[Site Name]:[Location Type 1]],9,FALSE)</f>
        <v>Camp</v>
      </c>
      <c r="EB166" s="593" t="str">
        <f>VLOOKUP(WWWW[[#This Row],[Site Name]],SiteDB6[[Site Name]:[Type of Accommodation]],10,FALSE)</f>
        <v>Camp</v>
      </c>
      <c r="EC166" s="593" t="str">
        <f>VLOOKUP(WWWW[[#This Row],[Site Name]],SiteDB6[[Site Name]:[Ethnic or GCA/NGCA]],11,FALSE)</f>
        <v>GCA</v>
      </c>
      <c r="ED166" s="593">
        <f>VLOOKUP(WWWW[[#This Row],[Site Name]],SiteDB6[[Site Name]:[Lat]],12,FALSE)</f>
        <v>25.637309999999999</v>
      </c>
      <c r="EE166" s="593">
        <f>VLOOKUP(WWWW[[#This Row],[Site Name]],SiteDB6[[Site Name]:[Long]],13,FALSE)</f>
        <v>96.35257</v>
      </c>
      <c r="EF166" s="593" t="str">
        <f>VLOOKUP(WWWW[[#This Row],[Site Name]],SiteDB6[[Site Name]:[Pcode]],3,FALSE)</f>
        <v>MMR001CMP174</v>
      </c>
      <c r="EG166" s="598" t="str">
        <f t="shared" si="2"/>
        <v>Covered</v>
      </c>
      <c r="EH166" s="598" t="str">
        <f>VLOOKUP(WWWW[[#This Row],[Site Name]],SiteDB6[[Site Name]:[open in cccm?]],2,FALSE)</f>
        <v>cccm_2019OCT</v>
      </c>
    </row>
    <row r="167" spans="1:138" hidden="1">
      <c r="A167" s="591" t="s">
        <v>3261</v>
      </c>
      <c r="B167" s="591" t="s">
        <v>245</v>
      </c>
      <c r="C167" s="592" t="s">
        <v>245</v>
      </c>
      <c r="D167" s="592" t="s">
        <v>310</v>
      </c>
      <c r="E167" s="592" t="s">
        <v>39</v>
      </c>
      <c r="F167" s="592" t="s">
        <v>145</v>
      </c>
      <c r="G167" s="721" t="str">
        <f>VLOOKUP(WWWW[[#This Row],[Site Name]],SiteDB6[[Site Name]:[Location Type]],8,FALSE)</f>
        <v>Camp</v>
      </c>
      <c r="H167" s="592" t="s">
        <v>271</v>
      </c>
      <c r="I167" s="594">
        <v>92</v>
      </c>
      <c r="J167" s="594">
        <v>448</v>
      </c>
      <c r="K167" s="595">
        <v>43313</v>
      </c>
      <c r="L167" s="596">
        <v>44043</v>
      </c>
      <c r="M167" s="594"/>
      <c r="N167" s="594">
        <v>1</v>
      </c>
      <c r="O167" s="594"/>
      <c r="P167" s="594"/>
      <c r="Q167" s="597" t="s">
        <v>43</v>
      </c>
      <c r="R167" s="594">
        <v>4</v>
      </c>
      <c r="S167" s="594"/>
      <c r="T167" s="523">
        <v>2</v>
      </c>
      <c r="U167" s="594"/>
      <c r="V167" s="594"/>
      <c r="W167" s="594">
        <v>1</v>
      </c>
      <c r="X167" s="594"/>
      <c r="Y167" s="594"/>
      <c r="Z167" s="594"/>
      <c r="AA167" s="594">
        <v>0</v>
      </c>
      <c r="AB167" s="594"/>
      <c r="AC167" s="594"/>
      <c r="AD167" s="594">
        <v>0</v>
      </c>
      <c r="AE167" s="594">
        <v>0</v>
      </c>
      <c r="AF167" s="594">
        <v>0</v>
      </c>
      <c r="AG167" s="594">
        <v>0</v>
      </c>
      <c r="AH167" s="594">
        <v>2</v>
      </c>
      <c r="AI167" s="594"/>
      <c r="AJ167" s="594"/>
      <c r="AK167" s="594"/>
      <c r="AL167" s="594"/>
      <c r="AM167" s="594">
        <v>0</v>
      </c>
      <c r="AN167" s="594">
        <v>0</v>
      </c>
      <c r="AO167" s="598"/>
      <c r="AP167" s="594">
        <v>20</v>
      </c>
      <c r="AQ167" s="594">
        <v>20</v>
      </c>
      <c r="AR167" s="599" t="s">
        <v>2917</v>
      </c>
      <c r="AS167" s="594"/>
      <c r="AT167" s="594"/>
      <c r="AU167" s="594"/>
      <c r="AV167" s="594"/>
      <c r="AW167" s="594">
        <v>0</v>
      </c>
      <c r="AX167" s="593" t="s">
        <v>43</v>
      </c>
      <c r="AY167" s="598" t="s">
        <v>140</v>
      </c>
      <c r="AZ167" s="594">
        <v>2</v>
      </c>
      <c r="BA167" s="594">
        <v>2</v>
      </c>
      <c r="BB167" s="594">
        <v>0</v>
      </c>
      <c r="BC167" s="594"/>
      <c r="BD167" s="523"/>
      <c r="BE167" s="593"/>
      <c r="BF167" s="594">
        <v>0</v>
      </c>
      <c r="BG167" s="594"/>
      <c r="BH167" s="594">
        <v>0</v>
      </c>
      <c r="BI167" s="594">
        <v>4</v>
      </c>
      <c r="BJ167" s="594"/>
      <c r="BK167" s="594">
        <v>0</v>
      </c>
      <c r="BL167" s="594">
        <v>0</v>
      </c>
      <c r="BM167" s="594"/>
      <c r="BN167" s="594"/>
      <c r="BO167" s="593" t="s">
        <v>139</v>
      </c>
      <c r="BP167" s="594"/>
      <c r="BQ167" s="599"/>
      <c r="BR167" s="593"/>
      <c r="BS167" s="472"/>
      <c r="BT167" s="472"/>
      <c r="BU167" s="523"/>
      <c r="BV167" s="472"/>
      <c r="BW167" s="523"/>
      <c r="BX167" s="523"/>
      <c r="BY167" s="523"/>
      <c r="BZ167" s="601" t="str">
        <f>IFERROR(WWWW[[#This Row],['#_Water sources passed]]/WWWW[[#This Row],['#_Water sources tested for fecal coliform ]],"no test")</f>
        <v>no test</v>
      </c>
      <c r="CA167" s="599" t="str">
        <f>IFERROR(WWWW[[#This Row],['#_Household passed]]/WWWW[[#This Row],['#_Household water samples tested for fecal coliform]],"no test")</f>
        <v>no test</v>
      </c>
      <c r="CB167" s="600" t="str">
        <f>IF(AND(WWWW[[#This Row],[% of water sources passed]]="no test",WWWW[[#This Row],[% Household passed]]="no test"),"No Test","Tested")</f>
        <v>No Test</v>
      </c>
      <c r="CC167" s="600">
        <f>WWWW[[#This Row],['#_Constructed/existing protected hand dug well]]-WWWW[[#This Row],['#_Non-functional protected hand dug well]]</f>
        <v>2</v>
      </c>
      <c r="CD167" s="600">
        <f>(WWWW[[#This Row],['#_Constructed/Existing tube wells/boreholes/handpumps_WASH_agency]]+WWWW[[#This Row],['#_Non-Cluster partner water tube-wells/boreholes/handpumps]])-WWWW[[#This Row],['#_Non-functional tube wells/boreholes/handpumps]]</f>
        <v>1</v>
      </c>
      <c r="CE167" s="600">
        <f>WWWW[[#This Row],['#_Constructed/Existingwater storage tank with gravity fed reticulation system]]-WWWW[[#This Row],['#_Non-functional storage tank gravity fed reticulation system]]</f>
        <v>0</v>
      </c>
      <c r="CF167" s="478">
        <f>(WWWW[[#This Row],['#_Water_Liters_supplied_by_Water boating or water trucking]]/90)/15</f>
        <v>0</v>
      </c>
      <c r="CG167" s="478">
        <f>WWWW[[#This Row],['#_Water_Liters_from_Constructed/Existing water distribution system from river or natural spring]]/90/15</f>
        <v>0</v>
      </c>
      <c r="CH167" s="478">
        <f>WWWW[[#This Row],['#_of water points in TLS/CFS /THF]]*500</f>
        <v>0</v>
      </c>
      <c r="CI16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6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67" s="599">
        <f>IF(WWWW[[#This Row],[Location Type 1]]="Village",WWWW[[#This Row],[Access to safe drinking water for Village]],WWWW[[#This Row],[Access to safe drinking water for Camp]])</f>
        <v>1</v>
      </c>
      <c r="CL167" s="597">
        <f>WWWW[[#This Row],[%Equitable and continuous access to sufficient quantity of safe drinking water]]*WWWW[[#This Row],[Total PoP ]]</f>
        <v>448</v>
      </c>
      <c r="CM167" s="599">
        <f>IF((WWWW[[#This Row],['#_Constructed/Existing protected/fenced ponds]]*250)/WWWW[[#This Row],[Total PoP ]]&gt;1,1,(WWWW[[#This Row],['#_Constructed/Existing protected/fenced ponds]]*250)/WWWW[[#This Row],[Total PoP ]])</f>
        <v>0</v>
      </c>
      <c r="CN167" s="597">
        <f>WWWW[[#This Row],[% Access to unimproved water points]]*WWWW[[#This Row],[Total PoP ]]</f>
        <v>0</v>
      </c>
      <c r="CO16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Q167" s="597">
        <f>WWWW[[#This Row],[HRP1]]/500</f>
        <v>0.89600000000000002</v>
      </c>
      <c r="CR167" s="602">
        <f>1-WWWW[[#This Row],[% Equitable and continuous access to sufficient quantity of domestic water]]</f>
        <v>0</v>
      </c>
      <c r="CS167" s="597">
        <f>WWWW[[#This Row],[%equitable and continuous access to sufficient quantity of safe drinking and domestic water''s GAP]]*WWWW[[#This Row],[Total PoP ]]</f>
        <v>0</v>
      </c>
      <c r="CT167" s="600">
        <f>IF(WWWW[[#This Row],[Total required water points]]-WWWW[[#This Row],['#Water points coverage]]&lt;0,0,WWWW[[#This Row],[Total required water points]]-WWWW[[#This Row],['#Water points coverage]])</f>
        <v>0.10399999999999998</v>
      </c>
      <c r="CU167" s="600">
        <f>ROUND(IF(WWWW[[#This Row],[Total PoP ]]&lt;500,1,WWWW[[#This Row],[Total PoP ]]/500),0)</f>
        <v>1</v>
      </c>
      <c r="CV167" s="600">
        <f>(WWWW[[#This Row],['#_Constructed latrines_by_WASHAgencies]]+WWWW[[#This Row],['#_Non Cluster partner latrines]])-WWWW[[#This Row],['#_Non-functional latrines]]</f>
        <v>40</v>
      </c>
      <c r="CW167" s="70">
        <f>WWWW[[#This Row],[HRP2]]/WWWW[[#This Row],[Total PoP ]]</f>
        <v>1</v>
      </c>
      <c r="CX16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448</v>
      </c>
      <c r="CY16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7" s="600">
        <f>IF(WWWW[[#This Row],['# of functional latrines in THF supported by WASH partners during the reporting period2]]="",0,WWWW[[#This Row],['# of functional latrines in THF supported by WASH partners during the reporting period2]]*50)</f>
        <v>0</v>
      </c>
      <c r="DB167" s="600">
        <f>WWWW[[#This Row],['# students access to functioning school latrines_HRP5]]+WWWW[[#This Row],['# People access to functioning latrines in THF_HRP5]]</f>
        <v>0</v>
      </c>
      <c r="DC167" s="600">
        <f>ROUND(IF(WWWW[[#This Row],[Location Type 1]]="camp",WWWW[[#This Row],[Total PoP ]]/20,IF(WWWW[[#This Row],[Location Type 1]]="Temporary Location",WWWW[[#This Row],[Total PoP ]]/50,WWWW[[#This Row],[Total HH]])),0)</f>
        <v>22</v>
      </c>
      <c r="DD167" s="600">
        <f>IF(WWWW[[#This Row],[Total required Latrines]]-(WWWW[[#This Row],['#_Constructed latrines_by_WASHAgencies]]+WWWW[[#This Row],['#_Non Cluster partner latrines]])&lt;0,0,WWWW[[#This Row],[Total required Latrines]]-(WWWW[[#This Row],['#_Constructed latrines_by_WASHAgencies]]+WWWW[[#This Row],['#_Non Cluster partner latrines]]))</f>
        <v>0</v>
      </c>
      <c r="DE167" s="602">
        <f>1-WWWW[[#This Row],[% people access to functioning Latrine]]</f>
        <v>0</v>
      </c>
      <c r="DF167" s="601">
        <f>IF(OR(WWWW[[#This Row],['#_Non-functional latrines]]="",WWWW[[#This Row],['#_Non-functional latrines]]=0),0,WWWW[[#This Row],['#_Non-functional latrines]]/(WWWW[[#This Row],['#_Constructed latrines_by_WASHAgencies]]+WWWW[[#This Row],['#_Non Cluster partner latrines]]))</f>
        <v>0</v>
      </c>
      <c r="DG167" s="597">
        <f>IF(500*(WWWW[[#This Row],['#_male hygiene promoters]]+WWWW[[#This Row],['#_female hygiene promoters]])&gt;WWWW[[#This Row],[Total PoP ]],WWWW[[#This Row],[Total PoP ]],500*(WWWW[[#This Row],['#_male hygiene promoters]]+WWWW[[#This Row],['#_female hygiene promoters]]))</f>
        <v>0</v>
      </c>
      <c r="DH16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7" s="600">
        <f>IF(WWWW[[#This Row],['# People with access to soap]]&gt;WWWW[[#This Row],['# People with access to Sanity Pads]],WWWW[[#This Row],['# People with access to soap]],WWWW[[#This Row],['# People with access to Sanity Pads]])</f>
        <v>0</v>
      </c>
      <c r="DK167"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7" s="602">
        <f>IF(WWWW[[#This Row],[HRP3]]/WWWW[[#This Row],[Total PoP ]]&gt;1,1,WWWW[[#This Row],[HRP3]]/WWWW[[#This Row],[Total PoP ]])</f>
        <v>0</v>
      </c>
      <c r="DM167" s="601">
        <f>1-WWWW[[#This Row],[Hygiene Coverage%]]</f>
        <v>1</v>
      </c>
      <c r="DN167" s="599">
        <f>WWWW[[#This Row],['# people reached by regular dedicated hygiene promotion_5]]/WWWW[[#This Row],[Total PoP ]]</f>
        <v>0</v>
      </c>
      <c r="DO16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7" s="600">
        <f>WWWW[[#This Row],['#_Constructed/Existing hand washing stations]]-WWWW[[#This Row],['#_Non-Functional_hand_washing_stations]]</f>
        <v>0</v>
      </c>
      <c r="DR167" s="597">
        <f>IF(WWWW[[#This Row],['# Functional hand washing stations during reporting period]]*20&gt;WWWW[[#This Row],[Total HH]],WWWW[[#This Row],[Total HH]],WWWW[[#This Row],['# Functional hand washing stations during reporting period]]*20)</f>
        <v>0</v>
      </c>
      <c r="DS167" s="597">
        <f>IF(WWWW[[#This Row],[Is sufficient soap available for TLS? (Yes/No)]]="yes",WWWW[[#This Row],['#_Constructed/Existing hand washing stations at TLS]],0)</f>
        <v>0</v>
      </c>
      <c r="DT167" s="479">
        <f>IF(WWWW[[#This Row],['# Functional hand washing stations during reporting period]]*100&gt;WWWW[[#This Row],[Total PoP ]],WWWW[[#This Row],[Total PoP ]],WWWW[[#This Row],['# Functional hand washing stations during reporting period]]*100)</f>
        <v>0</v>
      </c>
      <c r="DU167" s="479" t="str">
        <f>IF(OR(WWWW[[#This Row],['#_students at TLS_CFS]]="",WWWW[[#This Row],['#_students at TLS_CFS]]=0),"No","Yes")</f>
        <v>No</v>
      </c>
      <c r="DV16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7" s="593" t="str">
        <f>VLOOKUP(WWWW[[#This Row],[Site Name]],SiteDB6[[Site Name]:[CCCM Management]],6,FALSE)</f>
        <v>Yes</v>
      </c>
      <c r="DZ167" s="593" t="str">
        <f>VLOOKUP(WWWW[[#This Row],[Site Name]],SiteDB6[[Site Name]:[CCCM Focal Agency]],7,FALSE)</f>
        <v>Shalom</v>
      </c>
      <c r="EA167" s="593" t="str">
        <f>VLOOKUP(WWWW[[#This Row],[Site Name]],SiteDB6[[Site Name]:[Location Type 1]],9,FALSE)</f>
        <v>Camp</v>
      </c>
      <c r="EB167" s="593" t="str">
        <f>VLOOKUP(WWWW[[#This Row],[Site Name]],SiteDB6[[Site Name]:[Type of Accommodation]],10,FALSE)</f>
        <v>Camp</v>
      </c>
      <c r="EC167" s="593" t="str">
        <f>VLOOKUP(WWWW[[#This Row],[Site Name]],SiteDB6[[Site Name]:[Ethnic or GCA/NGCA]],11,FALSE)</f>
        <v>GCA</v>
      </c>
      <c r="ED167" s="593">
        <f>VLOOKUP(WWWW[[#This Row],[Site Name]],SiteDB6[[Site Name]:[Lat]],12,FALSE)</f>
        <v>25.321710740740698</v>
      </c>
      <c r="EE167" s="593">
        <f>VLOOKUP(WWWW[[#This Row],[Site Name]],SiteDB6[[Site Name]:[Long]],13,FALSE)</f>
        <v>97.404195925926004</v>
      </c>
      <c r="EF167" s="593" t="str">
        <f>VLOOKUP(WWWW[[#This Row],[Site Name]],SiteDB6[[Site Name]:[Pcode]],3,FALSE)</f>
        <v>MMR001CMP028</v>
      </c>
      <c r="EG167" s="598" t="str">
        <f t="shared" si="2"/>
        <v>Covered</v>
      </c>
      <c r="EH167" s="598" t="str">
        <f>VLOOKUP(WWWW[[#This Row],[Site Name]],SiteDB6[[Site Name]:[open in cccm?]],2,FALSE)</f>
        <v>cccm_2019OCT</v>
      </c>
    </row>
    <row r="168" spans="1:138" hidden="1">
      <c r="A168" s="591" t="s">
        <v>3261</v>
      </c>
      <c r="B168" s="591" t="s">
        <v>245</v>
      </c>
      <c r="C168" s="592" t="s">
        <v>245</v>
      </c>
      <c r="D168" s="592" t="s">
        <v>310</v>
      </c>
      <c r="E168" s="592" t="s">
        <v>39</v>
      </c>
      <c r="F168" s="592" t="s">
        <v>151</v>
      </c>
      <c r="G168" s="721" t="str">
        <f>VLOOKUP(WWWW[[#This Row],[Site Name]],SiteDB6[[Site Name]:[Location Type]],8,FALSE)</f>
        <v>Camp</v>
      </c>
      <c r="H168" s="592" t="s">
        <v>256</v>
      </c>
      <c r="I168" s="594">
        <v>2</v>
      </c>
      <c r="J168" s="594">
        <v>14</v>
      </c>
      <c r="K168" s="595">
        <v>43313</v>
      </c>
      <c r="L168" s="596">
        <v>44043</v>
      </c>
      <c r="M168" s="594"/>
      <c r="N168" s="594">
        <v>0</v>
      </c>
      <c r="O168" s="594"/>
      <c r="P168" s="594"/>
      <c r="Q168" s="597"/>
      <c r="R168" s="594"/>
      <c r="S168" s="594">
        <v>4</v>
      </c>
      <c r="T168" s="523"/>
      <c r="U168" s="594"/>
      <c r="V168" s="594"/>
      <c r="W168" s="594">
        <v>0</v>
      </c>
      <c r="X168" s="594"/>
      <c r="Y168" s="594"/>
      <c r="Z168" s="594"/>
      <c r="AA168" s="594"/>
      <c r="AB168" s="594"/>
      <c r="AC168" s="594"/>
      <c r="AD168" s="594"/>
      <c r="AE168" s="594"/>
      <c r="AF168" s="594"/>
      <c r="AG168" s="594"/>
      <c r="AH168" s="594"/>
      <c r="AI168" s="594"/>
      <c r="AJ168" s="594"/>
      <c r="AK168" s="594"/>
      <c r="AL168" s="594"/>
      <c r="AM168" s="594"/>
      <c r="AN168" s="594"/>
      <c r="AO168" s="598"/>
      <c r="AP168" s="594">
        <v>0</v>
      </c>
      <c r="AQ168" s="594"/>
      <c r="AR168" s="599"/>
      <c r="AS168" s="594"/>
      <c r="AT168" s="594"/>
      <c r="AU168" s="594"/>
      <c r="AV168" s="594"/>
      <c r="AW168" s="594">
        <v>0</v>
      </c>
      <c r="AX168" s="593" t="s">
        <v>143</v>
      </c>
      <c r="AY168" s="598" t="s">
        <v>143</v>
      </c>
      <c r="AZ168" s="594"/>
      <c r="BA168" s="594"/>
      <c r="BB168" s="594"/>
      <c r="BC168" s="594"/>
      <c r="BD168" s="523"/>
      <c r="BE168" s="593"/>
      <c r="BF168" s="594"/>
      <c r="BG168" s="594"/>
      <c r="BH168" s="594">
        <v>0</v>
      </c>
      <c r="BI168" s="594"/>
      <c r="BJ168" s="594"/>
      <c r="BK168" s="594"/>
      <c r="BL168" s="594"/>
      <c r="BM168" s="594"/>
      <c r="BN168" s="594"/>
      <c r="BO168" s="593"/>
      <c r="BP168" s="594"/>
      <c r="BQ168" s="599"/>
      <c r="BR168" s="593"/>
      <c r="BS168" s="472"/>
      <c r="BT168" s="472"/>
      <c r="BU168" s="523"/>
      <c r="BV168" s="472"/>
      <c r="BW168" s="523"/>
      <c r="BX168" s="523"/>
      <c r="BY168" s="523"/>
      <c r="BZ168" s="601" t="str">
        <f>IFERROR(WWWW[[#This Row],['#_Water sources passed]]/WWWW[[#This Row],['#_Water sources tested for fecal coliform ]],"no test")</f>
        <v>no test</v>
      </c>
      <c r="CA168" s="599" t="str">
        <f>IFERROR(WWWW[[#This Row],['#_Household passed]]/WWWW[[#This Row],['#_Household water samples tested for fecal coliform]],"no test")</f>
        <v>no test</v>
      </c>
      <c r="CB168" s="600" t="str">
        <f>IF(AND(WWWW[[#This Row],[% of water sources passed]]="no test",WWWW[[#This Row],[% Household passed]]="no test"),"No Test","Tested")</f>
        <v>No Test</v>
      </c>
      <c r="CC168" s="600">
        <f>WWWW[[#This Row],['#_Constructed/existing protected hand dug well]]-WWWW[[#This Row],['#_Non-functional protected hand dug well]]</f>
        <v>0</v>
      </c>
      <c r="CD168" s="600">
        <f>(WWWW[[#This Row],['#_Constructed/Existing tube wells/boreholes/handpumps_WASH_agency]]+WWWW[[#This Row],['#_Non-Cluster partner water tube-wells/boreholes/handpumps]])-WWWW[[#This Row],['#_Non-functional tube wells/boreholes/handpumps]]</f>
        <v>0</v>
      </c>
      <c r="CE168" s="600">
        <f>WWWW[[#This Row],['#_Constructed/Existingwater storage tank with gravity fed reticulation system]]-WWWW[[#This Row],['#_Non-functional storage tank gravity fed reticulation system]]</f>
        <v>0</v>
      </c>
      <c r="CF168" s="478">
        <f>(WWWW[[#This Row],['#_Water_Liters_supplied_by_Water boating or water trucking]]/90)/15</f>
        <v>0</v>
      </c>
      <c r="CG168" s="478">
        <f>WWWW[[#This Row],['#_Water_Liters_from_Constructed/Existing water distribution system from river or natural spring]]/90/15</f>
        <v>0</v>
      </c>
      <c r="CH168" s="478">
        <f>WWWW[[#This Row],['#_of water points in TLS/CFS /THF]]*500</f>
        <v>0</v>
      </c>
      <c r="CI16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6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68" s="599">
        <f>IF(WWWW[[#This Row],[Location Type 1]]="Village",WWWW[[#This Row],[Access to safe drinking water for Village]],WWWW[[#This Row],[Access to safe drinking water for Camp]])</f>
        <v>0</v>
      </c>
      <c r="CL168" s="597">
        <f>WWWW[[#This Row],[%Equitable and continuous access to sufficient quantity of safe drinking water]]*WWWW[[#This Row],[Total PoP ]]</f>
        <v>0</v>
      </c>
      <c r="CM168" s="599">
        <f>IF((WWWW[[#This Row],['#_Constructed/Existing protected/fenced ponds]]*250)/WWWW[[#This Row],[Total PoP ]]&gt;1,1,(WWWW[[#This Row],['#_Constructed/Existing protected/fenced ponds]]*250)/WWWW[[#This Row],[Total PoP ]])</f>
        <v>0</v>
      </c>
      <c r="CN168" s="597">
        <f>WWWW[[#This Row],[% Access to unimproved water points]]*WWWW[[#This Row],[Total PoP ]]</f>
        <v>0</v>
      </c>
      <c r="CO16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6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68" s="597">
        <f>WWWW[[#This Row],[HRP1]]/500</f>
        <v>0</v>
      </c>
      <c r="CR168" s="602">
        <f>1-WWWW[[#This Row],[% Equitable and continuous access to sufficient quantity of domestic water]]</f>
        <v>1</v>
      </c>
      <c r="CS168" s="597">
        <f>WWWW[[#This Row],[%equitable and continuous access to sufficient quantity of safe drinking and domestic water''s GAP]]*WWWW[[#This Row],[Total PoP ]]</f>
        <v>14</v>
      </c>
      <c r="CT168" s="600">
        <f>IF(WWWW[[#This Row],[Total required water points]]-WWWW[[#This Row],['#Water points coverage]]&lt;0,0,WWWW[[#This Row],[Total required water points]]-WWWW[[#This Row],['#Water points coverage]])</f>
        <v>1</v>
      </c>
      <c r="CU168" s="600">
        <f>ROUND(IF(WWWW[[#This Row],[Total PoP ]]&lt;500,1,WWWW[[#This Row],[Total PoP ]]/500),0)</f>
        <v>1</v>
      </c>
      <c r="CV168" s="600">
        <f>(WWWW[[#This Row],['#_Constructed latrines_by_WASHAgencies]]+WWWW[[#This Row],['#_Non Cluster partner latrines]])-WWWW[[#This Row],['#_Non-functional latrines]]</f>
        <v>0</v>
      </c>
      <c r="CW168" s="70">
        <f>WWWW[[#This Row],[HRP2]]/WWWW[[#This Row],[Total PoP ]]</f>
        <v>0</v>
      </c>
      <c r="CX16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6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68" s="600">
        <f>IF(WWWW[[#This Row],['# of functional latrines in THF supported by WASH partners during the reporting period2]]="",0,WWWW[[#This Row],['# of functional latrines in THF supported by WASH partners during the reporting period2]]*50)</f>
        <v>0</v>
      </c>
      <c r="DB168" s="600">
        <f>WWWW[[#This Row],['# students access to functioning school latrines_HRP5]]+WWWW[[#This Row],['# People access to functioning latrines in THF_HRP5]]</f>
        <v>0</v>
      </c>
      <c r="DC168" s="600">
        <f>ROUND(IF(WWWW[[#This Row],[Location Type 1]]="camp",WWWW[[#This Row],[Total PoP ]]/20,IF(WWWW[[#This Row],[Location Type 1]]="Temporary Location",WWWW[[#This Row],[Total PoP ]]/50,WWWW[[#This Row],[Total HH]])),0)</f>
        <v>1</v>
      </c>
      <c r="DD168" s="600">
        <f>IF(WWWW[[#This Row],[Total required Latrines]]-(WWWW[[#This Row],['#_Constructed latrines_by_WASHAgencies]]+WWWW[[#This Row],['#_Non Cluster partner latrines]])&lt;0,0,WWWW[[#This Row],[Total required Latrines]]-(WWWW[[#This Row],['#_Constructed latrines_by_WASHAgencies]]+WWWW[[#This Row],['#_Non Cluster partner latrines]]))</f>
        <v>1</v>
      </c>
      <c r="DE168" s="602">
        <f>1-WWWW[[#This Row],[% people access to functioning Latrine]]</f>
        <v>1</v>
      </c>
      <c r="DF168" s="601">
        <f>IF(OR(WWWW[[#This Row],['#_Non-functional latrines]]="",WWWW[[#This Row],['#_Non-functional latrines]]=0),0,WWWW[[#This Row],['#_Non-functional latrines]]/(WWWW[[#This Row],['#_Constructed latrines_by_WASHAgencies]]+WWWW[[#This Row],['#_Non Cluster partner latrines]]))</f>
        <v>0</v>
      </c>
      <c r="DG168" s="597">
        <f>IF(500*(WWWW[[#This Row],['#_male hygiene promoters]]+WWWW[[#This Row],['#_female hygiene promoters]])&gt;WWWW[[#This Row],[Total PoP ]],WWWW[[#This Row],[Total PoP ]],500*(WWWW[[#This Row],['#_male hygiene promoters]]+WWWW[[#This Row],['#_female hygiene promoters]]))</f>
        <v>0</v>
      </c>
      <c r="DH16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8" s="600">
        <f>IF(WWWW[[#This Row],['# People with access to soap]]&gt;WWWW[[#This Row],['# People with access to Sanity Pads]],WWWW[[#This Row],['# People with access to soap]],WWWW[[#This Row],['# People with access to Sanity Pads]])</f>
        <v>0</v>
      </c>
      <c r="DK16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68" s="602">
        <f>IF(WWWW[[#This Row],[HRP3]]/WWWW[[#This Row],[Total PoP ]]&gt;1,1,WWWW[[#This Row],[HRP3]]/WWWW[[#This Row],[Total PoP ]])</f>
        <v>0</v>
      </c>
      <c r="DM168" s="601">
        <f>1-WWWW[[#This Row],[Hygiene Coverage%]]</f>
        <v>1</v>
      </c>
      <c r="DN168" s="599">
        <f>WWWW[[#This Row],['# people reached by regular dedicated hygiene promotion_5]]/WWWW[[#This Row],[Total PoP ]]</f>
        <v>0</v>
      </c>
      <c r="DO16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8" s="600">
        <f>WWWW[[#This Row],['#_Constructed/Existing hand washing stations]]-WWWW[[#This Row],['#_Non-Functional_hand_washing_stations]]</f>
        <v>0</v>
      </c>
      <c r="DR168" s="597">
        <f>IF(WWWW[[#This Row],['# Functional hand washing stations during reporting period]]*20&gt;WWWW[[#This Row],[Total HH]],WWWW[[#This Row],[Total HH]],WWWW[[#This Row],['# Functional hand washing stations during reporting period]]*20)</f>
        <v>0</v>
      </c>
      <c r="DS168" s="597">
        <f>IF(WWWW[[#This Row],[Is sufficient soap available for TLS? (Yes/No)]]="yes",WWWW[[#This Row],['#_Constructed/Existing hand washing stations at TLS]],0)</f>
        <v>0</v>
      </c>
      <c r="DT168" s="479">
        <f>IF(WWWW[[#This Row],['# Functional hand washing stations during reporting period]]*100&gt;WWWW[[#This Row],[Total PoP ]],WWWW[[#This Row],[Total PoP ]],WWWW[[#This Row],['# Functional hand washing stations during reporting period]]*100)</f>
        <v>0</v>
      </c>
      <c r="DU168" s="479" t="str">
        <f>IF(OR(WWWW[[#This Row],['#_students at TLS_CFS]]="",WWWW[[#This Row],['#_students at TLS_CFS]]=0),"No","Yes")</f>
        <v>No</v>
      </c>
      <c r="DV16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68" s="593" t="str">
        <f>VLOOKUP(WWWW[[#This Row],[Site Name]],SiteDB6[[Site Name]:[CCCM Management]],6,FALSE)</f>
        <v>Yes</v>
      </c>
      <c r="DZ168" s="593" t="str">
        <f>VLOOKUP(WWWW[[#This Row],[Site Name]],SiteDB6[[Site Name]:[CCCM Focal Agency]],7,FALSE)</f>
        <v>Shalom</v>
      </c>
      <c r="EA168" s="593" t="str">
        <f>VLOOKUP(WWWW[[#This Row],[Site Name]],SiteDB6[[Site Name]:[Location Type 1]],9,FALSE)</f>
        <v>Camp</v>
      </c>
      <c r="EB168" s="593" t="str">
        <f>VLOOKUP(WWWW[[#This Row],[Site Name]],SiteDB6[[Site Name]:[Type of Accommodation]],10,FALSE)</f>
        <v>Camp like setting</v>
      </c>
      <c r="EC168" s="593" t="str">
        <f>VLOOKUP(WWWW[[#This Row],[Site Name]],SiteDB6[[Site Name]:[Ethnic or GCA/NGCA]],11,FALSE)</f>
        <v>GCA</v>
      </c>
      <c r="ED168" s="593">
        <f>VLOOKUP(WWWW[[#This Row],[Site Name]],SiteDB6[[Site Name]:[Lat]],12,FALSE)</f>
        <v>25.615960999999999</v>
      </c>
      <c r="EE168" s="593">
        <f>VLOOKUP(WWWW[[#This Row],[Site Name]],SiteDB6[[Site Name]:[Long]],13,FALSE)</f>
        <v>96.316564</v>
      </c>
      <c r="EF168" s="593" t="str">
        <f>VLOOKUP(WWWW[[#This Row],[Site Name]],SiteDB6[[Site Name]:[Pcode]],3,FALSE)</f>
        <v>MMR001CMP191</v>
      </c>
      <c r="EG168" s="598" t="str">
        <f t="shared" si="2"/>
        <v>Covered</v>
      </c>
      <c r="EH168" s="598" t="str">
        <f>VLOOKUP(WWWW[[#This Row],[Site Name]],SiteDB6[[Site Name]:[open in cccm?]],2,FALSE)</f>
        <v>cccm_2019OCT</v>
      </c>
    </row>
    <row r="169" spans="1:138" hidden="1">
      <c r="A169" s="591" t="s">
        <v>3261</v>
      </c>
      <c r="B169" s="591" t="s">
        <v>245</v>
      </c>
      <c r="C169" s="592" t="s">
        <v>245</v>
      </c>
      <c r="D169" s="592" t="s">
        <v>310</v>
      </c>
      <c r="E169" s="592" t="s">
        <v>39</v>
      </c>
      <c r="F169" s="592" t="s">
        <v>151</v>
      </c>
      <c r="G169" s="721" t="str">
        <f>VLOOKUP(WWWW[[#This Row],[Site Name]],SiteDB6[[Site Name]:[Location Type]],8,FALSE)</f>
        <v>Camp</v>
      </c>
      <c r="H169" s="592" t="s">
        <v>257</v>
      </c>
      <c r="I169" s="594">
        <v>107</v>
      </c>
      <c r="J169" s="594">
        <v>519</v>
      </c>
      <c r="K169" s="595">
        <v>43313</v>
      </c>
      <c r="L169" s="596">
        <v>44043</v>
      </c>
      <c r="M169" s="594">
        <v>28</v>
      </c>
      <c r="N169" s="594">
        <v>1</v>
      </c>
      <c r="O169" s="594"/>
      <c r="P169" s="594"/>
      <c r="Q169" s="597" t="s">
        <v>43</v>
      </c>
      <c r="R169" s="594">
        <v>4</v>
      </c>
      <c r="S169" s="594">
        <v>4</v>
      </c>
      <c r="T169" s="523">
        <v>0</v>
      </c>
      <c r="U169" s="594"/>
      <c r="V169" s="594"/>
      <c r="W169" s="594">
        <v>0</v>
      </c>
      <c r="X169" s="594">
        <v>0</v>
      </c>
      <c r="Y169" s="594"/>
      <c r="Z169" s="594"/>
      <c r="AA169" s="594">
        <v>1</v>
      </c>
      <c r="AB169" s="594"/>
      <c r="AC169" s="594"/>
      <c r="AD169" s="594">
        <v>0</v>
      </c>
      <c r="AE169" s="594">
        <v>4</v>
      </c>
      <c r="AF169" s="594"/>
      <c r="AG169" s="594">
        <v>0</v>
      </c>
      <c r="AH169" s="594">
        <v>1</v>
      </c>
      <c r="AI169" s="594"/>
      <c r="AJ169" s="594"/>
      <c r="AK169" s="594"/>
      <c r="AL169" s="594"/>
      <c r="AM169" s="594">
        <v>0</v>
      </c>
      <c r="AN169" s="594">
        <v>0</v>
      </c>
      <c r="AO169" s="598"/>
      <c r="AP169" s="594">
        <v>32</v>
      </c>
      <c r="AQ169" s="594">
        <v>0</v>
      </c>
      <c r="AR169" s="599" t="s">
        <v>245</v>
      </c>
      <c r="AS169" s="594"/>
      <c r="AT169" s="594"/>
      <c r="AU169" s="594"/>
      <c r="AV169" s="594"/>
      <c r="AW169" s="594">
        <v>0</v>
      </c>
      <c r="AX169" s="593" t="s">
        <v>43</v>
      </c>
      <c r="AY169" s="598" t="s">
        <v>140</v>
      </c>
      <c r="AZ169" s="594">
        <v>2</v>
      </c>
      <c r="BA169" s="594">
        <v>0</v>
      </c>
      <c r="BB169" s="594">
        <v>2</v>
      </c>
      <c r="BC169" s="594"/>
      <c r="BD169" s="523"/>
      <c r="BE169" s="593"/>
      <c r="BF169" s="594">
        <v>5</v>
      </c>
      <c r="BG169" s="594"/>
      <c r="BH169" s="594">
        <v>0</v>
      </c>
      <c r="BI169" s="594">
        <v>5</v>
      </c>
      <c r="BJ169" s="594"/>
      <c r="BK169" s="594">
        <v>4</v>
      </c>
      <c r="BL169" s="594">
        <v>4</v>
      </c>
      <c r="BM169" s="594"/>
      <c r="BN169" s="594"/>
      <c r="BO169" s="593" t="s">
        <v>139</v>
      </c>
      <c r="BP169" s="594"/>
      <c r="BQ169" s="599"/>
      <c r="BR169" s="593"/>
      <c r="BS169" s="472"/>
      <c r="BT169" s="472"/>
      <c r="BU169" s="523"/>
      <c r="BV169" s="472"/>
      <c r="BW169" s="523"/>
      <c r="BX169" s="523"/>
      <c r="BY169" s="523"/>
      <c r="BZ169" s="601" t="str">
        <f>IFERROR(WWWW[[#This Row],['#_Water sources passed]]/WWWW[[#This Row],['#_Water sources tested for fecal coliform ]],"no test")</f>
        <v>no test</v>
      </c>
      <c r="CA169" s="599" t="str">
        <f>IFERROR(WWWW[[#This Row],['#_Household passed]]/WWWW[[#This Row],['#_Household water samples tested for fecal coliform]],"no test")</f>
        <v>no test</v>
      </c>
      <c r="CB169" s="600" t="str">
        <f>IF(AND(WWWW[[#This Row],[% of water sources passed]]="no test",WWWW[[#This Row],[% Household passed]]="no test"),"No Test","Tested")</f>
        <v>No Test</v>
      </c>
      <c r="CC169" s="600">
        <f>WWWW[[#This Row],['#_Constructed/existing protected hand dug well]]-WWWW[[#This Row],['#_Non-functional protected hand dug well]]</f>
        <v>0</v>
      </c>
      <c r="CD169" s="600">
        <f>(WWWW[[#This Row],['#_Constructed/Existing tube wells/boreholes/handpumps_WASH_agency]]+WWWW[[#This Row],['#_Non-Cluster partner water tube-wells/boreholes/handpumps]])-WWWW[[#This Row],['#_Non-functional tube wells/boreholes/handpumps]]</f>
        <v>0</v>
      </c>
      <c r="CE169" s="600">
        <f>WWWW[[#This Row],['#_Constructed/Existingwater storage tank with gravity fed reticulation system]]-WWWW[[#This Row],['#_Non-functional storage tank gravity fed reticulation system]]</f>
        <v>1</v>
      </c>
      <c r="CF169" s="478">
        <f>(WWWW[[#This Row],['#_Water_Liters_supplied_by_Water boating or water trucking]]/90)/15</f>
        <v>0</v>
      </c>
      <c r="CG169" s="478">
        <f>WWWW[[#This Row],['#_Water_Liters_from_Constructed/Existing water distribution system from river or natural spring]]/90/15</f>
        <v>0</v>
      </c>
      <c r="CH169" s="478">
        <f>WWWW[[#This Row],['#_of water points in TLS/CFS /THF]]*500</f>
        <v>0</v>
      </c>
      <c r="CI16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0.12845215157353887</v>
      </c>
      <c r="CJ16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0.12845215157353887</v>
      </c>
      <c r="CK169" s="599">
        <f>IF(WWWW[[#This Row],[Location Type 1]]="Village",WWWW[[#This Row],[Access to safe drinking water for Village]],WWWW[[#This Row],[Access to safe drinking water for Camp]])</f>
        <v>0.12845215157353887</v>
      </c>
      <c r="CL169" s="597">
        <f>WWWW[[#This Row],[%Equitable and continuous access to sufficient quantity of safe drinking water]]*WWWW[[#This Row],[Total PoP ]]</f>
        <v>66.666666666666671</v>
      </c>
      <c r="CM169" s="599">
        <f>IF((WWWW[[#This Row],['#_Constructed/Existing protected/fenced ponds]]*250)/WWWW[[#This Row],[Total PoP ]]&gt;1,1,(WWWW[[#This Row],['#_Constructed/Existing protected/fenced ponds]]*250)/WWWW[[#This Row],[Total PoP ]])</f>
        <v>1</v>
      </c>
      <c r="CN169" s="597">
        <f>WWWW[[#This Row],[% Access to unimproved water points]]*WWWW[[#This Row],[Total PoP ]]</f>
        <v>519</v>
      </c>
      <c r="CO16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6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Q169" s="597">
        <f>WWWW[[#This Row],[HRP1]]/500</f>
        <v>1.038</v>
      </c>
      <c r="CR169" s="602">
        <f>1-WWWW[[#This Row],[% Equitable and continuous access to sufficient quantity of domestic water]]</f>
        <v>0</v>
      </c>
      <c r="CS169" s="597">
        <f>WWWW[[#This Row],[%equitable and continuous access to sufficient quantity of safe drinking and domestic water''s GAP]]*WWWW[[#This Row],[Total PoP ]]</f>
        <v>0</v>
      </c>
      <c r="CT169" s="600">
        <f>IF(WWWW[[#This Row],[Total required water points]]-WWWW[[#This Row],['#Water points coverage]]&lt;0,0,WWWW[[#This Row],[Total required water points]]-WWWW[[#This Row],['#Water points coverage]])</f>
        <v>0</v>
      </c>
      <c r="CU169" s="600">
        <f>ROUND(IF(WWWW[[#This Row],[Total PoP ]]&lt;500,1,WWWW[[#This Row],[Total PoP ]]/500),0)</f>
        <v>1</v>
      </c>
      <c r="CV169" s="600">
        <f>(WWWW[[#This Row],['#_Constructed latrines_by_WASHAgencies]]+WWWW[[#This Row],['#_Non Cluster partner latrines]])-WWWW[[#This Row],['#_Non-functional latrines]]</f>
        <v>32</v>
      </c>
      <c r="CW169" s="70">
        <f>WWWW[[#This Row],[HRP2]]/WWWW[[#This Row],[Total PoP ]]</f>
        <v>1</v>
      </c>
      <c r="CX16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519</v>
      </c>
      <c r="CY16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6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28</v>
      </c>
      <c r="DA169" s="600">
        <f>IF(WWWW[[#This Row],['# of functional latrines in THF supported by WASH partners during the reporting period2]]="",0,WWWW[[#This Row],['# of functional latrines in THF supported by WASH partners during the reporting period2]]*50)</f>
        <v>0</v>
      </c>
      <c r="DB169" s="600">
        <f>WWWW[[#This Row],['# students access to functioning school latrines_HRP5]]+WWWW[[#This Row],['# People access to functioning latrines in THF_HRP5]]</f>
        <v>28</v>
      </c>
      <c r="DC169" s="600">
        <f>ROUND(IF(WWWW[[#This Row],[Location Type 1]]="camp",WWWW[[#This Row],[Total PoP ]]/20,IF(WWWW[[#This Row],[Location Type 1]]="Temporary Location",WWWW[[#This Row],[Total PoP ]]/50,WWWW[[#This Row],[Total HH]])),0)</f>
        <v>26</v>
      </c>
      <c r="DD169" s="600">
        <f>IF(WWWW[[#This Row],[Total required Latrines]]-(WWWW[[#This Row],['#_Constructed latrines_by_WASHAgencies]]+WWWW[[#This Row],['#_Non Cluster partner latrines]])&lt;0,0,WWWW[[#This Row],[Total required Latrines]]-(WWWW[[#This Row],['#_Constructed latrines_by_WASHAgencies]]+WWWW[[#This Row],['#_Non Cluster partner latrines]]))</f>
        <v>0</v>
      </c>
      <c r="DE169" s="602">
        <f>1-WWWW[[#This Row],[% people access to functioning Latrine]]</f>
        <v>0</v>
      </c>
      <c r="DF169" s="601">
        <f>IF(OR(WWWW[[#This Row],['#_Non-functional latrines]]="",WWWW[[#This Row],['#_Non-functional latrines]]=0),0,WWWW[[#This Row],['#_Non-functional latrines]]/(WWWW[[#This Row],['#_Constructed latrines_by_WASHAgencies]]+WWWW[[#This Row],['#_Non Cluster partner latrines]]))</f>
        <v>0</v>
      </c>
      <c r="DG169" s="597">
        <f>IF(500*(WWWW[[#This Row],['#_male hygiene promoters]]+WWWW[[#This Row],['#_female hygiene promoters]])&gt;WWWW[[#This Row],[Total PoP ]],WWWW[[#This Row],[Total PoP ]],500*(WWWW[[#This Row],['#_male hygiene promoters]]+WWWW[[#This Row],['#_female hygiene promoters]]))</f>
        <v>519</v>
      </c>
      <c r="DH16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6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69" s="600">
        <f>IF(WWWW[[#This Row],['# People with access to soap]]&gt;WWWW[[#This Row],['# People with access to Sanity Pads]],WWWW[[#This Row],['# People with access to soap]],WWWW[[#This Row],['# People with access to Sanity Pads]])</f>
        <v>0</v>
      </c>
      <c r="DK169" s="600">
        <f>IF(WWWW[[#This Row],['# people reached by regular dedicated hygiene promotion_5]]&gt;WWWW[[#This Row],['# People received regular supply of hygiene items_6]],WWWW[[#This Row],['# people reached by regular dedicated hygiene promotion_5]],WWWW[[#This Row],['# People received regular supply of hygiene items_6]])</f>
        <v>519</v>
      </c>
      <c r="DL169" s="602">
        <f>IF(WWWW[[#This Row],[HRP3]]/WWWW[[#This Row],[Total PoP ]]&gt;1,1,WWWW[[#This Row],[HRP3]]/WWWW[[#This Row],[Total PoP ]])</f>
        <v>1</v>
      </c>
      <c r="DM169" s="601">
        <f>1-WWWW[[#This Row],[Hygiene Coverage%]]</f>
        <v>0</v>
      </c>
      <c r="DN169" s="599">
        <f>WWWW[[#This Row],['# people reached by regular dedicated hygiene promotion_5]]/WWWW[[#This Row],[Total PoP ]]</f>
        <v>1</v>
      </c>
      <c r="DO16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6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69" s="600">
        <f>WWWW[[#This Row],['#_Constructed/Existing hand washing stations]]-WWWW[[#This Row],['#_Non-Functional_hand_washing_stations]]</f>
        <v>5</v>
      </c>
      <c r="DR169" s="597">
        <f>IF(WWWW[[#This Row],['# Functional hand washing stations during reporting period]]*20&gt;WWWW[[#This Row],[Total HH]],WWWW[[#This Row],[Total HH]],WWWW[[#This Row],['# Functional hand washing stations during reporting period]]*20)</f>
        <v>100</v>
      </c>
      <c r="DS169" s="597">
        <f>IF(WWWW[[#This Row],[Is sufficient soap available for TLS? (Yes/No)]]="yes",WWWW[[#This Row],['#_Constructed/Existing hand washing stations at TLS]],0)</f>
        <v>0</v>
      </c>
      <c r="DT169" s="479">
        <f>IF(WWWW[[#This Row],['# Functional hand washing stations during reporting period]]*100&gt;WWWW[[#This Row],[Total PoP ]],WWWW[[#This Row],[Total PoP ]],WWWW[[#This Row],['# Functional hand washing stations during reporting period]]*100)</f>
        <v>500</v>
      </c>
      <c r="DU169" s="479" t="str">
        <f>IF(OR(WWWW[[#This Row],['#_students at TLS_CFS]]="",WWWW[[#This Row],['#_students at TLS_CFS]]=0),"No","Yes")</f>
        <v>Yes</v>
      </c>
      <c r="DV16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28</v>
      </c>
      <c r="DY169" s="593" t="str">
        <f>VLOOKUP(WWWW[[#This Row],[Site Name]],SiteDB6[[Site Name]:[CCCM Management]],6,FALSE)</f>
        <v>Yes</v>
      </c>
      <c r="DZ169" s="593" t="str">
        <f>VLOOKUP(WWWW[[#This Row],[Site Name]],SiteDB6[[Site Name]:[CCCM Focal Agency]],7,FALSE)</f>
        <v>KBC-MYT</v>
      </c>
      <c r="EA169" s="593" t="str">
        <f>VLOOKUP(WWWW[[#This Row],[Site Name]],SiteDB6[[Site Name]:[Location Type 1]],9,FALSE)</f>
        <v>Camp</v>
      </c>
      <c r="EB169" s="593" t="str">
        <f>VLOOKUP(WWWW[[#This Row],[Site Name]],SiteDB6[[Site Name]:[Type of Accommodation]],10,FALSE)</f>
        <v>Camp</v>
      </c>
      <c r="EC169" s="593" t="str">
        <f>VLOOKUP(WWWW[[#This Row],[Site Name]],SiteDB6[[Site Name]:[Ethnic or GCA/NGCA]],11,FALSE)</f>
        <v>GCA</v>
      </c>
      <c r="ED169" s="593">
        <f>VLOOKUP(WWWW[[#This Row],[Site Name]],SiteDB6[[Site Name]:[Lat]],12,FALSE)</f>
        <v>25.611160000000002</v>
      </c>
      <c r="EE169" s="593">
        <f>VLOOKUP(WWWW[[#This Row],[Site Name]],SiteDB6[[Site Name]:[Long]],13,FALSE)</f>
        <v>96.312790000000007</v>
      </c>
      <c r="EF169" s="593" t="str">
        <f>VLOOKUP(WWWW[[#This Row],[Site Name]],SiteDB6[[Site Name]:[Pcode]],3,FALSE)</f>
        <v>MMR001CMP229</v>
      </c>
      <c r="EG169" s="598" t="str">
        <f t="shared" si="2"/>
        <v>Covered</v>
      </c>
      <c r="EH169" s="598" t="str">
        <f>VLOOKUP(WWWW[[#This Row],[Site Name]],SiteDB6[[Site Name]:[open in cccm?]],2,FALSE)</f>
        <v>cccm_2019OCT</v>
      </c>
    </row>
    <row r="170" spans="1:138" hidden="1">
      <c r="A170" s="591" t="s">
        <v>3261</v>
      </c>
      <c r="B170" s="591" t="s">
        <v>245</v>
      </c>
      <c r="C170" s="592" t="s">
        <v>245</v>
      </c>
      <c r="D170" s="592" t="s">
        <v>310</v>
      </c>
      <c r="E170" s="592" t="s">
        <v>39</v>
      </c>
      <c r="F170" s="592" t="s">
        <v>151</v>
      </c>
      <c r="G170" s="721" t="str">
        <f>VLOOKUP(WWWW[[#This Row],[Site Name]],SiteDB6[[Site Name]:[Location Type]],8,FALSE)</f>
        <v>Camp</v>
      </c>
      <c r="H170" s="592" t="s">
        <v>246</v>
      </c>
      <c r="I170" s="594">
        <v>123</v>
      </c>
      <c r="J170" s="594">
        <v>672</v>
      </c>
      <c r="K170" s="595">
        <v>43313</v>
      </c>
      <c r="L170" s="596">
        <v>44043</v>
      </c>
      <c r="M170" s="594">
        <v>23</v>
      </c>
      <c r="N170" s="594">
        <v>2</v>
      </c>
      <c r="O170" s="594"/>
      <c r="P170" s="594"/>
      <c r="Q170" s="597" t="s">
        <v>43</v>
      </c>
      <c r="R170" s="594">
        <v>1</v>
      </c>
      <c r="S170" s="594">
        <v>4</v>
      </c>
      <c r="T170" s="523">
        <v>0</v>
      </c>
      <c r="U170" s="594"/>
      <c r="V170" s="594"/>
      <c r="W170" s="594">
        <v>0</v>
      </c>
      <c r="X170" s="594">
        <v>0</v>
      </c>
      <c r="Y170" s="594"/>
      <c r="Z170" s="594"/>
      <c r="AA170" s="594">
        <v>1</v>
      </c>
      <c r="AB170" s="594"/>
      <c r="AC170" s="594"/>
      <c r="AD170" s="594">
        <v>0</v>
      </c>
      <c r="AE170" s="594">
        <v>1</v>
      </c>
      <c r="AF170" s="607">
        <v>1</v>
      </c>
      <c r="AG170" s="594">
        <v>0</v>
      </c>
      <c r="AH170" s="594">
        <v>0</v>
      </c>
      <c r="AI170" s="594"/>
      <c r="AJ170" s="594"/>
      <c r="AK170" s="594"/>
      <c r="AL170" s="594"/>
      <c r="AM170" s="594">
        <v>0</v>
      </c>
      <c r="AN170" s="594">
        <v>0</v>
      </c>
      <c r="AO170" s="598"/>
      <c r="AP170" s="594">
        <v>23</v>
      </c>
      <c r="AQ170" s="594">
        <v>13</v>
      </c>
      <c r="AR170" s="472" t="s">
        <v>1244</v>
      </c>
      <c r="AS170" s="594"/>
      <c r="AT170" s="594"/>
      <c r="AU170" s="594">
        <v>8</v>
      </c>
      <c r="AV170" s="594"/>
      <c r="AW170" s="594">
        <v>0</v>
      </c>
      <c r="AX170" s="593" t="s">
        <v>43</v>
      </c>
      <c r="AY170" s="598" t="s">
        <v>140</v>
      </c>
      <c r="AZ170" s="594">
        <v>0</v>
      </c>
      <c r="BA170" s="594">
        <v>0</v>
      </c>
      <c r="BB170" s="594">
        <v>0</v>
      </c>
      <c r="BC170" s="594"/>
      <c r="BD170" s="523"/>
      <c r="BE170" s="593"/>
      <c r="BF170" s="594">
        <v>4</v>
      </c>
      <c r="BG170" s="594"/>
      <c r="BH170" s="594">
        <v>0</v>
      </c>
      <c r="BI170" s="594">
        <v>4</v>
      </c>
      <c r="BJ170" s="594"/>
      <c r="BK170" s="594">
        <v>1</v>
      </c>
      <c r="BL170" s="594">
        <v>2</v>
      </c>
      <c r="BM170" s="594"/>
      <c r="BN170" s="594"/>
      <c r="BO170" s="593" t="s">
        <v>139</v>
      </c>
      <c r="BP170" s="594"/>
      <c r="BQ170" s="599"/>
      <c r="BR170" s="593"/>
      <c r="BS170" s="472"/>
      <c r="BT170" s="472"/>
      <c r="BU170" s="523"/>
      <c r="BV170" s="472"/>
      <c r="BW170" s="523"/>
      <c r="BX170" s="523"/>
      <c r="BY170" s="523"/>
      <c r="BZ170" s="601" t="str">
        <f>IFERROR(WWWW[[#This Row],['#_Water sources passed]]/WWWW[[#This Row],['#_Water sources tested for fecal coliform ]],"no test")</f>
        <v>no test</v>
      </c>
      <c r="CA170" s="599" t="str">
        <f>IFERROR(WWWW[[#This Row],['#_Household passed]]/WWWW[[#This Row],['#_Household water samples tested for fecal coliform]],"no test")</f>
        <v>no test</v>
      </c>
      <c r="CB170" s="600" t="str">
        <f>IF(AND(WWWW[[#This Row],[% of water sources passed]]="no test",WWWW[[#This Row],[% Household passed]]="no test"),"No Test","Tested")</f>
        <v>No Test</v>
      </c>
      <c r="CC170" s="600">
        <f>WWWW[[#This Row],['#_Constructed/existing protected hand dug well]]-WWWW[[#This Row],['#_Non-functional protected hand dug well]]</f>
        <v>0</v>
      </c>
      <c r="CD170" s="600">
        <f>(WWWW[[#This Row],['#_Constructed/Existing tube wells/boreholes/handpumps_WASH_agency]]+WWWW[[#This Row],['#_Non-Cluster partner water tube-wells/boreholes/handpumps]])-WWWW[[#This Row],['#_Non-functional tube wells/boreholes/handpumps]]</f>
        <v>0</v>
      </c>
      <c r="CE170" s="600">
        <f>WWWW[[#This Row],['#_Constructed/Existingwater storage tank with gravity fed reticulation system]]-WWWW[[#This Row],['#_Non-functional storage tank gravity fed reticulation system]]</f>
        <v>1</v>
      </c>
      <c r="CF170" s="478">
        <f>(WWWW[[#This Row],['#_Water_Liters_supplied_by_Water boating or water trucking]]/90)/15</f>
        <v>0</v>
      </c>
      <c r="CG170" s="478">
        <f>WWWW[[#This Row],['#_Water_Liters_from_Constructed/Existing water distribution system from river or natural spring]]/90/15</f>
        <v>7.4074074074074081E-4</v>
      </c>
      <c r="CH170" s="478">
        <f>WWWW[[#This Row],['#_of water points in TLS/CFS /THF]]*500</f>
        <v>0</v>
      </c>
      <c r="CI17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9.9207451499118166E-2</v>
      </c>
      <c r="CJ17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9.9207451499118166E-2</v>
      </c>
      <c r="CK170" s="599">
        <f>IF(WWWW[[#This Row],[Location Type 1]]="Village",WWWW[[#This Row],[Access to safe drinking water for Village]],WWWW[[#This Row],[Access to safe drinking water for Camp]])</f>
        <v>9.9207451499118166E-2</v>
      </c>
      <c r="CL170" s="597">
        <f>WWWW[[#This Row],[%Equitable and continuous access to sufficient quantity of safe drinking water]]*WWWW[[#This Row],[Total PoP ]]</f>
        <v>66.66740740740741</v>
      </c>
      <c r="CM170" s="599">
        <f>IF((WWWW[[#This Row],['#_Constructed/Existing protected/fenced ponds]]*250)/WWWW[[#This Row],[Total PoP ]]&gt;1,1,(WWWW[[#This Row],['#_Constructed/Existing protected/fenced ponds]]*250)/WWWW[[#This Row],[Total PoP ]])</f>
        <v>0.37202380952380953</v>
      </c>
      <c r="CN170" s="597">
        <f>WWWW[[#This Row],[% Access to unimproved water points]]*WWWW[[#This Row],[Total PoP ]]</f>
        <v>250</v>
      </c>
      <c r="CO17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0.47123126102292767</v>
      </c>
      <c r="CP17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316.66740740740738</v>
      </c>
      <c r="CQ170" s="597">
        <f>WWWW[[#This Row],[HRP1]]/500</f>
        <v>0.63333481481481479</v>
      </c>
      <c r="CR170" s="602">
        <f>1-WWWW[[#This Row],[% Equitable and continuous access to sufficient quantity of domestic water]]</f>
        <v>0.52876873897707233</v>
      </c>
      <c r="CS170" s="597">
        <f>WWWW[[#This Row],[%equitable and continuous access to sufficient quantity of safe drinking and domestic water''s GAP]]*WWWW[[#This Row],[Total PoP ]]</f>
        <v>355.33259259259262</v>
      </c>
      <c r="CT170" s="600">
        <f>IF(WWWW[[#This Row],[Total required water points]]-WWWW[[#This Row],['#Water points coverage]]&lt;0,0,WWWW[[#This Row],[Total required water points]]-WWWW[[#This Row],['#Water points coverage]])</f>
        <v>0.36666518518518521</v>
      </c>
      <c r="CU170" s="600">
        <f>ROUND(IF(WWWW[[#This Row],[Total PoP ]]&lt;500,1,WWWW[[#This Row],[Total PoP ]]/500),0)</f>
        <v>1</v>
      </c>
      <c r="CV170" s="600">
        <f>(WWWW[[#This Row],['#_Constructed latrines_by_WASHAgencies]]+WWWW[[#This Row],['#_Non Cluster partner latrines]])-WWWW[[#This Row],['#_Non-functional latrines]]</f>
        <v>36</v>
      </c>
      <c r="CW170" s="70">
        <f>WWWW[[#This Row],[HRP2]]/WWWW[[#This Row],[Total PoP ]]</f>
        <v>1</v>
      </c>
      <c r="CX17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672</v>
      </c>
      <c r="CY17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Z17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0" s="600">
        <f>IF(WWWW[[#This Row],['# of functional latrines in THF supported by WASH partners during the reporting period2]]="",0,WWWW[[#This Row],['# of functional latrines in THF supported by WASH partners during the reporting period2]]*50)</f>
        <v>0</v>
      </c>
      <c r="DB170" s="600">
        <f>WWWW[[#This Row],['# students access to functioning school latrines_HRP5]]+WWWW[[#This Row],['# People access to functioning latrines in THF_HRP5]]</f>
        <v>0</v>
      </c>
      <c r="DC170" s="600">
        <f>ROUND(IF(WWWW[[#This Row],[Location Type 1]]="camp",WWWW[[#This Row],[Total PoP ]]/20,IF(WWWW[[#This Row],[Location Type 1]]="Temporary Location",WWWW[[#This Row],[Total PoP ]]/50,WWWW[[#This Row],[Total HH]])),0)</f>
        <v>34</v>
      </c>
      <c r="DD170" s="600">
        <f>IF(WWWW[[#This Row],[Total required Latrines]]-(WWWW[[#This Row],['#_Constructed latrines_by_WASHAgencies]]+WWWW[[#This Row],['#_Non Cluster partner latrines]])&lt;0,0,WWWW[[#This Row],[Total required Latrines]]-(WWWW[[#This Row],['#_Constructed latrines_by_WASHAgencies]]+WWWW[[#This Row],['#_Non Cluster partner latrines]]))</f>
        <v>0</v>
      </c>
      <c r="DE170" s="602">
        <f>1-WWWW[[#This Row],[% people access to functioning Latrine]]</f>
        <v>0</v>
      </c>
      <c r="DF170" s="601">
        <f>IF(OR(WWWW[[#This Row],['#_Non-functional latrines]]="",WWWW[[#This Row],['#_Non-functional latrines]]=0),0,WWWW[[#This Row],['#_Non-functional latrines]]/(WWWW[[#This Row],['#_Constructed latrines_by_WASHAgencies]]+WWWW[[#This Row],['#_Non Cluster partner latrines]]))</f>
        <v>0</v>
      </c>
      <c r="DG170" s="597">
        <f>IF(500*(WWWW[[#This Row],['#_male hygiene promoters]]+WWWW[[#This Row],['#_female hygiene promoters]])&gt;WWWW[[#This Row],[Total PoP ]],WWWW[[#This Row],[Total PoP ]],500*(WWWW[[#This Row],['#_male hygiene promoters]]+WWWW[[#This Row],['#_female hygiene promoters]]))</f>
        <v>672</v>
      </c>
      <c r="DH17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0" s="600">
        <f>IF(WWWW[[#This Row],['# People with access to soap]]&gt;WWWW[[#This Row],['# People with access to Sanity Pads]],WWWW[[#This Row],['# People with access to soap]],WWWW[[#This Row],['# People with access to Sanity Pads]])</f>
        <v>0</v>
      </c>
      <c r="DK170" s="600">
        <f>IF(WWWW[[#This Row],['# people reached by regular dedicated hygiene promotion_5]]&gt;WWWW[[#This Row],['# People received regular supply of hygiene items_6]],WWWW[[#This Row],['# people reached by regular dedicated hygiene promotion_5]],WWWW[[#This Row],['# People received regular supply of hygiene items_6]])</f>
        <v>672</v>
      </c>
      <c r="DL170" s="602">
        <f>IF(WWWW[[#This Row],[HRP3]]/WWWW[[#This Row],[Total PoP ]]&gt;1,1,WWWW[[#This Row],[HRP3]]/WWWW[[#This Row],[Total PoP ]])</f>
        <v>1</v>
      </c>
      <c r="DM170" s="601">
        <f>1-WWWW[[#This Row],[Hygiene Coverage%]]</f>
        <v>0</v>
      </c>
      <c r="DN170" s="599">
        <f>WWWW[[#This Row],['# people reached by regular dedicated hygiene promotion_5]]/WWWW[[#This Row],[Total PoP ]]</f>
        <v>1</v>
      </c>
      <c r="DO17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0" s="600">
        <f>WWWW[[#This Row],['#_Constructed/Existing hand washing stations]]-WWWW[[#This Row],['#_Non-Functional_hand_washing_stations]]</f>
        <v>4</v>
      </c>
      <c r="DR170" s="597">
        <f>IF(WWWW[[#This Row],['# Functional hand washing stations during reporting period]]*20&gt;WWWW[[#This Row],[Total HH]],WWWW[[#This Row],[Total HH]],WWWW[[#This Row],['# Functional hand washing stations during reporting period]]*20)</f>
        <v>80</v>
      </c>
      <c r="DS170" s="597">
        <f>IF(WWWW[[#This Row],[Is sufficient soap available for TLS? (Yes/No)]]="yes",WWWW[[#This Row],['#_Constructed/Existing hand washing stations at TLS]],0)</f>
        <v>0</v>
      </c>
      <c r="DT170" s="479">
        <f>IF(WWWW[[#This Row],['# Functional hand washing stations during reporting period]]*100&gt;WWWW[[#This Row],[Total PoP ]],WWWW[[#This Row],[Total PoP ]],WWWW[[#This Row],['# Functional hand washing stations during reporting period]]*100)</f>
        <v>400</v>
      </c>
      <c r="DU170" s="479" t="str">
        <f>IF(OR(WWWW[[#This Row],['#_students at TLS_CFS]]="",WWWW[[#This Row],['#_students at TLS_CFS]]=0),"No","Yes")</f>
        <v>Yes</v>
      </c>
      <c r="DV17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0" s="593" t="str">
        <f>VLOOKUP(WWWW[[#This Row],[Site Name]],SiteDB6[[Site Name]:[CCCM Management]],6,FALSE)</f>
        <v>Yes</v>
      </c>
      <c r="DZ170" s="593" t="str">
        <f>VLOOKUP(WWWW[[#This Row],[Site Name]],SiteDB6[[Site Name]:[CCCM Focal Agency]],7,FALSE)</f>
        <v>KBC-MYT</v>
      </c>
      <c r="EA170" s="593" t="str">
        <f>VLOOKUP(WWWW[[#This Row],[Site Name]],SiteDB6[[Site Name]:[Location Type 1]],9,FALSE)</f>
        <v>Camp</v>
      </c>
      <c r="EB170" s="593" t="str">
        <f>VLOOKUP(WWWW[[#This Row],[Site Name]],SiteDB6[[Site Name]:[Type of Accommodation]],10,FALSE)</f>
        <v>camp</v>
      </c>
      <c r="EC170" s="593" t="str">
        <f>VLOOKUP(WWWW[[#This Row],[Site Name]],SiteDB6[[Site Name]:[Ethnic or GCA/NGCA]],11,FALSE)</f>
        <v>GCA</v>
      </c>
      <c r="ED170" s="593">
        <f>VLOOKUP(WWWW[[#This Row],[Site Name]],SiteDB6[[Site Name]:[Lat]],12,FALSE)</f>
        <v>0</v>
      </c>
      <c r="EE170" s="593">
        <f>VLOOKUP(WWWW[[#This Row],[Site Name]],SiteDB6[[Site Name]:[Long]],13,FALSE)</f>
        <v>0</v>
      </c>
      <c r="EF170" s="593" t="str">
        <f>VLOOKUP(WWWW[[#This Row],[Site Name]],SiteDB6[[Site Name]:[Pcode]],3,FALSE)</f>
        <v>MMR001CMP250</v>
      </c>
      <c r="EG170" s="598" t="str">
        <f t="shared" si="2"/>
        <v>Covered</v>
      </c>
      <c r="EH170" s="598" t="str">
        <f>VLOOKUP(WWWW[[#This Row],[Site Name]],SiteDB6[[Site Name]:[open in cccm?]],2,FALSE)</f>
        <v>cccm_2019OCT</v>
      </c>
    </row>
    <row r="171" spans="1:138" s="470" customFormat="1" hidden="1">
      <c r="A171" s="591" t="s">
        <v>3261</v>
      </c>
      <c r="B171" s="591" t="s">
        <v>245</v>
      </c>
      <c r="C171" s="592" t="s">
        <v>245</v>
      </c>
      <c r="D171" s="592" t="s">
        <v>310</v>
      </c>
      <c r="E171" s="592" t="s">
        <v>39</v>
      </c>
      <c r="F171" s="592" t="s">
        <v>149</v>
      </c>
      <c r="G171" s="721" t="str">
        <f>VLOOKUP(WWWW[[#This Row],[Site Name]],SiteDB6[[Site Name]:[Location Type]],8,FALSE)</f>
        <v>Camp</v>
      </c>
      <c r="H171" s="592" t="s">
        <v>250</v>
      </c>
      <c r="I171" s="594">
        <v>205</v>
      </c>
      <c r="J171" s="594">
        <v>856</v>
      </c>
      <c r="K171" s="595">
        <v>43313</v>
      </c>
      <c r="L171" s="596">
        <v>44043</v>
      </c>
      <c r="M171" s="594"/>
      <c r="N171" s="594">
        <v>1</v>
      </c>
      <c r="O171" s="594"/>
      <c r="P171" s="594"/>
      <c r="Q171" s="597" t="s">
        <v>43</v>
      </c>
      <c r="R171" s="594">
        <v>4</v>
      </c>
      <c r="S171" s="594">
        <v>5</v>
      </c>
      <c r="T171" s="523">
        <v>0</v>
      </c>
      <c r="U171" s="594"/>
      <c r="V171" s="594"/>
      <c r="W171" s="594">
        <v>0</v>
      </c>
      <c r="X171" s="594"/>
      <c r="Y171" s="594"/>
      <c r="Z171" s="594"/>
      <c r="AA171" s="594">
        <v>1</v>
      </c>
      <c r="AB171" s="594"/>
      <c r="AC171" s="594"/>
      <c r="AD171" s="594"/>
      <c r="AE171" s="594"/>
      <c r="AF171" s="594"/>
      <c r="AG171" s="594"/>
      <c r="AH171" s="594">
        <v>1</v>
      </c>
      <c r="AI171" s="594"/>
      <c r="AJ171" s="594"/>
      <c r="AK171" s="594"/>
      <c r="AL171" s="594"/>
      <c r="AM171" s="594"/>
      <c r="AN171" s="594"/>
      <c r="AO171" s="598"/>
      <c r="AP171" s="594">
        <v>51</v>
      </c>
      <c r="AQ171" s="594">
        <v>14</v>
      </c>
      <c r="AR171" s="599" t="s">
        <v>2914</v>
      </c>
      <c r="AS171" s="594"/>
      <c r="AT171" s="594"/>
      <c r="AU171" s="594"/>
      <c r="AV171" s="594"/>
      <c r="AW171" s="594">
        <v>0</v>
      </c>
      <c r="AX171" s="593" t="s">
        <v>139</v>
      </c>
      <c r="AY171" s="598" t="s">
        <v>1195</v>
      </c>
      <c r="AZ171" s="594">
        <v>0</v>
      </c>
      <c r="BA171" s="594">
        <v>0</v>
      </c>
      <c r="BB171" s="594">
        <v>0</v>
      </c>
      <c r="BC171" s="594"/>
      <c r="BD171" s="523"/>
      <c r="BE171" s="593"/>
      <c r="BF171" s="594">
        <v>3</v>
      </c>
      <c r="BG171" s="594"/>
      <c r="BH171" s="594">
        <v>0</v>
      </c>
      <c r="BI171" s="594">
        <v>12</v>
      </c>
      <c r="BJ171" s="594"/>
      <c r="BK171" s="594">
        <v>4</v>
      </c>
      <c r="BL171" s="594">
        <v>2</v>
      </c>
      <c r="BM171" s="594"/>
      <c r="BN171" s="594"/>
      <c r="BO171" s="593" t="s">
        <v>139</v>
      </c>
      <c r="BP171" s="594"/>
      <c r="BQ171" s="599"/>
      <c r="BR171" s="593"/>
      <c r="BS171" s="472"/>
      <c r="BT171" s="472"/>
      <c r="BU171" s="523"/>
      <c r="BV171" s="472"/>
      <c r="BW171" s="523"/>
      <c r="BX171" s="523"/>
      <c r="BY171" s="523"/>
      <c r="BZ171" s="601" t="str">
        <f>IFERROR(WWWW[[#This Row],['#_Water sources passed]]/WWWW[[#This Row],['#_Water sources tested for fecal coliform ]],"no test")</f>
        <v>no test</v>
      </c>
      <c r="CA171" s="599" t="str">
        <f>IFERROR(WWWW[[#This Row],['#_Household passed]]/WWWW[[#This Row],['#_Household water samples tested for fecal coliform]],"no test")</f>
        <v>no test</v>
      </c>
      <c r="CB171" s="600" t="str">
        <f>IF(AND(WWWW[[#This Row],[% of water sources passed]]="no test",WWWW[[#This Row],[% Household passed]]="no test"),"No Test","Tested")</f>
        <v>No Test</v>
      </c>
      <c r="CC171" s="600">
        <f>WWWW[[#This Row],['#_Constructed/existing protected hand dug well]]-WWWW[[#This Row],['#_Non-functional protected hand dug well]]</f>
        <v>0</v>
      </c>
      <c r="CD171" s="600">
        <f>(WWWW[[#This Row],['#_Constructed/Existing tube wells/boreholes/handpumps_WASH_agency]]+WWWW[[#This Row],['#_Non-Cluster partner water tube-wells/boreholes/handpumps]])-WWWW[[#This Row],['#_Non-functional tube wells/boreholes/handpumps]]</f>
        <v>0</v>
      </c>
      <c r="CE171" s="600">
        <f>WWWW[[#This Row],['#_Constructed/Existingwater storage tank with gravity fed reticulation system]]-WWWW[[#This Row],['#_Non-functional storage tank gravity fed reticulation system]]</f>
        <v>1</v>
      </c>
      <c r="CF171" s="478">
        <f>(WWWW[[#This Row],['#_Water_Liters_supplied_by_Water boating or water trucking]]/90)/15</f>
        <v>0</v>
      </c>
      <c r="CG171" s="478">
        <f>WWWW[[#This Row],['#_Water_Liters_from_Constructed/Existing water distribution system from river or natural spring]]/90/15</f>
        <v>0</v>
      </c>
      <c r="CH171" s="478">
        <f>WWWW[[#This Row],['#_of water points in TLS/CFS /THF]]*500</f>
        <v>0</v>
      </c>
      <c r="CI17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7.7881619937694713E-2</v>
      </c>
      <c r="CJ17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7.7881619937694713E-2</v>
      </c>
      <c r="CK171" s="599">
        <f>IF(WWWW[[#This Row],[Location Type 1]]="Village",WWWW[[#This Row],[Access to safe drinking water for Village]],WWWW[[#This Row],[Access to safe drinking water for Camp]])</f>
        <v>7.7881619937694713E-2</v>
      </c>
      <c r="CL171" s="597">
        <f>WWWW[[#This Row],[%Equitable and continuous access to sufficient quantity of safe drinking water]]*WWWW[[#This Row],[Total PoP ]]</f>
        <v>66.666666666666671</v>
      </c>
      <c r="CM171" s="599">
        <f>IF((WWWW[[#This Row],['#_Constructed/Existing protected/fenced ponds]]*250)/WWWW[[#This Row],[Total PoP ]]&gt;1,1,(WWWW[[#This Row],['#_Constructed/Existing protected/fenced ponds]]*250)/WWWW[[#This Row],[Total PoP ]])</f>
        <v>0</v>
      </c>
      <c r="CN171" s="597">
        <f>WWWW[[#This Row],[% Access to unimproved water points]]*WWWW[[#This Row],[Total PoP ]]</f>
        <v>0</v>
      </c>
      <c r="CO17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7.7881619937694713E-2</v>
      </c>
      <c r="CP17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171" s="597">
        <f>WWWW[[#This Row],[HRP1]]/500</f>
        <v>0.13333333333333333</v>
      </c>
      <c r="CR171" s="602">
        <f>1-WWWW[[#This Row],[% Equitable and continuous access to sufficient quantity of domestic water]]</f>
        <v>0.92211838006230529</v>
      </c>
      <c r="CS171" s="597">
        <f>WWWW[[#This Row],[%equitable and continuous access to sufficient quantity of safe drinking and domestic water''s GAP]]*WWWW[[#This Row],[Total PoP ]]</f>
        <v>789.33333333333337</v>
      </c>
      <c r="CT171" s="600">
        <f>IF(WWWW[[#This Row],[Total required water points]]-WWWW[[#This Row],['#Water points coverage]]&lt;0,0,WWWW[[#This Row],[Total required water points]]-WWWW[[#This Row],['#Water points coverage]])</f>
        <v>1.8666666666666667</v>
      </c>
      <c r="CU171" s="600">
        <f>ROUND(IF(WWWW[[#This Row],[Total PoP ]]&lt;500,1,WWWW[[#This Row],[Total PoP ]]/500),0)</f>
        <v>2</v>
      </c>
      <c r="CV171" s="600">
        <f>(WWWW[[#This Row],['#_Constructed latrines_by_WASHAgencies]]+WWWW[[#This Row],['#_Non Cluster partner latrines]])-WWWW[[#This Row],['#_Non-functional latrines]]</f>
        <v>65</v>
      </c>
      <c r="CW171" s="70">
        <f>WWWW[[#This Row],[HRP2]]/WWWW[[#This Row],[Total PoP ]]</f>
        <v>1</v>
      </c>
      <c r="CX17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856</v>
      </c>
      <c r="CY17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1" s="600">
        <f>IF(WWWW[[#This Row],['# of functional latrines in THF supported by WASH partners during the reporting period2]]="",0,WWWW[[#This Row],['# of functional latrines in THF supported by WASH partners during the reporting period2]]*50)</f>
        <v>0</v>
      </c>
      <c r="DB171" s="600">
        <f>WWWW[[#This Row],['# students access to functioning school latrines_HRP5]]+WWWW[[#This Row],['# People access to functioning latrines in THF_HRP5]]</f>
        <v>0</v>
      </c>
      <c r="DC171" s="600">
        <f>ROUND(IF(WWWW[[#This Row],[Location Type 1]]="camp",WWWW[[#This Row],[Total PoP ]]/20,IF(WWWW[[#This Row],[Location Type 1]]="Temporary Location",WWWW[[#This Row],[Total PoP ]]/50,WWWW[[#This Row],[Total HH]])),0)</f>
        <v>43</v>
      </c>
      <c r="DD171" s="600">
        <f>IF(WWWW[[#This Row],[Total required Latrines]]-(WWWW[[#This Row],['#_Constructed latrines_by_WASHAgencies]]+WWWW[[#This Row],['#_Non Cluster partner latrines]])&lt;0,0,WWWW[[#This Row],[Total required Latrines]]-(WWWW[[#This Row],['#_Constructed latrines_by_WASHAgencies]]+WWWW[[#This Row],['#_Non Cluster partner latrines]]))</f>
        <v>0</v>
      </c>
      <c r="DE171" s="602">
        <f>1-WWWW[[#This Row],[% people access to functioning Latrine]]</f>
        <v>0</v>
      </c>
      <c r="DF171" s="601">
        <f>IF(OR(WWWW[[#This Row],['#_Non-functional latrines]]="",WWWW[[#This Row],['#_Non-functional latrines]]=0),0,WWWW[[#This Row],['#_Non-functional latrines]]/(WWWW[[#This Row],['#_Constructed latrines_by_WASHAgencies]]+WWWW[[#This Row],['#_Non Cluster partner latrines]]))</f>
        <v>0</v>
      </c>
      <c r="DG171" s="597">
        <f>IF(500*(WWWW[[#This Row],['#_male hygiene promoters]]+WWWW[[#This Row],['#_female hygiene promoters]])&gt;WWWW[[#This Row],[Total PoP ]],WWWW[[#This Row],[Total PoP ]],500*(WWWW[[#This Row],['#_male hygiene promoters]]+WWWW[[#This Row],['#_female hygiene promoters]]))</f>
        <v>856</v>
      </c>
      <c r="DH17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1" s="600">
        <f>IF(WWWW[[#This Row],['# People with access to soap]]&gt;WWWW[[#This Row],['# People with access to Sanity Pads]],WWWW[[#This Row],['# People with access to soap]],WWWW[[#This Row],['# People with access to Sanity Pads]])</f>
        <v>0</v>
      </c>
      <c r="DK171" s="600">
        <f>IF(WWWW[[#This Row],['# people reached by regular dedicated hygiene promotion_5]]&gt;WWWW[[#This Row],['# People received regular supply of hygiene items_6]],WWWW[[#This Row],['# people reached by regular dedicated hygiene promotion_5]],WWWW[[#This Row],['# People received regular supply of hygiene items_6]])</f>
        <v>856</v>
      </c>
      <c r="DL171" s="602">
        <f>IF(WWWW[[#This Row],[HRP3]]/WWWW[[#This Row],[Total PoP ]]&gt;1,1,WWWW[[#This Row],[HRP3]]/WWWW[[#This Row],[Total PoP ]])</f>
        <v>1</v>
      </c>
      <c r="DM171" s="601">
        <f>1-WWWW[[#This Row],[Hygiene Coverage%]]</f>
        <v>0</v>
      </c>
      <c r="DN171" s="599">
        <f>WWWW[[#This Row],['# people reached by regular dedicated hygiene promotion_5]]/WWWW[[#This Row],[Total PoP ]]</f>
        <v>1</v>
      </c>
      <c r="DO17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1" s="600">
        <f>WWWW[[#This Row],['#_Constructed/Existing hand washing stations]]-WWWW[[#This Row],['#_Non-Functional_hand_washing_stations]]</f>
        <v>3</v>
      </c>
      <c r="DR171" s="597">
        <f>IF(WWWW[[#This Row],['# Functional hand washing stations during reporting period]]*20&gt;WWWW[[#This Row],[Total HH]],WWWW[[#This Row],[Total HH]],WWWW[[#This Row],['# Functional hand washing stations during reporting period]]*20)</f>
        <v>60</v>
      </c>
      <c r="DS171" s="597">
        <f>IF(WWWW[[#This Row],[Is sufficient soap available for TLS? (Yes/No)]]="yes",WWWW[[#This Row],['#_Constructed/Existing hand washing stations at TLS]],0)</f>
        <v>0</v>
      </c>
      <c r="DT171" s="479">
        <f>IF(WWWW[[#This Row],['# Functional hand washing stations during reporting period]]*100&gt;WWWW[[#This Row],[Total PoP ]],WWWW[[#This Row],[Total PoP ]],WWWW[[#This Row],['# Functional hand washing stations during reporting period]]*100)</f>
        <v>300</v>
      </c>
      <c r="DU171" s="479" t="str">
        <f>IF(OR(WWWW[[#This Row],['#_students at TLS_CFS]]="",WWWW[[#This Row],['#_students at TLS_CFS]]=0),"No","Yes")</f>
        <v>No</v>
      </c>
      <c r="DV17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1" s="593" t="str">
        <f>VLOOKUP(WWWW[[#This Row],[Site Name]],SiteDB6[[Site Name]:[CCCM Management]],6,FALSE)</f>
        <v>Yes</v>
      </c>
      <c r="DZ171" s="593" t="str">
        <f>VLOOKUP(WWWW[[#This Row],[Site Name]],SiteDB6[[Site Name]:[CCCM Focal Agency]],7,FALSE)</f>
        <v>Shalom</v>
      </c>
      <c r="EA171" s="593" t="str">
        <f>VLOOKUP(WWWW[[#This Row],[Site Name]],SiteDB6[[Site Name]:[Location Type 1]],9,FALSE)</f>
        <v>Camp</v>
      </c>
      <c r="EB171" s="593" t="str">
        <f>VLOOKUP(WWWW[[#This Row],[Site Name]],SiteDB6[[Site Name]:[Type of Accommodation]],10,FALSE)</f>
        <v>Camp</v>
      </c>
      <c r="EC171" s="593" t="str">
        <f>VLOOKUP(WWWW[[#This Row],[Site Name]],SiteDB6[[Site Name]:[Ethnic or GCA/NGCA]],11,FALSE)</f>
        <v>GCA</v>
      </c>
      <c r="ED171" s="593">
        <f>VLOOKUP(WWWW[[#This Row],[Site Name]],SiteDB6[[Site Name]:[Lat]],12,FALSE)</f>
        <v>25.887339999999998</v>
      </c>
      <c r="EE171" s="593">
        <f>VLOOKUP(WWWW[[#This Row],[Site Name]],SiteDB6[[Site Name]:[Long]],13,FALSE)</f>
        <v>98.129990000000006</v>
      </c>
      <c r="EF171" s="593" t="str">
        <f>VLOOKUP(WWWW[[#This Row],[Site Name]],SiteDB6[[Site Name]:[Pcode]],3,FALSE)</f>
        <v>MMR001CMP195</v>
      </c>
      <c r="EG171" s="598" t="str">
        <f t="shared" si="2"/>
        <v>Covered</v>
      </c>
      <c r="EH171" s="598" t="str">
        <f>VLOOKUP(WWWW[[#This Row],[Site Name]],SiteDB6[[Site Name]:[open in cccm?]],2,FALSE)</f>
        <v>cccm_2019OCT</v>
      </c>
    </row>
    <row r="172" spans="1:138" hidden="1">
      <c r="A172" s="591" t="s">
        <v>3261</v>
      </c>
      <c r="B172" s="591" t="s">
        <v>245</v>
      </c>
      <c r="C172" s="592" t="s">
        <v>245</v>
      </c>
      <c r="D172" s="592" t="s">
        <v>310</v>
      </c>
      <c r="E172" s="592" t="s">
        <v>39</v>
      </c>
      <c r="F172" s="592" t="s">
        <v>151</v>
      </c>
      <c r="G172" s="721" t="str">
        <f>VLOOKUP(WWWW[[#This Row],[Site Name]],SiteDB6[[Site Name]:[Location Type]],8,FALSE)</f>
        <v>Camp</v>
      </c>
      <c r="H172" s="592" t="s">
        <v>258</v>
      </c>
      <c r="I172" s="594">
        <v>18</v>
      </c>
      <c r="J172" s="594">
        <v>103</v>
      </c>
      <c r="K172" s="595">
        <v>43313</v>
      </c>
      <c r="L172" s="596">
        <v>44043</v>
      </c>
      <c r="M172" s="594"/>
      <c r="N172" s="594">
        <v>1</v>
      </c>
      <c r="O172" s="594"/>
      <c r="P172" s="594"/>
      <c r="Q172" s="597" t="s">
        <v>43</v>
      </c>
      <c r="R172" s="594">
        <v>1</v>
      </c>
      <c r="S172" s="594">
        <v>5</v>
      </c>
      <c r="T172" s="523">
        <v>0</v>
      </c>
      <c r="U172" s="594"/>
      <c r="V172" s="594"/>
      <c r="W172" s="594">
        <v>0</v>
      </c>
      <c r="X172" s="594">
        <v>0</v>
      </c>
      <c r="Y172" s="594"/>
      <c r="Z172" s="594"/>
      <c r="AA172" s="594">
        <v>2</v>
      </c>
      <c r="AB172" s="594"/>
      <c r="AC172" s="594"/>
      <c r="AD172" s="594">
        <v>0</v>
      </c>
      <c r="AE172" s="594">
        <v>2</v>
      </c>
      <c r="AF172" s="607">
        <v>1</v>
      </c>
      <c r="AG172" s="594">
        <v>1</v>
      </c>
      <c r="AH172" s="594">
        <v>0</v>
      </c>
      <c r="AI172" s="594"/>
      <c r="AJ172" s="594"/>
      <c r="AK172" s="594"/>
      <c r="AL172" s="594"/>
      <c r="AM172" s="594">
        <v>0</v>
      </c>
      <c r="AN172" s="594">
        <v>0</v>
      </c>
      <c r="AO172" s="598"/>
      <c r="AP172" s="594">
        <v>4</v>
      </c>
      <c r="AQ172" s="594">
        <v>0</v>
      </c>
      <c r="AR172" s="599" t="s">
        <v>245</v>
      </c>
      <c r="AS172" s="594"/>
      <c r="AT172" s="594"/>
      <c r="AU172" s="594"/>
      <c r="AV172" s="594"/>
      <c r="AW172" s="594">
        <v>0</v>
      </c>
      <c r="AX172" s="593" t="s">
        <v>43</v>
      </c>
      <c r="AY172" s="598" t="s">
        <v>140</v>
      </c>
      <c r="AZ172" s="594">
        <v>0</v>
      </c>
      <c r="BA172" s="594">
        <v>0</v>
      </c>
      <c r="BB172" s="594">
        <v>0</v>
      </c>
      <c r="BC172" s="594"/>
      <c r="BD172" s="523"/>
      <c r="BE172" s="593"/>
      <c r="BF172" s="594">
        <v>2</v>
      </c>
      <c r="BG172" s="594"/>
      <c r="BH172" s="594">
        <v>0</v>
      </c>
      <c r="BI172" s="594">
        <v>2</v>
      </c>
      <c r="BJ172" s="594"/>
      <c r="BK172" s="594">
        <v>1</v>
      </c>
      <c r="BL172" s="594">
        <v>2</v>
      </c>
      <c r="BM172" s="594"/>
      <c r="BN172" s="594"/>
      <c r="BO172" s="593" t="s">
        <v>139</v>
      </c>
      <c r="BP172" s="594"/>
      <c r="BQ172" s="599"/>
      <c r="BR172" s="593"/>
      <c r="BS172" s="472"/>
      <c r="BT172" s="472"/>
      <c r="BU172" s="523"/>
      <c r="BV172" s="472"/>
      <c r="BW172" s="523"/>
      <c r="BX172" s="523"/>
      <c r="BY172" s="523"/>
      <c r="BZ172" s="601" t="str">
        <f>IFERROR(WWWW[[#This Row],['#_Water sources passed]]/WWWW[[#This Row],['#_Water sources tested for fecal coliform ]],"no test")</f>
        <v>no test</v>
      </c>
      <c r="CA172" s="599" t="str">
        <f>IFERROR(WWWW[[#This Row],['#_Household passed]]/WWWW[[#This Row],['#_Household water samples tested for fecal coliform]],"no test")</f>
        <v>no test</v>
      </c>
      <c r="CB172" s="600" t="str">
        <f>IF(AND(WWWW[[#This Row],[% of water sources passed]]="no test",WWWW[[#This Row],[% Household passed]]="no test"),"No Test","Tested")</f>
        <v>No Test</v>
      </c>
      <c r="CC172" s="600">
        <f>WWWW[[#This Row],['#_Constructed/existing protected hand dug well]]-WWWW[[#This Row],['#_Non-functional protected hand dug well]]</f>
        <v>0</v>
      </c>
      <c r="CD172" s="600">
        <f>(WWWW[[#This Row],['#_Constructed/Existing tube wells/boreholes/handpumps_WASH_agency]]+WWWW[[#This Row],['#_Non-Cluster partner water tube-wells/boreholes/handpumps]])-WWWW[[#This Row],['#_Non-functional tube wells/boreholes/handpumps]]</f>
        <v>0</v>
      </c>
      <c r="CE172" s="600">
        <f>WWWW[[#This Row],['#_Constructed/Existingwater storage tank with gravity fed reticulation system]]-WWWW[[#This Row],['#_Non-functional storage tank gravity fed reticulation system]]</f>
        <v>2</v>
      </c>
      <c r="CF172" s="478">
        <f>(WWWW[[#This Row],['#_Water_Liters_supplied_by_Water boating or water trucking]]/90)/15</f>
        <v>0</v>
      </c>
      <c r="CG172" s="478">
        <f>WWWW[[#This Row],['#_Water_Liters_from_Constructed/Existing water distribution system from river or natural spring]]/90/15</f>
        <v>7.4074074074074081E-4</v>
      </c>
      <c r="CH172" s="478">
        <f>WWWW[[#This Row],['#_of water points in TLS/CFS /THF]]*500</f>
        <v>0</v>
      </c>
      <c r="CI17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2" s="599">
        <f>IF(WWWW[[#This Row],[Location Type 1]]="Village",WWWW[[#This Row],[Access to safe drinking water for Village]],WWWW[[#This Row],[Access to safe drinking water for Camp]])</f>
        <v>1</v>
      </c>
      <c r="CL172" s="597">
        <f>WWWW[[#This Row],[%Equitable and continuous access to sufficient quantity of safe drinking water]]*WWWW[[#This Row],[Total PoP ]]</f>
        <v>103</v>
      </c>
      <c r="CM172" s="599">
        <f>IF((WWWW[[#This Row],['#_Constructed/Existing protected/fenced ponds]]*250)/WWWW[[#This Row],[Total PoP ]]&gt;1,1,(WWWW[[#This Row],['#_Constructed/Existing protected/fenced ponds]]*250)/WWWW[[#This Row],[Total PoP ]])</f>
        <v>1</v>
      </c>
      <c r="CN172" s="597">
        <f>WWWW[[#This Row],[% Access to unimproved water points]]*WWWW[[#This Row],[Total PoP ]]</f>
        <v>103</v>
      </c>
      <c r="CO17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172" s="597">
        <f>WWWW[[#This Row],[HRP1]]/500</f>
        <v>0.20599999999999999</v>
      </c>
      <c r="CR172" s="602">
        <f>1-WWWW[[#This Row],[% Equitable and continuous access to sufficient quantity of domestic water]]</f>
        <v>0</v>
      </c>
      <c r="CS172" s="597">
        <f>WWWW[[#This Row],[%equitable and continuous access to sufficient quantity of safe drinking and domestic water''s GAP]]*WWWW[[#This Row],[Total PoP ]]</f>
        <v>0</v>
      </c>
      <c r="CT172" s="600">
        <f>IF(WWWW[[#This Row],[Total required water points]]-WWWW[[#This Row],['#Water points coverage]]&lt;0,0,WWWW[[#This Row],[Total required water points]]-WWWW[[#This Row],['#Water points coverage]])</f>
        <v>0.79400000000000004</v>
      </c>
      <c r="CU172" s="600">
        <f>ROUND(IF(WWWW[[#This Row],[Total PoP ]]&lt;500,1,WWWW[[#This Row],[Total PoP ]]/500),0)</f>
        <v>1</v>
      </c>
      <c r="CV172" s="600">
        <f>(WWWW[[#This Row],['#_Constructed latrines_by_WASHAgencies]]+WWWW[[#This Row],['#_Non Cluster partner latrines]])-WWWW[[#This Row],['#_Non-functional latrines]]</f>
        <v>4</v>
      </c>
      <c r="CW172" s="70">
        <f>WWWW[[#This Row],[HRP2]]/WWWW[[#This Row],[Total PoP ]]</f>
        <v>0.77669902912621358</v>
      </c>
      <c r="CX17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17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2" s="600">
        <f>IF(WWWW[[#This Row],['# of functional latrines in THF supported by WASH partners during the reporting period2]]="",0,WWWW[[#This Row],['# of functional latrines in THF supported by WASH partners during the reporting period2]]*50)</f>
        <v>0</v>
      </c>
      <c r="DB172" s="600">
        <f>WWWW[[#This Row],['# students access to functioning school latrines_HRP5]]+WWWW[[#This Row],['# People access to functioning latrines in THF_HRP5]]</f>
        <v>0</v>
      </c>
      <c r="DC172" s="600">
        <f>ROUND(IF(WWWW[[#This Row],[Location Type 1]]="camp",WWWW[[#This Row],[Total PoP ]]/20,IF(WWWW[[#This Row],[Location Type 1]]="Temporary Location",WWWW[[#This Row],[Total PoP ]]/50,WWWW[[#This Row],[Total HH]])),0)</f>
        <v>5</v>
      </c>
      <c r="DD172" s="600">
        <f>IF(WWWW[[#This Row],[Total required Latrines]]-(WWWW[[#This Row],['#_Constructed latrines_by_WASHAgencies]]+WWWW[[#This Row],['#_Non Cluster partner latrines]])&lt;0,0,WWWW[[#This Row],[Total required Latrines]]-(WWWW[[#This Row],['#_Constructed latrines_by_WASHAgencies]]+WWWW[[#This Row],['#_Non Cluster partner latrines]]))</f>
        <v>1</v>
      </c>
      <c r="DE172" s="602">
        <f>1-WWWW[[#This Row],[% people access to functioning Latrine]]</f>
        <v>0.22330097087378642</v>
      </c>
      <c r="DF172" s="601">
        <f>IF(OR(WWWW[[#This Row],['#_Non-functional latrines]]="",WWWW[[#This Row],['#_Non-functional latrines]]=0),0,WWWW[[#This Row],['#_Non-functional latrines]]/(WWWW[[#This Row],['#_Constructed latrines_by_WASHAgencies]]+WWWW[[#This Row],['#_Non Cluster partner latrines]]))</f>
        <v>0</v>
      </c>
      <c r="DG172" s="597">
        <f>IF(500*(WWWW[[#This Row],['#_male hygiene promoters]]+WWWW[[#This Row],['#_female hygiene promoters]])&gt;WWWW[[#This Row],[Total PoP ]],WWWW[[#This Row],[Total PoP ]],500*(WWWW[[#This Row],['#_male hygiene promoters]]+WWWW[[#This Row],['#_female hygiene promoters]]))</f>
        <v>103</v>
      </c>
      <c r="DH17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2" s="600">
        <f>IF(WWWW[[#This Row],['# People with access to soap]]&gt;WWWW[[#This Row],['# People with access to Sanity Pads]],WWWW[[#This Row],['# People with access to soap]],WWWW[[#This Row],['# People with access to Sanity Pads]])</f>
        <v>0</v>
      </c>
      <c r="DK172" s="600">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172" s="602">
        <f>IF(WWWW[[#This Row],[HRP3]]/WWWW[[#This Row],[Total PoP ]]&gt;1,1,WWWW[[#This Row],[HRP3]]/WWWW[[#This Row],[Total PoP ]])</f>
        <v>1</v>
      </c>
      <c r="DM172" s="601">
        <f>1-WWWW[[#This Row],[Hygiene Coverage%]]</f>
        <v>0</v>
      </c>
      <c r="DN172" s="599">
        <f>WWWW[[#This Row],['# people reached by regular dedicated hygiene promotion_5]]/WWWW[[#This Row],[Total PoP ]]</f>
        <v>1</v>
      </c>
      <c r="DO17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2" s="600">
        <f>WWWW[[#This Row],['#_Constructed/Existing hand washing stations]]-WWWW[[#This Row],['#_Non-Functional_hand_washing_stations]]</f>
        <v>2</v>
      </c>
      <c r="DR172" s="597">
        <f>IF(WWWW[[#This Row],['# Functional hand washing stations during reporting period]]*20&gt;WWWW[[#This Row],[Total HH]],WWWW[[#This Row],[Total HH]],WWWW[[#This Row],['# Functional hand washing stations during reporting period]]*20)</f>
        <v>18</v>
      </c>
      <c r="DS172" s="597">
        <f>IF(WWWW[[#This Row],[Is sufficient soap available for TLS? (Yes/No)]]="yes",WWWW[[#This Row],['#_Constructed/Existing hand washing stations at TLS]],0)</f>
        <v>0</v>
      </c>
      <c r="DT172" s="479">
        <f>IF(WWWW[[#This Row],['# Functional hand washing stations during reporting period]]*100&gt;WWWW[[#This Row],[Total PoP ]],WWWW[[#This Row],[Total PoP ]],WWWW[[#This Row],['# Functional hand washing stations during reporting period]]*100)</f>
        <v>103</v>
      </c>
      <c r="DU172" s="479" t="str">
        <f>IF(OR(WWWW[[#This Row],['#_students at TLS_CFS]]="",WWWW[[#This Row],['#_students at TLS_CFS]]=0),"No","Yes")</f>
        <v>No</v>
      </c>
      <c r="DV17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2" s="593" t="str">
        <f>VLOOKUP(WWWW[[#This Row],[Site Name]],SiteDB6[[Site Name]:[CCCM Management]],6,FALSE)</f>
        <v>Yes</v>
      </c>
      <c r="DZ172" s="593" t="str">
        <f>VLOOKUP(WWWW[[#This Row],[Site Name]],SiteDB6[[Site Name]:[CCCM Focal Agency]],7,FALSE)</f>
        <v>Shalom</v>
      </c>
      <c r="EA172" s="593" t="str">
        <f>VLOOKUP(WWWW[[#This Row],[Site Name]],SiteDB6[[Site Name]:[Location Type 1]],9,FALSE)</f>
        <v>Camp</v>
      </c>
      <c r="EB172" s="593" t="str">
        <f>VLOOKUP(WWWW[[#This Row],[Site Name]],SiteDB6[[Site Name]:[Type of Accommodation]],10,FALSE)</f>
        <v>Camp</v>
      </c>
      <c r="EC172" s="593" t="str">
        <f>VLOOKUP(WWWW[[#This Row],[Site Name]],SiteDB6[[Site Name]:[Ethnic or GCA/NGCA]],11,FALSE)</f>
        <v>GCA</v>
      </c>
      <c r="ED172" s="593">
        <f>VLOOKUP(WWWW[[#This Row],[Site Name]],SiteDB6[[Site Name]:[Lat]],12,FALSE)</f>
        <v>25.566510000000001</v>
      </c>
      <c r="EE172" s="593">
        <f>VLOOKUP(WWWW[[#This Row],[Site Name]],SiteDB6[[Site Name]:[Long]],13,FALSE)</f>
        <v>96.269199999999998</v>
      </c>
      <c r="EF172" s="593" t="str">
        <f>VLOOKUP(WWWW[[#This Row],[Site Name]],SiteDB6[[Site Name]:[Pcode]],3,FALSE)</f>
        <v>MMR001CMP181</v>
      </c>
      <c r="EG172" s="598" t="str">
        <f t="shared" si="2"/>
        <v>Covered</v>
      </c>
      <c r="EH172" s="598" t="str">
        <f>VLOOKUP(WWWW[[#This Row],[Site Name]],SiteDB6[[Site Name]:[open in cccm?]],2,FALSE)</f>
        <v>cccm_2019OCT</v>
      </c>
    </row>
    <row r="173" spans="1:138" hidden="1">
      <c r="A173" s="591" t="s">
        <v>3261</v>
      </c>
      <c r="B173" s="591" t="s">
        <v>245</v>
      </c>
      <c r="C173" s="592" t="s">
        <v>245</v>
      </c>
      <c r="D173" s="592" t="s">
        <v>310</v>
      </c>
      <c r="E173" s="592" t="s">
        <v>39</v>
      </c>
      <c r="F173" s="592" t="s">
        <v>151</v>
      </c>
      <c r="G173" s="721" t="str">
        <f>VLOOKUP(WWWW[[#This Row],[Site Name]],SiteDB6[[Site Name]:[Location Type]],8,FALSE)</f>
        <v>Camp</v>
      </c>
      <c r="H173" s="592" t="s">
        <v>259</v>
      </c>
      <c r="I173" s="594">
        <v>12</v>
      </c>
      <c r="J173" s="594">
        <v>60</v>
      </c>
      <c r="K173" s="595">
        <v>43313</v>
      </c>
      <c r="L173" s="596">
        <v>44043</v>
      </c>
      <c r="M173" s="594"/>
      <c r="N173" s="594">
        <v>1</v>
      </c>
      <c r="O173" s="594"/>
      <c r="P173" s="594"/>
      <c r="Q173" s="597" t="s">
        <v>43</v>
      </c>
      <c r="R173" s="594">
        <v>3</v>
      </c>
      <c r="S173" s="594">
        <v>5</v>
      </c>
      <c r="T173" s="523">
        <v>0</v>
      </c>
      <c r="U173" s="594"/>
      <c r="V173" s="594"/>
      <c r="W173" s="594">
        <v>0</v>
      </c>
      <c r="X173" s="594">
        <v>0</v>
      </c>
      <c r="Y173" s="594"/>
      <c r="Z173" s="594"/>
      <c r="AA173" s="594">
        <v>0</v>
      </c>
      <c r="AB173" s="594"/>
      <c r="AC173" s="594"/>
      <c r="AD173" s="594">
        <v>0</v>
      </c>
      <c r="AE173" s="594">
        <v>0</v>
      </c>
      <c r="AF173" s="607">
        <v>1</v>
      </c>
      <c r="AG173" s="594">
        <v>0</v>
      </c>
      <c r="AH173" s="594">
        <v>1</v>
      </c>
      <c r="AI173" s="594"/>
      <c r="AJ173" s="594"/>
      <c r="AK173" s="594"/>
      <c r="AL173" s="594"/>
      <c r="AM173" s="594">
        <v>0</v>
      </c>
      <c r="AN173" s="594">
        <v>0</v>
      </c>
      <c r="AO173" s="598"/>
      <c r="AP173" s="594">
        <v>2</v>
      </c>
      <c r="AQ173" s="594">
        <v>0</v>
      </c>
      <c r="AR173" s="599" t="s">
        <v>245</v>
      </c>
      <c r="AS173" s="594"/>
      <c r="AT173" s="594"/>
      <c r="AU173" s="594"/>
      <c r="AV173" s="594"/>
      <c r="AW173" s="594">
        <v>0</v>
      </c>
      <c r="AX173" s="593" t="s">
        <v>43</v>
      </c>
      <c r="AY173" s="598" t="s">
        <v>139</v>
      </c>
      <c r="AZ173" s="594">
        <v>0</v>
      </c>
      <c r="BA173" s="594">
        <v>0</v>
      </c>
      <c r="BB173" s="594">
        <v>0</v>
      </c>
      <c r="BC173" s="594"/>
      <c r="BD173" s="523"/>
      <c r="BE173" s="593"/>
      <c r="BF173" s="594">
        <v>1</v>
      </c>
      <c r="BG173" s="594"/>
      <c r="BH173" s="594">
        <v>0</v>
      </c>
      <c r="BI173" s="594">
        <v>2</v>
      </c>
      <c r="BJ173" s="594"/>
      <c r="BK173" s="594">
        <v>3</v>
      </c>
      <c r="BL173" s="594">
        <v>4</v>
      </c>
      <c r="BM173" s="594"/>
      <c r="BN173" s="594"/>
      <c r="BO173" s="593" t="s">
        <v>139</v>
      </c>
      <c r="BP173" s="594"/>
      <c r="BQ173" s="599"/>
      <c r="BR173" s="593"/>
      <c r="BS173" s="472"/>
      <c r="BT173" s="472"/>
      <c r="BU173" s="523"/>
      <c r="BV173" s="472"/>
      <c r="BW173" s="523"/>
      <c r="BX173" s="523"/>
      <c r="BY173" s="523"/>
      <c r="BZ173" s="601" t="str">
        <f>IFERROR(WWWW[[#This Row],['#_Water sources passed]]/WWWW[[#This Row],['#_Water sources tested for fecal coliform ]],"no test")</f>
        <v>no test</v>
      </c>
      <c r="CA173" s="599" t="str">
        <f>IFERROR(WWWW[[#This Row],['#_Household passed]]/WWWW[[#This Row],['#_Household water samples tested for fecal coliform]],"no test")</f>
        <v>no test</v>
      </c>
      <c r="CB173" s="600" t="str">
        <f>IF(AND(WWWW[[#This Row],[% of water sources passed]]="no test",WWWW[[#This Row],[% Household passed]]="no test"),"No Test","Tested")</f>
        <v>No Test</v>
      </c>
      <c r="CC173" s="600">
        <f>WWWW[[#This Row],['#_Constructed/existing protected hand dug well]]-WWWW[[#This Row],['#_Non-functional protected hand dug well]]</f>
        <v>0</v>
      </c>
      <c r="CD173" s="600">
        <f>(WWWW[[#This Row],['#_Constructed/Existing tube wells/boreholes/handpumps_WASH_agency]]+WWWW[[#This Row],['#_Non-Cluster partner water tube-wells/boreholes/handpumps]])-WWWW[[#This Row],['#_Non-functional tube wells/boreholes/handpumps]]</f>
        <v>0</v>
      </c>
      <c r="CE173" s="600">
        <f>WWWW[[#This Row],['#_Constructed/Existingwater storage tank with gravity fed reticulation system]]-WWWW[[#This Row],['#_Non-functional storage tank gravity fed reticulation system]]</f>
        <v>0</v>
      </c>
      <c r="CF173" s="478">
        <f>(WWWW[[#This Row],['#_Water_Liters_supplied_by_Water boating or water trucking]]/90)/15</f>
        <v>0</v>
      </c>
      <c r="CG173" s="478">
        <f>WWWW[[#This Row],['#_Water_Liters_from_Constructed/Existing water distribution system from river or natural spring]]/90/15</f>
        <v>7.4074074074074081E-4</v>
      </c>
      <c r="CH173" s="478">
        <f>WWWW[[#This Row],['#_of water points in TLS/CFS /THF]]*500</f>
        <v>0</v>
      </c>
      <c r="CI17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1.234567901234568E-5</v>
      </c>
      <c r="CJ17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1.234567901234568E-5</v>
      </c>
      <c r="CK173" s="599">
        <f>IF(WWWW[[#This Row],[Location Type 1]]="Village",WWWW[[#This Row],[Access to safe drinking water for Village]],WWWW[[#This Row],[Access to safe drinking water for Camp]])</f>
        <v>1.234567901234568E-5</v>
      </c>
      <c r="CL173" s="597">
        <f>WWWW[[#This Row],[%Equitable and continuous access to sufficient quantity of safe drinking water]]*WWWW[[#This Row],[Total PoP ]]</f>
        <v>7.4074074074074081E-4</v>
      </c>
      <c r="CM173" s="599">
        <f>IF((WWWW[[#This Row],['#_Constructed/Existing protected/fenced ponds]]*250)/WWWW[[#This Row],[Total PoP ]]&gt;1,1,(WWWW[[#This Row],['#_Constructed/Existing protected/fenced ponds]]*250)/WWWW[[#This Row],[Total PoP ]])</f>
        <v>0</v>
      </c>
      <c r="CN173" s="597">
        <f>WWWW[[#This Row],[% Access to unimproved water points]]*WWWW[[#This Row],[Total PoP ]]</f>
        <v>0</v>
      </c>
      <c r="CO17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1.234567901234568E-5</v>
      </c>
      <c r="CP17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7.4074074074074081E-4</v>
      </c>
      <c r="CQ173" s="597">
        <f>WWWW[[#This Row],[HRP1]]/500</f>
        <v>1.4814814814814817E-6</v>
      </c>
      <c r="CR173" s="602">
        <f>1-WWWW[[#This Row],[% Equitable and continuous access to sufficient quantity of domestic water]]</f>
        <v>0.99998765432098768</v>
      </c>
      <c r="CS173" s="597">
        <f>WWWW[[#This Row],[%equitable and continuous access to sufficient quantity of safe drinking and domestic water''s GAP]]*WWWW[[#This Row],[Total PoP ]]</f>
        <v>59.999259259259262</v>
      </c>
      <c r="CT173" s="600">
        <f>IF(WWWW[[#This Row],[Total required water points]]-WWWW[[#This Row],['#Water points coverage]]&lt;0,0,WWWW[[#This Row],[Total required water points]]-WWWW[[#This Row],['#Water points coverage]])</f>
        <v>0.99999851851851851</v>
      </c>
      <c r="CU173" s="600">
        <f>ROUND(IF(WWWW[[#This Row],[Total PoP ]]&lt;500,1,WWWW[[#This Row],[Total PoP ]]/500),0)</f>
        <v>1</v>
      </c>
      <c r="CV173" s="600">
        <f>(WWWW[[#This Row],['#_Constructed latrines_by_WASHAgencies]]+WWWW[[#This Row],['#_Non Cluster partner latrines]])-WWWW[[#This Row],['#_Non-functional latrines]]</f>
        <v>2</v>
      </c>
      <c r="CW173" s="70">
        <f>WWWW[[#This Row],[HRP2]]/WWWW[[#This Row],[Total PoP ]]</f>
        <v>0.66666666666666663</v>
      </c>
      <c r="CX17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17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3" s="600">
        <f>IF(WWWW[[#This Row],['# of functional latrines in THF supported by WASH partners during the reporting period2]]="",0,WWWW[[#This Row],['# of functional latrines in THF supported by WASH partners during the reporting period2]]*50)</f>
        <v>0</v>
      </c>
      <c r="DB173" s="600">
        <f>WWWW[[#This Row],['# students access to functioning school latrines_HRP5]]+WWWW[[#This Row],['# People access to functioning latrines in THF_HRP5]]</f>
        <v>0</v>
      </c>
      <c r="DC173" s="600">
        <f>ROUND(IF(WWWW[[#This Row],[Location Type 1]]="camp",WWWW[[#This Row],[Total PoP ]]/20,IF(WWWW[[#This Row],[Location Type 1]]="Temporary Location",WWWW[[#This Row],[Total PoP ]]/50,WWWW[[#This Row],[Total HH]])),0)</f>
        <v>3</v>
      </c>
      <c r="DD173" s="600">
        <f>IF(WWWW[[#This Row],[Total required Latrines]]-(WWWW[[#This Row],['#_Constructed latrines_by_WASHAgencies]]+WWWW[[#This Row],['#_Non Cluster partner latrines]])&lt;0,0,WWWW[[#This Row],[Total required Latrines]]-(WWWW[[#This Row],['#_Constructed latrines_by_WASHAgencies]]+WWWW[[#This Row],['#_Non Cluster partner latrines]]))</f>
        <v>1</v>
      </c>
      <c r="DE173" s="602">
        <f>1-WWWW[[#This Row],[% people access to functioning Latrine]]</f>
        <v>0.33333333333333337</v>
      </c>
      <c r="DF173" s="601">
        <f>IF(OR(WWWW[[#This Row],['#_Non-functional latrines]]="",WWWW[[#This Row],['#_Non-functional latrines]]=0),0,WWWW[[#This Row],['#_Non-functional latrines]]/(WWWW[[#This Row],['#_Constructed latrines_by_WASHAgencies]]+WWWW[[#This Row],['#_Non Cluster partner latrines]]))</f>
        <v>0</v>
      </c>
      <c r="DG173" s="597">
        <f>IF(500*(WWWW[[#This Row],['#_male hygiene promoters]]+WWWW[[#This Row],['#_female hygiene promoters]])&gt;WWWW[[#This Row],[Total PoP ]],WWWW[[#This Row],[Total PoP ]],500*(WWWW[[#This Row],['#_male hygiene promoters]]+WWWW[[#This Row],['#_female hygiene promoters]]))</f>
        <v>60</v>
      </c>
      <c r="DH17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3" s="600">
        <f>IF(WWWW[[#This Row],['# People with access to soap]]&gt;WWWW[[#This Row],['# People with access to Sanity Pads]],WWWW[[#This Row],['# People with access to soap]],WWWW[[#This Row],['# People with access to Sanity Pads]])</f>
        <v>0</v>
      </c>
      <c r="DK173" s="600">
        <f>IF(WWWW[[#This Row],['# people reached by regular dedicated hygiene promotion_5]]&gt;WWWW[[#This Row],['# People received regular supply of hygiene items_6]],WWWW[[#This Row],['# people reached by regular dedicated hygiene promotion_5]],WWWW[[#This Row],['# People received regular supply of hygiene items_6]])</f>
        <v>60</v>
      </c>
      <c r="DL173" s="602">
        <f>IF(WWWW[[#This Row],[HRP3]]/WWWW[[#This Row],[Total PoP ]]&gt;1,1,WWWW[[#This Row],[HRP3]]/WWWW[[#This Row],[Total PoP ]])</f>
        <v>1</v>
      </c>
      <c r="DM173" s="601">
        <f>1-WWWW[[#This Row],[Hygiene Coverage%]]</f>
        <v>0</v>
      </c>
      <c r="DN173" s="599">
        <f>WWWW[[#This Row],['# people reached by regular dedicated hygiene promotion_5]]/WWWW[[#This Row],[Total PoP ]]</f>
        <v>1</v>
      </c>
      <c r="DO17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3" s="600">
        <f>WWWW[[#This Row],['#_Constructed/Existing hand washing stations]]-WWWW[[#This Row],['#_Non-Functional_hand_washing_stations]]</f>
        <v>1</v>
      </c>
      <c r="DR173" s="597">
        <f>IF(WWWW[[#This Row],['# Functional hand washing stations during reporting period]]*20&gt;WWWW[[#This Row],[Total HH]],WWWW[[#This Row],[Total HH]],WWWW[[#This Row],['# Functional hand washing stations during reporting period]]*20)</f>
        <v>12</v>
      </c>
      <c r="DS173" s="597">
        <f>IF(WWWW[[#This Row],[Is sufficient soap available for TLS? (Yes/No)]]="yes",WWWW[[#This Row],['#_Constructed/Existing hand washing stations at TLS]],0)</f>
        <v>0</v>
      </c>
      <c r="DT173" s="479">
        <f>IF(WWWW[[#This Row],['# Functional hand washing stations during reporting period]]*100&gt;WWWW[[#This Row],[Total PoP ]],WWWW[[#This Row],[Total PoP ]],WWWW[[#This Row],['# Functional hand washing stations during reporting period]]*100)</f>
        <v>60</v>
      </c>
      <c r="DU173" s="479" t="str">
        <f>IF(OR(WWWW[[#This Row],['#_students at TLS_CFS]]="",WWWW[[#This Row],['#_students at TLS_CFS]]=0),"No","Yes")</f>
        <v>No</v>
      </c>
      <c r="DV17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3" s="593" t="str">
        <f>VLOOKUP(WWWW[[#This Row],[Site Name]],SiteDB6[[Site Name]:[CCCM Management]],6,FALSE)</f>
        <v>Yes</v>
      </c>
      <c r="DZ173" s="593" t="str">
        <f>VLOOKUP(WWWW[[#This Row],[Site Name]],SiteDB6[[Site Name]:[CCCM Focal Agency]],7,FALSE)</f>
        <v>Shalom</v>
      </c>
      <c r="EA173" s="593" t="str">
        <f>VLOOKUP(WWWW[[#This Row],[Site Name]],SiteDB6[[Site Name]:[Location Type 1]],9,FALSE)</f>
        <v>Camp</v>
      </c>
      <c r="EB173" s="593" t="str">
        <f>VLOOKUP(WWWW[[#This Row],[Site Name]],SiteDB6[[Site Name]:[Type of Accommodation]],10,FALSE)</f>
        <v>Camp</v>
      </c>
      <c r="EC173" s="593" t="str">
        <f>VLOOKUP(WWWW[[#This Row],[Site Name]],SiteDB6[[Site Name]:[Ethnic or GCA/NGCA]],11,FALSE)</f>
        <v>GCA</v>
      </c>
      <c r="ED173" s="593">
        <f>VLOOKUP(WWWW[[#This Row],[Site Name]],SiteDB6[[Site Name]:[Lat]],12,FALSE)</f>
        <v>25.61842</v>
      </c>
      <c r="EE173" s="593">
        <f>VLOOKUP(WWWW[[#This Row],[Site Name]],SiteDB6[[Site Name]:[Long]],13,FALSE)</f>
        <v>96.316400000000002</v>
      </c>
      <c r="EF173" s="593" t="str">
        <f>VLOOKUP(WWWW[[#This Row],[Site Name]],SiteDB6[[Site Name]:[Pcode]],3,FALSE)</f>
        <v>MMR001CMP167</v>
      </c>
      <c r="EG173" s="598" t="str">
        <f t="shared" si="2"/>
        <v>Covered</v>
      </c>
      <c r="EH173" s="598" t="str">
        <f>VLOOKUP(WWWW[[#This Row],[Site Name]],SiteDB6[[Site Name]:[open in cccm?]],2,FALSE)</f>
        <v>cccm_2019OCT</v>
      </c>
    </row>
    <row r="174" spans="1:138" hidden="1">
      <c r="A174" s="591" t="s">
        <v>3261</v>
      </c>
      <c r="B174" s="591" t="s">
        <v>245</v>
      </c>
      <c r="C174" s="592" t="s">
        <v>245</v>
      </c>
      <c r="D174" s="592" t="s">
        <v>310</v>
      </c>
      <c r="E174" s="592" t="s">
        <v>39</v>
      </c>
      <c r="F174" s="592" t="s">
        <v>145</v>
      </c>
      <c r="G174" s="721" t="str">
        <f>VLOOKUP(WWWW[[#This Row],[Site Name]],SiteDB6[[Site Name]:[Location Type]],8,FALSE)</f>
        <v>Camp</v>
      </c>
      <c r="H174" s="592" t="s">
        <v>272</v>
      </c>
      <c r="I174" s="594">
        <v>347</v>
      </c>
      <c r="J174" s="594">
        <v>2065</v>
      </c>
      <c r="K174" s="595">
        <v>43313</v>
      </c>
      <c r="L174" s="596">
        <v>44043</v>
      </c>
      <c r="M174" s="594">
        <v>80</v>
      </c>
      <c r="N174" s="594">
        <v>1</v>
      </c>
      <c r="O174" s="594"/>
      <c r="P174" s="594"/>
      <c r="Q174" s="597" t="s">
        <v>43</v>
      </c>
      <c r="R174" s="594">
        <v>1</v>
      </c>
      <c r="S174" s="594">
        <v>5</v>
      </c>
      <c r="T174" s="523">
        <v>4</v>
      </c>
      <c r="U174" s="594"/>
      <c r="V174" s="594"/>
      <c r="W174" s="594">
        <v>3</v>
      </c>
      <c r="X174" s="594">
        <v>3</v>
      </c>
      <c r="Y174" s="594"/>
      <c r="Z174" s="594"/>
      <c r="AA174" s="594">
        <v>0</v>
      </c>
      <c r="AB174" s="594"/>
      <c r="AC174" s="594"/>
      <c r="AD174" s="594">
        <v>0</v>
      </c>
      <c r="AE174" s="594">
        <v>0</v>
      </c>
      <c r="AF174" s="594">
        <v>0</v>
      </c>
      <c r="AG174" s="594">
        <v>0</v>
      </c>
      <c r="AH174" s="594">
        <v>0</v>
      </c>
      <c r="AI174" s="594"/>
      <c r="AJ174" s="594"/>
      <c r="AK174" s="594"/>
      <c r="AL174" s="594"/>
      <c r="AM174" s="594">
        <v>0</v>
      </c>
      <c r="AN174" s="594">
        <v>0</v>
      </c>
      <c r="AO174" s="598"/>
      <c r="AP174" s="594">
        <v>30</v>
      </c>
      <c r="AQ174" s="594"/>
      <c r="AR174" s="599"/>
      <c r="AS174" s="594"/>
      <c r="AT174" s="594"/>
      <c r="AU174" s="594">
        <v>6</v>
      </c>
      <c r="AV174" s="594"/>
      <c r="AW174" s="594">
        <v>0</v>
      </c>
      <c r="AX174" s="593" t="s">
        <v>43</v>
      </c>
      <c r="AY174" s="598" t="s">
        <v>140</v>
      </c>
      <c r="AZ174" s="594">
        <v>0</v>
      </c>
      <c r="BA174" s="594">
        <v>0</v>
      </c>
      <c r="BB174" s="594">
        <v>0</v>
      </c>
      <c r="BC174" s="594"/>
      <c r="BD174" s="523"/>
      <c r="BE174" s="593"/>
      <c r="BF174" s="594">
        <v>5</v>
      </c>
      <c r="BG174" s="594"/>
      <c r="BH174" s="594">
        <v>0</v>
      </c>
      <c r="BI174" s="594">
        <v>7</v>
      </c>
      <c r="BJ174" s="594"/>
      <c r="BK174" s="594">
        <v>0</v>
      </c>
      <c r="BL174" s="594">
        <v>0</v>
      </c>
      <c r="BM174" s="594"/>
      <c r="BN174" s="594"/>
      <c r="BO174" s="593" t="s">
        <v>139</v>
      </c>
      <c r="BP174" s="594"/>
      <c r="BQ174" s="599"/>
      <c r="BR174" s="593"/>
      <c r="BS174" s="472"/>
      <c r="BT174" s="472"/>
      <c r="BU174" s="523"/>
      <c r="BV174" s="472"/>
      <c r="BW174" s="523"/>
      <c r="BX174" s="523"/>
      <c r="BY174" s="523"/>
      <c r="BZ174" s="601" t="str">
        <f>IFERROR(WWWW[[#This Row],['#_Water sources passed]]/WWWW[[#This Row],['#_Water sources tested for fecal coliform ]],"no test")</f>
        <v>no test</v>
      </c>
      <c r="CA174" s="599" t="str">
        <f>IFERROR(WWWW[[#This Row],['#_Household passed]]/WWWW[[#This Row],['#_Household water samples tested for fecal coliform]],"no test")</f>
        <v>no test</v>
      </c>
      <c r="CB174" s="600" t="str">
        <f>IF(AND(WWWW[[#This Row],[% of water sources passed]]="no test",WWWW[[#This Row],[% Household passed]]="no test"),"No Test","Tested")</f>
        <v>No Test</v>
      </c>
      <c r="CC174" s="600">
        <f>WWWW[[#This Row],['#_Constructed/existing protected hand dug well]]-WWWW[[#This Row],['#_Non-functional protected hand dug well]]</f>
        <v>4</v>
      </c>
      <c r="CD174" s="600">
        <f>(WWWW[[#This Row],['#_Constructed/Existing tube wells/boreholes/handpumps_WASH_agency]]+WWWW[[#This Row],['#_Non-Cluster partner water tube-wells/boreholes/handpumps]])-WWWW[[#This Row],['#_Non-functional tube wells/boreholes/handpumps]]</f>
        <v>6</v>
      </c>
      <c r="CE174" s="600">
        <f>WWWW[[#This Row],['#_Constructed/Existingwater storage tank with gravity fed reticulation system]]-WWWW[[#This Row],['#_Non-functional storage tank gravity fed reticulation system]]</f>
        <v>0</v>
      </c>
      <c r="CF174" s="478">
        <f>(WWWW[[#This Row],['#_Water_Liters_supplied_by_Water boating or water trucking]]/90)/15</f>
        <v>0</v>
      </c>
      <c r="CG174" s="478">
        <f>WWWW[[#This Row],['#_Water_Liters_from_Constructed/Existing water distribution system from river or natural spring]]/90/15</f>
        <v>0</v>
      </c>
      <c r="CH174" s="478">
        <f>WWWW[[#This Row],['#_of water points in TLS/CFS /THF]]*500</f>
        <v>0</v>
      </c>
      <c r="CI17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4" s="599">
        <f>IF(WWWW[[#This Row],[Location Type 1]]="Village",WWWW[[#This Row],[Access to safe drinking water for Village]],WWWW[[#This Row],[Access to safe drinking water for Camp]])</f>
        <v>1</v>
      </c>
      <c r="CL174" s="597">
        <f>WWWW[[#This Row],[%Equitable and continuous access to sufficient quantity of safe drinking water]]*WWWW[[#This Row],[Total PoP ]]</f>
        <v>2065</v>
      </c>
      <c r="CM174" s="599">
        <f>IF((WWWW[[#This Row],['#_Constructed/Existing protected/fenced ponds]]*250)/WWWW[[#This Row],[Total PoP ]]&gt;1,1,(WWWW[[#This Row],['#_Constructed/Existing protected/fenced ponds]]*250)/WWWW[[#This Row],[Total PoP ]])</f>
        <v>0</v>
      </c>
      <c r="CN174" s="597">
        <f>WWWW[[#This Row],[% Access to unimproved water points]]*WWWW[[#This Row],[Total PoP ]]</f>
        <v>0</v>
      </c>
      <c r="CO17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Q174" s="597">
        <f>WWWW[[#This Row],[HRP1]]/500</f>
        <v>4.13</v>
      </c>
      <c r="CR174" s="602">
        <f>1-WWWW[[#This Row],[% Equitable and continuous access to sufficient quantity of domestic water]]</f>
        <v>0</v>
      </c>
      <c r="CS174" s="597">
        <f>WWWW[[#This Row],[%equitable and continuous access to sufficient quantity of safe drinking and domestic water''s GAP]]*WWWW[[#This Row],[Total PoP ]]</f>
        <v>0</v>
      </c>
      <c r="CT174" s="600">
        <f>IF(WWWW[[#This Row],[Total required water points]]-WWWW[[#This Row],['#Water points coverage]]&lt;0,0,WWWW[[#This Row],[Total required water points]]-WWWW[[#This Row],['#Water points coverage]])</f>
        <v>0</v>
      </c>
      <c r="CU174" s="600">
        <f>ROUND(IF(WWWW[[#This Row],[Total PoP ]]&lt;500,1,WWWW[[#This Row],[Total PoP ]]/500),0)</f>
        <v>4</v>
      </c>
      <c r="CV174" s="600">
        <f>(WWWW[[#This Row],['#_Constructed latrines_by_WASHAgencies]]+WWWW[[#This Row],['#_Non Cluster partner latrines]])-WWWW[[#This Row],['#_Non-functional latrines]]</f>
        <v>30</v>
      </c>
      <c r="CW174" s="70">
        <f>WWWW[[#This Row],[HRP2]]/WWWW[[#This Row],[Total PoP ]]</f>
        <v>0.29055690072639223</v>
      </c>
      <c r="CX17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600</v>
      </c>
      <c r="CY17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17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4" s="600">
        <f>IF(WWWW[[#This Row],['# of functional latrines in THF supported by WASH partners during the reporting period2]]="",0,WWWW[[#This Row],['# of functional latrines in THF supported by WASH partners during the reporting period2]]*50)</f>
        <v>0</v>
      </c>
      <c r="DB174" s="600">
        <f>WWWW[[#This Row],['# students access to functioning school latrines_HRP5]]+WWWW[[#This Row],['# People access to functioning latrines in THF_HRP5]]</f>
        <v>0</v>
      </c>
      <c r="DC174" s="600">
        <f>ROUND(IF(WWWW[[#This Row],[Location Type 1]]="camp",WWWW[[#This Row],[Total PoP ]]/20,IF(WWWW[[#This Row],[Location Type 1]]="Temporary Location",WWWW[[#This Row],[Total PoP ]]/50,WWWW[[#This Row],[Total HH]])),0)</f>
        <v>103</v>
      </c>
      <c r="DD174" s="600">
        <f>IF(WWWW[[#This Row],[Total required Latrines]]-(WWWW[[#This Row],['#_Constructed latrines_by_WASHAgencies]]+WWWW[[#This Row],['#_Non Cluster partner latrines]])&lt;0,0,WWWW[[#This Row],[Total required Latrines]]-(WWWW[[#This Row],['#_Constructed latrines_by_WASHAgencies]]+WWWW[[#This Row],['#_Non Cluster partner latrines]]))</f>
        <v>73</v>
      </c>
      <c r="DE174" s="602">
        <f>1-WWWW[[#This Row],[% people access to functioning Latrine]]</f>
        <v>0.70944309927360782</v>
      </c>
      <c r="DF174" s="601">
        <f>IF(OR(WWWW[[#This Row],['#_Non-functional latrines]]="",WWWW[[#This Row],['#_Non-functional latrines]]=0),0,WWWW[[#This Row],['#_Non-functional latrines]]/(WWWW[[#This Row],['#_Constructed latrines_by_WASHAgencies]]+WWWW[[#This Row],['#_Non Cluster partner latrines]]))</f>
        <v>0</v>
      </c>
      <c r="DG174" s="597">
        <f>IF(500*(WWWW[[#This Row],['#_male hygiene promoters]]+WWWW[[#This Row],['#_female hygiene promoters]])&gt;WWWW[[#This Row],[Total PoP ]],WWWW[[#This Row],[Total PoP ]],500*(WWWW[[#This Row],['#_male hygiene promoters]]+WWWW[[#This Row],['#_female hygiene promoters]]))</f>
        <v>0</v>
      </c>
      <c r="DH17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4" s="600">
        <f>IF(WWWW[[#This Row],['# People with access to soap]]&gt;WWWW[[#This Row],['# People with access to Sanity Pads]],WWWW[[#This Row],['# People with access to soap]],WWWW[[#This Row],['# People with access to Sanity Pads]])</f>
        <v>0</v>
      </c>
      <c r="DK17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4" s="602">
        <f>IF(WWWW[[#This Row],[HRP3]]/WWWW[[#This Row],[Total PoP ]]&gt;1,1,WWWW[[#This Row],[HRP3]]/WWWW[[#This Row],[Total PoP ]])</f>
        <v>0</v>
      </c>
      <c r="DM174" s="601">
        <f>1-WWWW[[#This Row],[Hygiene Coverage%]]</f>
        <v>1</v>
      </c>
      <c r="DN174" s="599">
        <f>WWWW[[#This Row],['# people reached by regular dedicated hygiene promotion_5]]/WWWW[[#This Row],[Total PoP ]]</f>
        <v>0</v>
      </c>
      <c r="DO17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4" s="600">
        <f>WWWW[[#This Row],['#_Constructed/Existing hand washing stations]]-WWWW[[#This Row],['#_Non-Functional_hand_washing_stations]]</f>
        <v>5</v>
      </c>
      <c r="DR174" s="597">
        <f>IF(WWWW[[#This Row],['# Functional hand washing stations during reporting period]]*20&gt;WWWW[[#This Row],[Total HH]],WWWW[[#This Row],[Total HH]],WWWW[[#This Row],['# Functional hand washing stations during reporting period]]*20)</f>
        <v>100</v>
      </c>
      <c r="DS174" s="597">
        <f>IF(WWWW[[#This Row],[Is sufficient soap available for TLS? (Yes/No)]]="yes",WWWW[[#This Row],['#_Constructed/Existing hand washing stations at TLS]],0)</f>
        <v>0</v>
      </c>
      <c r="DT174" s="479">
        <f>IF(WWWW[[#This Row],['# Functional hand washing stations during reporting period]]*100&gt;WWWW[[#This Row],[Total PoP ]],WWWW[[#This Row],[Total PoP ]],WWWW[[#This Row],['# Functional hand washing stations during reporting period]]*100)</f>
        <v>500</v>
      </c>
      <c r="DU174" s="479" t="str">
        <f>IF(OR(WWWW[[#This Row],['#_students at TLS_CFS]]="",WWWW[[#This Row],['#_students at TLS_CFS]]=0),"No","Yes")</f>
        <v>Yes</v>
      </c>
      <c r="DV17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4" s="593" t="str">
        <f>VLOOKUP(WWWW[[#This Row],[Site Name]],SiteDB6[[Site Name]:[CCCM Management]],6,FALSE)</f>
        <v>Yes</v>
      </c>
      <c r="DZ174" s="593" t="str">
        <f>VLOOKUP(WWWW[[#This Row],[Site Name]],SiteDB6[[Site Name]:[CCCM Focal Agency]],7,FALSE)</f>
        <v>Shalom</v>
      </c>
      <c r="EA174" s="593" t="str">
        <f>VLOOKUP(WWWW[[#This Row],[Site Name]],SiteDB6[[Site Name]:[Location Type 1]],9,FALSE)</f>
        <v>Camp</v>
      </c>
      <c r="EB174" s="593" t="str">
        <f>VLOOKUP(WWWW[[#This Row],[Site Name]],SiteDB6[[Site Name]:[Type of Accommodation]],10,FALSE)</f>
        <v>Camp</v>
      </c>
      <c r="EC174" s="593" t="str">
        <f>VLOOKUP(WWWW[[#This Row],[Site Name]],SiteDB6[[Site Name]:[Ethnic or GCA/NGCA]],11,FALSE)</f>
        <v>GCA</v>
      </c>
      <c r="ED174" s="593">
        <f>VLOOKUP(WWWW[[#This Row],[Site Name]],SiteDB6[[Site Name]:[Lat]],12,FALSE)</f>
        <v>25.424529444444399</v>
      </c>
      <c r="EE174" s="593">
        <f>VLOOKUP(WWWW[[#This Row],[Site Name]],SiteDB6[[Site Name]:[Long]],13,FALSE)</f>
        <v>97.433419259259296</v>
      </c>
      <c r="EF174" s="593" t="str">
        <f>VLOOKUP(WWWW[[#This Row],[Site Name]],SiteDB6[[Site Name]:[Pcode]],3,FALSE)</f>
        <v>MMR001CMP031</v>
      </c>
      <c r="EG174" s="598" t="str">
        <f t="shared" si="2"/>
        <v>Covered</v>
      </c>
      <c r="EH174" s="598" t="str">
        <f>VLOOKUP(WWWW[[#This Row],[Site Name]],SiteDB6[[Site Name]:[open in cccm?]],2,FALSE)</f>
        <v>cccm_2019OCT</v>
      </c>
    </row>
    <row r="175" spans="1:138" hidden="1">
      <c r="A175" s="591" t="s">
        <v>3261</v>
      </c>
      <c r="B175" s="591" t="s">
        <v>245</v>
      </c>
      <c r="C175" s="592" t="s">
        <v>245</v>
      </c>
      <c r="D175" s="592" t="s">
        <v>310</v>
      </c>
      <c r="E175" s="592" t="s">
        <v>39</v>
      </c>
      <c r="F175" s="592" t="s">
        <v>162</v>
      </c>
      <c r="G175" s="721" t="str">
        <f>VLOOKUP(WWWW[[#This Row],[Site Name]],SiteDB6[[Site Name]:[Location Type]],8,FALSE)</f>
        <v>Camp</v>
      </c>
      <c r="H175" s="592" t="s">
        <v>266</v>
      </c>
      <c r="I175" s="594">
        <v>22</v>
      </c>
      <c r="J175" s="594">
        <v>92</v>
      </c>
      <c r="K175" s="595">
        <v>43313</v>
      </c>
      <c r="L175" s="596">
        <v>44043</v>
      </c>
      <c r="M175" s="594"/>
      <c r="N175" s="594">
        <v>1</v>
      </c>
      <c r="O175" s="594"/>
      <c r="P175" s="594"/>
      <c r="Q175" s="597" t="s">
        <v>43</v>
      </c>
      <c r="R175" s="594">
        <v>3</v>
      </c>
      <c r="S175" s="594"/>
      <c r="T175" s="523">
        <v>1</v>
      </c>
      <c r="U175" s="594"/>
      <c r="V175" s="594"/>
      <c r="W175" s="594">
        <v>1</v>
      </c>
      <c r="X175" s="594">
        <v>1</v>
      </c>
      <c r="Y175" s="594"/>
      <c r="Z175" s="594"/>
      <c r="AA175" s="594"/>
      <c r="AB175" s="594"/>
      <c r="AC175" s="594"/>
      <c r="AD175" s="594"/>
      <c r="AE175" s="594"/>
      <c r="AF175" s="594"/>
      <c r="AG175" s="594"/>
      <c r="AH175" s="594"/>
      <c r="AI175" s="594"/>
      <c r="AJ175" s="594"/>
      <c r="AK175" s="594"/>
      <c r="AL175" s="594"/>
      <c r="AM175" s="594"/>
      <c r="AN175" s="594"/>
      <c r="AO175" s="598"/>
      <c r="AP175" s="594">
        <v>5</v>
      </c>
      <c r="AQ175" s="594"/>
      <c r="AR175" s="599"/>
      <c r="AS175" s="594"/>
      <c r="AT175" s="594"/>
      <c r="AU175" s="594"/>
      <c r="AV175" s="594"/>
      <c r="AW175" s="594"/>
      <c r="AX175" s="593" t="s">
        <v>43</v>
      </c>
      <c r="AY175" s="598" t="s">
        <v>1195</v>
      </c>
      <c r="AZ175" s="594"/>
      <c r="BA175" s="594"/>
      <c r="BB175" s="594"/>
      <c r="BC175" s="594"/>
      <c r="BD175" s="523"/>
      <c r="BE175" s="593"/>
      <c r="BF175" s="594">
        <v>2</v>
      </c>
      <c r="BG175" s="594"/>
      <c r="BH175" s="594">
        <v>0</v>
      </c>
      <c r="BI175" s="594">
        <v>2</v>
      </c>
      <c r="BJ175" s="594"/>
      <c r="BK175" s="594">
        <v>0</v>
      </c>
      <c r="BL175" s="594">
        <v>0</v>
      </c>
      <c r="BM175" s="594"/>
      <c r="BN175" s="594"/>
      <c r="BO175" s="593" t="s">
        <v>139</v>
      </c>
      <c r="BP175" s="594"/>
      <c r="BQ175" s="599"/>
      <c r="BR175" s="593"/>
      <c r="BS175" s="472"/>
      <c r="BT175" s="472"/>
      <c r="BU175" s="523"/>
      <c r="BV175" s="472"/>
      <c r="BW175" s="523"/>
      <c r="BX175" s="523"/>
      <c r="BY175" s="523"/>
      <c r="BZ175" s="601" t="str">
        <f>IFERROR(WWWW[[#This Row],['#_Water sources passed]]/WWWW[[#This Row],['#_Water sources tested for fecal coliform ]],"no test")</f>
        <v>no test</v>
      </c>
      <c r="CA175" s="599" t="str">
        <f>IFERROR(WWWW[[#This Row],['#_Household passed]]/WWWW[[#This Row],['#_Household water samples tested for fecal coliform]],"no test")</f>
        <v>no test</v>
      </c>
      <c r="CB175" s="600" t="str">
        <f>IF(AND(WWWW[[#This Row],[% of water sources passed]]="no test",WWWW[[#This Row],[% Household passed]]="no test"),"No Test","Tested")</f>
        <v>No Test</v>
      </c>
      <c r="CC175" s="600">
        <f>WWWW[[#This Row],['#_Constructed/existing protected hand dug well]]-WWWW[[#This Row],['#_Non-functional protected hand dug well]]</f>
        <v>1</v>
      </c>
      <c r="CD175" s="600">
        <f>(WWWW[[#This Row],['#_Constructed/Existing tube wells/boreholes/handpumps_WASH_agency]]+WWWW[[#This Row],['#_Non-Cluster partner water tube-wells/boreholes/handpumps]])-WWWW[[#This Row],['#_Non-functional tube wells/boreholes/handpumps]]</f>
        <v>2</v>
      </c>
      <c r="CE175" s="600">
        <f>WWWW[[#This Row],['#_Constructed/Existingwater storage tank with gravity fed reticulation system]]-WWWW[[#This Row],['#_Non-functional storage tank gravity fed reticulation system]]</f>
        <v>0</v>
      </c>
      <c r="CF175" s="478">
        <f>(WWWW[[#This Row],['#_Water_Liters_supplied_by_Water boating or water trucking]]/90)/15</f>
        <v>0</v>
      </c>
      <c r="CG175" s="478">
        <f>WWWW[[#This Row],['#_Water_Liters_from_Constructed/Existing water distribution system from river or natural spring]]/90/15</f>
        <v>0</v>
      </c>
      <c r="CH175" s="478">
        <f>WWWW[[#This Row],['#_of water points in TLS/CFS /THF]]*500</f>
        <v>0</v>
      </c>
      <c r="CI17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5" s="599">
        <f>IF(WWWW[[#This Row],[Location Type 1]]="Village",WWWW[[#This Row],[Access to safe drinking water for Village]],WWWW[[#This Row],[Access to safe drinking water for Camp]])</f>
        <v>1</v>
      </c>
      <c r="CL175" s="597">
        <f>WWWW[[#This Row],[%Equitable and continuous access to sufficient quantity of safe drinking water]]*WWWW[[#This Row],[Total PoP ]]</f>
        <v>92</v>
      </c>
      <c r="CM175" s="599">
        <f>IF((WWWW[[#This Row],['#_Constructed/Existing protected/fenced ponds]]*250)/WWWW[[#This Row],[Total PoP ]]&gt;1,1,(WWWW[[#This Row],['#_Constructed/Existing protected/fenced ponds]]*250)/WWWW[[#This Row],[Total PoP ]])</f>
        <v>0</v>
      </c>
      <c r="CN175" s="597">
        <f>WWWW[[#This Row],[% Access to unimproved water points]]*WWWW[[#This Row],[Total PoP ]]</f>
        <v>0</v>
      </c>
      <c r="CO17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Q175" s="597">
        <f>WWWW[[#This Row],[HRP1]]/500</f>
        <v>0.184</v>
      </c>
      <c r="CR175" s="602">
        <f>1-WWWW[[#This Row],[% Equitable and continuous access to sufficient quantity of domestic water]]</f>
        <v>0</v>
      </c>
      <c r="CS175" s="597">
        <f>WWWW[[#This Row],[%equitable and continuous access to sufficient quantity of safe drinking and domestic water''s GAP]]*WWWW[[#This Row],[Total PoP ]]</f>
        <v>0</v>
      </c>
      <c r="CT175" s="600">
        <f>IF(WWWW[[#This Row],[Total required water points]]-WWWW[[#This Row],['#Water points coverage]]&lt;0,0,WWWW[[#This Row],[Total required water points]]-WWWW[[#This Row],['#Water points coverage]])</f>
        <v>0.81600000000000006</v>
      </c>
      <c r="CU175" s="600">
        <f>ROUND(IF(WWWW[[#This Row],[Total PoP ]]&lt;500,1,WWWW[[#This Row],[Total PoP ]]/500),0)</f>
        <v>1</v>
      </c>
      <c r="CV175" s="600">
        <f>(WWWW[[#This Row],['#_Constructed latrines_by_WASHAgencies]]+WWWW[[#This Row],['#_Non Cluster partner latrines]])-WWWW[[#This Row],['#_Non-functional latrines]]</f>
        <v>5</v>
      </c>
      <c r="CW175" s="70">
        <f>WWWW[[#This Row],[HRP2]]/WWWW[[#This Row],[Total PoP ]]</f>
        <v>1</v>
      </c>
      <c r="CX17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92</v>
      </c>
      <c r="CY17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5" s="600">
        <f>IF(WWWW[[#This Row],['# of functional latrines in THF supported by WASH partners during the reporting period2]]="",0,WWWW[[#This Row],['# of functional latrines in THF supported by WASH partners during the reporting period2]]*50)</f>
        <v>0</v>
      </c>
      <c r="DB175" s="600">
        <f>WWWW[[#This Row],['# students access to functioning school latrines_HRP5]]+WWWW[[#This Row],['# People access to functioning latrines in THF_HRP5]]</f>
        <v>0</v>
      </c>
      <c r="DC175" s="600">
        <f>ROUND(IF(WWWW[[#This Row],[Location Type 1]]="camp",WWWW[[#This Row],[Total PoP ]]/20,IF(WWWW[[#This Row],[Location Type 1]]="Temporary Location",WWWW[[#This Row],[Total PoP ]]/50,WWWW[[#This Row],[Total HH]])),0)</f>
        <v>5</v>
      </c>
      <c r="DD175" s="600">
        <f>IF(WWWW[[#This Row],[Total required Latrines]]-(WWWW[[#This Row],['#_Constructed latrines_by_WASHAgencies]]+WWWW[[#This Row],['#_Non Cluster partner latrines]])&lt;0,0,WWWW[[#This Row],[Total required Latrines]]-(WWWW[[#This Row],['#_Constructed latrines_by_WASHAgencies]]+WWWW[[#This Row],['#_Non Cluster partner latrines]]))</f>
        <v>0</v>
      </c>
      <c r="DE175" s="602">
        <f>1-WWWW[[#This Row],[% people access to functioning Latrine]]</f>
        <v>0</v>
      </c>
      <c r="DF175" s="601">
        <f>IF(OR(WWWW[[#This Row],['#_Non-functional latrines]]="",WWWW[[#This Row],['#_Non-functional latrines]]=0),0,WWWW[[#This Row],['#_Non-functional latrines]]/(WWWW[[#This Row],['#_Constructed latrines_by_WASHAgencies]]+WWWW[[#This Row],['#_Non Cluster partner latrines]]))</f>
        <v>0</v>
      </c>
      <c r="DG175" s="597">
        <f>IF(500*(WWWW[[#This Row],['#_male hygiene promoters]]+WWWW[[#This Row],['#_female hygiene promoters]])&gt;WWWW[[#This Row],[Total PoP ]],WWWW[[#This Row],[Total PoP ]],500*(WWWW[[#This Row],['#_male hygiene promoters]]+WWWW[[#This Row],['#_female hygiene promoters]]))</f>
        <v>0</v>
      </c>
      <c r="DH17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5" s="600">
        <f>IF(WWWW[[#This Row],['# People with access to soap]]&gt;WWWW[[#This Row],['# People with access to Sanity Pads]],WWWW[[#This Row],['# People with access to soap]],WWWW[[#This Row],['# People with access to Sanity Pads]])</f>
        <v>0</v>
      </c>
      <c r="DK17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5" s="602">
        <f>IF(WWWW[[#This Row],[HRP3]]/WWWW[[#This Row],[Total PoP ]]&gt;1,1,WWWW[[#This Row],[HRP3]]/WWWW[[#This Row],[Total PoP ]])</f>
        <v>0</v>
      </c>
      <c r="DM175" s="601">
        <f>1-WWWW[[#This Row],[Hygiene Coverage%]]</f>
        <v>1</v>
      </c>
      <c r="DN175" s="599">
        <f>WWWW[[#This Row],['# people reached by regular dedicated hygiene promotion_5]]/WWWW[[#This Row],[Total PoP ]]</f>
        <v>0</v>
      </c>
      <c r="DO17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5" s="600">
        <f>WWWW[[#This Row],['#_Constructed/Existing hand washing stations]]-WWWW[[#This Row],['#_Non-Functional_hand_washing_stations]]</f>
        <v>2</v>
      </c>
      <c r="DR175" s="597">
        <f>IF(WWWW[[#This Row],['# Functional hand washing stations during reporting period]]*20&gt;WWWW[[#This Row],[Total HH]],WWWW[[#This Row],[Total HH]],WWWW[[#This Row],['# Functional hand washing stations during reporting period]]*20)</f>
        <v>22</v>
      </c>
      <c r="DS175" s="597">
        <f>IF(WWWW[[#This Row],[Is sufficient soap available for TLS? (Yes/No)]]="yes",WWWW[[#This Row],['#_Constructed/Existing hand washing stations at TLS]],0)</f>
        <v>0</v>
      </c>
      <c r="DT175" s="479">
        <f>IF(WWWW[[#This Row],['# Functional hand washing stations during reporting period]]*100&gt;WWWW[[#This Row],[Total PoP ]],WWWW[[#This Row],[Total PoP ]],WWWW[[#This Row],['# Functional hand washing stations during reporting period]]*100)</f>
        <v>92</v>
      </c>
      <c r="DU175" s="479" t="str">
        <f>IF(OR(WWWW[[#This Row],['#_students at TLS_CFS]]="",WWWW[[#This Row],['#_students at TLS_CFS]]=0),"No","Yes")</f>
        <v>No</v>
      </c>
      <c r="DV17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5" s="593" t="str">
        <f>VLOOKUP(WWWW[[#This Row],[Site Name]],SiteDB6[[Site Name]:[CCCM Management]],6,FALSE)</f>
        <v>Yes</v>
      </c>
      <c r="DZ175" s="593" t="str">
        <f>VLOOKUP(WWWW[[#This Row],[Site Name]],SiteDB6[[Site Name]:[CCCM Focal Agency]],7,FALSE)</f>
        <v>Shalom</v>
      </c>
      <c r="EA175" s="593" t="str">
        <f>VLOOKUP(WWWW[[#This Row],[Site Name]],SiteDB6[[Site Name]:[Location Type 1]],9,FALSE)</f>
        <v>Camp</v>
      </c>
      <c r="EB175" s="593" t="str">
        <f>VLOOKUP(WWWW[[#This Row],[Site Name]],SiteDB6[[Site Name]:[Type of Accommodation]],10,FALSE)</f>
        <v>Camp</v>
      </c>
      <c r="EC175" s="593" t="str">
        <f>VLOOKUP(WWWW[[#This Row],[Site Name]],SiteDB6[[Site Name]:[Ethnic or GCA/NGCA]],11,FALSE)</f>
        <v>GCA</v>
      </c>
      <c r="ED175" s="593">
        <f>VLOOKUP(WWWW[[#This Row],[Site Name]],SiteDB6[[Site Name]:[Lat]],12,FALSE)</f>
        <v>25.374343974359</v>
      </c>
      <c r="EE175" s="593">
        <f>VLOOKUP(WWWW[[#This Row],[Site Name]],SiteDB6[[Site Name]:[Long]],13,FALSE)</f>
        <v>97.2843958974359</v>
      </c>
      <c r="EF175" s="593" t="str">
        <f>VLOOKUP(WWWW[[#This Row],[Site Name]],SiteDB6[[Site Name]:[Pcode]],3,FALSE)</f>
        <v>MMR001CMP020</v>
      </c>
      <c r="EG175" s="598" t="str">
        <f t="shared" si="2"/>
        <v>Covered</v>
      </c>
      <c r="EH175" s="598" t="str">
        <f>VLOOKUP(WWWW[[#This Row],[Site Name]],SiteDB6[[Site Name]:[open in cccm?]],2,FALSE)</f>
        <v>cccm_2019OCT</v>
      </c>
    </row>
    <row r="176" spans="1:138" hidden="1">
      <c r="A176" s="591" t="s">
        <v>3261</v>
      </c>
      <c r="B176" s="591" t="s">
        <v>245</v>
      </c>
      <c r="C176" s="592" t="s">
        <v>245</v>
      </c>
      <c r="D176" s="592" t="s">
        <v>310</v>
      </c>
      <c r="E176" s="592" t="s">
        <v>39</v>
      </c>
      <c r="F176" s="592" t="s">
        <v>162</v>
      </c>
      <c r="G176" s="721" t="str">
        <f>VLOOKUP(WWWW[[#This Row],[Site Name]],SiteDB6[[Site Name]:[Location Type]],8,FALSE)</f>
        <v>Camp</v>
      </c>
      <c r="H176" s="592" t="s">
        <v>267</v>
      </c>
      <c r="I176" s="594">
        <v>21</v>
      </c>
      <c r="J176" s="594">
        <v>123</v>
      </c>
      <c r="K176" s="595">
        <v>43313</v>
      </c>
      <c r="L176" s="596">
        <v>44043</v>
      </c>
      <c r="M176" s="594"/>
      <c r="N176" s="594">
        <v>1</v>
      </c>
      <c r="O176" s="594"/>
      <c r="P176" s="594"/>
      <c r="Q176" s="597" t="s">
        <v>43</v>
      </c>
      <c r="R176" s="594">
        <v>1</v>
      </c>
      <c r="S176" s="594">
        <v>4</v>
      </c>
      <c r="T176" s="523">
        <v>0</v>
      </c>
      <c r="U176" s="594"/>
      <c r="V176" s="594"/>
      <c r="W176" s="594">
        <v>1</v>
      </c>
      <c r="X176" s="594"/>
      <c r="Y176" s="594"/>
      <c r="Z176" s="594"/>
      <c r="AA176" s="594"/>
      <c r="AB176" s="594"/>
      <c r="AC176" s="594"/>
      <c r="AD176" s="594"/>
      <c r="AE176" s="594"/>
      <c r="AF176" s="594"/>
      <c r="AG176" s="594">
        <v>1</v>
      </c>
      <c r="AH176" s="594">
        <v>1</v>
      </c>
      <c r="AI176" s="594"/>
      <c r="AJ176" s="594"/>
      <c r="AK176" s="594"/>
      <c r="AL176" s="594"/>
      <c r="AM176" s="594"/>
      <c r="AN176" s="594"/>
      <c r="AO176" s="598"/>
      <c r="AP176" s="594">
        <v>5</v>
      </c>
      <c r="AQ176" s="594">
        <v>5</v>
      </c>
      <c r="AR176" s="604" t="s">
        <v>2915</v>
      </c>
      <c r="AS176" s="594"/>
      <c r="AT176" s="594"/>
      <c r="AU176" s="594">
        <v>5</v>
      </c>
      <c r="AV176" s="594"/>
      <c r="AW176" s="594"/>
      <c r="AX176" s="593" t="s">
        <v>43</v>
      </c>
      <c r="AY176" s="598" t="s">
        <v>1195</v>
      </c>
      <c r="AZ176" s="594"/>
      <c r="BA176" s="594"/>
      <c r="BB176" s="594"/>
      <c r="BC176" s="594"/>
      <c r="BD176" s="523"/>
      <c r="BE176" s="593"/>
      <c r="BF176" s="594">
        <v>1</v>
      </c>
      <c r="BG176" s="594"/>
      <c r="BH176" s="594">
        <v>0</v>
      </c>
      <c r="BI176" s="594">
        <v>2</v>
      </c>
      <c r="BJ176" s="594"/>
      <c r="BK176" s="594">
        <v>1</v>
      </c>
      <c r="BL176" s="594">
        <v>0</v>
      </c>
      <c r="BM176" s="594"/>
      <c r="BN176" s="594"/>
      <c r="BO176" s="593" t="s">
        <v>139</v>
      </c>
      <c r="BP176" s="594"/>
      <c r="BQ176" s="599"/>
      <c r="BR176" s="593"/>
      <c r="BS176" s="472"/>
      <c r="BT176" s="472"/>
      <c r="BU176" s="523"/>
      <c r="BV176" s="472"/>
      <c r="BW176" s="523"/>
      <c r="BX176" s="523"/>
      <c r="BY176" s="523"/>
      <c r="BZ176" s="601" t="str">
        <f>IFERROR(WWWW[[#This Row],['#_Water sources passed]]/WWWW[[#This Row],['#_Water sources tested for fecal coliform ]],"no test")</f>
        <v>no test</v>
      </c>
      <c r="CA176" s="599" t="str">
        <f>IFERROR(WWWW[[#This Row],['#_Household passed]]/WWWW[[#This Row],['#_Household water samples tested for fecal coliform]],"no test")</f>
        <v>no test</v>
      </c>
      <c r="CB176" s="600" t="str">
        <f>IF(AND(WWWW[[#This Row],[% of water sources passed]]="no test",WWWW[[#This Row],[% Household passed]]="no test"),"No Test","Tested")</f>
        <v>No Test</v>
      </c>
      <c r="CC176" s="600">
        <f>WWWW[[#This Row],['#_Constructed/existing protected hand dug well]]-WWWW[[#This Row],['#_Non-functional protected hand dug well]]</f>
        <v>0</v>
      </c>
      <c r="CD176" s="600">
        <f>(WWWW[[#This Row],['#_Constructed/Existing tube wells/boreholes/handpumps_WASH_agency]]+WWWW[[#This Row],['#_Non-Cluster partner water tube-wells/boreholes/handpumps]])-WWWW[[#This Row],['#_Non-functional tube wells/boreholes/handpumps]]</f>
        <v>1</v>
      </c>
      <c r="CE176" s="600">
        <f>WWWW[[#This Row],['#_Constructed/Existingwater storage tank with gravity fed reticulation system]]-WWWW[[#This Row],['#_Non-functional storage tank gravity fed reticulation system]]</f>
        <v>0</v>
      </c>
      <c r="CF176" s="478">
        <f>(WWWW[[#This Row],['#_Water_Liters_supplied_by_Water boating or water trucking]]/90)/15</f>
        <v>0</v>
      </c>
      <c r="CG176" s="478">
        <f>WWWW[[#This Row],['#_Water_Liters_from_Constructed/Existing water distribution system from river or natural spring]]/90/15</f>
        <v>0</v>
      </c>
      <c r="CH176" s="478">
        <f>WWWW[[#This Row],['#_of water points in TLS/CFS /THF]]*500</f>
        <v>0</v>
      </c>
      <c r="CI17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6" s="599">
        <f>IF(WWWW[[#This Row],[Location Type 1]]="Village",WWWW[[#This Row],[Access to safe drinking water for Village]],WWWW[[#This Row],[Access to safe drinking water for Camp]])</f>
        <v>1</v>
      </c>
      <c r="CL176" s="597">
        <f>WWWW[[#This Row],[%Equitable and continuous access to sufficient quantity of safe drinking water]]*WWWW[[#This Row],[Total PoP ]]</f>
        <v>123</v>
      </c>
      <c r="CM176" s="599">
        <f>IF((WWWW[[#This Row],['#_Constructed/Existing protected/fenced ponds]]*250)/WWWW[[#This Row],[Total PoP ]]&gt;1,1,(WWWW[[#This Row],['#_Constructed/Existing protected/fenced ponds]]*250)/WWWW[[#This Row],[Total PoP ]])</f>
        <v>0</v>
      </c>
      <c r="CN176" s="597">
        <f>WWWW[[#This Row],[% Access to unimproved water points]]*WWWW[[#This Row],[Total PoP ]]</f>
        <v>0</v>
      </c>
      <c r="CO17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Q176" s="597">
        <f>WWWW[[#This Row],[HRP1]]/500</f>
        <v>0.246</v>
      </c>
      <c r="CR176" s="602">
        <f>1-WWWW[[#This Row],[% Equitable and continuous access to sufficient quantity of domestic water]]</f>
        <v>0</v>
      </c>
      <c r="CS176" s="597">
        <f>WWWW[[#This Row],[%equitable and continuous access to sufficient quantity of safe drinking and domestic water''s GAP]]*WWWW[[#This Row],[Total PoP ]]</f>
        <v>0</v>
      </c>
      <c r="CT176" s="600">
        <f>IF(WWWW[[#This Row],[Total required water points]]-WWWW[[#This Row],['#Water points coverage]]&lt;0,0,WWWW[[#This Row],[Total required water points]]-WWWW[[#This Row],['#Water points coverage]])</f>
        <v>0.754</v>
      </c>
      <c r="CU176" s="600">
        <f>ROUND(IF(WWWW[[#This Row],[Total PoP ]]&lt;500,1,WWWW[[#This Row],[Total PoP ]]/500),0)</f>
        <v>1</v>
      </c>
      <c r="CV176" s="600">
        <f>(WWWW[[#This Row],['#_Constructed latrines_by_WASHAgencies]]+WWWW[[#This Row],['#_Non Cluster partner latrines]])-WWWW[[#This Row],['#_Non-functional latrines]]</f>
        <v>10</v>
      </c>
      <c r="CW176" s="70">
        <f>WWWW[[#This Row],[HRP2]]/WWWW[[#This Row],[Total PoP ]]</f>
        <v>1</v>
      </c>
      <c r="CX17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123</v>
      </c>
      <c r="CY17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7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6" s="600">
        <f>IF(WWWW[[#This Row],['# of functional latrines in THF supported by WASH partners during the reporting period2]]="",0,WWWW[[#This Row],['# of functional latrines in THF supported by WASH partners during the reporting period2]]*50)</f>
        <v>0</v>
      </c>
      <c r="DB176" s="600">
        <f>WWWW[[#This Row],['# students access to functioning school latrines_HRP5]]+WWWW[[#This Row],['# People access to functioning latrines in THF_HRP5]]</f>
        <v>0</v>
      </c>
      <c r="DC176" s="600">
        <f>ROUND(IF(WWWW[[#This Row],[Location Type 1]]="camp",WWWW[[#This Row],[Total PoP ]]/20,IF(WWWW[[#This Row],[Location Type 1]]="Temporary Location",WWWW[[#This Row],[Total PoP ]]/50,WWWW[[#This Row],[Total HH]])),0)</f>
        <v>6</v>
      </c>
      <c r="DD176" s="600">
        <f>IF(WWWW[[#This Row],[Total required Latrines]]-(WWWW[[#This Row],['#_Constructed latrines_by_WASHAgencies]]+WWWW[[#This Row],['#_Non Cluster partner latrines]])&lt;0,0,WWWW[[#This Row],[Total required Latrines]]-(WWWW[[#This Row],['#_Constructed latrines_by_WASHAgencies]]+WWWW[[#This Row],['#_Non Cluster partner latrines]]))</f>
        <v>0</v>
      </c>
      <c r="DE176" s="602">
        <f>1-WWWW[[#This Row],[% people access to functioning Latrine]]</f>
        <v>0</v>
      </c>
      <c r="DF176" s="601">
        <f>IF(OR(WWWW[[#This Row],['#_Non-functional latrines]]="",WWWW[[#This Row],['#_Non-functional latrines]]=0),0,WWWW[[#This Row],['#_Non-functional latrines]]/(WWWW[[#This Row],['#_Constructed latrines_by_WASHAgencies]]+WWWW[[#This Row],['#_Non Cluster partner latrines]]))</f>
        <v>0</v>
      </c>
      <c r="DG176" s="597">
        <f>IF(500*(WWWW[[#This Row],['#_male hygiene promoters]]+WWWW[[#This Row],['#_female hygiene promoters]])&gt;WWWW[[#This Row],[Total PoP ]],WWWW[[#This Row],[Total PoP ]],500*(WWWW[[#This Row],['#_male hygiene promoters]]+WWWW[[#This Row],['#_female hygiene promoters]]))</f>
        <v>123</v>
      </c>
      <c r="DH17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6" s="600">
        <f>IF(WWWW[[#This Row],['# People with access to soap]]&gt;WWWW[[#This Row],['# People with access to Sanity Pads]],WWWW[[#This Row],['# People with access to soap]],WWWW[[#This Row],['# People with access to Sanity Pads]])</f>
        <v>0</v>
      </c>
      <c r="DK176" s="600">
        <f>IF(WWWW[[#This Row],['# people reached by regular dedicated hygiene promotion_5]]&gt;WWWW[[#This Row],['# People received regular supply of hygiene items_6]],WWWW[[#This Row],['# people reached by regular dedicated hygiene promotion_5]],WWWW[[#This Row],['# People received regular supply of hygiene items_6]])</f>
        <v>123</v>
      </c>
      <c r="DL176" s="602">
        <f>IF(WWWW[[#This Row],[HRP3]]/WWWW[[#This Row],[Total PoP ]]&gt;1,1,WWWW[[#This Row],[HRP3]]/WWWW[[#This Row],[Total PoP ]])</f>
        <v>1</v>
      </c>
      <c r="DM176" s="601">
        <f>1-WWWW[[#This Row],[Hygiene Coverage%]]</f>
        <v>0</v>
      </c>
      <c r="DN176" s="599">
        <f>WWWW[[#This Row],['# people reached by regular dedicated hygiene promotion_5]]/WWWW[[#This Row],[Total PoP ]]</f>
        <v>1</v>
      </c>
      <c r="DO17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6" s="600">
        <f>WWWW[[#This Row],['#_Constructed/Existing hand washing stations]]-WWWW[[#This Row],['#_Non-Functional_hand_washing_stations]]</f>
        <v>1</v>
      </c>
      <c r="DR176" s="597">
        <f>IF(WWWW[[#This Row],['# Functional hand washing stations during reporting period]]*20&gt;WWWW[[#This Row],[Total HH]],WWWW[[#This Row],[Total HH]],WWWW[[#This Row],['# Functional hand washing stations during reporting period]]*20)</f>
        <v>20</v>
      </c>
      <c r="DS176" s="597">
        <f>IF(WWWW[[#This Row],[Is sufficient soap available for TLS? (Yes/No)]]="yes",WWWW[[#This Row],['#_Constructed/Existing hand washing stations at TLS]],0)</f>
        <v>0</v>
      </c>
      <c r="DT176" s="479">
        <f>IF(WWWW[[#This Row],['# Functional hand washing stations during reporting period]]*100&gt;WWWW[[#This Row],[Total PoP ]],WWWW[[#This Row],[Total PoP ]],WWWW[[#This Row],['# Functional hand washing stations during reporting period]]*100)</f>
        <v>100</v>
      </c>
      <c r="DU176" s="479" t="str">
        <f>IF(OR(WWWW[[#This Row],['#_students at TLS_CFS]]="",WWWW[[#This Row],['#_students at TLS_CFS]]=0),"No","Yes")</f>
        <v>No</v>
      </c>
      <c r="DV17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6" s="593" t="str">
        <f>VLOOKUP(WWWW[[#This Row],[Site Name]],SiteDB6[[Site Name]:[CCCM Management]],6,FALSE)</f>
        <v>Yes</v>
      </c>
      <c r="DZ176" s="593" t="str">
        <f>VLOOKUP(WWWW[[#This Row],[Site Name]],SiteDB6[[Site Name]:[CCCM Focal Agency]],7,FALSE)</f>
        <v>Shalom</v>
      </c>
      <c r="EA176" s="593" t="str">
        <f>VLOOKUP(WWWW[[#This Row],[Site Name]],SiteDB6[[Site Name]:[Location Type 1]],9,FALSE)</f>
        <v>Camp</v>
      </c>
      <c r="EB176" s="593" t="str">
        <f>VLOOKUP(WWWW[[#This Row],[Site Name]],SiteDB6[[Site Name]:[Type of Accommodation]],10,FALSE)</f>
        <v>Camp</v>
      </c>
      <c r="EC176" s="593" t="str">
        <f>VLOOKUP(WWWW[[#This Row],[Site Name]],SiteDB6[[Site Name]:[Ethnic or GCA/NGCA]],11,FALSE)</f>
        <v>GCA</v>
      </c>
      <c r="ED176" s="593">
        <f>VLOOKUP(WWWW[[#This Row],[Site Name]],SiteDB6[[Site Name]:[Lat]],12,FALSE)</f>
        <v>25.371049444444399</v>
      </c>
      <c r="EE176" s="593">
        <f>VLOOKUP(WWWW[[#This Row],[Site Name]],SiteDB6[[Site Name]:[Long]],13,FALSE)</f>
        <v>97.290952037037002</v>
      </c>
      <c r="EF176" s="593" t="str">
        <f>VLOOKUP(WWWW[[#This Row],[Site Name]],SiteDB6[[Site Name]:[Pcode]],3,FALSE)</f>
        <v>MMR001CMP021</v>
      </c>
      <c r="EG176" s="598" t="str">
        <f t="shared" si="2"/>
        <v>Covered</v>
      </c>
      <c r="EH176" s="598" t="str">
        <f>VLOOKUP(WWWW[[#This Row],[Site Name]],SiteDB6[[Site Name]:[open in cccm?]],2,FALSE)</f>
        <v>cccm_2019OCT</v>
      </c>
    </row>
    <row r="177" spans="1:138" hidden="1">
      <c r="A177" s="591" t="s">
        <v>3261</v>
      </c>
      <c r="B177" s="591" t="s">
        <v>245</v>
      </c>
      <c r="C177" s="592" t="s">
        <v>245</v>
      </c>
      <c r="D177" s="592" t="s">
        <v>310</v>
      </c>
      <c r="E177" s="592" t="s">
        <v>39</v>
      </c>
      <c r="F177" s="592" t="s">
        <v>151</v>
      </c>
      <c r="G177" s="721" t="str">
        <f>VLOOKUP(WWWW[[#This Row],[Site Name]],SiteDB6[[Site Name]:[Location Type]],8,FALSE)</f>
        <v>Camp</v>
      </c>
      <c r="H177" s="592" t="s">
        <v>261</v>
      </c>
      <c r="I177" s="594">
        <v>11</v>
      </c>
      <c r="J177" s="594">
        <v>42</v>
      </c>
      <c r="K177" s="595">
        <v>43313</v>
      </c>
      <c r="L177" s="596">
        <v>44043</v>
      </c>
      <c r="M177" s="594"/>
      <c r="N177" s="594">
        <v>1</v>
      </c>
      <c r="O177" s="594"/>
      <c r="P177" s="594"/>
      <c r="Q177" s="597" t="s">
        <v>43</v>
      </c>
      <c r="R177" s="594">
        <v>4</v>
      </c>
      <c r="S177" s="594">
        <v>4</v>
      </c>
      <c r="T177" s="523">
        <v>1</v>
      </c>
      <c r="U177" s="594"/>
      <c r="V177" s="594"/>
      <c r="W177" s="594">
        <v>0</v>
      </c>
      <c r="X177" s="594">
        <v>0</v>
      </c>
      <c r="Y177" s="594"/>
      <c r="Z177" s="594"/>
      <c r="AA177" s="594">
        <v>2</v>
      </c>
      <c r="AB177" s="594"/>
      <c r="AC177" s="594"/>
      <c r="AD177" s="594">
        <v>0</v>
      </c>
      <c r="AE177" s="594">
        <v>0</v>
      </c>
      <c r="AF177" s="607">
        <v>1</v>
      </c>
      <c r="AG177" s="594">
        <v>0</v>
      </c>
      <c r="AH177" s="594">
        <v>1</v>
      </c>
      <c r="AI177" s="594"/>
      <c r="AJ177" s="594"/>
      <c r="AK177" s="594"/>
      <c r="AL177" s="594"/>
      <c r="AM177" s="594">
        <v>0</v>
      </c>
      <c r="AN177" s="594">
        <v>0</v>
      </c>
      <c r="AO177" s="598"/>
      <c r="AP177" s="594">
        <v>4</v>
      </c>
      <c r="AQ177" s="594">
        <v>0</v>
      </c>
      <c r="AR177" s="599" t="s">
        <v>245</v>
      </c>
      <c r="AS177" s="594"/>
      <c r="AT177" s="594"/>
      <c r="AU177" s="594"/>
      <c r="AV177" s="594"/>
      <c r="AW177" s="594">
        <v>0</v>
      </c>
      <c r="AX177" s="593" t="s">
        <v>43</v>
      </c>
      <c r="AY177" s="598" t="s">
        <v>139</v>
      </c>
      <c r="AZ177" s="594">
        <v>0</v>
      </c>
      <c r="BA177" s="594">
        <v>0</v>
      </c>
      <c r="BB177" s="594">
        <v>0</v>
      </c>
      <c r="BC177" s="594"/>
      <c r="BD177" s="523"/>
      <c r="BE177" s="593"/>
      <c r="BF177" s="594">
        <v>0</v>
      </c>
      <c r="BG177" s="594"/>
      <c r="BH177" s="594">
        <v>0</v>
      </c>
      <c r="BI177" s="594">
        <v>2</v>
      </c>
      <c r="BJ177" s="594"/>
      <c r="BK177" s="594">
        <v>4</v>
      </c>
      <c r="BL177" s="594">
        <v>2</v>
      </c>
      <c r="BM177" s="594"/>
      <c r="BN177" s="594"/>
      <c r="BO177" s="593" t="s">
        <v>139</v>
      </c>
      <c r="BP177" s="594"/>
      <c r="BQ177" s="599"/>
      <c r="BR177" s="593"/>
      <c r="BS177" s="472"/>
      <c r="BT177" s="472"/>
      <c r="BU177" s="523"/>
      <c r="BV177" s="472"/>
      <c r="BW177" s="523"/>
      <c r="BX177" s="523"/>
      <c r="BY177" s="523"/>
      <c r="BZ177" s="601" t="str">
        <f>IFERROR(WWWW[[#This Row],['#_Water sources passed]]/WWWW[[#This Row],['#_Water sources tested for fecal coliform ]],"no test")</f>
        <v>no test</v>
      </c>
      <c r="CA177" s="599" t="str">
        <f>IFERROR(WWWW[[#This Row],['#_Household passed]]/WWWW[[#This Row],['#_Household water samples tested for fecal coliform]],"no test")</f>
        <v>no test</v>
      </c>
      <c r="CB177" s="600" t="str">
        <f>IF(AND(WWWW[[#This Row],[% of water sources passed]]="no test",WWWW[[#This Row],[% Household passed]]="no test"),"No Test","Tested")</f>
        <v>No Test</v>
      </c>
      <c r="CC177" s="600">
        <f>WWWW[[#This Row],['#_Constructed/existing protected hand dug well]]-WWWW[[#This Row],['#_Non-functional protected hand dug well]]</f>
        <v>1</v>
      </c>
      <c r="CD177" s="600">
        <f>(WWWW[[#This Row],['#_Constructed/Existing tube wells/boreholes/handpumps_WASH_agency]]+WWWW[[#This Row],['#_Non-Cluster partner water tube-wells/boreholes/handpumps]])-WWWW[[#This Row],['#_Non-functional tube wells/boreholes/handpumps]]</f>
        <v>0</v>
      </c>
      <c r="CE177" s="600">
        <f>WWWW[[#This Row],['#_Constructed/Existingwater storage tank with gravity fed reticulation system]]-WWWW[[#This Row],['#_Non-functional storage tank gravity fed reticulation system]]</f>
        <v>2</v>
      </c>
      <c r="CF177" s="478">
        <f>(WWWW[[#This Row],['#_Water_Liters_supplied_by_Water boating or water trucking]]/90)/15</f>
        <v>0</v>
      </c>
      <c r="CG177" s="478">
        <f>WWWW[[#This Row],['#_Water_Liters_from_Constructed/Existing water distribution system from river or natural spring]]/90/15</f>
        <v>7.4074074074074081E-4</v>
      </c>
      <c r="CH177" s="478">
        <f>WWWW[[#This Row],['#_of water points in TLS/CFS /THF]]*500</f>
        <v>0</v>
      </c>
      <c r="CI17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7" s="599">
        <f>IF(WWWW[[#This Row],[Location Type 1]]="Village",WWWW[[#This Row],[Access to safe drinking water for Village]],WWWW[[#This Row],[Access to safe drinking water for Camp]])</f>
        <v>1</v>
      </c>
      <c r="CL177" s="597">
        <f>WWWW[[#This Row],[%Equitable and continuous access to sufficient quantity of safe drinking water]]*WWWW[[#This Row],[Total PoP ]]</f>
        <v>42</v>
      </c>
      <c r="CM177" s="599">
        <f>IF((WWWW[[#This Row],['#_Constructed/Existing protected/fenced ponds]]*250)/WWWW[[#This Row],[Total PoP ]]&gt;1,1,(WWWW[[#This Row],['#_Constructed/Existing protected/fenced ponds]]*250)/WWWW[[#This Row],[Total PoP ]])</f>
        <v>0</v>
      </c>
      <c r="CN177" s="597">
        <f>WWWW[[#This Row],[% Access to unimproved water points]]*WWWW[[#This Row],[Total PoP ]]</f>
        <v>0</v>
      </c>
      <c r="CO17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Q177" s="597">
        <f>WWWW[[#This Row],[HRP1]]/500</f>
        <v>8.4000000000000005E-2</v>
      </c>
      <c r="CR177" s="602">
        <f>1-WWWW[[#This Row],[% Equitable and continuous access to sufficient quantity of domestic water]]</f>
        <v>0</v>
      </c>
      <c r="CS177" s="597">
        <f>WWWW[[#This Row],[%equitable and continuous access to sufficient quantity of safe drinking and domestic water''s GAP]]*WWWW[[#This Row],[Total PoP ]]</f>
        <v>0</v>
      </c>
      <c r="CT177" s="600">
        <f>IF(WWWW[[#This Row],[Total required water points]]-WWWW[[#This Row],['#Water points coverage]]&lt;0,0,WWWW[[#This Row],[Total required water points]]-WWWW[[#This Row],['#Water points coverage]])</f>
        <v>0.91600000000000004</v>
      </c>
      <c r="CU177" s="600">
        <f>ROUND(IF(WWWW[[#This Row],[Total PoP ]]&lt;500,1,WWWW[[#This Row],[Total PoP ]]/500),0)</f>
        <v>1</v>
      </c>
      <c r="CV177" s="600">
        <f>(WWWW[[#This Row],['#_Constructed latrines_by_WASHAgencies]]+WWWW[[#This Row],['#_Non Cluster partner latrines]])-WWWW[[#This Row],['#_Non-functional latrines]]</f>
        <v>4</v>
      </c>
      <c r="CW177" s="70">
        <f>WWWW[[#This Row],[HRP2]]/WWWW[[#This Row],[Total PoP ]]</f>
        <v>1</v>
      </c>
      <c r="CX17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v>
      </c>
      <c r="CY17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7" s="600">
        <f>IF(WWWW[[#This Row],['# of functional latrines in THF supported by WASH partners during the reporting period2]]="",0,WWWW[[#This Row],['# of functional latrines in THF supported by WASH partners during the reporting period2]]*50)</f>
        <v>0</v>
      </c>
      <c r="DB177" s="600">
        <f>WWWW[[#This Row],['# students access to functioning school latrines_HRP5]]+WWWW[[#This Row],['# People access to functioning latrines in THF_HRP5]]</f>
        <v>0</v>
      </c>
      <c r="DC177" s="600">
        <f>ROUND(IF(WWWW[[#This Row],[Location Type 1]]="camp",WWWW[[#This Row],[Total PoP ]]/20,IF(WWWW[[#This Row],[Location Type 1]]="Temporary Location",WWWW[[#This Row],[Total PoP ]]/50,WWWW[[#This Row],[Total HH]])),0)</f>
        <v>2</v>
      </c>
      <c r="DD177" s="600">
        <f>IF(WWWW[[#This Row],[Total required Latrines]]-(WWWW[[#This Row],['#_Constructed latrines_by_WASHAgencies]]+WWWW[[#This Row],['#_Non Cluster partner latrines]])&lt;0,0,WWWW[[#This Row],[Total required Latrines]]-(WWWW[[#This Row],['#_Constructed latrines_by_WASHAgencies]]+WWWW[[#This Row],['#_Non Cluster partner latrines]]))</f>
        <v>0</v>
      </c>
      <c r="DE177" s="602">
        <f>1-WWWW[[#This Row],[% people access to functioning Latrine]]</f>
        <v>0</v>
      </c>
      <c r="DF177" s="601">
        <f>IF(OR(WWWW[[#This Row],['#_Non-functional latrines]]="",WWWW[[#This Row],['#_Non-functional latrines]]=0),0,WWWW[[#This Row],['#_Non-functional latrines]]/(WWWW[[#This Row],['#_Constructed latrines_by_WASHAgencies]]+WWWW[[#This Row],['#_Non Cluster partner latrines]]))</f>
        <v>0</v>
      </c>
      <c r="DG177" s="597">
        <f>IF(500*(WWWW[[#This Row],['#_male hygiene promoters]]+WWWW[[#This Row],['#_female hygiene promoters]])&gt;WWWW[[#This Row],[Total PoP ]],WWWW[[#This Row],[Total PoP ]],500*(WWWW[[#This Row],['#_male hygiene promoters]]+WWWW[[#This Row],['#_female hygiene promoters]]))</f>
        <v>42</v>
      </c>
      <c r="DH17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7" s="600">
        <f>IF(WWWW[[#This Row],['# People with access to soap]]&gt;WWWW[[#This Row],['# People with access to Sanity Pads]],WWWW[[#This Row],['# People with access to soap]],WWWW[[#This Row],['# People with access to Sanity Pads]])</f>
        <v>0</v>
      </c>
      <c r="DK177" s="600">
        <f>IF(WWWW[[#This Row],['# people reached by regular dedicated hygiene promotion_5]]&gt;WWWW[[#This Row],['# People received regular supply of hygiene items_6]],WWWW[[#This Row],['# people reached by regular dedicated hygiene promotion_5]],WWWW[[#This Row],['# People received regular supply of hygiene items_6]])</f>
        <v>42</v>
      </c>
      <c r="DL177" s="602">
        <f>IF(WWWW[[#This Row],[HRP3]]/WWWW[[#This Row],[Total PoP ]]&gt;1,1,WWWW[[#This Row],[HRP3]]/WWWW[[#This Row],[Total PoP ]])</f>
        <v>1</v>
      </c>
      <c r="DM177" s="601">
        <f>1-WWWW[[#This Row],[Hygiene Coverage%]]</f>
        <v>0</v>
      </c>
      <c r="DN177" s="599">
        <f>WWWW[[#This Row],['# people reached by regular dedicated hygiene promotion_5]]/WWWW[[#This Row],[Total PoP ]]</f>
        <v>1</v>
      </c>
      <c r="DO17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7" s="600">
        <f>WWWW[[#This Row],['#_Constructed/Existing hand washing stations]]-WWWW[[#This Row],['#_Non-Functional_hand_washing_stations]]</f>
        <v>0</v>
      </c>
      <c r="DR177" s="597">
        <f>IF(WWWW[[#This Row],['# Functional hand washing stations during reporting period]]*20&gt;WWWW[[#This Row],[Total HH]],WWWW[[#This Row],[Total HH]],WWWW[[#This Row],['# Functional hand washing stations during reporting period]]*20)</f>
        <v>0</v>
      </c>
      <c r="DS177" s="597">
        <f>IF(WWWW[[#This Row],[Is sufficient soap available for TLS? (Yes/No)]]="yes",WWWW[[#This Row],['#_Constructed/Existing hand washing stations at TLS]],0)</f>
        <v>0</v>
      </c>
      <c r="DT177" s="479">
        <f>IF(WWWW[[#This Row],['# Functional hand washing stations during reporting period]]*100&gt;WWWW[[#This Row],[Total PoP ]],WWWW[[#This Row],[Total PoP ]],WWWW[[#This Row],['# Functional hand washing stations during reporting period]]*100)</f>
        <v>0</v>
      </c>
      <c r="DU177" s="479" t="str">
        <f>IF(OR(WWWW[[#This Row],['#_students at TLS_CFS]]="",WWWW[[#This Row],['#_students at TLS_CFS]]=0),"No","Yes")</f>
        <v>No</v>
      </c>
      <c r="DV17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7" s="593" t="str">
        <f>VLOOKUP(WWWW[[#This Row],[Site Name]],SiteDB6[[Site Name]:[CCCM Management]],6,FALSE)</f>
        <v>Yes</v>
      </c>
      <c r="DZ177" s="593" t="str">
        <f>VLOOKUP(WWWW[[#This Row],[Site Name]],SiteDB6[[Site Name]:[CCCM Focal Agency]],7,FALSE)</f>
        <v>Shalom</v>
      </c>
      <c r="EA177" s="593" t="str">
        <f>VLOOKUP(WWWW[[#This Row],[Site Name]],SiteDB6[[Site Name]:[Location Type 1]],9,FALSE)</f>
        <v>Camp</v>
      </c>
      <c r="EB177" s="593" t="str">
        <f>VLOOKUP(WWWW[[#This Row],[Site Name]],SiteDB6[[Site Name]:[Type of Accommodation]],10,FALSE)</f>
        <v>Camp like setting</v>
      </c>
      <c r="EC177" s="593" t="str">
        <f>VLOOKUP(WWWW[[#This Row],[Site Name]],SiteDB6[[Site Name]:[Ethnic or GCA/NGCA]],11,FALSE)</f>
        <v>GCA</v>
      </c>
      <c r="ED177" s="593">
        <f>VLOOKUP(WWWW[[#This Row],[Site Name]],SiteDB6[[Site Name]:[Lat]],12,FALSE)</f>
        <v>25.617998</v>
      </c>
      <c r="EE177" s="593">
        <f>VLOOKUP(WWWW[[#This Row],[Site Name]],SiteDB6[[Site Name]:[Long]],13,FALSE)</f>
        <v>96.339590000000001</v>
      </c>
      <c r="EF177" s="593" t="str">
        <f>VLOOKUP(WWWW[[#This Row],[Site Name]],SiteDB6[[Site Name]:[Pcode]],3,FALSE)</f>
        <v>MMR001CMP192</v>
      </c>
      <c r="EG177" s="598" t="str">
        <f t="shared" si="2"/>
        <v>Covered</v>
      </c>
      <c r="EH177" s="598" t="str">
        <f>VLOOKUP(WWWW[[#This Row],[Site Name]],SiteDB6[[Site Name]:[open in cccm?]],2,FALSE)</f>
        <v>cccm_2019OCT</v>
      </c>
    </row>
    <row r="178" spans="1:138" hidden="1">
      <c r="A178" s="591" t="s">
        <v>3261</v>
      </c>
      <c r="B178" s="591" t="s">
        <v>245</v>
      </c>
      <c r="C178" s="592" t="s">
        <v>245</v>
      </c>
      <c r="D178" s="592" t="s">
        <v>310</v>
      </c>
      <c r="E178" s="592" t="s">
        <v>39</v>
      </c>
      <c r="F178" s="592" t="s">
        <v>145</v>
      </c>
      <c r="G178" s="721" t="str">
        <f>VLOOKUP(WWWW[[#This Row],[Site Name]],SiteDB6[[Site Name]:[Location Type]],8,FALSE)</f>
        <v>Camp</v>
      </c>
      <c r="H178" s="592" t="s">
        <v>273</v>
      </c>
      <c r="I178" s="594">
        <v>19</v>
      </c>
      <c r="J178" s="594">
        <v>82</v>
      </c>
      <c r="K178" s="595">
        <v>43313</v>
      </c>
      <c r="L178" s="596">
        <v>44043</v>
      </c>
      <c r="M178" s="594"/>
      <c r="N178" s="594">
        <v>1</v>
      </c>
      <c r="O178" s="594"/>
      <c r="P178" s="594"/>
      <c r="Q178" s="597" t="s">
        <v>43</v>
      </c>
      <c r="R178" s="594">
        <v>0</v>
      </c>
      <c r="S178" s="594"/>
      <c r="T178" s="523">
        <v>1</v>
      </c>
      <c r="U178" s="594"/>
      <c r="V178" s="594"/>
      <c r="W178" s="594">
        <v>1</v>
      </c>
      <c r="X178" s="594">
        <v>0</v>
      </c>
      <c r="Y178" s="594"/>
      <c r="Z178" s="594"/>
      <c r="AA178" s="594">
        <v>0</v>
      </c>
      <c r="AB178" s="594"/>
      <c r="AC178" s="594"/>
      <c r="AD178" s="594">
        <v>0</v>
      </c>
      <c r="AE178" s="594">
        <v>0</v>
      </c>
      <c r="AF178" s="594">
        <v>0</v>
      </c>
      <c r="AG178" s="594">
        <v>0</v>
      </c>
      <c r="AH178" s="594">
        <v>0</v>
      </c>
      <c r="AI178" s="594"/>
      <c r="AJ178" s="594"/>
      <c r="AK178" s="594"/>
      <c r="AL178" s="594"/>
      <c r="AM178" s="594">
        <v>0</v>
      </c>
      <c r="AN178" s="594"/>
      <c r="AO178" s="598"/>
      <c r="AP178" s="594">
        <v>6</v>
      </c>
      <c r="AQ178" s="594">
        <v>0</v>
      </c>
      <c r="AR178" s="599"/>
      <c r="AS178" s="594"/>
      <c r="AT178" s="594"/>
      <c r="AU178" s="594">
        <v>3</v>
      </c>
      <c r="AV178" s="594"/>
      <c r="AW178" s="594">
        <v>0</v>
      </c>
      <c r="AX178" s="593" t="s">
        <v>43</v>
      </c>
      <c r="AY178" s="598" t="s">
        <v>140</v>
      </c>
      <c r="AZ178" s="594">
        <v>0</v>
      </c>
      <c r="BA178" s="594">
        <v>0</v>
      </c>
      <c r="BB178" s="594">
        <v>0</v>
      </c>
      <c r="BC178" s="594"/>
      <c r="BD178" s="523"/>
      <c r="BE178" s="593"/>
      <c r="BF178" s="594">
        <v>1</v>
      </c>
      <c r="BG178" s="594"/>
      <c r="BH178" s="594">
        <v>0</v>
      </c>
      <c r="BI178" s="594">
        <v>2</v>
      </c>
      <c r="BJ178" s="594"/>
      <c r="BK178" s="594">
        <v>0</v>
      </c>
      <c r="BL178" s="594">
        <v>0</v>
      </c>
      <c r="BM178" s="594"/>
      <c r="BN178" s="594"/>
      <c r="BO178" s="593" t="s">
        <v>139</v>
      </c>
      <c r="BP178" s="594"/>
      <c r="BQ178" s="599"/>
      <c r="BR178" s="593"/>
      <c r="BS178" s="472"/>
      <c r="BT178" s="472"/>
      <c r="BU178" s="523"/>
      <c r="BV178" s="472"/>
      <c r="BW178" s="523"/>
      <c r="BX178" s="523"/>
      <c r="BY178" s="523"/>
      <c r="BZ178" s="601" t="str">
        <f>IFERROR(WWWW[[#This Row],['#_Water sources passed]]/WWWW[[#This Row],['#_Water sources tested for fecal coliform ]],"no test")</f>
        <v>no test</v>
      </c>
      <c r="CA178" s="599" t="str">
        <f>IFERROR(WWWW[[#This Row],['#_Household passed]]/WWWW[[#This Row],['#_Household water samples tested for fecal coliform]],"no test")</f>
        <v>no test</v>
      </c>
      <c r="CB178" s="600" t="str">
        <f>IF(AND(WWWW[[#This Row],[% of water sources passed]]="no test",WWWW[[#This Row],[% Household passed]]="no test"),"No Test","Tested")</f>
        <v>No Test</v>
      </c>
      <c r="CC178" s="600">
        <f>WWWW[[#This Row],['#_Constructed/existing protected hand dug well]]-WWWW[[#This Row],['#_Non-functional protected hand dug well]]</f>
        <v>1</v>
      </c>
      <c r="CD178" s="600">
        <f>(WWWW[[#This Row],['#_Constructed/Existing tube wells/boreholes/handpumps_WASH_agency]]+WWWW[[#This Row],['#_Non-Cluster partner water tube-wells/boreholes/handpumps]])-WWWW[[#This Row],['#_Non-functional tube wells/boreholes/handpumps]]</f>
        <v>1</v>
      </c>
      <c r="CE178" s="600">
        <f>WWWW[[#This Row],['#_Constructed/Existingwater storage tank with gravity fed reticulation system]]-WWWW[[#This Row],['#_Non-functional storage tank gravity fed reticulation system]]</f>
        <v>0</v>
      </c>
      <c r="CF178" s="478">
        <f>(WWWW[[#This Row],['#_Water_Liters_supplied_by_Water boating or water trucking]]/90)/15</f>
        <v>0</v>
      </c>
      <c r="CG178" s="478">
        <f>WWWW[[#This Row],['#_Water_Liters_from_Constructed/Existing water distribution system from river or natural spring]]/90/15</f>
        <v>0</v>
      </c>
      <c r="CH178" s="478">
        <f>WWWW[[#This Row],['#_of water points in TLS/CFS /THF]]*500</f>
        <v>0</v>
      </c>
      <c r="CI17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8" s="599">
        <f>IF(WWWW[[#This Row],[Location Type 1]]="Village",WWWW[[#This Row],[Access to safe drinking water for Village]],WWWW[[#This Row],[Access to safe drinking water for Camp]])</f>
        <v>1</v>
      </c>
      <c r="CL178" s="597">
        <f>WWWW[[#This Row],[%Equitable and continuous access to sufficient quantity of safe drinking water]]*WWWW[[#This Row],[Total PoP ]]</f>
        <v>82</v>
      </c>
      <c r="CM178" s="599">
        <f>IF((WWWW[[#This Row],['#_Constructed/Existing protected/fenced ponds]]*250)/WWWW[[#This Row],[Total PoP ]]&gt;1,1,(WWWW[[#This Row],['#_Constructed/Existing protected/fenced ponds]]*250)/WWWW[[#This Row],[Total PoP ]])</f>
        <v>0</v>
      </c>
      <c r="CN178" s="597">
        <f>WWWW[[#This Row],[% Access to unimproved water points]]*WWWW[[#This Row],[Total PoP ]]</f>
        <v>0</v>
      </c>
      <c r="CO17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Q178" s="597">
        <f>WWWW[[#This Row],[HRP1]]/500</f>
        <v>0.16400000000000001</v>
      </c>
      <c r="CR178" s="602">
        <f>1-WWWW[[#This Row],[% Equitable and continuous access to sufficient quantity of domestic water]]</f>
        <v>0</v>
      </c>
      <c r="CS178" s="597">
        <f>WWWW[[#This Row],[%equitable and continuous access to sufficient quantity of safe drinking and domestic water''s GAP]]*WWWW[[#This Row],[Total PoP ]]</f>
        <v>0</v>
      </c>
      <c r="CT178" s="600">
        <f>IF(WWWW[[#This Row],[Total required water points]]-WWWW[[#This Row],['#Water points coverage]]&lt;0,0,WWWW[[#This Row],[Total required water points]]-WWWW[[#This Row],['#Water points coverage]])</f>
        <v>0.83599999999999997</v>
      </c>
      <c r="CU178" s="600">
        <f>ROUND(IF(WWWW[[#This Row],[Total PoP ]]&lt;500,1,WWWW[[#This Row],[Total PoP ]]/500),0)</f>
        <v>1</v>
      </c>
      <c r="CV178" s="600">
        <f>(WWWW[[#This Row],['#_Constructed latrines_by_WASHAgencies]]+WWWW[[#This Row],['#_Non Cluster partner latrines]])-WWWW[[#This Row],['#_Non-functional latrines]]</f>
        <v>6</v>
      </c>
      <c r="CW178" s="70">
        <f>WWWW[[#This Row],[HRP2]]/WWWW[[#This Row],[Total PoP ]]</f>
        <v>1</v>
      </c>
      <c r="CX17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82</v>
      </c>
      <c r="CY17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7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8" s="600">
        <f>IF(WWWW[[#This Row],['# of functional latrines in THF supported by WASH partners during the reporting period2]]="",0,WWWW[[#This Row],['# of functional latrines in THF supported by WASH partners during the reporting period2]]*50)</f>
        <v>0</v>
      </c>
      <c r="DB178" s="600">
        <f>WWWW[[#This Row],['# students access to functioning school latrines_HRP5]]+WWWW[[#This Row],['# People access to functioning latrines in THF_HRP5]]</f>
        <v>0</v>
      </c>
      <c r="DC178" s="600">
        <f>ROUND(IF(WWWW[[#This Row],[Location Type 1]]="camp",WWWW[[#This Row],[Total PoP ]]/20,IF(WWWW[[#This Row],[Location Type 1]]="Temporary Location",WWWW[[#This Row],[Total PoP ]]/50,WWWW[[#This Row],[Total HH]])),0)</f>
        <v>4</v>
      </c>
      <c r="DD178" s="600">
        <f>IF(WWWW[[#This Row],[Total required Latrines]]-(WWWW[[#This Row],['#_Constructed latrines_by_WASHAgencies]]+WWWW[[#This Row],['#_Non Cluster partner latrines]])&lt;0,0,WWWW[[#This Row],[Total required Latrines]]-(WWWW[[#This Row],['#_Constructed latrines_by_WASHAgencies]]+WWWW[[#This Row],['#_Non Cluster partner latrines]]))</f>
        <v>0</v>
      </c>
      <c r="DE178" s="602">
        <f>1-WWWW[[#This Row],[% people access to functioning Latrine]]</f>
        <v>0</v>
      </c>
      <c r="DF178" s="601">
        <f>IF(OR(WWWW[[#This Row],['#_Non-functional latrines]]="",WWWW[[#This Row],['#_Non-functional latrines]]=0),0,WWWW[[#This Row],['#_Non-functional latrines]]/(WWWW[[#This Row],['#_Constructed latrines_by_WASHAgencies]]+WWWW[[#This Row],['#_Non Cluster partner latrines]]))</f>
        <v>0</v>
      </c>
      <c r="DG178" s="597">
        <f>IF(500*(WWWW[[#This Row],['#_male hygiene promoters]]+WWWW[[#This Row],['#_female hygiene promoters]])&gt;WWWW[[#This Row],[Total PoP ]],WWWW[[#This Row],[Total PoP ]],500*(WWWW[[#This Row],['#_male hygiene promoters]]+WWWW[[#This Row],['#_female hygiene promoters]]))</f>
        <v>0</v>
      </c>
      <c r="DH17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8" s="600">
        <f>IF(WWWW[[#This Row],['# People with access to soap]]&gt;WWWW[[#This Row],['# People with access to Sanity Pads]],WWWW[[#This Row],['# People with access to soap]],WWWW[[#This Row],['# People with access to Sanity Pads]])</f>
        <v>0</v>
      </c>
      <c r="DK178"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8" s="602">
        <f>IF(WWWW[[#This Row],[HRP3]]/WWWW[[#This Row],[Total PoP ]]&gt;1,1,WWWW[[#This Row],[HRP3]]/WWWW[[#This Row],[Total PoP ]])</f>
        <v>0</v>
      </c>
      <c r="DM178" s="601">
        <f>1-WWWW[[#This Row],[Hygiene Coverage%]]</f>
        <v>1</v>
      </c>
      <c r="DN178" s="599">
        <f>WWWW[[#This Row],['# people reached by regular dedicated hygiene promotion_5]]/WWWW[[#This Row],[Total PoP ]]</f>
        <v>0</v>
      </c>
      <c r="DO17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8" s="600">
        <f>WWWW[[#This Row],['#_Constructed/Existing hand washing stations]]-WWWW[[#This Row],['#_Non-Functional_hand_washing_stations]]</f>
        <v>1</v>
      </c>
      <c r="DR178" s="597">
        <f>IF(WWWW[[#This Row],['# Functional hand washing stations during reporting period]]*20&gt;WWWW[[#This Row],[Total HH]],WWWW[[#This Row],[Total HH]],WWWW[[#This Row],['# Functional hand washing stations during reporting period]]*20)</f>
        <v>19</v>
      </c>
      <c r="DS178" s="597">
        <f>IF(WWWW[[#This Row],[Is sufficient soap available for TLS? (Yes/No)]]="yes",WWWW[[#This Row],['#_Constructed/Existing hand washing stations at TLS]],0)</f>
        <v>0</v>
      </c>
      <c r="DT178" s="479">
        <f>IF(WWWW[[#This Row],['# Functional hand washing stations during reporting period]]*100&gt;WWWW[[#This Row],[Total PoP ]],WWWW[[#This Row],[Total PoP ]],WWWW[[#This Row],['# Functional hand washing stations during reporting period]]*100)</f>
        <v>82</v>
      </c>
      <c r="DU178" s="479" t="str">
        <f>IF(OR(WWWW[[#This Row],['#_students at TLS_CFS]]="",WWWW[[#This Row],['#_students at TLS_CFS]]=0),"No","Yes")</f>
        <v>No</v>
      </c>
      <c r="DV17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8" s="593" t="str">
        <f>VLOOKUP(WWWW[[#This Row],[Site Name]],SiteDB6[[Site Name]:[CCCM Management]],6,FALSE)</f>
        <v>Yes</v>
      </c>
      <c r="DZ178" s="593" t="str">
        <f>VLOOKUP(WWWW[[#This Row],[Site Name]],SiteDB6[[Site Name]:[CCCM Focal Agency]],7,FALSE)</f>
        <v>Shalom</v>
      </c>
      <c r="EA178" s="593" t="str">
        <f>VLOOKUP(WWWW[[#This Row],[Site Name]],SiteDB6[[Site Name]:[Location Type 1]],9,FALSE)</f>
        <v>Camp</v>
      </c>
      <c r="EB178" s="593" t="str">
        <f>VLOOKUP(WWWW[[#This Row],[Site Name]],SiteDB6[[Site Name]:[Type of Accommodation]],10,FALSE)</f>
        <v>Camp</v>
      </c>
      <c r="EC178" s="593" t="str">
        <f>VLOOKUP(WWWW[[#This Row],[Site Name]],SiteDB6[[Site Name]:[Ethnic or GCA/NGCA]],11,FALSE)</f>
        <v>GCA</v>
      </c>
      <c r="ED178" s="593">
        <f>VLOOKUP(WWWW[[#This Row],[Site Name]],SiteDB6[[Site Name]:[Lat]],12,FALSE)</f>
        <v>25.351965</v>
      </c>
      <c r="EE178" s="593">
        <f>VLOOKUP(WWWW[[#This Row],[Site Name]],SiteDB6[[Site Name]:[Long]],13,FALSE)</f>
        <v>97.345039</v>
      </c>
      <c r="EF178" s="593" t="str">
        <f>VLOOKUP(WWWW[[#This Row],[Site Name]],SiteDB6[[Site Name]:[Pcode]],3,FALSE)</f>
        <v>MMR001CMP033</v>
      </c>
      <c r="EG178" s="598" t="str">
        <f t="shared" si="2"/>
        <v>Covered</v>
      </c>
      <c r="EH178" s="598" t="str">
        <f>VLOOKUP(WWWW[[#This Row],[Site Name]],SiteDB6[[Site Name]:[open in cccm?]],2,FALSE)</f>
        <v>cccm_2019OCT</v>
      </c>
    </row>
    <row r="179" spans="1:138" hidden="1">
      <c r="A179" s="591" t="s">
        <v>3261</v>
      </c>
      <c r="B179" s="591" t="s">
        <v>245</v>
      </c>
      <c r="C179" s="592" t="s">
        <v>245</v>
      </c>
      <c r="D179" s="592" t="s">
        <v>310</v>
      </c>
      <c r="E179" s="592" t="s">
        <v>39</v>
      </c>
      <c r="F179" s="592" t="s">
        <v>145</v>
      </c>
      <c r="G179" s="721" t="str">
        <f>VLOOKUP(WWWW[[#This Row],[Site Name]],SiteDB6[[Site Name]:[Location Type]],8,FALSE)</f>
        <v>Camp</v>
      </c>
      <c r="H179" s="592" t="s">
        <v>274</v>
      </c>
      <c r="I179" s="594">
        <v>115</v>
      </c>
      <c r="J179" s="594">
        <v>493</v>
      </c>
      <c r="K179" s="595">
        <v>43313</v>
      </c>
      <c r="L179" s="596">
        <v>44043</v>
      </c>
      <c r="M179" s="594">
        <v>134</v>
      </c>
      <c r="N179" s="594">
        <v>1</v>
      </c>
      <c r="O179" s="594"/>
      <c r="P179" s="594"/>
      <c r="Q179" s="597" t="s">
        <v>43</v>
      </c>
      <c r="R179" s="594">
        <v>3</v>
      </c>
      <c r="S179" s="594"/>
      <c r="T179" s="523">
        <v>1</v>
      </c>
      <c r="U179" s="594"/>
      <c r="V179" s="594"/>
      <c r="W179" s="594">
        <v>2</v>
      </c>
      <c r="X179" s="594">
        <v>2</v>
      </c>
      <c r="Y179" s="594"/>
      <c r="Z179" s="594"/>
      <c r="AA179" s="594">
        <v>0</v>
      </c>
      <c r="AB179" s="594"/>
      <c r="AC179" s="594"/>
      <c r="AD179" s="594">
        <v>0</v>
      </c>
      <c r="AE179" s="594">
        <v>0</v>
      </c>
      <c r="AF179" s="594">
        <v>0</v>
      </c>
      <c r="AG179" s="594">
        <v>0</v>
      </c>
      <c r="AH179" s="594">
        <v>0</v>
      </c>
      <c r="AI179" s="594"/>
      <c r="AJ179" s="594"/>
      <c r="AK179" s="594"/>
      <c r="AL179" s="594"/>
      <c r="AM179" s="594">
        <v>0</v>
      </c>
      <c r="AN179" s="594">
        <v>0</v>
      </c>
      <c r="AO179" s="598"/>
      <c r="AP179" s="594">
        <v>30</v>
      </c>
      <c r="AQ179" s="605">
        <v>10</v>
      </c>
      <c r="AR179" s="604" t="s">
        <v>3142</v>
      </c>
      <c r="AS179" s="594"/>
      <c r="AT179" s="594"/>
      <c r="AU179" s="594"/>
      <c r="AV179" s="594"/>
      <c r="AW179" s="594">
        <v>0</v>
      </c>
      <c r="AX179" s="593" t="s">
        <v>43</v>
      </c>
      <c r="AY179" s="598" t="s">
        <v>140</v>
      </c>
      <c r="AZ179" s="594">
        <v>0</v>
      </c>
      <c r="BA179" s="594">
        <v>0</v>
      </c>
      <c r="BB179" s="594">
        <v>0</v>
      </c>
      <c r="BC179" s="594"/>
      <c r="BD179" s="523"/>
      <c r="BE179" s="593"/>
      <c r="BF179" s="594">
        <v>5</v>
      </c>
      <c r="BG179" s="594"/>
      <c r="BH179" s="594">
        <v>0</v>
      </c>
      <c r="BI179" s="594">
        <v>5</v>
      </c>
      <c r="BJ179" s="594"/>
      <c r="BK179" s="594">
        <v>0</v>
      </c>
      <c r="BL179" s="594">
        <v>0</v>
      </c>
      <c r="BM179" s="594"/>
      <c r="BN179" s="594"/>
      <c r="BO179" s="593" t="s">
        <v>43</v>
      </c>
      <c r="BP179" s="594"/>
      <c r="BQ179" s="599"/>
      <c r="BR179" s="593"/>
      <c r="BS179" s="472"/>
      <c r="BT179" s="472"/>
      <c r="BU179" s="523"/>
      <c r="BV179" s="472"/>
      <c r="BW179" s="523"/>
      <c r="BX179" s="523"/>
      <c r="BY179" s="523"/>
      <c r="BZ179" s="601" t="str">
        <f>IFERROR(WWWW[[#This Row],['#_Water sources passed]]/WWWW[[#This Row],['#_Water sources tested for fecal coliform ]],"no test")</f>
        <v>no test</v>
      </c>
      <c r="CA179" s="599" t="str">
        <f>IFERROR(WWWW[[#This Row],['#_Household passed]]/WWWW[[#This Row],['#_Household water samples tested for fecal coliform]],"no test")</f>
        <v>no test</v>
      </c>
      <c r="CB179" s="600" t="str">
        <f>IF(AND(WWWW[[#This Row],[% of water sources passed]]="no test",WWWW[[#This Row],[% Household passed]]="no test"),"No Test","Tested")</f>
        <v>No Test</v>
      </c>
      <c r="CC179" s="600">
        <f>WWWW[[#This Row],['#_Constructed/existing protected hand dug well]]-WWWW[[#This Row],['#_Non-functional protected hand dug well]]</f>
        <v>1</v>
      </c>
      <c r="CD179" s="600">
        <f>(WWWW[[#This Row],['#_Constructed/Existing tube wells/boreholes/handpumps_WASH_agency]]+WWWW[[#This Row],['#_Non-Cluster partner water tube-wells/boreholes/handpumps]])-WWWW[[#This Row],['#_Non-functional tube wells/boreholes/handpumps]]</f>
        <v>4</v>
      </c>
      <c r="CE179" s="600">
        <f>WWWW[[#This Row],['#_Constructed/Existingwater storage tank with gravity fed reticulation system]]-WWWW[[#This Row],['#_Non-functional storage tank gravity fed reticulation system]]</f>
        <v>0</v>
      </c>
      <c r="CF179" s="478">
        <f>(WWWW[[#This Row],['#_Water_Liters_supplied_by_Water boating or water trucking]]/90)/15</f>
        <v>0</v>
      </c>
      <c r="CG179" s="478">
        <f>WWWW[[#This Row],['#_Water_Liters_from_Constructed/Existing water distribution system from river or natural spring]]/90/15</f>
        <v>0</v>
      </c>
      <c r="CH179" s="478">
        <f>WWWW[[#This Row],['#_of water points in TLS/CFS /THF]]*500</f>
        <v>0</v>
      </c>
      <c r="CI17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7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79" s="599">
        <f>IF(WWWW[[#This Row],[Location Type 1]]="Village",WWWW[[#This Row],[Access to safe drinking water for Village]],WWWW[[#This Row],[Access to safe drinking water for Camp]])</f>
        <v>1</v>
      </c>
      <c r="CL179" s="597">
        <f>WWWW[[#This Row],[%Equitable and continuous access to sufficient quantity of safe drinking water]]*WWWW[[#This Row],[Total PoP ]]</f>
        <v>493</v>
      </c>
      <c r="CM179" s="599">
        <f>IF((WWWW[[#This Row],['#_Constructed/Existing protected/fenced ponds]]*250)/WWWW[[#This Row],[Total PoP ]]&gt;1,1,(WWWW[[#This Row],['#_Constructed/Existing protected/fenced ponds]]*250)/WWWW[[#This Row],[Total PoP ]])</f>
        <v>0</v>
      </c>
      <c r="CN179" s="597">
        <f>WWWW[[#This Row],[% Access to unimproved water points]]*WWWW[[#This Row],[Total PoP ]]</f>
        <v>0</v>
      </c>
      <c r="CO17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7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Q179" s="597">
        <f>WWWW[[#This Row],[HRP1]]/500</f>
        <v>0.98599999999999999</v>
      </c>
      <c r="CR179" s="602">
        <f>1-WWWW[[#This Row],[% Equitable and continuous access to sufficient quantity of domestic water]]</f>
        <v>0</v>
      </c>
      <c r="CS179" s="597">
        <f>WWWW[[#This Row],[%equitable and continuous access to sufficient quantity of safe drinking and domestic water''s GAP]]*WWWW[[#This Row],[Total PoP ]]</f>
        <v>0</v>
      </c>
      <c r="CT179" s="600">
        <f>IF(WWWW[[#This Row],[Total required water points]]-WWWW[[#This Row],['#Water points coverage]]&lt;0,0,WWWW[[#This Row],[Total required water points]]-WWWW[[#This Row],['#Water points coverage]])</f>
        <v>1.4000000000000012E-2</v>
      </c>
      <c r="CU179" s="600">
        <f>ROUND(IF(WWWW[[#This Row],[Total PoP ]]&lt;500,1,WWWW[[#This Row],[Total PoP ]]/500),0)</f>
        <v>1</v>
      </c>
      <c r="CV179" s="600">
        <f>(WWWW[[#This Row],['#_Constructed latrines_by_WASHAgencies]]+WWWW[[#This Row],['#_Non Cluster partner latrines]])-WWWW[[#This Row],['#_Non-functional latrines]]</f>
        <v>40</v>
      </c>
      <c r="CW179" s="70">
        <f>WWWW[[#This Row],[HRP2]]/WWWW[[#This Row],[Total PoP ]]</f>
        <v>1</v>
      </c>
      <c r="CX17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493</v>
      </c>
      <c r="CY17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7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79" s="600">
        <f>IF(WWWW[[#This Row],['# of functional latrines in THF supported by WASH partners during the reporting period2]]="",0,WWWW[[#This Row],['# of functional latrines in THF supported by WASH partners during the reporting period2]]*50)</f>
        <v>0</v>
      </c>
      <c r="DB179" s="600">
        <f>WWWW[[#This Row],['# students access to functioning school latrines_HRP5]]+WWWW[[#This Row],['# People access to functioning latrines in THF_HRP5]]</f>
        <v>0</v>
      </c>
      <c r="DC179" s="600">
        <f>ROUND(IF(WWWW[[#This Row],[Location Type 1]]="camp",WWWW[[#This Row],[Total PoP ]]/20,IF(WWWW[[#This Row],[Location Type 1]]="Temporary Location",WWWW[[#This Row],[Total PoP ]]/50,WWWW[[#This Row],[Total HH]])),0)</f>
        <v>25</v>
      </c>
      <c r="DD179" s="600">
        <f>IF(WWWW[[#This Row],[Total required Latrines]]-(WWWW[[#This Row],['#_Constructed latrines_by_WASHAgencies]]+WWWW[[#This Row],['#_Non Cluster partner latrines]])&lt;0,0,WWWW[[#This Row],[Total required Latrines]]-(WWWW[[#This Row],['#_Constructed latrines_by_WASHAgencies]]+WWWW[[#This Row],['#_Non Cluster partner latrines]]))</f>
        <v>0</v>
      </c>
      <c r="DE179" s="602">
        <f>1-WWWW[[#This Row],[% people access to functioning Latrine]]</f>
        <v>0</v>
      </c>
      <c r="DF179" s="601">
        <f>IF(OR(WWWW[[#This Row],['#_Non-functional latrines]]="",WWWW[[#This Row],['#_Non-functional latrines]]=0),0,WWWW[[#This Row],['#_Non-functional latrines]]/(WWWW[[#This Row],['#_Constructed latrines_by_WASHAgencies]]+WWWW[[#This Row],['#_Non Cluster partner latrines]]))</f>
        <v>0</v>
      </c>
      <c r="DG179" s="597">
        <f>IF(500*(WWWW[[#This Row],['#_male hygiene promoters]]+WWWW[[#This Row],['#_female hygiene promoters]])&gt;WWWW[[#This Row],[Total PoP ]],WWWW[[#This Row],[Total PoP ]],500*(WWWW[[#This Row],['#_male hygiene promoters]]+WWWW[[#This Row],['#_female hygiene promoters]]))</f>
        <v>0</v>
      </c>
      <c r="DH17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7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79" s="600">
        <f>IF(WWWW[[#This Row],['# People with access to soap]]&gt;WWWW[[#This Row],['# People with access to Sanity Pads]],WWWW[[#This Row],['# People with access to soap]],WWWW[[#This Row],['# People with access to Sanity Pads]])</f>
        <v>0</v>
      </c>
      <c r="DK17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79" s="602">
        <f>IF(WWWW[[#This Row],[HRP3]]/WWWW[[#This Row],[Total PoP ]]&gt;1,1,WWWW[[#This Row],[HRP3]]/WWWW[[#This Row],[Total PoP ]])</f>
        <v>0</v>
      </c>
      <c r="DM179" s="601">
        <f>1-WWWW[[#This Row],[Hygiene Coverage%]]</f>
        <v>1</v>
      </c>
      <c r="DN179" s="599">
        <f>WWWW[[#This Row],['# people reached by regular dedicated hygiene promotion_5]]/WWWW[[#This Row],[Total PoP ]]</f>
        <v>0</v>
      </c>
      <c r="DO17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7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79" s="600">
        <f>WWWW[[#This Row],['#_Constructed/Existing hand washing stations]]-WWWW[[#This Row],['#_Non-Functional_hand_washing_stations]]</f>
        <v>5</v>
      </c>
      <c r="DR179" s="597">
        <f>IF(WWWW[[#This Row],['# Functional hand washing stations during reporting period]]*20&gt;WWWW[[#This Row],[Total HH]],WWWW[[#This Row],[Total HH]],WWWW[[#This Row],['# Functional hand washing stations during reporting period]]*20)</f>
        <v>100</v>
      </c>
      <c r="DS179" s="597">
        <f>IF(WWWW[[#This Row],[Is sufficient soap available for TLS? (Yes/No)]]="yes",WWWW[[#This Row],['#_Constructed/Existing hand washing stations at TLS]],0)</f>
        <v>0</v>
      </c>
      <c r="DT179" s="479">
        <f>IF(WWWW[[#This Row],['# Functional hand washing stations during reporting period]]*100&gt;WWWW[[#This Row],[Total PoP ]],WWWW[[#This Row],[Total PoP ]],WWWW[[#This Row],['# Functional hand washing stations during reporting period]]*100)</f>
        <v>493</v>
      </c>
      <c r="DU179" s="479" t="str">
        <f>IF(OR(WWWW[[#This Row],['#_students at TLS_CFS]]="",WWWW[[#This Row],['#_students at TLS_CFS]]=0),"No","Yes")</f>
        <v>Yes</v>
      </c>
      <c r="DV17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79" s="593" t="str">
        <f>VLOOKUP(WWWW[[#This Row],[Site Name]],SiteDB6[[Site Name]:[CCCM Management]],6,FALSE)</f>
        <v>Yes</v>
      </c>
      <c r="DZ179" s="593" t="str">
        <f>VLOOKUP(WWWW[[#This Row],[Site Name]],SiteDB6[[Site Name]:[CCCM Focal Agency]],7,FALSE)</f>
        <v>Shalom</v>
      </c>
      <c r="EA179" s="593" t="str">
        <f>VLOOKUP(WWWW[[#This Row],[Site Name]],SiteDB6[[Site Name]:[Location Type 1]],9,FALSE)</f>
        <v>Camp</v>
      </c>
      <c r="EB179" s="593" t="str">
        <f>VLOOKUP(WWWW[[#This Row],[Site Name]],SiteDB6[[Site Name]:[Type of Accommodation]],10,FALSE)</f>
        <v>Camp</v>
      </c>
      <c r="EC179" s="593" t="str">
        <f>VLOOKUP(WWWW[[#This Row],[Site Name]],SiteDB6[[Site Name]:[Ethnic or GCA/NGCA]],11,FALSE)</f>
        <v>GCA</v>
      </c>
      <c r="ED179" s="593">
        <f>VLOOKUP(WWWW[[#This Row],[Site Name]],SiteDB6[[Site Name]:[Lat]],12,FALSE)</f>
        <v>25.3540362037037</v>
      </c>
      <c r="EE179" s="593">
        <f>VLOOKUP(WWWW[[#This Row],[Site Name]],SiteDB6[[Site Name]:[Long]],13,FALSE)</f>
        <v>97.441166388888902</v>
      </c>
      <c r="EF179" s="593" t="str">
        <f>VLOOKUP(WWWW[[#This Row],[Site Name]],SiteDB6[[Site Name]:[Pcode]],3,FALSE)</f>
        <v>MMR001CMP032</v>
      </c>
      <c r="EG179" s="598" t="str">
        <f t="shared" si="2"/>
        <v>Covered</v>
      </c>
      <c r="EH179" s="598" t="str">
        <f>VLOOKUP(WWWW[[#This Row],[Site Name]],SiteDB6[[Site Name]:[open in cccm?]],2,FALSE)</f>
        <v>cccm_2019OCT</v>
      </c>
    </row>
    <row r="180" spans="1:138" hidden="1">
      <c r="A180" s="591" t="s">
        <v>3261</v>
      </c>
      <c r="B180" s="591" t="s">
        <v>245</v>
      </c>
      <c r="C180" s="592" t="s">
        <v>245</v>
      </c>
      <c r="D180" s="592" t="s">
        <v>310</v>
      </c>
      <c r="E180" s="592" t="s">
        <v>39</v>
      </c>
      <c r="F180" s="592" t="s">
        <v>145</v>
      </c>
      <c r="G180" s="721" t="str">
        <f>VLOOKUP(WWWW[[#This Row],[Site Name]],SiteDB6[[Site Name]:[Location Type]],8,FALSE)</f>
        <v>Camp</v>
      </c>
      <c r="H180" s="592" t="s">
        <v>275</v>
      </c>
      <c r="I180" s="594">
        <v>36</v>
      </c>
      <c r="J180" s="594">
        <v>189</v>
      </c>
      <c r="K180" s="595">
        <v>43313</v>
      </c>
      <c r="L180" s="596">
        <v>44043</v>
      </c>
      <c r="M180" s="594"/>
      <c r="N180" s="594">
        <v>1</v>
      </c>
      <c r="O180" s="594"/>
      <c r="P180" s="594"/>
      <c r="Q180" s="597" t="s">
        <v>43</v>
      </c>
      <c r="R180" s="594">
        <v>2</v>
      </c>
      <c r="S180" s="594">
        <v>4</v>
      </c>
      <c r="T180" s="523">
        <v>2</v>
      </c>
      <c r="U180" s="594"/>
      <c r="V180" s="594"/>
      <c r="W180" s="594">
        <v>1</v>
      </c>
      <c r="X180" s="594">
        <v>1</v>
      </c>
      <c r="Y180" s="594"/>
      <c r="Z180" s="594"/>
      <c r="AA180" s="594">
        <v>0</v>
      </c>
      <c r="AB180" s="594"/>
      <c r="AC180" s="594"/>
      <c r="AD180" s="594">
        <v>0</v>
      </c>
      <c r="AE180" s="594">
        <v>0</v>
      </c>
      <c r="AF180" s="594">
        <v>0</v>
      </c>
      <c r="AG180" s="594">
        <v>0</v>
      </c>
      <c r="AH180" s="594">
        <v>0</v>
      </c>
      <c r="AI180" s="594"/>
      <c r="AJ180" s="594"/>
      <c r="AK180" s="594"/>
      <c r="AL180" s="594"/>
      <c r="AM180" s="594">
        <v>0</v>
      </c>
      <c r="AN180" s="594">
        <v>0</v>
      </c>
      <c r="AO180" s="598"/>
      <c r="AP180" s="594">
        <v>9</v>
      </c>
      <c r="AQ180" s="594">
        <v>1</v>
      </c>
      <c r="AR180" s="599"/>
      <c r="AS180" s="594"/>
      <c r="AT180" s="594"/>
      <c r="AU180" s="594"/>
      <c r="AV180" s="594"/>
      <c r="AW180" s="594">
        <v>0</v>
      </c>
      <c r="AX180" s="593" t="s">
        <v>43</v>
      </c>
      <c r="AY180" s="598" t="s">
        <v>140</v>
      </c>
      <c r="AZ180" s="594">
        <v>0</v>
      </c>
      <c r="BA180" s="594">
        <v>0</v>
      </c>
      <c r="BB180" s="594">
        <v>0</v>
      </c>
      <c r="BC180" s="594"/>
      <c r="BD180" s="523"/>
      <c r="BE180" s="593"/>
      <c r="BF180" s="594">
        <v>3</v>
      </c>
      <c r="BG180" s="594"/>
      <c r="BH180" s="594">
        <v>4</v>
      </c>
      <c r="BI180" s="594">
        <v>2</v>
      </c>
      <c r="BJ180" s="594"/>
      <c r="BK180" s="594">
        <v>0</v>
      </c>
      <c r="BL180" s="594">
        <v>0</v>
      </c>
      <c r="BM180" s="594"/>
      <c r="BN180" s="594"/>
      <c r="BO180" s="593" t="s">
        <v>139</v>
      </c>
      <c r="BP180" s="594"/>
      <c r="BQ180" s="599"/>
      <c r="BR180" s="593"/>
      <c r="BS180" s="472"/>
      <c r="BT180" s="472"/>
      <c r="BU180" s="523"/>
      <c r="BV180" s="472"/>
      <c r="BW180" s="523"/>
      <c r="BX180" s="523"/>
      <c r="BY180" s="523"/>
      <c r="BZ180" s="601" t="str">
        <f>IFERROR(WWWW[[#This Row],['#_Water sources passed]]/WWWW[[#This Row],['#_Water sources tested for fecal coliform ]],"no test")</f>
        <v>no test</v>
      </c>
      <c r="CA180" s="599" t="str">
        <f>IFERROR(WWWW[[#This Row],['#_Household passed]]/WWWW[[#This Row],['#_Household water samples tested for fecal coliform]],"no test")</f>
        <v>no test</v>
      </c>
      <c r="CB180" s="600" t="str">
        <f>IF(AND(WWWW[[#This Row],[% of water sources passed]]="no test",WWWW[[#This Row],[% Household passed]]="no test"),"No Test","Tested")</f>
        <v>No Test</v>
      </c>
      <c r="CC180" s="600">
        <f>WWWW[[#This Row],['#_Constructed/existing protected hand dug well]]-WWWW[[#This Row],['#_Non-functional protected hand dug well]]</f>
        <v>2</v>
      </c>
      <c r="CD180" s="600">
        <f>(WWWW[[#This Row],['#_Constructed/Existing tube wells/boreholes/handpumps_WASH_agency]]+WWWW[[#This Row],['#_Non-Cluster partner water tube-wells/boreholes/handpumps]])-WWWW[[#This Row],['#_Non-functional tube wells/boreholes/handpumps]]</f>
        <v>2</v>
      </c>
      <c r="CE180" s="600">
        <f>WWWW[[#This Row],['#_Constructed/Existingwater storage tank with gravity fed reticulation system]]-WWWW[[#This Row],['#_Non-functional storage tank gravity fed reticulation system]]</f>
        <v>0</v>
      </c>
      <c r="CF180" s="478">
        <f>(WWWW[[#This Row],['#_Water_Liters_supplied_by_Water boating or water trucking]]/90)/15</f>
        <v>0</v>
      </c>
      <c r="CG180" s="478">
        <f>WWWW[[#This Row],['#_Water_Liters_from_Constructed/Existing water distribution system from river or natural spring]]/90/15</f>
        <v>0</v>
      </c>
      <c r="CH180" s="478">
        <f>WWWW[[#This Row],['#_of water points in TLS/CFS /THF]]*500</f>
        <v>0</v>
      </c>
      <c r="CI18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0" s="599">
        <f>IF(WWWW[[#This Row],[Location Type 1]]="Village",WWWW[[#This Row],[Access to safe drinking water for Village]],WWWW[[#This Row],[Access to safe drinking water for Camp]])</f>
        <v>1</v>
      </c>
      <c r="CL180" s="597">
        <f>WWWW[[#This Row],[%Equitable and continuous access to sufficient quantity of safe drinking water]]*WWWW[[#This Row],[Total PoP ]]</f>
        <v>189</v>
      </c>
      <c r="CM180" s="599">
        <f>IF((WWWW[[#This Row],['#_Constructed/Existing protected/fenced ponds]]*250)/WWWW[[#This Row],[Total PoP ]]&gt;1,1,(WWWW[[#This Row],['#_Constructed/Existing protected/fenced ponds]]*250)/WWWW[[#This Row],[Total PoP ]])</f>
        <v>0</v>
      </c>
      <c r="CN180" s="597">
        <f>WWWW[[#This Row],[% Access to unimproved water points]]*WWWW[[#This Row],[Total PoP ]]</f>
        <v>0</v>
      </c>
      <c r="CO18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180" s="597">
        <f>WWWW[[#This Row],[HRP1]]/500</f>
        <v>0.378</v>
      </c>
      <c r="CR180" s="602">
        <f>1-WWWW[[#This Row],[% Equitable and continuous access to sufficient quantity of domestic water]]</f>
        <v>0</v>
      </c>
      <c r="CS180" s="597">
        <f>WWWW[[#This Row],[%equitable and continuous access to sufficient quantity of safe drinking and domestic water''s GAP]]*WWWW[[#This Row],[Total PoP ]]</f>
        <v>0</v>
      </c>
      <c r="CT180" s="600">
        <f>IF(WWWW[[#This Row],[Total required water points]]-WWWW[[#This Row],['#Water points coverage]]&lt;0,0,WWWW[[#This Row],[Total required water points]]-WWWW[[#This Row],['#Water points coverage]])</f>
        <v>0.622</v>
      </c>
      <c r="CU180" s="600">
        <f>ROUND(IF(WWWW[[#This Row],[Total PoP ]]&lt;500,1,WWWW[[#This Row],[Total PoP ]]/500),0)</f>
        <v>1</v>
      </c>
      <c r="CV180" s="600">
        <f>(WWWW[[#This Row],['#_Constructed latrines_by_WASHAgencies]]+WWWW[[#This Row],['#_Non Cluster partner latrines]])-WWWW[[#This Row],['#_Non-functional latrines]]</f>
        <v>10</v>
      </c>
      <c r="CW180" s="70">
        <f>WWWW[[#This Row],[HRP2]]/WWWW[[#This Row],[Total PoP ]]</f>
        <v>1</v>
      </c>
      <c r="CX18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189</v>
      </c>
      <c r="CY18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0" s="600">
        <f>IF(WWWW[[#This Row],['# of functional latrines in THF supported by WASH partners during the reporting period2]]="",0,WWWW[[#This Row],['# of functional latrines in THF supported by WASH partners during the reporting period2]]*50)</f>
        <v>0</v>
      </c>
      <c r="DB180" s="600">
        <f>WWWW[[#This Row],['# students access to functioning school latrines_HRP5]]+WWWW[[#This Row],['# People access to functioning latrines in THF_HRP5]]</f>
        <v>0</v>
      </c>
      <c r="DC180" s="600">
        <f>ROUND(IF(WWWW[[#This Row],[Location Type 1]]="camp",WWWW[[#This Row],[Total PoP ]]/20,IF(WWWW[[#This Row],[Location Type 1]]="Temporary Location",WWWW[[#This Row],[Total PoP ]]/50,WWWW[[#This Row],[Total HH]])),0)</f>
        <v>9</v>
      </c>
      <c r="DD180" s="600">
        <f>IF(WWWW[[#This Row],[Total required Latrines]]-(WWWW[[#This Row],['#_Constructed latrines_by_WASHAgencies]]+WWWW[[#This Row],['#_Non Cluster partner latrines]])&lt;0,0,WWWW[[#This Row],[Total required Latrines]]-(WWWW[[#This Row],['#_Constructed latrines_by_WASHAgencies]]+WWWW[[#This Row],['#_Non Cluster partner latrines]]))</f>
        <v>0</v>
      </c>
      <c r="DE180" s="602">
        <f>1-WWWW[[#This Row],[% people access to functioning Latrine]]</f>
        <v>0</v>
      </c>
      <c r="DF180" s="601">
        <f>IF(OR(WWWW[[#This Row],['#_Non-functional latrines]]="",WWWW[[#This Row],['#_Non-functional latrines]]=0),0,WWWW[[#This Row],['#_Non-functional latrines]]/(WWWW[[#This Row],['#_Constructed latrines_by_WASHAgencies]]+WWWW[[#This Row],['#_Non Cluster partner latrines]]))</f>
        <v>0</v>
      </c>
      <c r="DG180" s="597">
        <f>IF(500*(WWWW[[#This Row],['#_male hygiene promoters]]+WWWW[[#This Row],['#_female hygiene promoters]])&gt;WWWW[[#This Row],[Total PoP ]],WWWW[[#This Row],[Total PoP ]],500*(WWWW[[#This Row],['#_male hygiene promoters]]+WWWW[[#This Row],['#_female hygiene promoters]]))</f>
        <v>0</v>
      </c>
      <c r="DH18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0" s="600">
        <f>IF(WWWW[[#This Row],['# People with access to soap]]&gt;WWWW[[#This Row],['# People with access to Sanity Pads]],WWWW[[#This Row],['# People with access to soap]],WWWW[[#This Row],['# People with access to Sanity Pads]])</f>
        <v>0</v>
      </c>
      <c r="DK180"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0" s="602">
        <f>IF(WWWW[[#This Row],[HRP3]]/WWWW[[#This Row],[Total PoP ]]&gt;1,1,WWWW[[#This Row],[HRP3]]/WWWW[[#This Row],[Total PoP ]])</f>
        <v>0</v>
      </c>
      <c r="DM180" s="601">
        <f>1-WWWW[[#This Row],[Hygiene Coverage%]]</f>
        <v>1</v>
      </c>
      <c r="DN180" s="599">
        <f>WWWW[[#This Row],['# people reached by regular dedicated hygiene promotion_5]]/WWWW[[#This Row],[Total PoP ]]</f>
        <v>0</v>
      </c>
      <c r="DO18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0" s="600">
        <f>WWWW[[#This Row],['#_Constructed/Existing hand washing stations]]-WWWW[[#This Row],['#_Non-Functional_hand_washing_stations]]</f>
        <v>3</v>
      </c>
      <c r="DR180" s="597">
        <f>IF(WWWW[[#This Row],['# Functional hand washing stations during reporting period]]*20&gt;WWWW[[#This Row],[Total HH]],WWWW[[#This Row],[Total HH]],WWWW[[#This Row],['# Functional hand washing stations during reporting period]]*20)</f>
        <v>36</v>
      </c>
      <c r="DS180" s="597">
        <f>IF(WWWW[[#This Row],[Is sufficient soap available for TLS? (Yes/No)]]="yes",WWWW[[#This Row],['#_Constructed/Existing hand washing stations at TLS]],0)</f>
        <v>0</v>
      </c>
      <c r="DT180" s="479">
        <f>IF(WWWW[[#This Row],['# Functional hand washing stations during reporting period]]*100&gt;WWWW[[#This Row],[Total PoP ]],WWWW[[#This Row],[Total PoP ]],WWWW[[#This Row],['# Functional hand washing stations during reporting period]]*100)</f>
        <v>189</v>
      </c>
      <c r="DU180" s="479" t="str">
        <f>IF(OR(WWWW[[#This Row],['#_students at TLS_CFS]]="",WWWW[[#This Row],['#_students at TLS_CFS]]=0),"No","Yes")</f>
        <v>No</v>
      </c>
      <c r="DV18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0" s="593" t="str">
        <f>VLOOKUP(WWWW[[#This Row],[Site Name]],SiteDB6[[Site Name]:[CCCM Management]],6,FALSE)</f>
        <v>Yes</v>
      </c>
      <c r="DZ180" s="593" t="str">
        <f>VLOOKUP(WWWW[[#This Row],[Site Name]],SiteDB6[[Site Name]:[CCCM Focal Agency]],7,FALSE)</f>
        <v>Shalom</v>
      </c>
      <c r="EA180" s="593" t="str">
        <f>VLOOKUP(WWWW[[#This Row],[Site Name]],SiteDB6[[Site Name]:[Location Type 1]],9,FALSE)</f>
        <v>Camp</v>
      </c>
      <c r="EB180" s="593" t="str">
        <f>VLOOKUP(WWWW[[#This Row],[Site Name]],SiteDB6[[Site Name]:[Type of Accommodation]],10,FALSE)</f>
        <v>Camp</v>
      </c>
      <c r="EC180" s="593" t="str">
        <f>VLOOKUP(WWWW[[#This Row],[Site Name]],SiteDB6[[Site Name]:[Ethnic or GCA/NGCA]],11,FALSE)</f>
        <v>GCA</v>
      </c>
      <c r="ED180" s="593">
        <f>VLOOKUP(WWWW[[#This Row],[Site Name]],SiteDB6[[Site Name]:[Lat]],12,FALSE)</f>
        <v>25.345918166666699</v>
      </c>
      <c r="EE180" s="593">
        <f>VLOOKUP(WWWW[[#This Row],[Site Name]],SiteDB6[[Site Name]:[Long]],13,FALSE)</f>
        <v>97.437472666666693</v>
      </c>
      <c r="EF180" s="593" t="str">
        <f>VLOOKUP(WWWW[[#This Row],[Site Name]],SiteDB6[[Site Name]:[Pcode]],3,FALSE)</f>
        <v>MMR001CMP030</v>
      </c>
      <c r="EG180" s="598" t="str">
        <f t="shared" si="2"/>
        <v>Covered</v>
      </c>
      <c r="EH180" s="598" t="str">
        <f>VLOOKUP(WWWW[[#This Row],[Site Name]],SiteDB6[[Site Name]:[open in cccm?]],2,FALSE)</f>
        <v>cccm_2019OCT</v>
      </c>
    </row>
    <row r="181" spans="1:138" hidden="1">
      <c r="A181" s="591" t="s">
        <v>3261</v>
      </c>
      <c r="B181" s="591" t="s">
        <v>245</v>
      </c>
      <c r="C181" s="592" t="s">
        <v>245</v>
      </c>
      <c r="D181" s="592" t="s">
        <v>310</v>
      </c>
      <c r="E181" s="592" t="s">
        <v>39</v>
      </c>
      <c r="F181" s="592" t="s">
        <v>151</v>
      </c>
      <c r="G181" s="721" t="str">
        <f>VLOOKUP(WWWW[[#This Row],[Site Name]],SiteDB6[[Site Name]:[Location Type]],8,FALSE)</f>
        <v>Camp</v>
      </c>
      <c r="H181" s="592" t="s">
        <v>262</v>
      </c>
      <c r="I181" s="594">
        <v>10</v>
      </c>
      <c r="J181" s="594">
        <v>38</v>
      </c>
      <c r="K181" s="595">
        <v>43313</v>
      </c>
      <c r="L181" s="596">
        <v>44043</v>
      </c>
      <c r="M181" s="594"/>
      <c r="N181" s="594">
        <v>1</v>
      </c>
      <c r="O181" s="594"/>
      <c r="P181" s="594"/>
      <c r="Q181" s="597" t="s">
        <v>43</v>
      </c>
      <c r="R181" s="594">
        <v>2</v>
      </c>
      <c r="S181" s="594">
        <v>2</v>
      </c>
      <c r="T181" s="523">
        <v>1</v>
      </c>
      <c r="U181" s="594"/>
      <c r="V181" s="594"/>
      <c r="W181" s="594">
        <v>0</v>
      </c>
      <c r="X181" s="594">
        <v>0</v>
      </c>
      <c r="Y181" s="594"/>
      <c r="Z181" s="594"/>
      <c r="AA181" s="594">
        <v>2</v>
      </c>
      <c r="AB181" s="594"/>
      <c r="AC181" s="594"/>
      <c r="AD181" s="594">
        <v>0</v>
      </c>
      <c r="AE181" s="594">
        <v>1</v>
      </c>
      <c r="AF181" s="607">
        <v>1</v>
      </c>
      <c r="AG181" s="594">
        <v>0</v>
      </c>
      <c r="AH181" s="594">
        <v>1</v>
      </c>
      <c r="AI181" s="594"/>
      <c r="AJ181" s="594"/>
      <c r="AK181" s="594"/>
      <c r="AL181" s="594"/>
      <c r="AM181" s="594">
        <v>0</v>
      </c>
      <c r="AN181" s="594">
        <v>0</v>
      </c>
      <c r="AO181" s="598"/>
      <c r="AP181" s="594">
        <v>4</v>
      </c>
      <c r="AQ181" s="594">
        <v>0</v>
      </c>
      <c r="AR181" s="599" t="s">
        <v>245</v>
      </c>
      <c r="AS181" s="594"/>
      <c r="AT181" s="594"/>
      <c r="AU181" s="594"/>
      <c r="AV181" s="594"/>
      <c r="AW181" s="594">
        <v>0</v>
      </c>
      <c r="AX181" s="593" t="s">
        <v>43</v>
      </c>
      <c r="AY181" s="598" t="s">
        <v>140</v>
      </c>
      <c r="AZ181" s="594">
        <v>0</v>
      </c>
      <c r="BA181" s="594">
        <v>0</v>
      </c>
      <c r="BB181" s="594">
        <v>0</v>
      </c>
      <c r="BC181" s="594"/>
      <c r="BD181" s="523"/>
      <c r="BE181" s="593"/>
      <c r="BF181" s="594">
        <v>1</v>
      </c>
      <c r="BG181" s="594"/>
      <c r="BH181" s="594">
        <v>0</v>
      </c>
      <c r="BI181" s="594">
        <v>2</v>
      </c>
      <c r="BJ181" s="594"/>
      <c r="BK181" s="594">
        <v>2</v>
      </c>
      <c r="BL181" s="594">
        <v>2</v>
      </c>
      <c r="BM181" s="594"/>
      <c r="BN181" s="594"/>
      <c r="BO181" s="593" t="s">
        <v>139</v>
      </c>
      <c r="BP181" s="594"/>
      <c r="BQ181" s="599"/>
      <c r="BR181" s="593"/>
      <c r="BS181" s="472"/>
      <c r="BT181" s="472"/>
      <c r="BU181" s="523"/>
      <c r="BV181" s="472"/>
      <c r="BW181" s="523"/>
      <c r="BX181" s="523"/>
      <c r="BY181" s="523"/>
      <c r="BZ181" s="601" t="str">
        <f>IFERROR(WWWW[[#This Row],['#_Water sources passed]]/WWWW[[#This Row],['#_Water sources tested for fecal coliform ]],"no test")</f>
        <v>no test</v>
      </c>
      <c r="CA181" s="599" t="str">
        <f>IFERROR(WWWW[[#This Row],['#_Household passed]]/WWWW[[#This Row],['#_Household water samples tested for fecal coliform]],"no test")</f>
        <v>no test</v>
      </c>
      <c r="CB181" s="600" t="str">
        <f>IF(AND(WWWW[[#This Row],[% of water sources passed]]="no test",WWWW[[#This Row],[% Household passed]]="no test"),"No Test","Tested")</f>
        <v>No Test</v>
      </c>
      <c r="CC181" s="600">
        <f>WWWW[[#This Row],['#_Constructed/existing protected hand dug well]]-WWWW[[#This Row],['#_Non-functional protected hand dug well]]</f>
        <v>1</v>
      </c>
      <c r="CD181" s="600">
        <f>(WWWW[[#This Row],['#_Constructed/Existing tube wells/boreholes/handpumps_WASH_agency]]+WWWW[[#This Row],['#_Non-Cluster partner water tube-wells/boreholes/handpumps]])-WWWW[[#This Row],['#_Non-functional tube wells/boreholes/handpumps]]</f>
        <v>0</v>
      </c>
      <c r="CE181" s="600">
        <f>WWWW[[#This Row],['#_Constructed/Existingwater storage tank with gravity fed reticulation system]]-WWWW[[#This Row],['#_Non-functional storage tank gravity fed reticulation system]]</f>
        <v>2</v>
      </c>
      <c r="CF181" s="478">
        <f>(WWWW[[#This Row],['#_Water_Liters_supplied_by_Water boating or water trucking]]/90)/15</f>
        <v>0</v>
      </c>
      <c r="CG181" s="478">
        <f>WWWW[[#This Row],['#_Water_Liters_from_Constructed/Existing water distribution system from river or natural spring]]/90/15</f>
        <v>7.4074074074074081E-4</v>
      </c>
      <c r="CH181" s="478">
        <f>WWWW[[#This Row],['#_of water points in TLS/CFS /THF]]*500</f>
        <v>0</v>
      </c>
      <c r="CI18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1" s="599">
        <f>IF(WWWW[[#This Row],[Location Type 1]]="Village",WWWW[[#This Row],[Access to safe drinking water for Village]],WWWW[[#This Row],[Access to safe drinking water for Camp]])</f>
        <v>1</v>
      </c>
      <c r="CL181" s="597">
        <f>WWWW[[#This Row],[%Equitable and continuous access to sufficient quantity of safe drinking water]]*WWWW[[#This Row],[Total PoP ]]</f>
        <v>38</v>
      </c>
      <c r="CM181" s="599">
        <f>IF((WWWW[[#This Row],['#_Constructed/Existing protected/fenced ponds]]*250)/WWWW[[#This Row],[Total PoP ]]&gt;1,1,(WWWW[[#This Row],['#_Constructed/Existing protected/fenced ponds]]*250)/WWWW[[#This Row],[Total PoP ]])</f>
        <v>1</v>
      </c>
      <c r="CN181" s="597">
        <f>WWWW[[#This Row],[% Access to unimproved water points]]*WWWW[[#This Row],[Total PoP ]]</f>
        <v>38</v>
      </c>
      <c r="CO18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Q181" s="597">
        <f>WWWW[[#This Row],[HRP1]]/500</f>
        <v>7.5999999999999998E-2</v>
      </c>
      <c r="CR181" s="602">
        <f>1-WWWW[[#This Row],[% Equitable and continuous access to sufficient quantity of domestic water]]</f>
        <v>0</v>
      </c>
      <c r="CS181" s="597">
        <f>WWWW[[#This Row],[%equitable and continuous access to sufficient quantity of safe drinking and domestic water''s GAP]]*WWWW[[#This Row],[Total PoP ]]</f>
        <v>0</v>
      </c>
      <c r="CT181" s="600">
        <f>IF(WWWW[[#This Row],[Total required water points]]-WWWW[[#This Row],['#Water points coverage]]&lt;0,0,WWWW[[#This Row],[Total required water points]]-WWWW[[#This Row],['#Water points coverage]])</f>
        <v>0.92400000000000004</v>
      </c>
      <c r="CU181" s="600">
        <f>ROUND(IF(WWWW[[#This Row],[Total PoP ]]&lt;500,1,WWWW[[#This Row],[Total PoP ]]/500),0)</f>
        <v>1</v>
      </c>
      <c r="CV181" s="600">
        <f>(WWWW[[#This Row],['#_Constructed latrines_by_WASHAgencies]]+WWWW[[#This Row],['#_Non Cluster partner latrines]])-WWWW[[#This Row],['#_Non-functional latrines]]</f>
        <v>4</v>
      </c>
      <c r="CW181" s="70">
        <f>WWWW[[#This Row],[HRP2]]/WWWW[[#This Row],[Total PoP ]]</f>
        <v>1</v>
      </c>
      <c r="CX18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v>
      </c>
      <c r="CY18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1" s="600">
        <f>IF(WWWW[[#This Row],['# of functional latrines in THF supported by WASH partners during the reporting period2]]="",0,WWWW[[#This Row],['# of functional latrines in THF supported by WASH partners during the reporting period2]]*50)</f>
        <v>0</v>
      </c>
      <c r="DB181" s="600">
        <f>WWWW[[#This Row],['# students access to functioning school latrines_HRP5]]+WWWW[[#This Row],['# People access to functioning latrines in THF_HRP5]]</f>
        <v>0</v>
      </c>
      <c r="DC181" s="600">
        <f>ROUND(IF(WWWW[[#This Row],[Location Type 1]]="camp",WWWW[[#This Row],[Total PoP ]]/20,IF(WWWW[[#This Row],[Location Type 1]]="Temporary Location",WWWW[[#This Row],[Total PoP ]]/50,WWWW[[#This Row],[Total HH]])),0)</f>
        <v>2</v>
      </c>
      <c r="DD181" s="600">
        <f>IF(WWWW[[#This Row],[Total required Latrines]]-(WWWW[[#This Row],['#_Constructed latrines_by_WASHAgencies]]+WWWW[[#This Row],['#_Non Cluster partner latrines]])&lt;0,0,WWWW[[#This Row],[Total required Latrines]]-(WWWW[[#This Row],['#_Constructed latrines_by_WASHAgencies]]+WWWW[[#This Row],['#_Non Cluster partner latrines]]))</f>
        <v>0</v>
      </c>
      <c r="DE181" s="602">
        <f>1-WWWW[[#This Row],[% people access to functioning Latrine]]</f>
        <v>0</v>
      </c>
      <c r="DF181" s="601">
        <f>IF(OR(WWWW[[#This Row],['#_Non-functional latrines]]="",WWWW[[#This Row],['#_Non-functional latrines]]=0),0,WWWW[[#This Row],['#_Non-functional latrines]]/(WWWW[[#This Row],['#_Constructed latrines_by_WASHAgencies]]+WWWW[[#This Row],['#_Non Cluster partner latrines]]))</f>
        <v>0</v>
      </c>
      <c r="DG181" s="597">
        <f>IF(500*(WWWW[[#This Row],['#_male hygiene promoters]]+WWWW[[#This Row],['#_female hygiene promoters]])&gt;WWWW[[#This Row],[Total PoP ]],WWWW[[#This Row],[Total PoP ]],500*(WWWW[[#This Row],['#_male hygiene promoters]]+WWWW[[#This Row],['#_female hygiene promoters]]))</f>
        <v>38</v>
      </c>
      <c r="DH18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1" s="600">
        <f>IF(WWWW[[#This Row],['# People with access to soap]]&gt;WWWW[[#This Row],['# People with access to Sanity Pads]],WWWW[[#This Row],['# People with access to soap]],WWWW[[#This Row],['# People with access to Sanity Pads]])</f>
        <v>0</v>
      </c>
      <c r="DK181" s="600">
        <f>IF(WWWW[[#This Row],['# people reached by regular dedicated hygiene promotion_5]]&gt;WWWW[[#This Row],['# People received regular supply of hygiene items_6]],WWWW[[#This Row],['# people reached by regular dedicated hygiene promotion_5]],WWWW[[#This Row],['# People received regular supply of hygiene items_6]])</f>
        <v>38</v>
      </c>
      <c r="DL181" s="602">
        <f>IF(WWWW[[#This Row],[HRP3]]/WWWW[[#This Row],[Total PoP ]]&gt;1,1,WWWW[[#This Row],[HRP3]]/WWWW[[#This Row],[Total PoP ]])</f>
        <v>1</v>
      </c>
      <c r="DM181" s="601">
        <f>1-WWWW[[#This Row],[Hygiene Coverage%]]</f>
        <v>0</v>
      </c>
      <c r="DN181" s="599">
        <f>WWWW[[#This Row],['# people reached by regular dedicated hygiene promotion_5]]/WWWW[[#This Row],[Total PoP ]]</f>
        <v>1</v>
      </c>
      <c r="DO18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1" s="600">
        <f>WWWW[[#This Row],['#_Constructed/Existing hand washing stations]]-WWWW[[#This Row],['#_Non-Functional_hand_washing_stations]]</f>
        <v>1</v>
      </c>
      <c r="DR181" s="597">
        <f>IF(WWWW[[#This Row],['# Functional hand washing stations during reporting period]]*20&gt;WWWW[[#This Row],[Total HH]],WWWW[[#This Row],[Total HH]],WWWW[[#This Row],['# Functional hand washing stations during reporting period]]*20)</f>
        <v>10</v>
      </c>
      <c r="DS181" s="597">
        <f>IF(WWWW[[#This Row],[Is sufficient soap available for TLS? (Yes/No)]]="yes",WWWW[[#This Row],['#_Constructed/Existing hand washing stations at TLS]],0)</f>
        <v>0</v>
      </c>
      <c r="DT181" s="479">
        <f>IF(WWWW[[#This Row],['# Functional hand washing stations during reporting period]]*100&gt;WWWW[[#This Row],[Total PoP ]],WWWW[[#This Row],[Total PoP ]],WWWW[[#This Row],['# Functional hand washing stations during reporting period]]*100)</f>
        <v>38</v>
      </c>
      <c r="DU181" s="479" t="str">
        <f>IF(OR(WWWW[[#This Row],['#_students at TLS_CFS]]="",WWWW[[#This Row],['#_students at TLS_CFS]]=0),"No","Yes")</f>
        <v>No</v>
      </c>
      <c r="DV18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1" s="593" t="str">
        <f>VLOOKUP(WWWW[[#This Row],[Site Name]],SiteDB6[[Site Name]:[CCCM Management]],6,FALSE)</f>
        <v>Yes</v>
      </c>
      <c r="DZ181" s="593" t="str">
        <f>VLOOKUP(WWWW[[#This Row],[Site Name]],SiteDB6[[Site Name]:[CCCM Focal Agency]],7,FALSE)</f>
        <v>Shalom</v>
      </c>
      <c r="EA181" s="593" t="str">
        <f>VLOOKUP(WWWW[[#This Row],[Site Name]],SiteDB6[[Site Name]:[Location Type 1]],9,FALSE)</f>
        <v>Camp</v>
      </c>
      <c r="EB181" s="593" t="str">
        <f>VLOOKUP(WWWW[[#This Row],[Site Name]],SiteDB6[[Site Name]:[Type of Accommodation]],10,FALSE)</f>
        <v>Camp like setting</v>
      </c>
      <c r="EC181" s="593" t="str">
        <f>VLOOKUP(WWWW[[#This Row],[Site Name]],SiteDB6[[Site Name]:[Ethnic or GCA/NGCA]],11,FALSE)</f>
        <v>GCA</v>
      </c>
      <c r="ED181" s="593">
        <f>VLOOKUP(WWWW[[#This Row],[Site Name]],SiteDB6[[Site Name]:[Lat]],12,FALSE)</f>
        <v>25.56551</v>
      </c>
      <c r="EE181" s="593">
        <f>VLOOKUP(WWWW[[#This Row],[Site Name]],SiteDB6[[Site Name]:[Long]],13,FALSE)</f>
        <v>96.279200000000003</v>
      </c>
      <c r="EF181" s="593" t="str">
        <f>VLOOKUP(WWWW[[#This Row],[Site Name]],SiteDB6[[Site Name]:[Pcode]],3,FALSE)</f>
        <v>MMR001CMP182</v>
      </c>
      <c r="EG181" s="598" t="str">
        <f t="shared" si="2"/>
        <v>Covered</v>
      </c>
      <c r="EH181" s="598" t="str">
        <f>VLOOKUP(WWWW[[#This Row],[Site Name]],SiteDB6[[Site Name]:[open in cccm?]],2,FALSE)</f>
        <v>cccm_2019OCT</v>
      </c>
    </row>
    <row r="182" spans="1:138" hidden="1">
      <c r="A182" s="591" t="s">
        <v>3261</v>
      </c>
      <c r="B182" s="591" t="s">
        <v>245</v>
      </c>
      <c r="C182" s="592" t="s">
        <v>245</v>
      </c>
      <c r="D182" s="592" t="s">
        <v>310</v>
      </c>
      <c r="E182" s="592" t="s">
        <v>39</v>
      </c>
      <c r="F182" s="592" t="s">
        <v>162</v>
      </c>
      <c r="G182" s="721" t="str">
        <f>VLOOKUP(WWWW[[#This Row],[Site Name]],SiteDB6[[Site Name]:[Location Type]],8,FALSE)</f>
        <v>Camp</v>
      </c>
      <c r="H182" s="592" t="s">
        <v>268</v>
      </c>
      <c r="I182" s="594">
        <v>24</v>
      </c>
      <c r="J182" s="594">
        <v>111</v>
      </c>
      <c r="K182" s="595">
        <v>43313</v>
      </c>
      <c r="L182" s="596">
        <v>44043</v>
      </c>
      <c r="M182" s="594"/>
      <c r="N182" s="594">
        <v>1</v>
      </c>
      <c r="O182" s="594"/>
      <c r="P182" s="594"/>
      <c r="Q182" s="597" t="s">
        <v>43</v>
      </c>
      <c r="R182" s="594">
        <v>1</v>
      </c>
      <c r="S182" s="594">
        <v>4</v>
      </c>
      <c r="T182" s="523">
        <v>1</v>
      </c>
      <c r="U182" s="594"/>
      <c r="V182" s="594"/>
      <c r="W182" s="594">
        <v>0</v>
      </c>
      <c r="X182" s="594">
        <v>1</v>
      </c>
      <c r="Y182" s="594"/>
      <c r="Z182" s="594"/>
      <c r="AA182" s="594"/>
      <c r="AB182" s="594"/>
      <c r="AC182" s="594"/>
      <c r="AD182" s="594"/>
      <c r="AE182" s="594"/>
      <c r="AF182" s="594"/>
      <c r="AG182" s="594"/>
      <c r="AH182" s="594"/>
      <c r="AI182" s="594"/>
      <c r="AJ182" s="594"/>
      <c r="AK182" s="594"/>
      <c r="AL182" s="594"/>
      <c r="AM182" s="594"/>
      <c r="AN182" s="594"/>
      <c r="AO182" s="598"/>
      <c r="AP182" s="594">
        <v>7</v>
      </c>
      <c r="AQ182" s="594">
        <v>5</v>
      </c>
      <c r="AR182" s="599" t="s">
        <v>2915</v>
      </c>
      <c r="AS182" s="594"/>
      <c r="AT182" s="594"/>
      <c r="AU182" s="594"/>
      <c r="AV182" s="594"/>
      <c r="AW182" s="594"/>
      <c r="AX182" s="593" t="s">
        <v>43</v>
      </c>
      <c r="AY182" s="598" t="s">
        <v>1195</v>
      </c>
      <c r="AZ182" s="594"/>
      <c r="BA182" s="594"/>
      <c r="BB182" s="594"/>
      <c r="BC182" s="594"/>
      <c r="BD182" s="523"/>
      <c r="BE182" s="593"/>
      <c r="BF182" s="594">
        <v>2</v>
      </c>
      <c r="BG182" s="594"/>
      <c r="BH182" s="594">
        <v>0</v>
      </c>
      <c r="BI182" s="594">
        <v>1</v>
      </c>
      <c r="BJ182" s="594"/>
      <c r="BK182" s="594">
        <v>0</v>
      </c>
      <c r="BL182" s="594">
        <v>0</v>
      </c>
      <c r="BM182" s="594"/>
      <c r="BN182" s="594"/>
      <c r="BO182" s="593" t="s">
        <v>139</v>
      </c>
      <c r="BP182" s="594"/>
      <c r="BQ182" s="599"/>
      <c r="BR182" s="593"/>
      <c r="BS182" s="472"/>
      <c r="BT182" s="472"/>
      <c r="BU182" s="523"/>
      <c r="BV182" s="472"/>
      <c r="BW182" s="523"/>
      <c r="BX182" s="523"/>
      <c r="BY182" s="523"/>
      <c r="BZ182" s="601" t="str">
        <f>IFERROR(WWWW[[#This Row],['#_Water sources passed]]/WWWW[[#This Row],['#_Water sources tested for fecal coliform ]],"no test")</f>
        <v>no test</v>
      </c>
      <c r="CA182" s="599" t="str">
        <f>IFERROR(WWWW[[#This Row],['#_Household passed]]/WWWW[[#This Row],['#_Household water samples tested for fecal coliform]],"no test")</f>
        <v>no test</v>
      </c>
      <c r="CB182" s="600" t="str">
        <f>IF(AND(WWWW[[#This Row],[% of water sources passed]]="no test",WWWW[[#This Row],[% Household passed]]="no test"),"No Test","Tested")</f>
        <v>No Test</v>
      </c>
      <c r="CC182" s="600">
        <f>WWWW[[#This Row],['#_Constructed/existing protected hand dug well]]-WWWW[[#This Row],['#_Non-functional protected hand dug well]]</f>
        <v>1</v>
      </c>
      <c r="CD182" s="600">
        <f>(WWWW[[#This Row],['#_Constructed/Existing tube wells/boreholes/handpumps_WASH_agency]]+WWWW[[#This Row],['#_Non-Cluster partner water tube-wells/boreholes/handpumps]])-WWWW[[#This Row],['#_Non-functional tube wells/boreholes/handpumps]]</f>
        <v>1</v>
      </c>
      <c r="CE182" s="600">
        <f>WWWW[[#This Row],['#_Constructed/Existingwater storage tank with gravity fed reticulation system]]-WWWW[[#This Row],['#_Non-functional storage tank gravity fed reticulation system]]</f>
        <v>0</v>
      </c>
      <c r="CF182" s="478">
        <f>(WWWW[[#This Row],['#_Water_Liters_supplied_by_Water boating or water trucking]]/90)/15</f>
        <v>0</v>
      </c>
      <c r="CG182" s="478">
        <f>WWWW[[#This Row],['#_Water_Liters_from_Constructed/Existing water distribution system from river or natural spring]]/90/15</f>
        <v>0</v>
      </c>
      <c r="CH182" s="478">
        <f>WWWW[[#This Row],['#_of water points in TLS/CFS /THF]]*500</f>
        <v>0</v>
      </c>
      <c r="CI18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2" s="599">
        <f>IF(WWWW[[#This Row],[Location Type 1]]="Village",WWWW[[#This Row],[Access to safe drinking water for Village]],WWWW[[#This Row],[Access to safe drinking water for Camp]])</f>
        <v>1</v>
      </c>
      <c r="CL182" s="597">
        <f>WWWW[[#This Row],[%Equitable and continuous access to sufficient quantity of safe drinking water]]*WWWW[[#This Row],[Total PoP ]]</f>
        <v>111</v>
      </c>
      <c r="CM182" s="599">
        <f>IF((WWWW[[#This Row],['#_Constructed/Existing protected/fenced ponds]]*250)/WWWW[[#This Row],[Total PoP ]]&gt;1,1,(WWWW[[#This Row],['#_Constructed/Existing protected/fenced ponds]]*250)/WWWW[[#This Row],[Total PoP ]])</f>
        <v>0</v>
      </c>
      <c r="CN182" s="597">
        <f>WWWW[[#This Row],[% Access to unimproved water points]]*WWWW[[#This Row],[Total PoP ]]</f>
        <v>0</v>
      </c>
      <c r="CO18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182" s="597">
        <f>WWWW[[#This Row],[HRP1]]/500</f>
        <v>0.222</v>
      </c>
      <c r="CR182" s="602">
        <f>1-WWWW[[#This Row],[% Equitable and continuous access to sufficient quantity of domestic water]]</f>
        <v>0</v>
      </c>
      <c r="CS182" s="597">
        <f>WWWW[[#This Row],[%equitable and continuous access to sufficient quantity of safe drinking and domestic water''s GAP]]*WWWW[[#This Row],[Total PoP ]]</f>
        <v>0</v>
      </c>
      <c r="CT182" s="600">
        <f>IF(WWWW[[#This Row],[Total required water points]]-WWWW[[#This Row],['#Water points coverage]]&lt;0,0,WWWW[[#This Row],[Total required water points]]-WWWW[[#This Row],['#Water points coverage]])</f>
        <v>0.77800000000000002</v>
      </c>
      <c r="CU182" s="600">
        <f>ROUND(IF(WWWW[[#This Row],[Total PoP ]]&lt;500,1,WWWW[[#This Row],[Total PoP ]]/500),0)</f>
        <v>1</v>
      </c>
      <c r="CV182" s="600">
        <f>(WWWW[[#This Row],['#_Constructed latrines_by_WASHAgencies]]+WWWW[[#This Row],['#_Non Cluster partner latrines]])-WWWW[[#This Row],['#_Non-functional latrines]]</f>
        <v>12</v>
      </c>
      <c r="CW182" s="70">
        <f>WWWW[[#This Row],[HRP2]]/WWWW[[#This Row],[Total PoP ]]</f>
        <v>1</v>
      </c>
      <c r="CX18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18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2" s="600">
        <f>IF(WWWW[[#This Row],['# of functional latrines in THF supported by WASH partners during the reporting period2]]="",0,WWWW[[#This Row],['# of functional latrines in THF supported by WASH partners during the reporting period2]]*50)</f>
        <v>0</v>
      </c>
      <c r="DB182" s="600">
        <f>WWWW[[#This Row],['# students access to functioning school latrines_HRP5]]+WWWW[[#This Row],['# People access to functioning latrines in THF_HRP5]]</f>
        <v>0</v>
      </c>
      <c r="DC182" s="600">
        <f>ROUND(IF(WWWW[[#This Row],[Location Type 1]]="camp",WWWW[[#This Row],[Total PoP ]]/20,IF(WWWW[[#This Row],[Location Type 1]]="Temporary Location",WWWW[[#This Row],[Total PoP ]]/50,WWWW[[#This Row],[Total HH]])),0)</f>
        <v>6</v>
      </c>
      <c r="DD182" s="600">
        <f>IF(WWWW[[#This Row],[Total required Latrines]]-(WWWW[[#This Row],['#_Constructed latrines_by_WASHAgencies]]+WWWW[[#This Row],['#_Non Cluster partner latrines]])&lt;0,0,WWWW[[#This Row],[Total required Latrines]]-(WWWW[[#This Row],['#_Constructed latrines_by_WASHAgencies]]+WWWW[[#This Row],['#_Non Cluster partner latrines]]))</f>
        <v>0</v>
      </c>
      <c r="DE182" s="602">
        <f>1-WWWW[[#This Row],[% people access to functioning Latrine]]</f>
        <v>0</v>
      </c>
      <c r="DF182" s="601">
        <f>IF(OR(WWWW[[#This Row],['#_Non-functional latrines]]="",WWWW[[#This Row],['#_Non-functional latrines]]=0),0,WWWW[[#This Row],['#_Non-functional latrines]]/(WWWW[[#This Row],['#_Constructed latrines_by_WASHAgencies]]+WWWW[[#This Row],['#_Non Cluster partner latrines]]))</f>
        <v>0</v>
      </c>
      <c r="DG182" s="597">
        <f>IF(500*(WWWW[[#This Row],['#_male hygiene promoters]]+WWWW[[#This Row],['#_female hygiene promoters]])&gt;WWWW[[#This Row],[Total PoP ]],WWWW[[#This Row],[Total PoP ]],500*(WWWW[[#This Row],['#_male hygiene promoters]]+WWWW[[#This Row],['#_female hygiene promoters]]))</f>
        <v>0</v>
      </c>
      <c r="DH18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2" s="600">
        <f>IF(WWWW[[#This Row],['# People with access to soap]]&gt;WWWW[[#This Row],['# People with access to Sanity Pads]],WWWW[[#This Row],['# People with access to soap]],WWWW[[#This Row],['# People with access to Sanity Pads]])</f>
        <v>0</v>
      </c>
      <c r="DK182"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2" s="602">
        <f>IF(WWWW[[#This Row],[HRP3]]/WWWW[[#This Row],[Total PoP ]]&gt;1,1,WWWW[[#This Row],[HRP3]]/WWWW[[#This Row],[Total PoP ]])</f>
        <v>0</v>
      </c>
      <c r="DM182" s="601">
        <f>1-WWWW[[#This Row],[Hygiene Coverage%]]</f>
        <v>1</v>
      </c>
      <c r="DN182" s="599">
        <f>WWWW[[#This Row],['# people reached by regular dedicated hygiene promotion_5]]/WWWW[[#This Row],[Total PoP ]]</f>
        <v>0</v>
      </c>
      <c r="DO18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2" s="600">
        <f>WWWW[[#This Row],['#_Constructed/Existing hand washing stations]]-WWWW[[#This Row],['#_Non-Functional_hand_washing_stations]]</f>
        <v>2</v>
      </c>
      <c r="DR182" s="597">
        <f>IF(WWWW[[#This Row],['# Functional hand washing stations during reporting period]]*20&gt;WWWW[[#This Row],[Total HH]],WWWW[[#This Row],[Total HH]],WWWW[[#This Row],['# Functional hand washing stations during reporting period]]*20)</f>
        <v>24</v>
      </c>
      <c r="DS182" s="597">
        <f>IF(WWWW[[#This Row],[Is sufficient soap available for TLS? (Yes/No)]]="yes",WWWW[[#This Row],['#_Constructed/Existing hand washing stations at TLS]],0)</f>
        <v>0</v>
      </c>
      <c r="DT182" s="479">
        <f>IF(WWWW[[#This Row],['# Functional hand washing stations during reporting period]]*100&gt;WWWW[[#This Row],[Total PoP ]],WWWW[[#This Row],[Total PoP ]],WWWW[[#This Row],['# Functional hand washing stations during reporting period]]*100)</f>
        <v>111</v>
      </c>
      <c r="DU182" s="479" t="str">
        <f>IF(OR(WWWW[[#This Row],['#_students at TLS_CFS]]="",WWWW[[#This Row],['#_students at TLS_CFS]]=0),"No","Yes")</f>
        <v>No</v>
      </c>
      <c r="DV18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2" s="593" t="str">
        <f>VLOOKUP(WWWW[[#This Row],[Site Name]],SiteDB6[[Site Name]:[CCCM Management]],6,FALSE)</f>
        <v>Yes</v>
      </c>
      <c r="DZ182" s="593" t="str">
        <f>VLOOKUP(WWWW[[#This Row],[Site Name]],SiteDB6[[Site Name]:[CCCM Focal Agency]],7,FALSE)</f>
        <v>Shalom</v>
      </c>
      <c r="EA182" s="593" t="str">
        <f>VLOOKUP(WWWW[[#This Row],[Site Name]],SiteDB6[[Site Name]:[Location Type 1]],9,FALSE)</f>
        <v>Camp</v>
      </c>
      <c r="EB182" s="593" t="str">
        <f>VLOOKUP(WWWW[[#This Row],[Site Name]],SiteDB6[[Site Name]:[Type of Accommodation]],10,FALSE)</f>
        <v>Camp</v>
      </c>
      <c r="EC182" s="593" t="str">
        <f>VLOOKUP(WWWW[[#This Row],[Site Name]],SiteDB6[[Site Name]:[Ethnic or GCA/NGCA]],11,FALSE)</f>
        <v>GCA</v>
      </c>
      <c r="ED182" s="593">
        <f>VLOOKUP(WWWW[[#This Row],[Site Name]],SiteDB6[[Site Name]:[Lat]],12,FALSE)</f>
        <v>25.423817</v>
      </c>
      <c r="EE182" s="593">
        <f>VLOOKUP(WWWW[[#This Row],[Site Name]],SiteDB6[[Site Name]:[Long]],13,FALSE)</f>
        <v>97.418004999999994</v>
      </c>
      <c r="EF182" s="593" t="str">
        <f>VLOOKUP(WWWW[[#This Row],[Site Name]],SiteDB6[[Site Name]:[Pcode]],3,FALSE)</f>
        <v>MMR001CMP007</v>
      </c>
      <c r="EG182" s="598" t="str">
        <f t="shared" si="2"/>
        <v>Covered</v>
      </c>
      <c r="EH182" s="598" t="str">
        <f>VLOOKUP(WWWW[[#This Row],[Site Name]],SiteDB6[[Site Name]:[open in cccm?]],2,FALSE)</f>
        <v>cccm_2019OCT</v>
      </c>
    </row>
    <row r="183" spans="1:138" hidden="1">
      <c r="A183" s="591" t="s">
        <v>3261</v>
      </c>
      <c r="B183" s="591" t="s">
        <v>245</v>
      </c>
      <c r="C183" s="592" t="s">
        <v>245</v>
      </c>
      <c r="D183" s="592" t="s">
        <v>310</v>
      </c>
      <c r="E183" s="592" t="s">
        <v>39</v>
      </c>
      <c r="F183" s="592" t="s">
        <v>162</v>
      </c>
      <c r="G183" s="721" t="str">
        <f>VLOOKUP(WWWW[[#This Row],[Site Name]],SiteDB6[[Site Name]:[Location Type]],8,FALSE)</f>
        <v>Camp</v>
      </c>
      <c r="H183" s="592" t="s">
        <v>269</v>
      </c>
      <c r="I183" s="594">
        <v>54</v>
      </c>
      <c r="J183" s="594">
        <v>253</v>
      </c>
      <c r="K183" s="595">
        <v>43313</v>
      </c>
      <c r="L183" s="596">
        <v>44043</v>
      </c>
      <c r="M183" s="594"/>
      <c r="N183" s="594">
        <v>1</v>
      </c>
      <c r="O183" s="594"/>
      <c r="P183" s="594"/>
      <c r="Q183" s="597" t="s">
        <v>43</v>
      </c>
      <c r="R183" s="594">
        <v>2</v>
      </c>
      <c r="S183" s="594">
        <v>3</v>
      </c>
      <c r="T183" s="523">
        <v>1</v>
      </c>
      <c r="U183" s="594"/>
      <c r="V183" s="594"/>
      <c r="W183" s="594">
        <v>4</v>
      </c>
      <c r="X183" s="594">
        <v>0</v>
      </c>
      <c r="Y183" s="594"/>
      <c r="Z183" s="594"/>
      <c r="AA183" s="594"/>
      <c r="AB183" s="594"/>
      <c r="AC183" s="594"/>
      <c r="AD183" s="594"/>
      <c r="AE183" s="594"/>
      <c r="AF183" s="594"/>
      <c r="AG183" s="594"/>
      <c r="AH183" s="594"/>
      <c r="AI183" s="594"/>
      <c r="AJ183" s="594"/>
      <c r="AK183" s="594"/>
      <c r="AL183" s="594"/>
      <c r="AM183" s="594"/>
      <c r="AN183" s="594"/>
      <c r="AO183" s="598"/>
      <c r="AP183" s="594">
        <v>19</v>
      </c>
      <c r="AQ183" s="594">
        <v>0</v>
      </c>
      <c r="AR183" s="599"/>
      <c r="AS183" s="594"/>
      <c r="AT183" s="594"/>
      <c r="AU183" s="594">
        <v>9</v>
      </c>
      <c r="AV183" s="594"/>
      <c r="AW183" s="594"/>
      <c r="AX183" s="593" t="s">
        <v>43</v>
      </c>
      <c r="AY183" s="598" t="s">
        <v>140</v>
      </c>
      <c r="AZ183" s="594"/>
      <c r="BA183" s="594">
        <v>1</v>
      </c>
      <c r="BB183" s="594"/>
      <c r="BC183" s="594"/>
      <c r="BD183" s="523"/>
      <c r="BE183" s="593"/>
      <c r="BF183" s="594">
        <v>3</v>
      </c>
      <c r="BG183" s="594"/>
      <c r="BH183" s="594"/>
      <c r="BI183" s="594">
        <v>4</v>
      </c>
      <c r="BJ183" s="594"/>
      <c r="BK183" s="594">
        <v>2</v>
      </c>
      <c r="BL183" s="594">
        <v>3</v>
      </c>
      <c r="BM183" s="594"/>
      <c r="BN183" s="594"/>
      <c r="BO183" s="593" t="s">
        <v>139</v>
      </c>
      <c r="BP183" s="594"/>
      <c r="BQ183" s="599"/>
      <c r="BR183" s="593"/>
      <c r="BS183" s="472"/>
      <c r="BT183" s="472"/>
      <c r="BU183" s="523"/>
      <c r="BV183" s="472"/>
      <c r="BW183" s="523"/>
      <c r="BX183" s="523"/>
      <c r="BY183" s="523"/>
      <c r="BZ183" s="601" t="str">
        <f>IFERROR(WWWW[[#This Row],['#_Water sources passed]]/WWWW[[#This Row],['#_Water sources tested for fecal coliform ]],"no test")</f>
        <v>no test</v>
      </c>
      <c r="CA183" s="599" t="str">
        <f>IFERROR(WWWW[[#This Row],['#_Household passed]]/WWWW[[#This Row],['#_Household water samples tested for fecal coliform]],"no test")</f>
        <v>no test</v>
      </c>
      <c r="CB183" s="600" t="str">
        <f>IF(AND(WWWW[[#This Row],[% of water sources passed]]="no test",WWWW[[#This Row],[% Household passed]]="no test"),"No Test","Tested")</f>
        <v>No Test</v>
      </c>
      <c r="CC183" s="600">
        <f>WWWW[[#This Row],['#_Constructed/existing protected hand dug well]]-WWWW[[#This Row],['#_Non-functional protected hand dug well]]</f>
        <v>1</v>
      </c>
      <c r="CD183" s="600">
        <f>(WWWW[[#This Row],['#_Constructed/Existing tube wells/boreholes/handpumps_WASH_agency]]+WWWW[[#This Row],['#_Non-Cluster partner water tube-wells/boreholes/handpumps]])-WWWW[[#This Row],['#_Non-functional tube wells/boreholes/handpumps]]</f>
        <v>4</v>
      </c>
      <c r="CE183" s="600">
        <f>WWWW[[#This Row],['#_Constructed/Existingwater storage tank with gravity fed reticulation system]]-WWWW[[#This Row],['#_Non-functional storage tank gravity fed reticulation system]]</f>
        <v>0</v>
      </c>
      <c r="CF183" s="478">
        <f>(WWWW[[#This Row],['#_Water_Liters_supplied_by_Water boating or water trucking]]/90)/15</f>
        <v>0</v>
      </c>
      <c r="CG183" s="478">
        <f>WWWW[[#This Row],['#_Water_Liters_from_Constructed/Existing water distribution system from river or natural spring]]/90/15</f>
        <v>0</v>
      </c>
      <c r="CH183" s="478">
        <f>WWWW[[#This Row],['#_of water points in TLS/CFS /THF]]*500</f>
        <v>0</v>
      </c>
      <c r="CI18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3" s="599">
        <f>IF(WWWW[[#This Row],[Location Type 1]]="Village",WWWW[[#This Row],[Access to safe drinking water for Village]],WWWW[[#This Row],[Access to safe drinking water for Camp]])</f>
        <v>1</v>
      </c>
      <c r="CL183" s="597">
        <f>WWWW[[#This Row],[%Equitable and continuous access to sufficient quantity of safe drinking water]]*WWWW[[#This Row],[Total PoP ]]</f>
        <v>253</v>
      </c>
      <c r="CM183" s="599">
        <f>IF((WWWW[[#This Row],['#_Constructed/Existing protected/fenced ponds]]*250)/WWWW[[#This Row],[Total PoP ]]&gt;1,1,(WWWW[[#This Row],['#_Constructed/Existing protected/fenced ponds]]*250)/WWWW[[#This Row],[Total PoP ]])</f>
        <v>0</v>
      </c>
      <c r="CN183" s="597">
        <f>WWWW[[#This Row],[% Access to unimproved water points]]*WWWW[[#This Row],[Total PoP ]]</f>
        <v>0</v>
      </c>
      <c r="CO18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Q183" s="597">
        <f>WWWW[[#This Row],[HRP1]]/500</f>
        <v>0.50600000000000001</v>
      </c>
      <c r="CR183" s="602">
        <f>1-WWWW[[#This Row],[% Equitable and continuous access to sufficient quantity of domestic water]]</f>
        <v>0</v>
      </c>
      <c r="CS183" s="597">
        <f>WWWW[[#This Row],[%equitable and continuous access to sufficient quantity of safe drinking and domestic water''s GAP]]*WWWW[[#This Row],[Total PoP ]]</f>
        <v>0</v>
      </c>
      <c r="CT183" s="600">
        <f>IF(WWWW[[#This Row],[Total required water points]]-WWWW[[#This Row],['#Water points coverage]]&lt;0,0,WWWW[[#This Row],[Total required water points]]-WWWW[[#This Row],['#Water points coverage]])</f>
        <v>0.49399999999999999</v>
      </c>
      <c r="CU183" s="600">
        <f>ROUND(IF(WWWW[[#This Row],[Total PoP ]]&lt;500,1,WWWW[[#This Row],[Total PoP ]]/500),0)</f>
        <v>1</v>
      </c>
      <c r="CV183" s="600">
        <f>(WWWW[[#This Row],['#_Constructed latrines_by_WASHAgencies]]+WWWW[[#This Row],['#_Non Cluster partner latrines]])-WWWW[[#This Row],['#_Non-functional latrines]]</f>
        <v>19</v>
      </c>
      <c r="CW183" s="70">
        <f>WWWW[[#This Row],[HRP2]]/WWWW[[#This Row],[Total PoP ]]</f>
        <v>1</v>
      </c>
      <c r="CX18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253</v>
      </c>
      <c r="CY18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Z18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3" s="600">
        <f>IF(WWWW[[#This Row],['# of functional latrines in THF supported by WASH partners during the reporting period2]]="",0,WWWW[[#This Row],['# of functional latrines in THF supported by WASH partners during the reporting period2]]*50)</f>
        <v>0</v>
      </c>
      <c r="DB183" s="600">
        <f>WWWW[[#This Row],['# students access to functioning school latrines_HRP5]]+WWWW[[#This Row],['# People access to functioning latrines in THF_HRP5]]</f>
        <v>0</v>
      </c>
      <c r="DC183" s="600">
        <f>ROUND(IF(WWWW[[#This Row],[Location Type 1]]="camp",WWWW[[#This Row],[Total PoP ]]/20,IF(WWWW[[#This Row],[Location Type 1]]="Temporary Location",WWWW[[#This Row],[Total PoP ]]/50,WWWW[[#This Row],[Total HH]])),0)</f>
        <v>13</v>
      </c>
      <c r="DD183" s="600">
        <f>IF(WWWW[[#This Row],[Total required Latrines]]-(WWWW[[#This Row],['#_Constructed latrines_by_WASHAgencies]]+WWWW[[#This Row],['#_Non Cluster partner latrines]])&lt;0,0,WWWW[[#This Row],[Total required Latrines]]-(WWWW[[#This Row],['#_Constructed latrines_by_WASHAgencies]]+WWWW[[#This Row],['#_Non Cluster partner latrines]]))</f>
        <v>0</v>
      </c>
      <c r="DE183" s="602">
        <f>1-WWWW[[#This Row],[% people access to functioning Latrine]]</f>
        <v>0</v>
      </c>
      <c r="DF183" s="601">
        <f>IF(OR(WWWW[[#This Row],['#_Non-functional latrines]]="",WWWW[[#This Row],['#_Non-functional latrines]]=0),0,WWWW[[#This Row],['#_Non-functional latrines]]/(WWWW[[#This Row],['#_Constructed latrines_by_WASHAgencies]]+WWWW[[#This Row],['#_Non Cluster partner latrines]]))</f>
        <v>0</v>
      </c>
      <c r="DG183" s="597">
        <f>IF(500*(WWWW[[#This Row],['#_male hygiene promoters]]+WWWW[[#This Row],['#_female hygiene promoters]])&gt;WWWW[[#This Row],[Total PoP ]],WWWW[[#This Row],[Total PoP ]],500*(WWWW[[#This Row],['#_male hygiene promoters]]+WWWW[[#This Row],['#_female hygiene promoters]]))</f>
        <v>253</v>
      </c>
      <c r="DH18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3" s="600">
        <f>IF(WWWW[[#This Row],['# People with access to soap]]&gt;WWWW[[#This Row],['# People with access to Sanity Pads]],WWWW[[#This Row],['# People with access to soap]],WWWW[[#This Row],['# People with access to Sanity Pads]])</f>
        <v>0</v>
      </c>
      <c r="DK183" s="600">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L183" s="602">
        <f>IF(WWWW[[#This Row],[HRP3]]/WWWW[[#This Row],[Total PoP ]]&gt;1,1,WWWW[[#This Row],[HRP3]]/WWWW[[#This Row],[Total PoP ]])</f>
        <v>1</v>
      </c>
      <c r="DM183" s="601">
        <f>1-WWWW[[#This Row],[Hygiene Coverage%]]</f>
        <v>0</v>
      </c>
      <c r="DN183" s="599">
        <f>WWWW[[#This Row],['# people reached by regular dedicated hygiene promotion_5]]/WWWW[[#This Row],[Total PoP ]]</f>
        <v>1</v>
      </c>
      <c r="DO18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3" s="600">
        <f>WWWW[[#This Row],['#_Constructed/Existing hand washing stations]]-WWWW[[#This Row],['#_Non-Functional_hand_washing_stations]]</f>
        <v>3</v>
      </c>
      <c r="DR183" s="597">
        <f>IF(WWWW[[#This Row],['# Functional hand washing stations during reporting period]]*20&gt;WWWW[[#This Row],[Total HH]],WWWW[[#This Row],[Total HH]],WWWW[[#This Row],['# Functional hand washing stations during reporting period]]*20)</f>
        <v>54</v>
      </c>
      <c r="DS183" s="597">
        <f>IF(WWWW[[#This Row],[Is sufficient soap available for TLS? (Yes/No)]]="yes",WWWW[[#This Row],['#_Constructed/Existing hand washing stations at TLS]],0)</f>
        <v>0</v>
      </c>
      <c r="DT183" s="479">
        <f>IF(WWWW[[#This Row],['# Functional hand washing stations during reporting period]]*100&gt;WWWW[[#This Row],[Total PoP ]],WWWW[[#This Row],[Total PoP ]],WWWW[[#This Row],['# Functional hand washing stations during reporting period]]*100)</f>
        <v>253</v>
      </c>
      <c r="DU183" s="479" t="str">
        <f>IF(OR(WWWW[[#This Row],['#_students at TLS_CFS]]="",WWWW[[#This Row],['#_students at TLS_CFS]]=0),"No","Yes")</f>
        <v>No</v>
      </c>
      <c r="DV18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3" s="593" t="str">
        <f>VLOOKUP(WWWW[[#This Row],[Site Name]],SiteDB6[[Site Name]:[CCCM Management]],6,FALSE)</f>
        <v>Yes</v>
      </c>
      <c r="DZ183" s="593" t="str">
        <f>VLOOKUP(WWWW[[#This Row],[Site Name]],SiteDB6[[Site Name]:[CCCM Focal Agency]],7,FALSE)</f>
        <v>Shalom</v>
      </c>
      <c r="EA183" s="593" t="str">
        <f>VLOOKUP(WWWW[[#This Row],[Site Name]],SiteDB6[[Site Name]:[Location Type 1]],9,FALSE)</f>
        <v>Camp</v>
      </c>
      <c r="EB183" s="593" t="str">
        <f>VLOOKUP(WWWW[[#This Row],[Site Name]],SiteDB6[[Site Name]:[Type of Accommodation]],10,FALSE)</f>
        <v>Camp</v>
      </c>
      <c r="EC183" s="593" t="str">
        <f>VLOOKUP(WWWW[[#This Row],[Site Name]],SiteDB6[[Site Name]:[Ethnic or GCA/NGCA]],11,FALSE)</f>
        <v>GCA</v>
      </c>
      <c r="ED183" s="593">
        <f>VLOOKUP(WWWW[[#This Row],[Site Name]],SiteDB6[[Site Name]:[Lat]],12,FALSE)</f>
        <v>25.423209</v>
      </c>
      <c r="EE183" s="593">
        <f>VLOOKUP(WWWW[[#This Row],[Site Name]],SiteDB6[[Site Name]:[Long]],13,FALSE)</f>
        <v>97.379987</v>
      </c>
      <c r="EF183" s="593" t="str">
        <f>VLOOKUP(WWWW[[#This Row],[Site Name]],SiteDB6[[Site Name]:[Pcode]],3,FALSE)</f>
        <v>MMR001CMP023</v>
      </c>
      <c r="EG183" s="598" t="str">
        <f t="shared" si="2"/>
        <v>Covered</v>
      </c>
      <c r="EH183" s="598" t="str">
        <f>VLOOKUP(WWWW[[#This Row],[Site Name]],SiteDB6[[Site Name]:[open in cccm?]],2,FALSE)</f>
        <v>cccm_2019OCT</v>
      </c>
    </row>
    <row r="184" spans="1:138" hidden="1">
      <c r="A184" s="591" t="s">
        <v>3261</v>
      </c>
      <c r="B184" s="591" t="s">
        <v>245</v>
      </c>
      <c r="C184" s="592" t="s">
        <v>245</v>
      </c>
      <c r="D184" s="592" t="s">
        <v>310</v>
      </c>
      <c r="E184" s="592" t="s">
        <v>39</v>
      </c>
      <c r="F184" s="592" t="s">
        <v>162</v>
      </c>
      <c r="G184" s="721" t="str">
        <f>VLOOKUP(WWWW[[#This Row],[Site Name]],SiteDB6[[Site Name]:[Location Type]],8,FALSE)</f>
        <v>Camp</v>
      </c>
      <c r="H184" s="592" t="s">
        <v>270</v>
      </c>
      <c r="I184" s="594">
        <v>16</v>
      </c>
      <c r="J184" s="594">
        <v>77</v>
      </c>
      <c r="K184" s="595">
        <v>43313</v>
      </c>
      <c r="L184" s="596">
        <v>44043</v>
      </c>
      <c r="M184" s="594"/>
      <c r="N184" s="594">
        <v>1</v>
      </c>
      <c r="O184" s="594"/>
      <c r="P184" s="594"/>
      <c r="Q184" s="597" t="s">
        <v>43</v>
      </c>
      <c r="R184" s="594">
        <v>0</v>
      </c>
      <c r="S184" s="594"/>
      <c r="T184" s="523">
        <v>1</v>
      </c>
      <c r="U184" s="594"/>
      <c r="V184" s="594"/>
      <c r="W184" s="594">
        <v>2</v>
      </c>
      <c r="X184" s="594">
        <v>1</v>
      </c>
      <c r="Y184" s="594"/>
      <c r="Z184" s="594"/>
      <c r="AA184" s="594"/>
      <c r="AB184" s="594"/>
      <c r="AC184" s="594"/>
      <c r="AD184" s="594"/>
      <c r="AE184" s="594"/>
      <c r="AF184" s="594"/>
      <c r="AG184" s="594"/>
      <c r="AH184" s="594">
        <v>0</v>
      </c>
      <c r="AI184" s="594"/>
      <c r="AJ184" s="594"/>
      <c r="AK184" s="594"/>
      <c r="AL184" s="594"/>
      <c r="AM184" s="594"/>
      <c r="AN184" s="594"/>
      <c r="AO184" s="598"/>
      <c r="AP184" s="594">
        <v>7</v>
      </c>
      <c r="AQ184" s="594">
        <v>4</v>
      </c>
      <c r="AR184" s="599" t="s">
        <v>2915</v>
      </c>
      <c r="AS184" s="594"/>
      <c r="AT184" s="594"/>
      <c r="AU184" s="594"/>
      <c r="AV184" s="594"/>
      <c r="AW184" s="594"/>
      <c r="AX184" s="593" t="s">
        <v>43</v>
      </c>
      <c r="AY184" s="598" t="s">
        <v>1195</v>
      </c>
      <c r="AZ184" s="594"/>
      <c r="BA184" s="594"/>
      <c r="BB184" s="594"/>
      <c r="BC184" s="594"/>
      <c r="BD184" s="523"/>
      <c r="BE184" s="593"/>
      <c r="BF184" s="594">
        <v>2</v>
      </c>
      <c r="BG184" s="594"/>
      <c r="BH184" s="594">
        <v>0</v>
      </c>
      <c r="BI184" s="594">
        <v>2</v>
      </c>
      <c r="BJ184" s="594"/>
      <c r="BK184" s="594">
        <v>0</v>
      </c>
      <c r="BL184" s="594">
        <v>0</v>
      </c>
      <c r="BM184" s="594"/>
      <c r="BN184" s="594"/>
      <c r="BO184" s="593" t="s">
        <v>139</v>
      </c>
      <c r="BP184" s="594"/>
      <c r="BQ184" s="599"/>
      <c r="BR184" s="593"/>
      <c r="BS184" s="472"/>
      <c r="BT184" s="472"/>
      <c r="BU184" s="523"/>
      <c r="BV184" s="472"/>
      <c r="BW184" s="523"/>
      <c r="BX184" s="523"/>
      <c r="BY184" s="523"/>
      <c r="BZ184" s="601" t="str">
        <f>IFERROR(WWWW[[#This Row],['#_Water sources passed]]/WWWW[[#This Row],['#_Water sources tested for fecal coliform ]],"no test")</f>
        <v>no test</v>
      </c>
      <c r="CA184" s="599" t="str">
        <f>IFERROR(WWWW[[#This Row],['#_Household passed]]/WWWW[[#This Row],['#_Household water samples tested for fecal coliform]],"no test")</f>
        <v>no test</v>
      </c>
      <c r="CB184" s="600" t="str">
        <f>IF(AND(WWWW[[#This Row],[% of water sources passed]]="no test",WWWW[[#This Row],[% Household passed]]="no test"),"No Test","Tested")</f>
        <v>No Test</v>
      </c>
      <c r="CC184" s="600">
        <f>WWWW[[#This Row],['#_Constructed/existing protected hand dug well]]-WWWW[[#This Row],['#_Non-functional protected hand dug well]]</f>
        <v>1</v>
      </c>
      <c r="CD184" s="600">
        <f>(WWWW[[#This Row],['#_Constructed/Existing tube wells/boreholes/handpumps_WASH_agency]]+WWWW[[#This Row],['#_Non-Cluster partner water tube-wells/boreholes/handpumps]])-WWWW[[#This Row],['#_Non-functional tube wells/boreholes/handpumps]]</f>
        <v>3</v>
      </c>
      <c r="CE184" s="600">
        <f>WWWW[[#This Row],['#_Constructed/Existingwater storage tank with gravity fed reticulation system]]-WWWW[[#This Row],['#_Non-functional storage tank gravity fed reticulation system]]</f>
        <v>0</v>
      </c>
      <c r="CF184" s="478">
        <f>(WWWW[[#This Row],['#_Water_Liters_supplied_by_Water boating or water trucking]]/90)/15</f>
        <v>0</v>
      </c>
      <c r="CG184" s="478">
        <f>WWWW[[#This Row],['#_Water_Liters_from_Constructed/Existing water distribution system from river or natural spring]]/90/15</f>
        <v>0</v>
      </c>
      <c r="CH184" s="478">
        <f>WWWW[[#This Row],['#_of water points in TLS/CFS /THF]]*500</f>
        <v>0</v>
      </c>
      <c r="CI18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4" s="599">
        <f>IF(WWWW[[#This Row],[Location Type 1]]="Village",WWWW[[#This Row],[Access to safe drinking water for Village]],WWWW[[#This Row],[Access to safe drinking water for Camp]])</f>
        <v>1</v>
      </c>
      <c r="CL184" s="597">
        <f>WWWW[[#This Row],[%Equitable and continuous access to sufficient quantity of safe drinking water]]*WWWW[[#This Row],[Total PoP ]]</f>
        <v>77</v>
      </c>
      <c r="CM184" s="599">
        <f>IF((WWWW[[#This Row],['#_Constructed/Existing protected/fenced ponds]]*250)/WWWW[[#This Row],[Total PoP ]]&gt;1,1,(WWWW[[#This Row],['#_Constructed/Existing protected/fenced ponds]]*250)/WWWW[[#This Row],[Total PoP ]])</f>
        <v>0</v>
      </c>
      <c r="CN184" s="597">
        <f>WWWW[[#This Row],[% Access to unimproved water points]]*WWWW[[#This Row],[Total PoP ]]</f>
        <v>0</v>
      </c>
      <c r="CO18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Q184" s="597">
        <f>WWWW[[#This Row],[HRP1]]/500</f>
        <v>0.154</v>
      </c>
      <c r="CR184" s="602">
        <f>1-WWWW[[#This Row],[% Equitable and continuous access to sufficient quantity of domestic water]]</f>
        <v>0</v>
      </c>
      <c r="CS184" s="597">
        <f>WWWW[[#This Row],[%equitable and continuous access to sufficient quantity of safe drinking and domestic water''s GAP]]*WWWW[[#This Row],[Total PoP ]]</f>
        <v>0</v>
      </c>
      <c r="CT184" s="600">
        <f>IF(WWWW[[#This Row],[Total required water points]]-WWWW[[#This Row],['#Water points coverage]]&lt;0,0,WWWW[[#This Row],[Total required water points]]-WWWW[[#This Row],['#Water points coverage]])</f>
        <v>0.84599999999999997</v>
      </c>
      <c r="CU184" s="600">
        <f>ROUND(IF(WWWW[[#This Row],[Total PoP ]]&lt;500,1,WWWW[[#This Row],[Total PoP ]]/500),0)</f>
        <v>1</v>
      </c>
      <c r="CV184" s="600">
        <f>(WWWW[[#This Row],['#_Constructed latrines_by_WASHAgencies]]+WWWW[[#This Row],['#_Non Cluster partner latrines]])-WWWW[[#This Row],['#_Non-functional latrines]]</f>
        <v>11</v>
      </c>
      <c r="CW184" s="70">
        <f>WWWW[[#This Row],[HRP2]]/WWWW[[#This Row],[Total PoP ]]</f>
        <v>1</v>
      </c>
      <c r="CX18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CY18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4" s="600">
        <f>IF(WWWW[[#This Row],['# of functional latrines in THF supported by WASH partners during the reporting period2]]="",0,WWWW[[#This Row],['# of functional latrines in THF supported by WASH partners during the reporting period2]]*50)</f>
        <v>0</v>
      </c>
      <c r="DB184" s="600">
        <f>WWWW[[#This Row],['# students access to functioning school latrines_HRP5]]+WWWW[[#This Row],['# People access to functioning latrines in THF_HRP5]]</f>
        <v>0</v>
      </c>
      <c r="DC184" s="600">
        <f>ROUND(IF(WWWW[[#This Row],[Location Type 1]]="camp",WWWW[[#This Row],[Total PoP ]]/20,IF(WWWW[[#This Row],[Location Type 1]]="Temporary Location",WWWW[[#This Row],[Total PoP ]]/50,WWWW[[#This Row],[Total HH]])),0)</f>
        <v>4</v>
      </c>
      <c r="DD184" s="600">
        <f>IF(WWWW[[#This Row],[Total required Latrines]]-(WWWW[[#This Row],['#_Constructed latrines_by_WASHAgencies]]+WWWW[[#This Row],['#_Non Cluster partner latrines]])&lt;0,0,WWWW[[#This Row],[Total required Latrines]]-(WWWW[[#This Row],['#_Constructed latrines_by_WASHAgencies]]+WWWW[[#This Row],['#_Non Cluster partner latrines]]))</f>
        <v>0</v>
      </c>
      <c r="DE184" s="602">
        <f>1-WWWW[[#This Row],[% people access to functioning Latrine]]</f>
        <v>0</v>
      </c>
      <c r="DF184" s="601">
        <f>IF(OR(WWWW[[#This Row],['#_Non-functional latrines]]="",WWWW[[#This Row],['#_Non-functional latrines]]=0),0,WWWW[[#This Row],['#_Non-functional latrines]]/(WWWW[[#This Row],['#_Constructed latrines_by_WASHAgencies]]+WWWW[[#This Row],['#_Non Cluster partner latrines]]))</f>
        <v>0</v>
      </c>
      <c r="DG184" s="597">
        <f>IF(500*(WWWW[[#This Row],['#_male hygiene promoters]]+WWWW[[#This Row],['#_female hygiene promoters]])&gt;WWWW[[#This Row],[Total PoP ]],WWWW[[#This Row],[Total PoP ]],500*(WWWW[[#This Row],['#_male hygiene promoters]]+WWWW[[#This Row],['#_female hygiene promoters]]))</f>
        <v>0</v>
      </c>
      <c r="DH18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4" s="600">
        <f>IF(WWWW[[#This Row],['# People with access to soap]]&gt;WWWW[[#This Row],['# People with access to Sanity Pads]],WWWW[[#This Row],['# People with access to soap]],WWWW[[#This Row],['# People with access to Sanity Pads]])</f>
        <v>0</v>
      </c>
      <c r="DK184"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4" s="602">
        <f>IF(WWWW[[#This Row],[HRP3]]/WWWW[[#This Row],[Total PoP ]]&gt;1,1,WWWW[[#This Row],[HRP3]]/WWWW[[#This Row],[Total PoP ]])</f>
        <v>0</v>
      </c>
      <c r="DM184" s="601">
        <f>1-WWWW[[#This Row],[Hygiene Coverage%]]</f>
        <v>1</v>
      </c>
      <c r="DN184" s="599">
        <f>WWWW[[#This Row],['# people reached by regular dedicated hygiene promotion_5]]/WWWW[[#This Row],[Total PoP ]]</f>
        <v>0</v>
      </c>
      <c r="DO18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4" s="600">
        <f>WWWW[[#This Row],['#_Constructed/Existing hand washing stations]]-WWWW[[#This Row],['#_Non-Functional_hand_washing_stations]]</f>
        <v>2</v>
      </c>
      <c r="DR184" s="597">
        <f>IF(WWWW[[#This Row],['# Functional hand washing stations during reporting period]]*20&gt;WWWW[[#This Row],[Total HH]],WWWW[[#This Row],[Total HH]],WWWW[[#This Row],['# Functional hand washing stations during reporting period]]*20)</f>
        <v>16</v>
      </c>
      <c r="DS184" s="597">
        <f>IF(WWWW[[#This Row],[Is sufficient soap available for TLS? (Yes/No)]]="yes",WWWW[[#This Row],['#_Constructed/Existing hand washing stations at TLS]],0)</f>
        <v>0</v>
      </c>
      <c r="DT184" s="479">
        <f>IF(WWWW[[#This Row],['# Functional hand washing stations during reporting period]]*100&gt;WWWW[[#This Row],[Total PoP ]],WWWW[[#This Row],[Total PoP ]],WWWW[[#This Row],['# Functional hand washing stations during reporting period]]*100)</f>
        <v>77</v>
      </c>
      <c r="DU184" s="479" t="str">
        <f>IF(OR(WWWW[[#This Row],['#_students at TLS_CFS]]="",WWWW[[#This Row],['#_students at TLS_CFS]]=0),"No","Yes")</f>
        <v>No</v>
      </c>
      <c r="DV18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4" s="593" t="str">
        <f>VLOOKUP(WWWW[[#This Row],[Site Name]],SiteDB6[[Site Name]:[CCCM Management]],6,FALSE)</f>
        <v>Yes</v>
      </c>
      <c r="DZ184" s="593" t="str">
        <f>VLOOKUP(WWWW[[#This Row],[Site Name]],SiteDB6[[Site Name]:[CCCM Focal Agency]],7,FALSE)</f>
        <v>Shalom</v>
      </c>
      <c r="EA184" s="593" t="str">
        <f>VLOOKUP(WWWW[[#This Row],[Site Name]],SiteDB6[[Site Name]:[Location Type 1]],9,FALSE)</f>
        <v>Camp</v>
      </c>
      <c r="EB184" s="593" t="str">
        <f>VLOOKUP(WWWW[[#This Row],[Site Name]],SiteDB6[[Site Name]:[Type of Accommodation]],10,FALSE)</f>
        <v>Camp</v>
      </c>
      <c r="EC184" s="593" t="str">
        <f>VLOOKUP(WWWW[[#This Row],[Site Name]],SiteDB6[[Site Name]:[Ethnic or GCA/NGCA]],11,FALSE)</f>
        <v>GCA</v>
      </c>
      <c r="ED184" s="593">
        <f>VLOOKUP(WWWW[[#This Row],[Site Name]],SiteDB6[[Site Name]:[Lat]],12,FALSE)</f>
        <v>25.417733999999999</v>
      </c>
      <c r="EE184" s="593">
        <f>VLOOKUP(WWWW[[#This Row],[Site Name]],SiteDB6[[Site Name]:[Long]],13,FALSE)</f>
        <v>97.389778000000007</v>
      </c>
      <c r="EF184" s="593" t="str">
        <f>VLOOKUP(WWWW[[#This Row],[Site Name]],SiteDB6[[Site Name]:[Pcode]],3,FALSE)</f>
        <v>MMR001CMP004</v>
      </c>
      <c r="EG184" s="598" t="str">
        <f t="shared" si="2"/>
        <v>Covered</v>
      </c>
      <c r="EH184" s="598" t="str">
        <f>VLOOKUP(WWWW[[#This Row],[Site Name]],SiteDB6[[Site Name]:[open in cccm?]],2,FALSE)</f>
        <v>cccm_2019OCT</v>
      </c>
    </row>
    <row r="185" spans="1:138" hidden="1">
      <c r="A185" s="591" t="s">
        <v>3261</v>
      </c>
      <c r="B185" s="591" t="s">
        <v>245</v>
      </c>
      <c r="C185" s="592" t="s">
        <v>245</v>
      </c>
      <c r="D185" s="592" t="s">
        <v>310</v>
      </c>
      <c r="E185" s="592" t="s">
        <v>39</v>
      </c>
      <c r="F185" s="592" t="s">
        <v>145</v>
      </c>
      <c r="G185" s="721" t="str">
        <f>VLOOKUP(WWWW[[#This Row],[Site Name]],SiteDB6[[Site Name]:[Location Type]],8,FALSE)</f>
        <v>Camp</v>
      </c>
      <c r="H185" s="592" t="s">
        <v>277</v>
      </c>
      <c r="I185" s="594">
        <v>45</v>
      </c>
      <c r="J185" s="594">
        <v>186</v>
      </c>
      <c r="K185" s="595">
        <v>43313</v>
      </c>
      <c r="L185" s="596">
        <v>44043</v>
      </c>
      <c r="M185" s="594"/>
      <c r="N185" s="594">
        <v>1</v>
      </c>
      <c r="O185" s="594"/>
      <c r="P185" s="594"/>
      <c r="Q185" s="597" t="s">
        <v>43</v>
      </c>
      <c r="R185" s="594">
        <v>0</v>
      </c>
      <c r="S185" s="594">
        <v>5</v>
      </c>
      <c r="T185" s="523">
        <v>1</v>
      </c>
      <c r="U185" s="594"/>
      <c r="V185" s="594"/>
      <c r="W185" s="594">
        <v>0</v>
      </c>
      <c r="X185" s="594"/>
      <c r="Y185" s="594"/>
      <c r="Z185" s="594"/>
      <c r="AA185" s="594">
        <v>0</v>
      </c>
      <c r="AB185" s="594"/>
      <c r="AC185" s="594"/>
      <c r="AD185" s="594">
        <v>0</v>
      </c>
      <c r="AE185" s="594">
        <v>0</v>
      </c>
      <c r="AF185" s="594">
        <v>0</v>
      </c>
      <c r="AG185" s="594">
        <v>0</v>
      </c>
      <c r="AH185" s="594">
        <v>0</v>
      </c>
      <c r="AI185" s="594"/>
      <c r="AJ185" s="594"/>
      <c r="AK185" s="594"/>
      <c r="AL185" s="594"/>
      <c r="AM185" s="594">
        <v>0</v>
      </c>
      <c r="AN185" s="594">
        <v>0</v>
      </c>
      <c r="AO185" s="598"/>
      <c r="AP185" s="594">
        <v>7</v>
      </c>
      <c r="AQ185" s="594"/>
      <c r="AR185" s="599"/>
      <c r="AS185" s="594"/>
      <c r="AT185" s="594"/>
      <c r="AU185" s="594"/>
      <c r="AV185" s="594"/>
      <c r="AW185" s="594">
        <v>0</v>
      </c>
      <c r="AX185" s="593" t="s">
        <v>43</v>
      </c>
      <c r="AY185" s="598" t="s">
        <v>140</v>
      </c>
      <c r="AZ185" s="594">
        <v>0</v>
      </c>
      <c r="BA185" s="594">
        <v>0</v>
      </c>
      <c r="BB185" s="594">
        <v>0</v>
      </c>
      <c r="BC185" s="594"/>
      <c r="BD185" s="523"/>
      <c r="BE185" s="593"/>
      <c r="BF185" s="594">
        <v>2</v>
      </c>
      <c r="BG185" s="594"/>
      <c r="BH185" s="594">
        <v>0</v>
      </c>
      <c r="BI185" s="594">
        <v>2</v>
      </c>
      <c r="BJ185" s="594"/>
      <c r="BK185" s="594">
        <v>0</v>
      </c>
      <c r="BL185" s="594">
        <v>0</v>
      </c>
      <c r="BM185" s="594"/>
      <c r="BN185" s="594"/>
      <c r="BO185" s="593" t="s">
        <v>139</v>
      </c>
      <c r="BP185" s="594"/>
      <c r="BQ185" s="599"/>
      <c r="BR185" s="593"/>
      <c r="BS185" s="472"/>
      <c r="BT185" s="472"/>
      <c r="BU185" s="523"/>
      <c r="BV185" s="472"/>
      <c r="BW185" s="523"/>
      <c r="BX185" s="523"/>
      <c r="BY185" s="523"/>
      <c r="BZ185" s="601" t="str">
        <f>IFERROR(WWWW[[#This Row],['#_Water sources passed]]/WWWW[[#This Row],['#_Water sources tested for fecal coliform ]],"no test")</f>
        <v>no test</v>
      </c>
      <c r="CA185" s="599" t="str">
        <f>IFERROR(WWWW[[#This Row],['#_Household passed]]/WWWW[[#This Row],['#_Household water samples tested for fecal coliform]],"no test")</f>
        <v>no test</v>
      </c>
      <c r="CB185" s="600" t="str">
        <f>IF(AND(WWWW[[#This Row],[% of water sources passed]]="no test",WWWW[[#This Row],[% Household passed]]="no test"),"No Test","Tested")</f>
        <v>No Test</v>
      </c>
      <c r="CC185" s="600">
        <f>WWWW[[#This Row],['#_Constructed/existing protected hand dug well]]-WWWW[[#This Row],['#_Non-functional protected hand dug well]]</f>
        <v>1</v>
      </c>
      <c r="CD185" s="600">
        <f>(WWWW[[#This Row],['#_Constructed/Existing tube wells/boreholes/handpumps_WASH_agency]]+WWWW[[#This Row],['#_Non-Cluster partner water tube-wells/boreholes/handpumps]])-WWWW[[#This Row],['#_Non-functional tube wells/boreholes/handpumps]]</f>
        <v>0</v>
      </c>
      <c r="CE185" s="600">
        <f>WWWW[[#This Row],['#_Constructed/Existingwater storage tank with gravity fed reticulation system]]-WWWW[[#This Row],['#_Non-functional storage tank gravity fed reticulation system]]</f>
        <v>0</v>
      </c>
      <c r="CF185" s="478">
        <f>(WWWW[[#This Row],['#_Water_Liters_supplied_by_Water boating or water trucking]]/90)/15</f>
        <v>0</v>
      </c>
      <c r="CG185" s="478">
        <f>WWWW[[#This Row],['#_Water_Liters_from_Constructed/Existing water distribution system from river or natural spring]]/90/15</f>
        <v>0</v>
      </c>
      <c r="CH185" s="478">
        <f>WWWW[[#This Row],['#_of water points in TLS/CFS /THF]]*500</f>
        <v>0</v>
      </c>
      <c r="CI18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5" s="599">
        <f>IF(WWWW[[#This Row],[Location Type 1]]="Village",WWWW[[#This Row],[Access to safe drinking water for Village]],WWWW[[#This Row],[Access to safe drinking water for Camp]])</f>
        <v>1</v>
      </c>
      <c r="CL185" s="597">
        <f>WWWW[[#This Row],[%Equitable and continuous access to sufficient quantity of safe drinking water]]*WWWW[[#This Row],[Total PoP ]]</f>
        <v>186</v>
      </c>
      <c r="CM185" s="599">
        <f>IF((WWWW[[#This Row],['#_Constructed/Existing protected/fenced ponds]]*250)/WWWW[[#This Row],[Total PoP ]]&gt;1,1,(WWWW[[#This Row],['#_Constructed/Existing protected/fenced ponds]]*250)/WWWW[[#This Row],[Total PoP ]])</f>
        <v>0</v>
      </c>
      <c r="CN185" s="597">
        <f>WWWW[[#This Row],[% Access to unimproved water points]]*WWWW[[#This Row],[Total PoP ]]</f>
        <v>0</v>
      </c>
      <c r="CO18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Q185" s="597">
        <f>WWWW[[#This Row],[HRP1]]/500</f>
        <v>0.372</v>
      </c>
      <c r="CR185" s="602">
        <f>1-WWWW[[#This Row],[% Equitable and continuous access to sufficient quantity of domestic water]]</f>
        <v>0</v>
      </c>
      <c r="CS185" s="597">
        <f>WWWW[[#This Row],[%equitable and continuous access to sufficient quantity of safe drinking and domestic water''s GAP]]*WWWW[[#This Row],[Total PoP ]]</f>
        <v>0</v>
      </c>
      <c r="CT185" s="600">
        <f>IF(WWWW[[#This Row],[Total required water points]]-WWWW[[#This Row],['#Water points coverage]]&lt;0,0,WWWW[[#This Row],[Total required water points]]-WWWW[[#This Row],['#Water points coverage]])</f>
        <v>0.628</v>
      </c>
      <c r="CU185" s="600">
        <f>ROUND(IF(WWWW[[#This Row],[Total PoP ]]&lt;500,1,WWWW[[#This Row],[Total PoP ]]/500),0)</f>
        <v>1</v>
      </c>
      <c r="CV185" s="600">
        <f>(WWWW[[#This Row],['#_Constructed latrines_by_WASHAgencies]]+WWWW[[#This Row],['#_Non Cluster partner latrines]])-WWWW[[#This Row],['#_Non-functional latrines]]</f>
        <v>7</v>
      </c>
      <c r="CW185" s="70">
        <f>WWWW[[#This Row],[HRP2]]/WWWW[[#This Row],[Total PoP ]]</f>
        <v>0.75268817204301075</v>
      </c>
      <c r="CX18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8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5" s="600">
        <f>IF(WWWW[[#This Row],['# of functional latrines in THF supported by WASH partners during the reporting period2]]="",0,WWWW[[#This Row],['# of functional latrines in THF supported by WASH partners during the reporting period2]]*50)</f>
        <v>0</v>
      </c>
      <c r="DB185" s="600">
        <f>WWWW[[#This Row],['# students access to functioning school latrines_HRP5]]+WWWW[[#This Row],['# People access to functioning latrines in THF_HRP5]]</f>
        <v>0</v>
      </c>
      <c r="DC185" s="600">
        <f>ROUND(IF(WWWW[[#This Row],[Location Type 1]]="camp",WWWW[[#This Row],[Total PoP ]]/20,IF(WWWW[[#This Row],[Location Type 1]]="Temporary Location",WWWW[[#This Row],[Total PoP ]]/50,WWWW[[#This Row],[Total HH]])),0)</f>
        <v>9</v>
      </c>
      <c r="DD185" s="600">
        <f>IF(WWWW[[#This Row],[Total required Latrines]]-(WWWW[[#This Row],['#_Constructed latrines_by_WASHAgencies]]+WWWW[[#This Row],['#_Non Cluster partner latrines]])&lt;0,0,WWWW[[#This Row],[Total required Latrines]]-(WWWW[[#This Row],['#_Constructed latrines_by_WASHAgencies]]+WWWW[[#This Row],['#_Non Cluster partner latrines]]))</f>
        <v>2</v>
      </c>
      <c r="DE185" s="602">
        <f>1-WWWW[[#This Row],[% people access to functioning Latrine]]</f>
        <v>0.24731182795698925</v>
      </c>
      <c r="DF185" s="601">
        <f>IF(OR(WWWW[[#This Row],['#_Non-functional latrines]]="",WWWW[[#This Row],['#_Non-functional latrines]]=0),0,WWWW[[#This Row],['#_Non-functional latrines]]/(WWWW[[#This Row],['#_Constructed latrines_by_WASHAgencies]]+WWWW[[#This Row],['#_Non Cluster partner latrines]]))</f>
        <v>0</v>
      </c>
      <c r="DG185" s="597">
        <f>IF(500*(WWWW[[#This Row],['#_male hygiene promoters]]+WWWW[[#This Row],['#_female hygiene promoters]])&gt;WWWW[[#This Row],[Total PoP ]],WWWW[[#This Row],[Total PoP ]],500*(WWWW[[#This Row],['#_male hygiene promoters]]+WWWW[[#This Row],['#_female hygiene promoters]]))</f>
        <v>0</v>
      </c>
      <c r="DH18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5" s="600">
        <f>IF(WWWW[[#This Row],['# People with access to soap]]&gt;WWWW[[#This Row],['# People with access to Sanity Pads]],WWWW[[#This Row],['# People with access to soap]],WWWW[[#This Row],['# People with access to Sanity Pads]])</f>
        <v>0</v>
      </c>
      <c r="DK185"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5" s="602">
        <f>IF(WWWW[[#This Row],[HRP3]]/WWWW[[#This Row],[Total PoP ]]&gt;1,1,WWWW[[#This Row],[HRP3]]/WWWW[[#This Row],[Total PoP ]])</f>
        <v>0</v>
      </c>
      <c r="DM185" s="601">
        <f>1-WWWW[[#This Row],[Hygiene Coverage%]]</f>
        <v>1</v>
      </c>
      <c r="DN185" s="599">
        <f>WWWW[[#This Row],['# people reached by regular dedicated hygiene promotion_5]]/WWWW[[#This Row],[Total PoP ]]</f>
        <v>0</v>
      </c>
      <c r="DO18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5" s="600">
        <f>WWWW[[#This Row],['#_Constructed/Existing hand washing stations]]-WWWW[[#This Row],['#_Non-Functional_hand_washing_stations]]</f>
        <v>2</v>
      </c>
      <c r="DR185" s="597">
        <f>IF(WWWW[[#This Row],['# Functional hand washing stations during reporting period]]*20&gt;WWWW[[#This Row],[Total HH]],WWWW[[#This Row],[Total HH]],WWWW[[#This Row],['# Functional hand washing stations during reporting period]]*20)</f>
        <v>40</v>
      </c>
      <c r="DS185" s="597">
        <f>IF(WWWW[[#This Row],[Is sufficient soap available for TLS? (Yes/No)]]="yes",WWWW[[#This Row],['#_Constructed/Existing hand washing stations at TLS]],0)</f>
        <v>0</v>
      </c>
      <c r="DT185" s="479">
        <f>IF(WWWW[[#This Row],['# Functional hand washing stations during reporting period]]*100&gt;WWWW[[#This Row],[Total PoP ]],WWWW[[#This Row],[Total PoP ]],WWWW[[#This Row],['# Functional hand washing stations during reporting period]]*100)</f>
        <v>186</v>
      </c>
      <c r="DU185" s="479" t="str">
        <f>IF(OR(WWWW[[#This Row],['#_students at TLS_CFS]]="",WWWW[[#This Row],['#_students at TLS_CFS]]=0),"No","Yes")</f>
        <v>No</v>
      </c>
      <c r="DV18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5" s="593" t="str">
        <f>VLOOKUP(WWWW[[#This Row],[Site Name]],SiteDB6[[Site Name]:[CCCM Management]],6,FALSE)</f>
        <v>Yes</v>
      </c>
      <c r="DZ185" s="593" t="str">
        <f>VLOOKUP(WWWW[[#This Row],[Site Name]],SiteDB6[[Site Name]:[CCCM Focal Agency]],7,FALSE)</f>
        <v>Shalom</v>
      </c>
      <c r="EA185" s="593" t="str">
        <f>VLOOKUP(WWWW[[#This Row],[Site Name]],SiteDB6[[Site Name]:[Location Type 1]],9,FALSE)</f>
        <v>Camp</v>
      </c>
      <c r="EB185" s="593" t="str">
        <f>VLOOKUP(WWWW[[#This Row],[Site Name]],SiteDB6[[Site Name]:[Type of Accommodation]],10,FALSE)</f>
        <v>Camp</v>
      </c>
      <c r="EC185" s="593" t="str">
        <f>VLOOKUP(WWWW[[#This Row],[Site Name]],SiteDB6[[Site Name]:[Ethnic or GCA/NGCA]],11,FALSE)</f>
        <v>GCA</v>
      </c>
      <c r="ED185" s="593">
        <f>VLOOKUP(WWWW[[#This Row],[Site Name]],SiteDB6[[Site Name]:[Lat]],12,FALSE)</f>
        <v>25.333683333333301</v>
      </c>
      <c r="EE185" s="593">
        <f>VLOOKUP(WWWW[[#This Row],[Site Name]],SiteDB6[[Site Name]:[Long]],13,FALSE)</f>
        <v>97.428251153846105</v>
      </c>
      <c r="EF185" s="593" t="str">
        <f>VLOOKUP(WWWW[[#This Row],[Site Name]],SiteDB6[[Site Name]:[Pcode]],3,FALSE)</f>
        <v>MMR001CMP037</v>
      </c>
      <c r="EG185" s="598" t="str">
        <f t="shared" si="2"/>
        <v>Covered</v>
      </c>
      <c r="EH185" s="598" t="str">
        <f>VLOOKUP(WWWW[[#This Row],[Site Name]],SiteDB6[[Site Name]:[open in cccm?]],2,FALSE)</f>
        <v>cccm_2019OCT</v>
      </c>
    </row>
    <row r="186" spans="1:138" hidden="1">
      <c r="A186" s="591" t="s">
        <v>3261</v>
      </c>
      <c r="B186" s="591" t="s">
        <v>245</v>
      </c>
      <c r="C186" s="592" t="s">
        <v>245</v>
      </c>
      <c r="D186" s="592" t="s">
        <v>310</v>
      </c>
      <c r="E186" s="592" t="s">
        <v>39</v>
      </c>
      <c r="F186" s="592" t="s">
        <v>145</v>
      </c>
      <c r="G186" s="721" t="str">
        <f>VLOOKUP(WWWW[[#This Row],[Site Name]],SiteDB6[[Site Name]:[Location Type]],8,FALSE)</f>
        <v>Camp</v>
      </c>
      <c r="H186" s="592" t="s">
        <v>278</v>
      </c>
      <c r="I186" s="594">
        <v>66</v>
      </c>
      <c r="J186" s="594">
        <v>263</v>
      </c>
      <c r="K186" s="595">
        <v>43313</v>
      </c>
      <c r="L186" s="596">
        <v>44043</v>
      </c>
      <c r="M186" s="594"/>
      <c r="N186" s="594">
        <v>1</v>
      </c>
      <c r="O186" s="594"/>
      <c r="P186" s="594"/>
      <c r="Q186" s="597" t="s">
        <v>43</v>
      </c>
      <c r="R186" s="594">
        <v>3</v>
      </c>
      <c r="S186" s="594"/>
      <c r="T186" s="523">
        <v>3</v>
      </c>
      <c r="U186" s="594"/>
      <c r="V186" s="594"/>
      <c r="W186" s="594">
        <v>1</v>
      </c>
      <c r="X186" s="594"/>
      <c r="Y186" s="594"/>
      <c r="Z186" s="594"/>
      <c r="AA186" s="594">
        <v>0</v>
      </c>
      <c r="AB186" s="594"/>
      <c r="AC186" s="594"/>
      <c r="AD186" s="594">
        <v>0</v>
      </c>
      <c r="AE186" s="594">
        <v>0</v>
      </c>
      <c r="AF186" s="594">
        <v>0</v>
      </c>
      <c r="AG186" s="594">
        <v>0</v>
      </c>
      <c r="AH186" s="594">
        <v>0</v>
      </c>
      <c r="AI186" s="594"/>
      <c r="AJ186" s="594"/>
      <c r="AK186" s="594"/>
      <c r="AL186" s="594"/>
      <c r="AM186" s="594">
        <v>0</v>
      </c>
      <c r="AN186" s="594">
        <v>0</v>
      </c>
      <c r="AO186" s="598"/>
      <c r="AP186" s="594">
        <v>10</v>
      </c>
      <c r="AQ186" s="594"/>
      <c r="AR186" s="599"/>
      <c r="AS186" s="594"/>
      <c r="AT186" s="594"/>
      <c r="AU186" s="594"/>
      <c r="AV186" s="594"/>
      <c r="AW186" s="594">
        <v>0</v>
      </c>
      <c r="AX186" s="593" t="s">
        <v>43</v>
      </c>
      <c r="AY186" s="598" t="s">
        <v>140</v>
      </c>
      <c r="AZ186" s="594">
        <v>0</v>
      </c>
      <c r="BA186" s="594">
        <v>0</v>
      </c>
      <c r="BB186" s="594">
        <v>0</v>
      </c>
      <c r="BC186" s="594"/>
      <c r="BD186" s="523"/>
      <c r="BE186" s="593"/>
      <c r="BF186" s="594">
        <v>2</v>
      </c>
      <c r="BG186" s="594"/>
      <c r="BH186" s="594">
        <v>0</v>
      </c>
      <c r="BI186" s="594">
        <v>4</v>
      </c>
      <c r="BJ186" s="594"/>
      <c r="BK186" s="594">
        <v>0</v>
      </c>
      <c r="BL186" s="594">
        <v>0</v>
      </c>
      <c r="BM186" s="594"/>
      <c r="BN186" s="594"/>
      <c r="BO186" s="593" t="s">
        <v>139</v>
      </c>
      <c r="BP186" s="594"/>
      <c r="BQ186" s="599"/>
      <c r="BR186" s="593"/>
      <c r="BS186" s="472"/>
      <c r="BT186" s="472"/>
      <c r="BU186" s="523"/>
      <c r="BV186" s="472"/>
      <c r="BW186" s="523"/>
      <c r="BX186" s="523"/>
      <c r="BY186" s="523"/>
      <c r="BZ186" s="601" t="str">
        <f>IFERROR(WWWW[[#This Row],['#_Water sources passed]]/WWWW[[#This Row],['#_Water sources tested for fecal coliform ]],"no test")</f>
        <v>no test</v>
      </c>
      <c r="CA186" s="599" t="str">
        <f>IFERROR(WWWW[[#This Row],['#_Household passed]]/WWWW[[#This Row],['#_Household water samples tested for fecal coliform]],"no test")</f>
        <v>no test</v>
      </c>
      <c r="CB186" s="600" t="str">
        <f>IF(AND(WWWW[[#This Row],[% of water sources passed]]="no test",WWWW[[#This Row],[% Household passed]]="no test"),"No Test","Tested")</f>
        <v>No Test</v>
      </c>
      <c r="CC186" s="600">
        <f>WWWW[[#This Row],['#_Constructed/existing protected hand dug well]]-WWWW[[#This Row],['#_Non-functional protected hand dug well]]</f>
        <v>3</v>
      </c>
      <c r="CD186" s="600">
        <f>(WWWW[[#This Row],['#_Constructed/Existing tube wells/boreholes/handpumps_WASH_agency]]+WWWW[[#This Row],['#_Non-Cluster partner water tube-wells/boreholes/handpumps]])-WWWW[[#This Row],['#_Non-functional tube wells/boreholes/handpumps]]</f>
        <v>1</v>
      </c>
      <c r="CE186" s="600">
        <f>WWWW[[#This Row],['#_Constructed/Existingwater storage tank with gravity fed reticulation system]]-WWWW[[#This Row],['#_Non-functional storage tank gravity fed reticulation system]]</f>
        <v>0</v>
      </c>
      <c r="CF186" s="478">
        <f>(WWWW[[#This Row],['#_Water_Liters_supplied_by_Water boating or water trucking]]/90)/15</f>
        <v>0</v>
      </c>
      <c r="CG186" s="478">
        <f>WWWW[[#This Row],['#_Water_Liters_from_Constructed/Existing water distribution system from river or natural spring]]/90/15</f>
        <v>0</v>
      </c>
      <c r="CH186" s="478">
        <f>WWWW[[#This Row],['#_of water points in TLS/CFS /THF]]*500</f>
        <v>0</v>
      </c>
      <c r="CI18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8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86" s="599">
        <f>IF(WWWW[[#This Row],[Location Type 1]]="Village",WWWW[[#This Row],[Access to safe drinking water for Village]],WWWW[[#This Row],[Access to safe drinking water for Camp]])</f>
        <v>1</v>
      </c>
      <c r="CL186" s="597">
        <f>WWWW[[#This Row],[%Equitable and continuous access to sufficient quantity of safe drinking water]]*WWWW[[#This Row],[Total PoP ]]</f>
        <v>263</v>
      </c>
      <c r="CM186" s="599">
        <f>IF((WWWW[[#This Row],['#_Constructed/Existing protected/fenced ponds]]*250)/WWWW[[#This Row],[Total PoP ]]&gt;1,1,(WWWW[[#This Row],['#_Constructed/Existing protected/fenced ponds]]*250)/WWWW[[#This Row],[Total PoP ]])</f>
        <v>0</v>
      </c>
      <c r="CN186" s="597">
        <f>WWWW[[#This Row],[% Access to unimproved water points]]*WWWW[[#This Row],[Total PoP ]]</f>
        <v>0</v>
      </c>
      <c r="CO18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186" s="597">
        <f>WWWW[[#This Row],[HRP1]]/500</f>
        <v>0.52600000000000002</v>
      </c>
      <c r="CR186" s="602">
        <f>1-WWWW[[#This Row],[% Equitable and continuous access to sufficient quantity of domestic water]]</f>
        <v>0</v>
      </c>
      <c r="CS186" s="597">
        <f>WWWW[[#This Row],[%equitable and continuous access to sufficient quantity of safe drinking and domestic water''s GAP]]*WWWW[[#This Row],[Total PoP ]]</f>
        <v>0</v>
      </c>
      <c r="CT186" s="600">
        <f>IF(WWWW[[#This Row],[Total required water points]]-WWWW[[#This Row],['#Water points coverage]]&lt;0,0,WWWW[[#This Row],[Total required water points]]-WWWW[[#This Row],['#Water points coverage]])</f>
        <v>0.47399999999999998</v>
      </c>
      <c r="CU186" s="600">
        <f>ROUND(IF(WWWW[[#This Row],[Total PoP ]]&lt;500,1,WWWW[[#This Row],[Total PoP ]]/500),0)</f>
        <v>1</v>
      </c>
      <c r="CV186" s="600">
        <f>(WWWW[[#This Row],['#_Constructed latrines_by_WASHAgencies]]+WWWW[[#This Row],['#_Non Cluster partner latrines]])-WWWW[[#This Row],['#_Non-functional latrines]]</f>
        <v>10</v>
      </c>
      <c r="CW186" s="70">
        <f>WWWW[[#This Row],[HRP2]]/WWWW[[#This Row],[Total PoP ]]</f>
        <v>0.76045627376425851</v>
      </c>
      <c r="CX18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18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6" s="600">
        <f>IF(WWWW[[#This Row],['# of functional latrines in THF supported by WASH partners during the reporting period2]]="",0,WWWW[[#This Row],['# of functional latrines in THF supported by WASH partners during the reporting period2]]*50)</f>
        <v>0</v>
      </c>
      <c r="DB186" s="600">
        <f>WWWW[[#This Row],['# students access to functioning school latrines_HRP5]]+WWWW[[#This Row],['# People access to functioning latrines in THF_HRP5]]</f>
        <v>0</v>
      </c>
      <c r="DC186" s="600">
        <f>ROUND(IF(WWWW[[#This Row],[Location Type 1]]="camp",WWWW[[#This Row],[Total PoP ]]/20,IF(WWWW[[#This Row],[Location Type 1]]="Temporary Location",WWWW[[#This Row],[Total PoP ]]/50,WWWW[[#This Row],[Total HH]])),0)</f>
        <v>13</v>
      </c>
      <c r="DD186" s="600">
        <f>IF(WWWW[[#This Row],[Total required Latrines]]-(WWWW[[#This Row],['#_Constructed latrines_by_WASHAgencies]]+WWWW[[#This Row],['#_Non Cluster partner latrines]])&lt;0,0,WWWW[[#This Row],[Total required Latrines]]-(WWWW[[#This Row],['#_Constructed latrines_by_WASHAgencies]]+WWWW[[#This Row],['#_Non Cluster partner latrines]]))</f>
        <v>3</v>
      </c>
      <c r="DE186" s="602">
        <f>1-WWWW[[#This Row],[% people access to functioning Latrine]]</f>
        <v>0.23954372623574149</v>
      </c>
      <c r="DF186" s="601">
        <f>IF(OR(WWWW[[#This Row],['#_Non-functional latrines]]="",WWWW[[#This Row],['#_Non-functional latrines]]=0),0,WWWW[[#This Row],['#_Non-functional latrines]]/(WWWW[[#This Row],['#_Constructed latrines_by_WASHAgencies]]+WWWW[[#This Row],['#_Non Cluster partner latrines]]))</f>
        <v>0</v>
      </c>
      <c r="DG186" s="597">
        <f>IF(500*(WWWW[[#This Row],['#_male hygiene promoters]]+WWWW[[#This Row],['#_female hygiene promoters]])&gt;WWWW[[#This Row],[Total PoP ]],WWWW[[#This Row],[Total PoP ]],500*(WWWW[[#This Row],['#_male hygiene promoters]]+WWWW[[#This Row],['#_female hygiene promoters]]))</f>
        <v>0</v>
      </c>
      <c r="DH18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6" s="600">
        <f>IF(WWWW[[#This Row],['# People with access to soap]]&gt;WWWW[[#This Row],['# People with access to Sanity Pads]],WWWW[[#This Row],['# People with access to soap]],WWWW[[#This Row],['# People with access to Sanity Pads]])</f>
        <v>0</v>
      </c>
      <c r="DK18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6" s="602">
        <f>IF(WWWW[[#This Row],[HRP3]]/WWWW[[#This Row],[Total PoP ]]&gt;1,1,WWWW[[#This Row],[HRP3]]/WWWW[[#This Row],[Total PoP ]])</f>
        <v>0</v>
      </c>
      <c r="DM186" s="601">
        <f>1-WWWW[[#This Row],[Hygiene Coverage%]]</f>
        <v>1</v>
      </c>
      <c r="DN186" s="599">
        <f>WWWW[[#This Row],['# people reached by regular dedicated hygiene promotion_5]]/WWWW[[#This Row],[Total PoP ]]</f>
        <v>0</v>
      </c>
      <c r="DO18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6" s="600">
        <f>WWWW[[#This Row],['#_Constructed/Existing hand washing stations]]-WWWW[[#This Row],['#_Non-Functional_hand_washing_stations]]</f>
        <v>2</v>
      </c>
      <c r="DR186" s="597">
        <f>IF(WWWW[[#This Row],['# Functional hand washing stations during reporting period]]*20&gt;WWWW[[#This Row],[Total HH]],WWWW[[#This Row],[Total HH]],WWWW[[#This Row],['# Functional hand washing stations during reporting period]]*20)</f>
        <v>40</v>
      </c>
      <c r="DS186" s="597">
        <f>IF(WWWW[[#This Row],[Is sufficient soap available for TLS? (Yes/No)]]="yes",WWWW[[#This Row],['#_Constructed/Existing hand washing stations at TLS]],0)</f>
        <v>0</v>
      </c>
      <c r="DT186" s="479">
        <f>IF(WWWW[[#This Row],['# Functional hand washing stations during reporting period]]*100&gt;WWWW[[#This Row],[Total PoP ]],WWWW[[#This Row],[Total PoP ]],WWWW[[#This Row],['# Functional hand washing stations during reporting period]]*100)</f>
        <v>200</v>
      </c>
      <c r="DU186" s="479" t="str">
        <f>IF(OR(WWWW[[#This Row],['#_students at TLS_CFS]]="",WWWW[[#This Row],['#_students at TLS_CFS]]=0),"No","Yes")</f>
        <v>No</v>
      </c>
      <c r="DV18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6" s="593" t="str">
        <f>VLOOKUP(WWWW[[#This Row],[Site Name]],SiteDB6[[Site Name]:[CCCM Management]],6,FALSE)</f>
        <v>Yes</v>
      </c>
      <c r="DZ186" s="593" t="str">
        <f>VLOOKUP(WWWW[[#This Row],[Site Name]],SiteDB6[[Site Name]:[CCCM Focal Agency]],7,FALSE)</f>
        <v>Shalom</v>
      </c>
      <c r="EA186" s="593" t="str">
        <f>VLOOKUP(WWWW[[#This Row],[Site Name]],SiteDB6[[Site Name]:[Location Type 1]],9,FALSE)</f>
        <v>Camp</v>
      </c>
      <c r="EB186" s="593" t="str">
        <f>VLOOKUP(WWWW[[#This Row],[Site Name]],SiteDB6[[Site Name]:[Type of Accommodation]],10,FALSE)</f>
        <v>Camp</v>
      </c>
      <c r="EC186" s="593" t="str">
        <f>VLOOKUP(WWWW[[#This Row],[Site Name]],SiteDB6[[Site Name]:[Ethnic or GCA/NGCA]],11,FALSE)</f>
        <v>GCA</v>
      </c>
      <c r="ED186" s="593">
        <f>VLOOKUP(WWWW[[#This Row],[Site Name]],SiteDB6[[Site Name]:[Lat]],12,FALSE)</f>
        <v>25.351250396825399</v>
      </c>
      <c r="EE186" s="593">
        <f>VLOOKUP(WWWW[[#This Row],[Site Name]],SiteDB6[[Site Name]:[Long]],13,FALSE)</f>
        <v>97.444283730158702</v>
      </c>
      <c r="EF186" s="593" t="str">
        <f>VLOOKUP(WWWW[[#This Row],[Site Name]],SiteDB6[[Site Name]:[Pcode]],3,FALSE)</f>
        <v>MMR001CMP038</v>
      </c>
      <c r="EG186" s="598" t="str">
        <f t="shared" si="2"/>
        <v>Covered</v>
      </c>
      <c r="EH186" s="598" t="str">
        <f>VLOOKUP(WWWW[[#This Row],[Site Name]],SiteDB6[[Site Name]:[open in cccm?]],2,FALSE)</f>
        <v>cccm_2019OCT</v>
      </c>
    </row>
    <row r="187" spans="1:138" hidden="1">
      <c r="A187" s="591" t="s">
        <v>3261</v>
      </c>
      <c r="B187" s="591" t="s">
        <v>245</v>
      </c>
      <c r="C187" s="592" t="s">
        <v>245</v>
      </c>
      <c r="D187" s="592" t="s">
        <v>310</v>
      </c>
      <c r="E187" s="592" t="s">
        <v>39</v>
      </c>
      <c r="F187" s="592" t="s">
        <v>151</v>
      </c>
      <c r="G187" s="721" t="str">
        <f>VLOOKUP(WWWW[[#This Row],[Site Name]],SiteDB6[[Site Name]:[Location Type]],8,FALSE)</f>
        <v>Camp</v>
      </c>
      <c r="H187" s="592" t="s">
        <v>264</v>
      </c>
      <c r="I187" s="594">
        <v>32</v>
      </c>
      <c r="J187" s="594">
        <v>172</v>
      </c>
      <c r="K187" s="595">
        <v>43313</v>
      </c>
      <c r="L187" s="596">
        <v>44043</v>
      </c>
      <c r="M187" s="594"/>
      <c r="N187" s="594">
        <v>1</v>
      </c>
      <c r="O187" s="594"/>
      <c r="P187" s="594"/>
      <c r="Q187" s="597" t="s">
        <v>43</v>
      </c>
      <c r="R187" s="594">
        <v>4</v>
      </c>
      <c r="S187" s="594">
        <v>4</v>
      </c>
      <c r="T187" s="523">
        <v>0</v>
      </c>
      <c r="U187" s="594"/>
      <c r="V187" s="594"/>
      <c r="W187" s="594">
        <v>0</v>
      </c>
      <c r="X187" s="594">
        <v>0</v>
      </c>
      <c r="Y187" s="594"/>
      <c r="Z187" s="594"/>
      <c r="AA187" s="594">
        <v>1</v>
      </c>
      <c r="AB187" s="594"/>
      <c r="AC187" s="594"/>
      <c r="AD187" s="594">
        <v>0</v>
      </c>
      <c r="AE187" s="594">
        <v>1</v>
      </c>
      <c r="AF187" s="607">
        <v>1</v>
      </c>
      <c r="AG187" s="594">
        <v>0</v>
      </c>
      <c r="AH187" s="594">
        <v>1</v>
      </c>
      <c r="AI187" s="594"/>
      <c r="AJ187" s="594"/>
      <c r="AK187" s="594"/>
      <c r="AL187" s="594"/>
      <c r="AM187" s="594">
        <v>0</v>
      </c>
      <c r="AN187" s="594">
        <v>0</v>
      </c>
      <c r="AO187" s="598"/>
      <c r="AP187" s="594">
        <v>11</v>
      </c>
      <c r="AQ187" s="594">
        <v>1</v>
      </c>
      <c r="AR187" s="599" t="s">
        <v>245</v>
      </c>
      <c r="AS187" s="594"/>
      <c r="AT187" s="594"/>
      <c r="AU187" s="594"/>
      <c r="AV187" s="594"/>
      <c r="AW187" s="594">
        <v>0</v>
      </c>
      <c r="AX187" s="593" t="s">
        <v>43</v>
      </c>
      <c r="AY187" s="598" t="s">
        <v>139</v>
      </c>
      <c r="AZ187" s="594">
        <v>0</v>
      </c>
      <c r="BA187" s="594">
        <v>0</v>
      </c>
      <c r="BB187" s="594">
        <v>0</v>
      </c>
      <c r="BC187" s="594"/>
      <c r="BD187" s="523"/>
      <c r="BE187" s="593"/>
      <c r="BF187" s="594">
        <v>2</v>
      </c>
      <c r="BG187" s="594"/>
      <c r="BH187" s="594"/>
      <c r="BI187" s="594">
        <v>3</v>
      </c>
      <c r="BJ187" s="594"/>
      <c r="BK187" s="594">
        <v>1</v>
      </c>
      <c r="BL187" s="594">
        <v>0</v>
      </c>
      <c r="BM187" s="594"/>
      <c r="BN187" s="594"/>
      <c r="BO187" s="593" t="s">
        <v>139</v>
      </c>
      <c r="BP187" s="594"/>
      <c r="BQ187" s="599"/>
      <c r="BR187" s="593"/>
      <c r="BS187" s="472"/>
      <c r="BT187" s="472"/>
      <c r="BU187" s="523"/>
      <c r="BV187" s="472"/>
      <c r="BW187" s="523"/>
      <c r="BX187" s="523"/>
      <c r="BY187" s="523"/>
      <c r="BZ187" s="601" t="str">
        <f>IFERROR(WWWW[[#This Row],['#_Water sources passed]]/WWWW[[#This Row],['#_Water sources tested for fecal coliform ]],"no test")</f>
        <v>no test</v>
      </c>
      <c r="CA187" s="599" t="str">
        <f>IFERROR(WWWW[[#This Row],['#_Household passed]]/WWWW[[#This Row],['#_Household water samples tested for fecal coliform]],"no test")</f>
        <v>no test</v>
      </c>
      <c r="CB187" s="600" t="str">
        <f>IF(AND(WWWW[[#This Row],[% of water sources passed]]="no test",WWWW[[#This Row],[% Household passed]]="no test"),"No Test","Tested")</f>
        <v>No Test</v>
      </c>
      <c r="CC187" s="600">
        <f>WWWW[[#This Row],['#_Constructed/existing protected hand dug well]]-WWWW[[#This Row],['#_Non-functional protected hand dug well]]</f>
        <v>0</v>
      </c>
      <c r="CD187" s="600">
        <f>(WWWW[[#This Row],['#_Constructed/Existing tube wells/boreholes/handpumps_WASH_agency]]+WWWW[[#This Row],['#_Non-Cluster partner water tube-wells/boreholes/handpumps]])-WWWW[[#This Row],['#_Non-functional tube wells/boreholes/handpumps]]</f>
        <v>0</v>
      </c>
      <c r="CE187" s="600">
        <f>WWWW[[#This Row],['#_Constructed/Existingwater storage tank with gravity fed reticulation system]]-WWWW[[#This Row],['#_Non-functional storage tank gravity fed reticulation system]]</f>
        <v>1</v>
      </c>
      <c r="CF187" s="478">
        <f>(WWWW[[#This Row],['#_Water_Liters_supplied_by_Water boating or water trucking]]/90)/15</f>
        <v>0</v>
      </c>
      <c r="CG187" s="478">
        <f>WWWW[[#This Row],['#_Water_Liters_from_Constructed/Existing water distribution system from river or natural spring]]/90/15</f>
        <v>7.4074074074074081E-4</v>
      </c>
      <c r="CH187" s="478">
        <f>WWWW[[#This Row],['#_of water points in TLS/CFS /THF]]*500</f>
        <v>0</v>
      </c>
      <c r="CI18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0.38760120585701985</v>
      </c>
      <c r="CJ18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0.38760120585701985</v>
      </c>
      <c r="CK187" s="599">
        <f>IF(WWWW[[#This Row],[Location Type 1]]="Village",WWWW[[#This Row],[Access to safe drinking water for Village]],WWWW[[#This Row],[Access to safe drinking water for Camp]])</f>
        <v>0.38760120585701985</v>
      </c>
      <c r="CL187" s="597">
        <f>WWWW[[#This Row],[%Equitable and continuous access to sufficient quantity of safe drinking water]]*WWWW[[#This Row],[Total PoP ]]</f>
        <v>66.66740740740741</v>
      </c>
      <c r="CM187" s="599">
        <f>IF((WWWW[[#This Row],['#_Constructed/Existing protected/fenced ponds]]*250)/WWWW[[#This Row],[Total PoP ]]&gt;1,1,(WWWW[[#This Row],['#_Constructed/Existing protected/fenced ponds]]*250)/WWWW[[#This Row],[Total PoP ]])</f>
        <v>1</v>
      </c>
      <c r="CN187" s="597">
        <f>WWWW[[#This Row],[% Access to unimproved water points]]*WWWW[[#This Row],[Total PoP ]]</f>
        <v>172</v>
      </c>
      <c r="CO18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8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Q187" s="597">
        <f>WWWW[[#This Row],[HRP1]]/500</f>
        <v>0.34399999999999997</v>
      </c>
      <c r="CR187" s="602">
        <f>1-WWWW[[#This Row],[% Equitable and continuous access to sufficient quantity of domestic water]]</f>
        <v>0</v>
      </c>
      <c r="CS187" s="597">
        <f>WWWW[[#This Row],[%equitable and continuous access to sufficient quantity of safe drinking and domestic water''s GAP]]*WWWW[[#This Row],[Total PoP ]]</f>
        <v>0</v>
      </c>
      <c r="CT187" s="600">
        <f>IF(WWWW[[#This Row],[Total required water points]]-WWWW[[#This Row],['#Water points coverage]]&lt;0,0,WWWW[[#This Row],[Total required water points]]-WWWW[[#This Row],['#Water points coverage]])</f>
        <v>0.65600000000000003</v>
      </c>
      <c r="CU187" s="600">
        <f>ROUND(IF(WWWW[[#This Row],[Total PoP ]]&lt;500,1,WWWW[[#This Row],[Total PoP ]]/500),0)</f>
        <v>1</v>
      </c>
      <c r="CV187" s="600">
        <f>(WWWW[[#This Row],['#_Constructed latrines_by_WASHAgencies]]+WWWW[[#This Row],['#_Non Cluster partner latrines]])-WWWW[[#This Row],['#_Non-functional latrines]]</f>
        <v>12</v>
      </c>
      <c r="CW187" s="70">
        <f>WWWW[[#This Row],[HRP2]]/WWWW[[#This Row],[Total PoP ]]</f>
        <v>1</v>
      </c>
      <c r="CX18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172</v>
      </c>
      <c r="CY18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7" s="600">
        <f>IF(WWWW[[#This Row],['# of functional latrines in THF supported by WASH partners during the reporting period2]]="",0,WWWW[[#This Row],['# of functional latrines in THF supported by WASH partners during the reporting period2]]*50)</f>
        <v>0</v>
      </c>
      <c r="DB187" s="600">
        <f>WWWW[[#This Row],['# students access to functioning school latrines_HRP5]]+WWWW[[#This Row],['# People access to functioning latrines in THF_HRP5]]</f>
        <v>0</v>
      </c>
      <c r="DC187" s="600">
        <f>ROUND(IF(WWWW[[#This Row],[Location Type 1]]="camp",WWWW[[#This Row],[Total PoP ]]/20,IF(WWWW[[#This Row],[Location Type 1]]="Temporary Location",WWWW[[#This Row],[Total PoP ]]/50,WWWW[[#This Row],[Total HH]])),0)</f>
        <v>9</v>
      </c>
      <c r="DD187" s="600">
        <f>IF(WWWW[[#This Row],[Total required Latrines]]-(WWWW[[#This Row],['#_Constructed latrines_by_WASHAgencies]]+WWWW[[#This Row],['#_Non Cluster partner latrines]])&lt;0,0,WWWW[[#This Row],[Total required Latrines]]-(WWWW[[#This Row],['#_Constructed latrines_by_WASHAgencies]]+WWWW[[#This Row],['#_Non Cluster partner latrines]]))</f>
        <v>0</v>
      </c>
      <c r="DE187" s="602">
        <f>1-WWWW[[#This Row],[% people access to functioning Latrine]]</f>
        <v>0</v>
      </c>
      <c r="DF187" s="601">
        <f>IF(OR(WWWW[[#This Row],['#_Non-functional latrines]]="",WWWW[[#This Row],['#_Non-functional latrines]]=0),0,WWWW[[#This Row],['#_Non-functional latrines]]/(WWWW[[#This Row],['#_Constructed latrines_by_WASHAgencies]]+WWWW[[#This Row],['#_Non Cluster partner latrines]]))</f>
        <v>0</v>
      </c>
      <c r="DG187" s="597">
        <f>IF(500*(WWWW[[#This Row],['#_male hygiene promoters]]+WWWW[[#This Row],['#_female hygiene promoters]])&gt;WWWW[[#This Row],[Total PoP ]],WWWW[[#This Row],[Total PoP ]],500*(WWWW[[#This Row],['#_male hygiene promoters]]+WWWW[[#This Row],['#_female hygiene promoters]]))</f>
        <v>172</v>
      </c>
      <c r="DH18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7" s="600">
        <f>IF(WWWW[[#This Row],['# People with access to soap]]&gt;WWWW[[#This Row],['# People with access to Sanity Pads]],WWWW[[#This Row],['# People with access to soap]],WWWW[[#This Row],['# People with access to Sanity Pads]])</f>
        <v>0</v>
      </c>
      <c r="DK187" s="600">
        <f>IF(WWWW[[#This Row],['# people reached by regular dedicated hygiene promotion_5]]&gt;WWWW[[#This Row],['# People received regular supply of hygiene items_6]],WWWW[[#This Row],['# people reached by regular dedicated hygiene promotion_5]],WWWW[[#This Row],['# People received regular supply of hygiene items_6]])</f>
        <v>172</v>
      </c>
      <c r="DL187" s="602">
        <f>IF(WWWW[[#This Row],[HRP3]]/WWWW[[#This Row],[Total PoP ]]&gt;1,1,WWWW[[#This Row],[HRP3]]/WWWW[[#This Row],[Total PoP ]])</f>
        <v>1</v>
      </c>
      <c r="DM187" s="601">
        <f>1-WWWW[[#This Row],[Hygiene Coverage%]]</f>
        <v>0</v>
      </c>
      <c r="DN187" s="599">
        <f>WWWW[[#This Row],['# people reached by regular dedicated hygiene promotion_5]]/WWWW[[#This Row],[Total PoP ]]</f>
        <v>1</v>
      </c>
      <c r="DO18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7" s="600">
        <f>WWWW[[#This Row],['#_Constructed/Existing hand washing stations]]-WWWW[[#This Row],['#_Non-Functional_hand_washing_stations]]</f>
        <v>2</v>
      </c>
      <c r="DR187" s="597">
        <f>IF(WWWW[[#This Row],['# Functional hand washing stations during reporting period]]*20&gt;WWWW[[#This Row],[Total HH]],WWWW[[#This Row],[Total HH]],WWWW[[#This Row],['# Functional hand washing stations during reporting period]]*20)</f>
        <v>32</v>
      </c>
      <c r="DS187" s="597">
        <f>IF(WWWW[[#This Row],[Is sufficient soap available for TLS? (Yes/No)]]="yes",WWWW[[#This Row],['#_Constructed/Existing hand washing stations at TLS]],0)</f>
        <v>0</v>
      </c>
      <c r="DT187" s="479">
        <f>IF(WWWW[[#This Row],['# Functional hand washing stations during reporting period]]*100&gt;WWWW[[#This Row],[Total PoP ]],WWWW[[#This Row],[Total PoP ]],WWWW[[#This Row],['# Functional hand washing stations during reporting period]]*100)</f>
        <v>172</v>
      </c>
      <c r="DU187" s="479" t="str">
        <f>IF(OR(WWWW[[#This Row],['#_students at TLS_CFS]]="",WWWW[[#This Row],['#_students at TLS_CFS]]=0),"No","Yes")</f>
        <v>No</v>
      </c>
      <c r="DV18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7" s="593" t="str">
        <f>VLOOKUP(WWWW[[#This Row],[Site Name]],SiteDB6[[Site Name]:[CCCM Management]],6,FALSE)</f>
        <v>Yes</v>
      </c>
      <c r="DZ187" s="593" t="str">
        <f>VLOOKUP(WWWW[[#This Row],[Site Name]],SiteDB6[[Site Name]:[CCCM Focal Agency]],7,FALSE)</f>
        <v>KBC-MYT</v>
      </c>
      <c r="EA187" s="593" t="str">
        <f>VLOOKUP(WWWW[[#This Row],[Site Name]],SiteDB6[[Site Name]:[Location Type 1]],9,FALSE)</f>
        <v>Camp</v>
      </c>
      <c r="EB187" s="593" t="str">
        <f>VLOOKUP(WWWW[[#This Row],[Site Name]],SiteDB6[[Site Name]:[Type of Accommodation]],10,FALSE)</f>
        <v>Camp</v>
      </c>
      <c r="EC187" s="593" t="str">
        <f>VLOOKUP(WWWW[[#This Row],[Site Name]],SiteDB6[[Site Name]:[Ethnic or GCA/NGCA]],11,FALSE)</f>
        <v>GCA</v>
      </c>
      <c r="ED187" s="593">
        <f>VLOOKUP(WWWW[[#This Row],[Site Name]],SiteDB6[[Site Name]:[Lat]],12,FALSE)</f>
        <v>25.577559999999998</v>
      </c>
      <c r="EE187" s="593">
        <f>VLOOKUP(WWWW[[#This Row],[Site Name]],SiteDB6[[Site Name]:[Long]],13,FALSE)</f>
        <v>96.286680000000004</v>
      </c>
      <c r="EF187" s="593" t="str">
        <f>VLOOKUP(WWWW[[#This Row],[Site Name]],SiteDB6[[Site Name]:[Pcode]],3,FALSE)</f>
        <v>MMR001CMP184</v>
      </c>
      <c r="EG187" s="598" t="str">
        <f t="shared" si="2"/>
        <v>Covered</v>
      </c>
      <c r="EH187" s="598" t="str">
        <f>VLOOKUP(WWWW[[#This Row],[Site Name]],SiteDB6[[Site Name]:[open in cccm?]],2,FALSE)</f>
        <v>cccm_2019OCT</v>
      </c>
    </row>
    <row r="188" spans="1:138" hidden="1">
      <c r="A188" s="591" t="s">
        <v>3261</v>
      </c>
      <c r="B188" s="591" t="s">
        <v>245</v>
      </c>
      <c r="C188" s="592" t="s">
        <v>245</v>
      </c>
      <c r="D188" s="592" t="s">
        <v>310</v>
      </c>
      <c r="E188" s="592" t="s">
        <v>39</v>
      </c>
      <c r="F188" s="592" t="s">
        <v>151</v>
      </c>
      <c r="G188" s="721" t="str">
        <f>VLOOKUP(WWWW[[#This Row],[Site Name]],SiteDB6[[Site Name]:[Location Type]],8,FALSE)</f>
        <v>Camp</v>
      </c>
      <c r="H188" s="592" t="s">
        <v>265</v>
      </c>
      <c r="I188" s="594">
        <v>15</v>
      </c>
      <c r="J188" s="594">
        <v>67</v>
      </c>
      <c r="K188" s="595">
        <v>43313</v>
      </c>
      <c r="L188" s="596">
        <v>44043</v>
      </c>
      <c r="M188" s="594"/>
      <c r="N188" s="594">
        <v>1</v>
      </c>
      <c r="O188" s="594"/>
      <c r="P188" s="594"/>
      <c r="Q188" s="597" t="s">
        <v>43</v>
      </c>
      <c r="R188" s="594">
        <v>2</v>
      </c>
      <c r="S188" s="594">
        <v>1</v>
      </c>
      <c r="T188" s="523">
        <v>0</v>
      </c>
      <c r="U188" s="594"/>
      <c r="V188" s="594"/>
      <c r="W188" s="594">
        <v>0</v>
      </c>
      <c r="X188" s="594">
        <v>0</v>
      </c>
      <c r="Y188" s="594"/>
      <c r="Z188" s="594"/>
      <c r="AA188" s="594">
        <v>0</v>
      </c>
      <c r="AB188" s="594"/>
      <c r="AC188" s="594"/>
      <c r="AD188" s="594">
        <v>0</v>
      </c>
      <c r="AE188" s="594">
        <v>0</v>
      </c>
      <c r="AF188" s="594">
        <v>0</v>
      </c>
      <c r="AG188" s="594">
        <v>0</v>
      </c>
      <c r="AH188" s="594">
        <v>0</v>
      </c>
      <c r="AI188" s="594"/>
      <c r="AJ188" s="594"/>
      <c r="AK188" s="594"/>
      <c r="AL188" s="594"/>
      <c r="AM188" s="594">
        <v>0</v>
      </c>
      <c r="AN188" s="594">
        <v>0</v>
      </c>
      <c r="AO188" s="598"/>
      <c r="AP188" s="594">
        <v>4</v>
      </c>
      <c r="AQ188" s="594">
        <v>1</v>
      </c>
      <c r="AR188" s="599" t="s">
        <v>2916</v>
      </c>
      <c r="AS188" s="594"/>
      <c r="AT188" s="594"/>
      <c r="AU188" s="594"/>
      <c r="AV188" s="594"/>
      <c r="AW188" s="594">
        <v>0</v>
      </c>
      <c r="AX188" s="593" t="s">
        <v>43</v>
      </c>
      <c r="AY188" s="598" t="s">
        <v>139</v>
      </c>
      <c r="AZ188" s="594">
        <v>0</v>
      </c>
      <c r="BA188" s="594">
        <v>0</v>
      </c>
      <c r="BB188" s="594">
        <v>0</v>
      </c>
      <c r="BC188" s="594"/>
      <c r="BD188" s="523"/>
      <c r="BE188" s="593"/>
      <c r="BF188" s="594">
        <v>0</v>
      </c>
      <c r="BG188" s="594"/>
      <c r="BH188" s="594">
        <v>0</v>
      </c>
      <c r="BI188" s="594">
        <v>2</v>
      </c>
      <c r="BJ188" s="594"/>
      <c r="BK188" s="594">
        <v>2</v>
      </c>
      <c r="BL188" s="594">
        <v>0</v>
      </c>
      <c r="BM188" s="594"/>
      <c r="BN188" s="594"/>
      <c r="BO188" s="593" t="s">
        <v>139</v>
      </c>
      <c r="BP188" s="594"/>
      <c r="BQ188" s="599"/>
      <c r="BR188" s="593"/>
      <c r="BS188" s="472"/>
      <c r="BT188" s="472"/>
      <c r="BU188" s="523"/>
      <c r="BV188" s="472"/>
      <c r="BW188" s="523"/>
      <c r="BX188" s="523"/>
      <c r="BY188" s="523"/>
      <c r="BZ188" s="601" t="str">
        <f>IFERROR(WWWW[[#This Row],['#_Water sources passed]]/WWWW[[#This Row],['#_Water sources tested for fecal coliform ]],"no test")</f>
        <v>no test</v>
      </c>
      <c r="CA188" s="599" t="str">
        <f>IFERROR(WWWW[[#This Row],['#_Household passed]]/WWWW[[#This Row],['#_Household water samples tested for fecal coliform]],"no test")</f>
        <v>no test</v>
      </c>
      <c r="CB188" s="600" t="str">
        <f>IF(AND(WWWW[[#This Row],[% of water sources passed]]="no test",WWWW[[#This Row],[% Household passed]]="no test"),"No Test","Tested")</f>
        <v>No Test</v>
      </c>
      <c r="CC188" s="600">
        <f>WWWW[[#This Row],['#_Constructed/existing protected hand dug well]]-WWWW[[#This Row],['#_Non-functional protected hand dug well]]</f>
        <v>0</v>
      </c>
      <c r="CD188" s="600">
        <f>(WWWW[[#This Row],['#_Constructed/Existing tube wells/boreholes/handpumps_WASH_agency]]+WWWW[[#This Row],['#_Non-Cluster partner water tube-wells/boreholes/handpumps]])-WWWW[[#This Row],['#_Non-functional tube wells/boreholes/handpumps]]</f>
        <v>0</v>
      </c>
      <c r="CE188" s="600">
        <f>WWWW[[#This Row],['#_Constructed/Existingwater storage tank with gravity fed reticulation system]]-WWWW[[#This Row],['#_Non-functional storage tank gravity fed reticulation system]]</f>
        <v>0</v>
      </c>
      <c r="CF188" s="478">
        <f>(WWWW[[#This Row],['#_Water_Liters_supplied_by_Water boating or water trucking]]/90)/15</f>
        <v>0</v>
      </c>
      <c r="CG188" s="478">
        <f>WWWW[[#This Row],['#_Water_Liters_from_Constructed/Existing water distribution system from river or natural spring]]/90/15</f>
        <v>0</v>
      </c>
      <c r="CH188" s="478">
        <f>WWWW[[#This Row],['#_of water points in TLS/CFS /THF]]*500</f>
        <v>0</v>
      </c>
      <c r="CI18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8" s="599">
        <f>IF(WWWW[[#This Row],[Location Type 1]]="Village",WWWW[[#This Row],[Access to safe drinking water for Village]],WWWW[[#This Row],[Access to safe drinking water for Camp]])</f>
        <v>0</v>
      </c>
      <c r="CL188" s="597">
        <f>WWWW[[#This Row],[%Equitable and continuous access to sufficient quantity of safe drinking water]]*WWWW[[#This Row],[Total PoP ]]</f>
        <v>0</v>
      </c>
      <c r="CM188" s="599">
        <f>IF((WWWW[[#This Row],['#_Constructed/Existing protected/fenced ponds]]*250)/WWWW[[#This Row],[Total PoP ]]&gt;1,1,(WWWW[[#This Row],['#_Constructed/Existing protected/fenced ponds]]*250)/WWWW[[#This Row],[Total PoP ]])</f>
        <v>0</v>
      </c>
      <c r="CN188" s="597">
        <f>WWWW[[#This Row],[% Access to unimproved water points]]*WWWW[[#This Row],[Total PoP ]]</f>
        <v>0</v>
      </c>
      <c r="CO18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8" s="597">
        <f>WWWW[[#This Row],[HRP1]]/500</f>
        <v>0</v>
      </c>
      <c r="CR188" s="602">
        <f>1-WWWW[[#This Row],[% Equitable and continuous access to sufficient quantity of domestic water]]</f>
        <v>1</v>
      </c>
      <c r="CS188" s="597">
        <f>WWWW[[#This Row],[%equitable and continuous access to sufficient quantity of safe drinking and domestic water''s GAP]]*WWWW[[#This Row],[Total PoP ]]</f>
        <v>67</v>
      </c>
      <c r="CT188" s="600">
        <f>IF(WWWW[[#This Row],[Total required water points]]-WWWW[[#This Row],['#Water points coverage]]&lt;0,0,WWWW[[#This Row],[Total required water points]]-WWWW[[#This Row],['#Water points coverage]])</f>
        <v>1</v>
      </c>
      <c r="CU188" s="600">
        <f>ROUND(IF(WWWW[[#This Row],[Total PoP ]]&lt;500,1,WWWW[[#This Row],[Total PoP ]]/500),0)</f>
        <v>1</v>
      </c>
      <c r="CV188" s="600">
        <f>(WWWW[[#This Row],['#_Constructed latrines_by_WASHAgencies]]+WWWW[[#This Row],['#_Non Cluster partner latrines]])-WWWW[[#This Row],['#_Non-functional latrines]]</f>
        <v>5</v>
      </c>
      <c r="CW188" s="70">
        <f>WWWW[[#This Row],[HRP2]]/WWWW[[#This Row],[Total PoP ]]</f>
        <v>1</v>
      </c>
      <c r="CX18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v>
      </c>
      <c r="CY18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8" s="600">
        <f>IF(WWWW[[#This Row],['# of functional latrines in THF supported by WASH partners during the reporting period2]]="",0,WWWW[[#This Row],['# of functional latrines in THF supported by WASH partners during the reporting period2]]*50)</f>
        <v>0</v>
      </c>
      <c r="DB188" s="600">
        <f>WWWW[[#This Row],['# students access to functioning school latrines_HRP5]]+WWWW[[#This Row],['# People access to functioning latrines in THF_HRP5]]</f>
        <v>0</v>
      </c>
      <c r="DC188" s="600">
        <f>ROUND(IF(WWWW[[#This Row],[Location Type 1]]="camp",WWWW[[#This Row],[Total PoP ]]/20,IF(WWWW[[#This Row],[Location Type 1]]="Temporary Location",WWWW[[#This Row],[Total PoP ]]/50,WWWW[[#This Row],[Total HH]])),0)</f>
        <v>3</v>
      </c>
      <c r="DD188" s="600">
        <f>IF(WWWW[[#This Row],[Total required Latrines]]-(WWWW[[#This Row],['#_Constructed latrines_by_WASHAgencies]]+WWWW[[#This Row],['#_Non Cluster partner latrines]])&lt;0,0,WWWW[[#This Row],[Total required Latrines]]-(WWWW[[#This Row],['#_Constructed latrines_by_WASHAgencies]]+WWWW[[#This Row],['#_Non Cluster partner latrines]]))</f>
        <v>0</v>
      </c>
      <c r="DE188" s="602">
        <f>1-WWWW[[#This Row],[% people access to functioning Latrine]]</f>
        <v>0</v>
      </c>
      <c r="DF188" s="601">
        <f>IF(OR(WWWW[[#This Row],['#_Non-functional latrines]]="",WWWW[[#This Row],['#_Non-functional latrines]]=0),0,WWWW[[#This Row],['#_Non-functional latrines]]/(WWWW[[#This Row],['#_Constructed latrines_by_WASHAgencies]]+WWWW[[#This Row],['#_Non Cluster partner latrines]]))</f>
        <v>0</v>
      </c>
      <c r="DG188" s="597">
        <f>IF(500*(WWWW[[#This Row],['#_male hygiene promoters]]+WWWW[[#This Row],['#_female hygiene promoters]])&gt;WWWW[[#This Row],[Total PoP ]],WWWW[[#This Row],[Total PoP ]],500*(WWWW[[#This Row],['#_male hygiene promoters]]+WWWW[[#This Row],['#_female hygiene promoters]]))</f>
        <v>67</v>
      </c>
      <c r="DH18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8" s="600">
        <f>IF(WWWW[[#This Row],['# People with access to soap]]&gt;WWWW[[#This Row],['# People with access to Sanity Pads]],WWWW[[#This Row],['# People with access to soap]],WWWW[[#This Row],['# People with access to Sanity Pads]])</f>
        <v>0</v>
      </c>
      <c r="DK188" s="600">
        <f>IF(WWWW[[#This Row],['# people reached by regular dedicated hygiene promotion_5]]&gt;WWWW[[#This Row],['# People received regular supply of hygiene items_6]],WWWW[[#This Row],['# people reached by regular dedicated hygiene promotion_5]],WWWW[[#This Row],['# People received regular supply of hygiene items_6]])</f>
        <v>67</v>
      </c>
      <c r="DL188" s="602">
        <f>IF(WWWW[[#This Row],[HRP3]]/WWWW[[#This Row],[Total PoP ]]&gt;1,1,WWWW[[#This Row],[HRP3]]/WWWW[[#This Row],[Total PoP ]])</f>
        <v>1</v>
      </c>
      <c r="DM188" s="601">
        <f>1-WWWW[[#This Row],[Hygiene Coverage%]]</f>
        <v>0</v>
      </c>
      <c r="DN188" s="599">
        <f>WWWW[[#This Row],['# people reached by regular dedicated hygiene promotion_5]]/WWWW[[#This Row],[Total PoP ]]</f>
        <v>1</v>
      </c>
      <c r="DO18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8" s="600">
        <f>WWWW[[#This Row],['#_Constructed/Existing hand washing stations]]-WWWW[[#This Row],['#_Non-Functional_hand_washing_stations]]</f>
        <v>0</v>
      </c>
      <c r="DR188" s="597">
        <f>IF(WWWW[[#This Row],['# Functional hand washing stations during reporting period]]*20&gt;WWWW[[#This Row],[Total HH]],WWWW[[#This Row],[Total HH]],WWWW[[#This Row],['# Functional hand washing stations during reporting period]]*20)</f>
        <v>0</v>
      </c>
      <c r="DS188" s="597">
        <f>IF(WWWW[[#This Row],[Is sufficient soap available for TLS? (Yes/No)]]="yes",WWWW[[#This Row],['#_Constructed/Existing hand washing stations at TLS]],0)</f>
        <v>0</v>
      </c>
      <c r="DT188" s="479">
        <f>IF(WWWW[[#This Row],['# Functional hand washing stations during reporting period]]*100&gt;WWWW[[#This Row],[Total PoP ]],WWWW[[#This Row],[Total PoP ]],WWWW[[#This Row],['# Functional hand washing stations during reporting period]]*100)</f>
        <v>0</v>
      </c>
      <c r="DU188" s="479" t="str">
        <f>IF(OR(WWWW[[#This Row],['#_students at TLS_CFS]]="",WWWW[[#This Row],['#_students at TLS_CFS]]=0),"No","Yes")</f>
        <v>No</v>
      </c>
      <c r="DV18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8" s="593" t="str">
        <f>VLOOKUP(WWWW[[#This Row],[Site Name]],SiteDB6[[Site Name]:[CCCM Management]],6,FALSE)</f>
        <v>Yes</v>
      </c>
      <c r="DZ188" s="593" t="str">
        <f>VLOOKUP(WWWW[[#This Row],[Site Name]],SiteDB6[[Site Name]:[CCCM Focal Agency]],7,FALSE)</f>
        <v>KBC-MYT</v>
      </c>
      <c r="EA188" s="593" t="str">
        <f>VLOOKUP(WWWW[[#This Row],[Site Name]],SiteDB6[[Site Name]:[Location Type 1]],9,FALSE)</f>
        <v>Camp</v>
      </c>
      <c r="EB188" s="593" t="str">
        <f>VLOOKUP(WWWW[[#This Row],[Site Name]],SiteDB6[[Site Name]:[Type of Accommodation]],10,FALSE)</f>
        <v>Camp</v>
      </c>
      <c r="EC188" s="593" t="str">
        <f>VLOOKUP(WWWW[[#This Row],[Site Name]],SiteDB6[[Site Name]:[Ethnic or GCA/NGCA]],11,FALSE)</f>
        <v>GCA</v>
      </c>
      <c r="ED188" s="593">
        <f>VLOOKUP(WWWW[[#This Row],[Site Name]],SiteDB6[[Site Name]:[Lat]],12,FALSE)</f>
        <v>25.599250000000001</v>
      </c>
      <c r="EE188" s="593">
        <f>VLOOKUP(WWWW[[#This Row],[Site Name]],SiteDB6[[Site Name]:[Long]],13,FALSE)</f>
        <v>96.306910999999999</v>
      </c>
      <c r="EF188" s="593" t="str">
        <f>VLOOKUP(WWWW[[#This Row],[Site Name]],SiteDB6[[Site Name]:[Pcode]],3,FALSE)</f>
        <v>MMR001CMP105</v>
      </c>
      <c r="EG188" s="598" t="str">
        <f t="shared" si="2"/>
        <v>Covered</v>
      </c>
      <c r="EH188" s="598" t="str">
        <f>VLOOKUP(WWWW[[#This Row],[Site Name]],SiteDB6[[Site Name]:[open in cccm?]],2,FALSE)</f>
        <v>cccm_2019OCT</v>
      </c>
    </row>
    <row r="189" spans="1:138" hidden="1">
      <c r="A189" s="591" t="s">
        <v>3261</v>
      </c>
      <c r="B189" s="591" t="s">
        <v>279</v>
      </c>
      <c r="C189" s="592" t="s">
        <v>279</v>
      </c>
      <c r="D189" s="592" t="s">
        <v>3275</v>
      </c>
      <c r="E189" s="592" t="s">
        <v>39</v>
      </c>
      <c r="F189" s="592" t="s">
        <v>198</v>
      </c>
      <c r="G189" s="721" t="str">
        <f>VLOOKUP(WWWW[[#This Row],[Site Name]],SiteDB6[[Site Name]:[Location Type]],8,FALSE)</f>
        <v>Camp_not registered</v>
      </c>
      <c r="H189" s="592" t="s">
        <v>3089</v>
      </c>
      <c r="I189" s="594">
        <f>WWWW[[#This Row],[Total PoP ]]/5</f>
        <v>31.8</v>
      </c>
      <c r="J189" s="594">
        <v>159</v>
      </c>
      <c r="K189" s="717">
        <v>43468</v>
      </c>
      <c r="L189" s="718">
        <v>44226</v>
      </c>
      <c r="M189" s="594">
        <v>159</v>
      </c>
      <c r="N189" s="594"/>
      <c r="O189" s="594"/>
      <c r="P189" s="594"/>
      <c r="Q189" s="597"/>
      <c r="R189" s="594">
        <v>0</v>
      </c>
      <c r="S189" s="594">
        <v>5</v>
      </c>
      <c r="T189" s="523">
        <v>0</v>
      </c>
      <c r="U189" s="594"/>
      <c r="V189" s="594"/>
      <c r="W189" s="594">
        <v>0</v>
      </c>
      <c r="X189" s="594">
        <v>0</v>
      </c>
      <c r="Y189" s="594"/>
      <c r="Z189" s="594"/>
      <c r="AA189" s="594"/>
      <c r="AB189" s="594"/>
      <c r="AC189" s="594"/>
      <c r="AD189" s="594">
        <v>0</v>
      </c>
      <c r="AE189" s="594">
        <v>0</v>
      </c>
      <c r="AF189" s="594">
        <v>0</v>
      </c>
      <c r="AG189" s="594"/>
      <c r="AH189" s="594">
        <v>0</v>
      </c>
      <c r="AI189" s="594"/>
      <c r="AJ189" s="594"/>
      <c r="AK189" s="594"/>
      <c r="AL189" s="594"/>
      <c r="AM189" s="594">
        <v>0</v>
      </c>
      <c r="AN189" s="594">
        <v>0</v>
      </c>
      <c r="AO189" s="598"/>
      <c r="AP189" s="594">
        <v>0</v>
      </c>
      <c r="AQ189" s="594">
        <v>0</v>
      </c>
      <c r="AR189" s="599"/>
      <c r="AS189" s="594"/>
      <c r="AT189" s="594"/>
      <c r="AU189" s="594"/>
      <c r="AV189" s="594"/>
      <c r="AW189" s="594">
        <v>0</v>
      </c>
      <c r="AX189" s="593" t="s">
        <v>43</v>
      </c>
      <c r="AY189" s="598" t="s">
        <v>140</v>
      </c>
      <c r="AZ189" s="594">
        <v>0</v>
      </c>
      <c r="BA189" s="594">
        <v>0</v>
      </c>
      <c r="BB189" s="594"/>
      <c r="BC189" s="594"/>
      <c r="BD189" s="523">
        <v>0</v>
      </c>
      <c r="BE189" s="719" t="s">
        <v>3276</v>
      </c>
      <c r="BF189" s="594">
        <v>2</v>
      </c>
      <c r="BG189" s="594"/>
      <c r="BH189" s="594">
        <v>0</v>
      </c>
      <c r="BI189" s="594"/>
      <c r="BJ189" s="594"/>
      <c r="BK189" s="594">
        <v>0</v>
      </c>
      <c r="BL189" s="594"/>
      <c r="BM189" s="594"/>
      <c r="BN189" s="594"/>
      <c r="BO189" s="593"/>
      <c r="BP189" s="594"/>
      <c r="BQ189" s="599">
        <v>0.45</v>
      </c>
      <c r="BR189" s="593"/>
      <c r="BS189" s="472"/>
      <c r="BT189" s="472"/>
      <c r="BU189" s="523"/>
      <c r="BV189" s="472"/>
      <c r="BW189" s="523"/>
      <c r="BX189" s="523"/>
      <c r="BY189" s="523"/>
      <c r="BZ189" s="601" t="str">
        <f>IFERROR(WWWW[[#This Row],['#_Water sources passed]]/WWWW[[#This Row],['#_Water sources tested for fecal coliform ]],"no test")</f>
        <v>no test</v>
      </c>
      <c r="CA189" s="599" t="str">
        <f>IFERROR(WWWW[[#This Row],['#_Household passed]]/WWWW[[#This Row],['#_Household water samples tested for fecal coliform]],"no test")</f>
        <v>no test</v>
      </c>
      <c r="CB189" s="600" t="str">
        <f>IF(AND(WWWW[[#This Row],[% of water sources passed]]="no test",WWWW[[#This Row],[% Household passed]]="no test"),"No Test","Tested")</f>
        <v>No Test</v>
      </c>
      <c r="CC189" s="600">
        <f>WWWW[[#This Row],['#_Constructed/existing protected hand dug well]]-WWWW[[#This Row],['#_Non-functional protected hand dug well]]</f>
        <v>0</v>
      </c>
      <c r="CD189" s="600">
        <f>(WWWW[[#This Row],['#_Constructed/Existing tube wells/boreholes/handpumps_WASH_agency]]+WWWW[[#This Row],['#_Non-Cluster partner water tube-wells/boreholes/handpumps]])-WWWW[[#This Row],['#_Non-functional tube wells/boreholes/handpumps]]</f>
        <v>0</v>
      </c>
      <c r="CE189" s="600">
        <f>WWWW[[#This Row],['#_Constructed/Existingwater storage tank with gravity fed reticulation system]]-WWWW[[#This Row],['#_Non-functional storage tank gravity fed reticulation system]]</f>
        <v>0</v>
      </c>
      <c r="CF189" s="478">
        <f>(WWWW[[#This Row],['#_Water_Liters_supplied_by_Water boating or water trucking]]/90)/15</f>
        <v>0</v>
      </c>
      <c r="CG189" s="478">
        <f>WWWW[[#This Row],['#_Water_Liters_from_Constructed/Existing water distribution system from river or natural spring]]/90/15</f>
        <v>0</v>
      </c>
      <c r="CH189" s="478">
        <f>WWWW[[#This Row],['#_of water points in TLS/CFS /THF]]*500</f>
        <v>0</v>
      </c>
      <c r="CI18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18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189" s="599">
        <f>IF(WWWW[[#This Row],[Location Type 1]]="Village",WWWW[[#This Row],[Access to safe drinking water for Village]],WWWW[[#This Row],[Access to safe drinking water for Camp]])</f>
        <v>0</v>
      </c>
      <c r="CL189" s="597">
        <f>WWWW[[#This Row],[%Equitable and continuous access to sufficient quantity of safe drinking water]]*WWWW[[#This Row],[Total PoP ]]</f>
        <v>0</v>
      </c>
      <c r="CM189" s="599">
        <f>IF((WWWW[[#This Row],['#_Constructed/Existing protected/fenced ponds]]*250)/WWWW[[#This Row],[Total PoP ]]&gt;1,1,(WWWW[[#This Row],['#_Constructed/Existing protected/fenced ponds]]*250)/WWWW[[#This Row],[Total PoP ]])</f>
        <v>0</v>
      </c>
      <c r="CN189" s="597">
        <f>WWWW[[#This Row],[% Access to unimproved water points]]*WWWW[[#This Row],[Total PoP ]]</f>
        <v>0</v>
      </c>
      <c r="CO18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18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189" s="597">
        <f>WWWW[[#This Row],[HRP1]]/500</f>
        <v>0</v>
      </c>
      <c r="CR189" s="602">
        <f>1-WWWW[[#This Row],[% Equitable and continuous access to sufficient quantity of domestic water]]</f>
        <v>1</v>
      </c>
      <c r="CS189" s="597">
        <f>WWWW[[#This Row],[%equitable and continuous access to sufficient quantity of safe drinking and domestic water''s GAP]]*WWWW[[#This Row],[Total PoP ]]</f>
        <v>159</v>
      </c>
      <c r="CT189" s="600">
        <f>IF(WWWW[[#This Row],[Total required water points]]-WWWW[[#This Row],['#Water points coverage]]&lt;0,0,WWWW[[#This Row],[Total required water points]]-WWWW[[#This Row],['#Water points coverage]])</f>
        <v>1</v>
      </c>
      <c r="CU189" s="600">
        <f>ROUND(IF(WWWW[[#This Row],[Total PoP ]]&lt;500,1,WWWW[[#This Row],[Total PoP ]]/500),0)</f>
        <v>1</v>
      </c>
      <c r="CV189" s="600">
        <f>(WWWW[[#This Row],['#_Constructed latrines_by_WASHAgencies]]+WWWW[[#This Row],['#_Non Cluster partner latrines]])-WWWW[[#This Row],['#_Non-functional latrines]]</f>
        <v>0</v>
      </c>
      <c r="CW189" s="70">
        <f>WWWW[[#This Row],[HRP2]]/WWWW[[#This Row],[Total PoP ]]</f>
        <v>0</v>
      </c>
      <c r="CX18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18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8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89" s="600">
        <f>IF(WWWW[[#This Row],['# of functional latrines in THF supported by WASH partners during the reporting period2]]="",0,WWWW[[#This Row],['# of functional latrines in THF supported by WASH partners during the reporting period2]]*50)</f>
        <v>0</v>
      </c>
      <c r="DB189" s="600">
        <f>WWWW[[#This Row],['# students access to functioning school latrines_HRP5]]+WWWW[[#This Row],['# People access to functioning latrines in THF_HRP5]]</f>
        <v>0</v>
      </c>
      <c r="DC189" s="600">
        <f>ROUND(IF(WWWW[[#This Row],[Location Type 1]]="camp",WWWW[[#This Row],[Total PoP ]]/20,IF(WWWW[[#This Row],[Location Type 1]]="Temporary Location",WWWW[[#This Row],[Total PoP ]]/50,WWWW[[#This Row],[Total HH]])),0)</f>
        <v>8</v>
      </c>
      <c r="DD189" s="600">
        <f>IF(WWWW[[#This Row],[Total required Latrines]]-(WWWW[[#This Row],['#_Constructed latrines_by_WASHAgencies]]+WWWW[[#This Row],['#_Non Cluster partner latrines]])&lt;0,0,WWWW[[#This Row],[Total required Latrines]]-(WWWW[[#This Row],['#_Constructed latrines_by_WASHAgencies]]+WWWW[[#This Row],['#_Non Cluster partner latrines]]))</f>
        <v>8</v>
      </c>
      <c r="DE189" s="602">
        <f>1-WWWW[[#This Row],[% people access to functioning Latrine]]</f>
        <v>1</v>
      </c>
      <c r="DF189" s="601">
        <f>IF(OR(WWWW[[#This Row],['#_Non-functional latrines]]="",WWWW[[#This Row],['#_Non-functional latrines]]=0),0,WWWW[[#This Row],['#_Non-functional latrines]]/(WWWW[[#This Row],['#_Constructed latrines_by_WASHAgencies]]+WWWW[[#This Row],['#_Non Cluster partner latrines]]))</f>
        <v>0</v>
      </c>
      <c r="DG189" s="597">
        <f>IF(500*(WWWW[[#This Row],['#_male hygiene promoters]]+WWWW[[#This Row],['#_female hygiene promoters]])&gt;WWWW[[#This Row],[Total PoP ]],WWWW[[#This Row],[Total PoP ]],500*(WWWW[[#This Row],['#_male hygiene promoters]]+WWWW[[#This Row],['#_female hygiene promoters]]))</f>
        <v>0</v>
      </c>
      <c r="DH18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8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89" s="600">
        <f>IF(WWWW[[#This Row],['# People with access to soap]]&gt;WWWW[[#This Row],['# People with access to Sanity Pads]],WWWW[[#This Row],['# People with access to soap]],WWWW[[#This Row],['# People with access to Sanity Pads]])</f>
        <v>0</v>
      </c>
      <c r="DK189"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89" s="602">
        <f>IF(WWWW[[#This Row],[HRP3]]/WWWW[[#This Row],[Total PoP ]]&gt;1,1,WWWW[[#This Row],[HRP3]]/WWWW[[#This Row],[Total PoP ]])</f>
        <v>0</v>
      </c>
      <c r="DM189" s="601">
        <f>1-WWWW[[#This Row],[Hygiene Coverage%]]</f>
        <v>1</v>
      </c>
      <c r="DN189" s="599">
        <f>WWWW[[#This Row],['# people reached by regular dedicated hygiene promotion_5]]/WWWW[[#This Row],[Total PoP ]]</f>
        <v>0</v>
      </c>
      <c r="DO18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8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89" s="600">
        <f>WWWW[[#This Row],['#_Constructed/Existing hand washing stations]]-WWWW[[#This Row],['#_Non-Functional_hand_washing_stations]]</f>
        <v>2</v>
      </c>
      <c r="DR189" s="597">
        <f>IF(WWWW[[#This Row],['# Functional hand washing stations during reporting period]]*20&gt;WWWW[[#This Row],[Total HH]],WWWW[[#This Row],[Total HH]],WWWW[[#This Row],['# Functional hand washing stations during reporting period]]*20)</f>
        <v>31.8</v>
      </c>
      <c r="DS189" s="597">
        <f>IF(WWWW[[#This Row],[Is sufficient soap available for TLS? (Yes/No)]]="yes",WWWW[[#This Row],['#_Constructed/Existing hand washing stations at TLS]],0)</f>
        <v>0</v>
      </c>
      <c r="DT189" s="479">
        <f>IF(WWWW[[#This Row],['# Functional hand washing stations during reporting period]]*100&gt;WWWW[[#This Row],[Total PoP ]],WWWW[[#This Row],[Total PoP ]],WWWW[[#This Row],['# Functional hand washing stations during reporting period]]*100)</f>
        <v>159</v>
      </c>
      <c r="DU189" s="479" t="str">
        <f>IF(OR(WWWW[[#This Row],['#_students at TLS_CFS]]="",WWWW[[#This Row],['#_students at TLS_CFS]]=0),"No","Yes")</f>
        <v>Yes</v>
      </c>
      <c r="DV18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89" s="593">
        <f>VLOOKUP(WWWW[[#This Row],[Site Name]],SiteDB6[[Site Name]:[CCCM Management]],6,FALSE)</f>
        <v>0</v>
      </c>
      <c r="DZ189" s="593">
        <f>VLOOKUP(WWWW[[#This Row],[Site Name]],SiteDB6[[Site Name]:[CCCM Focal Agency]],7,FALSE)</f>
        <v>0</v>
      </c>
      <c r="EA189" s="593" t="str">
        <f>VLOOKUP(WWWW[[#This Row],[Site Name]],SiteDB6[[Site Name]:[Location Type 1]],9,FALSE)</f>
        <v>Camp</v>
      </c>
      <c r="EB189" s="593" t="str">
        <f>VLOOKUP(WWWW[[#This Row],[Site Name]],SiteDB6[[Site Name]:[Type of Accommodation]],10,FALSE)</f>
        <v>School</v>
      </c>
      <c r="EC189" s="593" t="str">
        <f>VLOOKUP(WWWW[[#This Row],[Site Name]],SiteDB6[[Site Name]:[Ethnic or GCA/NGCA]],11,FALSE)</f>
        <v>GCA</v>
      </c>
      <c r="ED189" s="593">
        <f>VLOOKUP(WWWW[[#This Row],[Site Name]],SiteDB6[[Site Name]:[Lat]],12,FALSE)</f>
        <v>0</v>
      </c>
      <c r="EE189" s="593">
        <f>VLOOKUP(WWWW[[#This Row],[Site Name]],SiteDB6[[Site Name]:[Long]],13,FALSE)</f>
        <v>0</v>
      </c>
      <c r="EF189" s="593">
        <f>VLOOKUP(WWWW[[#This Row],[Site Name]],SiteDB6[[Site Name]:[Pcode]],3,FALSE)</f>
        <v>0</v>
      </c>
      <c r="EG189" s="598" t="str">
        <f t="shared" si="2"/>
        <v>Covered</v>
      </c>
      <c r="EH189" s="598"/>
    </row>
    <row r="190" spans="1:138" hidden="1">
      <c r="A190" s="591" t="s">
        <v>3261</v>
      </c>
      <c r="B190" s="591" t="s">
        <v>279</v>
      </c>
      <c r="C190" s="592" t="s">
        <v>279</v>
      </c>
      <c r="D190" s="592" t="s">
        <v>3275</v>
      </c>
      <c r="E190" s="592" t="s">
        <v>39</v>
      </c>
      <c r="F190" s="592" t="s">
        <v>198</v>
      </c>
      <c r="G190" s="721" t="str">
        <f>VLOOKUP(WWWW[[#This Row],[Site Name]],SiteDB6[[Site Name]:[Location Type]],8,FALSE)</f>
        <v>Camp_not registered</v>
      </c>
      <c r="H190" s="592" t="s">
        <v>1095</v>
      </c>
      <c r="I190" s="594">
        <v>46</v>
      </c>
      <c r="J190" s="594">
        <v>276</v>
      </c>
      <c r="K190" s="717">
        <v>43468</v>
      </c>
      <c r="L190" s="718">
        <v>44226</v>
      </c>
      <c r="M190" s="594"/>
      <c r="N190" s="594">
        <v>0</v>
      </c>
      <c r="O190" s="594">
        <v>1</v>
      </c>
      <c r="P190" s="594">
        <v>0</v>
      </c>
      <c r="Q190" s="597" t="s">
        <v>43</v>
      </c>
      <c r="R190" s="594">
        <v>0</v>
      </c>
      <c r="S190" s="594">
        <v>2</v>
      </c>
      <c r="T190" s="523">
        <v>0</v>
      </c>
      <c r="U190" s="594"/>
      <c r="V190" s="594"/>
      <c r="W190" s="594">
        <v>1</v>
      </c>
      <c r="X190" s="594">
        <v>0</v>
      </c>
      <c r="Y190" s="594"/>
      <c r="Z190" s="594"/>
      <c r="AA190" s="594"/>
      <c r="AB190" s="594"/>
      <c r="AC190" s="594"/>
      <c r="AD190" s="594"/>
      <c r="AE190" s="594"/>
      <c r="AF190" s="594"/>
      <c r="AG190" s="594"/>
      <c r="AH190" s="594"/>
      <c r="AI190" s="594">
        <v>1</v>
      </c>
      <c r="AJ190" s="594"/>
      <c r="AK190" s="594">
        <v>12</v>
      </c>
      <c r="AL190" s="594"/>
      <c r="AM190" s="594">
        <v>3</v>
      </c>
      <c r="AN190" s="594"/>
      <c r="AO190" s="598"/>
      <c r="AP190" s="594">
        <v>13</v>
      </c>
      <c r="AQ190" s="594"/>
      <c r="AR190" s="599"/>
      <c r="AS190" s="594"/>
      <c r="AT190" s="523"/>
      <c r="AU190" s="523">
        <v>5</v>
      </c>
      <c r="AV190" s="523"/>
      <c r="AW190" s="594"/>
      <c r="AX190" s="593" t="s">
        <v>43</v>
      </c>
      <c r="AY190" s="598" t="s">
        <v>140</v>
      </c>
      <c r="AZ190" s="594">
        <v>0</v>
      </c>
      <c r="BA190" s="594">
        <v>0</v>
      </c>
      <c r="BB190" s="594"/>
      <c r="BC190" s="594"/>
      <c r="BD190" s="523">
        <v>1</v>
      </c>
      <c r="BE190" s="719" t="s">
        <v>3276</v>
      </c>
      <c r="BF190" s="594">
        <v>3</v>
      </c>
      <c r="BG190" s="594"/>
      <c r="BH190" s="594"/>
      <c r="BI190" s="594">
        <v>2</v>
      </c>
      <c r="BJ190" s="594"/>
      <c r="BK190" s="594">
        <v>0</v>
      </c>
      <c r="BL190" s="594">
        <v>1</v>
      </c>
      <c r="BM190" s="720">
        <v>30</v>
      </c>
      <c r="BN190" s="594"/>
      <c r="BO190" s="593"/>
      <c r="BP190" s="594"/>
      <c r="BQ190" s="599"/>
      <c r="BR190" s="593"/>
      <c r="BS190" s="472"/>
      <c r="BT190" s="472">
        <v>1</v>
      </c>
      <c r="BU190" s="523"/>
      <c r="BV190" s="472"/>
      <c r="BW190" s="523"/>
      <c r="BX190" s="523"/>
      <c r="BY190" s="523"/>
      <c r="BZ190" s="601">
        <f>IFERROR(WWWW[[#This Row],['#_Water sources passed]]/WWWW[[#This Row],['#_Water sources tested for fecal coliform ]],"no test")</f>
        <v>0</v>
      </c>
      <c r="CA190" s="599">
        <f>IFERROR(WWWW[[#This Row],['#_Household passed]]/WWWW[[#This Row],['#_Household water samples tested for fecal coliform]],"no test")</f>
        <v>0</v>
      </c>
      <c r="CB190" s="600" t="str">
        <f>IF(AND(WWWW[[#This Row],[% of water sources passed]]="no test",WWWW[[#This Row],[% Household passed]]="no test"),"No Test","Tested")</f>
        <v>Tested</v>
      </c>
      <c r="CC190" s="600">
        <f>WWWW[[#This Row],['#_Constructed/existing protected hand dug well]]-WWWW[[#This Row],['#_Non-functional protected hand dug well]]</f>
        <v>0</v>
      </c>
      <c r="CD190" s="600">
        <f>(WWWW[[#This Row],['#_Constructed/Existing tube wells/boreholes/handpumps_WASH_agency]]+WWWW[[#This Row],['#_Non-Cluster partner water tube-wells/boreholes/handpumps]])-WWWW[[#This Row],['#_Non-functional tube wells/boreholes/handpumps]]</f>
        <v>1</v>
      </c>
      <c r="CE190" s="600">
        <f>WWWW[[#This Row],['#_Constructed/Existingwater storage tank with gravity fed reticulation system]]-WWWW[[#This Row],['#_Non-functional storage tank gravity fed reticulation system]]</f>
        <v>0</v>
      </c>
      <c r="CF190" s="478">
        <f>(WWWW[[#This Row],['#_Water_Liters_supplied_by_Water boating or water trucking]]/90)/15</f>
        <v>0</v>
      </c>
      <c r="CG190" s="478">
        <f>WWWW[[#This Row],['#_Water_Liters_from_Constructed/Existing water distribution system from river or natural spring]]/90/15</f>
        <v>0</v>
      </c>
      <c r="CH190" s="478">
        <f>WWWW[[#This Row],['#_of water points in TLS/CFS /THF]]*500</f>
        <v>0</v>
      </c>
      <c r="CI19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0.90579710144927539</v>
      </c>
      <c r="CK190" s="599">
        <f>IF(WWWW[[#This Row],[Location Type 1]]="Village",WWWW[[#This Row],[Access to safe drinking water for Village]],WWWW[[#This Row],[Access to safe drinking water for Camp]])</f>
        <v>1</v>
      </c>
      <c r="CL190" s="597">
        <f>WWWW[[#This Row],[%Equitable and continuous access to sufficient quantity of safe drinking water]]*WWWW[[#This Row],[Total PoP ]]</f>
        <v>276</v>
      </c>
      <c r="CM190" s="599">
        <f>IF((WWWW[[#This Row],['#_Constructed/Existing protected/fenced ponds]]*250)/WWWW[[#This Row],[Total PoP ]]&gt;1,1,(WWWW[[#This Row],['#_Constructed/Existing protected/fenced ponds]]*250)/WWWW[[#This Row],[Total PoP ]])</f>
        <v>0</v>
      </c>
      <c r="CN190" s="597">
        <f>WWWW[[#This Row],[% Access to unimproved water points]]*WWWW[[#This Row],[Total PoP ]]</f>
        <v>0</v>
      </c>
      <c r="CO19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190" s="597">
        <f>WWWW[[#This Row],[HRP1]]/500</f>
        <v>0.55200000000000005</v>
      </c>
      <c r="CR190" s="602">
        <f>1-WWWW[[#This Row],[% Equitable and continuous access to sufficient quantity of domestic water]]</f>
        <v>0</v>
      </c>
      <c r="CS190" s="597">
        <f>WWWW[[#This Row],[%equitable and continuous access to sufficient quantity of safe drinking and domestic water''s GAP]]*WWWW[[#This Row],[Total PoP ]]</f>
        <v>0</v>
      </c>
      <c r="CT190" s="600">
        <f>IF(WWWW[[#This Row],[Total required water points]]-WWWW[[#This Row],['#Water points coverage]]&lt;0,0,WWWW[[#This Row],[Total required water points]]-WWWW[[#This Row],['#Water points coverage]])</f>
        <v>0.44799999999999995</v>
      </c>
      <c r="CU190" s="600">
        <f>ROUND(IF(WWWW[[#This Row],[Total PoP ]]&lt;500,1,WWWW[[#This Row],[Total PoP ]]/500),0)</f>
        <v>1</v>
      </c>
      <c r="CV190" s="600">
        <f>(WWWW[[#This Row],['#_Constructed latrines_by_WASHAgencies]]+WWWW[[#This Row],['#_Non Cluster partner latrines]])-WWWW[[#This Row],['#_Non-functional latrines]]</f>
        <v>13</v>
      </c>
      <c r="CW190" s="70">
        <f>WWWW[[#This Row],[HRP2]]/WWWW[[#This Row],[Total PoP ]]</f>
        <v>0.94565217391304346</v>
      </c>
      <c r="CX19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261</v>
      </c>
      <c r="CY19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9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0" s="600">
        <f>IF(WWWW[[#This Row],['# of functional latrines in THF supported by WASH partners during the reporting period2]]="",0,WWWW[[#This Row],['# of functional latrines in THF supported by WASH partners during the reporting period2]]*50)</f>
        <v>0</v>
      </c>
      <c r="DB190" s="600">
        <f>WWWW[[#This Row],['# students access to functioning school latrines_HRP5]]+WWWW[[#This Row],['# People access to functioning latrines in THF_HRP5]]</f>
        <v>0</v>
      </c>
      <c r="DC190" s="600">
        <f>ROUND(IF(WWWW[[#This Row],[Location Type 1]]="camp",WWWW[[#This Row],[Total PoP ]]/20,IF(WWWW[[#This Row],[Location Type 1]]="Temporary Location",WWWW[[#This Row],[Total PoP ]]/50,WWWW[[#This Row],[Total HH]])),0)</f>
        <v>14</v>
      </c>
      <c r="DD190" s="600">
        <f>IF(WWWW[[#This Row],[Total required Latrines]]-(WWWW[[#This Row],['#_Constructed latrines_by_WASHAgencies]]+WWWW[[#This Row],['#_Non Cluster partner latrines]])&lt;0,0,WWWW[[#This Row],[Total required Latrines]]-(WWWW[[#This Row],['#_Constructed latrines_by_WASHAgencies]]+WWWW[[#This Row],['#_Non Cluster partner latrines]]))</f>
        <v>1</v>
      </c>
      <c r="DE190" s="602">
        <f>1-WWWW[[#This Row],[% people access to functioning Latrine]]</f>
        <v>5.4347826086956541E-2</v>
      </c>
      <c r="DF190" s="601">
        <f>IF(OR(WWWW[[#This Row],['#_Non-functional latrines]]="",WWWW[[#This Row],['#_Non-functional latrines]]=0),0,WWWW[[#This Row],['#_Non-functional latrines]]/(WWWW[[#This Row],['#_Constructed latrines_by_WASHAgencies]]+WWWW[[#This Row],['#_Non Cluster partner latrines]]))</f>
        <v>0</v>
      </c>
      <c r="DG190" s="597">
        <f>IF(500*(WWWW[[#This Row],['#_male hygiene promoters]]+WWWW[[#This Row],['#_female hygiene promoters]])&gt;WWWW[[#This Row],[Total PoP ]],WWWW[[#This Row],[Total PoP ]],500*(WWWW[[#This Row],['#_male hygiene promoters]]+WWWW[[#This Row],['#_female hygiene promoters]]))</f>
        <v>276</v>
      </c>
      <c r="DH19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19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0" s="600">
        <f>IF(WWWW[[#This Row],['# People with access to soap]]&gt;WWWW[[#This Row],['# People with access to Sanity Pads]],WWWW[[#This Row],['# People with access to soap]],WWWW[[#This Row],['# People with access to Sanity Pads]])</f>
        <v>150</v>
      </c>
      <c r="DK190" s="600">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190" s="602">
        <f>IF(WWWW[[#This Row],[HRP3]]/WWWW[[#This Row],[Total PoP ]]&gt;1,1,WWWW[[#This Row],[HRP3]]/WWWW[[#This Row],[Total PoP ]])</f>
        <v>1</v>
      </c>
      <c r="DM190" s="601">
        <f>1-WWWW[[#This Row],[Hygiene Coverage%]]</f>
        <v>0</v>
      </c>
      <c r="DN190" s="599">
        <f>WWWW[[#This Row],['# people reached by regular dedicated hygiene promotion_5]]/WWWW[[#This Row],[Total PoP ]]</f>
        <v>1</v>
      </c>
      <c r="DO19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0" s="600">
        <f>WWWW[[#This Row],['#_Constructed/Existing hand washing stations]]-WWWW[[#This Row],['#_Non-Functional_hand_washing_stations]]</f>
        <v>3</v>
      </c>
      <c r="DR190" s="597">
        <f>IF(WWWW[[#This Row],['# Functional hand washing stations during reporting period]]*20&gt;WWWW[[#This Row],[Total HH]],WWWW[[#This Row],[Total HH]],WWWW[[#This Row],['# Functional hand washing stations during reporting period]]*20)</f>
        <v>46</v>
      </c>
      <c r="DS190" s="597">
        <f>IF(WWWW[[#This Row],[Is sufficient soap available for TLS? (Yes/No)]]="yes",WWWW[[#This Row],['#_Constructed/Existing hand washing stations at TLS]],0)</f>
        <v>0</v>
      </c>
      <c r="DT190" s="479">
        <f>IF(WWWW[[#This Row],['# Functional hand washing stations during reporting period]]*100&gt;WWWW[[#This Row],[Total PoP ]],WWWW[[#This Row],[Total PoP ]],WWWW[[#This Row],['# Functional hand washing stations during reporting period]]*100)</f>
        <v>276</v>
      </c>
      <c r="DU190" s="479" t="str">
        <f>IF(OR(WWWW[[#This Row],['#_students at TLS_CFS]]="",WWWW[[#This Row],['#_students at TLS_CFS]]=0),"No","Yes")</f>
        <v>No</v>
      </c>
      <c r="DV19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0" s="593">
        <f>VLOOKUP(WWWW[[#This Row],[Site Name]],SiteDB6[[Site Name]:[CCCM Management]],6,FALSE)</f>
        <v>0</v>
      </c>
      <c r="DZ190" s="593">
        <f>VLOOKUP(WWWW[[#This Row],[Site Name]],SiteDB6[[Site Name]:[CCCM Focal Agency]],7,FALSE)</f>
        <v>0</v>
      </c>
      <c r="EA190" s="593" t="str">
        <f>VLOOKUP(WWWW[[#This Row],[Site Name]],SiteDB6[[Site Name]:[Location Type 1]],9,FALSE)</f>
        <v>Camp</v>
      </c>
      <c r="EB190" s="593" t="str">
        <f>VLOOKUP(WWWW[[#This Row],[Site Name]],SiteDB6[[Site Name]:[Type of Accommodation]],10,FALSE)</f>
        <v>camp</v>
      </c>
      <c r="EC190" s="593" t="str">
        <f>VLOOKUP(WWWW[[#This Row],[Site Name]],SiteDB6[[Site Name]:[Ethnic or GCA/NGCA]],11,FALSE)</f>
        <v>GCA</v>
      </c>
      <c r="ED190" s="593">
        <f>VLOOKUP(WWWW[[#This Row],[Site Name]],SiteDB6[[Site Name]:[Lat]],12,FALSE)</f>
        <v>0</v>
      </c>
      <c r="EE190" s="593">
        <f>VLOOKUP(WWWW[[#This Row],[Site Name]],SiteDB6[[Site Name]:[Long]],13,FALSE)</f>
        <v>0</v>
      </c>
      <c r="EF190" s="593">
        <f>VLOOKUP(WWWW[[#This Row],[Site Name]],SiteDB6[[Site Name]:[Pcode]],3,FALSE)</f>
        <v>0</v>
      </c>
      <c r="EG190" s="598" t="str">
        <f t="shared" si="2"/>
        <v>Covered</v>
      </c>
      <c r="EH190" s="598">
        <f>VLOOKUP(WWWW[[#This Row],[Site Name]],Site_DB!$C$389:$D$1120,2,FALSE)</f>
        <v>0</v>
      </c>
    </row>
    <row r="191" spans="1:138" hidden="1">
      <c r="A191" s="591" t="s">
        <v>3261</v>
      </c>
      <c r="B191" s="591" t="s">
        <v>279</v>
      </c>
      <c r="C191" s="592" t="s">
        <v>279</v>
      </c>
      <c r="D191" s="592" t="s">
        <v>3275</v>
      </c>
      <c r="E191" s="592" t="s">
        <v>39</v>
      </c>
      <c r="F191" s="592" t="s">
        <v>198</v>
      </c>
      <c r="G191" s="721" t="str">
        <f>VLOOKUP(WWWW[[#This Row],[Site Name]],SiteDB6[[Site Name]:[Location Type]],8,FALSE)</f>
        <v>Camp</v>
      </c>
      <c r="H191" s="592" t="s">
        <v>280</v>
      </c>
      <c r="I191" s="594">
        <v>190</v>
      </c>
      <c r="J191" s="594">
        <v>745</v>
      </c>
      <c r="K191" s="717">
        <v>43468</v>
      </c>
      <c r="L191" s="718">
        <v>44226</v>
      </c>
      <c r="M191" s="594"/>
      <c r="N191" s="594"/>
      <c r="O191" s="594">
        <v>2</v>
      </c>
      <c r="P191" s="594"/>
      <c r="Q191" s="597" t="s">
        <v>43</v>
      </c>
      <c r="R191" s="523">
        <v>11</v>
      </c>
      <c r="S191" s="523">
        <v>3</v>
      </c>
      <c r="T191" s="523">
        <v>2</v>
      </c>
      <c r="U191" s="594"/>
      <c r="V191" s="594"/>
      <c r="W191" s="594">
        <v>5</v>
      </c>
      <c r="X191" s="594">
        <v>0</v>
      </c>
      <c r="Y191" s="594"/>
      <c r="Z191" s="594"/>
      <c r="AA191" s="594"/>
      <c r="AB191" s="594"/>
      <c r="AC191" s="594"/>
      <c r="AD191" s="594">
        <v>0</v>
      </c>
      <c r="AE191" s="594"/>
      <c r="AF191" s="594"/>
      <c r="AG191" s="594">
        <v>2</v>
      </c>
      <c r="AH191" s="594"/>
      <c r="AI191" s="594">
        <v>3</v>
      </c>
      <c r="AJ191" s="594"/>
      <c r="AK191" s="594">
        <v>15</v>
      </c>
      <c r="AL191" s="594"/>
      <c r="AM191" s="594">
        <v>6</v>
      </c>
      <c r="AN191" s="594"/>
      <c r="AO191" s="598"/>
      <c r="AP191" s="594">
        <v>38</v>
      </c>
      <c r="AQ191" s="594"/>
      <c r="AR191" s="599"/>
      <c r="AS191" s="594"/>
      <c r="AT191" s="523"/>
      <c r="AU191" s="523">
        <v>19</v>
      </c>
      <c r="AV191" s="523">
        <v>98</v>
      </c>
      <c r="AW191" s="594"/>
      <c r="AX191" s="593" t="s">
        <v>43</v>
      </c>
      <c r="AY191" s="598" t="s">
        <v>140</v>
      </c>
      <c r="AZ191" s="594">
        <v>0</v>
      </c>
      <c r="BA191" s="594">
        <v>0</v>
      </c>
      <c r="BB191" s="594"/>
      <c r="BC191" s="594"/>
      <c r="BD191" s="523"/>
      <c r="BE191" s="719" t="s">
        <v>3276</v>
      </c>
      <c r="BF191" s="594">
        <v>6</v>
      </c>
      <c r="BG191" s="594"/>
      <c r="BH191" s="594"/>
      <c r="BI191" s="594">
        <v>2</v>
      </c>
      <c r="BJ191" s="594"/>
      <c r="BK191" s="594">
        <v>0</v>
      </c>
      <c r="BL191" s="594">
        <v>1</v>
      </c>
      <c r="BM191" s="720">
        <v>176</v>
      </c>
      <c r="BN191" s="594"/>
      <c r="BO191" s="593"/>
      <c r="BP191" s="594"/>
      <c r="BQ191" s="599"/>
      <c r="BR191" s="593"/>
      <c r="BS191" s="472"/>
      <c r="BT191" s="472">
        <v>1</v>
      </c>
      <c r="BU191" s="523"/>
      <c r="BV191" s="472"/>
      <c r="BW191" s="523"/>
      <c r="BX191" s="523"/>
      <c r="BY191" s="523"/>
      <c r="BZ191" s="601">
        <f>IFERROR(WWWW[[#This Row],['#_Water sources passed]]/WWWW[[#This Row],['#_Water sources tested for fecal coliform ]],"no test")</f>
        <v>0</v>
      </c>
      <c r="CA191" s="599">
        <f>IFERROR(WWWW[[#This Row],['#_Household passed]]/WWWW[[#This Row],['#_Household water samples tested for fecal coliform]],"no test")</f>
        <v>0</v>
      </c>
      <c r="CB191" s="600" t="str">
        <f>IF(AND(WWWW[[#This Row],[% of water sources passed]]="no test",WWWW[[#This Row],[% Household passed]]="no test"),"No Test","Tested")</f>
        <v>Tested</v>
      </c>
      <c r="CC191" s="600">
        <f>WWWW[[#This Row],['#_Constructed/existing protected hand dug well]]-WWWW[[#This Row],['#_Non-functional protected hand dug well]]</f>
        <v>2</v>
      </c>
      <c r="CD191" s="600">
        <f>(WWWW[[#This Row],['#_Constructed/Existing tube wells/boreholes/handpumps_WASH_agency]]+WWWW[[#This Row],['#_Non-Cluster partner water tube-wells/boreholes/handpumps]])-WWWW[[#This Row],['#_Non-functional tube wells/boreholes/handpumps]]</f>
        <v>5</v>
      </c>
      <c r="CE191" s="600">
        <f>WWWW[[#This Row],['#_Constructed/Existingwater storage tank with gravity fed reticulation system]]-WWWW[[#This Row],['#_Non-functional storage tank gravity fed reticulation system]]</f>
        <v>0</v>
      </c>
      <c r="CF191" s="478">
        <f>(WWWW[[#This Row],['#_Water_Liters_supplied_by_Water boating or water trucking]]/90)/15</f>
        <v>0</v>
      </c>
      <c r="CG191" s="478">
        <f>WWWW[[#This Row],['#_Water_Liters_from_Constructed/Existing water distribution system from river or natural spring]]/90/15</f>
        <v>0</v>
      </c>
      <c r="CH191" s="478">
        <f>WWWW[[#This Row],['#_of water points in TLS/CFS /THF]]*500</f>
        <v>0</v>
      </c>
      <c r="CI19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1" s="599">
        <f>IF(WWWW[[#This Row],[Location Type 1]]="Village",WWWW[[#This Row],[Access to safe drinking water for Village]],WWWW[[#This Row],[Access to safe drinking water for Camp]])</f>
        <v>1</v>
      </c>
      <c r="CL191" s="597">
        <f>WWWW[[#This Row],[%Equitable and continuous access to sufficient quantity of safe drinking water]]*WWWW[[#This Row],[Total PoP ]]</f>
        <v>745</v>
      </c>
      <c r="CM191" s="599">
        <f>IF((WWWW[[#This Row],['#_Constructed/Existing protected/fenced ponds]]*250)/WWWW[[#This Row],[Total PoP ]]&gt;1,1,(WWWW[[#This Row],['#_Constructed/Existing protected/fenced ponds]]*250)/WWWW[[#This Row],[Total PoP ]])</f>
        <v>0</v>
      </c>
      <c r="CN191" s="597">
        <f>WWWW[[#This Row],[% Access to unimproved water points]]*WWWW[[#This Row],[Total PoP ]]</f>
        <v>0</v>
      </c>
      <c r="CO19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CQ191" s="597">
        <f>WWWW[[#This Row],[HRP1]]/500</f>
        <v>1.49</v>
      </c>
      <c r="CR191" s="602">
        <f>1-WWWW[[#This Row],[% Equitable and continuous access to sufficient quantity of domestic water]]</f>
        <v>0</v>
      </c>
      <c r="CS191" s="597">
        <f>WWWW[[#This Row],[%equitable and continuous access to sufficient quantity of safe drinking and domestic water''s GAP]]*WWWW[[#This Row],[Total PoP ]]</f>
        <v>0</v>
      </c>
      <c r="CT191" s="600">
        <f>IF(WWWW[[#This Row],[Total required water points]]-WWWW[[#This Row],['#Water points coverage]]&lt;0,0,WWWW[[#This Row],[Total required water points]]-WWWW[[#This Row],['#Water points coverage]])</f>
        <v>0</v>
      </c>
      <c r="CU191" s="600">
        <f>ROUND(IF(WWWW[[#This Row],[Total PoP ]]&lt;500,1,WWWW[[#This Row],[Total PoP ]]/500),0)</f>
        <v>1</v>
      </c>
      <c r="CV191" s="600">
        <f>(WWWW[[#This Row],['#_Constructed latrines_by_WASHAgencies]]+WWWW[[#This Row],['#_Non Cluster partner latrines]])-WWWW[[#This Row],['#_Non-functional latrines]]</f>
        <v>38</v>
      </c>
      <c r="CW191" s="70">
        <f>WWWW[[#This Row],[HRP2]]/WWWW[[#This Row],[Total PoP ]]</f>
        <v>1</v>
      </c>
      <c r="CX19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745</v>
      </c>
      <c r="CY19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19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1" s="600">
        <f>IF(WWWW[[#This Row],['# of functional latrines in THF supported by WASH partners during the reporting period2]]="",0,WWWW[[#This Row],['# of functional latrines in THF supported by WASH partners during the reporting period2]]*50)</f>
        <v>0</v>
      </c>
      <c r="DB191" s="600">
        <f>WWWW[[#This Row],['# students access to functioning school latrines_HRP5]]+WWWW[[#This Row],['# People access to functioning latrines in THF_HRP5]]</f>
        <v>0</v>
      </c>
      <c r="DC191" s="600">
        <f>ROUND(IF(WWWW[[#This Row],[Location Type 1]]="camp",WWWW[[#This Row],[Total PoP ]]/20,IF(WWWW[[#This Row],[Location Type 1]]="Temporary Location",WWWW[[#This Row],[Total PoP ]]/50,WWWW[[#This Row],[Total HH]])),0)</f>
        <v>37</v>
      </c>
      <c r="DD191" s="600">
        <f>IF(WWWW[[#This Row],[Total required Latrines]]-(WWWW[[#This Row],['#_Constructed latrines_by_WASHAgencies]]+WWWW[[#This Row],['#_Non Cluster partner latrines]])&lt;0,0,WWWW[[#This Row],[Total required Latrines]]-(WWWW[[#This Row],['#_Constructed latrines_by_WASHAgencies]]+WWWW[[#This Row],['#_Non Cluster partner latrines]]))</f>
        <v>0</v>
      </c>
      <c r="DE191" s="602">
        <f>1-WWWW[[#This Row],[% people access to functioning Latrine]]</f>
        <v>0</v>
      </c>
      <c r="DF191" s="601">
        <f>IF(OR(WWWW[[#This Row],['#_Non-functional latrines]]="",WWWW[[#This Row],['#_Non-functional latrines]]=0),0,WWWW[[#This Row],['#_Non-functional latrines]]/(WWWW[[#This Row],['#_Constructed latrines_by_WASHAgencies]]+WWWW[[#This Row],['#_Non Cluster partner latrines]]))</f>
        <v>0</v>
      </c>
      <c r="DG191" s="597">
        <f>IF(500*(WWWW[[#This Row],['#_male hygiene promoters]]+WWWW[[#This Row],['#_female hygiene promoters]])&gt;WWWW[[#This Row],[Total PoP ]],WWWW[[#This Row],[Total PoP ]],500*(WWWW[[#This Row],['#_male hygiene promoters]]+WWWW[[#This Row],['#_female hygiene promoters]]))</f>
        <v>500</v>
      </c>
      <c r="DH19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745</v>
      </c>
      <c r="DI19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1" s="600">
        <f>IF(WWWW[[#This Row],['# People with access to soap]]&gt;WWWW[[#This Row],['# People with access to Sanity Pads]],WWWW[[#This Row],['# People with access to soap]],WWWW[[#This Row],['# People with access to Sanity Pads]])</f>
        <v>745</v>
      </c>
      <c r="DK191" s="600">
        <f>IF(WWWW[[#This Row],['# people reached by regular dedicated hygiene promotion_5]]&gt;WWWW[[#This Row],['# People received regular supply of hygiene items_6]],WWWW[[#This Row],['# people reached by regular dedicated hygiene promotion_5]],WWWW[[#This Row],['# People received regular supply of hygiene items_6]])</f>
        <v>745</v>
      </c>
      <c r="DL191" s="602">
        <f>IF(WWWW[[#This Row],[HRP3]]/WWWW[[#This Row],[Total PoP ]]&gt;1,1,WWWW[[#This Row],[HRP3]]/WWWW[[#This Row],[Total PoP ]])</f>
        <v>1</v>
      </c>
      <c r="DM191" s="601">
        <f>1-WWWW[[#This Row],[Hygiene Coverage%]]</f>
        <v>0</v>
      </c>
      <c r="DN191" s="599">
        <f>WWWW[[#This Row],['# people reached by regular dedicated hygiene promotion_5]]/WWWW[[#This Row],[Total PoP ]]</f>
        <v>0.67114093959731547</v>
      </c>
      <c r="DO19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1" s="600">
        <f>WWWW[[#This Row],['#_Constructed/Existing hand washing stations]]-WWWW[[#This Row],['#_Non-Functional_hand_washing_stations]]</f>
        <v>6</v>
      </c>
      <c r="DR191" s="597">
        <f>IF(WWWW[[#This Row],['# Functional hand washing stations during reporting period]]*20&gt;WWWW[[#This Row],[Total HH]],WWWW[[#This Row],[Total HH]],WWWW[[#This Row],['# Functional hand washing stations during reporting period]]*20)</f>
        <v>120</v>
      </c>
      <c r="DS191" s="597">
        <f>IF(WWWW[[#This Row],[Is sufficient soap available for TLS? (Yes/No)]]="yes",WWWW[[#This Row],['#_Constructed/Existing hand washing stations at TLS]],0)</f>
        <v>0</v>
      </c>
      <c r="DT191" s="479">
        <f>IF(WWWW[[#This Row],['# Functional hand washing stations during reporting period]]*100&gt;WWWW[[#This Row],[Total PoP ]],WWWW[[#This Row],[Total PoP ]],WWWW[[#This Row],['# Functional hand washing stations during reporting period]]*100)</f>
        <v>600</v>
      </c>
      <c r="DU191" s="479" t="str">
        <f>IF(OR(WWWW[[#This Row],['#_students at TLS_CFS]]="",WWWW[[#This Row],['#_students at TLS_CFS]]=0),"No","Yes")</f>
        <v>No</v>
      </c>
      <c r="DV19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1" s="593" t="str">
        <f>VLOOKUP(WWWW[[#This Row],[Site Name]],SiteDB6[[Site Name]:[CCCM Management]],6,FALSE)</f>
        <v>Yes</v>
      </c>
      <c r="DZ191" s="593" t="str">
        <f>VLOOKUP(WWWW[[#This Row],[Site Name]],SiteDB6[[Site Name]:[CCCM Focal Agency]],7,FALSE)</f>
        <v>KMSS-BMO</v>
      </c>
      <c r="EA191" s="593" t="str">
        <f>VLOOKUP(WWWW[[#This Row],[Site Name]],SiteDB6[[Site Name]:[Location Type 1]],9,FALSE)</f>
        <v>Camp</v>
      </c>
      <c r="EB191" s="593" t="str">
        <f>VLOOKUP(WWWW[[#This Row],[Site Name]],SiteDB6[[Site Name]:[Type of Accommodation]],10,FALSE)</f>
        <v>Camp</v>
      </c>
      <c r="EC191" s="593" t="str">
        <f>VLOOKUP(WWWW[[#This Row],[Site Name]],SiteDB6[[Site Name]:[Ethnic or GCA/NGCA]],11,FALSE)</f>
        <v>GCA</v>
      </c>
      <c r="ED191" s="593">
        <f>VLOOKUP(WWWW[[#This Row],[Site Name]],SiteDB6[[Site Name]:[Lat]],12,FALSE)</f>
        <v>24.260719999999999</v>
      </c>
      <c r="EE191" s="593">
        <f>VLOOKUP(WWWW[[#This Row],[Site Name]],SiteDB6[[Site Name]:[Long]],13,FALSE)</f>
        <v>97.238829999999993</v>
      </c>
      <c r="EF191" s="593" t="str">
        <f>VLOOKUP(WWWW[[#This Row],[Site Name]],SiteDB6[[Site Name]:[Pcode]],3,FALSE)</f>
        <v>MMR001CMP050</v>
      </c>
      <c r="EG191" s="598" t="str">
        <f t="shared" si="2"/>
        <v>Covered</v>
      </c>
      <c r="EH191" s="598" t="str">
        <f>VLOOKUP(WWWW[[#This Row],[Site Name]],SiteDB6[[Site Name]:[open in cccm?]],2,FALSE)</f>
        <v>cccm_2019OCT</v>
      </c>
    </row>
    <row r="192" spans="1:138" hidden="1">
      <c r="A192" s="591" t="s">
        <v>3261</v>
      </c>
      <c r="B192" s="591" t="s">
        <v>279</v>
      </c>
      <c r="C192" s="592" t="s">
        <v>279</v>
      </c>
      <c r="D192" s="592" t="s">
        <v>3275</v>
      </c>
      <c r="E192" s="592" t="s">
        <v>39</v>
      </c>
      <c r="F192" s="592" t="s">
        <v>208</v>
      </c>
      <c r="G192" s="721" t="str">
        <f>VLOOKUP(WWWW[[#This Row],[Site Name]],SiteDB6[[Site Name]:[Location Type]],8,FALSE)</f>
        <v>Camp_not registered</v>
      </c>
      <c r="H192" s="592" t="s">
        <v>3036</v>
      </c>
      <c r="I192" s="594">
        <v>24</v>
      </c>
      <c r="J192" s="594">
        <v>93</v>
      </c>
      <c r="K192" s="717">
        <v>43468</v>
      </c>
      <c r="L192" s="718">
        <v>44226</v>
      </c>
      <c r="M192" s="594"/>
      <c r="N192" s="594"/>
      <c r="O192" s="594">
        <v>1</v>
      </c>
      <c r="P192" s="594"/>
      <c r="Q192" s="597" t="s">
        <v>43</v>
      </c>
      <c r="R192" s="594">
        <v>5</v>
      </c>
      <c r="S192" s="594">
        <v>5</v>
      </c>
      <c r="T192" s="523"/>
      <c r="U192" s="594"/>
      <c r="V192" s="594"/>
      <c r="W192" s="594">
        <v>2</v>
      </c>
      <c r="X192" s="594"/>
      <c r="Y192" s="594"/>
      <c r="Z192" s="594"/>
      <c r="AA192" s="594"/>
      <c r="AB192" s="594"/>
      <c r="AC192" s="594"/>
      <c r="AD192" s="594"/>
      <c r="AE192" s="594"/>
      <c r="AF192" s="594"/>
      <c r="AG192" s="594">
        <v>1</v>
      </c>
      <c r="AH192" s="594"/>
      <c r="AI192" s="594">
        <v>1</v>
      </c>
      <c r="AJ192" s="594"/>
      <c r="AK192" s="594">
        <v>2</v>
      </c>
      <c r="AL192" s="594"/>
      <c r="AM192" s="594">
        <v>5</v>
      </c>
      <c r="AN192" s="594"/>
      <c r="AO192" s="598"/>
      <c r="AP192" s="594">
        <v>1</v>
      </c>
      <c r="AQ192" s="594"/>
      <c r="AR192" s="599"/>
      <c r="AS192" s="594"/>
      <c r="AT192" s="594"/>
      <c r="AU192" s="523">
        <v>3</v>
      </c>
      <c r="AV192" s="523">
        <v>7</v>
      </c>
      <c r="AW192" s="594"/>
      <c r="AX192" s="593" t="s">
        <v>43</v>
      </c>
      <c r="AY192" s="598" t="s">
        <v>140</v>
      </c>
      <c r="AZ192" s="594"/>
      <c r="BA192" s="594"/>
      <c r="BB192" s="594"/>
      <c r="BC192" s="594"/>
      <c r="BD192" s="523"/>
      <c r="BE192" s="719" t="s">
        <v>3276</v>
      </c>
      <c r="BF192" s="594">
        <v>5</v>
      </c>
      <c r="BG192" s="594"/>
      <c r="BH192" s="594"/>
      <c r="BI192" s="594">
        <v>2</v>
      </c>
      <c r="BJ192" s="594"/>
      <c r="BK192" s="594"/>
      <c r="BL192" s="594">
        <v>1</v>
      </c>
      <c r="BM192" s="720">
        <v>24</v>
      </c>
      <c r="BN192" s="594"/>
      <c r="BO192" s="593"/>
      <c r="BP192" s="594"/>
      <c r="BQ192" s="599"/>
      <c r="BR192" s="593"/>
      <c r="BS192" s="472"/>
      <c r="BT192" s="472">
        <v>1</v>
      </c>
      <c r="BU192" s="523"/>
      <c r="BV192" s="472"/>
      <c r="BW192" s="523"/>
      <c r="BX192" s="523"/>
      <c r="BY192" s="523"/>
      <c r="BZ192" s="601">
        <f>IFERROR(WWWW[[#This Row],['#_Water sources passed]]/WWWW[[#This Row],['#_Water sources tested for fecal coliform ]],"no test")</f>
        <v>0</v>
      </c>
      <c r="CA192" s="599">
        <f>IFERROR(WWWW[[#This Row],['#_Household passed]]/WWWW[[#This Row],['#_Household water samples tested for fecal coliform]],"no test")</f>
        <v>0</v>
      </c>
      <c r="CB192" s="600" t="str">
        <f>IF(AND(WWWW[[#This Row],[% of water sources passed]]="no test",WWWW[[#This Row],[% Household passed]]="no test"),"No Test","Tested")</f>
        <v>Tested</v>
      </c>
      <c r="CC192" s="600">
        <f>WWWW[[#This Row],['#_Constructed/existing protected hand dug well]]-WWWW[[#This Row],['#_Non-functional protected hand dug well]]</f>
        <v>0</v>
      </c>
      <c r="CD192" s="600">
        <f>(WWWW[[#This Row],['#_Constructed/Existing tube wells/boreholes/handpumps_WASH_agency]]+WWWW[[#This Row],['#_Non-Cluster partner water tube-wells/boreholes/handpumps]])-WWWW[[#This Row],['#_Non-functional tube wells/boreholes/handpumps]]</f>
        <v>2</v>
      </c>
      <c r="CE192" s="600">
        <f>WWWW[[#This Row],['#_Constructed/Existingwater storage tank with gravity fed reticulation system]]-WWWW[[#This Row],['#_Non-functional storage tank gravity fed reticulation system]]</f>
        <v>0</v>
      </c>
      <c r="CF192" s="478">
        <f>(WWWW[[#This Row],['#_Water_Liters_supplied_by_Water boating or water trucking]]/90)/15</f>
        <v>0</v>
      </c>
      <c r="CG192" s="478">
        <f>WWWW[[#This Row],['#_Water_Liters_from_Constructed/Existing water distribution system from river or natural spring]]/90/15</f>
        <v>0</v>
      </c>
      <c r="CH192" s="478">
        <f>WWWW[[#This Row],['#_of water points in TLS/CFS /THF]]*500</f>
        <v>0</v>
      </c>
      <c r="CI19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2" s="599">
        <f>IF(WWWW[[#This Row],[Location Type 1]]="Village",WWWW[[#This Row],[Access to safe drinking water for Village]],WWWW[[#This Row],[Access to safe drinking water for Camp]])</f>
        <v>1</v>
      </c>
      <c r="CL192" s="597">
        <f>WWWW[[#This Row],[%Equitable and continuous access to sufficient quantity of safe drinking water]]*WWWW[[#This Row],[Total PoP ]]</f>
        <v>93</v>
      </c>
      <c r="CM192" s="599">
        <f>IF((WWWW[[#This Row],['#_Constructed/Existing protected/fenced ponds]]*250)/WWWW[[#This Row],[Total PoP ]]&gt;1,1,(WWWW[[#This Row],['#_Constructed/Existing protected/fenced ponds]]*250)/WWWW[[#This Row],[Total PoP ]])</f>
        <v>0</v>
      </c>
      <c r="CN192" s="597">
        <f>WWWW[[#This Row],[% Access to unimproved water points]]*WWWW[[#This Row],[Total PoP ]]</f>
        <v>0</v>
      </c>
      <c r="CO19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CQ192" s="597">
        <f>WWWW[[#This Row],[HRP1]]/500</f>
        <v>0.186</v>
      </c>
      <c r="CR192" s="602">
        <f>1-WWWW[[#This Row],[% Equitable and continuous access to sufficient quantity of domestic water]]</f>
        <v>0</v>
      </c>
      <c r="CS192" s="597">
        <f>WWWW[[#This Row],[%equitable and continuous access to sufficient quantity of safe drinking and domestic water''s GAP]]*WWWW[[#This Row],[Total PoP ]]</f>
        <v>0</v>
      </c>
      <c r="CT192" s="600">
        <f>IF(WWWW[[#This Row],[Total required water points]]-WWWW[[#This Row],['#Water points coverage]]&lt;0,0,WWWW[[#This Row],[Total required water points]]-WWWW[[#This Row],['#Water points coverage]])</f>
        <v>0.81400000000000006</v>
      </c>
      <c r="CU192" s="600">
        <f>ROUND(IF(WWWW[[#This Row],[Total PoP ]]&lt;500,1,WWWW[[#This Row],[Total PoP ]]/500),0)</f>
        <v>1</v>
      </c>
      <c r="CV192" s="600">
        <f>(WWWW[[#This Row],['#_Constructed latrines_by_WASHAgencies]]+WWWW[[#This Row],['#_Non Cluster partner latrines]])-WWWW[[#This Row],['#_Non-functional latrines]]</f>
        <v>1</v>
      </c>
      <c r="CW192" s="70">
        <f>WWWW[[#This Row],[HRP2]]/WWWW[[#This Row],[Total PoP ]]</f>
        <v>0.21505376344086022</v>
      </c>
      <c r="CX19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19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9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2" s="600">
        <f>IF(WWWW[[#This Row],['# of functional latrines in THF supported by WASH partners during the reporting period2]]="",0,WWWW[[#This Row],['# of functional latrines in THF supported by WASH partners during the reporting period2]]*50)</f>
        <v>0</v>
      </c>
      <c r="DB192" s="600">
        <f>WWWW[[#This Row],['# students access to functioning school latrines_HRP5]]+WWWW[[#This Row],['# People access to functioning latrines in THF_HRP5]]</f>
        <v>0</v>
      </c>
      <c r="DC192" s="600">
        <f>ROUND(IF(WWWW[[#This Row],[Location Type 1]]="camp",WWWW[[#This Row],[Total PoP ]]/20,IF(WWWW[[#This Row],[Location Type 1]]="Temporary Location",WWWW[[#This Row],[Total PoP ]]/50,WWWW[[#This Row],[Total HH]])),0)</f>
        <v>5</v>
      </c>
      <c r="DD192" s="600">
        <f>IF(WWWW[[#This Row],[Total required Latrines]]-(WWWW[[#This Row],['#_Constructed latrines_by_WASHAgencies]]+WWWW[[#This Row],['#_Non Cluster partner latrines]])&lt;0,0,WWWW[[#This Row],[Total required Latrines]]-(WWWW[[#This Row],['#_Constructed latrines_by_WASHAgencies]]+WWWW[[#This Row],['#_Non Cluster partner latrines]]))</f>
        <v>4</v>
      </c>
      <c r="DE192" s="602">
        <f>1-WWWW[[#This Row],[% people access to functioning Latrine]]</f>
        <v>0.78494623655913975</v>
      </c>
      <c r="DF192" s="601">
        <f>IF(OR(WWWW[[#This Row],['#_Non-functional latrines]]="",WWWW[[#This Row],['#_Non-functional latrines]]=0),0,WWWW[[#This Row],['#_Non-functional latrines]]/(WWWW[[#This Row],['#_Constructed latrines_by_WASHAgencies]]+WWWW[[#This Row],['#_Non Cluster partner latrines]]))</f>
        <v>0</v>
      </c>
      <c r="DG192" s="597">
        <f>IF(500*(WWWW[[#This Row],['#_male hygiene promoters]]+WWWW[[#This Row],['#_female hygiene promoters]])&gt;WWWW[[#This Row],[Total PoP ]],WWWW[[#This Row],[Total PoP ]],500*(WWWW[[#This Row],['#_male hygiene promoters]]+WWWW[[#This Row],['#_female hygiene promoters]]))</f>
        <v>93</v>
      </c>
      <c r="DH19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93</v>
      </c>
      <c r="DI19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2" s="600">
        <f>IF(WWWW[[#This Row],['# People with access to soap]]&gt;WWWW[[#This Row],['# People with access to Sanity Pads]],WWWW[[#This Row],['# People with access to soap]],WWWW[[#This Row],['# People with access to Sanity Pads]])</f>
        <v>93</v>
      </c>
      <c r="DK192" s="600">
        <f>IF(WWWW[[#This Row],['# people reached by regular dedicated hygiene promotion_5]]&gt;WWWW[[#This Row],['# People received regular supply of hygiene items_6]],WWWW[[#This Row],['# people reached by regular dedicated hygiene promotion_5]],WWWW[[#This Row],['# People received regular supply of hygiene items_6]])</f>
        <v>93</v>
      </c>
      <c r="DL192" s="602">
        <f>IF(WWWW[[#This Row],[HRP3]]/WWWW[[#This Row],[Total PoP ]]&gt;1,1,WWWW[[#This Row],[HRP3]]/WWWW[[#This Row],[Total PoP ]])</f>
        <v>1</v>
      </c>
      <c r="DM192" s="601">
        <f>1-WWWW[[#This Row],[Hygiene Coverage%]]</f>
        <v>0</v>
      </c>
      <c r="DN192" s="599">
        <f>WWWW[[#This Row],['# people reached by regular dedicated hygiene promotion_5]]/WWWW[[#This Row],[Total PoP ]]</f>
        <v>1</v>
      </c>
      <c r="DO19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2" s="600">
        <f>WWWW[[#This Row],['#_Constructed/Existing hand washing stations]]-WWWW[[#This Row],['#_Non-Functional_hand_washing_stations]]</f>
        <v>5</v>
      </c>
      <c r="DR192" s="597">
        <f>IF(WWWW[[#This Row],['# Functional hand washing stations during reporting period]]*20&gt;WWWW[[#This Row],[Total HH]],WWWW[[#This Row],[Total HH]],WWWW[[#This Row],['# Functional hand washing stations during reporting period]]*20)</f>
        <v>24</v>
      </c>
      <c r="DS192" s="597">
        <f>IF(WWWW[[#This Row],[Is sufficient soap available for TLS? (Yes/No)]]="yes",WWWW[[#This Row],['#_Constructed/Existing hand washing stations at TLS]],0)</f>
        <v>0</v>
      </c>
      <c r="DT192" s="479">
        <f>IF(WWWW[[#This Row],['# Functional hand washing stations during reporting period]]*100&gt;WWWW[[#This Row],[Total PoP ]],WWWW[[#This Row],[Total PoP ]],WWWW[[#This Row],['# Functional hand washing stations during reporting period]]*100)</f>
        <v>93</v>
      </c>
      <c r="DU192" s="479" t="str">
        <f>IF(OR(WWWW[[#This Row],['#_students at TLS_CFS]]="",WWWW[[#This Row],['#_students at TLS_CFS]]=0),"No","Yes")</f>
        <v>No</v>
      </c>
      <c r="DV19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2" s="593">
        <f>VLOOKUP(WWWW[[#This Row],[Site Name]],SiteDB6[[Site Name]:[CCCM Management]],6,FALSE)</f>
        <v>0</v>
      </c>
      <c r="DZ192" s="593">
        <f>VLOOKUP(WWWW[[#This Row],[Site Name]],SiteDB6[[Site Name]:[CCCM Focal Agency]],7,FALSE)</f>
        <v>0</v>
      </c>
      <c r="EA192" s="593" t="str">
        <f>VLOOKUP(WWWW[[#This Row],[Site Name]],SiteDB6[[Site Name]:[Location Type 1]],9,FALSE)</f>
        <v>Camp</v>
      </c>
      <c r="EB192" s="593" t="str">
        <f>VLOOKUP(WWWW[[#This Row],[Site Name]],SiteDB6[[Site Name]:[Type of Accommodation]],10,FALSE)</f>
        <v>Camp</v>
      </c>
      <c r="EC192" s="593" t="str">
        <f>VLOOKUP(WWWW[[#This Row],[Site Name]],SiteDB6[[Site Name]:[Ethnic or GCA/NGCA]],11,FALSE)</f>
        <v>GCA</v>
      </c>
      <c r="ED192" s="593">
        <f>VLOOKUP(WWWW[[#This Row],[Site Name]],SiteDB6[[Site Name]:[Lat]],12,FALSE)</f>
        <v>0</v>
      </c>
      <c r="EE192" s="593">
        <f>VLOOKUP(WWWW[[#This Row],[Site Name]],SiteDB6[[Site Name]:[Long]],13,FALSE)</f>
        <v>0</v>
      </c>
      <c r="EF192" s="593">
        <f>VLOOKUP(WWWW[[#This Row],[Site Name]],SiteDB6[[Site Name]:[Pcode]],3,FALSE)</f>
        <v>0</v>
      </c>
      <c r="EG192" s="598" t="str">
        <f t="shared" si="2"/>
        <v>Covered</v>
      </c>
      <c r="EH192" s="598"/>
    </row>
    <row r="193" spans="1:138" hidden="1">
      <c r="A193" s="591" t="s">
        <v>3261</v>
      </c>
      <c r="B193" s="591" t="s">
        <v>279</v>
      </c>
      <c r="C193" s="592" t="s">
        <v>279</v>
      </c>
      <c r="D193" s="592" t="s">
        <v>3275</v>
      </c>
      <c r="E193" s="592" t="s">
        <v>39</v>
      </c>
      <c r="F193" s="592" t="s">
        <v>208</v>
      </c>
      <c r="G193" s="721" t="str">
        <f>VLOOKUP(WWWW[[#This Row],[Site Name]],SiteDB6[[Site Name]:[Location Type]],8,FALSE)</f>
        <v>Camp</v>
      </c>
      <c r="H193" s="592" t="s">
        <v>284</v>
      </c>
      <c r="I193" s="594">
        <v>34</v>
      </c>
      <c r="J193" s="594">
        <v>241</v>
      </c>
      <c r="K193" s="717">
        <v>43468</v>
      </c>
      <c r="L193" s="718">
        <v>44226</v>
      </c>
      <c r="M193" s="594"/>
      <c r="N193" s="594">
        <v>0</v>
      </c>
      <c r="O193" s="594">
        <v>1</v>
      </c>
      <c r="P193" s="594">
        <v>0</v>
      </c>
      <c r="Q193" s="597" t="s">
        <v>43</v>
      </c>
      <c r="R193" s="594">
        <v>5</v>
      </c>
      <c r="S193" s="594"/>
      <c r="T193" s="523">
        <v>1</v>
      </c>
      <c r="U193" s="594"/>
      <c r="V193" s="594"/>
      <c r="W193" s="594">
        <v>0</v>
      </c>
      <c r="X193" s="594">
        <v>0</v>
      </c>
      <c r="Y193" s="594"/>
      <c r="Z193" s="594"/>
      <c r="AA193" s="594"/>
      <c r="AB193" s="594"/>
      <c r="AC193" s="594"/>
      <c r="AD193" s="594"/>
      <c r="AE193" s="594"/>
      <c r="AF193" s="594"/>
      <c r="AG193" s="594">
        <v>1</v>
      </c>
      <c r="AH193" s="594"/>
      <c r="AI193" s="594">
        <v>1</v>
      </c>
      <c r="AJ193" s="594"/>
      <c r="AK193" s="594">
        <v>2</v>
      </c>
      <c r="AL193" s="594"/>
      <c r="AM193" s="594">
        <v>5</v>
      </c>
      <c r="AN193" s="594"/>
      <c r="AO193" s="598"/>
      <c r="AP193" s="594">
        <v>9</v>
      </c>
      <c r="AQ193" s="594"/>
      <c r="AR193" s="599"/>
      <c r="AS193" s="594"/>
      <c r="AT193" s="594"/>
      <c r="AU193" s="523">
        <v>6</v>
      </c>
      <c r="AV193" s="523">
        <v>21</v>
      </c>
      <c r="AW193" s="594"/>
      <c r="AX193" s="593" t="s">
        <v>43</v>
      </c>
      <c r="AY193" s="598" t="s">
        <v>140</v>
      </c>
      <c r="AZ193" s="594">
        <v>0</v>
      </c>
      <c r="BA193" s="594">
        <v>0</v>
      </c>
      <c r="BB193" s="594"/>
      <c r="BC193" s="594"/>
      <c r="BD193" s="523"/>
      <c r="BE193" s="719" t="s">
        <v>3276</v>
      </c>
      <c r="BF193" s="594">
        <v>5</v>
      </c>
      <c r="BG193" s="594"/>
      <c r="BH193" s="594"/>
      <c r="BI193" s="594">
        <v>1</v>
      </c>
      <c r="BJ193" s="594"/>
      <c r="BK193" s="594">
        <v>0</v>
      </c>
      <c r="BL193" s="594">
        <v>1</v>
      </c>
      <c r="BM193" s="720">
        <v>31</v>
      </c>
      <c r="BN193" s="594"/>
      <c r="BO193" s="593"/>
      <c r="BP193" s="594"/>
      <c r="BQ193" s="599"/>
      <c r="BR193" s="593"/>
      <c r="BS193" s="472"/>
      <c r="BT193" s="472">
        <v>1</v>
      </c>
      <c r="BU193" s="523"/>
      <c r="BV193" s="472"/>
      <c r="BW193" s="523"/>
      <c r="BX193" s="523"/>
      <c r="BY193" s="523"/>
      <c r="BZ193" s="601">
        <f>IFERROR(WWWW[[#This Row],['#_Water sources passed]]/WWWW[[#This Row],['#_Water sources tested for fecal coliform ]],"no test")</f>
        <v>0</v>
      </c>
      <c r="CA193" s="599">
        <f>IFERROR(WWWW[[#This Row],['#_Household passed]]/WWWW[[#This Row],['#_Household water samples tested for fecal coliform]],"no test")</f>
        <v>0</v>
      </c>
      <c r="CB193" s="600" t="str">
        <f>IF(AND(WWWW[[#This Row],[% of water sources passed]]="no test",WWWW[[#This Row],[% Household passed]]="no test"),"No Test","Tested")</f>
        <v>Tested</v>
      </c>
      <c r="CC193" s="600">
        <f>WWWW[[#This Row],['#_Constructed/existing protected hand dug well]]-WWWW[[#This Row],['#_Non-functional protected hand dug well]]</f>
        <v>1</v>
      </c>
      <c r="CD193" s="600">
        <f>(WWWW[[#This Row],['#_Constructed/Existing tube wells/boreholes/handpumps_WASH_agency]]+WWWW[[#This Row],['#_Non-Cluster partner water tube-wells/boreholes/handpumps]])-WWWW[[#This Row],['#_Non-functional tube wells/boreholes/handpumps]]</f>
        <v>0</v>
      </c>
      <c r="CE193" s="600">
        <f>WWWW[[#This Row],['#_Constructed/Existingwater storage tank with gravity fed reticulation system]]-WWWW[[#This Row],['#_Non-functional storage tank gravity fed reticulation system]]</f>
        <v>0</v>
      </c>
      <c r="CF193" s="478">
        <f>(WWWW[[#This Row],['#_Water_Liters_supplied_by_Water boating or water trucking]]/90)/15</f>
        <v>0</v>
      </c>
      <c r="CG193" s="478">
        <f>WWWW[[#This Row],['#_Water_Liters_from_Constructed/Existing water distribution system from river or natural spring]]/90/15</f>
        <v>0</v>
      </c>
      <c r="CH193" s="478">
        <f>WWWW[[#This Row],['#_of water points in TLS/CFS /THF]]*500</f>
        <v>0</v>
      </c>
      <c r="CI19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3" s="599">
        <f>IF(WWWW[[#This Row],[Location Type 1]]="Village",WWWW[[#This Row],[Access to safe drinking water for Village]],WWWW[[#This Row],[Access to safe drinking water for Camp]])</f>
        <v>1</v>
      </c>
      <c r="CL193" s="597">
        <f>WWWW[[#This Row],[%Equitable and continuous access to sufficient quantity of safe drinking water]]*WWWW[[#This Row],[Total PoP ]]</f>
        <v>241</v>
      </c>
      <c r="CM193" s="599">
        <f>IF((WWWW[[#This Row],['#_Constructed/Existing protected/fenced ponds]]*250)/WWWW[[#This Row],[Total PoP ]]&gt;1,1,(WWWW[[#This Row],['#_Constructed/Existing protected/fenced ponds]]*250)/WWWW[[#This Row],[Total PoP ]])</f>
        <v>0</v>
      </c>
      <c r="CN193" s="597">
        <f>WWWW[[#This Row],[% Access to unimproved water points]]*WWWW[[#This Row],[Total PoP ]]</f>
        <v>0</v>
      </c>
      <c r="CO19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Q193" s="597">
        <f>WWWW[[#This Row],[HRP1]]/500</f>
        <v>0.48199999999999998</v>
      </c>
      <c r="CR193" s="602">
        <f>1-WWWW[[#This Row],[% Equitable and continuous access to sufficient quantity of domestic water]]</f>
        <v>0</v>
      </c>
      <c r="CS193" s="597">
        <f>WWWW[[#This Row],[%equitable and continuous access to sufficient quantity of safe drinking and domestic water''s GAP]]*WWWW[[#This Row],[Total PoP ]]</f>
        <v>0</v>
      </c>
      <c r="CT193" s="600">
        <f>IF(WWWW[[#This Row],[Total required water points]]-WWWW[[#This Row],['#Water points coverage]]&lt;0,0,WWWW[[#This Row],[Total required water points]]-WWWW[[#This Row],['#Water points coverage]])</f>
        <v>0.51800000000000002</v>
      </c>
      <c r="CU193" s="600">
        <f>ROUND(IF(WWWW[[#This Row],[Total PoP ]]&lt;500,1,WWWW[[#This Row],[Total PoP ]]/500),0)</f>
        <v>1</v>
      </c>
      <c r="CV193" s="600">
        <f>(WWWW[[#This Row],['#_Constructed latrines_by_WASHAgencies]]+WWWW[[#This Row],['#_Non Cluster partner latrines]])-WWWW[[#This Row],['#_Non-functional latrines]]</f>
        <v>9</v>
      </c>
      <c r="CW193" s="70">
        <f>WWWW[[#This Row],[HRP2]]/WWWW[[#This Row],[Total PoP ]]</f>
        <v>0.74688796680497926</v>
      </c>
      <c r="CX19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19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19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3" s="600">
        <f>IF(WWWW[[#This Row],['# of functional latrines in THF supported by WASH partners during the reporting period2]]="",0,WWWW[[#This Row],['# of functional latrines in THF supported by WASH partners during the reporting period2]]*50)</f>
        <v>0</v>
      </c>
      <c r="DB193" s="600">
        <f>WWWW[[#This Row],['# students access to functioning school latrines_HRP5]]+WWWW[[#This Row],['# People access to functioning latrines in THF_HRP5]]</f>
        <v>0</v>
      </c>
      <c r="DC193" s="600">
        <f>ROUND(IF(WWWW[[#This Row],[Location Type 1]]="camp",WWWW[[#This Row],[Total PoP ]]/20,IF(WWWW[[#This Row],[Location Type 1]]="Temporary Location",WWWW[[#This Row],[Total PoP ]]/50,WWWW[[#This Row],[Total HH]])),0)</f>
        <v>12</v>
      </c>
      <c r="DD193" s="600">
        <f>IF(WWWW[[#This Row],[Total required Latrines]]-(WWWW[[#This Row],['#_Constructed latrines_by_WASHAgencies]]+WWWW[[#This Row],['#_Non Cluster partner latrines]])&lt;0,0,WWWW[[#This Row],[Total required Latrines]]-(WWWW[[#This Row],['#_Constructed latrines_by_WASHAgencies]]+WWWW[[#This Row],['#_Non Cluster partner latrines]]))</f>
        <v>3</v>
      </c>
      <c r="DE193" s="602">
        <f>1-WWWW[[#This Row],[% people access to functioning Latrine]]</f>
        <v>0.25311203319502074</v>
      </c>
      <c r="DF193" s="601">
        <f>IF(OR(WWWW[[#This Row],['#_Non-functional latrines]]="",WWWW[[#This Row],['#_Non-functional latrines]]=0),0,WWWW[[#This Row],['#_Non-functional latrines]]/(WWWW[[#This Row],['#_Constructed latrines_by_WASHAgencies]]+WWWW[[#This Row],['#_Non Cluster partner latrines]]))</f>
        <v>0</v>
      </c>
      <c r="DG193" s="597">
        <f>IF(500*(WWWW[[#This Row],['#_male hygiene promoters]]+WWWW[[#This Row],['#_female hygiene promoters]])&gt;WWWW[[#This Row],[Total PoP ]],WWWW[[#This Row],[Total PoP ]],500*(WWWW[[#This Row],['#_male hygiene promoters]]+WWWW[[#This Row],['#_female hygiene promoters]]))</f>
        <v>241</v>
      </c>
      <c r="DH19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19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3" s="600">
        <f>IF(WWWW[[#This Row],['# People with access to soap]]&gt;WWWW[[#This Row],['# People with access to Sanity Pads]],WWWW[[#This Row],['# People with access to soap]],WWWW[[#This Row],['# People with access to Sanity Pads]])</f>
        <v>155</v>
      </c>
      <c r="DK193" s="600">
        <f>IF(WWWW[[#This Row],['# people reached by regular dedicated hygiene promotion_5]]&gt;WWWW[[#This Row],['# People received regular supply of hygiene items_6]],WWWW[[#This Row],['# people reached by regular dedicated hygiene promotion_5]],WWWW[[#This Row],['# People received regular supply of hygiene items_6]])</f>
        <v>241</v>
      </c>
      <c r="DL193" s="602">
        <f>IF(WWWW[[#This Row],[HRP3]]/WWWW[[#This Row],[Total PoP ]]&gt;1,1,WWWW[[#This Row],[HRP3]]/WWWW[[#This Row],[Total PoP ]])</f>
        <v>1</v>
      </c>
      <c r="DM193" s="601">
        <f>1-WWWW[[#This Row],[Hygiene Coverage%]]</f>
        <v>0</v>
      </c>
      <c r="DN193" s="599">
        <f>WWWW[[#This Row],['# people reached by regular dedicated hygiene promotion_5]]/WWWW[[#This Row],[Total PoP ]]</f>
        <v>1</v>
      </c>
      <c r="DO19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3" s="600">
        <f>WWWW[[#This Row],['#_Constructed/Existing hand washing stations]]-WWWW[[#This Row],['#_Non-Functional_hand_washing_stations]]</f>
        <v>5</v>
      </c>
      <c r="DR193" s="597">
        <f>IF(WWWW[[#This Row],['# Functional hand washing stations during reporting period]]*20&gt;WWWW[[#This Row],[Total HH]],WWWW[[#This Row],[Total HH]],WWWW[[#This Row],['# Functional hand washing stations during reporting period]]*20)</f>
        <v>34</v>
      </c>
      <c r="DS193" s="597">
        <f>IF(WWWW[[#This Row],[Is sufficient soap available for TLS? (Yes/No)]]="yes",WWWW[[#This Row],['#_Constructed/Existing hand washing stations at TLS]],0)</f>
        <v>0</v>
      </c>
      <c r="DT193" s="479">
        <f>IF(WWWW[[#This Row],['# Functional hand washing stations during reporting period]]*100&gt;WWWW[[#This Row],[Total PoP ]],WWWW[[#This Row],[Total PoP ]],WWWW[[#This Row],['# Functional hand washing stations during reporting period]]*100)</f>
        <v>241</v>
      </c>
      <c r="DU193" s="479" t="str">
        <f>IF(OR(WWWW[[#This Row],['#_students at TLS_CFS]]="",WWWW[[#This Row],['#_students at TLS_CFS]]=0),"No","Yes")</f>
        <v>No</v>
      </c>
      <c r="DV19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3" s="593" t="str">
        <f>VLOOKUP(WWWW[[#This Row],[Site Name]],SiteDB6[[Site Name]:[CCCM Management]],6,FALSE)</f>
        <v>Yes</v>
      </c>
      <c r="DZ193" s="593" t="str">
        <f>VLOOKUP(WWWW[[#This Row],[Site Name]],SiteDB6[[Site Name]:[CCCM Focal Agency]],7,FALSE)</f>
        <v>KBC-BMO</v>
      </c>
      <c r="EA193" s="593" t="str">
        <f>VLOOKUP(WWWW[[#This Row],[Site Name]],SiteDB6[[Site Name]:[Location Type 1]],9,FALSE)</f>
        <v>Camp</v>
      </c>
      <c r="EB193" s="593" t="str">
        <f>VLOOKUP(WWWW[[#This Row],[Site Name]],SiteDB6[[Site Name]:[Type of Accommodation]],10,FALSE)</f>
        <v>Camp</v>
      </c>
      <c r="EC193" s="593" t="str">
        <f>VLOOKUP(WWWW[[#This Row],[Site Name]],SiteDB6[[Site Name]:[Ethnic or GCA/NGCA]],11,FALSE)</f>
        <v>GCA</v>
      </c>
      <c r="ED193" s="593">
        <f>VLOOKUP(WWWW[[#This Row],[Site Name]],SiteDB6[[Site Name]:[Lat]],12,FALSE)</f>
        <v>24.200972</v>
      </c>
      <c r="EE193" s="593">
        <f>VLOOKUP(WWWW[[#This Row],[Site Name]],SiteDB6[[Site Name]:[Long]],13,FALSE)</f>
        <v>97.718582999999995</v>
      </c>
      <c r="EF193" s="593" t="str">
        <f>VLOOKUP(WWWW[[#This Row],[Site Name]],SiteDB6[[Site Name]:[Pcode]],3,FALSE)</f>
        <v>MMR001CMP071</v>
      </c>
      <c r="EG193" s="598" t="str">
        <f t="shared" si="2"/>
        <v>Covered</v>
      </c>
      <c r="EH193" s="598" t="str">
        <f>VLOOKUP(WWWW[[#This Row],[Site Name]],SiteDB6[[Site Name]:[open in cccm?]],2,FALSE)</f>
        <v>cccm_2019OCT</v>
      </c>
    </row>
    <row r="194" spans="1:138" hidden="1">
      <c r="A194" s="591" t="s">
        <v>3261</v>
      </c>
      <c r="B194" s="591" t="s">
        <v>279</v>
      </c>
      <c r="C194" s="592" t="s">
        <v>279</v>
      </c>
      <c r="D194" s="592" t="s">
        <v>3275</v>
      </c>
      <c r="E194" s="592" t="s">
        <v>39</v>
      </c>
      <c r="F194" s="592" t="s">
        <v>208</v>
      </c>
      <c r="G194" s="721" t="str">
        <f>VLOOKUP(WWWW[[#This Row],[Site Name]],SiteDB6[[Site Name]:[Location Type]],8,FALSE)</f>
        <v>Camp</v>
      </c>
      <c r="H194" s="592" t="s">
        <v>285</v>
      </c>
      <c r="I194" s="594">
        <v>38</v>
      </c>
      <c r="J194" s="594">
        <v>289</v>
      </c>
      <c r="K194" s="717">
        <v>43468</v>
      </c>
      <c r="L194" s="718">
        <v>44226</v>
      </c>
      <c r="M194" s="594"/>
      <c r="N194" s="594"/>
      <c r="O194" s="594">
        <v>1</v>
      </c>
      <c r="P194" s="594">
        <v>0</v>
      </c>
      <c r="Q194" s="597" t="s">
        <v>43</v>
      </c>
      <c r="R194" s="594">
        <v>6</v>
      </c>
      <c r="S194" s="594"/>
      <c r="T194" s="523">
        <v>0</v>
      </c>
      <c r="U194" s="594"/>
      <c r="V194" s="594"/>
      <c r="W194" s="594">
        <v>1</v>
      </c>
      <c r="X194" s="594">
        <v>0</v>
      </c>
      <c r="Y194" s="594"/>
      <c r="Z194" s="594"/>
      <c r="AA194" s="594"/>
      <c r="AB194" s="594"/>
      <c r="AC194" s="594"/>
      <c r="AD194" s="594"/>
      <c r="AE194" s="594"/>
      <c r="AF194" s="594"/>
      <c r="AG194" s="594">
        <v>1</v>
      </c>
      <c r="AH194" s="594"/>
      <c r="AI194" s="594">
        <v>1</v>
      </c>
      <c r="AJ194" s="594"/>
      <c r="AK194" s="594">
        <v>2</v>
      </c>
      <c r="AL194" s="594"/>
      <c r="AM194" s="594"/>
      <c r="AN194" s="594"/>
      <c r="AO194" s="598"/>
      <c r="AP194" s="594">
        <v>18</v>
      </c>
      <c r="AQ194" s="594"/>
      <c r="AR194" s="599"/>
      <c r="AS194" s="594"/>
      <c r="AT194" s="594"/>
      <c r="AU194" s="594">
        <v>3</v>
      </c>
      <c r="AV194" s="594">
        <v>8</v>
      </c>
      <c r="AW194" s="594"/>
      <c r="AX194" s="593" t="s">
        <v>43</v>
      </c>
      <c r="AY194" s="598" t="s">
        <v>140</v>
      </c>
      <c r="AZ194" s="594">
        <v>0</v>
      </c>
      <c r="BA194" s="594">
        <v>0</v>
      </c>
      <c r="BB194" s="594"/>
      <c r="BC194" s="594"/>
      <c r="BD194" s="523"/>
      <c r="BE194" s="719" t="s">
        <v>3276</v>
      </c>
      <c r="BF194" s="594">
        <v>5</v>
      </c>
      <c r="BG194" s="594"/>
      <c r="BH194" s="594"/>
      <c r="BI194" s="594">
        <v>1</v>
      </c>
      <c r="BJ194" s="594"/>
      <c r="BK194" s="594">
        <v>0</v>
      </c>
      <c r="BL194" s="594">
        <v>1</v>
      </c>
      <c r="BM194" s="720">
        <v>38</v>
      </c>
      <c r="BN194" s="594"/>
      <c r="BO194" s="593"/>
      <c r="BP194" s="594"/>
      <c r="BQ194" s="599"/>
      <c r="BR194" s="593"/>
      <c r="BS194" s="472"/>
      <c r="BT194" s="472">
        <v>1</v>
      </c>
      <c r="BU194" s="523"/>
      <c r="BV194" s="472"/>
      <c r="BW194" s="523"/>
      <c r="BX194" s="523"/>
      <c r="BY194" s="523"/>
      <c r="BZ194" s="601">
        <f>IFERROR(WWWW[[#This Row],['#_Water sources passed]]/WWWW[[#This Row],['#_Water sources tested for fecal coliform ]],"no test")</f>
        <v>0</v>
      </c>
      <c r="CA194" s="599">
        <f>IFERROR(WWWW[[#This Row],['#_Household passed]]/WWWW[[#This Row],['#_Household water samples tested for fecal coliform]],"no test")</f>
        <v>0</v>
      </c>
      <c r="CB194" s="600" t="str">
        <f>IF(AND(WWWW[[#This Row],[% of water sources passed]]="no test",WWWW[[#This Row],[% Household passed]]="no test"),"No Test","Tested")</f>
        <v>Tested</v>
      </c>
      <c r="CC194" s="600">
        <f>WWWW[[#This Row],['#_Constructed/existing protected hand dug well]]-WWWW[[#This Row],['#_Non-functional protected hand dug well]]</f>
        <v>0</v>
      </c>
      <c r="CD194" s="600">
        <f>(WWWW[[#This Row],['#_Constructed/Existing tube wells/boreholes/handpumps_WASH_agency]]+WWWW[[#This Row],['#_Non-Cluster partner water tube-wells/boreholes/handpumps]])-WWWW[[#This Row],['#_Non-functional tube wells/boreholes/handpumps]]</f>
        <v>1</v>
      </c>
      <c r="CE194" s="600">
        <f>WWWW[[#This Row],['#_Constructed/Existingwater storage tank with gravity fed reticulation system]]-WWWW[[#This Row],['#_Non-functional storage tank gravity fed reticulation system]]</f>
        <v>0</v>
      </c>
      <c r="CF194" s="478">
        <f>(WWWW[[#This Row],['#_Water_Liters_supplied_by_Water boating or water trucking]]/90)/15</f>
        <v>0</v>
      </c>
      <c r="CG194" s="478">
        <f>WWWW[[#This Row],['#_Water_Liters_from_Constructed/Existing water distribution system from river or natural spring]]/90/15</f>
        <v>0</v>
      </c>
      <c r="CH194" s="478">
        <f>WWWW[[#This Row],['#_of water points in TLS/CFS /THF]]*500</f>
        <v>0</v>
      </c>
      <c r="CI19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194" s="599">
        <f>IF(WWWW[[#This Row],[Location Type 1]]="Village",WWWW[[#This Row],[Access to safe drinking water for Village]],WWWW[[#This Row],[Access to safe drinking water for Camp]])</f>
        <v>1</v>
      </c>
      <c r="CL194" s="597">
        <f>WWWW[[#This Row],[%Equitable and continuous access to sufficient quantity of safe drinking water]]*WWWW[[#This Row],[Total PoP ]]</f>
        <v>289</v>
      </c>
      <c r="CM194" s="599">
        <f>IF((WWWW[[#This Row],['#_Constructed/Existing protected/fenced ponds]]*250)/WWWW[[#This Row],[Total PoP ]]&gt;1,1,(WWWW[[#This Row],['#_Constructed/Existing protected/fenced ponds]]*250)/WWWW[[#This Row],[Total PoP ]])</f>
        <v>0</v>
      </c>
      <c r="CN194" s="597">
        <f>WWWW[[#This Row],[% Access to unimproved water points]]*WWWW[[#This Row],[Total PoP ]]</f>
        <v>0</v>
      </c>
      <c r="CO19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194" s="597">
        <f>WWWW[[#This Row],[HRP1]]/500</f>
        <v>0.57799999999999996</v>
      </c>
      <c r="CR194" s="602">
        <f>1-WWWW[[#This Row],[% Equitable and continuous access to sufficient quantity of domestic water]]</f>
        <v>0</v>
      </c>
      <c r="CS194" s="597">
        <f>WWWW[[#This Row],[%equitable and continuous access to sufficient quantity of safe drinking and domestic water''s GAP]]*WWWW[[#This Row],[Total PoP ]]</f>
        <v>0</v>
      </c>
      <c r="CT194" s="600">
        <f>IF(WWWW[[#This Row],[Total required water points]]-WWWW[[#This Row],['#Water points coverage]]&lt;0,0,WWWW[[#This Row],[Total required water points]]-WWWW[[#This Row],['#Water points coverage]])</f>
        <v>0.42200000000000004</v>
      </c>
      <c r="CU194" s="600">
        <f>ROUND(IF(WWWW[[#This Row],[Total PoP ]]&lt;500,1,WWWW[[#This Row],[Total PoP ]]/500),0)</f>
        <v>1</v>
      </c>
      <c r="CV194" s="600">
        <f>(WWWW[[#This Row],['#_Constructed latrines_by_WASHAgencies]]+WWWW[[#This Row],['#_Non Cluster partner latrines]])-WWWW[[#This Row],['#_Non-functional latrines]]</f>
        <v>18</v>
      </c>
      <c r="CW194" s="70">
        <f>WWWW[[#This Row],[HRP2]]/WWWW[[#This Row],[Total PoP ]]</f>
        <v>1</v>
      </c>
      <c r="CX19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289</v>
      </c>
      <c r="CY19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19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4" s="600">
        <f>IF(WWWW[[#This Row],['# of functional latrines in THF supported by WASH partners during the reporting period2]]="",0,WWWW[[#This Row],['# of functional latrines in THF supported by WASH partners during the reporting period2]]*50)</f>
        <v>0</v>
      </c>
      <c r="DB194" s="600">
        <f>WWWW[[#This Row],['# students access to functioning school latrines_HRP5]]+WWWW[[#This Row],['# People access to functioning latrines in THF_HRP5]]</f>
        <v>0</v>
      </c>
      <c r="DC194" s="600">
        <f>ROUND(IF(WWWW[[#This Row],[Location Type 1]]="camp",WWWW[[#This Row],[Total PoP ]]/20,IF(WWWW[[#This Row],[Location Type 1]]="Temporary Location",WWWW[[#This Row],[Total PoP ]]/50,WWWW[[#This Row],[Total HH]])),0)</f>
        <v>14</v>
      </c>
      <c r="DD194" s="600">
        <f>IF(WWWW[[#This Row],[Total required Latrines]]-(WWWW[[#This Row],['#_Constructed latrines_by_WASHAgencies]]+WWWW[[#This Row],['#_Non Cluster partner latrines]])&lt;0,0,WWWW[[#This Row],[Total required Latrines]]-(WWWW[[#This Row],['#_Constructed latrines_by_WASHAgencies]]+WWWW[[#This Row],['#_Non Cluster partner latrines]]))</f>
        <v>0</v>
      </c>
      <c r="DE194" s="602">
        <f>1-WWWW[[#This Row],[% people access to functioning Latrine]]</f>
        <v>0</v>
      </c>
      <c r="DF194" s="601">
        <f>IF(OR(WWWW[[#This Row],['#_Non-functional latrines]]="",WWWW[[#This Row],['#_Non-functional latrines]]=0),0,WWWW[[#This Row],['#_Non-functional latrines]]/(WWWW[[#This Row],['#_Constructed latrines_by_WASHAgencies]]+WWWW[[#This Row],['#_Non Cluster partner latrines]]))</f>
        <v>0</v>
      </c>
      <c r="DG194" s="597">
        <f>IF(500*(WWWW[[#This Row],['#_male hygiene promoters]]+WWWW[[#This Row],['#_female hygiene promoters]])&gt;WWWW[[#This Row],[Total PoP ]],WWWW[[#This Row],[Total PoP ]],500*(WWWW[[#This Row],['#_male hygiene promoters]]+WWWW[[#This Row],['#_female hygiene promoters]]))</f>
        <v>289</v>
      </c>
      <c r="DH19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289</v>
      </c>
      <c r="DI19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4" s="600">
        <f>IF(WWWW[[#This Row],['# People with access to soap]]&gt;WWWW[[#This Row],['# People with access to Sanity Pads]],WWWW[[#This Row],['# People with access to soap]],WWWW[[#This Row],['# People with access to Sanity Pads]])</f>
        <v>289</v>
      </c>
      <c r="DK194" s="600">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194" s="602">
        <f>IF(WWWW[[#This Row],[HRP3]]/WWWW[[#This Row],[Total PoP ]]&gt;1,1,WWWW[[#This Row],[HRP3]]/WWWW[[#This Row],[Total PoP ]])</f>
        <v>1</v>
      </c>
      <c r="DM194" s="601">
        <f>1-WWWW[[#This Row],[Hygiene Coverage%]]</f>
        <v>0</v>
      </c>
      <c r="DN194" s="599">
        <f>WWWW[[#This Row],['# people reached by regular dedicated hygiene promotion_5]]/WWWW[[#This Row],[Total PoP ]]</f>
        <v>1</v>
      </c>
      <c r="DO19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4" s="600">
        <f>WWWW[[#This Row],['#_Constructed/Existing hand washing stations]]-WWWW[[#This Row],['#_Non-Functional_hand_washing_stations]]</f>
        <v>5</v>
      </c>
      <c r="DR194" s="597">
        <f>IF(WWWW[[#This Row],['# Functional hand washing stations during reporting period]]*20&gt;WWWW[[#This Row],[Total HH]],WWWW[[#This Row],[Total HH]],WWWW[[#This Row],['# Functional hand washing stations during reporting period]]*20)</f>
        <v>38</v>
      </c>
      <c r="DS194" s="597">
        <f>IF(WWWW[[#This Row],[Is sufficient soap available for TLS? (Yes/No)]]="yes",WWWW[[#This Row],['#_Constructed/Existing hand washing stations at TLS]],0)</f>
        <v>0</v>
      </c>
      <c r="DT194" s="479">
        <f>IF(WWWW[[#This Row],['# Functional hand washing stations during reporting period]]*100&gt;WWWW[[#This Row],[Total PoP ]],WWWW[[#This Row],[Total PoP ]],WWWW[[#This Row],['# Functional hand washing stations during reporting period]]*100)</f>
        <v>289</v>
      </c>
      <c r="DU194" s="479" t="str">
        <f>IF(OR(WWWW[[#This Row],['#_students at TLS_CFS]]="",WWWW[[#This Row],['#_students at TLS_CFS]]=0),"No","Yes")</f>
        <v>No</v>
      </c>
      <c r="DV19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4" s="593" t="str">
        <f>VLOOKUP(WWWW[[#This Row],[Site Name]],SiteDB6[[Site Name]:[CCCM Management]],6,FALSE)</f>
        <v>Yes</v>
      </c>
      <c r="DZ194" s="593" t="str">
        <f>VLOOKUP(WWWW[[#This Row],[Site Name]],SiteDB6[[Site Name]:[CCCM Focal Agency]],7,FALSE)</f>
        <v>KMSS-BMO</v>
      </c>
      <c r="EA194" s="593" t="str">
        <f>VLOOKUP(WWWW[[#This Row],[Site Name]],SiteDB6[[Site Name]:[Location Type 1]],9,FALSE)</f>
        <v>Camp</v>
      </c>
      <c r="EB194" s="593" t="str">
        <f>VLOOKUP(WWWW[[#This Row],[Site Name]],SiteDB6[[Site Name]:[Type of Accommodation]],10,FALSE)</f>
        <v>Camp</v>
      </c>
      <c r="EC194" s="593" t="str">
        <f>VLOOKUP(WWWW[[#This Row],[Site Name]],SiteDB6[[Site Name]:[Ethnic or GCA/NGCA]],11,FALSE)</f>
        <v>GCA</v>
      </c>
      <c r="ED194" s="593">
        <f>VLOOKUP(WWWW[[#This Row],[Site Name]],SiteDB6[[Site Name]:[Lat]],12,FALSE)</f>
        <v>24.205417000000001</v>
      </c>
      <c r="EE194" s="593">
        <f>VLOOKUP(WWWW[[#This Row],[Site Name]],SiteDB6[[Site Name]:[Long]],13,FALSE)</f>
        <v>97.724566999999993</v>
      </c>
      <c r="EF194" s="593" t="str">
        <f>VLOOKUP(WWWW[[#This Row],[Site Name]],SiteDB6[[Site Name]:[Pcode]],3,FALSE)</f>
        <v>MMR001CMP069</v>
      </c>
      <c r="EG194" s="598" t="str">
        <f t="shared" si="2"/>
        <v>Covered</v>
      </c>
      <c r="EH194" s="598" t="str">
        <f>VLOOKUP(WWWW[[#This Row],[Site Name]],SiteDB6[[Site Name]:[open in cccm?]],2,FALSE)</f>
        <v>cccm_2019OCT</v>
      </c>
    </row>
    <row r="195" spans="1:138" hidden="1">
      <c r="A195" s="591" t="s">
        <v>3261</v>
      </c>
      <c r="B195" s="591" t="s">
        <v>279</v>
      </c>
      <c r="C195" s="592" t="s">
        <v>279</v>
      </c>
      <c r="D195" s="592" t="s">
        <v>3275</v>
      </c>
      <c r="E195" s="592" t="s">
        <v>39</v>
      </c>
      <c r="F195" s="592" t="s">
        <v>208</v>
      </c>
      <c r="G195" s="721" t="str">
        <f>VLOOKUP(WWWW[[#This Row],[Site Name]],SiteDB6[[Site Name]:[Location Type]],8,FALSE)</f>
        <v>Camp</v>
      </c>
      <c r="H195" s="592" t="s">
        <v>286</v>
      </c>
      <c r="I195" s="594">
        <v>203</v>
      </c>
      <c r="J195" s="594">
        <v>1138</v>
      </c>
      <c r="K195" s="717">
        <v>43468</v>
      </c>
      <c r="L195" s="718">
        <v>44226</v>
      </c>
      <c r="M195" s="594"/>
      <c r="N195" s="594">
        <v>0</v>
      </c>
      <c r="O195" s="594">
        <v>4</v>
      </c>
      <c r="P195" s="594">
        <v>0</v>
      </c>
      <c r="Q195" s="597" t="s">
        <v>43</v>
      </c>
      <c r="R195" s="594">
        <v>11</v>
      </c>
      <c r="S195" s="594">
        <v>4</v>
      </c>
      <c r="T195" s="523">
        <v>5</v>
      </c>
      <c r="U195" s="594"/>
      <c r="V195" s="594">
        <v>1</v>
      </c>
      <c r="W195" s="594">
        <v>3</v>
      </c>
      <c r="X195" s="594">
        <v>0</v>
      </c>
      <c r="Y195" s="594"/>
      <c r="Z195" s="594"/>
      <c r="AA195" s="594"/>
      <c r="AB195" s="594"/>
      <c r="AC195" s="594"/>
      <c r="AD195" s="594"/>
      <c r="AE195" s="594"/>
      <c r="AF195" s="594"/>
      <c r="AG195" s="594">
        <v>4</v>
      </c>
      <c r="AH195" s="594">
        <v>1</v>
      </c>
      <c r="AI195" s="594">
        <v>7</v>
      </c>
      <c r="AJ195" s="594"/>
      <c r="AK195" s="594">
        <v>20</v>
      </c>
      <c r="AL195" s="594">
        <v>1</v>
      </c>
      <c r="AM195" s="594">
        <v>15</v>
      </c>
      <c r="AN195" s="594"/>
      <c r="AO195" s="598"/>
      <c r="AP195" s="594">
        <v>38</v>
      </c>
      <c r="AQ195" s="594">
        <v>0</v>
      </c>
      <c r="AR195" s="599"/>
      <c r="AS195" s="594"/>
      <c r="AT195" s="594"/>
      <c r="AU195" s="523">
        <v>15</v>
      </c>
      <c r="AV195" s="523">
        <v>81</v>
      </c>
      <c r="AW195" s="594"/>
      <c r="AX195" s="593" t="s">
        <v>43</v>
      </c>
      <c r="AY195" s="598" t="s">
        <v>140</v>
      </c>
      <c r="AZ195" s="594"/>
      <c r="BA195" s="594"/>
      <c r="BB195" s="594"/>
      <c r="BC195" s="594"/>
      <c r="BD195" s="523"/>
      <c r="BE195" s="719" t="s">
        <v>3276</v>
      </c>
      <c r="BF195" s="594">
        <v>12</v>
      </c>
      <c r="BG195" s="594"/>
      <c r="BH195" s="594"/>
      <c r="BI195" s="594">
        <v>9</v>
      </c>
      <c r="BJ195" s="594"/>
      <c r="BK195" s="594"/>
      <c r="BL195" s="594">
        <v>4</v>
      </c>
      <c r="BM195" s="720">
        <v>210</v>
      </c>
      <c r="BN195" s="594"/>
      <c r="BO195" s="593"/>
      <c r="BP195" s="594"/>
      <c r="BQ195" s="599"/>
      <c r="BR195" s="593"/>
      <c r="BS195" s="472"/>
      <c r="BT195" s="472">
        <v>1</v>
      </c>
      <c r="BU195" s="523"/>
      <c r="BV195" s="472"/>
      <c r="BW195" s="523"/>
      <c r="BX195" s="523"/>
      <c r="BY195" s="523"/>
      <c r="BZ195" s="601">
        <f>IFERROR(WWWW[[#This Row],['#_Water sources passed]]/WWWW[[#This Row],['#_Water sources tested for fecal coliform ]],"no test")</f>
        <v>0</v>
      </c>
      <c r="CA195" s="599">
        <f>IFERROR(WWWW[[#This Row],['#_Household passed]]/WWWW[[#This Row],['#_Household water samples tested for fecal coliform]],"no test")</f>
        <v>0.05</v>
      </c>
      <c r="CB195" s="600" t="str">
        <f>IF(AND(WWWW[[#This Row],[% of water sources passed]]="no test",WWWW[[#This Row],[% Household passed]]="no test"),"No Test","Tested")</f>
        <v>Tested</v>
      </c>
      <c r="CC195" s="600">
        <f>WWWW[[#This Row],['#_Constructed/existing protected hand dug well]]-WWWW[[#This Row],['#_Non-functional protected hand dug well]]</f>
        <v>5</v>
      </c>
      <c r="CD195" s="600">
        <f>(WWWW[[#This Row],['#_Constructed/Existing tube wells/boreholes/handpumps_WASH_agency]]+WWWW[[#This Row],['#_Non-Cluster partner water tube-wells/boreholes/handpumps]])-WWWW[[#This Row],['#_Non-functional tube wells/boreholes/handpumps]]</f>
        <v>3</v>
      </c>
      <c r="CE195" s="600">
        <f>WWWW[[#This Row],['#_Constructed/Existingwater storage tank with gravity fed reticulation system]]-WWWW[[#This Row],['#_Non-functional storage tank gravity fed reticulation system]]</f>
        <v>0</v>
      </c>
      <c r="CF195" s="478">
        <f>(WWWW[[#This Row],['#_Water_Liters_supplied_by_Water boating or water trucking]]/90)/15</f>
        <v>0</v>
      </c>
      <c r="CG195" s="478">
        <f>WWWW[[#This Row],['#_Water_Liters_from_Constructed/Existing water distribution system from river or natural spring]]/90/15</f>
        <v>0</v>
      </c>
      <c r="CH195" s="478">
        <f>WWWW[[#This Row],['#_of water points in TLS/CFS /THF]]*500</f>
        <v>0</v>
      </c>
      <c r="CI19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5" s="599">
        <f>IF(WWWW[[#This Row],[Location Type 1]]="Village",WWWW[[#This Row],[Access to safe drinking water for Village]],WWWW[[#This Row],[Access to safe drinking water for Camp]])</f>
        <v>1</v>
      </c>
      <c r="CL195" s="597">
        <f>WWWW[[#This Row],[%Equitable and continuous access to sufficient quantity of safe drinking water]]*WWWW[[#This Row],[Total PoP ]]</f>
        <v>1138</v>
      </c>
      <c r="CM195" s="599">
        <f>IF((WWWW[[#This Row],['#_Constructed/Existing protected/fenced ponds]]*250)/WWWW[[#This Row],[Total PoP ]]&gt;1,1,(WWWW[[#This Row],['#_Constructed/Existing protected/fenced ponds]]*250)/WWWW[[#This Row],[Total PoP ]])</f>
        <v>0</v>
      </c>
      <c r="CN195" s="597">
        <f>WWWW[[#This Row],[% Access to unimproved water points]]*WWWW[[#This Row],[Total PoP ]]</f>
        <v>0</v>
      </c>
      <c r="CO19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1138</v>
      </c>
      <c r="CQ195" s="597">
        <f>WWWW[[#This Row],[HRP1]]/500</f>
        <v>2.2759999999999998</v>
      </c>
      <c r="CR195" s="602">
        <f>1-WWWW[[#This Row],[% Equitable and continuous access to sufficient quantity of domestic water]]</f>
        <v>0</v>
      </c>
      <c r="CS195" s="597">
        <f>WWWW[[#This Row],[%equitable and continuous access to sufficient quantity of safe drinking and domestic water''s GAP]]*WWWW[[#This Row],[Total PoP ]]</f>
        <v>0</v>
      </c>
      <c r="CT195" s="600">
        <f>IF(WWWW[[#This Row],[Total required water points]]-WWWW[[#This Row],['#Water points coverage]]&lt;0,0,WWWW[[#This Row],[Total required water points]]-WWWW[[#This Row],['#Water points coverage]])</f>
        <v>0</v>
      </c>
      <c r="CU195" s="600">
        <f>ROUND(IF(WWWW[[#This Row],[Total PoP ]]&lt;500,1,WWWW[[#This Row],[Total PoP ]]/500),0)</f>
        <v>2</v>
      </c>
      <c r="CV195" s="600">
        <f>(WWWW[[#This Row],['#_Constructed latrines_by_WASHAgencies]]+WWWW[[#This Row],['#_Non Cluster partner latrines]])-WWWW[[#This Row],['#_Non-functional latrines]]</f>
        <v>38</v>
      </c>
      <c r="CW195" s="70">
        <f>WWWW[[#This Row],[HRP2]]/WWWW[[#This Row],[Total PoP ]]</f>
        <v>0.66783831282952544</v>
      </c>
      <c r="CX19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CY19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Z19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5" s="600">
        <f>IF(WWWW[[#This Row],['# of functional latrines in THF supported by WASH partners during the reporting period2]]="",0,WWWW[[#This Row],['# of functional latrines in THF supported by WASH partners during the reporting period2]]*50)</f>
        <v>0</v>
      </c>
      <c r="DB195" s="600">
        <f>WWWW[[#This Row],['# students access to functioning school latrines_HRP5]]+WWWW[[#This Row],['# People access to functioning latrines in THF_HRP5]]</f>
        <v>0</v>
      </c>
      <c r="DC195" s="600">
        <f>ROUND(IF(WWWW[[#This Row],[Location Type 1]]="camp",WWWW[[#This Row],[Total PoP ]]/20,IF(WWWW[[#This Row],[Location Type 1]]="Temporary Location",WWWW[[#This Row],[Total PoP ]]/50,WWWW[[#This Row],[Total HH]])),0)</f>
        <v>57</v>
      </c>
      <c r="DD195" s="600">
        <f>IF(WWWW[[#This Row],[Total required Latrines]]-(WWWW[[#This Row],['#_Constructed latrines_by_WASHAgencies]]+WWWW[[#This Row],['#_Non Cluster partner latrines]])&lt;0,0,WWWW[[#This Row],[Total required Latrines]]-(WWWW[[#This Row],['#_Constructed latrines_by_WASHAgencies]]+WWWW[[#This Row],['#_Non Cluster partner latrines]]))</f>
        <v>19</v>
      </c>
      <c r="DE195" s="602">
        <f>1-WWWW[[#This Row],[% people access to functioning Latrine]]</f>
        <v>0.33216168717047456</v>
      </c>
      <c r="DF195" s="601">
        <f>IF(OR(WWWW[[#This Row],['#_Non-functional latrines]]="",WWWW[[#This Row],['#_Non-functional latrines]]=0),0,WWWW[[#This Row],['#_Non-functional latrines]]/(WWWW[[#This Row],['#_Constructed latrines_by_WASHAgencies]]+WWWW[[#This Row],['#_Non Cluster partner latrines]]))</f>
        <v>0</v>
      </c>
      <c r="DG195" s="597">
        <f>IF(500*(WWWW[[#This Row],['#_male hygiene promoters]]+WWWW[[#This Row],['#_female hygiene promoters]])&gt;WWWW[[#This Row],[Total PoP ]],WWWW[[#This Row],[Total PoP ]],500*(WWWW[[#This Row],['#_male hygiene promoters]]+WWWW[[#This Row],['#_female hygiene promoters]]))</f>
        <v>1138</v>
      </c>
      <c r="DH19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1050</v>
      </c>
      <c r="DI19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5" s="600">
        <f>IF(WWWW[[#This Row],['# People with access to soap]]&gt;WWWW[[#This Row],['# People with access to Sanity Pads]],WWWW[[#This Row],['# People with access to soap]],WWWW[[#This Row],['# People with access to Sanity Pads]])</f>
        <v>1050</v>
      </c>
      <c r="DK195" s="600">
        <f>IF(WWWW[[#This Row],['# people reached by regular dedicated hygiene promotion_5]]&gt;WWWW[[#This Row],['# People received regular supply of hygiene items_6]],WWWW[[#This Row],['# people reached by regular dedicated hygiene promotion_5]],WWWW[[#This Row],['# People received regular supply of hygiene items_6]])</f>
        <v>1138</v>
      </c>
      <c r="DL195" s="602">
        <f>IF(WWWW[[#This Row],[HRP3]]/WWWW[[#This Row],[Total PoP ]]&gt;1,1,WWWW[[#This Row],[HRP3]]/WWWW[[#This Row],[Total PoP ]])</f>
        <v>1</v>
      </c>
      <c r="DM195" s="601">
        <f>1-WWWW[[#This Row],[Hygiene Coverage%]]</f>
        <v>0</v>
      </c>
      <c r="DN195" s="599">
        <f>WWWW[[#This Row],['# people reached by regular dedicated hygiene promotion_5]]/WWWW[[#This Row],[Total PoP ]]</f>
        <v>1</v>
      </c>
      <c r="DO19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5" s="600">
        <f>WWWW[[#This Row],['#_Constructed/Existing hand washing stations]]-WWWW[[#This Row],['#_Non-Functional_hand_washing_stations]]</f>
        <v>12</v>
      </c>
      <c r="DR195" s="597">
        <f>IF(WWWW[[#This Row],['# Functional hand washing stations during reporting period]]*20&gt;WWWW[[#This Row],[Total HH]],WWWW[[#This Row],[Total HH]],WWWW[[#This Row],['# Functional hand washing stations during reporting period]]*20)</f>
        <v>203</v>
      </c>
      <c r="DS195" s="597">
        <f>IF(WWWW[[#This Row],[Is sufficient soap available for TLS? (Yes/No)]]="yes",WWWW[[#This Row],['#_Constructed/Existing hand washing stations at TLS]],0)</f>
        <v>0</v>
      </c>
      <c r="DT195" s="479">
        <f>IF(WWWW[[#This Row],['# Functional hand washing stations during reporting period]]*100&gt;WWWW[[#This Row],[Total PoP ]],WWWW[[#This Row],[Total PoP ]],WWWW[[#This Row],['# Functional hand washing stations during reporting period]]*100)</f>
        <v>1138</v>
      </c>
      <c r="DU195" s="479" t="str">
        <f>IF(OR(WWWW[[#This Row],['#_students at TLS_CFS]]="",WWWW[[#This Row],['#_students at TLS_CFS]]=0),"No","Yes")</f>
        <v>No</v>
      </c>
      <c r="DV19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5" s="593" t="str">
        <f>VLOOKUP(WWWW[[#This Row],[Site Name]],SiteDB6[[Site Name]:[CCCM Management]],6,FALSE)</f>
        <v>Yes</v>
      </c>
      <c r="DZ195" s="593" t="str">
        <f>VLOOKUP(WWWW[[#This Row],[Site Name]],SiteDB6[[Site Name]:[CCCM Focal Agency]],7,FALSE)</f>
        <v>KBC-BMO</v>
      </c>
      <c r="EA195" s="593" t="str">
        <f>VLOOKUP(WWWW[[#This Row],[Site Name]],SiteDB6[[Site Name]:[Location Type 1]],9,FALSE)</f>
        <v>Camp</v>
      </c>
      <c r="EB195" s="593" t="str">
        <f>VLOOKUP(WWWW[[#This Row],[Site Name]],SiteDB6[[Site Name]:[Type of Accommodation]],10,FALSE)</f>
        <v>Camp</v>
      </c>
      <c r="EC195" s="593" t="str">
        <f>VLOOKUP(WWWW[[#This Row],[Site Name]],SiteDB6[[Site Name]:[Ethnic or GCA/NGCA]],11,FALSE)</f>
        <v>GCA</v>
      </c>
      <c r="ED195" s="593">
        <f>VLOOKUP(WWWW[[#This Row],[Site Name]],SiteDB6[[Site Name]:[Lat]],12,FALSE)</f>
        <v>24.200433</v>
      </c>
      <c r="EE195" s="593">
        <f>VLOOKUP(WWWW[[#This Row],[Site Name]],SiteDB6[[Site Name]:[Long]],13,FALSE)</f>
        <v>97.717133000000004</v>
      </c>
      <c r="EF195" s="593" t="str">
        <f>VLOOKUP(WWWW[[#This Row],[Site Name]],SiteDB6[[Site Name]:[Pcode]],3,FALSE)</f>
        <v>MMR001CMP070</v>
      </c>
      <c r="EG195" s="598" t="str">
        <f t="shared" si="2"/>
        <v>Covered</v>
      </c>
      <c r="EH195" s="598" t="str">
        <f>VLOOKUP(WWWW[[#This Row],[Site Name]],SiteDB6[[Site Name]:[open in cccm?]],2,FALSE)</f>
        <v>cccm_2019OCT</v>
      </c>
    </row>
    <row r="196" spans="1:138" hidden="1">
      <c r="A196" s="591" t="s">
        <v>3261</v>
      </c>
      <c r="B196" s="591" t="s">
        <v>279</v>
      </c>
      <c r="C196" s="592" t="s">
        <v>279</v>
      </c>
      <c r="D196" s="592" t="s">
        <v>3275</v>
      </c>
      <c r="E196" s="592" t="s">
        <v>39</v>
      </c>
      <c r="F196" s="592" t="s">
        <v>208</v>
      </c>
      <c r="G196" s="721" t="str">
        <f>VLOOKUP(WWWW[[#This Row],[Site Name]],SiteDB6[[Site Name]:[Location Type]],8,FALSE)</f>
        <v>Camp_not registered</v>
      </c>
      <c r="H196" s="592" t="s">
        <v>291</v>
      </c>
      <c r="I196" s="594">
        <v>483.8</v>
      </c>
      <c r="J196" s="594">
        <v>2419</v>
      </c>
      <c r="K196" s="717">
        <v>43468</v>
      </c>
      <c r="L196" s="718">
        <v>44226</v>
      </c>
      <c r="M196" s="594">
        <v>2373</v>
      </c>
      <c r="N196" s="594">
        <v>0</v>
      </c>
      <c r="O196" s="594">
        <v>0</v>
      </c>
      <c r="P196" s="594">
        <v>0</v>
      </c>
      <c r="Q196" s="597" t="s">
        <v>43</v>
      </c>
      <c r="R196" s="594">
        <v>0</v>
      </c>
      <c r="S196" s="594">
        <v>4</v>
      </c>
      <c r="T196" s="523">
        <v>2</v>
      </c>
      <c r="U196" s="594"/>
      <c r="V196" s="594"/>
      <c r="W196" s="594">
        <v>1</v>
      </c>
      <c r="X196" s="594">
        <v>0</v>
      </c>
      <c r="Y196" s="594"/>
      <c r="Z196" s="594"/>
      <c r="AA196" s="594"/>
      <c r="AB196" s="594"/>
      <c r="AC196" s="594">
        <v>1</v>
      </c>
      <c r="AD196" s="594"/>
      <c r="AE196" s="594"/>
      <c r="AF196" s="594"/>
      <c r="AG196" s="594"/>
      <c r="AH196" s="594"/>
      <c r="AI196" s="594"/>
      <c r="AJ196" s="594"/>
      <c r="AK196" s="594"/>
      <c r="AL196" s="594"/>
      <c r="AM196" s="594"/>
      <c r="AN196" s="594">
        <v>2</v>
      </c>
      <c r="AO196" s="598"/>
      <c r="AP196" s="594">
        <v>7</v>
      </c>
      <c r="AQ196" s="594"/>
      <c r="AR196" s="599"/>
      <c r="AS196" s="594"/>
      <c r="AT196" s="594"/>
      <c r="AU196" s="523"/>
      <c r="AV196" s="523"/>
      <c r="AW196" s="594"/>
      <c r="AX196" s="593" t="s">
        <v>43</v>
      </c>
      <c r="AY196" s="598" t="s">
        <v>140</v>
      </c>
      <c r="AZ196" s="594">
        <v>0</v>
      </c>
      <c r="BA196" s="594">
        <v>0</v>
      </c>
      <c r="BB196" s="594"/>
      <c r="BC196" s="594"/>
      <c r="BD196" s="523"/>
      <c r="BE196" s="719" t="s">
        <v>3276</v>
      </c>
      <c r="BF196" s="594"/>
      <c r="BG196" s="594"/>
      <c r="BH196" s="594"/>
      <c r="BI196" s="594">
        <v>0</v>
      </c>
      <c r="BJ196" s="594"/>
      <c r="BK196" s="594">
        <v>0</v>
      </c>
      <c r="BL196" s="594">
        <v>0</v>
      </c>
      <c r="BM196" s="594"/>
      <c r="BN196" s="594"/>
      <c r="BO196" s="593"/>
      <c r="BP196" s="594"/>
      <c r="BQ196" s="599">
        <v>0.5</v>
      </c>
      <c r="BR196" s="593"/>
      <c r="BS196" s="472"/>
      <c r="BT196" s="472"/>
      <c r="BU196" s="523"/>
      <c r="BV196" s="472"/>
      <c r="BW196" s="523"/>
      <c r="BX196" s="523"/>
      <c r="BY196" s="523"/>
      <c r="BZ196" s="601" t="str">
        <f>IFERROR(WWWW[[#This Row],['#_Water sources passed]]/WWWW[[#This Row],['#_Water sources tested for fecal coliform ]],"no test")</f>
        <v>no test</v>
      </c>
      <c r="CA196" s="599" t="str">
        <f>IFERROR(WWWW[[#This Row],['#_Household passed]]/WWWW[[#This Row],['#_Household water samples tested for fecal coliform]],"no test")</f>
        <v>no test</v>
      </c>
      <c r="CB196" s="600" t="str">
        <f>IF(AND(WWWW[[#This Row],[% of water sources passed]]="no test",WWWW[[#This Row],[% Household passed]]="no test"),"No Test","Tested")</f>
        <v>No Test</v>
      </c>
      <c r="CC196" s="600">
        <f>WWWW[[#This Row],['#_Constructed/existing protected hand dug well]]-WWWW[[#This Row],['#_Non-functional protected hand dug well]]</f>
        <v>2</v>
      </c>
      <c r="CD196" s="600">
        <f>(WWWW[[#This Row],['#_Constructed/Existing tube wells/boreholes/handpumps_WASH_agency]]+WWWW[[#This Row],['#_Non-Cluster partner water tube-wells/boreholes/handpumps]])-WWWW[[#This Row],['#_Non-functional tube wells/boreholes/handpumps]]</f>
        <v>1</v>
      </c>
      <c r="CE196" s="600">
        <f>WWWW[[#This Row],['#_Constructed/Existingwater storage tank with gravity fed reticulation system]]-WWWW[[#This Row],['#_Non-functional storage tank gravity fed reticulation system]]</f>
        <v>0</v>
      </c>
      <c r="CF196" s="478">
        <f>(WWWW[[#This Row],['#_Water_Liters_supplied_by_Water boating or water trucking]]/90)/15</f>
        <v>0</v>
      </c>
      <c r="CG196" s="478">
        <f>WWWW[[#This Row],['#_Water_Liters_from_Constructed/Existing water distribution system from river or natural spring]]/90/15</f>
        <v>0</v>
      </c>
      <c r="CH196" s="478">
        <f>WWWW[[#This Row],['#_of water points in TLS/CFS /THF]]*500</f>
        <v>1000</v>
      </c>
      <c r="CI19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0.5374121537825548</v>
      </c>
      <c r="CJ19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0.31004547333608928</v>
      </c>
      <c r="CK196" s="599">
        <f>IF(WWWW[[#This Row],[Location Type 1]]="Village",WWWW[[#This Row],[Access to safe drinking water for Village]],WWWW[[#This Row],[Access to safe drinking water for Camp]])</f>
        <v>0.5374121537825548</v>
      </c>
      <c r="CL196" s="597">
        <f>WWWW[[#This Row],[%Equitable and continuous access to sufficient quantity of safe drinking water]]*WWWW[[#This Row],[Total PoP ]]</f>
        <v>1300</v>
      </c>
      <c r="CM196" s="599">
        <f>IF((WWWW[[#This Row],['#_Constructed/Existing protected/fenced ponds]]*250)/WWWW[[#This Row],[Total PoP ]]&gt;1,1,(WWWW[[#This Row],['#_Constructed/Existing protected/fenced ponds]]*250)/WWWW[[#This Row],[Total PoP ]])</f>
        <v>0</v>
      </c>
      <c r="CN196" s="597">
        <f>WWWW[[#This Row],[% Access to unimproved water points]]*WWWW[[#This Row],[Total PoP ]]</f>
        <v>0</v>
      </c>
      <c r="CO19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0.5374121537825548</v>
      </c>
      <c r="CP19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1300</v>
      </c>
      <c r="CQ196" s="597">
        <f>WWWW[[#This Row],[HRP1]]/500</f>
        <v>2.6</v>
      </c>
      <c r="CR196" s="602">
        <f>1-WWWW[[#This Row],[% Equitable and continuous access to sufficient quantity of domestic water]]</f>
        <v>0.4625878462174452</v>
      </c>
      <c r="CS196" s="597">
        <f>WWWW[[#This Row],[%equitable and continuous access to sufficient quantity of safe drinking and domestic water''s GAP]]*WWWW[[#This Row],[Total PoP ]]</f>
        <v>1119</v>
      </c>
      <c r="CT196" s="600">
        <f>IF(WWWW[[#This Row],[Total required water points]]-WWWW[[#This Row],['#Water points coverage]]&lt;0,0,WWWW[[#This Row],[Total required water points]]-WWWW[[#This Row],['#Water points coverage]])</f>
        <v>2.4</v>
      </c>
      <c r="CU196" s="600">
        <f>ROUND(IF(WWWW[[#This Row],[Total PoP ]]&lt;500,1,WWWW[[#This Row],[Total PoP ]]/500),0)</f>
        <v>5</v>
      </c>
      <c r="CV196" s="600">
        <f>(WWWW[[#This Row],['#_Constructed latrines_by_WASHAgencies]]+WWWW[[#This Row],['#_Non Cluster partner latrines]])-WWWW[[#This Row],['#_Non-functional latrines]]</f>
        <v>7</v>
      </c>
      <c r="CW196" s="70">
        <f>WWWW[[#This Row],[HRP2]]/WWWW[[#This Row],[Total PoP ]]</f>
        <v>5.7875155022736671E-2</v>
      </c>
      <c r="CX19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19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19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6" s="600">
        <f>IF(WWWW[[#This Row],['# of functional latrines in THF supported by WASH partners during the reporting period2]]="",0,WWWW[[#This Row],['# of functional latrines in THF supported by WASH partners during the reporting period2]]*50)</f>
        <v>0</v>
      </c>
      <c r="DB196" s="600">
        <f>WWWW[[#This Row],['# students access to functioning school latrines_HRP5]]+WWWW[[#This Row],['# People access to functioning latrines in THF_HRP5]]</f>
        <v>0</v>
      </c>
      <c r="DC196" s="600">
        <f>ROUND(IF(WWWW[[#This Row],[Location Type 1]]="camp",WWWW[[#This Row],[Total PoP ]]/20,IF(WWWW[[#This Row],[Location Type 1]]="Temporary Location",WWWW[[#This Row],[Total PoP ]]/50,WWWW[[#This Row],[Total HH]])),0)</f>
        <v>121</v>
      </c>
      <c r="DD196" s="600">
        <f>IF(WWWW[[#This Row],[Total required Latrines]]-(WWWW[[#This Row],['#_Constructed latrines_by_WASHAgencies]]+WWWW[[#This Row],['#_Non Cluster partner latrines]])&lt;0,0,WWWW[[#This Row],[Total required Latrines]]-(WWWW[[#This Row],['#_Constructed latrines_by_WASHAgencies]]+WWWW[[#This Row],['#_Non Cluster partner latrines]]))</f>
        <v>114</v>
      </c>
      <c r="DE196" s="602">
        <f>1-WWWW[[#This Row],[% people access to functioning Latrine]]</f>
        <v>0.94212484497726334</v>
      </c>
      <c r="DF196" s="601">
        <f>IF(OR(WWWW[[#This Row],['#_Non-functional latrines]]="",WWWW[[#This Row],['#_Non-functional latrines]]=0),0,WWWW[[#This Row],['#_Non-functional latrines]]/(WWWW[[#This Row],['#_Constructed latrines_by_WASHAgencies]]+WWWW[[#This Row],['#_Non Cluster partner latrines]]))</f>
        <v>0</v>
      </c>
      <c r="DG196" s="597">
        <f>IF(500*(WWWW[[#This Row],['#_male hygiene promoters]]+WWWW[[#This Row],['#_female hygiene promoters]])&gt;WWWW[[#This Row],[Total PoP ]],WWWW[[#This Row],[Total PoP ]],500*(WWWW[[#This Row],['#_male hygiene promoters]]+WWWW[[#This Row],['#_female hygiene promoters]]))</f>
        <v>0</v>
      </c>
      <c r="DH19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19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6" s="600">
        <f>IF(WWWW[[#This Row],['# People with access to soap]]&gt;WWWW[[#This Row],['# People with access to Sanity Pads]],WWWW[[#This Row],['# People with access to soap]],WWWW[[#This Row],['# People with access to Sanity Pads]])</f>
        <v>0</v>
      </c>
      <c r="DK196"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196" s="602">
        <f>IF(WWWW[[#This Row],[HRP3]]/WWWW[[#This Row],[Total PoP ]]&gt;1,1,WWWW[[#This Row],[HRP3]]/WWWW[[#This Row],[Total PoP ]])</f>
        <v>0</v>
      </c>
      <c r="DM196" s="601">
        <f>1-WWWW[[#This Row],[Hygiene Coverage%]]</f>
        <v>1</v>
      </c>
      <c r="DN196" s="599">
        <f>WWWW[[#This Row],['# people reached by regular dedicated hygiene promotion_5]]/WWWW[[#This Row],[Total PoP ]]</f>
        <v>0</v>
      </c>
      <c r="DO19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19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6" s="600">
        <f>WWWW[[#This Row],['#_Constructed/Existing hand washing stations]]-WWWW[[#This Row],['#_Non-Functional_hand_washing_stations]]</f>
        <v>0</v>
      </c>
      <c r="DR196" s="597">
        <f>IF(WWWW[[#This Row],['# Functional hand washing stations during reporting period]]*20&gt;WWWW[[#This Row],[Total HH]],WWWW[[#This Row],[Total HH]],WWWW[[#This Row],['# Functional hand washing stations during reporting period]]*20)</f>
        <v>0</v>
      </c>
      <c r="DS196" s="597">
        <f>IF(WWWW[[#This Row],[Is sufficient soap available for TLS? (Yes/No)]]="yes",WWWW[[#This Row],['#_Constructed/Existing hand washing stations at TLS]],0)</f>
        <v>0</v>
      </c>
      <c r="DT196" s="479">
        <f>IF(WWWW[[#This Row],['# Functional hand washing stations during reporting period]]*100&gt;WWWW[[#This Row],[Total PoP ]],WWWW[[#This Row],[Total PoP ]],WWWW[[#This Row],['# Functional hand washing stations during reporting period]]*100)</f>
        <v>0</v>
      </c>
      <c r="DU196" s="479" t="str">
        <f>IF(OR(WWWW[[#This Row],['#_students at TLS_CFS]]="",WWWW[[#This Row],['#_students at TLS_CFS]]=0),"No","Yes")</f>
        <v>Yes</v>
      </c>
      <c r="DV19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196" s="593">
        <f>VLOOKUP(WWWW[[#This Row],[Site Name]],SiteDB6[[Site Name]:[CCCM Management]],6,FALSE)</f>
        <v>0</v>
      </c>
      <c r="DZ196" s="593">
        <f>VLOOKUP(WWWW[[#This Row],[Site Name]],SiteDB6[[Site Name]:[CCCM Focal Agency]],7,FALSE)</f>
        <v>0</v>
      </c>
      <c r="EA196" s="593" t="str">
        <f>VLOOKUP(WWWW[[#This Row],[Site Name]],SiteDB6[[Site Name]:[Location Type 1]],9,FALSE)</f>
        <v>Camp</v>
      </c>
      <c r="EB196" s="593" t="str">
        <f>VLOOKUP(WWWW[[#This Row],[Site Name]],SiteDB6[[Site Name]:[Type of Accommodation]],10,FALSE)</f>
        <v>School</v>
      </c>
      <c r="EC196" s="593" t="str">
        <f>VLOOKUP(WWWW[[#This Row],[Site Name]],SiteDB6[[Site Name]:[Ethnic or GCA/NGCA]],11,FALSE)</f>
        <v>GCA</v>
      </c>
      <c r="ED196" s="593">
        <f>VLOOKUP(WWWW[[#This Row],[Site Name]],SiteDB6[[Site Name]:[Lat]],12,FALSE)</f>
        <v>0</v>
      </c>
      <c r="EE196" s="593">
        <f>VLOOKUP(WWWW[[#This Row],[Site Name]],SiteDB6[[Site Name]:[Long]],13,FALSE)</f>
        <v>0</v>
      </c>
      <c r="EF196" s="593">
        <f>VLOOKUP(WWWW[[#This Row],[Site Name]],SiteDB6[[Site Name]:[Pcode]],3,FALSE)</f>
        <v>0</v>
      </c>
      <c r="EG196" s="598" t="str">
        <f t="shared" si="2"/>
        <v>Covered</v>
      </c>
      <c r="EH196" s="598">
        <f>VLOOKUP(WWWW[[#This Row],[Site Name]],Site_DB!$C$389:$D$1120,2,FALSE)</f>
        <v>0</v>
      </c>
    </row>
    <row r="197" spans="1:138" hidden="1">
      <c r="A197" s="591" t="s">
        <v>3261</v>
      </c>
      <c r="B197" s="591" t="s">
        <v>279</v>
      </c>
      <c r="C197" s="592" t="s">
        <v>279</v>
      </c>
      <c r="D197" s="592" t="s">
        <v>3275</v>
      </c>
      <c r="E197" s="592" t="s">
        <v>39</v>
      </c>
      <c r="F197" s="592" t="s">
        <v>208</v>
      </c>
      <c r="G197" s="721" t="str">
        <f>VLOOKUP(WWWW[[#This Row],[Site Name]],SiteDB6[[Site Name]:[Location Type]],8,FALSE)</f>
        <v>Camp_not registered</v>
      </c>
      <c r="H197" s="592" t="s">
        <v>290</v>
      </c>
      <c r="I197" s="594">
        <v>117</v>
      </c>
      <c r="J197" s="594">
        <v>618</v>
      </c>
      <c r="K197" s="717">
        <v>43468</v>
      </c>
      <c r="L197" s="718">
        <v>44226</v>
      </c>
      <c r="M197" s="594"/>
      <c r="N197" s="594">
        <v>0</v>
      </c>
      <c r="O197" s="594">
        <v>2</v>
      </c>
      <c r="P197" s="594">
        <v>0</v>
      </c>
      <c r="Q197" s="597" t="s">
        <v>43</v>
      </c>
      <c r="R197" s="594">
        <v>7</v>
      </c>
      <c r="S197" s="594">
        <v>1</v>
      </c>
      <c r="T197" s="523">
        <v>1</v>
      </c>
      <c r="U197" s="594"/>
      <c r="V197" s="594"/>
      <c r="W197" s="594">
        <v>1</v>
      </c>
      <c r="X197" s="594">
        <v>0</v>
      </c>
      <c r="Y197" s="594"/>
      <c r="Z197" s="594"/>
      <c r="AA197" s="594"/>
      <c r="AB197" s="594"/>
      <c r="AC197" s="594"/>
      <c r="AD197" s="594"/>
      <c r="AE197" s="594"/>
      <c r="AF197" s="594"/>
      <c r="AG197" s="594">
        <v>2</v>
      </c>
      <c r="AH197" s="594"/>
      <c r="AI197" s="594">
        <v>1</v>
      </c>
      <c r="AJ197" s="594"/>
      <c r="AK197" s="594">
        <v>13</v>
      </c>
      <c r="AL197" s="594">
        <v>2</v>
      </c>
      <c r="AM197" s="594">
        <v>9</v>
      </c>
      <c r="AN197" s="594"/>
      <c r="AO197" s="598"/>
      <c r="AP197" s="594">
        <v>28</v>
      </c>
      <c r="AQ197" s="594"/>
      <c r="AR197" s="599"/>
      <c r="AS197" s="594"/>
      <c r="AT197" s="594"/>
      <c r="AU197" s="523">
        <v>17</v>
      </c>
      <c r="AV197" s="523">
        <v>60</v>
      </c>
      <c r="AW197" s="594"/>
      <c r="AX197" s="593" t="s">
        <v>43</v>
      </c>
      <c r="AY197" s="598" t="s">
        <v>140</v>
      </c>
      <c r="AZ197" s="594">
        <v>0</v>
      </c>
      <c r="BA197" s="594">
        <v>0</v>
      </c>
      <c r="BB197" s="594"/>
      <c r="BC197" s="594"/>
      <c r="BD197" s="523"/>
      <c r="BE197" s="719" t="s">
        <v>3276</v>
      </c>
      <c r="BF197" s="594">
        <v>9</v>
      </c>
      <c r="BG197" s="594"/>
      <c r="BH197" s="594"/>
      <c r="BI197" s="594">
        <v>4</v>
      </c>
      <c r="BJ197" s="594"/>
      <c r="BK197" s="594">
        <v>0</v>
      </c>
      <c r="BL197" s="594">
        <v>2</v>
      </c>
      <c r="BM197" s="720">
        <v>117</v>
      </c>
      <c r="BN197" s="594"/>
      <c r="BO197" s="593"/>
      <c r="BP197" s="594"/>
      <c r="BQ197" s="599"/>
      <c r="BR197" s="593"/>
      <c r="BS197" s="472"/>
      <c r="BT197" s="472">
        <v>1</v>
      </c>
      <c r="BU197" s="523"/>
      <c r="BV197" s="472"/>
      <c r="BW197" s="523"/>
      <c r="BX197" s="523"/>
      <c r="BY197" s="523"/>
      <c r="BZ197" s="601">
        <f>IFERROR(WWWW[[#This Row],['#_Water sources passed]]/WWWW[[#This Row],['#_Water sources tested for fecal coliform ]],"no test")</f>
        <v>0</v>
      </c>
      <c r="CA197" s="599">
        <f>IFERROR(WWWW[[#This Row],['#_Household passed]]/WWWW[[#This Row],['#_Household water samples tested for fecal coliform]],"no test")</f>
        <v>0.15384615384615385</v>
      </c>
      <c r="CB197" s="600" t="str">
        <f>IF(AND(WWWW[[#This Row],[% of water sources passed]]="no test",WWWW[[#This Row],[% Household passed]]="no test"),"No Test","Tested")</f>
        <v>Tested</v>
      </c>
      <c r="CC197" s="600">
        <f>WWWW[[#This Row],['#_Constructed/existing protected hand dug well]]-WWWW[[#This Row],['#_Non-functional protected hand dug well]]</f>
        <v>1</v>
      </c>
      <c r="CD197" s="600">
        <f>(WWWW[[#This Row],['#_Constructed/Existing tube wells/boreholes/handpumps_WASH_agency]]+WWWW[[#This Row],['#_Non-Cluster partner water tube-wells/boreholes/handpumps]])-WWWW[[#This Row],['#_Non-functional tube wells/boreholes/handpumps]]</f>
        <v>1</v>
      </c>
      <c r="CE197" s="600">
        <f>WWWW[[#This Row],['#_Constructed/Existingwater storage tank with gravity fed reticulation system]]-WWWW[[#This Row],['#_Non-functional storage tank gravity fed reticulation system]]</f>
        <v>0</v>
      </c>
      <c r="CF197" s="478">
        <f>(WWWW[[#This Row],['#_Water_Liters_supplied_by_Water boating or water trucking]]/90)/15</f>
        <v>0</v>
      </c>
      <c r="CG197" s="478">
        <f>WWWW[[#This Row],['#_Water_Liters_from_Constructed/Existing water distribution system from river or natural spring]]/90/15</f>
        <v>0</v>
      </c>
      <c r="CH197" s="478">
        <f>WWWW[[#This Row],['#_of water points in TLS/CFS /THF]]*500</f>
        <v>0</v>
      </c>
      <c r="CI197"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7"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0.80906148867313921</v>
      </c>
      <c r="CK197" s="599">
        <f>IF(WWWW[[#This Row],[Location Type 1]]="Village",WWWW[[#This Row],[Access to safe drinking water for Village]],WWWW[[#This Row],[Access to safe drinking water for Camp]])</f>
        <v>1</v>
      </c>
      <c r="CL197" s="597">
        <f>WWWW[[#This Row],[%Equitable and continuous access to sufficient quantity of safe drinking water]]*WWWW[[#This Row],[Total PoP ]]</f>
        <v>618</v>
      </c>
      <c r="CM197" s="599">
        <f>IF((WWWW[[#This Row],['#_Constructed/Existing protected/fenced ponds]]*250)/WWWW[[#This Row],[Total PoP ]]&gt;1,1,(WWWW[[#This Row],['#_Constructed/Existing protected/fenced ponds]]*250)/WWWW[[#This Row],[Total PoP ]])</f>
        <v>0</v>
      </c>
      <c r="CN197" s="597">
        <f>WWWW[[#This Row],[% Access to unimproved water points]]*WWWW[[#This Row],[Total PoP ]]</f>
        <v>0</v>
      </c>
      <c r="CO197"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7"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Q197" s="597">
        <f>WWWW[[#This Row],[HRP1]]/500</f>
        <v>1.236</v>
      </c>
      <c r="CR197" s="602">
        <f>1-WWWW[[#This Row],[% Equitable and continuous access to sufficient quantity of domestic water]]</f>
        <v>0</v>
      </c>
      <c r="CS197" s="597">
        <f>WWWW[[#This Row],[%equitable and continuous access to sufficient quantity of safe drinking and domestic water''s GAP]]*WWWW[[#This Row],[Total PoP ]]</f>
        <v>0</v>
      </c>
      <c r="CT197" s="600">
        <f>IF(WWWW[[#This Row],[Total required water points]]-WWWW[[#This Row],['#Water points coverage]]&lt;0,0,WWWW[[#This Row],[Total required water points]]-WWWW[[#This Row],['#Water points coverage]])</f>
        <v>0</v>
      </c>
      <c r="CU197" s="600">
        <f>ROUND(IF(WWWW[[#This Row],[Total PoP ]]&lt;500,1,WWWW[[#This Row],[Total PoP ]]/500),0)</f>
        <v>1</v>
      </c>
      <c r="CV197" s="600">
        <f>(WWWW[[#This Row],['#_Constructed latrines_by_WASHAgencies]]+WWWW[[#This Row],['#_Non Cluster partner latrines]])-WWWW[[#This Row],['#_Non-functional latrines]]</f>
        <v>28</v>
      </c>
      <c r="CW197" s="70">
        <f>WWWW[[#This Row],[HRP2]]/WWWW[[#This Row],[Total PoP ]]</f>
        <v>0.90614886731391586</v>
      </c>
      <c r="CX197"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197"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340</v>
      </c>
      <c r="CZ197"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7" s="600">
        <f>IF(WWWW[[#This Row],['# of functional latrines in THF supported by WASH partners during the reporting period2]]="",0,WWWW[[#This Row],['# of functional latrines in THF supported by WASH partners during the reporting period2]]*50)</f>
        <v>0</v>
      </c>
      <c r="DB197" s="600">
        <f>WWWW[[#This Row],['# students access to functioning school latrines_HRP5]]+WWWW[[#This Row],['# People access to functioning latrines in THF_HRP5]]</f>
        <v>0</v>
      </c>
      <c r="DC197" s="600">
        <f>ROUND(IF(WWWW[[#This Row],[Location Type 1]]="camp",WWWW[[#This Row],[Total PoP ]]/20,IF(WWWW[[#This Row],[Location Type 1]]="Temporary Location",WWWW[[#This Row],[Total PoP ]]/50,WWWW[[#This Row],[Total HH]])),0)</f>
        <v>31</v>
      </c>
      <c r="DD197" s="600">
        <f>IF(WWWW[[#This Row],[Total required Latrines]]-(WWWW[[#This Row],['#_Constructed latrines_by_WASHAgencies]]+WWWW[[#This Row],['#_Non Cluster partner latrines]])&lt;0,0,WWWW[[#This Row],[Total required Latrines]]-(WWWW[[#This Row],['#_Constructed latrines_by_WASHAgencies]]+WWWW[[#This Row],['#_Non Cluster partner latrines]]))</f>
        <v>3</v>
      </c>
      <c r="DE197" s="602">
        <f>1-WWWW[[#This Row],[% people access to functioning Latrine]]</f>
        <v>9.3851132686084138E-2</v>
      </c>
      <c r="DF197" s="601">
        <f>IF(OR(WWWW[[#This Row],['#_Non-functional latrines]]="",WWWW[[#This Row],['#_Non-functional latrines]]=0),0,WWWW[[#This Row],['#_Non-functional latrines]]/(WWWW[[#This Row],['#_Constructed latrines_by_WASHAgencies]]+WWWW[[#This Row],['#_Non Cluster partner latrines]]))</f>
        <v>0</v>
      </c>
      <c r="DG197" s="597">
        <f>IF(500*(WWWW[[#This Row],['#_male hygiene promoters]]+WWWW[[#This Row],['#_female hygiene promoters]])&gt;WWWW[[#This Row],[Total PoP ]],WWWW[[#This Row],[Total PoP ]],500*(WWWW[[#This Row],['#_male hygiene promoters]]+WWWW[[#This Row],['#_female hygiene promoters]]))</f>
        <v>618</v>
      </c>
      <c r="DH197"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618</v>
      </c>
      <c r="DI197"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7" s="600">
        <f>IF(WWWW[[#This Row],['# People with access to soap]]&gt;WWWW[[#This Row],['# People with access to Sanity Pads]],WWWW[[#This Row],['# People with access to soap]],WWWW[[#This Row],['# People with access to Sanity Pads]])</f>
        <v>618</v>
      </c>
      <c r="DK197" s="600">
        <f>IF(WWWW[[#This Row],['# people reached by regular dedicated hygiene promotion_5]]&gt;WWWW[[#This Row],['# People received regular supply of hygiene items_6]],WWWW[[#This Row],['# people reached by regular dedicated hygiene promotion_5]],WWWW[[#This Row],['# People received regular supply of hygiene items_6]])</f>
        <v>618</v>
      </c>
      <c r="DL197" s="602">
        <f>IF(WWWW[[#This Row],[HRP3]]/WWWW[[#This Row],[Total PoP ]]&gt;1,1,WWWW[[#This Row],[HRP3]]/WWWW[[#This Row],[Total PoP ]])</f>
        <v>1</v>
      </c>
      <c r="DM197" s="601">
        <f>1-WWWW[[#This Row],[Hygiene Coverage%]]</f>
        <v>0</v>
      </c>
      <c r="DN197" s="599">
        <f>WWWW[[#This Row],['# people reached by regular dedicated hygiene promotion_5]]/WWWW[[#This Row],[Total PoP ]]</f>
        <v>1</v>
      </c>
      <c r="DO197"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7"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7" s="600">
        <f>WWWW[[#This Row],['#_Constructed/Existing hand washing stations]]-WWWW[[#This Row],['#_Non-Functional_hand_washing_stations]]</f>
        <v>9</v>
      </c>
      <c r="DR197" s="597">
        <f>IF(WWWW[[#This Row],['# Functional hand washing stations during reporting period]]*20&gt;WWWW[[#This Row],[Total HH]],WWWW[[#This Row],[Total HH]],WWWW[[#This Row],['# Functional hand washing stations during reporting period]]*20)</f>
        <v>117</v>
      </c>
      <c r="DS197" s="597">
        <f>IF(WWWW[[#This Row],[Is sufficient soap available for TLS? (Yes/No)]]="yes",WWWW[[#This Row],['#_Constructed/Existing hand washing stations at TLS]],0)</f>
        <v>0</v>
      </c>
      <c r="DT197" s="479">
        <f>IF(WWWW[[#This Row],['# Functional hand washing stations during reporting period]]*100&gt;WWWW[[#This Row],[Total PoP ]],WWWW[[#This Row],[Total PoP ]],WWWW[[#This Row],['# Functional hand washing stations during reporting period]]*100)</f>
        <v>618</v>
      </c>
      <c r="DU197" s="479" t="str">
        <f>IF(OR(WWWW[[#This Row],['#_students at TLS_CFS]]="",WWWW[[#This Row],['#_students at TLS_CFS]]=0),"No","Yes")</f>
        <v>No</v>
      </c>
      <c r="DV197"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7" s="593">
        <f>VLOOKUP(WWWW[[#This Row],[Site Name]],SiteDB6[[Site Name]:[CCCM Management]],6,FALSE)</f>
        <v>0</v>
      </c>
      <c r="DZ197" s="593">
        <f>VLOOKUP(WWWW[[#This Row],[Site Name]],SiteDB6[[Site Name]:[CCCM Focal Agency]],7,FALSE)</f>
        <v>0</v>
      </c>
      <c r="EA197" s="593" t="str">
        <f>VLOOKUP(WWWW[[#This Row],[Site Name]],SiteDB6[[Site Name]:[Location Type 1]],9,FALSE)</f>
        <v>Camp</v>
      </c>
      <c r="EB197" s="593" t="str">
        <f>VLOOKUP(WWWW[[#This Row],[Site Name]],SiteDB6[[Site Name]:[Type of Accommodation]],10,FALSE)</f>
        <v>Camp</v>
      </c>
      <c r="EC197" s="593" t="str">
        <f>VLOOKUP(WWWW[[#This Row],[Site Name]],SiteDB6[[Site Name]:[Ethnic or GCA/NGCA]],11,FALSE)</f>
        <v>GCA</v>
      </c>
      <c r="ED197" s="593">
        <f>VLOOKUP(WWWW[[#This Row],[Site Name]],SiteDB6[[Site Name]:[Lat]],12,FALSE)</f>
        <v>0</v>
      </c>
      <c r="EE197" s="593">
        <f>VLOOKUP(WWWW[[#This Row],[Site Name]],SiteDB6[[Site Name]:[Long]],13,FALSE)</f>
        <v>0</v>
      </c>
      <c r="EF197" s="593">
        <f>VLOOKUP(WWWW[[#This Row],[Site Name]],SiteDB6[[Site Name]:[Pcode]],3,FALSE)</f>
        <v>0</v>
      </c>
      <c r="EG197" s="598" t="str">
        <f t="shared" si="2"/>
        <v>Covered</v>
      </c>
      <c r="EH197" s="598">
        <f>VLOOKUP(WWWW[[#This Row],[Site Name]],Site_DB!$C$389:$D$1120,2,FALSE)</f>
        <v>0</v>
      </c>
    </row>
    <row r="198" spans="1:138" hidden="1">
      <c r="A198" s="591" t="s">
        <v>3261</v>
      </c>
      <c r="B198" s="591" t="s">
        <v>279</v>
      </c>
      <c r="C198" s="592" t="s">
        <v>279</v>
      </c>
      <c r="D198" s="592" t="s">
        <v>3275</v>
      </c>
      <c r="E198" s="592" t="s">
        <v>39</v>
      </c>
      <c r="F198" s="592" t="s">
        <v>208</v>
      </c>
      <c r="G198" s="721" t="str">
        <f>VLOOKUP(WWWW[[#This Row],[Site Name]],SiteDB6[[Site Name]:[Location Type]],8,FALSE)</f>
        <v>Camp</v>
      </c>
      <c r="H198" s="592" t="s">
        <v>287</v>
      </c>
      <c r="I198" s="594">
        <v>48</v>
      </c>
      <c r="J198" s="594">
        <v>294</v>
      </c>
      <c r="K198" s="717">
        <v>43468</v>
      </c>
      <c r="L198" s="718">
        <v>44226</v>
      </c>
      <c r="M198" s="594"/>
      <c r="N198" s="594">
        <v>0</v>
      </c>
      <c r="O198" s="594">
        <v>1</v>
      </c>
      <c r="P198" s="594">
        <v>0</v>
      </c>
      <c r="Q198" s="597" t="s">
        <v>43</v>
      </c>
      <c r="R198" s="594">
        <v>3</v>
      </c>
      <c r="S198" s="594">
        <v>5</v>
      </c>
      <c r="T198" s="523">
        <v>3</v>
      </c>
      <c r="U198" s="594"/>
      <c r="V198" s="594"/>
      <c r="W198" s="594">
        <v>1</v>
      </c>
      <c r="X198" s="594">
        <v>0</v>
      </c>
      <c r="Y198" s="594"/>
      <c r="Z198" s="594"/>
      <c r="AA198" s="594"/>
      <c r="AB198" s="594"/>
      <c r="AC198" s="594"/>
      <c r="AD198" s="594"/>
      <c r="AE198" s="594"/>
      <c r="AF198" s="594"/>
      <c r="AG198" s="594">
        <v>1</v>
      </c>
      <c r="AH198" s="594">
        <v>1</v>
      </c>
      <c r="AI198" s="594">
        <v>2</v>
      </c>
      <c r="AJ198" s="594"/>
      <c r="AK198" s="594">
        <v>3</v>
      </c>
      <c r="AL198" s="594"/>
      <c r="AM198" s="594">
        <v>7</v>
      </c>
      <c r="AN198" s="594"/>
      <c r="AO198" s="598"/>
      <c r="AP198" s="594">
        <v>18</v>
      </c>
      <c r="AQ198" s="594"/>
      <c r="AR198" s="599"/>
      <c r="AS198" s="594"/>
      <c r="AT198" s="594"/>
      <c r="AU198" s="523">
        <v>5</v>
      </c>
      <c r="AV198" s="523">
        <v>24</v>
      </c>
      <c r="AW198" s="594"/>
      <c r="AX198" s="593" t="s">
        <v>43</v>
      </c>
      <c r="AY198" s="598" t="s">
        <v>140</v>
      </c>
      <c r="AZ198" s="594">
        <v>0</v>
      </c>
      <c r="BA198" s="594">
        <v>0</v>
      </c>
      <c r="BB198" s="594"/>
      <c r="BC198" s="594"/>
      <c r="BD198" s="523"/>
      <c r="BE198" s="719" t="s">
        <v>3276</v>
      </c>
      <c r="BF198" s="594">
        <v>7</v>
      </c>
      <c r="BG198" s="594"/>
      <c r="BH198" s="594"/>
      <c r="BI198" s="594">
        <v>2</v>
      </c>
      <c r="BJ198" s="594"/>
      <c r="BK198" s="594">
        <v>0</v>
      </c>
      <c r="BL198" s="594">
        <v>1</v>
      </c>
      <c r="BM198" s="720">
        <v>47</v>
      </c>
      <c r="BN198" s="594"/>
      <c r="BO198" s="593"/>
      <c r="BP198" s="594"/>
      <c r="BQ198" s="599"/>
      <c r="BR198" s="593"/>
      <c r="BS198" s="472"/>
      <c r="BT198" s="472">
        <v>1</v>
      </c>
      <c r="BU198" s="523"/>
      <c r="BV198" s="472"/>
      <c r="BW198" s="523"/>
      <c r="BX198" s="523"/>
      <c r="BY198" s="523"/>
      <c r="BZ198" s="601">
        <f>IFERROR(WWWW[[#This Row],['#_Water sources passed]]/WWWW[[#This Row],['#_Water sources tested for fecal coliform ]],"no test")</f>
        <v>0</v>
      </c>
      <c r="CA198" s="599">
        <f>IFERROR(WWWW[[#This Row],['#_Household passed]]/WWWW[[#This Row],['#_Household water samples tested for fecal coliform]],"no test")</f>
        <v>0</v>
      </c>
      <c r="CB198" s="600" t="str">
        <f>IF(AND(WWWW[[#This Row],[% of water sources passed]]="no test",WWWW[[#This Row],[% Household passed]]="no test"),"No Test","Tested")</f>
        <v>Tested</v>
      </c>
      <c r="CC198" s="600">
        <f>WWWW[[#This Row],['#_Constructed/existing protected hand dug well]]-WWWW[[#This Row],['#_Non-functional protected hand dug well]]</f>
        <v>3</v>
      </c>
      <c r="CD198" s="600">
        <f>(WWWW[[#This Row],['#_Constructed/Existing tube wells/boreholes/handpumps_WASH_agency]]+WWWW[[#This Row],['#_Non-Cluster partner water tube-wells/boreholes/handpumps]])-WWWW[[#This Row],['#_Non-functional tube wells/boreholes/handpumps]]</f>
        <v>1</v>
      </c>
      <c r="CE198" s="600">
        <f>WWWW[[#This Row],['#_Constructed/Existingwater storage tank with gravity fed reticulation system]]-WWWW[[#This Row],['#_Non-functional storage tank gravity fed reticulation system]]</f>
        <v>0</v>
      </c>
      <c r="CF198" s="478">
        <f>(WWWW[[#This Row],['#_Water_Liters_supplied_by_Water boating or water trucking]]/90)/15</f>
        <v>0</v>
      </c>
      <c r="CG198" s="478">
        <f>WWWW[[#This Row],['#_Water_Liters_from_Constructed/Existing water distribution system from river or natural spring]]/90/15</f>
        <v>0</v>
      </c>
      <c r="CH198" s="478">
        <f>WWWW[[#This Row],['#_of water points in TLS/CFS /THF]]*500</f>
        <v>0</v>
      </c>
      <c r="CI198"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8"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8" s="599">
        <f>IF(WWWW[[#This Row],[Location Type 1]]="Village",WWWW[[#This Row],[Access to safe drinking water for Village]],WWWW[[#This Row],[Access to safe drinking water for Camp]])</f>
        <v>1</v>
      </c>
      <c r="CL198" s="597">
        <f>WWWW[[#This Row],[%Equitable and continuous access to sufficient quantity of safe drinking water]]*WWWW[[#This Row],[Total PoP ]]</f>
        <v>294</v>
      </c>
      <c r="CM198" s="599">
        <f>IF((WWWW[[#This Row],['#_Constructed/Existing protected/fenced ponds]]*250)/WWWW[[#This Row],[Total PoP ]]&gt;1,1,(WWWW[[#This Row],['#_Constructed/Existing protected/fenced ponds]]*250)/WWWW[[#This Row],[Total PoP ]])</f>
        <v>0</v>
      </c>
      <c r="CN198" s="597">
        <f>WWWW[[#This Row],[% Access to unimproved water points]]*WWWW[[#This Row],[Total PoP ]]</f>
        <v>0</v>
      </c>
      <c r="CO198"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8"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294</v>
      </c>
      <c r="CQ198" s="597">
        <f>WWWW[[#This Row],[HRP1]]/500</f>
        <v>0.58799999999999997</v>
      </c>
      <c r="CR198" s="602">
        <f>1-WWWW[[#This Row],[% Equitable and continuous access to sufficient quantity of domestic water]]</f>
        <v>0</v>
      </c>
      <c r="CS198" s="597">
        <f>WWWW[[#This Row],[%equitable and continuous access to sufficient quantity of safe drinking and domestic water''s GAP]]*WWWW[[#This Row],[Total PoP ]]</f>
        <v>0</v>
      </c>
      <c r="CT198" s="600">
        <f>IF(WWWW[[#This Row],[Total required water points]]-WWWW[[#This Row],['#Water points coverage]]&lt;0,0,WWWW[[#This Row],[Total required water points]]-WWWW[[#This Row],['#Water points coverage]])</f>
        <v>0.41200000000000003</v>
      </c>
      <c r="CU198" s="600">
        <f>ROUND(IF(WWWW[[#This Row],[Total PoP ]]&lt;500,1,WWWW[[#This Row],[Total PoP ]]/500),0)</f>
        <v>1</v>
      </c>
      <c r="CV198" s="600">
        <f>(WWWW[[#This Row],['#_Constructed latrines_by_WASHAgencies]]+WWWW[[#This Row],['#_Non Cluster partner latrines]])-WWWW[[#This Row],['#_Non-functional latrines]]</f>
        <v>18</v>
      </c>
      <c r="CW198" s="70">
        <f>WWWW[[#This Row],[HRP2]]/WWWW[[#This Row],[Total PoP ]]</f>
        <v>1</v>
      </c>
      <c r="CX198"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294</v>
      </c>
      <c r="CY198"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Z198"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8" s="600">
        <f>IF(WWWW[[#This Row],['# of functional latrines in THF supported by WASH partners during the reporting period2]]="",0,WWWW[[#This Row],['# of functional latrines in THF supported by WASH partners during the reporting period2]]*50)</f>
        <v>0</v>
      </c>
      <c r="DB198" s="600">
        <f>WWWW[[#This Row],['# students access to functioning school latrines_HRP5]]+WWWW[[#This Row],['# People access to functioning latrines in THF_HRP5]]</f>
        <v>0</v>
      </c>
      <c r="DC198" s="600">
        <f>ROUND(IF(WWWW[[#This Row],[Location Type 1]]="camp",WWWW[[#This Row],[Total PoP ]]/20,IF(WWWW[[#This Row],[Location Type 1]]="Temporary Location",WWWW[[#This Row],[Total PoP ]]/50,WWWW[[#This Row],[Total HH]])),0)</f>
        <v>15</v>
      </c>
      <c r="DD198" s="600">
        <f>IF(WWWW[[#This Row],[Total required Latrines]]-(WWWW[[#This Row],['#_Constructed latrines_by_WASHAgencies]]+WWWW[[#This Row],['#_Non Cluster partner latrines]])&lt;0,0,WWWW[[#This Row],[Total required Latrines]]-(WWWW[[#This Row],['#_Constructed latrines_by_WASHAgencies]]+WWWW[[#This Row],['#_Non Cluster partner latrines]]))</f>
        <v>0</v>
      </c>
      <c r="DE198" s="602">
        <f>1-WWWW[[#This Row],[% people access to functioning Latrine]]</f>
        <v>0</v>
      </c>
      <c r="DF198" s="601">
        <f>IF(OR(WWWW[[#This Row],['#_Non-functional latrines]]="",WWWW[[#This Row],['#_Non-functional latrines]]=0),0,WWWW[[#This Row],['#_Non-functional latrines]]/(WWWW[[#This Row],['#_Constructed latrines_by_WASHAgencies]]+WWWW[[#This Row],['#_Non Cluster partner latrines]]))</f>
        <v>0</v>
      </c>
      <c r="DG198" s="597">
        <f>IF(500*(WWWW[[#This Row],['#_male hygiene promoters]]+WWWW[[#This Row],['#_female hygiene promoters]])&gt;WWWW[[#This Row],[Total PoP ]],WWWW[[#This Row],[Total PoP ]],500*(WWWW[[#This Row],['#_male hygiene promoters]]+WWWW[[#This Row],['#_female hygiene promoters]]))</f>
        <v>294</v>
      </c>
      <c r="DH198"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DI198"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8" s="600">
        <f>IF(WWWW[[#This Row],['# People with access to soap]]&gt;WWWW[[#This Row],['# People with access to Sanity Pads]],WWWW[[#This Row],['# People with access to soap]],WWWW[[#This Row],['# People with access to Sanity Pads]])</f>
        <v>235</v>
      </c>
      <c r="DK198" s="600">
        <f>IF(WWWW[[#This Row],['# people reached by regular dedicated hygiene promotion_5]]&gt;WWWW[[#This Row],['# People received regular supply of hygiene items_6]],WWWW[[#This Row],['# people reached by regular dedicated hygiene promotion_5]],WWWW[[#This Row],['# People received regular supply of hygiene items_6]])</f>
        <v>294</v>
      </c>
      <c r="DL198" s="602">
        <f>IF(WWWW[[#This Row],[HRP3]]/WWWW[[#This Row],[Total PoP ]]&gt;1,1,WWWW[[#This Row],[HRP3]]/WWWW[[#This Row],[Total PoP ]])</f>
        <v>1</v>
      </c>
      <c r="DM198" s="601">
        <f>1-WWWW[[#This Row],[Hygiene Coverage%]]</f>
        <v>0</v>
      </c>
      <c r="DN198" s="599">
        <f>WWWW[[#This Row],['# people reached by regular dedicated hygiene promotion_5]]/WWWW[[#This Row],[Total PoP ]]</f>
        <v>1</v>
      </c>
      <c r="DO198"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8"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8" s="600">
        <f>WWWW[[#This Row],['#_Constructed/Existing hand washing stations]]-WWWW[[#This Row],['#_Non-Functional_hand_washing_stations]]</f>
        <v>7</v>
      </c>
      <c r="DR198" s="597">
        <f>IF(WWWW[[#This Row],['# Functional hand washing stations during reporting period]]*20&gt;WWWW[[#This Row],[Total HH]],WWWW[[#This Row],[Total HH]],WWWW[[#This Row],['# Functional hand washing stations during reporting period]]*20)</f>
        <v>48</v>
      </c>
      <c r="DS198" s="597">
        <f>IF(WWWW[[#This Row],[Is sufficient soap available for TLS? (Yes/No)]]="yes",WWWW[[#This Row],['#_Constructed/Existing hand washing stations at TLS]],0)</f>
        <v>0</v>
      </c>
      <c r="DT198" s="479">
        <f>IF(WWWW[[#This Row],['# Functional hand washing stations during reporting period]]*100&gt;WWWW[[#This Row],[Total PoP ]],WWWW[[#This Row],[Total PoP ]],WWWW[[#This Row],['# Functional hand washing stations during reporting period]]*100)</f>
        <v>294</v>
      </c>
      <c r="DU198" s="479" t="str">
        <f>IF(OR(WWWW[[#This Row],['#_students at TLS_CFS]]="",WWWW[[#This Row],['#_students at TLS_CFS]]=0),"No","Yes")</f>
        <v>No</v>
      </c>
      <c r="DV198"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8" s="593" t="str">
        <f>VLOOKUP(WWWW[[#This Row],[Site Name]],SiteDB6[[Site Name]:[CCCM Management]],6,FALSE)</f>
        <v>Yes</v>
      </c>
      <c r="DZ198" s="593" t="str">
        <f>VLOOKUP(WWWW[[#This Row],[Site Name]],SiteDB6[[Site Name]:[CCCM Focal Agency]],7,FALSE)</f>
        <v>KBC-BMO</v>
      </c>
      <c r="EA198" s="593" t="str">
        <f>VLOOKUP(WWWW[[#This Row],[Site Name]],SiteDB6[[Site Name]:[Location Type 1]],9,FALSE)</f>
        <v>Camp</v>
      </c>
      <c r="EB198" s="593" t="str">
        <f>VLOOKUP(WWWW[[#This Row],[Site Name]],SiteDB6[[Site Name]:[Type of Accommodation]],10,FALSE)</f>
        <v>Camp</v>
      </c>
      <c r="EC198" s="593" t="str">
        <f>VLOOKUP(WWWW[[#This Row],[Site Name]],SiteDB6[[Site Name]:[Ethnic or GCA/NGCA]],11,FALSE)</f>
        <v>GCA</v>
      </c>
      <c r="ED198" s="593">
        <f>VLOOKUP(WWWW[[#This Row],[Site Name]],SiteDB6[[Site Name]:[Lat]],12,FALSE)</f>
        <v>24.205417000000001</v>
      </c>
      <c r="EE198" s="593">
        <f>VLOOKUP(WWWW[[#This Row],[Site Name]],SiteDB6[[Site Name]:[Long]],13,FALSE)</f>
        <v>97.724483000000006</v>
      </c>
      <c r="EF198" s="593" t="str">
        <f>VLOOKUP(WWWW[[#This Row],[Site Name]],SiteDB6[[Site Name]:[Pcode]],3,FALSE)</f>
        <v>MMR001CMP072</v>
      </c>
      <c r="EG198" s="598" t="str">
        <f t="shared" si="2"/>
        <v>Covered</v>
      </c>
      <c r="EH198" s="598" t="str">
        <f>VLOOKUP(WWWW[[#This Row],[Site Name]],SiteDB6[[Site Name]:[open in cccm?]],2,FALSE)</f>
        <v>cccm_2019OCT</v>
      </c>
    </row>
    <row r="199" spans="1:138" hidden="1">
      <c r="A199" s="591" t="s">
        <v>3261</v>
      </c>
      <c r="B199" s="591" t="s">
        <v>279</v>
      </c>
      <c r="C199" s="592" t="s">
        <v>279</v>
      </c>
      <c r="D199" s="592" t="s">
        <v>3275</v>
      </c>
      <c r="E199" s="592" t="s">
        <v>39</v>
      </c>
      <c r="F199" s="592" t="s">
        <v>198</v>
      </c>
      <c r="G199" s="721" t="str">
        <f>VLOOKUP(WWWW[[#This Row],[Site Name]],SiteDB6[[Site Name]:[Location Type]],8,FALSE)</f>
        <v>Camp</v>
      </c>
      <c r="H199" s="592" t="s">
        <v>282</v>
      </c>
      <c r="I199" s="594">
        <v>100</v>
      </c>
      <c r="J199" s="594">
        <v>514</v>
      </c>
      <c r="K199" s="717">
        <v>43468</v>
      </c>
      <c r="L199" s="718">
        <v>44226</v>
      </c>
      <c r="M199" s="594"/>
      <c r="N199" s="594"/>
      <c r="O199" s="594">
        <v>3</v>
      </c>
      <c r="P199" s="594"/>
      <c r="Q199" s="597" t="s">
        <v>43</v>
      </c>
      <c r="R199" s="523">
        <v>8</v>
      </c>
      <c r="S199" s="523"/>
      <c r="T199" s="523">
        <v>1</v>
      </c>
      <c r="U199" s="594">
        <v>1</v>
      </c>
      <c r="V199" s="594"/>
      <c r="W199" s="594">
        <v>3</v>
      </c>
      <c r="X199" s="594">
        <v>0</v>
      </c>
      <c r="Y199" s="594"/>
      <c r="Z199" s="594"/>
      <c r="AA199" s="594"/>
      <c r="AB199" s="594"/>
      <c r="AC199" s="594"/>
      <c r="AD199" s="594"/>
      <c r="AE199" s="594"/>
      <c r="AF199" s="594"/>
      <c r="AG199" s="594">
        <v>3</v>
      </c>
      <c r="AH199" s="594"/>
      <c r="AI199" s="594">
        <v>2</v>
      </c>
      <c r="AJ199" s="594"/>
      <c r="AK199" s="594">
        <v>15</v>
      </c>
      <c r="AL199" s="594"/>
      <c r="AM199" s="594">
        <v>12</v>
      </c>
      <c r="AN199" s="594"/>
      <c r="AO199" s="598"/>
      <c r="AP199" s="594">
        <v>48</v>
      </c>
      <c r="AQ199" s="594"/>
      <c r="AR199" s="599"/>
      <c r="AS199" s="594"/>
      <c r="AT199" s="594"/>
      <c r="AU199" s="523">
        <v>18</v>
      </c>
      <c r="AV199" s="523">
        <v>92</v>
      </c>
      <c r="AW199" s="594"/>
      <c r="AX199" s="593" t="s">
        <v>43</v>
      </c>
      <c r="AY199" s="598" t="s">
        <v>140</v>
      </c>
      <c r="AZ199" s="594">
        <v>0</v>
      </c>
      <c r="BA199" s="594">
        <v>0</v>
      </c>
      <c r="BB199" s="594"/>
      <c r="BC199" s="594"/>
      <c r="BD199" s="523"/>
      <c r="BE199" s="719" t="s">
        <v>3276</v>
      </c>
      <c r="BF199" s="594">
        <v>12</v>
      </c>
      <c r="BG199" s="594"/>
      <c r="BH199" s="594"/>
      <c r="BI199" s="594">
        <v>2</v>
      </c>
      <c r="BJ199" s="594"/>
      <c r="BK199" s="594">
        <v>0</v>
      </c>
      <c r="BL199" s="594">
        <v>3</v>
      </c>
      <c r="BM199" s="720">
        <v>100</v>
      </c>
      <c r="BN199" s="594"/>
      <c r="BO199" s="593"/>
      <c r="BP199" s="594"/>
      <c r="BQ199" s="599"/>
      <c r="BR199" s="593"/>
      <c r="BS199" s="472"/>
      <c r="BT199" s="472">
        <v>1</v>
      </c>
      <c r="BU199" s="523"/>
      <c r="BV199" s="472"/>
      <c r="BW199" s="523"/>
      <c r="BX199" s="523"/>
      <c r="BY199" s="523"/>
      <c r="BZ199" s="601">
        <f>IFERROR(WWWW[[#This Row],['#_Water sources passed]]/WWWW[[#This Row],['#_Water sources tested for fecal coliform ]],"no test")</f>
        <v>0</v>
      </c>
      <c r="CA199" s="599">
        <f>IFERROR(WWWW[[#This Row],['#_Household passed]]/WWWW[[#This Row],['#_Household water samples tested for fecal coliform]],"no test")</f>
        <v>0</v>
      </c>
      <c r="CB199" s="600" t="str">
        <f>IF(AND(WWWW[[#This Row],[% of water sources passed]]="no test",WWWW[[#This Row],[% Household passed]]="no test"),"No Test","Tested")</f>
        <v>Tested</v>
      </c>
      <c r="CC199" s="600">
        <f>WWWW[[#This Row],['#_Constructed/existing protected hand dug well]]-WWWW[[#This Row],['#_Non-functional protected hand dug well]]</f>
        <v>0</v>
      </c>
      <c r="CD199" s="600">
        <f>(WWWW[[#This Row],['#_Constructed/Existing tube wells/boreholes/handpumps_WASH_agency]]+WWWW[[#This Row],['#_Non-Cluster partner water tube-wells/boreholes/handpumps]])-WWWW[[#This Row],['#_Non-functional tube wells/boreholes/handpumps]]</f>
        <v>3</v>
      </c>
      <c r="CE199" s="600">
        <f>WWWW[[#This Row],['#_Constructed/Existingwater storage tank with gravity fed reticulation system]]-WWWW[[#This Row],['#_Non-functional storage tank gravity fed reticulation system]]</f>
        <v>0</v>
      </c>
      <c r="CF199" s="478">
        <f>(WWWW[[#This Row],['#_Water_Liters_supplied_by_Water boating or water trucking]]/90)/15</f>
        <v>0</v>
      </c>
      <c r="CG199" s="478">
        <f>WWWW[[#This Row],['#_Water_Liters_from_Constructed/Existing water distribution system from river or natural spring]]/90/15</f>
        <v>0</v>
      </c>
      <c r="CH199" s="478">
        <f>WWWW[[#This Row],['#_of water points in TLS/CFS /THF]]*500</f>
        <v>0</v>
      </c>
      <c r="CI199"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199"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199" s="599">
        <f>IF(WWWW[[#This Row],[Location Type 1]]="Village",WWWW[[#This Row],[Access to safe drinking water for Village]],WWWW[[#This Row],[Access to safe drinking water for Camp]])</f>
        <v>1</v>
      </c>
      <c r="CL199" s="597">
        <f>WWWW[[#This Row],[%Equitable and continuous access to sufficient quantity of safe drinking water]]*WWWW[[#This Row],[Total PoP ]]</f>
        <v>514</v>
      </c>
      <c r="CM199" s="599">
        <f>IF((WWWW[[#This Row],['#_Constructed/Existing protected/fenced ponds]]*250)/WWWW[[#This Row],[Total PoP ]]&gt;1,1,(WWWW[[#This Row],['#_Constructed/Existing protected/fenced ponds]]*250)/WWWW[[#This Row],[Total PoP ]])</f>
        <v>0</v>
      </c>
      <c r="CN199" s="597">
        <f>WWWW[[#This Row],[% Access to unimproved water points]]*WWWW[[#This Row],[Total PoP ]]</f>
        <v>0</v>
      </c>
      <c r="CO199"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199"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CQ199" s="597">
        <f>WWWW[[#This Row],[HRP1]]/500</f>
        <v>1.028</v>
      </c>
      <c r="CR199" s="602">
        <f>1-WWWW[[#This Row],[% Equitable and continuous access to sufficient quantity of domestic water]]</f>
        <v>0</v>
      </c>
      <c r="CS199" s="597">
        <f>WWWW[[#This Row],[%equitable and continuous access to sufficient quantity of safe drinking and domestic water''s GAP]]*WWWW[[#This Row],[Total PoP ]]</f>
        <v>0</v>
      </c>
      <c r="CT199" s="600">
        <f>IF(WWWW[[#This Row],[Total required water points]]-WWWW[[#This Row],['#Water points coverage]]&lt;0,0,WWWW[[#This Row],[Total required water points]]-WWWW[[#This Row],['#Water points coverage]])</f>
        <v>0</v>
      </c>
      <c r="CU199" s="600">
        <f>ROUND(IF(WWWW[[#This Row],[Total PoP ]]&lt;500,1,WWWW[[#This Row],[Total PoP ]]/500),0)</f>
        <v>1</v>
      </c>
      <c r="CV199" s="600">
        <f>(WWWW[[#This Row],['#_Constructed latrines_by_WASHAgencies]]+WWWW[[#This Row],['#_Non Cluster partner latrines]])-WWWW[[#This Row],['#_Non-functional latrines]]</f>
        <v>48</v>
      </c>
      <c r="CW199" s="70">
        <f>WWWW[[#This Row],[HRP2]]/WWWW[[#This Row],[Total PoP ]]</f>
        <v>1</v>
      </c>
      <c r="CX199"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514</v>
      </c>
      <c r="CY199"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Z199"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199" s="600">
        <f>IF(WWWW[[#This Row],['# of functional latrines in THF supported by WASH partners during the reporting period2]]="",0,WWWW[[#This Row],['# of functional latrines in THF supported by WASH partners during the reporting period2]]*50)</f>
        <v>0</v>
      </c>
      <c r="DB199" s="600">
        <f>WWWW[[#This Row],['# students access to functioning school latrines_HRP5]]+WWWW[[#This Row],['# People access to functioning latrines in THF_HRP5]]</f>
        <v>0</v>
      </c>
      <c r="DC199" s="600">
        <f>ROUND(IF(WWWW[[#This Row],[Location Type 1]]="camp",WWWW[[#This Row],[Total PoP ]]/20,IF(WWWW[[#This Row],[Location Type 1]]="Temporary Location",WWWW[[#This Row],[Total PoP ]]/50,WWWW[[#This Row],[Total HH]])),0)</f>
        <v>26</v>
      </c>
      <c r="DD199" s="600">
        <f>IF(WWWW[[#This Row],[Total required Latrines]]-(WWWW[[#This Row],['#_Constructed latrines_by_WASHAgencies]]+WWWW[[#This Row],['#_Non Cluster partner latrines]])&lt;0,0,WWWW[[#This Row],[Total required Latrines]]-(WWWW[[#This Row],['#_Constructed latrines_by_WASHAgencies]]+WWWW[[#This Row],['#_Non Cluster partner latrines]]))</f>
        <v>0</v>
      </c>
      <c r="DE199" s="602">
        <f>1-WWWW[[#This Row],[% people access to functioning Latrine]]</f>
        <v>0</v>
      </c>
      <c r="DF199" s="601">
        <f>IF(OR(WWWW[[#This Row],['#_Non-functional latrines]]="",WWWW[[#This Row],['#_Non-functional latrines]]=0),0,WWWW[[#This Row],['#_Non-functional latrines]]/(WWWW[[#This Row],['#_Constructed latrines_by_WASHAgencies]]+WWWW[[#This Row],['#_Non Cluster partner latrines]]))</f>
        <v>0</v>
      </c>
      <c r="DG199" s="597">
        <f>IF(500*(WWWW[[#This Row],['#_male hygiene promoters]]+WWWW[[#This Row],['#_female hygiene promoters]])&gt;WWWW[[#This Row],[Total PoP ]],WWWW[[#This Row],[Total PoP ]],500*(WWWW[[#This Row],['#_male hygiene promoters]]+WWWW[[#This Row],['#_female hygiene promoters]]))</f>
        <v>514</v>
      </c>
      <c r="DH199"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514</v>
      </c>
      <c r="DI199"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199" s="600">
        <f>IF(WWWW[[#This Row],['# People with access to soap]]&gt;WWWW[[#This Row],['# People with access to Sanity Pads]],WWWW[[#This Row],['# People with access to soap]],WWWW[[#This Row],['# People with access to Sanity Pads]])</f>
        <v>514</v>
      </c>
      <c r="DK199" s="600">
        <f>IF(WWWW[[#This Row],['# people reached by regular dedicated hygiene promotion_5]]&gt;WWWW[[#This Row],['# People received regular supply of hygiene items_6]],WWWW[[#This Row],['# people reached by regular dedicated hygiene promotion_5]],WWWW[[#This Row],['# People received regular supply of hygiene items_6]])</f>
        <v>514</v>
      </c>
      <c r="DL199" s="602">
        <f>IF(WWWW[[#This Row],[HRP3]]/WWWW[[#This Row],[Total PoP ]]&gt;1,1,WWWW[[#This Row],[HRP3]]/WWWW[[#This Row],[Total PoP ]])</f>
        <v>1</v>
      </c>
      <c r="DM199" s="601">
        <f>1-WWWW[[#This Row],[Hygiene Coverage%]]</f>
        <v>0</v>
      </c>
      <c r="DN199" s="599">
        <f>WWWW[[#This Row],['# people reached by regular dedicated hygiene promotion_5]]/WWWW[[#This Row],[Total PoP ]]</f>
        <v>1</v>
      </c>
      <c r="DO199"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199"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199" s="600">
        <f>WWWW[[#This Row],['#_Constructed/Existing hand washing stations]]-WWWW[[#This Row],['#_Non-Functional_hand_washing_stations]]</f>
        <v>12</v>
      </c>
      <c r="DR199" s="597">
        <f>IF(WWWW[[#This Row],['# Functional hand washing stations during reporting period]]*20&gt;WWWW[[#This Row],[Total HH]],WWWW[[#This Row],[Total HH]],WWWW[[#This Row],['# Functional hand washing stations during reporting period]]*20)</f>
        <v>100</v>
      </c>
      <c r="DS199" s="597">
        <f>IF(WWWW[[#This Row],[Is sufficient soap available for TLS? (Yes/No)]]="yes",WWWW[[#This Row],['#_Constructed/Existing hand washing stations at TLS]],0)</f>
        <v>0</v>
      </c>
      <c r="DT199" s="479">
        <f>IF(WWWW[[#This Row],['# Functional hand washing stations during reporting period]]*100&gt;WWWW[[#This Row],[Total PoP ]],WWWW[[#This Row],[Total PoP ]],WWWW[[#This Row],['# Functional hand washing stations during reporting period]]*100)</f>
        <v>514</v>
      </c>
      <c r="DU199" s="479" t="str">
        <f>IF(OR(WWWW[[#This Row],['#_students at TLS_CFS]]="",WWWW[[#This Row],['#_students at TLS_CFS]]=0),"No","Yes")</f>
        <v>No</v>
      </c>
      <c r="DV199"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1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1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199" s="593" t="str">
        <f>VLOOKUP(WWWW[[#This Row],[Site Name]],SiteDB6[[Site Name]:[CCCM Management]],6,FALSE)</f>
        <v>Yes</v>
      </c>
      <c r="DZ199" s="593" t="str">
        <f>VLOOKUP(WWWW[[#This Row],[Site Name]],SiteDB6[[Site Name]:[CCCM Focal Agency]],7,FALSE)</f>
        <v>KBC-BMO</v>
      </c>
      <c r="EA199" s="593" t="str">
        <f>VLOOKUP(WWWW[[#This Row],[Site Name]],SiteDB6[[Site Name]:[Location Type 1]],9,FALSE)</f>
        <v>Camp</v>
      </c>
      <c r="EB199" s="593" t="str">
        <f>VLOOKUP(WWWW[[#This Row],[Site Name]],SiteDB6[[Site Name]:[Type of Accommodation]],10,FALSE)</f>
        <v>Camp</v>
      </c>
      <c r="EC199" s="593" t="str">
        <f>VLOOKUP(WWWW[[#This Row],[Site Name]],SiteDB6[[Site Name]:[Ethnic or GCA/NGCA]],11,FALSE)</f>
        <v>GCA</v>
      </c>
      <c r="ED199" s="593">
        <f>VLOOKUP(WWWW[[#This Row],[Site Name]],SiteDB6[[Site Name]:[Lat]],12,FALSE)</f>
        <v>24.222349999999999</v>
      </c>
      <c r="EE199" s="593">
        <f>VLOOKUP(WWWW[[#This Row],[Site Name]],SiteDB6[[Site Name]:[Long]],13,FALSE)</f>
        <v>97.252650000000003</v>
      </c>
      <c r="EF199" s="593" t="str">
        <f>VLOOKUP(WWWW[[#This Row],[Site Name]],SiteDB6[[Site Name]:[Pcode]],3,FALSE)</f>
        <v>MMR001CMP193</v>
      </c>
      <c r="EG199" s="598" t="str">
        <f t="shared" ref="EG199:EG206" si="3">IF(C199="none","Notcovered","Covered")</f>
        <v>Covered</v>
      </c>
      <c r="EH199" s="598" t="str">
        <f>VLOOKUP(WWWW[[#This Row],[Site Name]],SiteDB6[[Site Name]:[open in cccm?]],2,FALSE)</f>
        <v>cccm_2019OCT</v>
      </c>
    </row>
    <row r="200" spans="1:138" hidden="1">
      <c r="A200" s="591" t="s">
        <v>3261</v>
      </c>
      <c r="B200" s="591" t="s">
        <v>279</v>
      </c>
      <c r="C200" s="592" t="s">
        <v>279</v>
      </c>
      <c r="D200" s="592" t="s">
        <v>3275</v>
      </c>
      <c r="E200" s="592" t="s">
        <v>39</v>
      </c>
      <c r="F200" s="592" t="s">
        <v>198</v>
      </c>
      <c r="G200" s="721" t="str">
        <f>VLOOKUP(WWWW[[#This Row],[Site Name]],SiteDB6[[Site Name]:[Location Type]],8,FALSE)</f>
        <v>Camp</v>
      </c>
      <c r="H200" s="592" t="s">
        <v>283</v>
      </c>
      <c r="I200" s="594">
        <v>639</v>
      </c>
      <c r="J200" s="594">
        <v>4024</v>
      </c>
      <c r="K200" s="717">
        <v>43468</v>
      </c>
      <c r="L200" s="718">
        <v>44226</v>
      </c>
      <c r="M200" s="594"/>
      <c r="N200" s="594"/>
      <c r="O200" s="594">
        <v>6</v>
      </c>
      <c r="P200" s="594"/>
      <c r="Q200" s="597" t="s">
        <v>43</v>
      </c>
      <c r="R200" s="523">
        <v>12</v>
      </c>
      <c r="S200" s="523">
        <v>5</v>
      </c>
      <c r="T200" s="523">
        <v>1</v>
      </c>
      <c r="U200" s="594"/>
      <c r="V200" s="594"/>
      <c r="W200" s="594">
        <v>14</v>
      </c>
      <c r="X200" s="594">
        <v>0</v>
      </c>
      <c r="Y200" s="594"/>
      <c r="Z200" s="594"/>
      <c r="AA200" s="594"/>
      <c r="AB200" s="594"/>
      <c r="AC200" s="594"/>
      <c r="AD200" s="594"/>
      <c r="AE200" s="594"/>
      <c r="AF200" s="594"/>
      <c r="AG200" s="594">
        <v>6</v>
      </c>
      <c r="AH200" s="594"/>
      <c r="AI200" s="594">
        <v>10</v>
      </c>
      <c r="AJ200" s="594"/>
      <c r="AK200" s="594">
        <v>21</v>
      </c>
      <c r="AL200" s="594"/>
      <c r="AM200" s="594">
        <v>19</v>
      </c>
      <c r="AN200" s="594"/>
      <c r="AO200" s="598"/>
      <c r="AP200" s="594">
        <v>150</v>
      </c>
      <c r="AQ200" s="594"/>
      <c r="AR200" s="599"/>
      <c r="AS200" s="594"/>
      <c r="AT200" s="523"/>
      <c r="AU200" s="523">
        <v>53</v>
      </c>
      <c r="AV200" s="523">
        <v>218</v>
      </c>
      <c r="AW200" s="594"/>
      <c r="AX200" s="593" t="s">
        <v>43</v>
      </c>
      <c r="AY200" s="598" t="s">
        <v>140</v>
      </c>
      <c r="AZ200" s="594">
        <v>0</v>
      </c>
      <c r="BA200" s="594">
        <v>0</v>
      </c>
      <c r="BB200" s="594"/>
      <c r="BC200" s="594"/>
      <c r="BD200" s="523"/>
      <c r="BE200" s="719" t="s">
        <v>3276</v>
      </c>
      <c r="BF200" s="594">
        <v>19</v>
      </c>
      <c r="BG200" s="594"/>
      <c r="BH200" s="594"/>
      <c r="BI200" s="594">
        <v>12</v>
      </c>
      <c r="BJ200" s="594"/>
      <c r="BK200" s="594">
        <v>0</v>
      </c>
      <c r="BL200" s="594">
        <v>6</v>
      </c>
      <c r="BM200" s="720">
        <v>628</v>
      </c>
      <c r="BN200" s="594"/>
      <c r="BO200" s="593"/>
      <c r="BP200" s="594"/>
      <c r="BQ200" s="599"/>
      <c r="BR200" s="593"/>
      <c r="BS200" s="472"/>
      <c r="BT200" s="472">
        <v>1</v>
      </c>
      <c r="BU200" s="523"/>
      <c r="BV200" s="472"/>
      <c r="BW200" s="523"/>
      <c r="BX200" s="523"/>
      <c r="BY200" s="523"/>
      <c r="BZ200" s="601">
        <f>IFERROR(WWWW[[#This Row],['#_Water sources passed]]/WWWW[[#This Row],['#_Water sources tested for fecal coliform ]],"no test")</f>
        <v>0</v>
      </c>
      <c r="CA200" s="599">
        <f>IFERROR(WWWW[[#This Row],['#_Household passed]]/WWWW[[#This Row],['#_Household water samples tested for fecal coliform]],"no test")</f>
        <v>0</v>
      </c>
      <c r="CB200" s="600" t="str">
        <f>IF(AND(WWWW[[#This Row],[% of water sources passed]]="no test",WWWW[[#This Row],[% Household passed]]="no test"),"No Test","Tested")</f>
        <v>Tested</v>
      </c>
      <c r="CC200" s="600">
        <f>WWWW[[#This Row],['#_Constructed/existing protected hand dug well]]-WWWW[[#This Row],['#_Non-functional protected hand dug well]]</f>
        <v>1</v>
      </c>
      <c r="CD200" s="600">
        <f>(WWWW[[#This Row],['#_Constructed/Existing tube wells/boreholes/handpumps_WASH_agency]]+WWWW[[#This Row],['#_Non-Cluster partner water tube-wells/boreholes/handpumps]])-WWWW[[#This Row],['#_Non-functional tube wells/boreholes/handpumps]]</f>
        <v>14</v>
      </c>
      <c r="CE200" s="600">
        <f>WWWW[[#This Row],['#_Constructed/Existingwater storage tank with gravity fed reticulation system]]-WWWW[[#This Row],['#_Non-functional storage tank gravity fed reticulation system]]</f>
        <v>0</v>
      </c>
      <c r="CF200" s="478">
        <f>(WWWW[[#This Row],['#_Water_Liters_supplied_by_Water boating or water trucking]]/90)/15</f>
        <v>0</v>
      </c>
      <c r="CG200" s="478">
        <f>WWWW[[#This Row],['#_Water_Liters_from_Constructed/Existing water distribution system from river or natural spring]]/90/15</f>
        <v>0</v>
      </c>
      <c r="CH200" s="478">
        <f>WWWW[[#This Row],['#_of water points in TLS/CFS /THF]]*500</f>
        <v>0</v>
      </c>
      <c r="CI200"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0"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0.93190854870775353</v>
      </c>
      <c r="CK200" s="599">
        <f>IF(WWWW[[#This Row],[Location Type 1]]="Village",WWWW[[#This Row],[Access to safe drinking water for Village]],WWWW[[#This Row],[Access to safe drinking water for Camp]])</f>
        <v>1</v>
      </c>
      <c r="CL200" s="597">
        <f>WWWW[[#This Row],[%Equitable and continuous access to sufficient quantity of safe drinking water]]*WWWW[[#This Row],[Total PoP ]]</f>
        <v>4024</v>
      </c>
      <c r="CM200" s="599">
        <f>IF((WWWW[[#This Row],['#_Constructed/Existing protected/fenced ponds]]*250)/WWWW[[#This Row],[Total PoP ]]&gt;1,1,(WWWW[[#This Row],['#_Constructed/Existing protected/fenced ponds]]*250)/WWWW[[#This Row],[Total PoP ]])</f>
        <v>0</v>
      </c>
      <c r="CN200" s="597">
        <f>WWWW[[#This Row],[% Access to unimproved water points]]*WWWW[[#This Row],[Total PoP ]]</f>
        <v>0</v>
      </c>
      <c r="CO200"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0"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4024</v>
      </c>
      <c r="CQ200" s="597">
        <f>WWWW[[#This Row],[HRP1]]/500</f>
        <v>8.048</v>
      </c>
      <c r="CR200" s="602">
        <f>1-WWWW[[#This Row],[% Equitable and continuous access to sufficient quantity of domestic water]]</f>
        <v>0</v>
      </c>
      <c r="CS200" s="597">
        <f>WWWW[[#This Row],[%equitable and continuous access to sufficient quantity of safe drinking and domestic water''s GAP]]*WWWW[[#This Row],[Total PoP ]]</f>
        <v>0</v>
      </c>
      <c r="CT200" s="600">
        <f>IF(WWWW[[#This Row],[Total required water points]]-WWWW[[#This Row],['#Water points coverage]]&lt;0,0,WWWW[[#This Row],[Total required water points]]-WWWW[[#This Row],['#Water points coverage]])</f>
        <v>0</v>
      </c>
      <c r="CU200" s="600">
        <f>ROUND(IF(WWWW[[#This Row],[Total PoP ]]&lt;500,1,WWWW[[#This Row],[Total PoP ]]/500),0)</f>
        <v>8</v>
      </c>
      <c r="CV200" s="600">
        <f>(WWWW[[#This Row],['#_Constructed latrines_by_WASHAgencies]]+WWWW[[#This Row],['#_Non Cluster partner latrines]])-WWWW[[#This Row],['#_Non-functional latrines]]</f>
        <v>150</v>
      </c>
      <c r="CW200" s="70">
        <f>WWWW[[#This Row],[HRP2]]/WWWW[[#This Row],[Total PoP ]]</f>
        <v>0.74552683896620275</v>
      </c>
      <c r="CX200"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3000</v>
      </c>
      <c r="CY200"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1060</v>
      </c>
      <c r="CZ200"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0" s="600">
        <f>IF(WWWW[[#This Row],['# of functional latrines in THF supported by WASH partners during the reporting period2]]="",0,WWWW[[#This Row],['# of functional latrines in THF supported by WASH partners during the reporting period2]]*50)</f>
        <v>0</v>
      </c>
      <c r="DB200" s="600">
        <f>WWWW[[#This Row],['# students access to functioning school latrines_HRP5]]+WWWW[[#This Row],['# People access to functioning latrines in THF_HRP5]]</f>
        <v>0</v>
      </c>
      <c r="DC200" s="600">
        <f>ROUND(IF(WWWW[[#This Row],[Location Type 1]]="camp",WWWW[[#This Row],[Total PoP ]]/20,IF(WWWW[[#This Row],[Location Type 1]]="Temporary Location",WWWW[[#This Row],[Total PoP ]]/50,WWWW[[#This Row],[Total HH]])),0)</f>
        <v>201</v>
      </c>
      <c r="DD200" s="600">
        <f>IF(WWWW[[#This Row],[Total required Latrines]]-(WWWW[[#This Row],['#_Constructed latrines_by_WASHAgencies]]+WWWW[[#This Row],['#_Non Cluster partner latrines]])&lt;0,0,WWWW[[#This Row],[Total required Latrines]]-(WWWW[[#This Row],['#_Constructed latrines_by_WASHAgencies]]+WWWW[[#This Row],['#_Non Cluster partner latrines]]))</f>
        <v>51</v>
      </c>
      <c r="DE200" s="602">
        <f>1-WWWW[[#This Row],[% people access to functioning Latrine]]</f>
        <v>0.25447316103379725</v>
      </c>
      <c r="DF200" s="601">
        <f>IF(OR(WWWW[[#This Row],['#_Non-functional latrines]]="",WWWW[[#This Row],['#_Non-functional latrines]]=0),0,WWWW[[#This Row],['#_Non-functional latrines]]/(WWWW[[#This Row],['#_Constructed latrines_by_WASHAgencies]]+WWWW[[#This Row],['#_Non Cluster partner latrines]]))</f>
        <v>0</v>
      </c>
      <c r="DG200" s="597">
        <f>IF(500*(WWWW[[#This Row],['#_male hygiene promoters]]+WWWW[[#This Row],['#_female hygiene promoters]])&gt;WWWW[[#This Row],[Total PoP ]],WWWW[[#This Row],[Total PoP ]],500*(WWWW[[#This Row],['#_male hygiene promoters]]+WWWW[[#This Row],['#_female hygiene promoters]]))</f>
        <v>3000</v>
      </c>
      <c r="DH200"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3140</v>
      </c>
      <c r="DI200"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0" s="600">
        <f>IF(WWWW[[#This Row],['# People with access to soap]]&gt;WWWW[[#This Row],['# People with access to Sanity Pads]],WWWW[[#This Row],['# People with access to soap]],WWWW[[#This Row],['# People with access to Sanity Pads]])</f>
        <v>3140</v>
      </c>
      <c r="DK200" s="600">
        <f>IF(WWWW[[#This Row],['# people reached by regular dedicated hygiene promotion_5]]&gt;WWWW[[#This Row],['# People received regular supply of hygiene items_6]],WWWW[[#This Row],['# people reached by regular dedicated hygiene promotion_5]],WWWW[[#This Row],['# People received regular supply of hygiene items_6]])</f>
        <v>3140</v>
      </c>
      <c r="DL200" s="602">
        <f>IF(WWWW[[#This Row],[HRP3]]/WWWW[[#This Row],[Total PoP ]]&gt;1,1,WWWW[[#This Row],[HRP3]]/WWWW[[#This Row],[Total PoP ]])</f>
        <v>0.78031809145129227</v>
      </c>
      <c r="DM200" s="601">
        <f>1-WWWW[[#This Row],[Hygiene Coverage%]]</f>
        <v>0.21968190854870773</v>
      </c>
      <c r="DN200" s="599">
        <f>WWWW[[#This Row],['# people reached by regular dedicated hygiene promotion_5]]/WWWW[[#This Row],[Total PoP ]]</f>
        <v>0.74552683896620275</v>
      </c>
      <c r="DO200"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00"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0" s="600">
        <f>WWWW[[#This Row],['#_Constructed/Existing hand washing stations]]-WWWW[[#This Row],['#_Non-Functional_hand_washing_stations]]</f>
        <v>19</v>
      </c>
      <c r="DR200" s="597">
        <f>IF(WWWW[[#This Row],['# Functional hand washing stations during reporting period]]*20&gt;WWWW[[#This Row],[Total HH]],WWWW[[#This Row],[Total HH]],WWWW[[#This Row],['# Functional hand washing stations during reporting period]]*20)</f>
        <v>380</v>
      </c>
      <c r="DS200" s="597">
        <f>IF(WWWW[[#This Row],[Is sufficient soap available for TLS? (Yes/No)]]="yes",WWWW[[#This Row],['#_Constructed/Existing hand washing stations at TLS]],0)</f>
        <v>0</v>
      </c>
      <c r="DT200" s="479">
        <f>IF(WWWW[[#This Row],['# Functional hand washing stations during reporting period]]*100&gt;WWWW[[#This Row],[Total PoP ]],WWWW[[#This Row],[Total PoP ]],WWWW[[#This Row],['# Functional hand washing stations during reporting period]]*100)</f>
        <v>1900</v>
      </c>
      <c r="DU200" s="479" t="str">
        <f>IF(OR(WWWW[[#This Row],['#_students at TLS_CFS]]="",WWWW[[#This Row],['#_students at TLS_CFS]]=0),"No","Yes")</f>
        <v>No</v>
      </c>
      <c r="DV200"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0" s="593" t="str">
        <f>VLOOKUP(WWWW[[#This Row],[Site Name]],SiteDB6[[Site Name]:[CCCM Management]],6,FALSE)</f>
        <v>Yes</v>
      </c>
      <c r="DZ200" s="593" t="str">
        <f>VLOOKUP(WWWW[[#This Row],[Site Name]],SiteDB6[[Site Name]:[CCCM Focal Agency]],7,FALSE)</f>
        <v>KBC-BMO</v>
      </c>
      <c r="EA200" s="593" t="str">
        <f>VLOOKUP(WWWW[[#This Row],[Site Name]],SiteDB6[[Site Name]:[Location Type 1]],9,FALSE)</f>
        <v>Camp</v>
      </c>
      <c r="EB200" s="593" t="str">
        <f>VLOOKUP(WWWW[[#This Row],[Site Name]],SiteDB6[[Site Name]:[Type of Accommodation]],10,FALSE)</f>
        <v>Camp</v>
      </c>
      <c r="EC200" s="593" t="str">
        <f>VLOOKUP(WWWW[[#This Row],[Site Name]],SiteDB6[[Site Name]:[Ethnic or GCA/NGCA]],11,FALSE)</f>
        <v>GCA</v>
      </c>
      <c r="ED200" s="593">
        <f>VLOOKUP(WWWW[[#This Row],[Site Name]],SiteDB6[[Site Name]:[Lat]],12,FALSE)</f>
        <v>24.268292826086999</v>
      </c>
      <c r="EE200" s="593">
        <f>VLOOKUP(WWWW[[#This Row],[Site Name]],SiteDB6[[Site Name]:[Long]],13,FALSE)</f>
        <v>97.229116811594196</v>
      </c>
      <c r="EF200" s="593" t="str">
        <f>VLOOKUP(WWWW[[#This Row],[Site Name]],SiteDB6[[Site Name]:[Pcode]],3,FALSE)</f>
        <v>MMR001CMP047</v>
      </c>
      <c r="EG200" s="598" t="str">
        <f t="shared" si="3"/>
        <v>Covered</v>
      </c>
      <c r="EH200" s="598" t="str">
        <f>VLOOKUP(WWWW[[#This Row],[Site Name]],SiteDB6[[Site Name]:[open in cccm?]],2,FALSE)</f>
        <v>cccm_2019OCT</v>
      </c>
    </row>
    <row r="201" spans="1:138" s="470" customFormat="1" hidden="1">
      <c r="A201" s="591" t="s">
        <v>3261</v>
      </c>
      <c r="B201" s="591" t="s">
        <v>279</v>
      </c>
      <c r="C201" s="592" t="s">
        <v>279</v>
      </c>
      <c r="D201" s="592" t="s">
        <v>3275</v>
      </c>
      <c r="E201" s="592" t="s">
        <v>39</v>
      </c>
      <c r="F201" s="592" t="s">
        <v>198</v>
      </c>
      <c r="G201" s="721" t="str">
        <f>VLOOKUP(WWWW[[#This Row],[Site Name]],SiteDB6[[Site Name]:[Location Type]],8,FALSE)</f>
        <v>Camp_not registered</v>
      </c>
      <c r="H201" s="592" t="s">
        <v>3088</v>
      </c>
      <c r="I201" s="594">
        <v>243.8</v>
      </c>
      <c r="J201" s="594">
        <v>1219</v>
      </c>
      <c r="K201" s="717">
        <v>43468</v>
      </c>
      <c r="L201" s="718">
        <v>44226</v>
      </c>
      <c r="M201" s="594">
        <v>1212</v>
      </c>
      <c r="N201" s="594"/>
      <c r="O201" s="594">
        <v>0</v>
      </c>
      <c r="P201" s="594"/>
      <c r="Q201" s="597" t="s">
        <v>43</v>
      </c>
      <c r="R201" s="594"/>
      <c r="S201" s="594">
        <v>5</v>
      </c>
      <c r="T201" s="523">
        <v>0</v>
      </c>
      <c r="U201" s="594"/>
      <c r="V201" s="594"/>
      <c r="W201" s="594">
        <v>5</v>
      </c>
      <c r="X201" s="594">
        <v>0</v>
      </c>
      <c r="Y201" s="594"/>
      <c r="Z201" s="594"/>
      <c r="AA201" s="594"/>
      <c r="AB201" s="594"/>
      <c r="AC201" s="594"/>
      <c r="AD201" s="594"/>
      <c r="AE201" s="594"/>
      <c r="AF201" s="594"/>
      <c r="AG201" s="594"/>
      <c r="AH201" s="594"/>
      <c r="AI201" s="594"/>
      <c r="AJ201" s="594"/>
      <c r="AK201" s="594"/>
      <c r="AL201" s="594"/>
      <c r="AM201" s="594"/>
      <c r="AN201" s="594">
        <v>2</v>
      </c>
      <c r="AO201" s="598"/>
      <c r="AP201" s="594"/>
      <c r="AQ201" s="594"/>
      <c r="AR201" s="599"/>
      <c r="AS201" s="594"/>
      <c r="AT201" s="594"/>
      <c r="AU201" s="594"/>
      <c r="AV201" s="594"/>
      <c r="AW201" s="594"/>
      <c r="AX201" s="593" t="s">
        <v>43</v>
      </c>
      <c r="AY201" s="598" t="s">
        <v>140</v>
      </c>
      <c r="AZ201" s="594">
        <v>0</v>
      </c>
      <c r="BA201" s="594">
        <v>0</v>
      </c>
      <c r="BB201" s="594"/>
      <c r="BC201" s="594"/>
      <c r="BD201" s="523"/>
      <c r="BE201" s="719" t="s">
        <v>3276</v>
      </c>
      <c r="BF201" s="594"/>
      <c r="BG201" s="594"/>
      <c r="BH201" s="594"/>
      <c r="BI201" s="594">
        <v>0</v>
      </c>
      <c r="BJ201" s="594"/>
      <c r="BK201" s="594">
        <v>0</v>
      </c>
      <c r="BL201" s="594">
        <v>0</v>
      </c>
      <c r="BM201" s="594"/>
      <c r="BN201" s="594"/>
      <c r="BO201" s="593"/>
      <c r="BP201" s="594"/>
      <c r="BQ201" s="599">
        <v>0.3</v>
      </c>
      <c r="BR201" s="593"/>
      <c r="BS201" s="472"/>
      <c r="BT201" s="472"/>
      <c r="BU201" s="523"/>
      <c r="BV201" s="472"/>
      <c r="BW201" s="523"/>
      <c r="BX201" s="523"/>
      <c r="BY201" s="523"/>
      <c r="BZ201" s="601" t="str">
        <f>IFERROR(WWWW[[#This Row],['#_Water sources passed]]/WWWW[[#This Row],['#_Water sources tested for fecal coliform ]],"no test")</f>
        <v>no test</v>
      </c>
      <c r="CA201" s="599" t="str">
        <f>IFERROR(WWWW[[#This Row],['#_Household passed]]/WWWW[[#This Row],['#_Household water samples tested for fecal coliform]],"no test")</f>
        <v>no test</v>
      </c>
      <c r="CB201" s="600" t="str">
        <f>IF(AND(WWWW[[#This Row],[% of water sources passed]]="no test",WWWW[[#This Row],[% Household passed]]="no test"),"No Test","Tested")</f>
        <v>No Test</v>
      </c>
      <c r="CC201" s="600">
        <f>WWWW[[#This Row],['#_Constructed/existing protected hand dug well]]-WWWW[[#This Row],['#_Non-functional protected hand dug well]]</f>
        <v>0</v>
      </c>
      <c r="CD201" s="600">
        <f>(WWWW[[#This Row],['#_Constructed/Existing tube wells/boreholes/handpumps_WASH_agency]]+WWWW[[#This Row],['#_Non-Cluster partner water tube-wells/boreholes/handpumps]])-WWWW[[#This Row],['#_Non-functional tube wells/boreholes/handpumps]]</f>
        <v>5</v>
      </c>
      <c r="CE201" s="600">
        <f>WWWW[[#This Row],['#_Constructed/Existingwater storage tank with gravity fed reticulation system]]-WWWW[[#This Row],['#_Non-functional storage tank gravity fed reticulation system]]</f>
        <v>0</v>
      </c>
      <c r="CF201" s="478">
        <f>(WWWW[[#This Row],['#_Water_Liters_supplied_by_Water boating or water trucking]]/90)/15</f>
        <v>0</v>
      </c>
      <c r="CG201" s="478">
        <f>WWWW[[#This Row],['#_Water_Liters_from_Constructed/Existing water distribution system from river or natural spring]]/90/15</f>
        <v>0</v>
      </c>
      <c r="CH201" s="478">
        <f>WWWW[[#This Row],['#_of water points in TLS/CFS /THF]]*500</f>
        <v>1000</v>
      </c>
      <c r="CI201"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1"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1" s="599">
        <f>IF(WWWW[[#This Row],[Location Type 1]]="Village",WWWW[[#This Row],[Access to safe drinking water for Village]],WWWW[[#This Row],[Access to safe drinking water for Camp]])</f>
        <v>1</v>
      </c>
      <c r="CL201" s="597">
        <f>WWWW[[#This Row],[%Equitable and continuous access to sufficient quantity of safe drinking water]]*WWWW[[#This Row],[Total PoP ]]</f>
        <v>1219</v>
      </c>
      <c r="CM201" s="599">
        <f>IF((WWWW[[#This Row],['#_Constructed/Existing protected/fenced ponds]]*250)/WWWW[[#This Row],[Total PoP ]]&gt;1,1,(WWWW[[#This Row],['#_Constructed/Existing protected/fenced ponds]]*250)/WWWW[[#This Row],[Total PoP ]])</f>
        <v>0</v>
      </c>
      <c r="CN201" s="597">
        <f>WWWW[[#This Row],[% Access to unimproved water points]]*WWWW[[#This Row],[Total PoP ]]</f>
        <v>0</v>
      </c>
      <c r="CO201"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1"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1219</v>
      </c>
      <c r="CQ201" s="597">
        <f>WWWW[[#This Row],[HRP1]]/500</f>
        <v>2.4380000000000002</v>
      </c>
      <c r="CR201" s="602">
        <f>1-WWWW[[#This Row],[% Equitable and continuous access to sufficient quantity of domestic water]]</f>
        <v>0</v>
      </c>
      <c r="CS201" s="597">
        <f>WWWW[[#This Row],[%equitable and continuous access to sufficient quantity of safe drinking and domestic water''s GAP]]*WWWW[[#This Row],[Total PoP ]]</f>
        <v>0</v>
      </c>
      <c r="CT201" s="600">
        <f>IF(WWWW[[#This Row],[Total required water points]]-WWWW[[#This Row],['#Water points coverage]]&lt;0,0,WWWW[[#This Row],[Total required water points]]-WWWW[[#This Row],['#Water points coverage]])</f>
        <v>0</v>
      </c>
      <c r="CU201" s="600">
        <f>ROUND(IF(WWWW[[#This Row],[Total PoP ]]&lt;500,1,WWWW[[#This Row],[Total PoP ]]/500),0)</f>
        <v>2</v>
      </c>
      <c r="CV201" s="600">
        <f>(WWWW[[#This Row],['#_Constructed latrines_by_WASHAgencies]]+WWWW[[#This Row],['#_Non Cluster partner latrines]])-WWWW[[#This Row],['#_Non-functional latrines]]</f>
        <v>0</v>
      </c>
      <c r="CW201" s="70">
        <f>WWWW[[#This Row],[HRP2]]/WWWW[[#This Row],[Total PoP ]]</f>
        <v>0</v>
      </c>
      <c r="CX201"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1"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1"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1" s="600">
        <f>IF(WWWW[[#This Row],['# of functional latrines in THF supported by WASH partners during the reporting period2]]="",0,WWWW[[#This Row],['# of functional latrines in THF supported by WASH partners during the reporting period2]]*50)</f>
        <v>0</v>
      </c>
      <c r="DB201" s="600">
        <f>WWWW[[#This Row],['# students access to functioning school latrines_HRP5]]+WWWW[[#This Row],['# People access to functioning latrines in THF_HRP5]]</f>
        <v>0</v>
      </c>
      <c r="DC201" s="600">
        <f>ROUND(IF(WWWW[[#This Row],[Location Type 1]]="camp",WWWW[[#This Row],[Total PoP ]]/20,IF(WWWW[[#This Row],[Location Type 1]]="Temporary Location",WWWW[[#This Row],[Total PoP ]]/50,WWWW[[#This Row],[Total HH]])),0)</f>
        <v>61</v>
      </c>
      <c r="DD201" s="600">
        <f>IF(WWWW[[#This Row],[Total required Latrines]]-(WWWW[[#This Row],['#_Constructed latrines_by_WASHAgencies]]+WWWW[[#This Row],['#_Non Cluster partner latrines]])&lt;0,0,WWWW[[#This Row],[Total required Latrines]]-(WWWW[[#This Row],['#_Constructed latrines_by_WASHAgencies]]+WWWW[[#This Row],['#_Non Cluster partner latrines]]))</f>
        <v>61</v>
      </c>
      <c r="DE201" s="602">
        <f>1-WWWW[[#This Row],[% people access to functioning Latrine]]</f>
        <v>1</v>
      </c>
      <c r="DF201" s="601">
        <f>IF(OR(WWWW[[#This Row],['#_Non-functional latrines]]="",WWWW[[#This Row],['#_Non-functional latrines]]=0),0,WWWW[[#This Row],['#_Non-functional latrines]]/(WWWW[[#This Row],['#_Constructed latrines_by_WASHAgencies]]+WWWW[[#This Row],['#_Non Cluster partner latrines]]))</f>
        <v>0</v>
      </c>
      <c r="DG201" s="597">
        <f>IF(500*(WWWW[[#This Row],['#_male hygiene promoters]]+WWWW[[#This Row],['#_female hygiene promoters]])&gt;WWWW[[#This Row],[Total PoP ]],WWWW[[#This Row],[Total PoP ]],500*(WWWW[[#This Row],['#_male hygiene promoters]]+WWWW[[#This Row],['#_female hygiene promoters]]))</f>
        <v>0</v>
      </c>
      <c r="DH201"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1"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1" s="600">
        <f>IF(WWWW[[#This Row],['# People with access to soap]]&gt;WWWW[[#This Row],['# People with access to Sanity Pads]],WWWW[[#This Row],['# People with access to soap]],WWWW[[#This Row],['# People with access to Sanity Pads]])</f>
        <v>0</v>
      </c>
      <c r="DK201" s="600">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1" s="602">
        <f>IF(WWWW[[#This Row],[HRP3]]/WWWW[[#This Row],[Total PoP ]]&gt;1,1,WWWW[[#This Row],[HRP3]]/WWWW[[#This Row],[Total PoP ]])</f>
        <v>0</v>
      </c>
      <c r="DM201" s="601">
        <f>1-WWWW[[#This Row],[Hygiene Coverage%]]</f>
        <v>1</v>
      </c>
      <c r="DN201" s="599">
        <f>WWWW[[#This Row],['# people reached by regular dedicated hygiene promotion_5]]/WWWW[[#This Row],[Total PoP ]]</f>
        <v>0</v>
      </c>
      <c r="DO201"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1"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1" s="600">
        <f>WWWW[[#This Row],['#_Constructed/Existing hand washing stations]]-WWWW[[#This Row],['#_Non-Functional_hand_washing_stations]]</f>
        <v>0</v>
      </c>
      <c r="DR201" s="597">
        <f>IF(WWWW[[#This Row],['# Functional hand washing stations during reporting period]]*20&gt;WWWW[[#This Row],[Total HH]],WWWW[[#This Row],[Total HH]],WWWW[[#This Row],['# Functional hand washing stations during reporting period]]*20)</f>
        <v>0</v>
      </c>
      <c r="DS201" s="597">
        <f>IF(WWWW[[#This Row],[Is sufficient soap available for TLS? (Yes/No)]]="yes",WWWW[[#This Row],['#_Constructed/Existing hand washing stations at TLS]],0)</f>
        <v>0</v>
      </c>
      <c r="DT201" s="479">
        <f>IF(WWWW[[#This Row],['# Functional hand washing stations during reporting period]]*100&gt;WWWW[[#This Row],[Total PoP ]],WWWW[[#This Row],[Total PoP ]],WWWW[[#This Row],['# Functional hand washing stations during reporting period]]*100)</f>
        <v>0</v>
      </c>
      <c r="DU201" s="479" t="str">
        <f>IF(OR(WWWW[[#This Row],['#_students at TLS_CFS]]="",WWWW[[#This Row],['#_students at TLS_CFS]]=0),"No","Yes")</f>
        <v>Yes</v>
      </c>
      <c r="DV201"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1" s="593" t="str">
        <f>VLOOKUP(WWWW[[#This Row],[Site Name]],SiteDB6[[Site Name]:[CCCM Management]],6,FALSE)</f>
        <v>No</v>
      </c>
      <c r="DZ201" s="593">
        <f>VLOOKUP(WWWW[[#This Row],[Site Name]],SiteDB6[[Site Name]:[CCCM Focal Agency]],7,FALSE)</f>
        <v>0</v>
      </c>
      <c r="EA201" s="593" t="str">
        <f>VLOOKUP(WWWW[[#This Row],[Site Name]],SiteDB6[[Site Name]:[Location Type 1]],9,FALSE)</f>
        <v>Camp</v>
      </c>
      <c r="EB201" s="593" t="str">
        <f>VLOOKUP(WWWW[[#This Row],[Site Name]],SiteDB6[[Site Name]:[Type of Accommodation]],10,FALSE)</f>
        <v>Camp</v>
      </c>
      <c r="EC201" s="593" t="str">
        <f>VLOOKUP(WWWW[[#This Row],[Site Name]],SiteDB6[[Site Name]:[Ethnic or GCA/NGCA]],11,FALSE)</f>
        <v>GCA</v>
      </c>
      <c r="ED201" s="593">
        <f>VLOOKUP(WWWW[[#This Row],[Site Name]],SiteDB6[[Site Name]:[Lat]],12,FALSE)</f>
        <v>0</v>
      </c>
      <c r="EE201" s="593">
        <f>VLOOKUP(WWWW[[#This Row],[Site Name]],SiteDB6[[Site Name]:[Long]],13,FALSE)</f>
        <v>0</v>
      </c>
      <c r="EF201" s="593">
        <f>VLOOKUP(WWWW[[#This Row],[Site Name]],SiteDB6[[Site Name]:[Pcode]],3,FALSE)</f>
        <v>0</v>
      </c>
      <c r="EG201" s="598" t="str">
        <f t="shared" si="3"/>
        <v>Covered</v>
      </c>
      <c r="EH201" s="598">
        <f>VLOOKUP(WWWW[[#This Row],[Site Name]],Site_DB!$C$389:$D$1120,2,FALSE)</f>
        <v>0</v>
      </c>
    </row>
    <row r="202" spans="1:138" hidden="1">
      <c r="A202" s="591" t="s">
        <v>3261</v>
      </c>
      <c r="B202" s="591" t="s">
        <v>279</v>
      </c>
      <c r="C202" s="592" t="s">
        <v>279</v>
      </c>
      <c r="D202" s="592" t="s">
        <v>3275</v>
      </c>
      <c r="E202" s="592" t="s">
        <v>39</v>
      </c>
      <c r="F202" s="592" t="s">
        <v>208</v>
      </c>
      <c r="G202" s="721" t="str">
        <f>VLOOKUP(WWWW[[#This Row],[Site Name]],SiteDB6[[Site Name]:[Location Type]],8,FALSE)</f>
        <v>Camp</v>
      </c>
      <c r="H202" s="592" t="s">
        <v>289</v>
      </c>
      <c r="I202" s="594">
        <v>40</v>
      </c>
      <c r="J202" s="594">
        <v>250</v>
      </c>
      <c r="K202" s="717">
        <v>43468</v>
      </c>
      <c r="L202" s="718">
        <v>44226</v>
      </c>
      <c r="M202" s="594"/>
      <c r="N202" s="594">
        <v>0</v>
      </c>
      <c r="O202" s="594">
        <v>2</v>
      </c>
      <c r="P202" s="594">
        <v>0</v>
      </c>
      <c r="Q202" s="597" t="s">
        <v>43</v>
      </c>
      <c r="R202" s="594">
        <v>5</v>
      </c>
      <c r="S202" s="594">
        <v>4</v>
      </c>
      <c r="T202" s="523">
        <v>2</v>
      </c>
      <c r="U202" s="594"/>
      <c r="V202" s="594"/>
      <c r="W202" s="594">
        <v>1</v>
      </c>
      <c r="X202" s="594">
        <v>0</v>
      </c>
      <c r="Y202" s="594"/>
      <c r="Z202" s="594"/>
      <c r="AA202" s="594"/>
      <c r="AB202" s="594"/>
      <c r="AC202" s="594"/>
      <c r="AD202" s="594"/>
      <c r="AE202" s="594"/>
      <c r="AF202" s="594"/>
      <c r="AG202" s="594">
        <v>1</v>
      </c>
      <c r="AH202" s="594">
        <v>1</v>
      </c>
      <c r="AI202" s="594">
        <v>1</v>
      </c>
      <c r="AJ202" s="594"/>
      <c r="AK202" s="594">
        <v>2</v>
      </c>
      <c r="AL202" s="594"/>
      <c r="AM202" s="594">
        <v>10</v>
      </c>
      <c r="AN202" s="594"/>
      <c r="AO202" s="598"/>
      <c r="AP202" s="594">
        <v>16</v>
      </c>
      <c r="AQ202" s="594"/>
      <c r="AR202" s="599"/>
      <c r="AS202" s="594"/>
      <c r="AT202" s="594"/>
      <c r="AU202" s="523">
        <v>8</v>
      </c>
      <c r="AV202" s="523">
        <v>21</v>
      </c>
      <c r="AW202" s="594"/>
      <c r="AX202" s="593" t="s">
        <v>43</v>
      </c>
      <c r="AY202" s="598" t="s">
        <v>140</v>
      </c>
      <c r="AZ202" s="594">
        <v>0</v>
      </c>
      <c r="BA202" s="594">
        <v>0</v>
      </c>
      <c r="BB202" s="594"/>
      <c r="BC202" s="594"/>
      <c r="BD202" s="523"/>
      <c r="BE202" s="719" t="s">
        <v>3276</v>
      </c>
      <c r="BF202" s="594">
        <v>7</v>
      </c>
      <c r="BG202" s="594"/>
      <c r="BH202" s="594"/>
      <c r="BI202" s="594">
        <v>1</v>
      </c>
      <c r="BJ202" s="594"/>
      <c r="BK202" s="594">
        <v>0</v>
      </c>
      <c r="BL202" s="594">
        <v>0</v>
      </c>
      <c r="BM202" s="720">
        <v>40</v>
      </c>
      <c r="BN202" s="594"/>
      <c r="BO202" s="593"/>
      <c r="BP202" s="594"/>
      <c r="BQ202" s="599"/>
      <c r="BR202" s="593"/>
      <c r="BS202" s="472"/>
      <c r="BT202" s="472">
        <v>1</v>
      </c>
      <c r="BU202" s="523"/>
      <c r="BV202" s="472"/>
      <c r="BW202" s="523"/>
      <c r="BX202" s="523"/>
      <c r="BY202" s="523"/>
      <c r="BZ202" s="601">
        <f>IFERROR(WWWW[[#This Row],['#_Water sources passed]]/WWWW[[#This Row],['#_Water sources tested for fecal coliform ]],"no test")</f>
        <v>0</v>
      </c>
      <c r="CA202" s="599">
        <f>IFERROR(WWWW[[#This Row],['#_Household passed]]/WWWW[[#This Row],['#_Household water samples tested for fecal coliform]],"no test")</f>
        <v>0</v>
      </c>
      <c r="CB202" s="600" t="str">
        <f>IF(AND(WWWW[[#This Row],[% of water sources passed]]="no test",WWWW[[#This Row],[% Household passed]]="no test"),"No Test","Tested")</f>
        <v>Tested</v>
      </c>
      <c r="CC202" s="600">
        <f>WWWW[[#This Row],['#_Constructed/existing protected hand dug well]]-WWWW[[#This Row],['#_Non-functional protected hand dug well]]</f>
        <v>2</v>
      </c>
      <c r="CD202" s="600">
        <f>(WWWW[[#This Row],['#_Constructed/Existing tube wells/boreholes/handpumps_WASH_agency]]+WWWW[[#This Row],['#_Non-Cluster partner water tube-wells/boreholes/handpumps]])-WWWW[[#This Row],['#_Non-functional tube wells/boreholes/handpumps]]</f>
        <v>1</v>
      </c>
      <c r="CE202" s="600">
        <f>WWWW[[#This Row],['#_Constructed/Existingwater storage tank with gravity fed reticulation system]]-WWWW[[#This Row],['#_Non-functional storage tank gravity fed reticulation system]]</f>
        <v>0</v>
      </c>
      <c r="CF202" s="478">
        <f>(WWWW[[#This Row],['#_Water_Liters_supplied_by_Water boating or water trucking]]/90)/15</f>
        <v>0</v>
      </c>
      <c r="CG202" s="478">
        <f>WWWW[[#This Row],['#_Water_Liters_from_Constructed/Existing water distribution system from river or natural spring]]/90/15</f>
        <v>0</v>
      </c>
      <c r="CH202" s="478">
        <f>WWWW[[#This Row],['#_of water points in TLS/CFS /THF]]*500</f>
        <v>0</v>
      </c>
      <c r="CI202"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2"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2" s="599">
        <f>IF(WWWW[[#This Row],[Location Type 1]]="Village",WWWW[[#This Row],[Access to safe drinking water for Village]],WWWW[[#This Row],[Access to safe drinking water for Camp]])</f>
        <v>1</v>
      </c>
      <c r="CL202" s="597">
        <f>WWWW[[#This Row],[%Equitable and continuous access to sufficient quantity of safe drinking water]]*WWWW[[#This Row],[Total PoP ]]</f>
        <v>250</v>
      </c>
      <c r="CM202" s="599">
        <f>IF((WWWW[[#This Row],['#_Constructed/Existing protected/fenced ponds]]*250)/WWWW[[#This Row],[Total PoP ]]&gt;1,1,(WWWW[[#This Row],['#_Constructed/Existing protected/fenced ponds]]*250)/WWWW[[#This Row],[Total PoP ]])</f>
        <v>0</v>
      </c>
      <c r="CN202" s="597">
        <f>WWWW[[#This Row],[% Access to unimproved water points]]*WWWW[[#This Row],[Total PoP ]]</f>
        <v>0</v>
      </c>
      <c r="CO202"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2"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Q202" s="597">
        <f>WWWW[[#This Row],[HRP1]]/500</f>
        <v>0.5</v>
      </c>
      <c r="CR202" s="602">
        <f>1-WWWW[[#This Row],[% Equitable and continuous access to sufficient quantity of domestic water]]</f>
        <v>0</v>
      </c>
      <c r="CS202" s="597">
        <f>WWWW[[#This Row],[%equitable and continuous access to sufficient quantity of safe drinking and domestic water''s GAP]]*WWWW[[#This Row],[Total PoP ]]</f>
        <v>0</v>
      </c>
      <c r="CT202" s="600">
        <f>IF(WWWW[[#This Row],[Total required water points]]-WWWW[[#This Row],['#Water points coverage]]&lt;0,0,WWWW[[#This Row],[Total required water points]]-WWWW[[#This Row],['#Water points coverage]])</f>
        <v>0.5</v>
      </c>
      <c r="CU202" s="600">
        <f>ROUND(IF(WWWW[[#This Row],[Total PoP ]]&lt;500,1,WWWW[[#This Row],[Total PoP ]]/500),0)</f>
        <v>1</v>
      </c>
      <c r="CV202" s="600">
        <f>(WWWW[[#This Row],['#_Constructed latrines_by_WASHAgencies]]+WWWW[[#This Row],['#_Non Cluster partner latrines]])-WWWW[[#This Row],['#_Non-functional latrines]]</f>
        <v>16</v>
      </c>
      <c r="CW202" s="70">
        <f>WWWW[[#This Row],[HRP2]]/WWWW[[#This Row],[Total PoP ]]</f>
        <v>1</v>
      </c>
      <c r="CX202"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CY202"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Z202"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2" s="600">
        <f>IF(WWWW[[#This Row],['# of functional latrines in THF supported by WASH partners during the reporting period2]]="",0,WWWW[[#This Row],['# of functional latrines in THF supported by WASH partners during the reporting period2]]*50)</f>
        <v>0</v>
      </c>
      <c r="DB202" s="600">
        <f>WWWW[[#This Row],['# students access to functioning school latrines_HRP5]]+WWWW[[#This Row],['# People access to functioning latrines in THF_HRP5]]</f>
        <v>0</v>
      </c>
      <c r="DC202" s="600">
        <f>ROUND(IF(WWWW[[#This Row],[Location Type 1]]="camp",WWWW[[#This Row],[Total PoP ]]/20,IF(WWWW[[#This Row],[Location Type 1]]="Temporary Location",WWWW[[#This Row],[Total PoP ]]/50,WWWW[[#This Row],[Total HH]])),0)</f>
        <v>13</v>
      </c>
      <c r="DD202" s="600">
        <f>IF(WWWW[[#This Row],[Total required Latrines]]-(WWWW[[#This Row],['#_Constructed latrines_by_WASHAgencies]]+WWWW[[#This Row],['#_Non Cluster partner latrines]])&lt;0,0,WWWW[[#This Row],[Total required Latrines]]-(WWWW[[#This Row],['#_Constructed latrines_by_WASHAgencies]]+WWWW[[#This Row],['#_Non Cluster partner latrines]]))</f>
        <v>0</v>
      </c>
      <c r="DE202" s="602">
        <f>1-WWWW[[#This Row],[% people access to functioning Latrine]]</f>
        <v>0</v>
      </c>
      <c r="DF202" s="601">
        <f>IF(OR(WWWW[[#This Row],['#_Non-functional latrines]]="",WWWW[[#This Row],['#_Non-functional latrines]]=0),0,WWWW[[#This Row],['#_Non-functional latrines]]/(WWWW[[#This Row],['#_Constructed latrines_by_WASHAgencies]]+WWWW[[#This Row],['#_Non Cluster partner latrines]]))</f>
        <v>0</v>
      </c>
      <c r="DG202" s="597">
        <f>IF(500*(WWWW[[#This Row],['#_male hygiene promoters]]+WWWW[[#This Row],['#_female hygiene promoters]])&gt;WWWW[[#This Row],[Total PoP ]],WWWW[[#This Row],[Total PoP ]],500*(WWWW[[#This Row],['#_male hygiene promoters]]+WWWW[[#This Row],['#_female hygiene promoters]]))</f>
        <v>0</v>
      </c>
      <c r="DH202"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I202"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2" s="600">
        <f>IF(WWWW[[#This Row],['# People with access to soap]]&gt;WWWW[[#This Row],['# People with access to Sanity Pads]],WWWW[[#This Row],['# People with access to soap]],WWWW[[#This Row],['# People with access to Sanity Pads]])</f>
        <v>250</v>
      </c>
      <c r="DK202" s="600">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L202" s="602">
        <f>IF(WWWW[[#This Row],[HRP3]]/WWWW[[#This Row],[Total PoP ]]&gt;1,1,WWWW[[#This Row],[HRP3]]/WWWW[[#This Row],[Total PoP ]])</f>
        <v>1</v>
      </c>
      <c r="DM202" s="601">
        <f>1-WWWW[[#This Row],[Hygiene Coverage%]]</f>
        <v>0</v>
      </c>
      <c r="DN202" s="599">
        <f>WWWW[[#This Row],['# people reached by regular dedicated hygiene promotion_5]]/WWWW[[#This Row],[Total PoP ]]</f>
        <v>0</v>
      </c>
      <c r="DO202"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02"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2" s="600">
        <f>WWWW[[#This Row],['#_Constructed/Existing hand washing stations]]-WWWW[[#This Row],['#_Non-Functional_hand_washing_stations]]</f>
        <v>7</v>
      </c>
      <c r="DR202" s="597">
        <f>IF(WWWW[[#This Row],['# Functional hand washing stations during reporting period]]*20&gt;WWWW[[#This Row],[Total HH]],WWWW[[#This Row],[Total HH]],WWWW[[#This Row],['# Functional hand washing stations during reporting period]]*20)</f>
        <v>40</v>
      </c>
      <c r="DS202" s="597">
        <f>IF(WWWW[[#This Row],[Is sufficient soap available for TLS? (Yes/No)]]="yes",WWWW[[#This Row],['#_Constructed/Existing hand washing stations at TLS]],0)</f>
        <v>0</v>
      </c>
      <c r="DT202" s="479">
        <f>IF(WWWW[[#This Row],['# Functional hand washing stations during reporting period]]*100&gt;WWWW[[#This Row],[Total PoP ]],WWWW[[#This Row],[Total PoP ]],WWWW[[#This Row],['# Functional hand washing stations during reporting period]]*100)</f>
        <v>250</v>
      </c>
      <c r="DU202" s="479" t="str">
        <f>IF(OR(WWWW[[#This Row],['#_students at TLS_CFS]]="",WWWW[[#This Row],['#_students at TLS_CFS]]=0),"No","Yes")</f>
        <v>No</v>
      </c>
      <c r="DV202"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2" s="593" t="str">
        <f>VLOOKUP(WWWW[[#This Row],[Site Name]],SiteDB6[[Site Name]:[CCCM Management]],6,FALSE)</f>
        <v>Yes</v>
      </c>
      <c r="DZ202" s="593" t="str">
        <f>VLOOKUP(WWWW[[#This Row],[Site Name]],SiteDB6[[Site Name]:[CCCM Focal Agency]],7,FALSE)</f>
        <v>KBC-BMO</v>
      </c>
      <c r="EA202" s="593" t="str">
        <f>VLOOKUP(WWWW[[#This Row],[Site Name]],SiteDB6[[Site Name]:[Location Type 1]],9,FALSE)</f>
        <v>Camp</v>
      </c>
      <c r="EB202" s="593" t="str">
        <f>VLOOKUP(WWWW[[#This Row],[Site Name]],SiteDB6[[Site Name]:[Type of Accommodation]],10,FALSE)</f>
        <v>Camp</v>
      </c>
      <c r="EC202" s="593" t="str">
        <f>VLOOKUP(WWWW[[#This Row],[Site Name]],SiteDB6[[Site Name]:[Ethnic or GCA/NGCA]],11,FALSE)</f>
        <v>GCA</v>
      </c>
      <c r="ED202" s="593">
        <f>VLOOKUP(WWWW[[#This Row],[Site Name]],SiteDB6[[Site Name]:[Lat]],12,FALSE)</f>
        <v>24.207332999999998</v>
      </c>
      <c r="EE202" s="593">
        <f>VLOOKUP(WWWW[[#This Row],[Site Name]],SiteDB6[[Site Name]:[Long]],13,FALSE)</f>
        <v>97.710864000000001</v>
      </c>
      <c r="EF202" s="593" t="str">
        <f>VLOOKUP(WWWW[[#This Row],[Site Name]],SiteDB6[[Site Name]:[Pcode]],3,FALSE)</f>
        <v>MMR001CMP073</v>
      </c>
      <c r="EG202" s="598" t="str">
        <f t="shared" si="3"/>
        <v>Covered</v>
      </c>
      <c r="EH202" s="598" t="str">
        <f>VLOOKUP(WWWW[[#This Row],[Site Name]],SiteDB6[[Site Name]:[open in cccm?]],2,FALSE)</f>
        <v>cccm_2019OCT</v>
      </c>
    </row>
    <row r="203" spans="1:138" s="470" customFormat="1" hidden="1">
      <c r="A203" s="591" t="s">
        <v>3261</v>
      </c>
      <c r="B203" s="591" t="s">
        <v>294</v>
      </c>
      <c r="C203" s="592" t="s">
        <v>294</v>
      </c>
      <c r="D203" s="592" t="s">
        <v>1913</v>
      </c>
      <c r="E203" s="592" t="s">
        <v>39</v>
      </c>
      <c r="F203" s="592" t="s">
        <v>40</v>
      </c>
      <c r="G203" s="721" t="str">
        <f>VLOOKUP(WWWW[[#This Row],[Site Name]],SiteDB6[[Site Name]:[Location Type]],8,FALSE)</f>
        <v>Camp</v>
      </c>
      <c r="H203" s="592" t="s">
        <v>1931</v>
      </c>
      <c r="I203" s="594">
        <v>358</v>
      </c>
      <c r="J203" s="594">
        <v>1816</v>
      </c>
      <c r="K203" s="595"/>
      <c r="L203" s="596">
        <v>43799</v>
      </c>
      <c r="M203" s="594">
        <v>483</v>
      </c>
      <c r="N203" s="594">
        <v>7</v>
      </c>
      <c r="O203" s="594">
        <v>35</v>
      </c>
      <c r="P203" s="594"/>
      <c r="Q203" s="597" t="s">
        <v>43</v>
      </c>
      <c r="R203" s="594">
        <v>3</v>
      </c>
      <c r="S203" s="594">
        <v>4</v>
      </c>
      <c r="T203" s="523">
        <v>5</v>
      </c>
      <c r="U203" s="594"/>
      <c r="V203" s="594"/>
      <c r="W203" s="594"/>
      <c r="X203" s="594"/>
      <c r="Y203" s="594"/>
      <c r="Z203" s="594"/>
      <c r="AA203" s="594">
        <v>65</v>
      </c>
      <c r="AB203" s="594"/>
      <c r="AC203" s="594"/>
      <c r="AD203" s="594"/>
      <c r="AE203" s="594">
        <v>5</v>
      </c>
      <c r="AF203" s="594"/>
      <c r="AG203" s="594">
        <v>2</v>
      </c>
      <c r="AH203" s="594">
        <v>5</v>
      </c>
      <c r="AI203" s="594"/>
      <c r="AJ203" s="594"/>
      <c r="AK203" s="594"/>
      <c r="AL203" s="594"/>
      <c r="AM203" s="594">
        <v>0</v>
      </c>
      <c r="AN203" s="594">
        <v>5</v>
      </c>
      <c r="AO203" s="598"/>
      <c r="AP203" s="594">
        <v>193</v>
      </c>
      <c r="AQ203" s="594"/>
      <c r="AR203" s="599"/>
      <c r="AS203" s="594"/>
      <c r="AT203" s="594"/>
      <c r="AU203" s="594"/>
      <c r="AV203" s="594"/>
      <c r="AW203" s="594">
        <v>73</v>
      </c>
      <c r="AX203" s="593" t="s">
        <v>139</v>
      </c>
      <c r="AY203" s="598" t="s">
        <v>140</v>
      </c>
      <c r="AZ203" s="594"/>
      <c r="BA203" s="594"/>
      <c r="BB203" s="594">
        <v>25</v>
      </c>
      <c r="BC203" s="594"/>
      <c r="BD203" s="523"/>
      <c r="BE203" s="593"/>
      <c r="BF203" s="594">
        <v>18</v>
      </c>
      <c r="BG203" s="594"/>
      <c r="BH203" s="594">
        <v>60</v>
      </c>
      <c r="BI203" s="594">
        <v>15</v>
      </c>
      <c r="BJ203" s="594"/>
      <c r="BK203" s="594">
        <v>3</v>
      </c>
      <c r="BL203" s="594">
        <v>6</v>
      </c>
      <c r="BM203" s="594"/>
      <c r="BN203" s="594"/>
      <c r="BO203" s="593" t="s">
        <v>43</v>
      </c>
      <c r="BP203" s="594"/>
      <c r="BQ203" s="599"/>
      <c r="BR203" s="593" t="s">
        <v>3093</v>
      </c>
      <c r="BS203" s="472"/>
      <c r="BT203" s="472"/>
      <c r="BU203" s="523"/>
      <c r="BV203" s="472"/>
      <c r="BW203" s="523"/>
      <c r="BX203" s="523"/>
      <c r="BY203" s="523"/>
      <c r="BZ203" s="601" t="str">
        <f>IFERROR(WWWW[[#This Row],['#_Water sources passed]]/WWWW[[#This Row],['#_Water sources tested for fecal coliform ]],"no test")</f>
        <v>no test</v>
      </c>
      <c r="CA203" s="599" t="str">
        <f>IFERROR(WWWW[[#This Row],['#_Household passed]]/WWWW[[#This Row],['#_Household water samples tested for fecal coliform]],"no test")</f>
        <v>no test</v>
      </c>
      <c r="CB203" s="600" t="str">
        <f>IF(AND(WWWW[[#This Row],[% of water sources passed]]="no test",WWWW[[#This Row],[% Household passed]]="no test"),"No Test","Tested")</f>
        <v>No Test</v>
      </c>
      <c r="CC203" s="600">
        <f>WWWW[[#This Row],['#_Constructed/existing protected hand dug well]]-WWWW[[#This Row],['#_Non-functional protected hand dug well]]</f>
        <v>5</v>
      </c>
      <c r="CD203" s="600">
        <f>(WWWW[[#This Row],['#_Constructed/Existing tube wells/boreholes/handpumps_WASH_agency]]+WWWW[[#This Row],['#_Non-Cluster partner water tube-wells/boreholes/handpumps]])-WWWW[[#This Row],['#_Non-functional tube wells/boreholes/handpumps]]</f>
        <v>0</v>
      </c>
      <c r="CE203" s="600">
        <f>WWWW[[#This Row],['#_Constructed/Existingwater storage tank with gravity fed reticulation system]]-WWWW[[#This Row],['#_Non-functional storage tank gravity fed reticulation system]]</f>
        <v>65</v>
      </c>
      <c r="CF203" s="478">
        <f>(WWWW[[#This Row],['#_Water_Liters_supplied_by_Water boating or water trucking]]/90)/15</f>
        <v>0</v>
      </c>
      <c r="CG203" s="478">
        <f>WWWW[[#This Row],['#_Water_Liters_from_Constructed/Existing water distribution system from river or natural spring]]/90/15</f>
        <v>0</v>
      </c>
      <c r="CH203" s="478">
        <f>WWWW[[#This Row],['#_of water points in TLS/CFS /THF]]*500</f>
        <v>2500</v>
      </c>
      <c r="CI203"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3"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3" s="599">
        <f>IF(WWWW[[#This Row],[Location Type 1]]="Village",WWWW[[#This Row],[Access to safe drinking water for Village]],WWWW[[#This Row],[Access to safe drinking water for Camp]])</f>
        <v>1</v>
      </c>
      <c r="CL203" s="597">
        <f>WWWW[[#This Row],[%Equitable and continuous access to sufficient quantity of safe drinking water]]*WWWW[[#This Row],[Total PoP ]]</f>
        <v>1816</v>
      </c>
      <c r="CM203" s="599">
        <f>IF((WWWW[[#This Row],['#_Constructed/Existing protected/fenced ponds]]*250)/WWWW[[#This Row],[Total PoP ]]&gt;1,1,(WWWW[[#This Row],['#_Constructed/Existing protected/fenced ponds]]*250)/WWWW[[#This Row],[Total PoP ]])</f>
        <v>0.68832599118942728</v>
      </c>
      <c r="CN203" s="597">
        <f>WWWW[[#This Row],[% Access to unimproved water points]]*WWWW[[#This Row],[Total PoP ]]</f>
        <v>1250</v>
      </c>
      <c r="CO203"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3"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1816</v>
      </c>
      <c r="CQ203" s="597">
        <f>WWWW[[#This Row],[HRP1]]/500</f>
        <v>3.6320000000000001</v>
      </c>
      <c r="CR203" s="602">
        <f>1-WWWW[[#This Row],[% Equitable and continuous access to sufficient quantity of domestic water]]</f>
        <v>0</v>
      </c>
      <c r="CS203" s="597">
        <f>WWWW[[#This Row],[%equitable and continuous access to sufficient quantity of safe drinking and domestic water''s GAP]]*WWWW[[#This Row],[Total PoP ]]</f>
        <v>0</v>
      </c>
      <c r="CT203" s="600">
        <f>IF(WWWW[[#This Row],[Total required water points]]-WWWW[[#This Row],['#Water points coverage]]&lt;0,0,WWWW[[#This Row],[Total required water points]]-WWWW[[#This Row],['#Water points coverage]])</f>
        <v>0.36799999999999988</v>
      </c>
      <c r="CU203" s="600">
        <f>ROUND(IF(WWWW[[#This Row],[Total PoP ]]&lt;500,1,WWWW[[#This Row],[Total PoP ]]/500),0)</f>
        <v>4</v>
      </c>
      <c r="CV203" s="600">
        <f>(WWWW[[#This Row],['#_Constructed latrines_by_WASHAgencies]]+WWWW[[#This Row],['#_Non Cluster partner latrines]])-WWWW[[#This Row],['#_Non-functional latrines]]</f>
        <v>193</v>
      </c>
      <c r="CW203" s="70">
        <f>WWWW[[#This Row],[HRP2]]/WWWW[[#This Row],[Total PoP ]]</f>
        <v>1</v>
      </c>
      <c r="CX203"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1816</v>
      </c>
      <c r="CY203"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3"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483</v>
      </c>
      <c r="DA203" s="600">
        <f>IF(WWWW[[#This Row],['# of functional latrines in THF supported by WASH partners during the reporting period2]]="",0,WWWW[[#This Row],['# of functional latrines in THF supported by WASH partners during the reporting period2]]*50)</f>
        <v>0</v>
      </c>
      <c r="DB203" s="600">
        <f>WWWW[[#This Row],['# students access to functioning school latrines_HRP5]]+WWWW[[#This Row],['# People access to functioning latrines in THF_HRP5]]</f>
        <v>483</v>
      </c>
      <c r="DC203" s="600">
        <f>ROUND(IF(WWWW[[#This Row],[Location Type 1]]="camp",WWWW[[#This Row],[Total PoP ]]/20,IF(WWWW[[#This Row],[Location Type 1]]="Temporary Location",WWWW[[#This Row],[Total PoP ]]/50,WWWW[[#This Row],[Total HH]])),0)</f>
        <v>91</v>
      </c>
      <c r="DD203" s="600">
        <f>IF(WWWW[[#This Row],[Total required Latrines]]-(WWWW[[#This Row],['#_Constructed latrines_by_WASHAgencies]]+WWWW[[#This Row],['#_Non Cluster partner latrines]])&lt;0,0,WWWW[[#This Row],[Total required Latrines]]-(WWWW[[#This Row],['#_Constructed latrines_by_WASHAgencies]]+WWWW[[#This Row],['#_Non Cluster partner latrines]]))</f>
        <v>0</v>
      </c>
      <c r="DE203" s="602">
        <f>1-WWWW[[#This Row],[% people access to functioning Latrine]]</f>
        <v>0</v>
      </c>
      <c r="DF203" s="601">
        <f>IF(OR(WWWW[[#This Row],['#_Non-functional latrines]]="",WWWW[[#This Row],['#_Non-functional latrines]]=0),0,WWWW[[#This Row],['#_Non-functional latrines]]/(WWWW[[#This Row],['#_Constructed latrines_by_WASHAgencies]]+WWWW[[#This Row],['#_Non Cluster partner latrines]]))</f>
        <v>0</v>
      </c>
      <c r="DG203" s="597">
        <f>IF(500*(WWWW[[#This Row],['#_male hygiene promoters]]+WWWW[[#This Row],['#_female hygiene promoters]])&gt;WWWW[[#This Row],[Total PoP ]],WWWW[[#This Row],[Total PoP ]],500*(WWWW[[#This Row],['#_male hygiene promoters]]+WWWW[[#This Row],['#_female hygiene promoters]]))</f>
        <v>1816</v>
      </c>
      <c r="DH203"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3"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3" s="600">
        <f>IF(WWWW[[#This Row],['# People with access to soap]]&gt;WWWW[[#This Row],['# People with access to Sanity Pads]],WWWW[[#This Row],['# People with access to soap]],WWWW[[#This Row],['# People with access to Sanity Pads]])</f>
        <v>0</v>
      </c>
      <c r="DK203" s="600">
        <f>IF(WWWW[[#This Row],['# people reached by regular dedicated hygiene promotion_5]]&gt;WWWW[[#This Row],['# People received regular supply of hygiene items_6]],WWWW[[#This Row],['# people reached by regular dedicated hygiene promotion_5]],WWWW[[#This Row],['# People received regular supply of hygiene items_6]])</f>
        <v>1816</v>
      </c>
      <c r="DL203" s="602">
        <f>IF(WWWW[[#This Row],[HRP3]]/WWWW[[#This Row],[Total PoP ]]&gt;1,1,WWWW[[#This Row],[HRP3]]/WWWW[[#This Row],[Total PoP ]])</f>
        <v>1</v>
      </c>
      <c r="DM203" s="601">
        <f>1-WWWW[[#This Row],[Hygiene Coverage%]]</f>
        <v>0</v>
      </c>
      <c r="DN203" s="599">
        <f>WWWW[[#This Row],['# people reached by regular dedicated hygiene promotion_5]]/WWWW[[#This Row],[Total PoP ]]</f>
        <v>1</v>
      </c>
      <c r="DO203"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3"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3" s="600">
        <f>WWWW[[#This Row],['#_Constructed/Existing hand washing stations]]-WWWW[[#This Row],['#_Non-Functional_hand_washing_stations]]</f>
        <v>18</v>
      </c>
      <c r="DR203" s="597">
        <f>IF(WWWW[[#This Row],['# Functional hand washing stations during reporting period]]*20&gt;WWWW[[#This Row],[Total HH]],WWWW[[#This Row],[Total HH]],WWWW[[#This Row],['# Functional hand washing stations during reporting period]]*20)</f>
        <v>358</v>
      </c>
      <c r="DS203" s="597">
        <f>IF(WWWW[[#This Row],[Is sufficient soap available for TLS? (Yes/No)]]="yes",WWWW[[#This Row],['#_Constructed/Existing hand washing stations at TLS]],0)</f>
        <v>0</v>
      </c>
      <c r="DT203" s="479">
        <f>IF(WWWW[[#This Row],['# Functional hand washing stations during reporting period]]*100&gt;WWWW[[#This Row],[Total PoP ]],WWWW[[#This Row],[Total PoP ]],WWWW[[#This Row],['# Functional hand washing stations during reporting period]]*100)</f>
        <v>1800</v>
      </c>
      <c r="DU203" s="479" t="str">
        <f>IF(OR(WWWW[[#This Row],['#_students at TLS_CFS]]="",WWWW[[#This Row],['#_students at TLS_CFS]]=0),"No","Yes")</f>
        <v>Yes</v>
      </c>
      <c r="DV203"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2500</v>
      </c>
      <c r="DY203" s="593" t="str">
        <f>VLOOKUP(WWWW[[#This Row],[Site Name]],SiteDB6[[Site Name]:[CCCM Management]],6,FALSE)</f>
        <v>Yes</v>
      </c>
      <c r="DZ203" s="593" t="str">
        <f>VLOOKUP(WWWW[[#This Row],[Site Name]],SiteDB6[[Site Name]:[CCCM Focal Agency]],7,FALSE)</f>
        <v>KMSS-BMO</v>
      </c>
      <c r="EA203" s="593" t="str">
        <f>VLOOKUP(WWWW[[#This Row],[Site Name]],SiteDB6[[Site Name]:[Location Type 1]],9,FALSE)</f>
        <v>Camp</v>
      </c>
      <c r="EB203" s="593" t="str">
        <f>VLOOKUP(WWWW[[#This Row],[Site Name]],SiteDB6[[Site Name]:[Type of Accommodation]],10,FALSE)</f>
        <v>Camp</v>
      </c>
      <c r="EC203" s="593" t="str">
        <f>VLOOKUP(WWWW[[#This Row],[Site Name]],SiteDB6[[Site Name]:[Ethnic or GCA/NGCA]],11,FALSE)</f>
        <v>NGCA</v>
      </c>
      <c r="ED203" s="593">
        <f>VLOOKUP(WWWW[[#This Row],[Site Name]],SiteDB6[[Site Name]:[Lat]],12,FALSE)</f>
        <v>24.002433</v>
      </c>
      <c r="EE203" s="593">
        <f>VLOOKUP(WWWW[[#This Row],[Site Name]],SiteDB6[[Site Name]:[Long]],13,FALSE)</f>
        <v>97.609832999999995</v>
      </c>
      <c r="EF203" s="593" t="str">
        <f>VLOOKUP(WWWW[[#This Row],[Site Name]],SiteDB6[[Site Name]:[Pcode]],3,FALSE)</f>
        <v>MMR001CMP129</v>
      </c>
      <c r="EG203" s="598" t="str">
        <f t="shared" si="3"/>
        <v>Covered</v>
      </c>
      <c r="EH203" s="598" t="str">
        <f>VLOOKUP(WWWW[[#This Row],[Site Name]],SiteDB6[[Site Name]:[open in cccm?]],2,FALSE)</f>
        <v>cccm_2019OCT</v>
      </c>
    </row>
    <row r="204" spans="1:138" hidden="1">
      <c r="A204" s="591" t="s">
        <v>3261</v>
      </c>
      <c r="B204" s="591" t="s">
        <v>294</v>
      </c>
      <c r="C204" s="592" t="s">
        <v>294</v>
      </c>
      <c r="D204" s="592" t="s">
        <v>1913</v>
      </c>
      <c r="E204" s="592" t="s">
        <v>39</v>
      </c>
      <c r="F204" s="592" t="s">
        <v>40</v>
      </c>
      <c r="G204" s="721" t="str">
        <f>VLOOKUP(WWWW[[#This Row],[Site Name]],SiteDB6[[Site Name]:[Location Type]],8,FALSE)</f>
        <v>Camp</v>
      </c>
      <c r="H204" s="592" t="s">
        <v>297</v>
      </c>
      <c r="I204" s="594">
        <v>446</v>
      </c>
      <c r="J204" s="594">
        <v>2455</v>
      </c>
      <c r="K204" s="595"/>
      <c r="L204" s="596">
        <v>43799</v>
      </c>
      <c r="M204" s="594">
        <v>562</v>
      </c>
      <c r="N204" s="594">
        <v>12</v>
      </c>
      <c r="O204" s="594">
        <v>45</v>
      </c>
      <c r="P204" s="594"/>
      <c r="Q204" s="597" t="s">
        <v>43</v>
      </c>
      <c r="R204" s="594">
        <v>3</v>
      </c>
      <c r="S204" s="594">
        <v>5</v>
      </c>
      <c r="T204" s="523">
        <v>3</v>
      </c>
      <c r="U204" s="594"/>
      <c r="V204" s="594"/>
      <c r="W204" s="594"/>
      <c r="X204" s="594"/>
      <c r="Y204" s="594"/>
      <c r="Z204" s="594"/>
      <c r="AA204" s="594">
        <v>70</v>
      </c>
      <c r="AB204" s="594"/>
      <c r="AC204" s="594"/>
      <c r="AD204" s="594"/>
      <c r="AE204" s="594">
        <v>1</v>
      </c>
      <c r="AF204" s="594"/>
      <c r="AG204" s="594">
        <v>2</v>
      </c>
      <c r="AH204" s="594">
        <v>1</v>
      </c>
      <c r="AI204" s="594"/>
      <c r="AJ204" s="594"/>
      <c r="AK204" s="594"/>
      <c r="AL204" s="594"/>
      <c r="AM204" s="594">
        <v>5</v>
      </c>
      <c r="AN204" s="594">
        <v>2</v>
      </c>
      <c r="AO204" s="598"/>
      <c r="AP204" s="594">
        <v>395</v>
      </c>
      <c r="AQ204" s="594"/>
      <c r="AR204" s="599"/>
      <c r="AS204" s="594"/>
      <c r="AT204" s="594"/>
      <c r="AU204" s="594"/>
      <c r="AV204" s="594"/>
      <c r="AW204" s="594">
        <v>266</v>
      </c>
      <c r="AX204" s="593" t="s">
        <v>139</v>
      </c>
      <c r="AY204" s="598" t="s">
        <v>140</v>
      </c>
      <c r="AZ204" s="594"/>
      <c r="BA204" s="594"/>
      <c r="BB204" s="594">
        <v>42</v>
      </c>
      <c r="BC204" s="594"/>
      <c r="BD204" s="523"/>
      <c r="BE204" s="593"/>
      <c r="BF204" s="594">
        <v>12</v>
      </c>
      <c r="BG204" s="594"/>
      <c r="BH204" s="594">
        <v>266</v>
      </c>
      <c r="BI204" s="594">
        <v>4</v>
      </c>
      <c r="BJ204" s="594"/>
      <c r="BK204" s="594">
        <v>2</v>
      </c>
      <c r="BL204" s="594">
        <v>8</v>
      </c>
      <c r="BM204" s="594"/>
      <c r="BN204" s="594"/>
      <c r="BO204" s="593" t="s">
        <v>43</v>
      </c>
      <c r="BP204" s="594"/>
      <c r="BQ204" s="599"/>
      <c r="BR204" s="593" t="s">
        <v>3093</v>
      </c>
      <c r="BS204" s="472"/>
      <c r="BT204" s="472"/>
      <c r="BU204" s="523"/>
      <c r="BV204" s="472"/>
      <c r="BW204" s="523"/>
      <c r="BX204" s="523"/>
      <c r="BY204" s="523"/>
      <c r="BZ204" s="601" t="str">
        <f>IFERROR(WWWW[[#This Row],['#_Water sources passed]]/WWWW[[#This Row],['#_Water sources tested for fecal coliform ]],"no test")</f>
        <v>no test</v>
      </c>
      <c r="CA204" s="599" t="str">
        <f>IFERROR(WWWW[[#This Row],['#_Household passed]]/WWWW[[#This Row],['#_Household water samples tested for fecal coliform]],"no test")</f>
        <v>no test</v>
      </c>
      <c r="CB204" s="600" t="str">
        <f>IF(AND(WWWW[[#This Row],[% of water sources passed]]="no test",WWWW[[#This Row],[% Household passed]]="no test"),"No Test","Tested")</f>
        <v>No Test</v>
      </c>
      <c r="CC204" s="600">
        <f>WWWW[[#This Row],['#_Constructed/existing protected hand dug well]]-WWWW[[#This Row],['#_Non-functional protected hand dug well]]</f>
        <v>3</v>
      </c>
      <c r="CD204" s="600">
        <f>(WWWW[[#This Row],['#_Constructed/Existing tube wells/boreholes/handpumps_WASH_agency]]+WWWW[[#This Row],['#_Non-Cluster partner water tube-wells/boreholes/handpumps]])-WWWW[[#This Row],['#_Non-functional tube wells/boreholes/handpumps]]</f>
        <v>0</v>
      </c>
      <c r="CE204" s="600">
        <f>WWWW[[#This Row],['#_Constructed/Existingwater storage tank with gravity fed reticulation system]]-WWWW[[#This Row],['#_Non-functional storage tank gravity fed reticulation system]]</f>
        <v>70</v>
      </c>
      <c r="CF204" s="478">
        <f>(WWWW[[#This Row],['#_Water_Liters_supplied_by_Water boating or water trucking]]/90)/15</f>
        <v>0</v>
      </c>
      <c r="CG204" s="478">
        <f>WWWW[[#This Row],['#_Water_Liters_from_Constructed/Existing water distribution system from river or natural spring]]/90/15</f>
        <v>0</v>
      </c>
      <c r="CH204" s="478">
        <f>WWWW[[#This Row],['#_of water points in TLS/CFS /THF]]*500</f>
        <v>1000</v>
      </c>
      <c r="CI204"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4"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4" s="599">
        <f>IF(WWWW[[#This Row],[Location Type 1]]="Village",WWWW[[#This Row],[Access to safe drinking water for Village]],WWWW[[#This Row],[Access to safe drinking water for Camp]])</f>
        <v>1</v>
      </c>
      <c r="CL204" s="597">
        <f>WWWW[[#This Row],[%Equitable and continuous access to sufficient quantity of safe drinking water]]*WWWW[[#This Row],[Total PoP ]]</f>
        <v>2455</v>
      </c>
      <c r="CM204" s="599">
        <f>IF((WWWW[[#This Row],['#_Constructed/Existing protected/fenced ponds]]*250)/WWWW[[#This Row],[Total PoP ]]&gt;1,1,(WWWW[[#This Row],['#_Constructed/Existing protected/fenced ponds]]*250)/WWWW[[#This Row],[Total PoP ]])</f>
        <v>0.10183299389002037</v>
      </c>
      <c r="CN204" s="597">
        <f>WWWW[[#This Row],[% Access to unimproved water points]]*WWWW[[#This Row],[Total PoP ]]</f>
        <v>250.00000000000003</v>
      </c>
      <c r="CO204"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4"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2455</v>
      </c>
      <c r="CQ204" s="597">
        <f>WWWW[[#This Row],[HRP1]]/500</f>
        <v>4.91</v>
      </c>
      <c r="CR204" s="602">
        <f>1-WWWW[[#This Row],[% Equitable and continuous access to sufficient quantity of domestic water]]</f>
        <v>0</v>
      </c>
      <c r="CS204" s="597">
        <f>WWWW[[#This Row],[%equitable and continuous access to sufficient quantity of safe drinking and domestic water''s GAP]]*WWWW[[#This Row],[Total PoP ]]</f>
        <v>0</v>
      </c>
      <c r="CT204" s="600">
        <f>IF(WWWW[[#This Row],[Total required water points]]-WWWW[[#This Row],['#Water points coverage]]&lt;0,0,WWWW[[#This Row],[Total required water points]]-WWWW[[#This Row],['#Water points coverage]])</f>
        <v>8.9999999999999858E-2</v>
      </c>
      <c r="CU204" s="600">
        <f>ROUND(IF(WWWW[[#This Row],[Total PoP ]]&lt;500,1,WWWW[[#This Row],[Total PoP ]]/500),0)</f>
        <v>5</v>
      </c>
      <c r="CV204" s="600">
        <f>(WWWW[[#This Row],['#_Constructed latrines_by_WASHAgencies]]+WWWW[[#This Row],['#_Non Cluster partner latrines]])-WWWW[[#This Row],['#_Non-functional latrines]]</f>
        <v>395</v>
      </c>
      <c r="CW204" s="70">
        <f>WWWW[[#This Row],[HRP2]]/WWWW[[#This Row],[Total PoP ]]</f>
        <v>1</v>
      </c>
      <c r="CX204"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2455</v>
      </c>
      <c r="CY204"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4"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562</v>
      </c>
      <c r="DA204" s="600">
        <f>IF(WWWW[[#This Row],['# of functional latrines in THF supported by WASH partners during the reporting period2]]="",0,WWWW[[#This Row],['# of functional latrines in THF supported by WASH partners during the reporting period2]]*50)</f>
        <v>0</v>
      </c>
      <c r="DB204" s="600">
        <f>WWWW[[#This Row],['# students access to functioning school latrines_HRP5]]+WWWW[[#This Row],['# People access to functioning latrines in THF_HRP5]]</f>
        <v>562</v>
      </c>
      <c r="DC204" s="600">
        <f>ROUND(IF(WWWW[[#This Row],[Location Type 1]]="camp",WWWW[[#This Row],[Total PoP ]]/20,IF(WWWW[[#This Row],[Location Type 1]]="Temporary Location",WWWW[[#This Row],[Total PoP ]]/50,WWWW[[#This Row],[Total HH]])),0)</f>
        <v>123</v>
      </c>
      <c r="DD204" s="600">
        <f>IF(WWWW[[#This Row],[Total required Latrines]]-(WWWW[[#This Row],['#_Constructed latrines_by_WASHAgencies]]+WWWW[[#This Row],['#_Non Cluster partner latrines]])&lt;0,0,WWWW[[#This Row],[Total required Latrines]]-(WWWW[[#This Row],['#_Constructed latrines_by_WASHAgencies]]+WWWW[[#This Row],['#_Non Cluster partner latrines]]))</f>
        <v>0</v>
      </c>
      <c r="DE204" s="602">
        <f>1-WWWW[[#This Row],[% people access to functioning Latrine]]</f>
        <v>0</v>
      </c>
      <c r="DF204" s="601">
        <f>IF(OR(WWWW[[#This Row],['#_Non-functional latrines]]="",WWWW[[#This Row],['#_Non-functional latrines]]=0),0,WWWW[[#This Row],['#_Non-functional latrines]]/(WWWW[[#This Row],['#_Constructed latrines_by_WASHAgencies]]+WWWW[[#This Row],['#_Non Cluster partner latrines]]))</f>
        <v>0</v>
      </c>
      <c r="DG204" s="597">
        <f>IF(500*(WWWW[[#This Row],['#_male hygiene promoters]]+WWWW[[#This Row],['#_female hygiene promoters]])&gt;WWWW[[#This Row],[Total PoP ]],WWWW[[#This Row],[Total PoP ]],500*(WWWW[[#This Row],['#_male hygiene promoters]]+WWWW[[#This Row],['#_female hygiene promoters]]))</f>
        <v>2455</v>
      </c>
      <c r="DH204"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4"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4" s="600">
        <f>IF(WWWW[[#This Row],['# People with access to soap]]&gt;WWWW[[#This Row],['# People with access to Sanity Pads]],WWWW[[#This Row],['# People with access to soap]],WWWW[[#This Row],['# People with access to Sanity Pads]])</f>
        <v>0</v>
      </c>
      <c r="DK204" s="600">
        <f>IF(WWWW[[#This Row],['# people reached by regular dedicated hygiene promotion_5]]&gt;WWWW[[#This Row],['# People received regular supply of hygiene items_6]],WWWW[[#This Row],['# people reached by regular dedicated hygiene promotion_5]],WWWW[[#This Row],['# People received regular supply of hygiene items_6]])</f>
        <v>2455</v>
      </c>
      <c r="DL204" s="602">
        <f>IF(WWWW[[#This Row],[HRP3]]/WWWW[[#This Row],[Total PoP ]]&gt;1,1,WWWW[[#This Row],[HRP3]]/WWWW[[#This Row],[Total PoP ]])</f>
        <v>1</v>
      </c>
      <c r="DM204" s="601">
        <f>1-WWWW[[#This Row],[Hygiene Coverage%]]</f>
        <v>0</v>
      </c>
      <c r="DN204" s="599">
        <f>WWWW[[#This Row],['# people reached by regular dedicated hygiene promotion_5]]/WWWW[[#This Row],[Total PoP ]]</f>
        <v>1</v>
      </c>
      <c r="DO204"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4"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4" s="600">
        <f>WWWW[[#This Row],['#_Constructed/Existing hand washing stations]]-WWWW[[#This Row],['#_Non-Functional_hand_washing_stations]]</f>
        <v>12</v>
      </c>
      <c r="DR204" s="597">
        <f>IF(WWWW[[#This Row],['# Functional hand washing stations during reporting period]]*20&gt;WWWW[[#This Row],[Total HH]],WWWW[[#This Row],[Total HH]],WWWW[[#This Row],['# Functional hand washing stations during reporting period]]*20)</f>
        <v>240</v>
      </c>
      <c r="DS204" s="597">
        <f>IF(WWWW[[#This Row],[Is sufficient soap available for TLS? (Yes/No)]]="yes",WWWW[[#This Row],['#_Constructed/Existing hand washing stations at TLS]],0)</f>
        <v>5</v>
      </c>
      <c r="DT204" s="479">
        <f>IF(WWWW[[#This Row],['# Functional hand washing stations during reporting period]]*100&gt;WWWW[[#This Row],[Total PoP ]],WWWW[[#This Row],[Total PoP ]],WWWW[[#This Row],['# Functional hand washing stations during reporting period]]*100)</f>
        <v>1200</v>
      </c>
      <c r="DU204" s="479" t="str">
        <f>IF(OR(WWWW[[#This Row],['#_students at TLS_CFS]]="",WWWW[[#This Row],['#_students at TLS_CFS]]=0),"No","Yes")</f>
        <v>Yes</v>
      </c>
      <c r="DV204"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4" s="593" t="str">
        <f>VLOOKUP(WWWW[[#This Row],[Site Name]],SiteDB6[[Site Name]:[CCCM Management]],6,FALSE)</f>
        <v>Yes</v>
      </c>
      <c r="DZ204" s="593" t="str">
        <f>VLOOKUP(WWWW[[#This Row],[Site Name]],SiteDB6[[Site Name]:[CCCM Focal Agency]],7,FALSE)</f>
        <v>KMSS-BMO</v>
      </c>
      <c r="EA204" s="593" t="str">
        <f>VLOOKUP(WWWW[[#This Row],[Site Name]],SiteDB6[[Site Name]:[Location Type 1]],9,FALSE)</f>
        <v>Camp</v>
      </c>
      <c r="EB204" s="593" t="str">
        <f>VLOOKUP(WWWW[[#This Row],[Site Name]],SiteDB6[[Site Name]:[Type of Accommodation]],10,FALSE)</f>
        <v>Camp</v>
      </c>
      <c r="EC204" s="593" t="str">
        <f>VLOOKUP(WWWW[[#This Row],[Site Name]],SiteDB6[[Site Name]:[Ethnic or GCA/NGCA]],11,FALSE)</f>
        <v>NGCA</v>
      </c>
      <c r="ED204" s="593">
        <f>VLOOKUP(WWWW[[#This Row],[Site Name]],SiteDB6[[Site Name]:[Lat]],12,FALSE)</f>
        <v>24.056132999999999</v>
      </c>
      <c r="EE204" s="593">
        <f>VLOOKUP(WWWW[[#This Row],[Site Name]],SiteDB6[[Site Name]:[Long]],13,FALSE)</f>
        <v>97.625617000000005</v>
      </c>
      <c r="EF204" s="593" t="str">
        <f>VLOOKUP(WWWW[[#This Row],[Site Name]],SiteDB6[[Site Name]:[Pcode]],3,FALSE)</f>
        <v>MMR001CMP128</v>
      </c>
      <c r="EG204" s="598" t="str">
        <f t="shared" si="3"/>
        <v>Covered</v>
      </c>
      <c r="EH204" s="598" t="str">
        <f>VLOOKUP(WWWW[[#This Row],[Site Name]],SiteDB6[[Site Name]:[open in cccm?]],2,FALSE)</f>
        <v>cccm_2019OCT</v>
      </c>
    </row>
    <row r="205" spans="1:138" hidden="1">
      <c r="A205" s="591" t="s">
        <v>3261</v>
      </c>
      <c r="B205" s="591" t="s">
        <v>294</v>
      </c>
      <c r="C205" s="592" t="s">
        <v>294</v>
      </c>
      <c r="D205" s="592" t="s">
        <v>1913</v>
      </c>
      <c r="E205" s="592" t="s">
        <v>39</v>
      </c>
      <c r="F205" s="592" t="s">
        <v>208</v>
      </c>
      <c r="G205" s="721" t="str">
        <f>VLOOKUP(WWWW[[#This Row],[Site Name]],SiteDB6[[Site Name]:[Location Type]],8,FALSE)</f>
        <v>Camp</v>
      </c>
      <c r="H205" s="592" t="s">
        <v>298</v>
      </c>
      <c r="I205" s="594">
        <v>329</v>
      </c>
      <c r="J205" s="594">
        <v>1658</v>
      </c>
      <c r="K205" s="595"/>
      <c r="L205" s="596">
        <v>43799</v>
      </c>
      <c r="M205" s="594">
        <v>440</v>
      </c>
      <c r="N205" s="594">
        <v>9</v>
      </c>
      <c r="O205" s="594">
        <v>40</v>
      </c>
      <c r="P205" s="594"/>
      <c r="Q205" s="597" t="s">
        <v>43</v>
      </c>
      <c r="R205" s="594">
        <v>3</v>
      </c>
      <c r="S205" s="594"/>
      <c r="T205" s="523">
        <v>2</v>
      </c>
      <c r="U205" s="594"/>
      <c r="V205" s="594"/>
      <c r="W205" s="594"/>
      <c r="X205" s="594"/>
      <c r="Y205" s="594"/>
      <c r="Z205" s="594"/>
      <c r="AA205" s="594">
        <v>65</v>
      </c>
      <c r="AB205" s="594"/>
      <c r="AC205" s="594"/>
      <c r="AD205" s="594"/>
      <c r="AE205" s="594">
        <v>6</v>
      </c>
      <c r="AF205" s="594"/>
      <c r="AG205" s="594">
        <v>2</v>
      </c>
      <c r="AH205" s="594">
        <v>6</v>
      </c>
      <c r="AI205" s="594"/>
      <c r="AJ205" s="594"/>
      <c r="AK205" s="594"/>
      <c r="AL205" s="594"/>
      <c r="AM205" s="594">
        <v>4</v>
      </c>
      <c r="AN205" s="594">
        <v>2</v>
      </c>
      <c r="AO205" s="598"/>
      <c r="AP205" s="594">
        <v>181</v>
      </c>
      <c r="AQ205" s="594"/>
      <c r="AR205" s="599"/>
      <c r="AS205" s="594"/>
      <c r="AT205" s="594"/>
      <c r="AU205" s="594"/>
      <c r="AV205" s="594"/>
      <c r="AW205" s="594">
        <v>71</v>
      </c>
      <c r="AX205" s="593" t="s">
        <v>139</v>
      </c>
      <c r="AY205" s="598" t="s">
        <v>140</v>
      </c>
      <c r="AZ205" s="594"/>
      <c r="BA205" s="594"/>
      <c r="BB205" s="594">
        <v>12</v>
      </c>
      <c r="BC205" s="594"/>
      <c r="BD205" s="523"/>
      <c r="BE205" s="593"/>
      <c r="BF205" s="594">
        <v>25</v>
      </c>
      <c r="BG205" s="594"/>
      <c r="BH205" s="594">
        <v>30</v>
      </c>
      <c r="BI205" s="594">
        <v>16</v>
      </c>
      <c r="BJ205" s="594"/>
      <c r="BK205" s="594">
        <v>3</v>
      </c>
      <c r="BL205" s="594">
        <v>6</v>
      </c>
      <c r="BM205" s="594"/>
      <c r="BN205" s="594"/>
      <c r="BO205" s="593" t="s">
        <v>43</v>
      </c>
      <c r="BP205" s="594"/>
      <c r="BQ205" s="599"/>
      <c r="BR205" s="593" t="s">
        <v>3093</v>
      </c>
      <c r="BS205" s="472"/>
      <c r="BT205" s="472"/>
      <c r="BU205" s="523"/>
      <c r="BV205" s="472"/>
      <c r="BW205" s="523"/>
      <c r="BX205" s="523"/>
      <c r="BY205" s="523"/>
      <c r="BZ205" s="601" t="str">
        <f>IFERROR(WWWW[[#This Row],['#_Water sources passed]]/WWWW[[#This Row],['#_Water sources tested for fecal coliform ]],"no test")</f>
        <v>no test</v>
      </c>
      <c r="CA205" s="599" t="str">
        <f>IFERROR(WWWW[[#This Row],['#_Household passed]]/WWWW[[#This Row],['#_Household water samples tested for fecal coliform]],"no test")</f>
        <v>no test</v>
      </c>
      <c r="CB205" s="600" t="str">
        <f>IF(AND(WWWW[[#This Row],[% of water sources passed]]="no test",WWWW[[#This Row],[% Household passed]]="no test"),"No Test","Tested")</f>
        <v>No Test</v>
      </c>
      <c r="CC205" s="600">
        <f>WWWW[[#This Row],['#_Constructed/existing protected hand dug well]]-WWWW[[#This Row],['#_Non-functional protected hand dug well]]</f>
        <v>2</v>
      </c>
      <c r="CD205" s="600">
        <f>(WWWW[[#This Row],['#_Constructed/Existing tube wells/boreholes/handpumps_WASH_agency]]+WWWW[[#This Row],['#_Non-Cluster partner water tube-wells/boreholes/handpumps]])-WWWW[[#This Row],['#_Non-functional tube wells/boreholes/handpumps]]</f>
        <v>0</v>
      </c>
      <c r="CE205" s="600">
        <f>WWWW[[#This Row],['#_Constructed/Existingwater storage tank with gravity fed reticulation system]]-WWWW[[#This Row],['#_Non-functional storage tank gravity fed reticulation system]]</f>
        <v>65</v>
      </c>
      <c r="CF205" s="478">
        <f>(WWWW[[#This Row],['#_Water_Liters_supplied_by_Water boating or water trucking]]/90)/15</f>
        <v>0</v>
      </c>
      <c r="CG205" s="478">
        <f>WWWW[[#This Row],['#_Water_Liters_from_Constructed/Existing water distribution system from river or natural spring]]/90/15</f>
        <v>0</v>
      </c>
      <c r="CH205" s="478">
        <f>WWWW[[#This Row],['#_of water points in TLS/CFS /THF]]*500</f>
        <v>1000</v>
      </c>
      <c r="CI205"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5"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5" s="599">
        <f>IF(WWWW[[#This Row],[Location Type 1]]="Village",WWWW[[#This Row],[Access to safe drinking water for Village]],WWWW[[#This Row],[Access to safe drinking water for Camp]])</f>
        <v>1</v>
      </c>
      <c r="CL205" s="597">
        <f>WWWW[[#This Row],[%Equitable and continuous access to sufficient quantity of safe drinking water]]*WWWW[[#This Row],[Total PoP ]]</f>
        <v>1658</v>
      </c>
      <c r="CM205" s="599">
        <f>IF((WWWW[[#This Row],['#_Constructed/Existing protected/fenced ponds]]*250)/WWWW[[#This Row],[Total PoP ]]&gt;1,1,(WWWW[[#This Row],['#_Constructed/Existing protected/fenced ponds]]*250)/WWWW[[#This Row],[Total PoP ]])</f>
        <v>0.90470446320868514</v>
      </c>
      <c r="CN205" s="597">
        <f>WWWW[[#This Row],[% Access to unimproved water points]]*WWWW[[#This Row],[Total PoP ]]</f>
        <v>1500</v>
      </c>
      <c r="CO205"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5"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1658</v>
      </c>
      <c r="CQ205" s="597">
        <f>WWWW[[#This Row],[HRP1]]/500</f>
        <v>3.3159999999999998</v>
      </c>
      <c r="CR205" s="602">
        <f>1-WWWW[[#This Row],[% Equitable and continuous access to sufficient quantity of domestic water]]</f>
        <v>0</v>
      </c>
      <c r="CS205" s="597">
        <f>WWWW[[#This Row],[%equitable and continuous access to sufficient quantity of safe drinking and domestic water''s GAP]]*WWWW[[#This Row],[Total PoP ]]</f>
        <v>0</v>
      </c>
      <c r="CT205" s="600">
        <f>IF(WWWW[[#This Row],[Total required water points]]-WWWW[[#This Row],['#Water points coverage]]&lt;0,0,WWWW[[#This Row],[Total required water points]]-WWWW[[#This Row],['#Water points coverage]])</f>
        <v>0</v>
      </c>
      <c r="CU205" s="600">
        <f>ROUND(IF(WWWW[[#This Row],[Total PoP ]]&lt;500,1,WWWW[[#This Row],[Total PoP ]]/500),0)</f>
        <v>3</v>
      </c>
      <c r="CV205" s="600">
        <f>(WWWW[[#This Row],['#_Constructed latrines_by_WASHAgencies]]+WWWW[[#This Row],['#_Non Cluster partner latrines]])-WWWW[[#This Row],['#_Non-functional latrines]]</f>
        <v>181</v>
      </c>
      <c r="CW205" s="70">
        <f>WWWW[[#This Row],[HRP2]]/WWWW[[#This Row],[Total PoP ]]</f>
        <v>1</v>
      </c>
      <c r="CX205"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1658</v>
      </c>
      <c r="CY205"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5"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440</v>
      </c>
      <c r="DA205" s="600">
        <f>IF(WWWW[[#This Row],['# of functional latrines in THF supported by WASH partners during the reporting period2]]="",0,WWWW[[#This Row],['# of functional latrines in THF supported by WASH partners during the reporting period2]]*50)</f>
        <v>0</v>
      </c>
      <c r="DB205" s="600">
        <f>WWWW[[#This Row],['# students access to functioning school latrines_HRP5]]+WWWW[[#This Row],['# People access to functioning latrines in THF_HRP5]]</f>
        <v>440</v>
      </c>
      <c r="DC205" s="600">
        <f>ROUND(IF(WWWW[[#This Row],[Location Type 1]]="camp",WWWW[[#This Row],[Total PoP ]]/20,IF(WWWW[[#This Row],[Location Type 1]]="Temporary Location",WWWW[[#This Row],[Total PoP ]]/50,WWWW[[#This Row],[Total HH]])),0)</f>
        <v>83</v>
      </c>
      <c r="DD205" s="600">
        <f>IF(WWWW[[#This Row],[Total required Latrines]]-(WWWW[[#This Row],['#_Constructed latrines_by_WASHAgencies]]+WWWW[[#This Row],['#_Non Cluster partner latrines]])&lt;0,0,WWWW[[#This Row],[Total required Latrines]]-(WWWW[[#This Row],['#_Constructed latrines_by_WASHAgencies]]+WWWW[[#This Row],['#_Non Cluster partner latrines]]))</f>
        <v>0</v>
      </c>
      <c r="DE205" s="602">
        <f>1-WWWW[[#This Row],[% people access to functioning Latrine]]</f>
        <v>0</v>
      </c>
      <c r="DF205" s="601">
        <f>IF(OR(WWWW[[#This Row],['#_Non-functional latrines]]="",WWWW[[#This Row],['#_Non-functional latrines]]=0),0,WWWW[[#This Row],['#_Non-functional latrines]]/(WWWW[[#This Row],['#_Constructed latrines_by_WASHAgencies]]+WWWW[[#This Row],['#_Non Cluster partner latrines]]))</f>
        <v>0</v>
      </c>
      <c r="DG205" s="597">
        <f>IF(500*(WWWW[[#This Row],['#_male hygiene promoters]]+WWWW[[#This Row],['#_female hygiene promoters]])&gt;WWWW[[#This Row],[Total PoP ]],WWWW[[#This Row],[Total PoP ]],500*(WWWW[[#This Row],['#_male hygiene promoters]]+WWWW[[#This Row],['#_female hygiene promoters]]))</f>
        <v>1658</v>
      </c>
      <c r="DH205"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5"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5" s="600">
        <f>IF(WWWW[[#This Row],['# People with access to soap]]&gt;WWWW[[#This Row],['# People with access to Sanity Pads]],WWWW[[#This Row],['# People with access to soap]],WWWW[[#This Row],['# People with access to Sanity Pads]])</f>
        <v>0</v>
      </c>
      <c r="DK205" s="600">
        <f>IF(WWWW[[#This Row],['# people reached by regular dedicated hygiene promotion_5]]&gt;WWWW[[#This Row],['# People received regular supply of hygiene items_6]],WWWW[[#This Row],['# people reached by regular dedicated hygiene promotion_5]],WWWW[[#This Row],['# People received regular supply of hygiene items_6]])</f>
        <v>1658</v>
      </c>
      <c r="DL205" s="602">
        <f>IF(WWWW[[#This Row],[HRP3]]/WWWW[[#This Row],[Total PoP ]]&gt;1,1,WWWW[[#This Row],[HRP3]]/WWWW[[#This Row],[Total PoP ]])</f>
        <v>1</v>
      </c>
      <c r="DM205" s="601">
        <f>1-WWWW[[#This Row],[Hygiene Coverage%]]</f>
        <v>0</v>
      </c>
      <c r="DN205" s="599">
        <f>WWWW[[#This Row],['# people reached by regular dedicated hygiene promotion_5]]/WWWW[[#This Row],[Total PoP ]]</f>
        <v>1</v>
      </c>
      <c r="DO205"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5"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5" s="600">
        <f>WWWW[[#This Row],['#_Constructed/Existing hand washing stations]]-WWWW[[#This Row],['#_Non-Functional_hand_washing_stations]]</f>
        <v>25</v>
      </c>
      <c r="DR205" s="597">
        <f>IF(WWWW[[#This Row],['# Functional hand washing stations during reporting period]]*20&gt;WWWW[[#This Row],[Total HH]],WWWW[[#This Row],[Total HH]],WWWW[[#This Row],['# Functional hand washing stations during reporting period]]*20)</f>
        <v>329</v>
      </c>
      <c r="DS205" s="597">
        <f>IF(WWWW[[#This Row],[Is sufficient soap available for TLS? (Yes/No)]]="yes",WWWW[[#This Row],['#_Constructed/Existing hand washing stations at TLS]],0)</f>
        <v>4</v>
      </c>
      <c r="DT205" s="479">
        <f>IF(WWWW[[#This Row],['# Functional hand washing stations during reporting period]]*100&gt;WWWW[[#This Row],[Total PoP ]],WWWW[[#This Row],[Total PoP ]],WWWW[[#This Row],['# Functional hand washing stations during reporting period]]*100)</f>
        <v>1658</v>
      </c>
      <c r="DU205" s="479" t="str">
        <f>IF(OR(WWWW[[#This Row],['#_students at TLS_CFS]]="",WWWW[[#This Row],['#_students at TLS_CFS]]=0),"No","Yes")</f>
        <v>Yes</v>
      </c>
      <c r="DV205"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05" s="593" t="str">
        <f>VLOOKUP(WWWW[[#This Row],[Site Name]],SiteDB6[[Site Name]:[CCCM Management]],6,FALSE)</f>
        <v>Yes</v>
      </c>
      <c r="DZ205" s="593" t="str">
        <f>VLOOKUP(WWWW[[#This Row],[Site Name]],SiteDB6[[Site Name]:[CCCM Focal Agency]],7,FALSE)</f>
        <v>KMSS-BMO</v>
      </c>
      <c r="EA205" s="593" t="str">
        <f>VLOOKUP(WWWW[[#This Row],[Site Name]],SiteDB6[[Site Name]:[Location Type 1]],9,FALSE)</f>
        <v>Camp</v>
      </c>
      <c r="EB205" s="593" t="str">
        <f>VLOOKUP(WWWW[[#This Row],[Site Name]],SiteDB6[[Site Name]:[Type of Accommodation]],10,FALSE)</f>
        <v>Camp</v>
      </c>
      <c r="EC205" s="593" t="str">
        <f>VLOOKUP(WWWW[[#This Row],[Site Name]],SiteDB6[[Site Name]:[Ethnic or GCA/NGCA]],11,FALSE)</f>
        <v>NGCA</v>
      </c>
      <c r="ED205" s="593">
        <f>VLOOKUP(WWWW[[#This Row],[Site Name]],SiteDB6[[Site Name]:[Lat]],12,FALSE)</f>
        <v>24.378167000000001</v>
      </c>
      <c r="EE205" s="593">
        <f>VLOOKUP(WWWW[[#This Row],[Site Name]],SiteDB6[[Site Name]:[Long]],13,FALSE)</f>
        <v>97.669366999999994</v>
      </c>
      <c r="EF205" s="593" t="str">
        <f>VLOOKUP(WWWW[[#This Row],[Site Name]],SiteDB6[[Site Name]:[Pcode]],3,FALSE)</f>
        <v>MMR001CMP131</v>
      </c>
      <c r="EG205" s="598" t="str">
        <f t="shared" si="3"/>
        <v>Covered</v>
      </c>
      <c r="EH205" s="598" t="str">
        <f>VLOOKUP(WWWW[[#This Row],[Site Name]],SiteDB6[[Site Name]:[open in cccm?]],2,FALSE)</f>
        <v>cccm_2019OCT</v>
      </c>
    </row>
    <row r="206" spans="1:138" hidden="1">
      <c r="A206" s="591" t="s">
        <v>3261</v>
      </c>
      <c r="B206" s="591" t="s">
        <v>294</v>
      </c>
      <c r="C206" s="592" t="s">
        <v>294</v>
      </c>
      <c r="D206" s="592" t="s">
        <v>1913</v>
      </c>
      <c r="E206" s="592" t="s">
        <v>39</v>
      </c>
      <c r="F206" s="592" t="s">
        <v>208</v>
      </c>
      <c r="G206" s="721" t="str">
        <f>VLOOKUP(WWWW[[#This Row],[Site Name]],SiteDB6[[Site Name]:[Location Type]],8,FALSE)</f>
        <v>Camp</v>
      </c>
      <c r="H206" s="592" t="s">
        <v>299</v>
      </c>
      <c r="I206" s="594">
        <v>604</v>
      </c>
      <c r="J206" s="594">
        <v>3050</v>
      </c>
      <c r="K206" s="595"/>
      <c r="L206" s="596">
        <v>43799</v>
      </c>
      <c r="M206" s="594">
        <v>923</v>
      </c>
      <c r="N206" s="594">
        <v>9</v>
      </c>
      <c r="O206" s="594">
        <v>60</v>
      </c>
      <c r="P206" s="594"/>
      <c r="Q206" s="597" t="s">
        <v>43</v>
      </c>
      <c r="R206" s="594">
        <v>3</v>
      </c>
      <c r="S206" s="594">
        <v>4</v>
      </c>
      <c r="T206" s="523"/>
      <c r="U206" s="594"/>
      <c r="V206" s="594"/>
      <c r="W206" s="594"/>
      <c r="X206" s="594"/>
      <c r="Y206" s="594"/>
      <c r="Z206" s="594"/>
      <c r="AA206" s="594">
        <v>25</v>
      </c>
      <c r="AB206" s="594"/>
      <c r="AC206" s="594"/>
      <c r="AD206" s="594"/>
      <c r="AE206" s="594">
        <v>1</v>
      </c>
      <c r="AF206" s="594"/>
      <c r="AG206" s="594">
        <v>2</v>
      </c>
      <c r="AH206" s="594">
        <v>1</v>
      </c>
      <c r="AI206" s="594"/>
      <c r="AJ206" s="594"/>
      <c r="AK206" s="594"/>
      <c r="AL206" s="594"/>
      <c r="AM206" s="594">
        <v>21</v>
      </c>
      <c r="AN206" s="594">
        <v>6</v>
      </c>
      <c r="AO206" s="598"/>
      <c r="AP206" s="594">
        <v>244</v>
      </c>
      <c r="AQ206" s="594"/>
      <c r="AR206" s="599"/>
      <c r="AS206" s="594"/>
      <c r="AT206" s="594"/>
      <c r="AU206" s="594"/>
      <c r="AV206" s="594"/>
      <c r="AW206" s="594"/>
      <c r="AX206" s="593" t="s">
        <v>139</v>
      </c>
      <c r="AY206" s="598" t="s">
        <v>140</v>
      </c>
      <c r="AZ206" s="594"/>
      <c r="BA206" s="594"/>
      <c r="BB206" s="594">
        <v>97</v>
      </c>
      <c r="BC206" s="594"/>
      <c r="BD206" s="523"/>
      <c r="BE206" s="593"/>
      <c r="BF206" s="594">
        <v>46</v>
      </c>
      <c r="BG206" s="594"/>
      <c r="BH206" s="594"/>
      <c r="BI206" s="594">
        <v>17</v>
      </c>
      <c r="BJ206" s="594"/>
      <c r="BK206" s="594">
        <v>2</v>
      </c>
      <c r="BL206" s="594">
        <v>7</v>
      </c>
      <c r="BM206" s="594"/>
      <c r="BN206" s="594"/>
      <c r="BO206" s="593" t="s">
        <v>43</v>
      </c>
      <c r="BP206" s="594"/>
      <c r="BQ206" s="599"/>
      <c r="BR206" s="593" t="s">
        <v>3093</v>
      </c>
      <c r="BS206" s="472"/>
      <c r="BT206" s="472"/>
      <c r="BU206" s="523"/>
      <c r="BV206" s="472"/>
      <c r="BW206" s="523"/>
      <c r="BX206" s="523"/>
      <c r="BY206" s="523"/>
      <c r="BZ206" s="601" t="str">
        <f>IFERROR(WWWW[[#This Row],['#_Water sources passed]]/WWWW[[#This Row],['#_Water sources tested for fecal coliform ]],"no test")</f>
        <v>no test</v>
      </c>
      <c r="CA206" s="599" t="str">
        <f>IFERROR(WWWW[[#This Row],['#_Household passed]]/WWWW[[#This Row],['#_Household water samples tested for fecal coliform]],"no test")</f>
        <v>no test</v>
      </c>
      <c r="CB206" s="600" t="str">
        <f>IF(AND(WWWW[[#This Row],[% of water sources passed]]="no test",WWWW[[#This Row],[% Household passed]]="no test"),"No Test","Tested")</f>
        <v>No Test</v>
      </c>
      <c r="CC206" s="600">
        <f>WWWW[[#This Row],['#_Constructed/existing protected hand dug well]]-WWWW[[#This Row],['#_Non-functional protected hand dug well]]</f>
        <v>0</v>
      </c>
      <c r="CD206" s="600">
        <f>(WWWW[[#This Row],['#_Constructed/Existing tube wells/boreholes/handpumps_WASH_agency]]+WWWW[[#This Row],['#_Non-Cluster partner water tube-wells/boreholes/handpumps]])-WWWW[[#This Row],['#_Non-functional tube wells/boreholes/handpumps]]</f>
        <v>0</v>
      </c>
      <c r="CE206" s="600">
        <f>WWWW[[#This Row],['#_Constructed/Existingwater storage tank with gravity fed reticulation system]]-WWWW[[#This Row],['#_Non-functional storage tank gravity fed reticulation system]]</f>
        <v>25</v>
      </c>
      <c r="CF206" s="478">
        <f>(WWWW[[#This Row],['#_Water_Liters_supplied_by_Water boating or water trucking]]/90)/15</f>
        <v>0</v>
      </c>
      <c r="CG206" s="478">
        <f>WWWW[[#This Row],['#_Water_Liters_from_Constructed/Existing water distribution system from river or natural spring]]/90/15</f>
        <v>0</v>
      </c>
      <c r="CH206" s="478">
        <f>WWWW[[#This Row],['#_of water points in TLS/CFS /THF]]*500</f>
        <v>3000</v>
      </c>
      <c r="CI206" s="7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0.54644808743169404</v>
      </c>
      <c r="CJ206" s="7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0.54644808743169404</v>
      </c>
      <c r="CK206" s="599">
        <f>IF(WWWW[[#This Row],[Location Type 1]]="Village",WWWW[[#This Row],[Access to safe drinking water for Village]],WWWW[[#This Row],[Access to safe drinking water for Camp]])</f>
        <v>0.54644808743169404</v>
      </c>
      <c r="CL206" s="597">
        <f>WWWW[[#This Row],[%Equitable and continuous access to sufficient quantity of safe drinking water]]*WWWW[[#This Row],[Total PoP ]]</f>
        <v>1666.6666666666667</v>
      </c>
      <c r="CM206" s="599">
        <f>IF((WWWW[[#This Row],['#_Constructed/Existing protected/fenced ponds]]*250)/WWWW[[#This Row],[Total PoP ]]&gt;1,1,(WWWW[[#This Row],['#_Constructed/Existing protected/fenced ponds]]*250)/WWWW[[#This Row],[Total PoP ]])</f>
        <v>8.1967213114754092E-2</v>
      </c>
      <c r="CN206" s="597">
        <f>WWWW[[#This Row],[% Access to unimproved water points]]*WWWW[[#This Row],[Total PoP ]]</f>
        <v>249.99999999999997</v>
      </c>
      <c r="CO206" s="5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0.62841530054644812</v>
      </c>
      <c r="CP206" s="59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1916.6666666666667</v>
      </c>
      <c r="CQ206" s="597">
        <f>WWWW[[#This Row],[HRP1]]/500</f>
        <v>3.8333333333333335</v>
      </c>
      <c r="CR206" s="602">
        <f>1-WWWW[[#This Row],[% Equitable and continuous access to sufficient quantity of domestic water]]</f>
        <v>0.37158469945355188</v>
      </c>
      <c r="CS206" s="597">
        <f>WWWW[[#This Row],[%equitable and continuous access to sufficient quantity of safe drinking and domestic water''s GAP]]*WWWW[[#This Row],[Total PoP ]]</f>
        <v>1133.3333333333333</v>
      </c>
      <c r="CT206" s="600">
        <f>IF(WWWW[[#This Row],[Total required water points]]-WWWW[[#This Row],['#Water points coverage]]&lt;0,0,WWWW[[#This Row],[Total required water points]]-WWWW[[#This Row],['#Water points coverage]])</f>
        <v>2.1666666666666665</v>
      </c>
      <c r="CU206" s="600">
        <f>ROUND(IF(WWWW[[#This Row],[Total PoP ]]&lt;500,1,WWWW[[#This Row],[Total PoP ]]/500),0)</f>
        <v>6</v>
      </c>
      <c r="CV206" s="600">
        <f>(WWWW[[#This Row],['#_Constructed latrines_by_WASHAgencies]]+WWWW[[#This Row],['#_Non Cluster partner latrines]])-WWWW[[#This Row],['#_Non-functional latrines]]</f>
        <v>244</v>
      </c>
      <c r="CW206" s="70">
        <f>WWWW[[#This Row],[HRP2]]/WWWW[[#This Row],[Total PoP ]]</f>
        <v>1</v>
      </c>
      <c r="CX206" s="47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3050</v>
      </c>
      <c r="CY206" s="60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6" s="600">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923</v>
      </c>
      <c r="DA206" s="600">
        <f>IF(WWWW[[#This Row],['# of functional latrines in THF supported by WASH partners during the reporting period2]]="",0,WWWW[[#This Row],['# of functional latrines in THF supported by WASH partners during the reporting period2]]*50)</f>
        <v>0</v>
      </c>
      <c r="DB206" s="600">
        <f>WWWW[[#This Row],['# students access to functioning school latrines_HRP5]]+WWWW[[#This Row],['# People access to functioning latrines in THF_HRP5]]</f>
        <v>923</v>
      </c>
      <c r="DC206" s="600">
        <f>ROUND(IF(WWWW[[#This Row],[Location Type 1]]="camp",WWWW[[#This Row],[Total PoP ]]/20,IF(WWWW[[#This Row],[Location Type 1]]="Temporary Location",WWWW[[#This Row],[Total PoP ]]/50,WWWW[[#This Row],[Total HH]])),0)</f>
        <v>153</v>
      </c>
      <c r="DD206" s="600">
        <f>IF(WWWW[[#This Row],[Total required Latrines]]-(WWWW[[#This Row],['#_Constructed latrines_by_WASHAgencies]]+WWWW[[#This Row],['#_Non Cluster partner latrines]])&lt;0,0,WWWW[[#This Row],[Total required Latrines]]-(WWWW[[#This Row],['#_Constructed latrines_by_WASHAgencies]]+WWWW[[#This Row],['#_Non Cluster partner latrines]]))</f>
        <v>0</v>
      </c>
      <c r="DE206" s="602">
        <f>1-WWWW[[#This Row],[% people access to functioning Latrine]]</f>
        <v>0</v>
      </c>
      <c r="DF206" s="601">
        <f>IF(OR(WWWW[[#This Row],['#_Non-functional latrines]]="",WWWW[[#This Row],['#_Non-functional latrines]]=0),0,WWWW[[#This Row],['#_Non-functional latrines]]/(WWWW[[#This Row],['#_Constructed latrines_by_WASHAgencies]]+WWWW[[#This Row],['#_Non Cluster partner latrines]]))</f>
        <v>0</v>
      </c>
      <c r="DG206" s="597">
        <f>IF(500*(WWWW[[#This Row],['#_male hygiene promoters]]+WWWW[[#This Row],['#_female hygiene promoters]])&gt;WWWW[[#This Row],[Total PoP ]],WWWW[[#This Row],[Total PoP ]],500*(WWWW[[#This Row],['#_male hygiene promoters]]+WWWW[[#This Row],['#_female hygiene promoters]]))</f>
        <v>3050</v>
      </c>
      <c r="DH206" s="60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6" s="60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6" s="600">
        <f>IF(WWWW[[#This Row],['# People with access to soap]]&gt;WWWW[[#This Row],['# People with access to Sanity Pads]],WWWW[[#This Row],['# People with access to soap]],WWWW[[#This Row],['# People with access to Sanity Pads]])</f>
        <v>0</v>
      </c>
      <c r="DK206" s="600">
        <f>IF(WWWW[[#This Row],['# people reached by regular dedicated hygiene promotion_5]]&gt;WWWW[[#This Row],['# People received regular supply of hygiene items_6]],WWWW[[#This Row],['# people reached by regular dedicated hygiene promotion_5]],WWWW[[#This Row],['# People received regular supply of hygiene items_6]])</f>
        <v>3050</v>
      </c>
      <c r="DL206" s="602">
        <f>IF(WWWW[[#This Row],[HRP3]]/WWWW[[#This Row],[Total PoP ]]&gt;1,1,WWWW[[#This Row],[HRP3]]/WWWW[[#This Row],[Total PoP ]])</f>
        <v>1</v>
      </c>
      <c r="DM206" s="601">
        <f>1-WWWW[[#This Row],[Hygiene Coverage%]]</f>
        <v>0</v>
      </c>
      <c r="DN206" s="599">
        <f>WWWW[[#This Row],['# people reached by regular dedicated hygiene promotion_5]]/WWWW[[#This Row],[Total PoP ]]</f>
        <v>1</v>
      </c>
      <c r="DO206" s="59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6" s="59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6" s="600">
        <f>WWWW[[#This Row],['#_Constructed/Existing hand washing stations]]-WWWW[[#This Row],['#_Non-Functional_hand_washing_stations]]</f>
        <v>46</v>
      </c>
      <c r="DR206" s="597">
        <f>IF(WWWW[[#This Row],['# Functional hand washing stations during reporting period]]*20&gt;WWWW[[#This Row],[Total HH]],WWWW[[#This Row],[Total HH]],WWWW[[#This Row],['# Functional hand washing stations during reporting period]]*20)</f>
        <v>604</v>
      </c>
      <c r="DS206" s="597">
        <f>IF(WWWW[[#This Row],[Is sufficient soap available for TLS? (Yes/No)]]="yes",WWWW[[#This Row],['#_Constructed/Existing hand washing stations at TLS]],0)</f>
        <v>21</v>
      </c>
      <c r="DT206" s="479">
        <f>IF(WWWW[[#This Row],['# Functional hand washing stations during reporting period]]*100&gt;WWWW[[#This Row],[Total PoP ]],WWWW[[#This Row],[Total PoP ]],WWWW[[#This Row],['# Functional hand washing stations during reporting period]]*100)</f>
        <v>3050</v>
      </c>
      <c r="DU206" s="479" t="str">
        <f>IF(OR(WWWW[[#This Row],['#_students at TLS_CFS]]="",WWWW[[#This Row],['#_students at TLS_CFS]]=0),"No","Yes")</f>
        <v>Yes</v>
      </c>
      <c r="DV206" s="472"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3000</v>
      </c>
      <c r="DY206" s="593" t="str">
        <f>VLOOKUP(WWWW[[#This Row],[Site Name]],SiteDB6[[Site Name]:[CCCM Management]],6,FALSE)</f>
        <v>Yes</v>
      </c>
      <c r="DZ206" s="593" t="str">
        <f>VLOOKUP(WWWW[[#This Row],[Site Name]],SiteDB6[[Site Name]:[CCCM Focal Agency]],7,FALSE)</f>
        <v>KMSS-BMO</v>
      </c>
      <c r="EA206" s="593" t="str">
        <f>VLOOKUP(WWWW[[#This Row],[Site Name]],SiteDB6[[Site Name]:[Location Type 1]],9,FALSE)</f>
        <v>Camp</v>
      </c>
      <c r="EB206" s="593" t="str">
        <f>VLOOKUP(WWWW[[#This Row],[Site Name]],SiteDB6[[Site Name]:[Type of Accommodation]],10,FALSE)</f>
        <v>Camp</v>
      </c>
      <c r="EC206" s="593" t="str">
        <f>VLOOKUP(WWWW[[#This Row],[Site Name]],SiteDB6[[Site Name]:[Ethnic or GCA/NGCA]],11,FALSE)</f>
        <v>NGCA</v>
      </c>
      <c r="ED206" s="593">
        <f>VLOOKUP(WWWW[[#This Row],[Site Name]],SiteDB6[[Site Name]:[Lat]],12,FALSE)</f>
        <v>24.2744</v>
      </c>
      <c r="EE206" s="593">
        <f>VLOOKUP(WWWW[[#This Row],[Site Name]],SiteDB6[[Site Name]:[Long]],13,FALSE)</f>
        <v>97.752667000000002</v>
      </c>
      <c r="EF206" s="593" t="str">
        <f>VLOOKUP(WWWW[[#This Row],[Site Name]],SiteDB6[[Site Name]:[Pcode]],3,FALSE)</f>
        <v>MMR001CMP126</v>
      </c>
      <c r="EG206" s="598" t="str">
        <f t="shared" si="3"/>
        <v>Covered</v>
      </c>
      <c r="EH206" s="598" t="str">
        <f>VLOOKUP(WWWW[[#This Row],[Site Name]],SiteDB6[[Site Name]:[open in cccm?]],2,FALSE)</f>
        <v>cccm_2019OCT</v>
      </c>
    </row>
    <row r="207" spans="1:138" hidden="1">
      <c r="A207" s="792" t="s">
        <v>3262</v>
      </c>
      <c r="B207" s="792" t="s">
        <v>144</v>
      </c>
      <c r="C207" s="793" t="s">
        <v>144</v>
      </c>
      <c r="D207" s="793"/>
      <c r="E207" s="793" t="s">
        <v>39</v>
      </c>
      <c r="F207" s="793" t="s">
        <v>162</v>
      </c>
      <c r="G207" s="721" t="str">
        <f>VLOOKUP(WWWW[[#This Row],[Site Name]],SiteDB6[[Site Name]:[Location Type]],8,FALSE)</f>
        <v>Camp_not registered</v>
      </c>
      <c r="H207" s="793" t="s">
        <v>2076</v>
      </c>
      <c r="I207" s="795">
        <v>24</v>
      </c>
      <c r="J207" s="795">
        <v>103</v>
      </c>
      <c r="K207" s="796"/>
      <c r="L207" s="797"/>
      <c r="M207" s="795"/>
      <c r="N207" s="795"/>
      <c r="O207" s="795"/>
      <c r="P207" s="795"/>
      <c r="Q207" s="798"/>
      <c r="R207" s="795"/>
      <c r="S207" s="795">
        <v>4</v>
      </c>
      <c r="T207" s="523"/>
      <c r="U207" s="795"/>
      <c r="V207" s="795"/>
      <c r="W207" s="795"/>
      <c r="X207" s="795"/>
      <c r="Y207" s="795"/>
      <c r="Z207" s="795"/>
      <c r="AA207" s="795"/>
      <c r="AB207" s="795"/>
      <c r="AC207" s="795"/>
      <c r="AD207" s="795"/>
      <c r="AE207" s="795"/>
      <c r="AF207" s="795"/>
      <c r="AG207" s="795"/>
      <c r="AH207" s="795"/>
      <c r="AI207" s="795"/>
      <c r="AJ207" s="795"/>
      <c r="AK207" s="795"/>
      <c r="AL207" s="795"/>
      <c r="AM207" s="795"/>
      <c r="AN207" s="795"/>
      <c r="AO207" s="799"/>
      <c r="AP207" s="795"/>
      <c r="AQ207" s="795"/>
      <c r="AR207" s="800"/>
      <c r="AS207" s="795"/>
      <c r="AT207" s="795"/>
      <c r="AU207" s="795"/>
      <c r="AV207" s="795"/>
      <c r="AW207" s="795"/>
      <c r="AX207" s="799" t="s">
        <v>143</v>
      </c>
      <c r="AY207" s="799" t="s">
        <v>143</v>
      </c>
      <c r="AZ207" s="795"/>
      <c r="BA207" s="795"/>
      <c r="BB207" s="795"/>
      <c r="BC207" s="523"/>
      <c r="BD207" s="523"/>
      <c r="BE207" s="794"/>
      <c r="BF207" s="795"/>
      <c r="BG207" s="795"/>
      <c r="BH207" s="795"/>
      <c r="BI207" s="795"/>
      <c r="BJ207" s="795"/>
      <c r="BK207" s="795"/>
      <c r="BL207" s="795"/>
      <c r="BM207" s="795"/>
      <c r="BN207" s="795"/>
      <c r="BO207" s="794"/>
      <c r="BP207" s="801"/>
      <c r="BQ207" s="800"/>
      <c r="BR207" s="794"/>
      <c r="BS207" s="472"/>
      <c r="BT207" s="472"/>
      <c r="BU207" s="474"/>
      <c r="BV207" s="472"/>
      <c r="BW207" s="523"/>
      <c r="BX207" s="523"/>
      <c r="BY207" s="523"/>
      <c r="BZ207" s="802" t="str">
        <f>IFERROR(WWWW[[#This Row],['#_Water sources passed]]/WWWW[[#This Row],['#_Water sources tested for fecal coliform ]],"no test")</f>
        <v>no test</v>
      </c>
      <c r="CA207" s="800" t="str">
        <f>IFERROR(WWWW[[#This Row],['#_Household passed]]/WWWW[[#This Row],['#_Household water samples tested for fecal coliform]],"no test")</f>
        <v>no test</v>
      </c>
      <c r="CB207" s="801" t="str">
        <f>IF(AND(WWWW[[#This Row],[% of water sources passed]]="no test",WWWW[[#This Row],[% Household passed]]="no test"),"No Test","Tested")</f>
        <v>No Test</v>
      </c>
      <c r="CC207" s="801">
        <f>WWWW[[#This Row],['#_Constructed/existing protected hand dug well]]-WWWW[[#This Row],['#_Non-functional protected hand dug well]]</f>
        <v>0</v>
      </c>
      <c r="CD207" s="801">
        <f>(WWWW[[#This Row],['#_Constructed/Existing tube wells/boreholes/handpumps_WASH_agency]]+WWWW[[#This Row],['#_Non-Cluster partner water tube-wells/boreholes/handpumps]])-WWWW[[#This Row],['#_Non-functional tube wells/boreholes/handpumps]]</f>
        <v>0</v>
      </c>
      <c r="CE207" s="801">
        <f>WWWW[[#This Row],['#_Constructed/Existingwater storage tank with gravity fed reticulation system]]-WWWW[[#This Row],['#_Non-functional storage tank gravity fed reticulation system]]</f>
        <v>0</v>
      </c>
      <c r="CF207" s="801">
        <f>(WWWW[[#This Row],['#_Water_Liters_supplied_by_Water boating or water trucking]]/90)/15</f>
        <v>0</v>
      </c>
      <c r="CG207" s="801">
        <f>WWWW[[#This Row],['#_Water_Liters_from_Constructed/Existing water distribution system from river or natural spring]]/90/15</f>
        <v>0</v>
      </c>
      <c r="CH207" s="473">
        <f>WWWW[[#This Row],['#_of water points in TLS/CFS /THF]]*500</f>
        <v>0</v>
      </c>
      <c r="CI20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0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07" s="800">
        <f>IF(WWWW[[#This Row],[Location Type 1]]="Village",WWWW[[#This Row],[Access to safe drinking water for Village]],WWWW[[#This Row],[Access to safe drinking water for Camp]])</f>
        <v>0</v>
      </c>
      <c r="CL207" s="798">
        <f>WWWW[[#This Row],[%Equitable and continuous access to sufficient quantity of safe drinking water]]*WWWW[[#This Row],[Total PoP ]]</f>
        <v>0</v>
      </c>
      <c r="CM207" s="800">
        <f>IF((WWWW[[#This Row],['#_Constructed/Existing protected/fenced ponds]]*250)/WWWW[[#This Row],[Total PoP ]]&gt;1,1,(WWWW[[#This Row],['#_Constructed/Existing protected/fenced ponds]]*250)/WWWW[[#This Row],[Total PoP ]])</f>
        <v>0</v>
      </c>
      <c r="CN207" s="798">
        <f>WWWW[[#This Row],[% Access to unimproved water points]]*WWWW[[#This Row],[Total PoP ]]</f>
        <v>0</v>
      </c>
      <c r="CO20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0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07" s="798">
        <f>WWWW[[#This Row],[HRP1]]/500</f>
        <v>0</v>
      </c>
      <c r="CR207" s="803">
        <f>1-WWWW[[#This Row],[% Equitable and continuous access to sufficient quantity of domestic water]]</f>
        <v>1</v>
      </c>
      <c r="CS207" s="798">
        <f>WWWW[[#This Row],[%equitable and continuous access to sufficient quantity of safe drinking and domestic water''s GAP]]*WWWW[[#This Row],[Total PoP ]]</f>
        <v>103</v>
      </c>
      <c r="CT207" s="801">
        <f>IF(WWWW[[#This Row],[Total required water points]]-WWWW[[#This Row],['#Water points coverage]]&lt;0,0,WWWW[[#This Row],[Total required water points]]-WWWW[[#This Row],['#Water points coverage]])</f>
        <v>1</v>
      </c>
      <c r="CU207" s="801">
        <f>ROUND(IF(WWWW[[#This Row],[Total PoP ]]&lt;500,1,WWWW[[#This Row],[Total PoP ]]/500),0)</f>
        <v>1</v>
      </c>
      <c r="CV207" s="801">
        <f>(WWWW[[#This Row],['#_Constructed latrines_by_WASHAgencies]]+WWWW[[#This Row],['#_Non Cluster partner latrines]])-WWWW[[#This Row],['#_Non-functional latrines]]</f>
        <v>0</v>
      </c>
      <c r="CW207" s="804">
        <f>WWWW[[#This Row],[HRP2]]/WWWW[[#This Row],[Total PoP ]]</f>
        <v>0</v>
      </c>
      <c r="CX20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7" s="473">
        <f>IF(WWWW[[#This Row],['# of functional latrines in THF supported by WASH partners during the reporting period2]]="",0,WWWW[[#This Row],['# of functional latrines in THF supported by WASH partners during the reporting period2]]*50)</f>
        <v>0</v>
      </c>
      <c r="DB207" s="473">
        <f>WWWW[[#This Row],['# students access to functioning school latrines_HRP5]]+WWWW[[#This Row],['# People access to functioning latrines in THF_HRP5]]</f>
        <v>0</v>
      </c>
      <c r="DC207" s="801">
        <f>ROUND(IF(WWWW[[#This Row],[Location Type 1]]="camp",WWWW[[#This Row],[Total PoP ]]/20,IF(WWWW[[#This Row],[Location Type 1]]="Temporary Location",WWWW[[#This Row],[Total PoP ]]/50,(WWWW[[#This Row],[Total PoP ]]/6))),0)</f>
        <v>5</v>
      </c>
      <c r="DD207" s="801">
        <f>IF(WWWW[[#This Row],[Total required Latrines]]-(WWWW[[#This Row],['#_Constructed latrines_by_WASHAgencies]]+WWWW[[#This Row],['#_Non Cluster partner latrines]])&lt;0,0,WWWW[[#This Row],[Total required Latrines]]-(WWWW[[#This Row],['#_Constructed latrines_by_WASHAgencies]]+WWWW[[#This Row],['#_Non Cluster partner latrines]]))</f>
        <v>5</v>
      </c>
      <c r="DE207" s="803">
        <f>1-WWWW[[#This Row],[% people access to functioning Latrine]]</f>
        <v>1</v>
      </c>
      <c r="DF207" s="802">
        <f>IF(OR(WWWW[[#This Row],['#_Non-functional latrines]]="",WWWW[[#This Row],['#_Non-functional latrines]]=0),0,WWWW[[#This Row],['#_Non-functional latrines]]/(WWWW[[#This Row],['#_Constructed latrines_by_WASHAgencies]]+WWWW[[#This Row],['#_Non Cluster partner latrines]]))</f>
        <v>0</v>
      </c>
      <c r="DG207" s="798">
        <f>IF(500*(WWWW[[#This Row],['#_male hygiene promoters]]+WWWW[[#This Row],['#_female hygiene promoters]])&gt;WWWW[[#This Row],[Total PoP ]],WWWW[[#This Row],[Total PoP ]],500*(WWWW[[#This Row],['#_male hygiene promoters]]+WWWW[[#This Row],['#_female hygiene promoters]]))</f>
        <v>0</v>
      </c>
      <c r="DH20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7" s="801">
        <f>IF(WWWW[[#This Row],['# People with access to soap]]&gt;WWWW[[#This Row],['# People with access to Sanity Pads]],WWWW[[#This Row],['# People with access to soap]],WWWW[[#This Row],['# People with access to Sanity Pads]])</f>
        <v>0</v>
      </c>
      <c r="DK20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7" s="803">
        <f>IF(WWWW[[#This Row],[HRP3]]/WWWW[[#This Row],[Total PoP ]]&gt;1,1,WWWW[[#This Row],[HRP3]]/WWWW[[#This Row],[Total PoP ]])</f>
        <v>0</v>
      </c>
      <c r="DM207" s="802">
        <f>1-WWWW[[#This Row],[Hygiene Coverage%]]</f>
        <v>1</v>
      </c>
      <c r="DN207" s="800">
        <f>WWWW[[#This Row],['# people reached by regular dedicated hygiene promotion_5]]/WWWW[[#This Row],[Total PoP ]]</f>
        <v>0</v>
      </c>
      <c r="DO20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7" s="801">
        <f>WWWW[[#This Row],['#_Constructed/Existing hand washing stations]]-WWWW[[#This Row],['#_Non-Functional_hand_washing_stations]]</f>
        <v>0</v>
      </c>
      <c r="DR207" s="798">
        <f>IF(WWWW[[#This Row],['# Functional hand washing stations during reporting period]]*20&gt;WWWW[[#This Row],[Total HH]],WWWW[[#This Row],[Total HH]],WWWW[[#This Row],['# Functional hand washing stations during reporting period]]*20)</f>
        <v>0</v>
      </c>
      <c r="DS207" s="798">
        <f>IF(WWWW[[#This Row],[Is sufficient soap available for TLS? (Yes/No)]]="yes",WWWW[[#This Row],['#_Constructed/Existing hand washing stations at TLS]],0)</f>
        <v>0</v>
      </c>
      <c r="DT207" s="479">
        <f>IF(WWWW[[#This Row],['# Functional hand washing stations during reporting period]]*100&gt;WWWW[[#This Row],[Total PoP ]],WWWW[[#This Row],[Total PoP ]],WWWW[[#This Row],['# Functional hand washing stations during reporting period]]*100)</f>
        <v>0</v>
      </c>
      <c r="DU207" s="479" t="str">
        <f>IF(OR(WWWW[[#This Row],['#_students at TLS_CFS]]="",WWWW[[#This Row],['#_students at TLS_CFS]]=0),"No","Yes")</f>
        <v>No</v>
      </c>
      <c r="DV20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7" s="794">
        <f>VLOOKUP(WWWW[[#This Row],[Site Name]],SiteDB6[[Site Name]:[CCCM Management]],6,FALSE)</f>
        <v>0</v>
      </c>
      <c r="DZ207" s="794">
        <f>VLOOKUP(WWWW[[#This Row],[Site Name]],SiteDB6[[Site Name]:[CCCM Focal Agency]],7,FALSE)</f>
        <v>0</v>
      </c>
      <c r="EA207" s="794" t="str">
        <f>VLOOKUP(WWWW[[#This Row],[Site Name]],SiteDB6[[Site Name]:[Location Type 1]],9,FALSE)</f>
        <v>Camp</v>
      </c>
      <c r="EB207" s="794" t="str">
        <f>VLOOKUP(WWWW[[#This Row],[Site Name]],SiteDB6[[Site Name]:[Type of Accommodation]],10,FALSE)</f>
        <v>Camp like setting</v>
      </c>
      <c r="EC207" s="794" t="str">
        <f>VLOOKUP(WWWW[[#This Row],[Site Name]],SiteDB6[[Site Name]:[Ethnic or GCA/NGCA]],11,FALSE)</f>
        <v>NGCA</v>
      </c>
      <c r="ED207" s="794">
        <f>VLOOKUP(WWWW[[#This Row],[Site Name]],SiteDB6[[Site Name]:[Lat]],12,FALSE)</f>
        <v>0</v>
      </c>
      <c r="EE207" s="794">
        <f>VLOOKUP(WWWW[[#This Row],[Site Name]],SiteDB6[[Site Name]:[Long]],13,FALSE)</f>
        <v>0</v>
      </c>
      <c r="EF207" s="794">
        <f>VLOOKUP(WWWW[[#This Row],[Site Name]],SiteDB6[[Site Name]:[Pcode]],3,FALSE)</f>
        <v>0</v>
      </c>
      <c r="EG207" s="799" t="str">
        <f t="shared" ref="EG207:EG238" si="4">IF(C207="none","Notcovered","Covered")</f>
        <v>Covered</v>
      </c>
      <c r="EH207" s="799">
        <f>VLOOKUP(WWWW[[#This Row],[Site Name]],Site_DB!$C$389:$D$1120,2,FALSE)</f>
        <v>0</v>
      </c>
    </row>
    <row r="208" spans="1:138" hidden="1">
      <c r="A208" s="792" t="s">
        <v>3262</v>
      </c>
      <c r="B208" s="792" t="s">
        <v>144</v>
      </c>
      <c r="C208" s="793" t="s">
        <v>144</v>
      </c>
      <c r="D208" s="793"/>
      <c r="E208" s="793" t="s">
        <v>39</v>
      </c>
      <c r="F208" s="793" t="s">
        <v>217</v>
      </c>
      <c r="G208" s="721" t="str">
        <f>VLOOKUP(WWWW[[#This Row],[Site Name]],SiteDB6[[Site Name]:[Location Type]],8,FALSE)</f>
        <v>Camp_not registered</v>
      </c>
      <c r="H208" s="793" t="s">
        <v>2078</v>
      </c>
      <c r="I208" s="795">
        <v>86</v>
      </c>
      <c r="J208" s="795">
        <v>381</v>
      </c>
      <c r="K208" s="796"/>
      <c r="L208" s="797"/>
      <c r="M208" s="795"/>
      <c r="N208" s="795"/>
      <c r="O208" s="795"/>
      <c r="P208" s="795"/>
      <c r="Q208" s="798"/>
      <c r="R208" s="795"/>
      <c r="S208" s="795"/>
      <c r="T208" s="523"/>
      <c r="U208" s="795"/>
      <c r="V208" s="795"/>
      <c r="W208" s="795"/>
      <c r="X208" s="795"/>
      <c r="Y208" s="795"/>
      <c r="Z208" s="795"/>
      <c r="AA208" s="795"/>
      <c r="AB208" s="795"/>
      <c r="AC208" s="795"/>
      <c r="AD208" s="795"/>
      <c r="AE208" s="795"/>
      <c r="AF208" s="795"/>
      <c r="AG208" s="795"/>
      <c r="AH208" s="795"/>
      <c r="AI208" s="795"/>
      <c r="AJ208" s="795"/>
      <c r="AK208" s="795"/>
      <c r="AL208" s="795"/>
      <c r="AM208" s="795"/>
      <c r="AN208" s="795"/>
      <c r="AO208" s="799"/>
      <c r="AP208" s="795"/>
      <c r="AQ208" s="795"/>
      <c r="AR208" s="800"/>
      <c r="AS208" s="795"/>
      <c r="AT208" s="795"/>
      <c r="AU208" s="795"/>
      <c r="AV208" s="795"/>
      <c r="AW208" s="795"/>
      <c r="AX208" s="799" t="s">
        <v>143</v>
      </c>
      <c r="AY208" s="799" t="s">
        <v>143</v>
      </c>
      <c r="AZ208" s="795"/>
      <c r="BA208" s="795"/>
      <c r="BB208" s="795"/>
      <c r="BC208" s="523"/>
      <c r="BD208" s="523"/>
      <c r="BE208" s="794"/>
      <c r="BF208" s="795"/>
      <c r="BG208" s="795"/>
      <c r="BH208" s="795"/>
      <c r="BI208" s="795"/>
      <c r="BJ208" s="795"/>
      <c r="BK208" s="795"/>
      <c r="BL208" s="795"/>
      <c r="BM208" s="795"/>
      <c r="BN208" s="795"/>
      <c r="BO208" s="794"/>
      <c r="BP208" s="801"/>
      <c r="BQ208" s="800"/>
      <c r="BR208" s="794"/>
      <c r="BS208" s="472"/>
      <c r="BT208" s="472"/>
      <c r="BU208" s="474"/>
      <c r="BV208" s="472"/>
      <c r="BW208" s="523"/>
      <c r="BX208" s="523"/>
      <c r="BY208" s="523"/>
      <c r="BZ208" s="802" t="str">
        <f>IFERROR(WWWW[[#This Row],['#_Water sources passed]]/WWWW[[#This Row],['#_Water sources tested for fecal coliform ]],"no test")</f>
        <v>no test</v>
      </c>
      <c r="CA208" s="800" t="str">
        <f>IFERROR(WWWW[[#This Row],['#_Household passed]]/WWWW[[#This Row],['#_Household water samples tested for fecal coliform]],"no test")</f>
        <v>no test</v>
      </c>
      <c r="CB208" s="801" t="str">
        <f>IF(AND(WWWW[[#This Row],[% of water sources passed]]="no test",WWWW[[#This Row],[% Household passed]]="no test"),"No Test","Tested")</f>
        <v>No Test</v>
      </c>
      <c r="CC208" s="801">
        <f>WWWW[[#This Row],['#_Constructed/existing protected hand dug well]]-WWWW[[#This Row],['#_Non-functional protected hand dug well]]</f>
        <v>0</v>
      </c>
      <c r="CD208" s="801">
        <f>(WWWW[[#This Row],['#_Constructed/Existing tube wells/boreholes/handpumps_WASH_agency]]+WWWW[[#This Row],['#_Non-Cluster partner water tube-wells/boreholes/handpumps]])-WWWW[[#This Row],['#_Non-functional tube wells/boreholes/handpumps]]</f>
        <v>0</v>
      </c>
      <c r="CE208" s="801">
        <f>WWWW[[#This Row],['#_Constructed/Existingwater storage tank with gravity fed reticulation system]]-WWWW[[#This Row],['#_Non-functional storage tank gravity fed reticulation system]]</f>
        <v>0</v>
      </c>
      <c r="CF208" s="801">
        <f>(WWWW[[#This Row],['#_Water_Liters_supplied_by_Water boating or water trucking]]/90)/15</f>
        <v>0</v>
      </c>
      <c r="CG208" s="801">
        <f>WWWW[[#This Row],['#_Water_Liters_from_Constructed/Existing water distribution system from river or natural spring]]/90/15</f>
        <v>0</v>
      </c>
      <c r="CH208" s="473">
        <f>WWWW[[#This Row],['#_of water points in TLS/CFS /THF]]*500</f>
        <v>0</v>
      </c>
      <c r="CI20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0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08" s="800">
        <f>IF(WWWW[[#This Row],[Location Type 1]]="Village",WWWW[[#This Row],[Access to safe drinking water for Village]],WWWW[[#This Row],[Access to safe drinking water for Camp]])</f>
        <v>0</v>
      </c>
      <c r="CL208" s="798">
        <f>WWWW[[#This Row],[%Equitable and continuous access to sufficient quantity of safe drinking water]]*WWWW[[#This Row],[Total PoP ]]</f>
        <v>0</v>
      </c>
      <c r="CM208" s="800">
        <f>IF((WWWW[[#This Row],['#_Constructed/Existing protected/fenced ponds]]*250)/WWWW[[#This Row],[Total PoP ]]&gt;1,1,(WWWW[[#This Row],['#_Constructed/Existing protected/fenced ponds]]*250)/WWWW[[#This Row],[Total PoP ]])</f>
        <v>0</v>
      </c>
      <c r="CN208" s="798">
        <f>WWWW[[#This Row],[% Access to unimproved water points]]*WWWW[[#This Row],[Total PoP ]]</f>
        <v>0</v>
      </c>
      <c r="CO20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0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08" s="798">
        <f>WWWW[[#This Row],[HRP1]]/500</f>
        <v>0</v>
      </c>
      <c r="CR208" s="803">
        <f>1-WWWW[[#This Row],[% Equitable and continuous access to sufficient quantity of domestic water]]</f>
        <v>1</v>
      </c>
      <c r="CS208" s="798">
        <f>WWWW[[#This Row],[%equitable and continuous access to sufficient quantity of safe drinking and domestic water''s GAP]]*WWWW[[#This Row],[Total PoP ]]</f>
        <v>381</v>
      </c>
      <c r="CT208" s="801">
        <f>IF(WWWW[[#This Row],[Total required water points]]-WWWW[[#This Row],['#Water points coverage]]&lt;0,0,WWWW[[#This Row],[Total required water points]]-WWWW[[#This Row],['#Water points coverage]])</f>
        <v>1</v>
      </c>
      <c r="CU208" s="801">
        <f>ROUND(IF(WWWW[[#This Row],[Total PoP ]]&lt;500,1,WWWW[[#This Row],[Total PoP ]]/500),0)</f>
        <v>1</v>
      </c>
      <c r="CV208" s="801">
        <f>(WWWW[[#This Row],['#_Constructed latrines_by_WASHAgencies]]+WWWW[[#This Row],['#_Non Cluster partner latrines]])-WWWW[[#This Row],['#_Non-functional latrines]]</f>
        <v>0</v>
      </c>
      <c r="CW208" s="804">
        <f>WWWW[[#This Row],[HRP2]]/WWWW[[#This Row],[Total PoP ]]</f>
        <v>0</v>
      </c>
      <c r="CX20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0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8" s="473">
        <f>IF(WWWW[[#This Row],['# of functional latrines in THF supported by WASH partners during the reporting period2]]="",0,WWWW[[#This Row],['# of functional latrines in THF supported by WASH partners during the reporting period2]]*50)</f>
        <v>0</v>
      </c>
      <c r="DB208" s="473">
        <f>WWWW[[#This Row],['# students access to functioning school latrines_HRP5]]+WWWW[[#This Row],['# People access to functioning latrines in THF_HRP5]]</f>
        <v>0</v>
      </c>
      <c r="DC208" s="801">
        <f>ROUND(IF(WWWW[[#This Row],[Location Type 1]]="camp",WWWW[[#This Row],[Total PoP ]]/20,IF(WWWW[[#This Row],[Location Type 1]]="Temporary Location",WWWW[[#This Row],[Total PoP ]]/50,(WWWW[[#This Row],[Total PoP ]]/6))),0)</f>
        <v>19</v>
      </c>
      <c r="DD208" s="801">
        <f>IF(WWWW[[#This Row],[Total required Latrines]]-(WWWW[[#This Row],['#_Constructed latrines_by_WASHAgencies]]+WWWW[[#This Row],['#_Non Cluster partner latrines]])&lt;0,0,WWWW[[#This Row],[Total required Latrines]]-(WWWW[[#This Row],['#_Constructed latrines_by_WASHAgencies]]+WWWW[[#This Row],['#_Non Cluster partner latrines]]))</f>
        <v>19</v>
      </c>
      <c r="DE208" s="803">
        <f>1-WWWW[[#This Row],[% people access to functioning Latrine]]</f>
        <v>1</v>
      </c>
      <c r="DF208" s="802">
        <f>IF(OR(WWWW[[#This Row],['#_Non-functional latrines]]="",WWWW[[#This Row],['#_Non-functional latrines]]=0),0,WWWW[[#This Row],['#_Non-functional latrines]]/(WWWW[[#This Row],['#_Constructed latrines_by_WASHAgencies]]+WWWW[[#This Row],['#_Non Cluster partner latrines]]))</f>
        <v>0</v>
      </c>
      <c r="DG208" s="798">
        <f>IF(500*(WWWW[[#This Row],['#_male hygiene promoters]]+WWWW[[#This Row],['#_female hygiene promoters]])&gt;WWWW[[#This Row],[Total PoP ]],WWWW[[#This Row],[Total PoP ]],500*(WWWW[[#This Row],['#_male hygiene promoters]]+WWWW[[#This Row],['#_female hygiene promoters]]))</f>
        <v>0</v>
      </c>
      <c r="DH20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8" s="801">
        <f>IF(WWWW[[#This Row],['# People with access to soap]]&gt;WWWW[[#This Row],['# People with access to Sanity Pads]],WWWW[[#This Row],['# People with access to soap]],WWWW[[#This Row],['# People with access to Sanity Pads]])</f>
        <v>0</v>
      </c>
      <c r="DK20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08" s="803">
        <f>IF(WWWW[[#This Row],[HRP3]]/WWWW[[#This Row],[Total PoP ]]&gt;1,1,WWWW[[#This Row],[HRP3]]/WWWW[[#This Row],[Total PoP ]])</f>
        <v>0</v>
      </c>
      <c r="DM208" s="802">
        <f>1-WWWW[[#This Row],[Hygiene Coverage%]]</f>
        <v>1</v>
      </c>
      <c r="DN208" s="800">
        <f>WWWW[[#This Row],['# people reached by regular dedicated hygiene promotion_5]]/WWWW[[#This Row],[Total PoP ]]</f>
        <v>0</v>
      </c>
      <c r="DO20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8" s="801">
        <f>WWWW[[#This Row],['#_Constructed/Existing hand washing stations]]-WWWW[[#This Row],['#_Non-Functional_hand_washing_stations]]</f>
        <v>0</v>
      </c>
      <c r="DR208" s="798">
        <f>IF(WWWW[[#This Row],['# Functional hand washing stations during reporting period]]*20&gt;WWWW[[#This Row],[Total HH]],WWWW[[#This Row],[Total HH]],WWWW[[#This Row],['# Functional hand washing stations during reporting period]]*20)</f>
        <v>0</v>
      </c>
      <c r="DS208" s="798">
        <f>IF(WWWW[[#This Row],[Is sufficient soap available for TLS? (Yes/No)]]="yes",WWWW[[#This Row],['#_Constructed/Existing hand washing stations at TLS]],0)</f>
        <v>0</v>
      </c>
      <c r="DT208" s="479">
        <f>IF(WWWW[[#This Row],['# Functional hand washing stations during reporting period]]*100&gt;WWWW[[#This Row],[Total PoP ]],WWWW[[#This Row],[Total PoP ]],WWWW[[#This Row],['# Functional hand washing stations during reporting period]]*100)</f>
        <v>0</v>
      </c>
      <c r="DU208" s="479" t="str">
        <f>IF(OR(WWWW[[#This Row],['#_students at TLS_CFS]]="",WWWW[[#This Row],['#_students at TLS_CFS]]=0),"No","Yes")</f>
        <v>No</v>
      </c>
      <c r="DV20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8" s="794">
        <f>VLOOKUP(WWWW[[#This Row],[Site Name]],SiteDB6[[Site Name]:[CCCM Management]],6,FALSE)</f>
        <v>0</v>
      </c>
      <c r="DZ208" s="794">
        <f>VLOOKUP(WWWW[[#This Row],[Site Name]],SiteDB6[[Site Name]:[CCCM Focal Agency]],7,FALSE)</f>
        <v>0</v>
      </c>
      <c r="EA208" s="794" t="str">
        <f>VLOOKUP(WWWW[[#This Row],[Site Name]],SiteDB6[[Site Name]:[Location Type 1]],9,FALSE)</f>
        <v>Camp</v>
      </c>
      <c r="EB208" s="794" t="str">
        <f>VLOOKUP(WWWW[[#This Row],[Site Name]],SiteDB6[[Site Name]:[Type of Accommodation]],10,FALSE)</f>
        <v>Camp like setting</v>
      </c>
      <c r="EC208" s="794" t="str">
        <f>VLOOKUP(WWWW[[#This Row],[Site Name]],SiteDB6[[Site Name]:[Ethnic or GCA/NGCA]],11,FALSE)</f>
        <v>NGCA</v>
      </c>
      <c r="ED208" s="794">
        <f>VLOOKUP(WWWW[[#This Row],[Site Name]],SiteDB6[[Site Name]:[Lat]],12,FALSE)</f>
        <v>0</v>
      </c>
      <c r="EE208" s="794">
        <f>VLOOKUP(WWWW[[#This Row],[Site Name]],SiteDB6[[Site Name]:[Long]],13,FALSE)</f>
        <v>0</v>
      </c>
      <c r="EF208" s="794">
        <f>VLOOKUP(WWWW[[#This Row],[Site Name]],SiteDB6[[Site Name]:[Pcode]],3,FALSE)</f>
        <v>0</v>
      </c>
      <c r="EG208" s="799" t="str">
        <f t="shared" si="4"/>
        <v>Covered</v>
      </c>
      <c r="EH208" s="799">
        <f>VLOOKUP(WWWW[[#This Row],[Site Name]],Site_DB!$C$389:$D$1120,2,FALSE)</f>
        <v>0</v>
      </c>
    </row>
    <row r="209" spans="1:138" hidden="1">
      <c r="A209" s="792" t="s">
        <v>3262</v>
      </c>
      <c r="B209" s="792" t="s">
        <v>144</v>
      </c>
      <c r="C209" s="793" t="s">
        <v>144</v>
      </c>
      <c r="D209" s="793" t="s">
        <v>3277</v>
      </c>
      <c r="E209" s="793" t="s">
        <v>39</v>
      </c>
      <c r="F209" s="793" t="s">
        <v>162</v>
      </c>
      <c r="G209" s="721" t="str">
        <f>VLOOKUP(WWWW[[#This Row],[Site Name]],SiteDB6[[Site Name]:[Location Type]],8,FALSE)</f>
        <v>Camp</v>
      </c>
      <c r="H209" s="404" t="s">
        <v>163</v>
      </c>
      <c r="I209" s="795">
        <v>43</v>
      </c>
      <c r="J209" s="795">
        <v>197</v>
      </c>
      <c r="K209" s="796" t="s">
        <v>3278</v>
      </c>
      <c r="L209" s="797" t="s">
        <v>3279</v>
      </c>
      <c r="M209" s="795"/>
      <c r="N209" s="795"/>
      <c r="O209" s="795"/>
      <c r="P209" s="795"/>
      <c r="Q209" s="798" t="s">
        <v>43</v>
      </c>
      <c r="R209" s="795"/>
      <c r="S209" s="795"/>
      <c r="T209" s="523">
        <v>0</v>
      </c>
      <c r="U209" s="795"/>
      <c r="V209" s="795"/>
      <c r="W209" s="795">
        <v>3</v>
      </c>
      <c r="X209" s="795"/>
      <c r="Y209" s="795"/>
      <c r="Z209" s="795"/>
      <c r="AA209" s="795"/>
      <c r="AB209" s="795"/>
      <c r="AC209" s="795"/>
      <c r="AD209" s="795"/>
      <c r="AE209" s="795"/>
      <c r="AF209" s="795"/>
      <c r="AG209" s="795"/>
      <c r="AH209" s="795">
        <v>3</v>
      </c>
      <c r="AI209" s="795"/>
      <c r="AJ209" s="795"/>
      <c r="AK209" s="795"/>
      <c r="AL209" s="795"/>
      <c r="AM209" s="795"/>
      <c r="AN209" s="795"/>
      <c r="AO209" s="799"/>
      <c r="AP209" s="795">
        <v>7</v>
      </c>
      <c r="AQ209" s="795"/>
      <c r="AR209" s="800"/>
      <c r="AS209" s="795"/>
      <c r="AT209" s="795"/>
      <c r="AU209" s="795"/>
      <c r="AV209" s="795"/>
      <c r="AW209" s="795">
        <v>7</v>
      </c>
      <c r="AX209" s="794" t="s">
        <v>43</v>
      </c>
      <c r="AY209" s="799" t="s">
        <v>140</v>
      </c>
      <c r="AZ209" s="795"/>
      <c r="BA209" s="795"/>
      <c r="BB209" s="795"/>
      <c r="BC209" s="523"/>
      <c r="BD209" s="523"/>
      <c r="BE209" s="794"/>
      <c r="BF209" s="795">
        <v>3</v>
      </c>
      <c r="BG209" s="795"/>
      <c r="BH209" s="795"/>
      <c r="BI209" s="795">
        <v>3</v>
      </c>
      <c r="BJ209" s="795"/>
      <c r="BK209" s="795"/>
      <c r="BL209" s="795">
        <v>2</v>
      </c>
      <c r="BM209" s="795"/>
      <c r="BN209" s="795"/>
      <c r="BO209" s="794"/>
      <c r="BP209" s="801"/>
      <c r="BQ209" s="800"/>
      <c r="BR209" s="794"/>
      <c r="BS209" s="472"/>
      <c r="BT209" s="472"/>
      <c r="BU209" s="474"/>
      <c r="BV209" s="472"/>
      <c r="BW209" s="523"/>
      <c r="BX209" s="523"/>
      <c r="BY209" s="523"/>
      <c r="BZ209" s="802" t="str">
        <f>IFERROR(WWWW[[#This Row],['#_Water sources passed]]/WWWW[[#This Row],['#_Water sources tested for fecal coliform ]],"no test")</f>
        <v>no test</v>
      </c>
      <c r="CA209" s="800" t="str">
        <f>IFERROR(WWWW[[#This Row],['#_Household passed]]/WWWW[[#This Row],['#_Household water samples tested for fecal coliform]],"no test")</f>
        <v>no test</v>
      </c>
      <c r="CB209" s="801" t="str">
        <f>IF(AND(WWWW[[#This Row],[% of water sources passed]]="no test",WWWW[[#This Row],[% Household passed]]="no test"),"No Test","Tested")</f>
        <v>No Test</v>
      </c>
      <c r="CC209" s="801">
        <f>WWWW[[#This Row],['#_Constructed/existing protected hand dug well]]-WWWW[[#This Row],['#_Non-functional protected hand dug well]]</f>
        <v>0</v>
      </c>
      <c r="CD209" s="801">
        <f>(WWWW[[#This Row],['#_Constructed/Existing tube wells/boreholes/handpumps_WASH_agency]]+WWWW[[#This Row],['#_Non-Cluster partner water tube-wells/boreholes/handpumps]])-WWWW[[#This Row],['#_Non-functional tube wells/boreholes/handpumps]]</f>
        <v>3</v>
      </c>
      <c r="CE209" s="801">
        <f>WWWW[[#This Row],['#_Constructed/Existingwater storage tank with gravity fed reticulation system]]-WWWW[[#This Row],['#_Non-functional storage tank gravity fed reticulation system]]</f>
        <v>0</v>
      </c>
      <c r="CF209" s="801">
        <f>(WWWW[[#This Row],['#_Water_Liters_supplied_by_Water boating or water trucking]]/90)/15</f>
        <v>0</v>
      </c>
      <c r="CG209" s="801">
        <f>WWWW[[#This Row],['#_Water_Liters_from_Constructed/Existing water distribution system from river or natural spring]]/90/15</f>
        <v>0</v>
      </c>
      <c r="CH209" s="473">
        <f>WWWW[[#This Row],['#_of water points in TLS/CFS /THF]]*500</f>
        <v>0</v>
      </c>
      <c r="CI20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0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09" s="800">
        <f>IF(WWWW[[#This Row],[Location Type 1]]="Village",WWWW[[#This Row],[Access to safe drinking water for Village]],WWWW[[#This Row],[Access to safe drinking water for Camp]])</f>
        <v>1</v>
      </c>
      <c r="CL209" s="798">
        <f>WWWW[[#This Row],[%Equitable and continuous access to sufficient quantity of safe drinking water]]*WWWW[[#This Row],[Total PoP ]]</f>
        <v>197</v>
      </c>
      <c r="CM209" s="800">
        <f>IF((WWWW[[#This Row],['#_Constructed/Existing protected/fenced ponds]]*250)/WWWW[[#This Row],[Total PoP ]]&gt;1,1,(WWWW[[#This Row],['#_Constructed/Existing protected/fenced ponds]]*250)/WWWW[[#This Row],[Total PoP ]])</f>
        <v>0</v>
      </c>
      <c r="CN209" s="798">
        <f>WWWW[[#This Row],[% Access to unimproved water points]]*WWWW[[#This Row],[Total PoP ]]</f>
        <v>0</v>
      </c>
      <c r="CO20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0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209" s="798">
        <f>WWWW[[#This Row],[HRP1]]/500</f>
        <v>0.39400000000000002</v>
      </c>
      <c r="CR209" s="803">
        <f>1-WWWW[[#This Row],[% Equitable and continuous access to sufficient quantity of domestic water]]</f>
        <v>0</v>
      </c>
      <c r="CS209" s="798">
        <f>WWWW[[#This Row],[%equitable and continuous access to sufficient quantity of safe drinking and domestic water''s GAP]]*WWWW[[#This Row],[Total PoP ]]</f>
        <v>0</v>
      </c>
      <c r="CT209" s="801">
        <f>IF(WWWW[[#This Row],[Total required water points]]-WWWW[[#This Row],['#Water points coverage]]&lt;0,0,WWWW[[#This Row],[Total required water points]]-WWWW[[#This Row],['#Water points coverage]])</f>
        <v>0.60599999999999998</v>
      </c>
      <c r="CU209" s="801">
        <f>ROUND(IF(WWWW[[#This Row],[Total PoP ]]&lt;500,1,WWWW[[#This Row],[Total PoP ]]/500),0)</f>
        <v>1</v>
      </c>
      <c r="CV209" s="801">
        <f>(WWWW[[#This Row],['#_Constructed latrines_by_WASHAgencies]]+WWWW[[#This Row],['#_Non Cluster partner latrines]])-WWWW[[#This Row],['#_Non-functional latrines]]</f>
        <v>7</v>
      </c>
      <c r="CW209" s="804">
        <f>WWWW[[#This Row],[HRP2]]/WWWW[[#This Row],[Total PoP ]]</f>
        <v>0.71065989847715738</v>
      </c>
      <c r="CX20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0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0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09" s="473">
        <f>IF(WWWW[[#This Row],['# of functional latrines in THF supported by WASH partners during the reporting period2]]="",0,WWWW[[#This Row],['# of functional latrines in THF supported by WASH partners during the reporting period2]]*50)</f>
        <v>0</v>
      </c>
      <c r="DB209" s="473">
        <f>WWWW[[#This Row],['# students access to functioning school latrines_HRP5]]+WWWW[[#This Row],['# People access to functioning latrines in THF_HRP5]]</f>
        <v>0</v>
      </c>
      <c r="DC209" s="801">
        <f>ROUND(IF(WWWW[[#This Row],[Location Type 1]]="camp",WWWW[[#This Row],[Total PoP ]]/20,IF(WWWW[[#This Row],[Location Type 1]]="Temporary Location",WWWW[[#This Row],[Total PoP ]]/50,(WWWW[[#This Row],[Total PoP ]]/6))),0)</f>
        <v>10</v>
      </c>
      <c r="DD209" s="801">
        <f>IF(WWWW[[#This Row],[Total required Latrines]]-(WWWW[[#This Row],['#_Constructed latrines_by_WASHAgencies]]+WWWW[[#This Row],['#_Non Cluster partner latrines]])&lt;0,0,WWWW[[#This Row],[Total required Latrines]]-(WWWW[[#This Row],['#_Constructed latrines_by_WASHAgencies]]+WWWW[[#This Row],['#_Non Cluster partner latrines]]))</f>
        <v>3</v>
      </c>
      <c r="DE209" s="803">
        <f>1-WWWW[[#This Row],[% people access to functioning Latrine]]</f>
        <v>0.28934010152284262</v>
      </c>
      <c r="DF209" s="802">
        <f>IF(OR(WWWW[[#This Row],['#_Non-functional latrines]]="",WWWW[[#This Row],['#_Non-functional latrines]]=0),0,WWWW[[#This Row],['#_Non-functional latrines]]/(WWWW[[#This Row],['#_Constructed latrines_by_WASHAgencies]]+WWWW[[#This Row],['#_Non Cluster partner latrines]]))</f>
        <v>0</v>
      </c>
      <c r="DG209" s="798">
        <f>IF(500*(WWWW[[#This Row],['#_male hygiene promoters]]+WWWW[[#This Row],['#_female hygiene promoters]])&gt;WWWW[[#This Row],[Total PoP ]],WWWW[[#This Row],[Total PoP ]],500*(WWWW[[#This Row],['#_male hygiene promoters]]+WWWW[[#This Row],['#_female hygiene promoters]]))</f>
        <v>197</v>
      </c>
      <c r="DH20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0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09" s="801">
        <f>IF(WWWW[[#This Row],['# People with access to soap]]&gt;WWWW[[#This Row],['# People with access to Sanity Pads]],WWWW[[#This Row],['# People with access to soap]],WWWW[[#This Row],['# People with access to Sanity Pads]])</f>
        <v>0</v>
      </c>
      <c r="DK209" s="80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209" s="803">
        <f>IF(WWWW[[#This Row],[HRP3]]/WWWW[[#This Row],[Total PoP ]]&gt;1,1,WWWW[[#This Row],[HRP3]]/WWWW[[#This Row],[Total PoP ]])</f>
        <v>1</v>
      </c>
      <c r="DM209" s="802">
        <f>1-WWWW[[#This Row],[Hygiene Coverage%]]</f>
        <v>0</v>
      </c>
      <c r="DN209" s="800">
        <f>WWWW[[#This Row],['# people reached by regular dedicated hygiene promotion_5]]/WWWW[[#This Row],[Total PoP ]]</f>
        <v>1</v>
      </c>
      <c r="DO20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0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09" s="801">
        <f>WWWW[[#This Row],['#_Constructed/Existing hand washing stations]]-WWWW[[#This Row],['#_Non-Functional_hand_washing_stations]]</f>
        <v>3</v>
      </c>
      <c r="DR209" s="798">
        <f>IF(WWWW[[#This Row],['# Functional hand washing stations during reporting period]]*20&gt;WWWW[[#This Row],[Total HH]],WWWW[[#This Row],[Total HH]],WWWW[[#This Row],['# Functional hand washing stations during reporting period]]*20)</f>
        <v>43</v>
      </c>
      <c r="DS209" s="798">
        <f>IF(WWWW[[#This Row],[Is sufficient soap available for TLS? (Yes/No)]]="yes",WWWW[[#This Row],['#_Constructed/Existing hand washing stations at TLS]],0)</f>
        <v>0</v>
      </c>
      <c r="DT209" s="479">
        <f>IF(WWWW[[#This Row],['# Functional hand washing stations during reporting period]]*100&gt;WWWW[[#This Row],[Total PoP ]],WWWW[[#This Row],[Total PoP ]],WWWW[[#This Row],['# Functional hand washing stations during reporting period]]*100)</f>
        <v>197</v>
      </c>
      <c r="DU209" s="479" t="str">
        <f>IF(OR(WWWW[[#This Row],['#_students at TLS_CFS]]="",WWWW[[#This Row],['#_students at TLS_CFS]]=0),"No","Yes")</f>
        <v>No</v>
      </c>
      <c r="DV20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0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0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09" s="794" t="str">
        <f>VLOOKUP(WWWW[[#This Row],[Site Name]],SiteDB6[[Site Name]:[CCCM Management]],6,FALSE)</f>
        <v>Yes</v>
      </c>
      <c r="DZ209" s="794" t="str">
        <f>VLOOKUP(WWWW[[#This Row],[Site Name]],SiteDB6[[Site Name]:[CCCM Focal Agency]],7,FALSE)</f>
        <v>KBC-MYT</v>
      </c>
      <c r="EA209" s="794" t="str">
        <f>VLOOKUP(WWWW[[#This Row],[Site Name]],SiteDB6[[Site Name]:[Location Type 1]],9,FALSE)</f>
        <v>Camp</v>
      </c>
      <c r="EB209" s="794" t="str">
        <f>VLOOKUP(WWWW[[#This Row],[Site Name]],SiteDB6[[Site Name]:[Type of Accommodation]],10,FALSE)</f>
        <v>Camp</v>
      </c>
      <c r="EC209" s="794" t="str">
        <f>VLOOKUP(WWWW[[#This Row],[Site Name]],SiteDB6[[Site Name]:[Ethnic or GCA/NGCA]],11,FALSE)</f>
        <v>GCA</v>
      </c>
      <c r="ED209" s="794">
        <f>VLOOKUP(WWWW[[#This Row],[Site Name]],SiteDB6[[Site Name]:[Lat]],12,FALSE)</f>
        <v>25.3959740909091</v>
      </c>
      <c r="EE209" s="794">
        <f>VLOOKUP(WWWW[[#This Row],[Site Name]],SiteDB6[[Site Name]:[Long]],13,FALSE)</f>
        <v>97.382997575757599</v>
      </c>
      <c r="EF209" s="794" t="str">
        <f>VLOOKUP(WWWW[[#This Row],[Site Name]],SiteDB6[[Site Name]:[Pcode]],3,FALSE)</f>
        <v>MMR001CMP010</v>
      </c>
      <c r="EG209" s="799" t="str">
        <f t="shared" si="4"/>
        <v>Covered</v>
      </c>
      <c r="EH209" s="799" t="str">
        <f>VLOOKUP(WWWW[[#This Row],[Site Name]],Site_DB!$C$389:$D$1120,2,FALSE)</f>
        <v>cccm_2019OCT</v>
      </c>
    </row>
    <row r="210" spans="1:138" hidden="1">
      <c r="A210" s="792" t="s">
        <v>3262</v>
      </c>
      <c r="B210" s="792" t="s">
        <v>38</v>
      </c>
      <c r="C210" s="793" t="s">
        <v>38</v>
      </c>
      <c r="D210" s="793" t="s">
        <v>3049</v>
      </c>
      <c r="E210" s="793" t="s">
        <v>39</v>
      </c>
      <c r="F210" s="793" t="s">
        <v>145</v>
      </c>
      <c r="G210" s="721" t="str">
        <f>VLOOKUP(WWWW[[#This Row],[Site Name]],SiteDB6[[Site Name]:[Location Type]],8,FALSE)</f>
        <v>Camp</v>
      </c>
      <c r="H210" s="793" t="s">
        <v>239</v>
      </c>
      <c r="I210" s="795">
        <v>101</v>
      </c>
      <c r="J210" s="795">
        <v>458</v>
      </c>
      <c r="K210" s="407" t="s">
        <v>3619</v>
      </c>
      <c r="L210" s="56" t="s">
        <v>3620</v>
      </c>
      <c r="M210" s="795">
        <v>48</v>
      </c>
      <c r="N210" s="795"/>
      <c r="O210" s="795"/>
      <c r="P210" s="795"/>
      <c r="Q210" s="798" t="s">
        <v>43</v>
      </c>
      <c r="R210" s="795"/>
      <c r="S210" s="795"/>
      <c r="T210" s="523"/>
      <c r="U210" s="795"/>
      <c r="V210" s="795"/>
      <c r="W210" s="795"/>
      <c r="X210" s="795"/>
      <c r="Y210" s="795"/>
      <c r="Z210" s="795"/>
      <c r="AA210" s="795">
        <v>1</v>
      </c>
      <c r="AB210" s="795"/>
      <c r="AC210" s="795"/>
      <c r="AD210" s="795"/>
      <c r="AE210" s="795"/>
      <c r="AF210" s="795"/>
      <c r="AG210" s="795"/>
      <c r="AH210" s="795"/>
      <c r="AI210" s="795"/>
      <c r="AJ210" s="795"/>
      <c r="AK210" s="795"/>
      <c r="AL210" s="795"/>
      <c r="AM210" s="795">
        <v>4</v>
      </c>
      <c r="AN210" s="795"/>
      <c r="AO210" s="799"/>
      <c r="AP210" s="795">
        <v>90</v>
      </c>
      <c r="AQ210" s="795"/>
      <c r="AR210" s="800"/>
      <c r="AS210" s="795"/>
      <c r="AT210" s="795"/>
      <c r="AU210" s="795"/>
      <c r="AV210" s="795"/>
      <c r="AW210" s="795"/>
      <c r="AX210" s="794" t="s">
        <v>43</v>
      </c>
      <c r="AY210" s="799" t="s">
        <v>140</v>
      </c>
      <c r="AZ210" s="795">
        <v>0</v>
      </c>
      <c r="BA210" s="795"/>
      <c r="BB210" s="795"/>
      <c r="BC210" s="523"/>
      <c r="BD210" s="523"/>
      <c r="BE210" s="794"/>
      <c r="BF210" s="795">
        <v>2</v>
      </c>
      <c r="BG210" s="795"/>
      <c r="BH210" s="795"/>
      <c r="BI210" s="795">
        <v>3</v>
      </c>
      <c r="BJ210" s="795"/>
      <c r="BK210" s="795"/>
      <c r="BL210" s="795">
        <v>2</v>
      </c>
      <c r="BM210" s="795">
        <v>6</v>
      </c>
      <c r="BN210" s="795"/>
      <c r="BO210" s="794" t="s">
        <v>139</v>
      </c>
      <c r="BP210" s="801"/>
      <c r="BQ210" s="800"/>
      <c r="BR210" s="794"/>
      <c r="BS210" s="472"/>
      <c r="BT210" s="472"/>
      <c r="BU210" s="523"/>
      <c r="BV210" s="472"/>
      <c r="BW210" s="523"/>
      <c r="BX210" s="523"/>
      <c r="BY210" s="523"/>
      <c r="BZ210" s="802" t="str">
        <f>IFERROR(WWWW[[#This Row],['#_Water sources passed]]/WWWW[[#This Row],['#_Water sources tested for fecal coliform ]],"no test")</f>
        <v>no test</v>
      </c>
      <c r="CA210" s="800" t="str">
        <f>IFERROR(WWWW[[#This Row],['#_Household passed]]/WWWW[[#This Row],['#_Household water samples tested for fecal coliform]],"no test")</f>
        <v>no test</v>
      </c>
      <c r="CB210" s="801" t="str">
        <f>IF(AND(WWWW[[#This Row],[% of water sources passed]]="no test",WWWW[[#This Row],[% Household passed]]="no test"),"No Test","Tested")</f>
        <v>No Test</v>
      </c>
      <c r="CC210" s="801">
        <f>WWWW[[#This Row],['#_Constructed/existing protected hand dug well]]-WWWW[[#This Row],['#_Non-functional protected hand dug well]]</f>
        <v>0</v>
      </c>
      <c r="CD210" s="801">
        <f>(WWWW[[#This Row],['#_Constructed/Existing tube wells/boreholes/handpumps_WASH_agency]]+WWWW[[#This Row],['#_Non-Cluster partner water tube-wells/boreholes/handpumps]])-WWWW[[#This Row],['#_Non-functional tube wells/boreholes/handpumps]]</f>
        <v>0</v>
      </c>
      <c r="CE210" s="801">
        <f>WWWW[[#This Row],['#_Constructed/Existingwater storage tank with gravity fed reticulation system]]-WWWW[[#This Row],['#_Non-functional storage tank gravity fed reticulation system]]</f>
        <v>1</v>
      </c>
      <c r="CF210" s="801">
        <f>(WWWW[[#This Row],['#_Water_Liters_supplied_by_Water boating or water trucking]]/90)/15</f>
        <v>0</v>
      </c>
      <c r="CG210" s="801">
        <f>WWWW[[#This Row],['#_Water_Liters_from_Constructed/Existing water distribution system from river or natural spring]]/90/15</f>
        <v>0</v>
      </c>
      <c r="CH210" s="473">
        <f>WWWW[[#This Row],['#_of water points in TLS/CFS /THF]]*500</f>
        <v>0</v>
      </c>
      <c r="CI21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21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210" s="800">
        <f>IF(WWWW[[#This Row],[Location Type 1]]="Village",WWWW[[#This Row],[Access to safe drinking water for Village]],WWWW[[#This Row],[Access to safe drinking water for Camp]])</f>
        <v>0.14556040756914121</v>
      </c>
      <c r="CL210" s="798">
        <f>WWWW[[#This Row],[%Equitable and continuous access to sufficient quantity of safe drinking water]]*WWWW[[#This Row],[Total PoP ]]</f>
        <v>66.666666666666671</v>
      </c>
      <c r="CM210" s="800">
        <f>IF((WWWW[[#This Row],['#_Constructed/Existing protected/fenced ponds]]*250)/WWWW[[#This Row],[Total PoP ]]&gt;1,1,(WWWW[[#This Row],['#_Constructed/Existing protected/fenced ponds]]*250)/WWWW[[#This Row],[Total PoP ]])</f>
        <v>0</v>
      </c>
      <c r="CN210" s="798">
        <f>WWWW[[#This Row],[% Access to unimproved water points]]*WWWW[[#This Row],[Total PoP ]]</f>
        <v>0</v>
      </c>
      <c r="CO21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21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10" s="798">
        <f>WWWW[[#This Row],[HRP1]]/500</f>
        <v>0.13333333333333333</v>
      </c>
      <c r="CR210" s="803">
        <f>1-WWWW[[#This Row],[% Equitable and continuous access to sufficient quantity of domestic water]]</f>
        <v>0.85443959243085876</v>
      </c>
      <c r="CS210" s="798">
        <f>WWWW[[#This Row],[%equitable and continuous access to sufficient quantity of safe drinking and domestic water''s GAP]]*WWWW[[#This Row],[Total PoP ]]</f>
        <v>391.33333333333331</v>
      </c>
      <c r="CT210" s="801">
        <f>IF(WWWW[[#This Row],[Total required water points]]-WWWW[[#This Row],['#Water points coverage]]&lt;0,0,WWWW[[#This Row],[Total required water points]]-WWWW[[#This Row],['#Water points coverage]])</f>
        <v>0.8666666666666667</v>
      </c>
      <c r="CU210" s="801">
        <f>ROUND(IF(WWWW[[#This Row],[Total PoP ]]&lt;500,1,WWWW[[#This Row],[Total PoP ]]/500),0)</f>
        <v>1</v>
      </c>
      <c r="CV210" s="801">
        <f>(WWWW[[#This Row],['#_Constructed latrines_by_WASHAgencies]]+WWWW[[#This Row],['#_Non Cluster partner latrines]])-WWWW[[#This Row],['#_Non-functional latrines]]</f>
        <v>90</v>
      </c>
      <c r="CW210" s="804">
        <f>WWWW[[#This Row],[HRP2]]/WWWW[[#This Row],[Total PoP ]]</f>
        <v>1</v>
      </c>
      <c r="CX21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21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0" s="473">
        <f>IF(WWWW[[#This Row],['# of functional latrines in THF supported by WASH partners during the reporting period2]]="",0,WWWW[[#This Row],['# of functional latrines in THF supported by WASH partners during the reporting period2]]*50)</f>
        <v>0</v>
      </c>
      <c r="DB210" s="473">
        <f>WWWW[[#This Row],['# students access to functioning school latrines_HRP5]]+WWWW[[#This Row],['# People access to functioning latrines in THF_HRP5]]</f>
        <v>0</v>
      </c>
      <c r="DC210" s="801">
        <f>ROUND(IF(WWWW[[#This Row],[Location Type 1]]="camp",WWWW[[#This Row],[Total PoP ]]/20,IF(WWWW[[#This Row],[Location Type 1]]="Temporary Location",WWWW[[#This Row],[Total PoP ]]/50,(WWWW[[#This Row],[Total PoP ]]/6))),0)</f>
        <v>23</v>
      </c>
      <c r="DD210" s="801">
        <f>IF(WWWW[[#This Row],[Total required Latrines]]-(WWWW[[#This Row],['#_Constructed latrines_by_WASHAgencies]]+WWWW[[#This Row],['#_Non Cluster partner latrines]])&lt;0,0,WWWW[[#This Row],[Total required Latrines]]-(WWWW[[#This Row],['#_Constructed latrines_by_WASHAgencies]]+WWWW[[#This Row],['#_Non Cluster partner latrines]]))</f>
        <v>0</v>
      </c>
      <c r="DE210" s="803">
        <f>1-WWWW[[#This Row],[% people access to functioning Latrine]]</f>
        <v>0</v>
      </c>
      <c r="DF210" s="802">
        <f>IF(OR(WWWW[[#This Row],['#_Non-functional latrines]]="",WWWW[[#This Row],['#_Non-functional latrines]]=0),0,WWWW[[#This Row],['#_Non-functional latrines]]/(WWWW[[#This Row],['#_Constructed latrines_by_WASHAgencies]]+WWWW[[#This Row],['#_Non Cluster partner latrines]]))</f>
        <v>0</v>
      </c>
      <c r="DG210" s="798">
        <f>IF(500*(WWWW[[#This Row],['#_male hygiene promoters]]+WWWW[[#This Row],['#_female hygiene promoters]])&gt;WWWW[[#This Row],[Total PoP ]],WWWW[[#This Row],[Total PoP ]],500*(WWWW[[#This Row],['#_male hygiene promoters]]+WWWW[[#This Row],['#_female hygiene promoters]]))</f>
        <v>458</v>
      </c>
      <c r="DH21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1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0" s="801">
        <f>IF(WWWW[[#This Row],['# People with access to soap]]&gt;WWWW[[#This Row],['# People with access to Sanity Pads]],WWWW[[#This Row],['# People with access to soap]],WWWW[[#This Row],['# People with access to Sanity Pads]])</f>
        <v>30</v>
      </c>
      <c r="DK210" s="80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210" s="803">
        <f>IF(WWWW[[#This Row],[HRP3]]/WWWW[[#This Row],[Total PoP ]]&gt;1,1,WWWW[[#This Row],[HRP3]]/WWWW[[#This Row],[Total PoP ]])</f>
        <v>1</v>
      </c>
      <c r="DM210" s="802">
        <f>1-WWWW[[#This Row],[Hygiene Coverage%]]</f>
        <v>0</v>
      </c>
      <c r="DN210" s="800">
        <f>WWWW[[#This Row],['# people reached by regular dedicated hygiene promotion_5]]/WWWW[[#This Row],[Total PoP ]]</f>
        <v>1</v>
      </c>
      <c r="DO21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5.9405940594059403E-2</v>
      </c>
      <c r="DP21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0" s="801">
        <f>WWWW[[#This Row],['#_Constructed/Existing hand washing stations]]-WWWW[[#This Row],['#_Non-Functional_hand_washing_stations]]</f>
        <v>2</v>
      </c>
      <c r="DR210" s="798">
        <f>IF(WWWW[[#This Row],['# Functional hand washing stations during reporting period]]*20&gt;WWWW[[#This Row],[Total HH]],WWWW[[#This Row],[Total HH]],WWWW[[#This Row],['# Functional hand washing stations during reporting period]]*20)</f>
        <v>40</v>
      </c>
      <c r="DS210" s="798">
        <f>IF(WWWW[[#This Row],[Is sufficient soap available for TLS? (Yes/No)]]="yes",WWWW[[#This Row],['#_Constructed/Existing hand washing stations at TLS]],0)</f>
        <v>0</v>
      </c>
      <c r="DT210" s="479">
        <f>IF(WWWW[[#This Row],['# Functional hand washing stations during reporting period]]*100&gt;WWWW[[#This Row],[Total PoP ]],WWWW[[#This Row],[Total PoP ]],WWWW[[#This Row],['# Functional hand washing stations during reporting period]]*100)</f>
        <v>200</v>
      </c>
      <c r="DU210" s="479" t="str">
        <f>IF(OR(WWWW[[#This Row],['#_students at TLS_CFS]]="",WWWW[[#This Row],['#_students at TLS_CFS]]=0),"No","Yes")</f>
        <v>Yes</v>
      </c>
      <c r="DV21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0" s="794" t="str">
        <f>VLOOKUP(WWWW[[#This Row],[Site Name]],SiteDB6[[Site Name]:[CCCM Management]],6,FALSE)</f>
        <v>Yes</v>
      </c>
      <c r="DZ210" s="794" t="str">
        <f>VLOOKUP(WWWW[[#This Row],[Site Name]],SiteDB6[[Site Name]:[CCCM Focal Agency]],7,FALSE)</f>
        <v>KMSS-MYT</v>
      </c>
      <c r="EA210" s="794" t="str">
        <f>VLOOKUP(WWWW[[#This Row],[Site Name]],SiteDB6[[Site Name]:[Location Type 1]],9,FALSE)</f>
        <v>Camp</v>
      </c>
      <c r="EB210" s="794" t="str">
        <f>VLOOKUP(WWWW[[#This Row],[Site Name]],SiteDB6[[Site Name]:[Type of Accommodation]],10,FALSE)</f>
        <v>Camp</v>
      </c>
      <c r="EC210" s="794" t="str">
        <f>VLOOKUP(WWWW[[#This Row],[Site Name]],SiteDB6[[Site Name]:[Ethnic or GCA/NGCA]],11,FALSE)</f>
        <v>NGCA</v>
      </c>
      <c r="ED210" s="794">
        <f>VLOOKUP(WWWW[[#This Row],[Site Name]],SiteDB6[[Site Name]:[Lat]],12,FALSE)</f>
        <v>25.220278</v>
      </c>
      <c r="EE210" s="794">
        <f>VLOOKUP(WWWW[[#This Row],[Site Name]],SiteDB6[[Site Name]:[Long]],13,FALSE)</f>
        <v>97.915833000000006</v>
      </c>
      <c r="EF210" s="794" t="str">
        <f>VLOOKUP(WWWW[[#This Row],[Site Name]],SiteDB6[[Site Name]:[Pcode]],3,FALSE)</f>
        <v>MMR001CMP113</v>
      </c>
      <c r="EG210" s="799" t="str">
        <f t="shared" si="4"/>
        <v>Covered</v>
      </c>
      <c r="EH210" s="799" t="str">
        <f>VLOOKUP(WWWW[[#This Row],[Site Name]],Site_DB!$C$389:$D$1120,2,FALSE)</f>
        <v>cccm_2019OCT</v>
      </c>
    </row>
    <row r="211" spans="1:138" hidden="1">
      <c r="A211" s="792" t="s">
        <v>3262</v>
      </c>
      <c r="B211" s="524" t="s">
        <v>312</v>
      </c>
      <c r="C211" s="404" t="s">
        <v>312</v>
      </c>
      <c r="D211" s="793"/>
      <c r="E211" s="793" t="s">
        <v>39</v>
      </c>
      <c r="F211" s="793" t="s">
        <v>151</v>
      </c>
      <c r="G211" s="721" t="str">
        <f>VLOOKUP(WWWW[[#This Row],[Site Name]],SiteDB6[[Site Name]:[Location Type]],8,FALSE)</f>
        <v>Camp</v>
      </c>
      <c r="H211" s="793" t="s">
        <v>233</v>
      </c>
      <c r="I211" s="795">
        <v>70</v>
      </c>
      <c r="J211" s="795">
        <v>350</v>
      </c>
      <c r="K211" s="796"/>
      <c r="L211" s="797"/>
      <c r="M211" s="795"/>
      <c r="N211" s="795"/>
      <c r="O211" s="795"/>
      <c r="P211" s="795"/>
      <c r="Q211" s="798"/>
      <c r="R211" s="795"/>
      <c r="S211" s="795"/>
      <c r="T211" s="523"/>
      <c r="U211" s="795"/>
      <c r="V211" s="795"/>
      <c r="W211" s="795"/>
      <c r="X211" s="795"/>
      <c r="Y211" s="795"/>
      <c r="Z211" s="795"/>
      <c r="AA211" s="795"/>
      <c r="AB211" s="795"/>
      <c r="AC211" s="795"/>
      <c r="AD211" s="795"/>
      <c r="AE211" s="795"/>
      <c r="AF211" s="795"/>
      <c r="AG211" s="795"/>
      <c r="AH211" s="795"/>
      <c r="AI211" s="795"/>
      <c r="AJ211" s="795"/>
      <c r="AK211" s="795"/>
      <c r="AL211" s="795"/>
      <c r="AM211" s="795"/>
      <c r="AN211" s="795"/>
      <c r="AO211" s="799"/>
      <c r="AP211" s="795"/>
      <c r="AQ211" s="795"/>
      <c r="AR211" s="800"/>
      <c r="AS211" s="795"/>
      <c r="AT211" s="795"/>
      <c r="AU211" s="795"/>
      <c r="AV211" s="795"/>
      <c r="AW211" s="795"/>
      <c r="AX211" s="794"/>
      <c r="AY211" s="799"/>
      <c r="AZ211" s="795"/>
      <c r="BA211" s="795"/>
      <c r="BB211" s="795"/>
      <c r="BC211" s="523"/>
      <c r="BD211" s="523"/>
      <c r="BE211" s="794"/>
      <c r="BF211" s="795"/>
      <c r="BG211" s="795"/>
      <c r="BH211" s="795"/>
      <c r="BI211" s="795"/>
      <c r="BJ211" s="795"/>
      <c r="BK211" s="795"/>
      <c r="BL211" s="795"/>
      <c r="BM211" s="795"/>
      <c r="BN211" s="795"/>
      <c r="BO211" s="794"/>
      <c r="BP211" s="801"/>
      <c r="BQ211" s="800"/>
      <c r="BR211" s="794"/>
      <c r="BS211" s="472"/>
      <c r="BT211" s="472"/>
      <c r="BU211" s="720"/>
      <c r="BV211" s="472"/>
      <c r="BW211" s="523"/>
      <c r="BX211" s="523"/>
      <c r="BY211" s="523"/>
      <c r="BZ211" s="802" t="str">
        <f>IFERROR(WWWW[[#This Row],['#_Water sources passed]]/WWWW[[#This Row],['#_Water sources tested for fecal coliform ]],"no test")</f>
        <v>no test</v>
      </c>
      <c r="CA211" s="800" t="str">
        <f>IFERROR(WWWW[[#This Row],['#_Household passed]]/WWWW[[#This Row],['#_Household water samples tested for fecal coliform]],"no test")</f>
        <v>no test</v>
      </c>
      <c r="CB211" s="801" t="str">
        <f>IF(AND(WWWW[[#This Row],[% of water sources passed]]="no test",WWWW[[#This Row],[% Household passed]]="no test"),"No Test","Tested")</f>
        <v>No Test</v>
      </c>
      <c r="CC211" s="801">
        <f>WWWW[[#This Row],['#_Constructed/existing protected hand dug well]]-WWWW[[#This Row],['#_Non-functional protected hand dug well]]</f>
        <v>0</v>
      </c>
      <c r="CD211" s="801">
        <f>(WWWW[[#This Row],['#_Constructed/Existing tube wells/boreholes/handpumps_WASH_agency]]+WWWW[[#This Row],['#_Non-Cluster partner water tube-wells/boreholes/handpumps]])-WWWW[[#This Row],['#_Non-functional tube wells/boreholes/handpumps]]</f>
        <v>0</v>
      </c>
      <c r="CE211" s="801">
        <f>WWWW[[#This Row],['#_Constructed/Existingwater storage tank with gravity fed reticulation system]]-WWWW[[#This Row],['#_Non-functional storage tank gravity fed reticulation system]]</f>
        <v>0</v>
      </c>
      <c r="CF211" s="801">
        <f>(WWWW[[#This Row],['#_Water_Liters_supplied_by_Water boating or water trucking]]/90)/15</f>
        <v>0</v>
      </c>
      <c r="CG211" s="801">
        <f>WWWW[[#This Row],['#_Water_Liters_from_Constructed/Existing water distribution system from river or natural spring]]/90/15</f>
        <v>0</v>
      </c>
      <c r="CH211" s="473">
        <f>WWWW[[#This Row],['#_of water points in TLS/CFS /THF]]*500</f>
        <v>0</v>
      </c>
      <c r="CI21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1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11" s="800">
        <f>IF(WWWW[[#This Row],[Location Type 1]]="Village",WWWW[[#This Row],[Access to safe drinking water for Village]],WWWW[[#This Row],[Access to safe drinking water for Camp]])</f>
        <v>0</v>
      </c>
      <c r="CL211" s="798">
        <f>WWWW[[#This Row],[%Equitable and continuous access to sufficient quantity of safe drinking water]]*WWWW[[#This Row],[Total PoP ]]</f>
        <v>0</v>
      </c>
      <c r="CM211" s="800">
        <f>IF((WWWW[[#This Row],['#_Constructed/Existing protected/fenced ponds]]*250)/WWWW[[#This Row],[Total PoP ]]&gt;1,1,(WWWW[[#This Row],['#_Constructed/Existing protected/fenced ponds]]*250)/WWWW[[#This Row],[Total PoP ]])</f>
        <v>0</v>
      </c>
      <c r="CN211" s="798">
        <f>WWWW[[#This Row],[% Access to unimproved water points]]*WWWW[[#This Row],[Total PoP ]]</f>
        <v>0</v>
      </c>
      <c r="CO21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1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11" s="798">
        <f>WWWW[[#This Row],[HRP1]]/500</f>
        <v>0</v>
      </c>
      <c r="CR211" s="803">
        <f>1-WWWW[[#This Row],[% Equitable and continuous access to sufficient quantity of domestic water]]</f>
        <v>1</v>
      </c>
      <c r="CS211" s="798">
        <f>WWWW[[#This Row],[%equitable and continuous access to sufficient quantity of safe drinking and domestic water''s GAP]]*WWWW[[#This Row],[Total PoP ]]</f>
        <v>350</v>
      </c>
      <c r="CT211" s="801">
        <f>IF(WWWW[[#This Row],[Total required water points]]-WWWW[[#This Row],['#Water points coverage]]&lt;0,0,WWWW[[#This Row],[Total required water points]]-WWWW[[#This Row],['#Water points coverage]])</f>
        <v>1</v>
      </c>
      <c r="CU211" s="801">
        <f>ROUND(IF(WWWW[[#This Row],[Total PoP ]]&lt;500,1,WWWW[[#This Row],[Total PoP ]]/500),0)</f>
        <v>1</v>
      </c>
      <c r="CV211" s="801">
        <f>(WWWW[[#This Row],['#_Constructed latrines_by_WASHAgencies]]+WWWW[[#This Row],['#_Non Cluster partner latrines]])-WWWW[[#This Row],['#_Non-functional latrines]]</f>
        <v>0</v>
      </c>
      <c r="CW211" s="804">
        <f>WWWW[[#This Row],[HRP2]]/WWWW[[#This Row],[Total PoP ]]</f>
        <v>0</v>
      </c>
      <c r="CX21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1" s="473">
        <f>IF(WWWW[[#This Row],['# of functional latrines in THF supported by WASH partners during the reporting period2]]="",0,WWWW[[#This Row],['# of functional latrines in THF supported by WASH partners during the reporting period2]]*50)</f>
        <v>0</v>
      </c>
      <c r="DB211" s="473">
        <f>WWWW[[#This Row],['# students access to functioning school latrines_HRP5]]+WWWW[[#This Row],['# People access to functioning latrines in THF_HRP5]]</f>
        <v>0</v>
      </c>
      <c r="DC211" s="801">
        <f>ROUND(IF(WWWW[[#This Row],[Location Type 1]]="camp",WWWW[[#This Row],[Total PoP ]]/20,IF(WWWW[[#This Row],[Location Type 1]]="Temporary Location",WWWW[[#This Row],[Total PoP ]]/50,(WWWW[[#This Row],[Total PoP ]]/6))),0)</f>
        <v>18</v>
      </c>
      <c r="DD211" s="801">
        <f>IF(WWWW[[#This Row],[Total required Latrines]]-(WWWW[[#This Row],['#_Constructed latrines_by_WASHAgencies]]+WWWW[[#This Row],['#_Non Cluster partner latrines]])&lt;0,0,WWWW[[#This Row],[Total required Latrines]]-(WWWW[[#This Row],['#_Constructed latrines_by_WASHAgencies]]+WWWW[[#This Row],['#_Non Cluster partner latrines]]))</f>
        <v>18</v>
      </c>
      <c r="DE211" s="803">
        <f>1-WWWW[[#This Row],[% people access to functioning Latrine]]</f>
        <v>1</v>
      </c>
      <c r="DF211" s="802">
        <f>IF(OR(WWWW[[#This Row],['#_Non-functional latrines]]="",WWWW[[#This Row],['#_Non-functional latrines]]=0),0,WWWW[[#This Row],['#_Non-functional latrines]]/(WWWW[[#This Row],['#_Constructed latrines_by_WASHAgencies]]+WWWW[[#This Row],['#_Non Cluster partner latrines]]))</f>
        <v>0</v>
      </c>
      <c r="DG211" s="798">
        <f>IF(500*(WWWW[[#This Row],['#_male hygiene promoters]]+WWWW[[#This Row],['#_female hygiene promoters]])&gt;WWWW[[#This Row],[Total PoP ]],WWWW[[#This Row],[Total PoP ]],500*(WWWW[[#This Row],['#_male hygiene promoters]]+WWWW[[#This Row],['#_female hygiene promoters]]))</f>
        <v>0</v>
      </c>
      <c r="DH21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1" s="801">
        <f>IF(WWWW[[#This Row],['# People with access to soap]]&gt;WWWW[[#This Row],['# People with access to Sanity Pads]],WWWW[[#This Row],['# People with access to soap]],WWWW[[#This Row],['# People with access to Sanity Pads]])</f>
        <v>0</v>
      </c>
      <c r="DK211"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1" s="803">
        <f>IF(WWWW[[#This Row],[HRP3]]/WWWW[[#This Row],[Total PoP ]]&gt;1,1,WWWW[[#This Row],[HRP3]]/WWWW[[#This Row],[Total PoP ]])</f>
        <v>0</v>
      </c>
      <c r="DM211" s="802">
        <f>1-WWWW[[#This Row],[Hygiene Coverage%]]</f>
        <v>1</v>
      </c>
      <c r="DN211" s="800">
        <f>WWWW[[#This Row],['# people reached by regular dedicated hygiene promotion_5]]/WWWW[[#This Row],[Total PoP ]]</f>
        <v>0</v>
      </c>
      <c r="DO21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1" s="801">
        <f>WWWW[[#This Row],['#_Constructed/Existing hand washing stations]]-WWWW[[#This Row],['#_Non-Functional_hand_washing_stations]]</f>
        <v>0</v>
      </c>
      <c r="DR211" s="798">
        <f>IF(WWWW[[#This Row],['# Functional hand washing stations during reporting period]]*20&gt;WWWW[[#This Row],[Total HH]],WWWW[[#This Row],[Total HH]],WWWW[[#This Row],['# Functional hand washing stations during reporting period]]*20)</f>
        <v>0</v>
      </c>
      <c r="DS211" s="798">
        <f>IF(WWWW[[#This Row],[Is sufficient soap available for TLS? (Yes/No)]]="yes",WWWW[[#This Row],['#_Constructed/Existing hand washing stations at TLS]],0)</f>
        <v>0</v>
      </c>
      <c r="DT211" s="479">
        <f>IF(WWWW[[#This Row],['# Functional hand washing stations during reporting period]]*100&gt;WWWW[[#This Row],[Total PoP ]],WWWW[[#This Row],[Total PoP ]],WWWW[[#This Row],['# Functional hand washing stations during reporting period]]*100)</f>
        <v>0</v>
      </c>
      <c r="DU211" s="479" t="str">
        <f>IF(OR(WWWW[[#This Row],['#_students at TLS_CFS]]="",WWWW[[#This Row],['#_students at TLS_CFS]]=0),"No","Yes")</f>
        <v>No</v>
      </c>
      <c r="DV21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1" s="794" t="str">
        <f>VLOOKUP(WWWW[[#This Row],[Site Name]],SiteDB6[[Site Name]:[CCCM Management]],6,FALSE)</f>
        <v>Yes</v>
      </c>
      <c r="DZ211" s="794" t="str">
        <f>VLOOKUP(WWWW[[#This Row],[Site Name]],SiteDB6[[Site Name]:[CCCM Focal Agency]],7,FALSE)</f>
        <v>KMSS-MYT</v>
      </c>
      <c r="EA211" s="794" t="str">
        <f>VLOOKUP(WWWW[[#This Row],[Site Name]],SiteDB6[[Site Name]:[Location Type 1]],9,FALSE)</f>
        <v>Camp</v>
      </c>
      <c r="EB211" s="794" t="str">
        <f>VLOOKUP(WWWW[[#This Row],[Site Name]],SiteDB6[[Site Name]:[Type of Accommodation]],10,FALSE)</f>
        <v>Camp</v>
      </c>
      <c r="EC211" s="794" t="str">
        <f>VLOOKUP(WWWW[[#This Row],[Site Name]],SiteDB6[[Site Name]:[Ethnic or GCA/NGCA]],11,FALSE)</f>
        <v>GCA</v>
      </c>
      <c r="ED211" s="794">
        <f>VLOOKUP(WWWW[[#This Row],[Site Name]],SiteDB6[[Site Name]:[Lat]],12,FALSE)</f>
        <v>25.656009999999998</v>
      </c>
      <c r="EE211" s="794">
        <f>VLOOKUP(WWWW[[#This Row],[Site Name]],SiteDB6[[Site Name]:[Long]],13,FALSE)</f>
        <v>96.361609999999999</v>
      </c>
      <c r="EF211" s="794" t="str">
        <f>VLOOKUP(WWWW[[#This Row],[Site Name]],SiteDB6[[Site Name]:[Pcode]],3,FALSE)</f>
        <v>MMR001CMP168</v>
      </c>
      <c r="EG211" s="799" t="str">
        <f t="shared" si="4"/>
        <v>Notcovered</v>
      </c>
      <c r="EH211" s="799" t="str">
        <f>VLOOKUP(WWWW[[#This Row],[Site Name]],Site_DB!$C$389:$D$1120,2,FALSE)</f>
        <v>cccm_2019OCT</v>
      </c>
    </row>
    <row r="212" spans="1:138" hidden="1">
      <c r="A212" s="792" t="s">
        <v>3262</v>
      </c>
      <c r="B212" s="792" t="s">
        <v>144</v>
      </c>
      <c r="C212" s="793" t="s">
        <v>144</v>
      </c>
      <c r="D212" s="793"/>
      <c r="E212" s="793" t="s">
        <v>39</v>
      </c>
      <c r="F212" s="793" t="s">
        <v>149</v>
      </c>
      <c r="G212" s="721" t="str">
        <f>VLOOKUP(WWWW[[#This Row],[Site Name]],SiteDB6[[Site Name]:[Location Type]],8,FALSE)</f>
        <v>Camp</v>
      </c>
      <c r="H212" s="793" t="s">
        <v>150</v>
      </c>
      <c r="I212" s="795">
        <v>169</v>
      </c>
      <c r="J212" s="795">
        <v>837</v>
      </c>
      <c r="K212" s="796"/>
      <c r="L212" s="797"/>
      <c r="M212" s="795">
        <v>238</v>
      </c>
      <c r="N212" s="795"/>
      <c r="O212" s="795"/>
      <c r="P212" s="795"/>
      <c r="Q212" s="798" t="s">
        <v>43</v>
      </c>
      <c r="R212" s="795"/>
      <c r="S212" s="795">
        <v>4</v>
      </c>
      <c r="T212" s="523">
        <v>0</v>
      </c>
      <c r="U212" s="795"/>
      <c r="V212" s="795"/>
      <c r="W212" s="795">
        <v>0</v>
      </c>
      <c r="X212" s="795"/>
      <c r="Y212" s="795"/>
      <c r="Z212" s="795"/>
      <c r="AA212" s="795">
        <v>1</v>
      </c>
      <c r="AB212" s="795"/>
      <c r="AC212" s="795"/>
      <c r="AD212" s="795"/>
      <c r="AE212" s="795"/>
      <c r="AF212" s="795"/>
      <c r="AG212" s="795"/>
      <c r="AH212" s="795">
        <v>0</v>
      </c>
      <c r="AI212" s="795"/>
      <c r="AJ212" s="795"/>
      <c r="AK212" s="795"/>
      <c r="AL212" s="795"/>
      <c r="AM212" s="795"/>
      <c r="AN212" s="795"/>
      <c r="AO212" s="799"/>
      <c r="AP212" s="795">
        <v>32</v>
      </c>
      <c r="AQ212" s="795"/>
      <c r="AR212" s="800"/>
      <c r="AS212" s="795"/>
      <c r="AT212" s="795"/>
      <c r="AU212" s="795"/>
      <c r="AV212" s="795"/>
      <c r="AW212" s="795">
        <v>32</v>
      </c>
      <c r="AX212" s="794" t="s">
        <v>43</v>
      </c>
      <c r="AY212" s="799" t="s">
        <v>140</v>
      </c>
      <c r="AZ212" s="795"/>
      <c r="BA212" s="795"/>
      <c r="BB212" s="795">
        <v>5</v>
      </c>
      <c r="BC212" s="523"/>
      <c r="BD212" s="523"/>
      <c r="BE212" s="794"/>
      <c r="BF212" s="795"/>
      <c r="BG212" s="795"/>
      <c r="BH212" s="795"/>
      <c r="BI212" s="795">
        <v>4</v>
      </c>
      <c r="BJ212" s="795"/>
      <c r="BK212" s="795"/>
      <c r="BL212" s="795"/>
      <c r="BM212" s="795"/>
      <c r="BN212" s="795"/>
      <c r="BO212" s="794"/>
      <c r="BP212" s="801"/>
      <c r="BQ212" s="800"/>
      <c r="BR212" s="794"/>
      <c r="BS212" s="472"/>
      <c r="BT212" s="472"/>
      <c r="BU212" s="474"/>
      <c r="BV212" s="472"/>
      <c r="BW212" s="523"/>
      <c r="BX212" s="523"/>
      <c r="BY212" s="523"/>
      <c r="BZ212" s="802" t="str">
        <f>IFERROR(WWWW[[#This Row],['#_Water sources passed]]/WWWW[[#This Row],['#_Water sources tested for fecal coliform ]],"no test")</f>
        <v>no test</v>
      </c>
      <c r="CA212" s="800" t="str">
        <f>IFERROR(WWWW[[#This Row],['#_Household passed]]/WWWW[[#This Row],['#_Household water samples tested for fecal coliform]],"no test")</f>
        <v>no test</v>
      </c>
      <c r="CB212" s="801" t="str">
        <f>IF(AND(WWWW[[#This Row],[% of water sources passed]]="no test",WWWW[[#This Row],[% Household passed]]="no test"),"No Test","Tested")</f>
        <v>No Test</v>
      </c>
      <c r="CC212" s="801">
        <f>WWWW[[#This Row],['#_Constructed/existing protected hand dug well]]-WWWW[[#This Row],['#_Non-functional protected hand dug well]]</f>
        <v>0</v>
      </c>
      <c r="CD212" s="801">
        <f>(WWWW[[#This Row],['#_Constructed/Existing tube wells/boreholes/handpumps_WASH_agency]]+WWWW[[#This Row],['#_Non-Cluster partner water tube-wells/boreholes/handpumps]])-WWWW[[#This Row],['#_Non-functional tube wells/boreholes/handpumps]]</f>
        <v>0</v>
      </c>
      <c r="CE212" s="801">
        <f>WWWW[[#This Row],['#_Constructed/Existingwater storage tank with gravity fed reticulation system]]-WWWW[[#This Row],['#_Non-functional storage tank gravity fed reticulation system]]</f>
        <v>1</v>
      </c>
      <c r="CF212" s="801">
        <f>(WWWW[[#This Row],['#_Water_Liters_supplied_by_Water boating or water trucking]]/90)/15</f>
        <v>0</v>
      </c>
      <c r="CG212" s="801">
        <f>WWWW[[#This Row],['#_Water_Liters_from_Constructed/Existing water distribution system from river or natural spring]]/90/15</f>
        <v>0</v>
      </c>
      <c r="CH212" s="473">
        <f>WWWW[[#This Row],['#_of water points in TLS/CFS /THF]]*500</f>
        <v>0</v>
      </c>
      <c r="CI21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7.9649542015133412E-2</v>
      </c>
      <c r="CJ21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7.9649542015133412E-2</v>
      </c>
      <c r="CK212" s="800">
        <f>IF(WWWW[[#This Row],[Location Type 1]]="Village",WWWW[[#This Row],[Access to safe drinking water for Village]],WWWW[[#This Row],[Access to safe drinking water for Camp]])</f>
        <v>7.9649542015133412E-2</v>
      </c>
      <c r="CL212" s="798">
        <f>WWWW[[#This Row],[%Equitable and continuous access to sufficient quantity of safe drinking water]]*WWWW[[#This Row],[Total PoP ]]</f>
        <v>66.666666666666671</v>
      </c>
      <c r="CM212" s="800">
        <f>IF((WWWW[[#This Row],['#_Constructed/Existing protected/fenced ponds]]*250)/WWWW[[#This Row],[Total PoP ]]&gt;1,1,(WWWW[[#This Row],['#_Constructed/Existing protected/fenced ponds]]*250)/WWWW[[#This Row],[Total PoP ]])</f>
        <v>0</v>
      </c>
      <c r="CN212" s="798">
        <f>WWWW[[#This Row],[% Access to unimproved water points]]*WWWW[[#This Row],[Total PoP ]]</f>
        <v>0</v>
      </c>
      <c r="CO21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P21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12" s="798">
        <f>WWWW[[#This Row],[HRP1]]/500</f>
        <v>0.13333333333333333</v>
      </c>
      <c r="CR212" s="803">
        <f>1-WWWW[[#This Row],[% Equitable and continuous access to sufficient quantity of domestic water]]</f>
        <v>0.92035045798486659</v>
      </c>
      <c r="CS212" s="798">
        <f>WWWW[[#This Row],[%equitable and continuous access to sufficient quantity of safe drinking and domestic water''s GAP]]*WWWW[[#This Row],[Total PoP ]]</f>
        <v>770.33333333333337</v>
      </c>
      <c r="CT212" s="801">
        <f>IF(WWWW[[#This Row],[Total required water points]]-WWWW[[#This Row],['#Water points coverage]]&lt;0,0,WWWW[[#This Row],[Total required water points]]-WWWW[[#This Row],['#Water points coverage]])</f>
        <v>1.8666666666666667</v>
      </c>
      <c r="CU212" s="801">
        <f>ROUND(IF(WWWW[[#This Row],[Total PoP ]]&lt;500,1,WWWW[[#This Row],[Total PoP ]]/500),0)</f>
        <v>2</v>
      </c>
      <c r="CV212" s="801">
        <f>(WWWW[[#This Row],['#_Constructed latrines_by_WASHAgencies]]+WWWW[[#This Row],['#_Non Cluster partner latrines]])-WWWW[[#This Row],['#_Non-functional latrines]]</f>
        <v>32</v>
      </c>
      <c r="CW212" s="804">
        <f>WWWW[[#This Row],[HRP2]]/WWWW[[#This Row],[Total PoP ]]</f>
        <v>0.7646356033452808</v>
      </c>
      <c r="CX21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1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238</v>
      </c>
      <c r="DA212" s="473">
        <f>IF(WWWW[[#This Row],['# of functional latrines in THF supported by WASH partners during the reporting period2]]="",0,WWWW[[#This Row],['# of functional latrines in THF supported by WASH partners during the reporting period2]]*50)</f>
        <v>0</v>
      </c>
      <c r="DB212" s="473">
        <f>WWWW[[#This Row],['# students access to functioning school latrines_HRP5]]+WWWW[[#This Row],['# People access to functioning latrines in THF_HRP5]]</f>
        <v>238</v>
      </c>
      <c r="DC212" s="801">
        <f>ROUND(IF(WWWW[[#This Row],[Location Type 1]]="camp",WWWW[[#This Row],[Total PoP ]]/20,IF(WWWW[[#This Row],[Location Type 1]]="Temporary Location",WWWW[[#This Row],[Total PoP ]]/50,(WWWW[[#This Row],[Total PoP ]]/6))),0)</f>
        <v>42</v>
      </c>
      <c r="DD212" s="801">
        <f>IF(WWWW[[#This Row],[Total required Latrines]]-(WWWW[[#This Row],['#_Constructed latrines_by_WASHAgencies]]+WWWW[[#This Row],['#_Non Cluster partner latrines]])&lt;0,0,WWWW[[#This Row],[Total required Latrines]]-(WWWW[[#This Row],['#_Constructed latrines_by_WASHAgencies]]+WWWW[[#This Row],['#_Non Cluster partner latrines]]))</f>
        <v>10</v>
      </c>
      <c r="DE212" s="803">
        <f>1-WWWW[[#This Row],[% people access to functioning Latrine]]</f>
        <v>0.2353643966547192</v>
      </c>
      <c r="DF212" s="802">
        <f>IF(OR(WWWW[[#This Row],['#_Non-functional latrines]]="",WWWW[[#This Row],['#_Non-functional latrines]]=0),0,WWWW[[#This Row],['#_Non-functional latrines]]/(WWWW[[#This Row],['#_Constructed latrines_by_WASHAgencies]]+WWWW[[#This Row],['#_Non Cluster partner latrines]]))</f>
        <v>0</v>
      </c>
      <c r="DG212" s="798">
        <f>IF(500*(WWWW[[#This Row],['#_male hygiene promoters]]+WWWW[[#This Row],['#_female hygiene promoters]])&gt;WWWW[[#This Row],[Total PoP ]],WWWW[[#This Row],[Total PoP ]],500*(WWWW[[#This Row],['#_male hygiene promoters]]+WWWW[[#This Row],['#_female hygiene promoters]]))</f>
        <v>0</v>
      </c>
      <c r="DH21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2" s="801">
        <f>IF(WWWW[[#This Row],['# People with access to soap]]&gt;WWWW[[#This Row],['# People with access to Sanity Pads]],WWWW[[#This Row],['# People with access to soap]],WWWW[[#This Row],['# People with access to Sanity Pads]])</f>
        <v>0</v>
      </c>
      <c r="DK21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2" s="803">
        <f>IF(WWWW[[#This Row],[HRP3]]/WWWW[[#This Row],[Total PoP ]]&gt;1,1,WWWW[[#This Row],[HRP3]]/WWWW[[#This Row],[Total PoP ]])</f>
        <v>0</v>
      </c>
      <c r="DM212" s="802">
        <f>1-WWWW[[#This Row],[Hygiene Coverage%]]</f>
        <v>1</v>
      </c>
      <c r="DN212" s="800">
        <f>WWWW[[#This Row],['# people reached by regular dedicated hygiene promotion_5]]/WWWW[[#This Row],[Total PoP ]]</f>
        <v>0</v>
      </c>
      <c r="DO21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2" s="801">
        <f>WWWW[[#This Row],['#_Constructed/Existing hand washing stations]]-WWWW[[#This Row],['#_Non-Functional_hand_washing_stations]]</f>
        <v>0</v>
      </c>
      <c r="DR212" s="798">
        <f>IF(WWWW[[#This Row],['# Functional hand washing stations during reporting period]]*20&gt;WWWW[[#This Row],[Total HH]],WWWW[[#This Row],[Total HH]],WWWW[[#This Row],['# Functional hand washing stations during reporting period]]*20)</f>
        <v>0</v>
      </c>
      <c r="DS212" s="798">
        <f>IF(WWWW[[#This Row],[Is sufficient soap available for TLS? (Yes/No)]]="yes",WWWW[[#This Row],['#_Constructed/Existing hand washing stations at TLS]],0)</f>
        <v>0</v>
      </c>
      <c r="DT212" s="479">
        <f>IF(WWWW[[#This Row],['# Functional hand washing stations during reporting period]]*100&gt;WWWW[[#This Row],[Total PoP ]],WWWW[[#This Row],[Total PoP ]],WWWW[[#This Row],['# Functional hand washing stations during reporting period]]*100)</f>
        <v>0</v>
      </c>
      <c r="DU212" s="479" t="str">
        <f>IF(OR(WWWW[[#This Row],['#_students at TLS_CFS]]="",WWWW[[#This Row],['#_students at TLS_CFS]]=0),"No","Yes")</f>
        <v>Yes</v>
      </c>
      <c r="DV21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238</v>
      </c>
      <c r="DY212" s="794" t="str">
        <f>VLOOKUP(WWWW[[#This Row],[Site Name]],SiteDB6[[Site Name]:[CCCM Management]],6,FALSE)</f>
        <v>Yes</v>
      </c>
      <c r="DZ212" s="794" t="str">
        <f>VLOOKUP(WWWW[[#This Row],[Site Name]],SiteDB6[[Site Name]:[CCCM Focal Agency]],7,FALSE)</f>
        <v>KBC-MYT</v>
      </c>
      <c r="EA212" s="794" t="str">
        <f>VLOOKUP(WWWW[[#This Row],[Site Name]],SiteDB6[[Site Name]:[Location Type 1]],9,FALSE)</f>
        <v>Camp</v>
      </c>
      <c r="EB212" s="794" t="str">
        <f>VLOOKUP(WWWW[[#This Row],[Site Name]],SiteDB6[[Site Name]:[Type of Accommodation]],10,FALSE)</f>
        <v>Camp</v>
      </c>
      <c r="EC212" s="794" t="str">
        <f>VLOOKUP(WWWW[[#This Row],[Site Name]],SiteDB6[[Site Name]:[Ethnic or GCA/NGCA]],11,FALSE)</f>
        <v>NGCA</v>
      </c>
      <c r="ED212" s="794">
        <f>VLOOKUP(WWWW[[#This Row],[Site Name]],SiteDB6[[Site Name]:[Lat]],12,FALSE)</f>
        <v>25.754110000000001</v>
      </c>
      <c r="EE212" s="794">
        <f>VLOOKUP(WWWW[[#This Row],[Site Name]],SiteDB6[[Site Name]:[Long]],13,FALSE)</f>
        <v>98.475719999999995</v>
      </c>
      <c r="EF212" s="794" t="str">
        <f>VLOOKUP(WWWW[[#This Row],[Site Name]],SiteDB6[[Site Name]:[Pcode]],3,FALSE)</f>
        <v>MMR001CMP043</v>
      </c>
      <c r="EG212" s="799" t="str">
        <f t="shared" si="4"/>
        <v>Covered</v>
      </c>
      <c r="EH212" s="799" t="str">
        <f>VLOOKUP(WWWW[[#This Row],[Site Name]],Site_DB!$C$389:$D$1120,2,FALSE)</f>
        <v>cccm_2019OCT</v>
      </c>
    </row>
    <row r="213" spans="1:138" hidden="1">
      <c r="A213" s="792" t="s">
        <v>3262</v>
      </c>
      <c r="B213" s="792" t="s">
        <v>144</v>
      </c>
      <c r="C213" s="793" t="s">
        <v>144</v>
      </c>
      <c r="D213" s="793"/>
      <c r="E213" s="793" t="s">
        <v>39</v>
      </c>
      <c r="F213" s="793" t="s">
        <v>160</v>
      </c>
      <c r="G213" s="721" t="str">
        <f>VLOOKUP(WWWW[[#This Row],[Site Name]],SiteDB6[[Site Name]:[Location Type]],8,FALSE)</f>
        <v>Camp_not registered</v>
      </c>
      <c r="H213" s="793" t="s">
        <v>2079</v>
      </c>
      <c r="I213" s="795">
        <v>39</v>
      </c>
      <c r="J213" s="795">
        <v>121</v>
      </c>
      <c r="K213" s="796"/>
      <c r="L213" s="797"/>
      <c r="M213" s="795"/>
      <c r="N213" s="795"/>
      <c r="O213" s="795"/>
      <c r="P213" s="795"/>
      <c r="Q213" s="798"/>
      <c r="R213" s="795"/>
      <c r="S213" s="795">
        <v>4</v>
      </c>
      <c r="T213" s="523"/>
      <c r="U213" s="795"/>
      <c r="V213" s="795"/>
      <c r="W213" s="795"/>
      <c r="X213" s="795"/>
      <c r="Y213" s="795"/>
      <c r="Z213" s="795"/>
      <c r="AA213" s="795"/>
      <c r="AB213" s="795"/>
      <c r="AC213" s="795"/>
      <c r="AD213" s="795"/>
      <c r="AE213" s="795"/>
      <c r="AF213" s="795"/>
      <c r="AG213" s="795"/>
      <c r="AH213" s="795"/>
      <c r="AI213" s="795"/>
      <c r="AJ213" s="795"/>
      <c r="AK213" s="795"/>
      <c r="AL213" s="795"/>
      <c r="AM213" s="795"/>
      <c r="AN213" s="795"/>
      <c r="AO213" s="799"/>
      <c r="AP213" s="795"/>
      <c r="AQ213" s="795"/>
      <c r="AR213" s="800"/>
      <c r="AS213" s="795"/>
      <c r="AT213" s="795"/>
      <c r="AU213" s="795"/>
      <c r="AV213" s="795"/>
      <c r="AW213" s="795"/>
      <c r="AX213" s="799" t="s">
        <v>143</v>
      </c>
      <c r="AY213" s="799" t="s">
        <v>143</v>
      </c>
      <c r="AZ213" s="795"/>
      <c r="BA213" s="795"/>
      <c r="BB213" s="795"/>
      <c r="BC213" s="523"/>
      <c r="BD213" s="523"/>
      <c r="BE213" s="794"/>
      <c r="BF213" s="795"/>
      <c r="BG213" s="795"/>
      <c r="BH213" s="795"/>
      <c r="BI213" s="795"/>
      <c r="BJ213" s="795"/>
      <c r="BK213" s="795"/>
      <c r="BL213" s="795"/>
      <c r="BM213" s="795"/>
      <c r="BN213" s="795"/>
      <c r="BO213" s="794"/>
      <c r="BP213" s="801"/>
      <c r="BQ213" s="800"/>
      <c r="BR213" s="794"/>
      <c r="BS213" s="472"/>
      <c r="BT213" s="472"/>
      <c r="BU213" s="474"/>
      <c r="BV213" s="472"/>
      <c r="BW213" s="523"/>
      <c r="BX213" s="523"/>
      <c r="BY213" s="523"/>
      <c r="BZ213" s="802" t="str">
        <f>IFERROR(WWWW[[#This Row],['#_Water sources passed]]/WWWW[[#This Row],['#_Water sources tested for fecal coliform ]],"no test")</f>
        <v>no test</v>
      </c>
      <c r="CA213" s="800" t="str">
        <f>IFERROR(WWWW[[#This Row],['#_Household passed]]/WWWW[[#This Row],['#_Household water samples tested for fecal coliform]],"no test")</f>
        <v>no test</v>
      </c>
      <c r="CB213" s="801" t="str">
        <f>IF(AND(WWWW[[#This Row],[% of water sources passed]]="no test",WWWW[[#This Row],[% Household passed]]="no test"),"No Test","Tested")</f>
        <v>No Test</v>
      </c>
      <c r="CC213" s="801">
        <f>WWWW[[#This Row],['#_Constructed/existing protected hand dug well]]-WWWW[[#This Row],['#_Non-functional protected hand dug well]]</f>
        <v>0</v>
      </c>
      <c r="CD213" s="801">
        <f>(WWWW[[#This Row],['#_Constructed/Existing tube wells/boreholes/handpumps_WASH_agency]]+WWWW[[#This Row],['#_Non-Cluster partner water tube-wells/boreholes/handpumps]])-WWWW[[#This Row],['#_Non-functional tube wells/boreholes/handpumps]]</f>
        <v>0</v>
      </c>
      <c r="CE213" s="801">
        <f>WWWW[[#This Row],['#_Constructed/Existingwater storage tank with gravity fed reticulation system]]-WWWW[[#This Row],['#_Non-functional storage tank gravity fed reticulation system]]</f>
        <v>0</v>
      </c>
      <c r="CF213" s="801">
        <f>(WWWW[[#This Row],['#_Water_Liters_supplied_by_Water boating or water trucking]]/90)/15</f>
        <v>0</v>
      </c>
      <c r="CG213" s="801">
        <f>WWWW[[#This Row],['#_Water_Liters_from_Constructed/Existing water distribution system from river or natural spring]]/90/15</f>
        <v>0</v>
      </c>
      <c r="CH213" s="473">
        <f>WWWW[[#This Row],['#_of water points in TLS/CFS /THF]]*500</f>
        <v>0</v>
      </c>
      <c r="CI21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1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13" s="800">
        <f>IF(WWWW[[#This Row],[Location Type 1]]="Village",WWWW[[#This Row],[Access to safe drinking water for Village]],WWWW[[#This Row],[Access to safe drinking water for Camp]])</f>
        <v>0</v>
      </c>
      <c r="CL213" s="798">
        <f>WWWW[[#This Row],[%Equitable and continuous access to sufficient quantity of safe drinking water]]*WWWW[[#This Row],[Total PoP ]]</f>
        <v>0</v>
      </c>
      <c r="CM213" s="800">
        <f>IF((WWWW[[#This Row],['#_Constructed/Existing protected/fenced ponds]]*250)/WWWW[[#This Row],[Total PoP ]]&gt;1,1,(WWWW[[#This Row],['#_Constructed/Existing protected/fenced ponds]]*250)/WWWW[[#This Row],[Total PoP ]])</f>
        <v>0</v>
      </c>
      <c r="CN213" s="798">
        <f>WWWW[[#This Row],[% Access to unimproved water points]]*WWWW[[#This Row],[Total PoP ]]</f>
        <v>0</v>
      </c>
      <c r="CO21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1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13" s="798">
        <f>WWWW[[#This Row],[HRP1]]/500</f>
        <v>0</v>
      </c>
      <c r="CR213" s="803">
        <f>1-WWWW[[#This Row],[% Equitable and continuous access to sufficient quantity of domestic water]]</f>
        <v>1</v>
      </c>
      <c r="CS213" s="798">
        <f>WWWW[[#This Row],[%equitable and continuous access to sufficient quantity of safe drinking and domestic water''s GAP]]*WWWW[[#This Row],[Total PoP ]]</f>
        <v>121</v>
      </c>
      <c r="CT213" s="801">
        <f>IF(WWWW[[#This Row],[Total required water points]]-WWWW[[#This Row],['#Water points coverage]]&lt;0,0,WWWW[[#This Row],[Total required water points]]-WWWW[[#This Row],['#Water points coverage]])</f>
        <v>1</v>
      </c>
      <c r="CU213" s="801">
        <f>ROUND(IF(WWWW[[#This Row],[Total PoP ]]&lt;500,1,WWWW[[#This Row],[Total PoP ]]/500),0)</f>
        <v>1</v>
      </c>
      <c r="CV213" s="801">
        <f>(WWWW[[#This Row],['#_Constructed latrines_by_WASHAgencies]]+WWWW[[#This Row],['#_Non Cluster partner latrines]])-WWWW[[#This Row],['#_Non-functional latrines]]</f>
        <v>0</v>
      </c>
      <c r="CW213" s="804">
        <f>WWWW[[#This Row],[HRP2]]/WWWW[[#This Row],[Total PoP ]]</f>
        <v>0</v>
      </c>
      <c r="CX21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3" s="473">
        <f>IF(WWWW[[#This Row],['# of functional latrines in THF supported by WASH partners during the reporting period2]]="",0,WWWW[[#This Row],['# of functional latrines in THF supported by WASH partners during the reporting period2]]*50)</f>
        <v>0</v>
      </c>
      <c r="DB213" s="473">
        <f>WWWW[[#This Row],['# students access to functioning school latrines_HRP5]]+WWWW[[#This Row],['# People access to functioning latrines in THF_HRP5]]</f>
        <v>0</v>
      </c>
      <c r="DC213" s="801">
        <f>ROUND(IF(WWWW[[#This Row],[Location Type 1]]="camp",WWWW[[#This Row],[Total PoP ]]/20,IF(WWWW[[#This Row],[Location Type 1]]="Temporary Location",WWWW[[#This Row],[Total PoP ]]/50,(WWWW[[#This Row],[Total PoP ]]/6))),0)</f>
        <v>6</v>
      </c>
      <c r="DD213" s="801">
        <f>IF(WWWW[[#This Row],[Total required Latrines]]-(WWWW[[#This Row],['#_Constructed latrines_by_WASHAgencies]]+WWWW[[#This Row],['#_Non Cluster partner latrines]])&lt;0,0,WWWW[[#This Row],[Total required Latrines]]-(WWWW[[#This Row],['#_Constructed latrines_by_WASHAgencies]]+WWWW[[#This Row],['#_Non Cluster partner latrines]]))</f>
        <v>6</v>
      </c>
      <c r="DE213" s="803">
        <f>1-WWWW[[#This Row],[% people access to functioning Latrine]]</f>
        <v>1</v>
      </c>
      <c r="DF213" s="802">
        <f>IF(OR(WWWW[[#This Row],['#_Non-functional latrines]]="",WWWW[[#This Row],['#_Non-functional latrines]]=0),0,WWWW[[#This Row],['#_Non-functional latrines]]/(WWWW[[#This Row],['#_Constructed latrines_by_WASHAgencies]]+WWWW[[#This Row],['#_Non Cluster partner latrines]]))</f>
        <v>0</v>
      </c>
      <c r="DG213" s="798">
        <f>IF(500*(WWWW[[#This Row],['#_male hygiene promoters]]+WWWW[[#This Row],['#_female hygiene promoters]])&gt;WWWW[[#This Row],[Total PoP ]],WWWW[[#This Row],[Total PoP ]],500*(WWWW[[#This Row],['#_male hygiene promoters]]+WWWW[[#This Row],['#_female hygiene promoters]]))</f>
        <v>0</v>
      </c>
      <c r="DH21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3" s="801">
        <f>IF(WWWW[[#This Row],['# People with access to soap]]&gt;WWWW[[#This Row],['# People with access to Sanity Pads]],WWWW[[#This Row],['# People with access to soap]],WWWW[[#This Row],['# People with access to Sanity Pads]])</f>
        <v>0</v>
      </c>
      <c r="DK21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3" s="803">
        <f>IF(WWWW[[#This Row],[HRP3]]/WWWW[[#This Row],[Total PoP ]]&gt;1,1,WWWW[[#This Row],[HRP3]]/WWWW[[#This Row],[Total PoP ]])</f>
        <v>0</v>
      </c>
      <c r="DM213" s="802">
        <f>1-WWWW[[#This Row],[Hygiene Coverage%]]</f>
        <v>1</v>
      </c>
      <c r="DN213" s="800">
        <f>WWWW[[#This Row],['# people reached by regular dedicated hygiene promotion_5]]/WWWW[[#This Row],[Total PoP ]]</f>
        <v>0</v>
      </c>
      <c r="DO21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3" s="801">
        <f>WWWW[[#This Row],['#_Constructed/Existing hand washing stations]]-WWWW[[#This Row],['#_Non-Functional_hand_washing_stations]]</f>
        <v>0</v>
      </c>
      <c r="DR213" s="798">
        <f>IF(WWWW[[#This Row],['# Functional hand washing stations during reporting period]]*20&gt;WWWW[[#This Row],[Total HH]],WWWW[[#This Row],[Total HH]],WWWW[[#This Row],['# Functional hand washing stations during reporting period]]*20)</f>
        <v>0</v>
      </c>
      <c r="DS213" s="798">
        <f>IF(WWWW[[#This Row],[Is sufficient soap available for TLS? (Yes/No)]]="yes",WWWW[[#This Row],['#_Constructed/Existing hand washing stations at TLS]],0)</f>
        <v>0</v>
      </c>
      <c r="DT213" s="479">
        <f>IF(WWWW[[#This Row],['# Functional hand washing stations during reporting period]]*100&gt;WWWW[[#This Row],[Total PoP ]],WWWW[[#This Row],[Total PoP ]],WWWW[[#This Row],['# Functional hand washing stations during reporting period]]*100)</f>
        <v>0</v>
      </c>
      <c r="DU213" s="479" t="str">
        <f>IF(OR(WWWW[[#This Row],['#_students at TLS_CFS]]="",WWWW[[#This Row],['#_students at TLS_CFS]]=0),"No","Yes")</f>
        <v>No</v>
      </c>
      <c r="DV21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3" s="794">
        <f>VLOOKUP(WWWW[[#This Row],[Site Name]],SiteDB6[[Site Name]:[CCCM Management]],6,FALSE)</f>
        <v>0</v>
      </c>
      <c r="DZ213" s="794">
        <f>VLOOKUP(WWWW[[#This Row],[Site Name]],SiteDB6[[Site Name]:[CCCM Focal Agency]],7,FALSE)</f>
        <v>0</v>
      </c>
      <c r="EA213" s="794" t="str">
        <f>VLOOKUP(WWWW[[#This Row],[Site Name]],SiteDB6[[Site Name]:[Location Type 1]],9,FALSE)</f>
        <v>Camp</v>
      </c>
      <c r="EB213" s="794" t="str">
        <f>VLOOKUP(WWWW[[#This Row],[Site Name]],SiteDB6[[Site Name]:[Type of Accommodation]],10,FALSE)</f>
        <v>Camp like setting</v>
      </c>
      <c r="EC213" s="794" t="str">
        <f>VLOOKUP(WWWW[[#This Row],[Site Name]],SiteDB6[[Site Name]:[Ethnic or GCA/NGCA]],11,FALSE)</f>
        <v>NGCA</v>
      </c>
      <c r="ED213" s="794">
        <f>VLOOKUP(WWWW[[#This Row],[Site Name]],SiteDB6[[Site Name]:[Lat]],12,FALSE)</f>
        <v>0</v>
      </c>
      <c r="EE213" s="794">
        <f>VLOOKUP(WWWW[[#This Row],[Site Name]],SiteDB6[[Site Name]:[Long]],13,FALSE)</f>
        <v>0</v>
      </c>
      <c r="EF213" s="794">
        <f>VLOOKUP(WWWW[[#This Row],[Site Name]],SiteDB6[[Site Name]:[Pcode]],3,FALSE)</f>
        <v>0</v>
      </c>
      <c r="EG213" s="799" t="str">
        <f t="shared" si="4"/>
        <v>Covered</v>
      </c>
      <c r="EH213" s="799">
        <f>VLOOKUP(WWWW[[#This Row],[Site Name]],Site_DB!$C$389:$D$1120,2,FALSE)</f>
        <v>0</v>
      </c>
    </row>
    <row r="214" spans="1:138" hidden="1">
      <c r="A214" s="792" t="s">
        <v>3262</v>
      </c>
      <c r="B214" s="792" t="s">
        <v>144</v>
      </c>
      <c r="C214" s="793" t="s">
        <v>144</v>
      </c>
      <c r="D214" s="793" t="s">
        <v>3277</v>
      </c>
      <c r="E214" s="793" t="s">
        <v>39</v>
      </c>
      <c r="F214" s="793" t="s">
        <v>162</v>
      </c>
      <c r="G214" s="721" t="str">
        <f>VLOOKUP(WWWW[[#This Row],[Site Name]],SiteDB6[[Site Name]:[Location Type]],8,FALSE)</f>
        <v>Camp</v>
      </c>
      <c r="H214" s="404" t="s">
        <v>164</v>
      </c>
      <c r="I214" s="795">
        <v>197</v>
      </c>
      <c r="J214" s="795">
        <v>1050</v>
      </c>
      <c r="K214" s="796" t="s">
        <v>3278</v>
      </c>
      <c r="L214" s="797" t="s">
        <v>3279</v>
      </c>
      <c r="M214" s="795"/>
      <c r="N214" s="795"/>
      <c r="O214" s="795"/>
      <c r="P214" s="795"/>
      <c r="Q214" s="798" t="s">
        <v>43</v>
      </c>
      <c r="R214" s="795"/>
      <c r="S214" s="795">
        <v>1</v>
      </c>
      <c r="T214" s="523">
        <v>1</v>
      </c>
      <c r="U214" s="795"/>
      <c r="V214" s="795"/>
      <c r="W214" s="795">
        <v>4</v>
      </c>
      <c r="X214" s="795"/>
      <c r="Y214" s="795"/>
      <c r="Z214" s="795"/>
      <c r="AA214" s="795"/>
      <c r="AB214" s="795"/>
      <c r="AC214" s="795"/>
      <c r="AD214" s="795"/>
      <c r="AE214" s="795"/>
      <c r="AF214" s="795"/>
      <c r="AG214" s="795"/>
      <c r="AH214" s="795">
        <v>5</v>
      </c>
      <c r="AI214" s="795"/>
      <c r="AJ214" s="795"/>
      <c r="AK214" s="795"/>
      <c r="AL214" s="795"/>
      <c r="AM214" s="795"/>
      <c r="AN214" s="795"/>
      <c r="AO214" s="799"/>
      <c r="AP214" s="795">
        <v>43</v>
      </c>
      <c r="AQ214" s="795"/>
      <c r="AR214" s="800"/>
      <c r="AS214" s="795"/>
      <c r="AT214" s="795"/>
      <c r="AU214" s="795"/>
      <c r="AV214" s="795"/>
      <c r="AW214" s="795">
        <v>43</v>
      </c>
      <c r="AX214" s="794" t="s">
        <v>43</v>
      </c>
      <c r="AY214" s="799" t="s">
        <v>140</v>
      </c>
      <c r="AZ214" s="795"/>
      <c r="BA214" s="795"/>
      <c r="BB214" s="795"/>
      <c r="BC214" s="523"/>
      <c r="BD214" s="523"/>
      <c r="BE214" s="794"/>
      <c r="BF214" s="795">
        <v>6</v>
      </c>
      <c r="BG214" s="795"/>
      <c r="BH214" s="795"/>
      <c r="BI214" s="795">
        <v>3</v>
      </c>
      <c r="BJ214" s="795"/>
      <c r="BK214" s="795"/>
      <c r="BL214" s="795">
        <v>5</v>
      </c>
      <c r="BM214" s="795"/>
      <c r="BN214" s="795"/>
      <c r="BO214" s="794"/>
      <c r="BP214" s="801"/>
      <c r="BQ214" s="800"/>
      <c r="BR214" s="794"/>
      <c r="BS214" s="472"/>
      <c r="BT214" s="472"/>
      <c r="BU214" s="474"/>
      <c r="BV214" s="472"/>
      <c r="BW214" s="523"/>
      <c r="BX214" s="523"/>
      <c r="BY214" s="523"/>
      <c r="BZ214" s="802" t="str">
        <f>IFERROR(WWWW[[#This Row],['#_Water sources passed]]/WWWW[[#This Row],['#_Water sources tested for fecal coliform ]],"no test")</f>
        <v>no test</v>
      </c>
      <c r="CA214" s="800" t="str">
        <f>IFERROR(WWWW[[#This Row],['#_Household passed]]/WWWW[[#This Row],['#_Household water samples tested for fecal coliform]],"no test")</f>
        <v>no test</v>
      </c>
      <c r="CB214" s="801" t="str">
        <f>IF(AND(WWWW[[#This Row],[% of water sources passed]]="no test",WWWW[[#This Row],[% Household passed]]="no test"),"No Test","Tested")</f>
        <v>No Test</v>
      </c>
      <c r="CC214" s="801">
        <f>WWWW[[#This Row],['#_Constructed/existing protected hand dug well]]-WWWW[[#This Row],['#_Non-functional protected hand dug well]]</f>
        <v>1</v>
      </c>
      <c r="CD214" s="801">
        <f>(WWWW[[#This Row],['#_Constructed/Existing tube wells/boreholes/handpumps_WASH_agency]]+WWWW[[#This Row],['#_Non-Cluster partner water tube-wells/boreholes/handpumps]])-WWWW[[#This Row],['#_Non-functional tube wells/boreholes/handpumps]]</f>
        <v>4</v>
      </c>
      <c r="CE214" s="801">
        <f>WWWW[[#This Row],['#_Constructed/Existingwater storage tank with gravity fed reticulation system]]-WWWW[[#This Row],['#_Non-functional storage tank gravity fed reticulation system]]</f>
        <v>0</v>
      </c>
      <c r="CF214" s="801">
        <f>(WWWW[[#This Row],['#_Water_Liters_supplied_by_Water boating or water trucking]]/90)/15</f>
        <v>0</v>
      </c>
      <c r="CG214" s="801">
        <f>WWWW[[#This Row],['#_Water_Liters_from_Constructed/Existing water distribution system from river or natural spring]]/90/15</f>
        <v>0</v>
      </c>
      <c r="CH214" s="473">
        <f>WWWW[[#This Row],['#_of water points in TLS/CFS /THF]]*500</f>
        <v>0</v>
      </c>
      <c r="CI21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4" s="800">
        <f>IF(WWWW[[#This Row],[Location Type 1]]="Village",WWWW[[#This Row],[Access to safe drinking water for Village]],WWWW[[#This Row],[Access to safe drinking water for Camp]])</f>
        <v>1</v>
      </c>
      <c r="CL214" s="798">
        <f>WWWW[[#This Row],[%Equitable and continuous access to sufficient quantity of safe drinking water]]*WWWW[[#This Row],[Total PoP ]]</f>
        <v>1050</v>
      </c>
      <c r="CM214" s="800">
        <f>IF((WWWW[[#This Row],['#_Constructed/Existing protected/fenced ponds]]*250)/WWWW[[#This Row],[Total PoP ]]&gt;1,1,(WWWW[[#This Row],['#_Constructed/Existing protected/fenced ponds]]*250)/WWWW[[#This Row],[Total PoP ]])</f>
        <v>0</v>
      </c>
      <c r="CN214" s="798">
        <f>WWWW[[#This Row],[% Access to unimproved water points]]*WWWW[[#This Row],[Total PoP ]]</f>
        <v>0</v>
      </c>
      <c r="CO21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Q214" s="798">
        <f>WWWW[[#This Row],[HRP1]]/500</f>
        <v>2.1</v>
      </c>
      <c r="CR214" s="803">
        <f>1-WWWW[[#This Row],[% Equitable and continuous access to sufficient quantity of domestic water]]</f>
        <v>0</v>
      </c>
      <c r="CS214" s="798">
        <f>WWWW[[#This Row],[%equitable and continuous access to sufficient quantity of safe drinking and domestic water''s GAP]]*WWWW[[#This Row],[Total PoP ]]</f>
        <v>0</v>
      </c>
      <c r="CT214" s="801">
        <f>IF(WWWW[[#This Row],[Total required water points]]-WWWW[[#This Row],['#Water points coverage]]&lt;0,0,WWWW[[#This Row],[Total required water points]]-WWWW[[#This Row],['#Water points coverage]])</f>
        <v>0</v>
      </c>
      <c r="CU214" s="801">
        <f>ROUND(IF(WWWW[[#This Row],[Total PoP ]]&lt;500,1,WWWW[[#This Row],[Total PoP ]]/500),0)</f>
        <v>2</v>
      </c>
      <c r="CV214" s="801">
        <f>(WWWW[[#This Row],['#_Constructed latrines_by_WASHAgencies]]+WWWW[[#This Row],['#_Non Cluster partner latrines]])-WWWW[[#This Row],['#_Non-functional latrines]]</f>
        <v>43</v>
      </c>
      <c r="CW214" s="804">
        <f>WWWW[[#This Row],[HRP2]]/WWWW[[#This Row],[Total PoP ]]</f>
        <v>0.81904761904761902</v>
      </c>
      <c r="CX21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CY21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4" s="473">
        <f>IF(WWWW[[#This Row],['# of functional latrines in THF supported by WASH partners during the reporting period2]]="",0,WWWW[[#This Row],['# of functional latrines in THF supported by WASH partners during the reporting period2]]*50)</f>
        <v>0</v>
      </c>
      <c r="DB214" s="473">
        <f>WWWW[[#This Row],['# students access to functioning school latrines_HRP5]]+WWWW[[#This Row],['# People access to functioning latrines in THF_HRP5]]</f>
        <v>0</v>
      </c>
      <c r="DC214" s="801">
        <f>ROUND(IF(WWWW[[#This Row],[Location Type 1]]="camp",WWWW[[#This Row],[Total PoP ]]/20,IF(WWWW[[#This Row],[Location Type 1]]="Temporary Location",WWWW[[#This Row],[Total PoP ]]/50,(WWWW[[#This Row],[Total PoP ]]/6))),0)</f>
        <v>53</v>
      </c>
      <c r="DD214" s="801">
        <f>IF(WWWW[[#This Row],[Total required Latrines]]-(WWWW[[#This Row],['#_Constructed latrines_by_WASHAgencies]]+WWWW[[#This Row],['#_Non Cluster partner latrines]])&lt;0,0,WWWW[[#This Row],[Total required Latrines]]-(WWWW[[#This Row],['#_Constructed latrines_by_WASHAgencies]]+WWWW[[#This Row],['#_Non Cluster partner latrines]]))</f>
        <v>10</v>
      </c>
      <c r="DE214" s="803">
        <f>1-WWWW[[#This Row],[% people access to functioning Latrine]]</f>
        <v>0.18095238095238098</v>
      </c>
      <c r="DF214" s="802">
        <f>IF(OR(WWWW[[#This Row],['#_Non-functional latrines]]="",WWWW[[#This Row],['#_Non-functional latrines]]=0),0,WWWW[[#This Row],['#_Non-functional latrines]]/(WWWW[[#This Row],['#_Constructed latrines_by_WASHAgencies]]+WWWW[[#This Row],['#_Non Cluster partner latrines]]))</f>
        <v>0</v>
      </c>
      <c r="DG214" s="798">
        <f>IF(500*(WWWW[[#This Row],['#_male hygiene promoters]]+WWWW[[#This Row],['#_female hygiene promoters]])&gt;WWWW[[#This Row],[Total PoP ]],WWWW[[#This Row],[Total PoP ]],500*(WWWW[[#This Row],['#_male hygiene promoters]]+WWWW[[#This Row],['#_female hygiene promoters]]))</f>
        <v>1050</v>
      </c>
      <c r="DH21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4" s="801">
        <f>IF(WWWW[[#This Row],['# People with access to soap]]&gt;WWWW[[#This Row],['# People with access to Sanity Pads]],WWWW[[#This Row],['# People with access to soap]],WWWW[[#This Row],['# People with access to Sanity Pads]])</f>
        <v>0</v>
      </c>
      <c r="DK214" s="801">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L214" s="803">
        <f>IF(WWWW[[#This Row],[HRP3]]/WWWW[[#This Row],[Total PoP ]]&gt;1,1,WWWW[[#This Row],[HRP3]]/WWWW[[#This Row],[Total PoP ]])</f>
        <v>1</v>
      </c>
      <c r="DM214" s="802">
        <f>1-WWWW[[#This Row],[Hygiene Coverage%]]</f>
        <v>0</v>
      </c>
      <c r="DN214" s="800">
        <f>WWWW[[#This Row],['# people reached by regular dedicated hygiene promotion_5]]/WWWW[[#This Row],[Total PoP ]]</f>
        <v>1</v>
      </c>
      <c r="DO21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4" s="801">
        <f>WWWW[[#This Row],['#_Constructed/Existing hand washing stations]]-WWWW[[#This Row],['#_Non-Functional_hand_washing_stations]]</f>
        <v>6</v>
      </c>
      <c r="DR214" s="798">
        <f>IF(WWWW[[#This Row],['# Functional hand washing stations during reporting period]]*20&gt;WWWW[[#This Row],[Total HH]],WWWW[[#This Row],[Total HH]],WWWW[[#This Row],['# Functional hand washing stations during reporting period]]*20)</f>
        <v>120</v>
      </c>
      <c r="DS214" s="798">
        <f>IF(WWWW[[#This Row],[Is sufficient soap available for TLS? (Yes/No)]]="yes",WWWW[[#This Row],['#_Constructed/Existing hand washing stations at TLS]],0)</f>
        <v>0</v>
      </c>
      <c r="DT214" s="479">
        <f>IF(WWWW[[#This Row],['# Functional hand washing stations during reporting period]]*100&gt;WWWW[[#This Row],[Total PoP ]],WWWW[[#This Row],[Total PoP ]],WWWW[[#This Row],['# Functional hand washing stations during reporting period]]*100)</f>
        <v>600</v>
      </c>
      <c r="DU214" s="479" t="str">
        <f>IF(OR(WWWW[[#This Row],['#_students at TLS_CFS]]="",WWWW[[#This Row],['#_students at TLS_CFS]]=0),"No","Yes")</f>
        <v>No</v>
      </c>
      <c r="DV21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4" s="794" t="str">
        <f>VLOOKUP(WWWW[[#This Row],[Site Name]],SiteDB6[[Site Name]:[CCCM Management]],6,FALSE)</f>
        <v>Yes</v>
      </c>
      <c r="DZ214" s="794" t="str">
        <f>VLOOKUP(WWWW[[#This Row],[Site Name]],SiteDB6[[Site Name]:[CCCM Focal Agency]],7,FALSE)</f>
        <v>KBC-MYT</v>
      </c>
      <c r="EA214" s="794" t="str">
        <f>VLOOKUP(WWWW[[#This Row],[Site Name]],SiteDB6[[Site Name]:[Location Type 1]],9,FALSE)</f>
        <v>Camp</v>
      </c>
      <c r="EB214" s="794" t="str">
        <f>VLOOKUP(WWWW[[#This Row],[Site Name]],SiteDB6[[Site Name]:[Type of Accommodation]],10,FALSE)</f>
        <v>Camp</v>
      </c>
      <c r="EC214" s="794" t="str">
        <f>VLOOKUP(WWWW[[#This Row],[Site Name]],SiteDB6[[Site Name]:[Ethnic or GCA/NGCA]],11,FALSE)</f>
        <v>GCA</v>
      </c>
      <c r="ED214" s="794">
        <f>VLOOKUP(WWWW[[#This Row],[Site Name]],SiteDB6[[Site Name]:[Lat]],12,FALSE)</f>
        <v>25.397850999999999</v>
      </c>
      <c r="EE214" s="794">
        <f>VLOOKUP(WWWW[[#This Row],[Site Name]],SiteDB6[[Site Name]:[Long]],13,FALSE)</f>
        <v>97.370900000000006</v>
      </c>
      <c r="EF214" s="794" t="str">
        <f>VLOOKUP(WWWW[[#This Row],[Site Name]],SiteDB6[[Site Name]:[Pcode]],3,FALSE)</f>
        <v>MMR001CMP018</v>
      </c>
      <c r="EG214" s="799" t="str">
        <f t="shared" si="4"/>
        <v>Covered</v>
      </c>
      <c r="EH214" s="799" t="str">
        <f>VLOOKUP(WWWW[[#This Row],[Site Name]],Site_DB!$C$389:$D$1120,2,FALSE)</f>
        <v>cccm_2019OCT</v>
      </c>
    </row>
    <row r="215" spans="1:138" hidden="1">
      <c r="A215" s="792" t="s">
        <v>3262</v>
      </c>
      <c r="B215" s="792" t="s">
        <v>38</v>
      </c>
      <c r="C215" s="793" t="s">
        <v>38</v>
      </c>
      <c r="D215" s="404" t="s">
        <v>3372</v>
      </c>
      <c r="E215" s="793" t="s">
        <v>39</v>
      </c>
      <c r="F215" s="793" t="s">
        <v>162</v>
      </c>
      <c r="G215" s="721" t="str">
        <f>VLOOKUP(WWWW[[#This Row],[Site Name]],SiteDB6[[Site Name]:[Location Type]],8,FALSE)</f>
        <v>Camp</v>
      </c>
      <c r="H215" s="404" t="s">
        <v>236</v>
      </c>
      <c r="I215" s="795">
        <v>90</v>
      </c>
      <c r="J215" s="795">
        <v>430</v>
      </c>
      <c r="K215" s="407" t="s">
        <v>3619</v>
      </c>
      <c r="L215" s="56" t="s">
        <v>3620</v>
      </c>
      <c r="M215" s="809">
        <v>11</v>
      </c>
      <c r="N215" s="795"/>
      <c r="O215" s="795"/>
      <c r="P215" s="795"/>
      <c r="Q215" s="798" t="s">
        <v>43</v>
      </c>
      <c r="R215" s="795"/>
      <c r="S215" s="795"/>
      <c r="T215" s="523">
        <v>1</v>
      </c>
      <c r="U215" s="795"/>
      <c r="V215" s="795"/>
      <c r="W215" s="795"/>
      <c r="X215" s="795"/>
      <c r="Y215" s="795"/>
      <c r="Z215" s="795"/>
      <c r="AA215" s="795"/>
      <c r="AB215" s="795"/>
      <c r="AC215" s="795"/>
      <c r="AD215" s="795"/>
      <c r="AE215" s="795"/>
      <c r="AF215" s="795"/>
      <c r="AG215" s="795"/>
      <c r="AH215" s="795"/>
      <c r="AI215" s="795">
        <v>1</v>
      </c>
      <c r="AJ215" s="795">
        <v>1</v>
      </c>
      <c r="AK215" s="795"/>
      <c r="AL215" s="795"/>
      <c r="AM215" s="795">
        <v>1</v>
      </c>
      <c r="AN215" s="795"/>
      <c r="AO215" s="799"/>
      <c r="AP215" s="795">
        <v>22</v>
      </c>
      <c r="AQ215" s="795"/>
      <c r="AR215" s="800"/>
      <c r="AS215" s="795"/>
      <c r="AT215" s="795"/>
      <c r="AU215" s="795"/>
      <c r="AV215" s="795"/>
      <c r="AW215" s="795"/>
      <c r="AX215" s="794" t="s">
        <v>43</v>
      </c>
      <c r="AY215" s="799" t="s">
        <v>140</v>
      </c>
      <c r="AZ215" s="795">
        <v>1</v>
      </c>
      <c r="BA215" s="795"/>
      <c r="BB215" s="795"/>
      <c r="BC215" s="523"/>
      <c r="BD215" s="523"/>
      <c r="BE215" s="794"/>
      <c r="BF215" s="795"/>
      <c r="BG215" s="795"/>
      <c r="BH215" s="795"/>
      <c r="BI215" s="795">
        <v>3</v>
      </c>
      <c r="BJ215" s="795"/>
      <c r="BK215" s="795"/>
      <c r="BL215" s="795">
        <v>2</v>
      </c>
      <c r="BM215" s="795"/>
      <c r="BN215" s="795"/>
      <c r="BO215" s="794"/>
      <c r="BP215" s="801"/>
      <c r="BQ215" s="800"/>
      <c r="BR215" s="794"/>
      <c r="BS215" s="472"/>
      <c r="BT215" s="472"/>
      <c r="BU215" s="523"/>
      <c r="BV215" s="472"/>
      <c r="BW215" s="523"/>
      <c r="BX215" s="523"/>
      <c r="BY215" s="523"/>
      <c r="BZ215" s="802">
        <f>IFERROR(WWWW[[#This Row],['#_Water sources passed]]/WWWW[[#This Row],['#_Water sources tested for fecal coliform ]],"no test")</f>
        <v>1</v>
      </c>
      <c r="CA215" s="800" t="str">
        <f>IFERROR(WWWW[[#This Row],['#_Household passed]]/WWWW[[#This Row],['#_Household water samples tested for fecal coliform]],"no test")</f>
        <v>no test</v>
      </c>
      <c r="CB215" s="801" t="str">
        <f>IF(AND(WWWW[[#This Row],[% of water sources passed]]="no test",WWWW[[#This Row],[% Household passed]]="no test"),"No Test","Tested")</f>
        <v>Tested</v>
      </c>
      <c r="CC215" s="801">
        <f>WWWW[[#This Row],['#_Constructed/existing protected hand dug well]]-WWWW[[#This Row],['#_Non-functional protected hand dug well]]</f>
        <v>1</v>
      </c>
      <c r="CD215" s="801">
        <f>(WWWW[[#This Row],['#_Constructed/Existing tube wells/boreholes/handpumps_WASH_agency]]+WWWW[[#This Row],['#_Non-Cluster partner water tube-wells/boreholes/handpumps]])-WWWW[[#This Row],['#_Non-functional tube wells/boreholes/handpumps]]</f>
        <v>0</v>
      </c>
      <c r="CE215" s="801">
        <f>WWWW[[#This Row],['#_Constructed/Existingwater storage tank with gravity fed reticulation system]]-WWWW[[#This Row],['#_Non-functional storage tank gravity fed reticulation system]]</f>
        <v>0</v>
      </c>
      <c r="CF215" s="801">
        <f>(WWWW[[#This Row],['#_Water_Liters_supplied_by_Water boating or water trucking]]/90)/15</f>
        <v>0</v>
      </c>
      <c r="CG215" s="801">
        <f>WWWW[[#This Row],['#_Water_Liters_from_Constructed/Existing water distribution system from river or natural spring]]/90/15</f>
        <v>0</v>
      </c>
      <c r="CH215" s="473">
        <f>WWWW[[#This Row],['#_of water points in TLS/CFS /THF]]*500</f>
        <v>0</v>
      </c>
      <c r="CI21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0.93023255813953487</v>
      </c>
      <c r="CJ21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0.58139534883720934</v>
      </c>
      <c r="CK215" s="800">
        <f>IF(WWWW[[#This Row],[Location Type 1]]="Village",WWWW[[#This Row],[Access to safe drinking water for Village]],WWWW[[#This Row],[Access to safe drinking water for Camp]])</f>
        <v>0.93023255813953487</v>
      </c>
      <c r="CL215" s="798">
        <f>WWWW[[#This Row],[%Equitable and continuous access to sufficient quantity of safe drinking water]]*WWWW[[#This Row],[Total PoP ]]</f>
        <v>400</v>
      </c>
      <c r="CM215" s="800">
        <f>IF((WWWW[[#This Row],['#_Constructed/Existing protected/fenced ponds]]*250)/WWWW[[#This Row],[Total PoP ]]&gt;1,1,(WWWW[[#This Row],['#_Constructed/Existing protected/fenced ponds]]*250)/WWWW[[#This Row],[Total PoP ]])</f>
        <v>0</v>
      </c>
      <c r="CN215" s="798">
        <f>WWWW[[#This Row],[% Access to unimproved water points]]*WWWW[[#This Row],[Total PoP ]]</f>
        <v>0</v>
      </c>
      <c r="CO21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P21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15" s="798">
        <f>WWWW[[#This Row],[HRP1]]/500</f>
        <v>0.8</v>
      </c>
      <c r="CR215" s="803">
        <f>1-WWWW[[#This Row],[% Equitable and continuous access to sufficient quantity of domestic water]]</f>
        <v>6.9767441860465129E-2</v>
      </c>
      <c r="CS215" s="798">
        <f>WWWW[[#This Row],[%equitable and continuous access to sufficient quantity of safe drinking and domestic water''s GAP]]*WWWW[[#This Row],[Total PoP ]]</f>
        <v>30.000000000000007</v>
      </c>
      <c r="CT215" s="801">
        <f>IF(WWWW[[#This Row],[Total required water points]]-WWWW[[#This Row],['#Water points coverage]]&lt;0,0,WWWW[[#This Row],[Total required water points]]-WWWW[[#This Row],['#Water points coverage]])</f>
        <v>0.19999999999999996</v>
      </c>
      <c r="CU215" s="801">
        <f>ROUND(IF(WWWW[[#This Row],[Total PoP ]]&lt;500,1,WWWW[[#This Row],[Total PoP ]]/500),0)</f>
        <v>1</v>
      </c>
      <c r="CV215" s="801">
        <f>(WWWW[[#This Row],['#_Constructed latrines_by_WASHAgencies]]+WWWW[[#This Row],['#_Non Cluster partner latrines]])-WWWW[[#This Row],['#_Non-functional latrines]]</f>
        <v>22</v>
      </c>
      <c r="CW215" s="804">
        <f>WWWW[[#This Row],[HRP2]]/WWWW[[#This Row],[Total PoP ]]</f>
        <v>1</v>
      </c>
      <c r="CX21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430</v>
      </c>
      <c r="CY21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5" s="473">
        <f>IF(WWWW[[#This Row],['# of functional latrines in THF supported by WASH partners during the reporting period2]]="",0,WWWW[[#This Row],['# of functional latrines in THF supported by WASH partners during the reporting period2]]*50)</f>
        <v>0</v>
      </c>
      <c r="DB215" s="473">
        <f>WWWW[[#This Row],['# students access to functioning school latrines_HRP5]]+WWWW[[#This Row],['# People access to functioning latrines in THF_HRP5]]</f>
        <v>0</v>
      </c>
      <c r="DC215" s="801">
        <f>ROUND(IF(WWWW[[#This Row],[Location Type 1]]="camp",WWWW[[#This Row],[Total PoP ]]/20,IF(WWWW[[#This Row],[Location Type 1]]="Temporary Location",WWWW[[#This Row],[Total PoP ]]/50,(WWWW[[#This Row],[Total PoP ]]/6))),0)</f>
        <v>22</v>
      </c>
      <c r="DD215" s="801">
        <f>IF(WWWW[[#This Row],[Total required Latrines]]-(WWWW[[#This Row],['#_Constructed latrines_by_WASHAgencies]]+WWWW[[#This Row],['#_Non Cluster partner latrines]])&lt;0,0,WWWW[[#This Row],[Total required Latrines]]-(WWWW[[#This Row],['#_Constructed latrines_by_WASHAgencies]]+WWWW[[#This Row],['#_Non Cluster partner latrines]]))</f>
        <v>0</v>
      </c>
      <c r="DE215" s="803">
        <f>1-WWWW[[#This Row],[% people access to functioning Latrine]]</f>
        <v>0</v>
      </c>
      <c r="DF215" s="802">
        <f>IF(OR(WWWW[[#This Row],['#_Non-functional latrines]]="",WWWW[[#This Row],['#_Non-functional latrines]]=0),0,WWWW[[#This Row],['#_Non-functional latrines]]/(WWWW[[#This Row],['#_Constructed latrines_by_WASHAgencies]]+WWWW[[#This Row],['#_Non Cluster partner latrines]]))</f>
        <v>0</v>
      </c>
      <c r="DG215" s="798">
        <f>IF(500*(WWWW[[#This Row],['#_male hygiene promoters]]+WWWW[[#This Row],['#_female hygiene promoters]])&gt;WWWW[[#This Row],[Total PoP ]],WWWW[[#This Row],[Total PoP ]],500*(WWWW[[#This Row],['#_male hygiene promoters]]+WWWW[[#This Row],['#_female hygiene promoters]]))</f>
        <v>430</v>
      </c>
      <c r="DH21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5" s="801">
        <f>IF(WWWW[[#This Row],['# People with access to soap]]&gt;WWWW[[#This Row],['# People with access to Sanity Pads]],WWWW[[#This Row],['# People with access to soap]],WWWW[[#This Row],['# People with access to Sanity Pads]])</f>
        <v>0</v>
      </c>
      <c r="DK215" s="801">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L215" s="803">
        <f>IF(WWWW[[#This Row],[HRP3]]/WWWW[[#This Row],[Total PoP ]]&gt;1,1,WWWW[[#This Row],[HRP3]]/WWWW[[#This Row],[Total PoP ]])</f>
        <v>1</v>
      </c>
      <c r="DM215" s="802">
        <f>1-WWWW[[#This Row],[Hygiene Coverage%]]</f>
        <v>0</v>
      </c>
      <c r="DN215" s="800">
        <f>WWWW[[#This Row],['# people reached by regular dedicated hygiene promotion_5]]/WWWW[[#This Row],[Total PoP ]]</f>
        <v>1</v>
      </c>
      <c r="DO21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5" s="801">
        <f>WWWW[[#This Row],['#_Constructed/Existing hand washing stations]]-WWWW[[#This Row],['#_Non-Functional_hand_washing_stations]]</f>
        <v>0</v>
      </c>
      <c r="DR215" s="798">
        <f>IF(WWWW[[#This Row],['# Functional hand washing stations during reporting period]]*20&gt;WWWW[[#This Row],[Total HH]],WWWW[[#This Row],[Total HH]],WWWW[[#This Row],['# Functional hand washing stations during reporting period]]*20)</f>
        <v>0</v>
      </c>
      <c r="DS215" s="798">
        <f>IF(WWWW[[#This Row],[Is sufficient soap available for TLS? (Yes/No)]]="yes",WWWW[[#This Row],['#_Constructed/Existing hand washing stations at TLS]],0)</f>
        <v>0</v>
      </c>
      <c r="DT215" s="479">
        <f>IF(WWWW[[#This Row],['# Functional hand washing stations during reporting period]]*100&gt;WWWW[[#This Row],[Total PoP ]],WWWW[[#This Row],[Total PoP ]],WWWW[[#This Row],['# Functional hand washing stations during reporting period]]*100)</f>
        <v>0</v>
      </c>
      <c r="DU215" s="479" t="str">
        <f>IF(OR(WWWW[[#This Row],['#_students at TLS_CFS]]="",WWWW[[#This Row],['#_students at TLS_CFS]]=0),"No","Yes")</f>
        <v>Yes</v>
      </c>
      <c r="DV21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5" s="794" t="str">
        <f>VLOOKUP(WWWW[[#This Row],[Site Name]],SiteDB6[[Site Name]:[CCCM Management]],6,FALSE)</f>
        <v>Yes</v>
      </c>
      <c r="DZ215" s="794" t="str">
        <f>VLOOKUP(WWWW[[#This Row],[Site Name]],SiteDB6[[Site Name]:[CCCM Focal Agency]],7,FALSE)</f>
        <v>KMSS-MYT</v>
      </c>
      <c r="EA215" s="794" t="str">
        <f>VLOOKUP(WWWW[[#This Row],[Site Name]],SiteDB6[[Site Name]:[Location Type 1]],9,FALSE)</f>
        <v>Camp</v>
      </c>
      <c r="EB215" s="794" t="str">
        <f>VLOOKUP(WWWW[[#This Row],[Site Name]],SiteDB6[[Site Name]:[Type of Accommodation]],10,FALSE)</f>
        <v>Camp</v>
      </c>
      <c r="EC215" s="794" t="str">
        <f>VLOOKUP(WWWW[[#This Row],[Site Name]],SiteDB6[[Site Name]:[Ethnic or GCA/NGCA]],11,FALSE)</f>
        <v>GCA</v>
      </c>
      <c r="ED215" s="794">
        <f>VLOOKUP(WWWW[[#This Row],[Site Name]],SiteDB6[[Site Name]:[Lat]],12,FALSE)</f>
        <v>25.403476999999999</v>
      </c>
      <c r="EE215" s="794">
        <f>VLOOKUP(WWWW[[#This Row],[Site Name]],SiteDB6[[Site Name]:[Long]],13,FALSE)</f>
        <v>97.373361000000003</v>
      </c>
      <c r="EF215" s="794" t="str">
        <f>VLOOKUP(WWWW[[#This Row],[Site Name]],SiteDB6[[Site Name]:[Pcode]],3,FALSE)</f>
        <v>MMR001CMP019</v>
      </c>
      <c r="EG215" s="799" t="str">
        <f t="shared" si="4"/>
        <v>Covered</v>
      </c>
      <c r="EH215" s="799" t="str">
        <f>VLOOKUP(WWWW[[#This Row],[Site Name]],Site_DB!$C$389:$D$1120,2,FALSE)</f>
        <v>cccm_2019OCT</v>
      </c>
    </row>
    <row r="216" spans="1:138" hidden="1">
      <c r="A216" s="792" t="s">
        <v>3262</v>
      </c>
      <c r="B216" s="792" t="s">
        <v>144</v>
      </c>
      <c r="C216" s="793" t="s">
        <v>144</v>
      </c>
      <c r="D216" s="793" t="s">
        <v>3277</v>
      </c>
      <c r="E216" s="793" t="s">
        <v>39</v>
      </c>
      <c r="F216" s="793" t="s">
        <v>155</v>
      </c>
      <c r="G216" s="721" t="str">
        <f>VLOOKUP(WWWW[[#This Row],[Site Name]],SiteDB6[[Site Name]:[Location Type]],8,FALSE)</f>
        <v>Camp</v>
      </c>
      <c r="H216" s="793" t="s">
        <v>156</v>
      </c>
      <c r="I216" s="795">
        <v>13</v>
      </c>
      <c r="J216" s="795">
        <v>66</v>
      </c>
      <c r="K216" s="796" t="s">
        <v>3278</v>
      </c>
      <c r="L216" s="797" t="s">
        <v>3279</v>
      </c>
      <c r="M216" s="795"/>
      <c r="N216" s="795"/>
      <c r="O216" s="795"/>
      <c r="P216" s="795"/>
      <c r="Q216" s="798" t="s">
        <v>43</v>
      </c>
      <c r="R216" s="795"/>
      <c r="S216" s="795">
        <v>3</v>
      </c>
      <c r="T216" s="523">
        <v>0</v>
      </c>
      <c r="U216" s="795"/>
      <c r="V216" s="795"/>
      <c r="W216" s="795">
        <v>1</v>
      </c>
      <c r="X216" s="795"/>
      <c r="Y216" s="795"/>
      <c r="Z216" s="795"/>
      <c r="AA216" s="795"/>
      <c r="AB216" s="795"/>
      <c r="AC216" s="795"/>
      <c r="AD216" s="795"/>
      <c r="AE216" s="795"/>
      <c r="AF216" s="795"/>
      <c r="AG216" s="795"/>
      <c r="AH216" s="795">
        <v>2</v>
      </c>
      <c r="AI216" s="795"/>
      <c r="AJ216" s="795"/>
      <c r="AK216" s="795"/>
      <c r="AL216" s="795"/>
      <c r="AM216" s="795"/>
      <c r="AN216" s="795"/>
      <c r="AO216" s="799"/>
      <c r="AP216" s="795">
        <v>6</v>
      </c>
      <c r="AQ216" s="795"/>
      <c r="AR216" s="800"/>
      <c r="AS216" s="795"/>
      <c r="AT216" s="795"/>
      <c r="AU216" s="795"/>
      <c r="AV216" s="795"/>
      <c r="AW216" s="795">
        <v>6</v>
      </c>
      <c r="AX216" s="794" t="s">
        <v>43</v>
      </c>
      <c r="AY216" s="799" t="s">
        <v>1195</v>
      </c>
      <c r="AZ216" s="795"/>
      <c r="BA216" s="795"/>
      <c r="BB216" s="795"/>
      <c r="BC216" s="523"/>
      <c r="BD216" s="523"/>
      <c r="BE216" s="794"/>
      <c r="BF216" s="795">
        <v>2</v>
      </c>
      <c r="BG216" s="795"/>
      <c r="BH216" s="795"/>
      <c r="BI216" s="795">
        <v>2</v>
      </c>
      <c r="BJ216" s="795"/>
      <c r="BK216" s="795"/>
      <c r="BL216" s="795">
        <v>1</v>
      </c>
      <c r="BM216" s="795"/>
      <c r="BN216" s="795"/>
      <c r="BO216" s="794"/>
      <c r="BP216" s="801"/>
      <c r="BQ216" s="800"/>
      <c r="BR216" s="794"/>
      <c r="BS216" s="472"/>
      <c r="BT216" s="472"/>
      <c r="BU216" s="474"/>
      <c r="BV216" s="472"/>
      <c r="BW216" s="523"/>
      <c r="BX216" s="523"/>
      <c r="BY216" s="523"/>
      <c r="BZ216" s="802" t="str">
        <f>IFERROR(WWWW[[#This Row],['#_Water sources passed]]/WWWW[[#This Row],['#_Water sources tested for fecal coliform ]],"no test")</f>
        <v>no test</v>
      </c>
      <c r="CA216" s="800" t="str">
        <f>IFERROR(WWWW[[#This Row],['#_Household passed]]/WWWW[[#This Row],['#_Household water samples tested for fecal coliform]],"no test")</f>
        <v>no test</v>
      </c>
      <c r="CB216" s="801" t="str">
        <f>IF(AND(WWWW[[#This Row],[% of water sources passed]]="no test",WWWW[[#This Row],[% Household passed]]="no test"),"No Test","Tested")</f>
        <v>No Test</v>
      </c>
      <c r="CC216" s="801">
        <f>WWWW[[#This Row],['#_Constructed/existing protected hand dug well]]-WWWW[[#This Row],['#_Non-functional protected hand dug well]]</f>
        <v>0</v>
      </c>
      <c r="CD216" s="801">
        <f>(WWWW[[#This Row],['#_Constructed/Existing tube wells/boreholes/handpumps_WASH_agency]]+WWWW[[#This Row],['#_Non-Cluster partner water tube-wells/boreholes/handpumps]])-WWWW[[#This Row],['#_Non-functional tube wells/boreholes/handpumps]]</f>
        <v>1</v>
      </c>
      <c r="CE216" s="801">
        <f>WWWW[[#This Row],['#_Constructed/Existingwater storage tank with gravity fed reticulation system]]-WWWW[[#This Row],['#_Non-functional storage tank gravity fed reticulation system]]</f>
        <v>0</v>
      </c>
      <c r="CF216" s="801">
        <f>(WWWW[[#This Row],['#_Water_Liters_supplied_by_Water boating or water trucking]]/90)/15</f>
        <v>0</v>
      </c>
      <c r="CG216" s="801">
        <f>WWWW[[#This Row],['#_Water_Liters_from_Constructed/Existing water distribution system from river or natural spring]]/90/15</f>
        <v>0</v>
      </c>
      <c r="CH216" s="473">
        <f>WWWW[[#This Row],['#_of water points in TLS/CFS /THF]]*500</f>
        <v>0</v>
      </c>
      <c r="CI21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6" s="800">
        <f>IF(WWWW[[#This Row],[Location Type 1]]="Village",WWWW[[#This Row],[Access to safe drinking water for Village]],WWWW[[#This Row],[Access to safe drinking water for Camp]])</f>
        <v>1</v>
      </c>
      <c r="CL216" s="798">
        <f>WWWW[[#This Row],[%Equitable and continuous access to sufficient quantity of safe drinking water]]*WWWW[[#This Row],[Total PoP ]]</f>
        <v>66</v>
      </c>
      <c r="CM216" s="800">
        <f>IF((WWWW[[#This Row],['#_Constructed/Existing protected/fenced ponds]]*250)/WWWW[[#This Row],[Total PoP ]]&gt;1,1,(WWWW[[#This Row],['#_Constructed/Existing protected/fenced ponds]]*250)/WWWW[[#This Row],[Total PoP ]])</f>
        <v>0</v>
      </c>
      <c r="CN216" s="798">
        <f>WWWW[[#This Row],[% Access to unimproved water points]]*WWWW[[#This Row],[Total PoP ]]</f>
        <v>0</v>
      </c>
      <c r="CO21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Q216" s="798">
        <f>WWWW[[#This Row],[HRP1]]/500</f>
        <v>0.13200000000000001</v>
      </c>
      <c r="CR216" s="803">
        <f>1-WWWW[[#This Row],[% Equitable and continuous access to sufficient quantity of domestic water]]</f>
        <v>0</v>
      </c>
      <c r="CS216" s="798">
        <f>WWWW[[#This Row],[%equitable and continuous access to sufficient quantity of safe drinking and domestic water''s GAP]]*WWWW[[#This Row],[Total PoP ]]</f>
        <v>0</v>
      </c>
      <c r="CT216" s="801">
        <f>IF(WWWW[[#This Row],[Total required water points]]-WWWW[[#This Row],['#Water points coverage]]&lt;0,0,WWWW[[#This Row],[Total required water points]]-WWWW[[#This Row],['#Water points coverage]])</f>
        <v>0.86799999999999999</v>
      </c>
      <c r="CU216" s="801">
        <f>ROUND(IF(WWWW[[#This Row],[Total PoP ]]&lt;500,1,WWWW[[#This Row],[Total PoP ]]/500),0)</f>
        <v>1</v>
      </c>
      <c r="CV216" s="801">
        <f>(WWWW[[#This Row],['#_Constructed latrines_by_WASHAgencies]]+WWWW[[#This Row],['#_Non Cluster partner latrines]])-WWWW[[#This Row],['#_Non-functional latrines]]</f>
        <v>6</v>
      </c>
      <c r="CW216" s="804">
        <f>WWWW[[#This Row],[HRP2]]/WWWW[[#This Row],[Total PoP ]]</f>
        <v>1</v>
      </c>
      <c r="CX21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CY21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6" s="473">
        <f>IF(WWWW[[#This Row],['# of functional latrines in THF supported by WASH partners during the reporting period2]]="",0,WWWW[[#This Row],['# of functional latrines in THF supported by WASH partners during the reporting period2]]*50)</f>
        <v>0</v>
      </c>
      <c r="DB216" s="473">
        <f>WWWW[[#This Row],['# students access to functioning school latrines_HRP5]]+WWWW[[#This Row],['# People access to functioning latrines in THF_HRP5]]</f>
        <v>0</v>
      </c>
      <c r="DC216" s="801">
        <f>ROUND(IF(WWWW[[#This Row],[Location Type 1]]="camp",WWWW[[#This Row],[Total PoP ]]/20,IF(WWWW[[#This Row],[Location Type 1]]="Temporary Location",WWWW[[#This Row],[Total PoP ]]/50,(WWWW[[#This Row],[Total PoP ]]/6))),0)</f>
        <v>3</v>
      </c>
      <c r="DD216" s="801">
        <f>IF(WWWW[[#This Row],[Total required Latrines]]-(WWWW[[#This Row],['#_Constructed latrines_by_WASHAgencies]]+WWWW[[#This Row],['#_Non Cluster partner latrines]])&lt;0,0,WWWW[[#This Row],[Total required Latrines]]-(WWWW[[#This Row],['#_Constructed latrines_by_WASHAgencies]]+WWWW[[#This Row],['#_Non Cluster partner latrines]]))</f>
        <v>0</v>
      </c>
      <c r="DE216" s="803">
        <f>1-WWWW[[#This Row],[% people access to functioning Latrine]]</f>
        <v>0</v>
      </c>
      <c r="DF216" s="802">
        <f>IF(OR(WWWW[[#This Row],['#_Non-functional latrines]]="",WWWW[[#This Row],['#_Non-functional latrines]]=0),0,WWWW[[#This Row],['#_Non-functional latrines]]/(WWWW[[#This Row],['#_Constructed latrines_by_WASHAgencies]]+WWWW[[#This Row],['#_Non Cluster partner latrines]]))</f>
        <v>0</v>
      </c>
      <c r="DG216" s="798">
        <f>IF(500*(WWWW[[#This Row],['#_male hygiene promoters]]+WWWW[[#This Row],['#_female hygiene promoters]])&gt;WWWW[[#This Row],[Total PoP ]],WWWW[[#This Row],[Total PoP ]],500*(WWWW[[#This Row],['#_male hygiene promoters]]+WWWW[[#This Row],['#_female hygiene promoters]]))</f>
        <v>66</v>
      </c>
      <c r="DH21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6" s="801">
        <f>IF(WWWW[[#This Row],['# People with access to soap]]&gt;WWWW[[#This Row],['# People with access to Sanity Pads]],WWWW[[#This Row],['# People with access to soap]],WWWW[[#This Row],['# People with access to Sanity Pads]])</f>
        <v>0</v>
      </c>
      <c r="DK216" s="801">
        <f>IF(WWWW[[#This Row],['# people reached by regular dedicated hygiene promotion_5]]&gt;WWWW[[#This Row],['# People received regular supply of hygiene items_6]],WWWW[[#This Row],['# people reached by regular dedicated hygiene promotion_5]],WWWW[[#This Row],['# People received regular supply of hygiene items_6]])</f>
        <v>66</v>
      </c>
      <c r="DL216" s="803">
        <f>IF(WWWW[[#This Row],[HRP3]]/WWWW[[#This Row],[Total PoP ]]&gt;1,1,WWWW[[#This Row],[HRP3]]/WWWW[[#This Row],[Total PoP ]])</f>
        <v>1</v>
      </c>
      <c r="DM216" s="802">
        <f>1-WWWW[[#This Row],[Hygiene Coverage%]]</f>
        <v>0</v>
      </c>
      <c r="DN216" s="800">
        <f>WWWW[[#This Row],['# people reached by regular dedicated hygiene promotion_5]]/WWWW[[#This Row],[Total PoP ]]</f>
        <v>1</v>
      </c>
      <c r="DO21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6" s="801">
        <f>WWWW[[#This Row],['#_Constructed/Existing hand washing stations]]-WWWW[[#This Row],['#_Non-Functional_hand_washing_stations]]</f>
        <v>2</v>
      </c>
      <c r="DR216" s="798">
        <f>IF(WWWW[[#This Row],['# Functional hand washing stations during reporting period]]*20&gt;WWWW[[#This Row],[Total HH]],WWWW[[#This Row],[Total HH]],WWWW[[#This Row],['# Functional hand washing stations during reporting period]]*20)</f>
        <v>13</v>
      </c>
      <c r="DS216" s="798">
        <f>IF(WWWW[[#This Row],[Is sufficient soap available for TLS? (Yes/No)]]="yes",WWWW[[#This Row],['#_Constructed/Existing hand washing stations at TLS]],0)</f>
        <v>0</v>
      </c>
      <c r="DT216" s="479">
        <f>IF(WWWW[[#This Row],['# Functional hand washing stations during reporting period]]*100&gt;WWWW[[#This Row],[Total PoP ]],WWWW[[#This Row],[Total PoP ]],WWWW[[#This Row],['# Functional hand washing stations during reporting period]]*100)</f>
        <v>66</v>
      </c>
      <c r="DU216" s="479" t="str">
        <f>IF(OR(WWWW[[#This Row],['#_students at TLS_CFS]]="",WWWW[[#This Row],['#_students at TLS_CFS]]=0),"No","Yes")</f>
        <v>No</v>
      </c>
      <c r="DV21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6" s="794" t="str">
        <f>VLOOKUP(WWWW[[#This Row],[Site Name]],SiteDB6[[Site Name]:[CCCM Management]],6,FALSE)</f>
        <v>Yes</v>
      </c>
      <c r="DZ216" s="794" t="str">
        <f>VLOOKUP(WWWW[[#This Row],[Site Name]],SiteDB6[[Site Name]:[CCCM Focal Agency]],7,FALSE)</f>
        <v>KBC-MYT</v>
      </c>
      <c r="EA216" s="794" t="str">
        <f>VLOOKUP(WWWW[[#This Row],[Site Name]],SiteDB6[[Site Name]:[Location Type 1]],9,FALSE)</f>
        <v>Camp</v>
      </c>
      <c r="EB216" s="794" t="str">
        <f>VLOOKUP(WWWW[[#This Row],[Site Name]],SiteDB6[[Site Name]:[Type of Accommodation]],10,FALSE)</f>
        <v>Camp</v>
      </c>
      <c r="EC216" s="794" t="str">
        <f>VLOOKUP(WWWW[[#This Row],[Site Name]],SiteDB6[[Site Name]:[Ethnic or GCA/NGCA]],11,FALSE)</f>
        <v>GCA</v>
      </c>
      <c r="ED216" s="794">
        <f>VLOOKUP(WWWW[[#This Row],[Site Name]],SiteDB6[[Site Name]:[Lat]],12,FALSE)</f>
        <v>25.305669999999999</v>
      </c>
      <c r="EE216" s="794">
        <f>VLOOKUP(WWWW[[#This Row],[Site Name]],SiteDB6[[Site Name]:[Long]],13,FALSE)</f>
        <v>96.922619999999995</v>
      </c>
      <c r="EF216" s="794" t="str">
        <f>VLOOKUP(WWWW[[#This Row],[Site Name]],SiteDB6[[Site Name]:[Pcode]],3,FALSE)</f>
        <v>MMR001CMP078</v>
      </c>
      <c r="EG216" s="799" t="str">
        <f t="shared" si="4"/>
        <v>Covered</v>
      </c>
      <c r="EH216" s="799" t="str">
        <f>VLOOKUP(WWWW[[#This Row],[Site Name]],Site_DB!$C$389:$D$1120,2,FALSE)</f>
        <v>cccm_2019OCT</v>
      </c>
    </row>
    <row r="217" spans="1:138" hidden="1">
      <c r="A217" s="792" t="s">
        <v>3262</v>
      </c>
      <c r="B217" s="792" t="s">
        <v>144</v>
      </c>
      <c r="C217" s="793" t="s">
        <v>144</v>
      </c>
      <c r="D217" s="793" t="s">
        <v>247</v>
      </c>
      <c r="E217" s="793" t="s">
        <v>39</v>
      </c>
      <c r="F217" s="793" t="s">
        <v>208</v>
      </c>
      <c r="G217" s="721" t="str">
        <f>VLOOKUP(WWWW[[#This Row],[Site Name]],SiteDB6[[Site Name]:[Location Type]],8,FALSE)</f>
        <v>Camp_not registered</v>
      </c>
      <c r="H217" s="793" t="s">
        <v>292</v>
      </c>
      <c r="I217" s="795">
        <v>440</v>
      </c>
      <c r="J217" s="795">
        <v>2199</v>
      </c>
      <c r="K217" s="796">
        <v>43647</v>
      </c>
      <c r="L217" s="797">
        <v>44012</v>
      </c>
      <c r="M217" s="795">
        <v>2098</v>
      </c>
      <c r="N217" s="795"/>
      <c r="O217" s="795"/>
      <c r="P217" s="795"/>
      <c r="Q217" s="798" t="s">
        <v>43</v>
      </c>
      <c r="R217" s="795"/>
      <c r="S217" s="795"/>
      <c r="T217" s="523"/>
      <c r="U217" s="795"/>
      <c r="V217" s="795"/>
      <c r="W217" s="795">
        <v>1</v>
      </c>
      <c r="X217" s="795">
        <v>0</v>
      </c>
      <c r="Y217" s="795"/>
      <c r="Z217" s="795"/>
      <c r="AA217" s="795"/>
      <c r="AB217" s="795"/>
      <c r="AC217" s="795"/>
      <c r="AD217" s="795">
        <v>0</v>
      </c>
      <c r="AE217" s="795">
        <v>0</v>
      </c>
      <c r="AF217" s="795"/>
      <c r="AG217" s="795">
        <v>0</v>
      </c>
      <c r="AH217" s="795">
        <v>0</v>
      </c>
      <c r="AI217" s="795"/>
      <c r="AJ217" s="795"/>
      <c r="AK217" s="795"/>
      <c r="AL217" s="795"/>
      <c r="AM217" s="795">
        <v>20</v>
      </c>
      <c r="AN217" s="795"/>
      <c r="AO217" s="799"/>
      <c r="AP217" s="795"/>
      <c r="AQ217" s="795">
        <v>0</v>
      </c>
      <c r="AR217" s="800"/>
      <c r="AS217" s="795"/>
      <c r="AT217" s="795"/>
      <c r="AU217" s="795"/>
      <c r="AV217" s="795"/>
      <c r="AW217" s="795">
        <v>0</v>
      </c>
      <c r="AX217" s="799" t="s">
        <v>143</v>
      </c>
      <c r="AY217" s="799" t="s">
        <v>143</v>
      </c>
      <c r="AZ217" s="795"/>
      <c r="BA217" s="795"/>
      <c r="BB217" s="795">
        <v>51</v>
      </c>
      <c r="BC217" s="523"/>
      <c r="BD217" s="523"/>
      <c r="BE217" s="794"/>
      <c r="BF217" s="795"/>
      <c r="BG217" s="795"/>
      <c r="BH217" s="795"/>
      <c r="BI217" s="795">
        <v>0</v>
      </c>
      <c r="BJ217" s="795"/>
      <c r="BK217" s="795"/>
      <c r="BL217" s="795"/>
      <c r="BM217" s="795"/>
      <c r="BN217" s="795"/>
      <c r="BO217" s="794"/>
      <c r="BP217" s="801"/>
      <c r="BQ217" s="800"/>
      <c r="BR217" s="794"/>
      <c r="BS217" s="472"/>
      <c r="BT217" s="472"/>
      <c r="BU217" s="474"/>
      <c r="BV217" s="472"/>
      <c r="BW217" s="523"/>
      <c r="BX217" s="523"/>
      <c r="BY217" s="523"/>
      <c r="BZ217" s="802" t="str">
        <f>IFERROR(WWWW[[#This Row],['#_Water sources passed]]/WWWW[[#This Row],['#_Water sources tested for fecal coliform ]],"no test")</f>
        <v>no test</v>
      </c>
      <c r="CA217" s="800" t="str">
        <f>IFERROR(WWWW[[#This Row],['#_Household passed]]/WWWW[[#This Row],['#_Household water samples tested for fecal coliform]],"no test")</f>
        <v>no test</v>
      </c>
      <c r="CB217" s="801" t="str">
        <f>IF(AND(WWWW[[#This Row],[% of water sources passed]]="no test",WWWW[[#This Row],[% Household passed]]="no test"),"No Test","Tested")</f>
        <v>No Test</v>
      </c>
      <c r="CC217" s="801">
        <f>WWWW[[#This Row],['#_Constructed/existing protected hand dug well]]-WWWW[[#This Row],['#_Non-functional protected hand dug well]]</f>
        <v>0</v>
      </c>
      <c r="CD217" s="801">
        <f>(WWWW[[#This Row],['#_Constructed/Existing tube wells/boreholes/handpumps_WASH_agency]]+WWWW[[#This Row],['#_Non-Cluster partner water tube-wells/boreholes/handpumps]])-WWWW[[#This Row],['#_Non-functional tube wells/boreholes/handpumps]]</f>
        <v>1</v>
      </c>
      <c r="CE217" s="801">
        <f>WWWW[[#This Row],['#_Constructed/Existingwater storage tank with gravity fed reticulation system]]-WWWW[[#This Row],['#_Non-functional storage tank gravity fed reticulation system]]</f>
        <v>0</v>
      </c>
      <c r="CF217" s="801">
        <f>(WWWW[[#This Row],['#_Water_Liters_supplied_by_Water boating or water trucking]]/90)/15</f>
        <v>0</v>
      </c>
      <c r="CG217" s="801">
        <f>WWWW[[#This Row],['#_Water_Liters_from_Constructed/Existing water distribution system from river or natural spring]]/90/15</f>
        <v>0</v>
      </c>
      <c r="CH217" s="473">
        <f>WWWW[[#This Row],['#_of water points in TLS/CFS /THF]]*500</f>
        <v>0</v>
      </c>
      <c r="CI21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J21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K217" s="800">
        <f>IF(WWWW[[#This Row],[Location Type 1]]="Village",WWWW[[#This Row],[Access to safe drinking water for Village]],WWWW[[#This Row],[Access to safe drinking water for Camp]])</f>
        <v>0.22737608003638018</v>
      </c>
      <c r="CL217" s="798">
        <f>WWWW[[#This Row],[%Equitable and continuous access to sufficient quantity of safe drinking water]]*WWWW[[#This Row],[Total PoP ]]</f>
        <v>500</v>
      </c>
      <c r="CM217" s="800">
        <f>IF((WWWW[[#This Row],['#_Constructed/Existing protected/fenced ponds]]*250)/WWWW[[#This Row],[Total PoP ]]&gt;1,1,(WWWW[[#This Row],['#_Constructed/Existing protected/fenced ponds]]*250)/WWWW[[#This Row],[Total PoP ]])</f>
        <v>0</v>
      </c>
      <c r="CN217" s="798">
        <f>WWWW[[#This Row],[% Access to unimproved water points]]*WWWW[[#This Row],[Total PoP ]]</f>
        <v>0</v>
      </c>
      <c r="CO21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P21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Q217" s="798">
        <f>WWWW[[#This Row],[HRP1]]/500</f>
        <v>1</v>
      </c>
      <c r="CR217" s="803">
        <f>1-WWWW[[#This Row],[% Equitable and continuous access to sufficient quantity of domestic water]]</f>
        <v>0.77262391996361979</v>
      </c>
      <c r="CS217" s="798">
        <f>WWWW[[#This Row],[%equitable and continuous access to sufficient quantity of safe drinking and domestic water''s GAP]]*WWWW[[#This Row],[Total PoP ]]</f>
        <v>1699</v>
      </c>
      <c r="CT217" s="801">
        <f>IF(WWWW[[#This Row],[Total required water points]]-WWWW[[#This Row],['#Water points coverage]]&lt;0,0,WWWW[[#This Row],[Total required water points]]-WWWW[[#This Row],['#Water points coverage]])</f>
        <v>3</v>
      </c>
      <c r="CU217" s="801">
        <f>ROUND(IF(WWWW[[#This Row],[Total PoP ]]&lt;500,1,WWWW[[#This Row],[Total PoP ]]/500),0)</f>
        <v>4</v>
      </c>
      <c r="CV217" s="801">
        <f>(WWWW[[#This Row],['#_Constructed latrines_by_WASHAgencies]]+WWWW[[#This Row],['#_Non Cluster partner latrines]])-WWWW[[#This Row],['#_Non-functional latrines]]</f>
        <v>0</v>
      </c>
      <c r="CW217" s="804">
        <f>WWWW[[#This Row],[HRP2]]/WWWW[[#This Row],[Total PoP ]]</f>
        <v>0</v>
      </c>
      <c r="CX21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2098</v>
      </c>
      <c r="DA217" s="473">
        <f>IF(WWWW[[#This Row],['# of functional latrines in THF supported by WASH partners during the reporting period2]]="",0,WWWW[[#This Row],['# of functional latrines in THF supported by WASH partners during the reporting period2]]*50)</f>
        <v>0</v>
      </c>
      <c r="DB217" s="473">
        <f>WWWW[[#This Row],['# students access to functioning school latrines_HRP5]]+WWWW[[#This Row],['# People access to functioning latrines in THF_HRP5]]</f>
        <v>2098</v>
      </c>
      <c r="DC217" s="801">
        <f>ROUND(IF(WWWW[[#This Row],[Location Type 1]]="camp",WWWW[[#This Row],[Total PoP ]]/20,IF(WWWW[[#This Row],[Location Type 1]]="Temporary Location",WWWW[[#This Row],[Total PoP ]]/50,(WWWW[[#This Row],[Total PoP ]]/6))),0)</f>
        <v>110</v>
      </c>
      <c r="DD217" s="801">
        <f>IF(WWWW[[#This Row],[Total required Latrines]]-(WWWW[[#This Row],['#_Constructed latrines_by_WASHAgencies]]+WWWW[[#This Row],['#_Non Cluster partner latrines]])&lt;0,0,WWWW[[#This Row],[Total required Latrines]]-(WWWW[[#This Row],['#_Constructed latrines_by_WASHAgencies]]+WWWW[[#This Row],['#_Non Cluster partner latrines]]))</f>
        <v>110</v>
      </c>
      <c r="DE217" s="803">
        <f>1-WWWW[[#This Row],[% people access to functioning Latrine]]</f>
        <v>1</v>
      </c>
      <c r="DF217" s="802">
        <f>IF(OR(WWWW[[#This Row],['#_Non-functional latrines]]="",WWWW[[#This Row],['#_Non-functional latrines]]=0),0,WWWW[[#This Row],['#_Non-functional latrines]]/(WWWW[[#This Row],['#_Constructed latrines_by_WASHAgencies]]+WWWW[[#This Row],['#_Non Cluster partner latrines]]))</f>
        <v>0</v>
      </c>
      <c r="DG217" s="798">
        <f>IF(500*(WWWW[[#This Row],['#_male hygiene promoters]]+WWWW[[#This Row],['#_female hygiene promoters]])&gt;WWWW[[#This Row],[Total PoP ]],WWWW[[#This Row],[Total PoP ]],500*(WWWW[[#This Row],['#_male hygiene promoters]]+WWWW[[#This Row],['#_female hygiene promoters]]))</f>
        <v>0</v>
      </c>
      <c r="DH21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7" s="801">
        <f>IF(WWWW[[#This Row],['# People with access to soap]]&gt;WWWW[[#This Row],['# People with access to Sanity Pads]],WWWW[[#This Row],['# People with access to soap]],WWWW[[#This Row],['# People with access to Sanity Pads]])</f>
        <v>0</v>
      </c>
      <c r="DK21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17" s="803">
        <f>IF(WWWW[[#This Row],[HRP3]]/WWWW[[#This Row],[Total PoP ]]&gt;1,1,WWWW[[#This Row],[HRP3]]/WWWW[[#This Row],[Total PoP ]])</f>
        <v>0</v>
      </c>
      <c r="DM217" s="802">
        <f>1-WWWW[[#This Row],[Hygiene Coverage%]]</f>
        <v>1</v>
      </c>
      <c r="DN217" s="800">
        <f>WWWW[[#This Row],['# people reached by regular dedicated hygiene promotion_5]]/WWWW[[#This Row],[Total PoP ]]</f>
        <v>0</v>
      </c>
      <c r="DO21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7" s="801">
        <f>WWWW[[#This Row],['#_Constructed/Existing hand washing stations]]-WWWW[[#This Row],['#_Non-Functional_hand_washing_stations]]</f>
        <v>0</v>
      </c>
      <c r="DR217" s="798">
        <f>IF(WWWW[[#This Row],['# Functional hand washing stations during reporting period]]*20&gt;WWWW[[#This Row],[Total HH]],WWWW[[#This Row],[Total HH]],WWWW[[#This Row],['# Functional hand washing stations during reporting period]]*20)</f>
        <v>0</v>
      </c>
      <c r="DS217" s="798">
        <f>IF(WWWW[[#This Row],[Is sufficient soap available for TLS? (Yes/No)]]="yes",WWWW[[#This Row],['#_Constructed/Existing hand washing stations at TLS]],0)</f>
        <v>0</v>
      </c>
      <c r="DT217" s="479">
        <f>IF(WWWW[[#This Row],['# Functional hand washing stations during reporting period]]*100&gt;WWWW[[#This Row],[Total PoP ]],WWWW[[#This Row],[Total PoP ]],WWWW[[#This Row],['# Functional hand washing stations during reporting period]]*100)</f>
        <v>0</v>
      </c>
      <c r="DU217" s="479" t="str">
        <f>IF(OR(WWWW[[#This Row],['#_students at TLS_CFS]]="",WWWW[[#This Row],['#_students at TLS_CFS]]=0),"No","Yes")</f>
        <v>Yes</v>
      </c>
      <c r="DV21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2098</v>
      </c>
      <c r="DY217" s="794">
        <f>VLOOKUP(WWWW[[#This Row],[Site Name]],SiteDB6[[Site Name]:[CCCM Management]],6,FALSE)</f>
        <v>0</v>
      </c>
      <c r="DZ217" s="794">
        <f>VLOOKUP(WWWW[[#This Row],[Site Name]],SiteDB6[[Site Name]:[CCCM Focal Agency]],7,FALSE)</f>
        <v>0</v>
      </c>
      <c r="EA217" s="794" t="str">
        <f>VLOOKUP(WWWW[[#This Row],[Site Name]],SiteDB6[[Site Name]:[Location Type 1]],9,FALSE)</f>
        <v>Camp</v>
      </c>
      <c r="EB217" s="794" t="str">
        <f>VLOOKUP(WWWW[[#This Row],[Site Name]],SiteDB6[[Site Name]:[Type of Accommodation]],10,FALSE)</f>
        <v>School</v>
      </c>
      <c r="EC217" s="794" t="str">
        <f>VLOOKUP(WWWW[[#This Row],[Site Name]],SiteDB6[[Site Name]:[Ethnic or GCA/NGCA]],11,FALSE)</f>
        <v>NGCA</v>
      </c>
      <c r="ED217" s="794">
        <f>VLOOKUP(WWWW[[#This Row],[Site Name]],SiteDB6[[Site Name]:[Lat]],12,FALSE)</f>
        <v>0</v>
      </c>
      <c r="EE217" s="794">
        <f>VLOOKUP(WWWW[[#This Row],[Site Name]],SiteDB6[[Site Name]:[Long]],13,FALSE)</f>
        <v>0</v>
      </c>
      <c r="EF217" s="794">
        <f>VLOOKUP(WWWW[[#This Row],[Site Name]],SiteDB6[[Site Name]:[Pcode]],3,FALSE)</f>
        <v>0</v>
      </c>
      <c r="EG217" s="799" t="str">
        <f t="shared" si="4"/>
        <v>Covered</v>
      </c>
      <c r="EH217" s="799">
        <f>VLOOKUP(WWWW[[#This Row],[Site Name]],Site_DB!$C$389:$D$1120,2,FALSE)</f>
        <v>0</v>
      </c>
    </row>
    <row r="218" spans="1:138" hidden="1">
      <c r="A218" s="792" t="s">
        <v>3262</v>
      </c>
      <c r="B218" s="792" t="s">
        <v>144</v>
      </c>
      <c r="C218" s="793" t="s">
        <v>144</v>
      </c>
      <c r="D218" s="793" t="s">
        <v>3277</v>
      </c>
      <c r="E218" s="793" t="s">
        <v>39</v>
      </c>
      <c r="F218" s="793" t="s">
        <v>162</v>
      </c>
      <c r="G218" s="721" t="str">
        <f>VLOOKUP(WWWW[[#This Row],[Site Name]],SiteDB6[[Site Name]:[Location Type]],8,FALSE)</f>
        <v>Camp</v>
      </c>
      <c r="H218" s="793" t="s">
        <v>2166</v>
      </c>
      <c r="I218" s="795">
        <v>118</v>
      </c>
      <c r="J218" s="795">
        <v>489</v>
      </c>
      <c r="K218" s="796" t="s">
        <v>3278</v>
      </c>
      <c r="L218" s="797" t="s">
        <v>3279</v>
      </c>
      <c r="M218" s="795"/>
      <c r="N218" s="795"/>
      <c r="O218" s="795"/>
      <c r="P218" s="795"/>
      <c r="Q218" s="798" t="s">
        <v>43</v>
      </c>
      <c r="R218" s="795"/>
      <c r="S218" s="795">
        <v>5</v>
      </c>
      <c r="T218" s="523">
        <v>1</v>
      </c>
      <c r="U218" s="795"/>
      <c r="V218" s="795"/>
      <c r="W218" s="795">
        <v>7</v>
      </c>
      <c r="X218" s="795"/>
      <c r="Y218" s="795"/>
      <c r="Z218" s="795"/>
      <c r="AA218" s="795"/>
      <c r="AB218" s="795"/>
      <c r="AC218" s="795"/>
      <c r="AD218" s="795"/>
      <c r="AE218" s="795"/>
      <c r="AF218" s="795"/>
      <c r="AG218" s="795"/>
      <c r="AH218" s="795">
        <v>6</v>
      </c>
      <c r="AI218" s="795"/>
      <c r="AJ218" s="795"/>
      <c r="AK218" s="795"/>
      <c r="AL218" s="795"/>
      <c r="AM218" s="795"/>
      <c r="AN218" s="795"/>
      <c r="AO218" s="799"/>
      <c r="AP218" s="795">
        <v>16</v>
      </c>
      <c r="AQ218" s="795"/>
      <c r="AR218" s="800"/>
      <c r="AS218" s="795"/>
      <c r="AT218" s="795"/>
      <c r="AU218" s="795"/>
      <c r="AV218" s="795"/>
      <c r="AW218" s="795">
        <v>16</v>
      </c>
      <c r="AX218" s="794" t="s">
        <v>43</v>
      </c>
      <c r="AY218" s="799" t="s">
        <v>140</v>
      </c>
      <c r="AZ218" s="795"/>
      <c r="BA218" s="795"/>
      <c r="BB218" s="795"/>
      <c r="BC218" s="523"/>
      <c r="BD218" s="523"/>
      <c r="BE218" s="794"/>
      <c r="BF218" s="795">
        <v>6</v>
      </c>
      <c r="BG218" s="795"/>
      <c r="BH218" s="795"/>
      <c r="BI218" s="795">
        <v>0</v>
      </c>
      <c r="BJ218" s="795"/>
      <c r="BK218" s="795"/>
      <c r="BL218" s="795">
        <v>2</v>
      </c>
      <c r="BM218" s="795"/>
      <c r="BN218" s="795"/>
      <c r="BO218" s="794"/>
      <c r="BP218" s="801"/>
      <c r="BQ218" s="800"/>
      <c r="BR218" s="794"/>
      <c r="BS218" s="472"/>
      <c r="BT218" s="472"/>
      <c r="BU218" s="474"/>
      <c r="BV218" s="472"/>
      <c r="BW218" s="523"/>
      <c r="BX218" s="523"/>
      <c r="BY218" s="523"/>
      <c r="BZ218" s="802" t="str">
        <f>IFERROR(WWWW[[#This Row],['#_Water sources passed]]/WWWW[[#This Row],['#_Water sources tested for fecal coliform ]],"no test")</f>
        <v>no test</v>
      </c>
      <c r="CA218" s="800" t="str">
        <f>IFERROR(WWWW[[#This Row],['#_Household passed]]/WWWW[[#This Row],['#_Household water samples tested for fecal coliform]],"no test")</f>
        <v>no test</v>
      </c>
      <c r="CB218" s="801" t="str">
        <f>IF(AND(WWWW[[#This Row],[% of water sources passed]]="no test",WWWW[[#This Row],[% Household passed]]="no test"),"No Test","Tested")</f>
        <v>No Test</v>
      </c>
      <c r="CC218" s="801">
        <f>WWWW[[#This Row],['#_Constructed/existing protected hand dug well]]-WWWW[[#This Row],['#_Non-functional protected hand dug well]]</f>
        <v>1</v>
      </c>
      <c r="CD218" s="801">
        <f>(WWWW[[#This Row],['#_Constructed/Existing tube wells/boreholes/handpumps_WASH_agency]]+WWWW[[#This Row],['#_Non-Cluster partner water tube-wells/boreholes/handpumps]])-WWWW[[#This Row],['#_Non-functional tube wells/boreholes/handpumps]]</f>
        <v>7</v>
      </c>
      <c r="CE218" s="801">
        <f>WWWW[[#This Row],['#_Constructed/Existingwater storage tank with gravity fed reticulation system]]-WWWW[[#This Row],['#_Non-functional storage tank gravity fed reticulation system]]</f>
        <v>0</v>
      </c>
      <c r="CF218" s="801">
        <f>(WWWW[[#This Row],['#_Water_Liters_supplied_by_Water boating or water trucking]]/90)/15</f>
        <v>0</v>
      </c>
      <c r="CG218" s="801">
        <f>WWWW[[#This Row],['#_Water_Liters_from_Constructed/Existing water distribution system from river or natural spring]]/90/15</f>
        <v>0</v>
      </c>
      <c r="CH218" s="473">
        <f>WWWW[[#This Row],['#_of water points in TLS/CFS /THF]]*500</f>
        <v>0</v>
      </c>
      <c r="CI21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8" s="800">
        <f>IF(WWWW[[#This Row],[Location Type 1]]="Village",WWWW[[#This Row],[Access to safe drinking water for Village]],WWWW[[#This Row],[Access to safe drinking water for Camp]])</f>
        <v>1</v>
      </c>
      <c r="CL218" s="798">
        <f>WWWW[[#This Row],[%Equitable and continuous access to sufficient quantity of safe drinking water]]*WWWW[[#This Row],[Total PoP ]]</f>
        <v>489</v>
      </c>
      <c r="CM218" s="800">
        <f>IF((WWWW[[#This Row],['#_Constructed/Existing protected/fenced ponds]]*250)/WWWW[[#This Row],[Total PoP ]]&gt;1,1,(WWWW[[#This Row],['#_Constructed/Existing protected/fenced ponds]]*250)/WWWW[[#This Row],[Total PoP ]])</f>
        <v>0</v>
      </c>
      <c r="CN218" s="798">
        <f>WWWW[[#This Row],[% Access to unimproved water points]]*WWWW[[#This Row],[Total PoP ]]</f>
        <v>0</v>
      </c>
      <c r="CO21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Q218" s="798">
        <f>WWWW[[#This Row],[HRP1]]/500</f>
        <v>0.97799999999999998</v>
      </c>
      <c r="CR218" s="803">
        <f>1-WWWW[[#This Row],[% Equitable and continuous access to sufficient quantity of domestic water]]</f>
        <v>0</v>
      </c>
      <c r="CS218" s="798">
        <f>WWWW[[#This Row],[%equitable and continuous access to sufficient quantity of safe drinking and domestic water''s GAP]]*WWWW[[#This Row],[Total PoP ]]</f>
        <v>0</v>
      </c>
      <c r="CT218" s="801">
        <f>IF(WWWW[[#This Row],[Total required water points]]-WWWW[[#This Row],['#Water points coverage]]&lt;0,0,WWWW[[#This Row],[Total required water points]]-WWWW[[#This Row],['#Water points coverage]])</f>
        <v>2.200000000000002E-2</v>
      </c>
      <c r="CU218" s="801">
        <f>ROUND(IF(WWWW[[#This Row],[Total PoP ]]&lt;500,1,WWWW[[#This Row],[Total PoP ]]/500),0)</f>
        <v>1</v>
      </c>
      <c r="CV218" s="801">
        <f>(WWWW[[#This Row],['#_Constructed latrines_by_WASHAgencies]]+WWWW[[#This Row],['#_Non Cluster partner latrines]])-WWWW[[#This Row],['#_Non-functional latrines]]</f>
        <v>16</v>
      </c>
      <c r="CW218" s="804">
        <f>WWWW[[#This Row],[HRP2]]/WWWW[[#This Row],[Total PoP ]]</f>
        <v>0.65439672801635995</v>
      </c>
      <c r="CX21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1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8" s="473">
        <f>IF(WWWW[[#This Row],['# of functional latrines in THF supported by WASH partners during the reporting period2]]="",0,WWWW[[#This Row],['# of functional latrines in THF supported by WASH partners during the reporting period2]]*50)</f>
        <v>0</v>
      </c>
      <c r="DB218" s="473">
        <f>WWWW[[#This Row],['# students access to functioning school latrines_HRP5]]+WWWW[[#This Row],['# People access to functioning latrines in THF_HRP5]]</f>
        <v>0</v>
      </c>
      <c r="DC218" s="801">
        <f>ROUND(IF(WWWW[[#This Row],[Location Type 1]]="camp",WWWW[[#This Row],[Total PoP ]]/20,IF(WWWW[[#This Row],[Location Type 1]]="Temporary Location",WWWW[[#This Row],[Total PoP ]]/50,(WWWW[[#This Row],[Total PoP ]]/6))),0)</f>
        <v>24</v>
      </c>
      <c r="DD218" s="801">
        <f>IF(WWWW[[#This Row],[Total required Latrines]]-(WWWW[[#This Row],['#_Constructed latrines_by_WASHAgencies]]+WWWW[[#This Row],['#_Non Cluster partner latrines]])&lt;0,0,WWWW[[#This Row],[Total required Latrines]]-(WWWW[[#This Row],['#_Constructed latrines_by_WASHAgencies]]+WWWW[[#This Row],['#_Non Cluster partner latrines]]))</f>
        <v>8</v>
      </c>
      <c r="DE218" s="803">
        <f>1-WWWW[[#This Row],[% people access to functioning Latrine]]</f>
        <v>0.34560327198364005</v>
      </c>
      <c r="DF218" s="802">
        <f>IF(OR(WWWW[[#This Row],['#_Non-functional latrines]]="",WWWW[[#This Row],['#_Non-functional latrines]]=0),0,WWWW[[#This Row],['#_Non-functional latrines]]/(WWWW[[#This Row],['#_Constructed latrines_by_WASHAgencies]]+WWWW[[#This Row],['#_Non Cluster partner latrines]]))</f>
        <v>0</v>
      </c>
      <c r="DG218" s="798">
        <f>IF(500*(WWWW[[#This Row],['#_male hygiene promoters]]+WWWW[[#This Row],['#_female hygiene promoters]])&gt;WWWW[[#This Row],[Total PoP ]],WWWW[[#This Row],[Total PoP ]],500*(WWWW[[#This Row],['#_male hygiene promoters]]+WWWW[[#This Row],['#_female hygiene promoters]]))</f>
        <v>489</v>
      </c>
      <c r="DH21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1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8" s="801">
        <f>IF(WWWW[[#This Row],['# People with access to soap]]&gt;WWWW[[#This Row],['# People with access to Sanity Pads]],WWWW[[#This Row],['# People with access to soap]],WWWW[[#This Row],['# People with access to Sanity Pads]])</f>
        <v>0</v>
      </c>
      <c r="DK218" s="801">
        <f>IF(WWWW[[#This Row],['# people reached by regular dedicated hygiene promotion_5]]&gt;WWWW[[#This Row],['# People received regular supply of hygiene items_6]],WWWW[[#This Row],['# people reached by regular dedicated hygiene promotion_5]],WWWW[[#This Row],['# People received regular supply of hygiene items_6]])</f>
        <v>489</v>
      </c>
      <c r="DL218" s="803">
        <f>IF(WWWW[[#This Row],[HRP3]]/WWWW[[#This Row],[Total PoP ]]&gt;1,1,WWWW[[#This Row],[HRP3]]/WWWW[[#This Row],[Total PoP ]])</f>
        <v>1</v>
      </c>
      <c r="DM218" s="802">
        <f>1-WWWW[[#This Row],[Hygiene Coverage%]]</f>
        <v>0</v>
      </c>
      <c r="DN218" s="800">
        <f>WWWW[[#This Row],['# people reached by regular dedicated hygiene promotion_5]]/WWWW[[#This Row],[Total PoP ]]</f>
        <v>1</v>
      </c>
      <c r="DO21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1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8" s="801">
        <f>WWWW[[#This Row],['#_Constructed/Existing hand washing stations]]-WWWW[[#This Row],['#_Non-Functional_hand_washing_stations]]</f>
        <v>6</v>
      </c>
      <c r="DR218" s="798">
        <f>IF(WWWW[[#This Row],['# Functional hand washing stations during reporting period]]*20&gt;WWWW[[#This Row],[Total HH]],WWWW[[#This Row],[Total HH]],WWWW[[#This Row],['# Functional hand washing stations during reporting period]]*20)</f>
        <v>118</v>
      </c>
      <c r="DS218" s="798">
        <f>IF(WWWW[[#This Row],[Is sufficient soap available for TLS? (Yes/No)]]="yes",WWWW[[#This Row],['#_Constructed/Existing hand washing stations at TLS]],0)</f>
        <v>0</v>
      </c>
      <c r="DT218" s="479">
        <f>IF(WWWW[[#This Row],['# Functional hand washing stations during reporting period]]*100&gt;WWWW[[#This Row],[Total PoP ]],WWWW[[#This Row],[Total PoP ]],WWWW[[#This Row],['# Functional hand washing stations during reporting period]]*100)</f>
        <v>489</v>
      </c>
      <c r="DU218" s="479" t="str">
        <f>IF(OR(WWWW[[#This Row],['#_students at TLS_CFS]]="",WWWW[[#This Row],['#_students at TLS_CFS]]=0),"No","Yes")</f>
        <v>No</v>
      </c>
      <c r="DV21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8" s="794">
        <f>VLOOKUP(WWWW[[#This Row],[Site Name]],SiteDB6[[Site Name]:[CCCM Management]],6,FALSE)</f>
        <v>0</v>
      </c>
      <c r="DZ218" s="794" t="str">
        <f>VLOOKUP(WWWW[[#This Row],[Site Name]],SiteDB6[[Site Name]:[CCCM Focal Agency]],7,FALSE)</f>
        <v>KBC-MYT</v>
      </c>
      <c r="EA218" s="794" t="str">
        <f>VLOOKUP(WWWW[[#This Row],[Site Name]],SiteDB6[[Site Name]:[Location Type 1]],9,FALSE)</f>
        <v>Camp</v>
      </c>
      <c r="EB218" s="794" t="str">
        <f>VLOOKUP(WWWW[[#This Row],[Site Name]],SiteDB6[[Site Name]:[Type of Accommodation]],10,FALSE)</f>
        <v>Camp</v>
      </c>
      <c r="EC218" s="794" t="str">
        <f>VLOOKUP(WWWW[[#This Row],[Site Name]],SiteDB6[[Site Name]:[Ethnic or GCA/NGCA]],11,FALSE)</f>
        <v>GCA</v>
      </c>
      <c r="ED218" s="794">
        <f>VLOOKUP(WWWW[[#This Row],[Site Name]],SiteDB6[[Site Name]:[Lat]],12,FALSE)</f>
        <v>0</v>
      </c>
      <c r="EE218" s="794">
        <f>VLOOKUP(WWWW[[#This Row],[Site Name]],SiteDB6[[Site Name]:[Long]],13,FALSE)</f>
        <v>0</v>
      </c>
      <c r="EF218" s="794" t="str">
        <f>VLOOKUP(WWWW[[#This Row],[Site Name]],SiteDB6[[Site Name]:[Pcode]],3,FALSE)</f>
        <v>MMR001CMP265</v>
      </c>
      <c r="EG218" s="799" t="str">
        <f t="shared" si="4"/>
        <v>Covered</v>
      </c>
      <c r="EH218" s="799" t="str">
        <f>VLOOKUP(WWWW[[#This Row],[Site Name]],Site_DB!$C$389:$D$1120,2,FALSE)</f>
        <v>cccm_2019OCT</v>
      </c>
    </row>
    <row r="219" spans="1:138" hidden="1">
      <c r="A219" s="792" t="s">
        <v>3262</v>
      </c>
      <c r="B219" s="792" t="s">
        <v>38</v>
      </c>
      <c r="C219" s="793" t="s">
        <v>38</v>
      </c>
      <c r="D219" s="793" t="s">
        <v>244</v>
      </c>
      <c r="E219" s="793" t="s">
        <v>39</v>
      </c>
      <c r="F219" s="793" t="s">
        <v>162</v>
      </c>
      <c r="G219" s="721" t="str">
        <f>VLOOKUP(WWWW[[#This Row],[Site Name]],SiteDB6[[Site Name]:[Location Type]],8,FALSE)</f>
        <v>Camp</v>
      </c>
      <c r="H219" s="793" t="s">
        <v>1111</v>
      </c>
      <c r="I219" s="795">
        <v>14</v>
      </c>
      <c r="J219" s="795">
        <v>39</v>
      </c>
      <c r="K219" s="796">
        <v>43810</v>
      </c>
      <c r="L219" s="797">
        <v>44175</v>
      </c>
      <c r="M219" s="795"/>
      <c r="N219" s="795">
        <v>2</v>
      </c>
      <c r="O219" s="795"/>
      <c r="P219" s="795"/>
      <c r="Q219" s="798" t="s">
        <v>43</v>
      </c>
      <c r="R219" s="795">
        <v>1</v>
      </c>
      <c r="S219" s="795">
        <v>2</v>
      </c>
      <c r="T219" s="523"/>
      <c r="U219" s="795"/>
      <c r="V219" s="795"/>
      <c r="W219" s="795">
        <v>1</v>
      </c>
      <c r="X219" s="795"/>
      <c r="Y219" s="795"/>
      <c r="Z219" s="795"/>
      <c r="AA219" s="795"/>
      <c r="AB219" s="795"/>
      <c r="AC219" s="795"/>
      <c r="AD219" s="795"/>
      <c r="AE219" s="795"/>
      <c r="AF219" s="795"/>
      <c r="AG219" s="795"/>
      <c r="AH219" s="795">
        <v>14</v>
      </c>
      <c r="AI219" s="795">
        <v>1</v>
      </c>
      <c r="AJ219" s="795"/>
      <c r="AK219" s="795">
        <v>2</v>
      </c>
      <c r="AL219" s="795">
        <v>1</v>
      </c>
      <c r="AM219" s="795"/>
      <c r="AN219" s="795"/>
      <c r="AO219" s="799"/>
      <c r="AP219" s="795"/>
      <c r="AQ219" s="795"/>
      <c r="AR219" s="800"/>
      <c r="AS219" s="795"/>
      <c r="AT219" s="795"/>
      <c r="AU219" s="795"/>
      <c r="AV219" s="795"/>
      <c r="AW219" s="795"/>
      <c r="AX219" s="794" t="s">
        <v>43</v>
      </c>
      <c r="AY219" s="799" t="s">
        <v>140</v>
      </c>
      <c r="AZ219" s="795"/>
      <c r="BA219" s="795"/>
      <c r="BB219" s="795"/>
      <c r="BC219" s="523"/>
      <c r="BD219" s="523"/>
      <c r="BE219" s="794"/>
      <c r="BF219" s="795">
        <v>2</v>
      </c>
      <c r="BG219" s="795"/>
      <c r="BH219" s="795"/>
      <c r="BI219" s="795">
        <v>2</v>
      </c>
      <c r="BJ219" s="795"/>
      <c r="BK219" s="795"/>
      <c r="BL219" s="795">
        <v>0</v>
      </c>
      <c r="BM219" s="795">
        <v>6</v>
      </c>
      <c r="BN219" s="795"/>
      <c r="BO219" s="794" t="s">
        <v>139</v>
      </c>
      <c r="BP219" s="801"/>
      <c r="BQ219" s="800"/>
      <c r="BR219" s="794"/>
      <c r="BS219" s="472"/>
      <c r="BT219" s="472"/>
      <c r="BU219" s="523"/>
      <c r="BV219" s="472"/>
      <c r="BW219" s="523"/>
      <c r="BX219" s="523"/>
      <c r="BY219" s="523"/>
      <c r="BZ219" s="802">
        <f>IFERROR(WWWW[[#This Row],['#_Water sources passed]]/WWWW[[#This Row],['#_Water sources tested for fecal coliform ]],"no test")</f>
        <v>0</v>
      </c>
      <c r="CA219" s="800">
        <f>IFERROR(WWWW[[#This Row],['#_Household passed]]/WWWW[[#This Row],['#_Household water samples tested for fecal coliform]],"no test")</f>
        <v>0.5</v>
      </c>
      <c r="CB219" s="801" t="str">
        <f>IF(AND(WWWW[[#This Row],[% of water sources passed]]="no test",WWWW[[#This Row],[% Household passed]]="no test"),"No Test","Tested")</f>
        <v>Tested</v>
      </c>
      <c r="CC219" s="801">
        <f>WWWW[[#This Row],['#_Constructed/existing protected hand dug well]]-WWWW[[#This Row],['#_Non-functional protected hand dug well]]</f>
        <v>0</v>
      </c>
      <c r="CD219" s="801">
        <f>(WWWW[[#This Row],['#_Constructed/Existing tube wells/boreholes/handpumps_WASH_agency]]+WWWW[[#This Row],['#_Non-Cluster partner water tube-wells/boreholes/handpumps]])-WWWW[[#This Row],['#_Non-functional tube wells/boreholes/handpumps]]</f>
        <v>1</v>
      </c>
      <c r="CE219" s="801">
        <f>WWWW[[#This Row],['#_Constructed/Existingwater storage tank with gravity fed reticulation system]]-WWWW[[#This Row],['#_Non-functional storage tank gravity fed reticulation system]]</f>
        <v>0</v>
      </c>
      <c r="CF219" s="801">
        <f>(WWWW[[#This Row],['#_Water_Liters_supplied_by_Water boating or water trucking]]/90)/15</f>
        <v>0</v>
      </c>
      <c r="CG219" s="801">
        <f>WWWW[[#This Row],['#_Water_Liters_from_Constructed/Existing water distribution system from river or natural spring]]/90/15</f>
        <v>0</v>
      </c>
      <c r="CH219" s="473">
        <f>WWWW[[#This Row],['#_of water points in TLS/CFS /THF]]*500</f>
        <v>0</v>
      </c>
      <c r="CI21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1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19" s="800">
        <f>IF(WWWW[[#This Row],[Location Type 1]]="Village",WWWW[[#This Row],[Access to safe drinking water for Village]],WWWW[[#This Row],[Access to safe drinking water for Camp]])</f>
        <v>1</v>
      </c>
      <c r="CL219" s="798">
        <f>WWWW[[#This Row],[%Equitable and continuous access to sufficient quantity of safe drinking water]]*WWWW[[#This Row],[Total PoP ]]</f>
        <v>39</v>
      </c>
      <c r="CM219" s="800">
        <f>IF((WWWW[[#This Row],['#_Constructed/Existing protected/fenced ponds]]*250)/WWWW[[#This Row],[Total PoP ]]&gt;1,1,(WWWW[[#This Row],['#_Constructed/Existing protected/fenced ponds]]*250)/WWWW[[#This Row],[Total PoP ]])</f>
        <v>0</v>
      </c>
      <c r="CN219" s="798">
        <f>WWWW[[#This Row],[% Access to unimproved water points]]*WWWW[[#This Row],[Total PoP ]]</f>
        <v>0</v>
      </c>
      <c r="CO21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1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Q219" s="798">
        <f>WWWW[[#This Row],[HRP1]]/500</f>
        <v>7.8E-2</v>
      </c>
      <c r="CR219" s="803">
        <f>1-WWWW[[#This Row],[% Equitable and continuous access to sufficient quantity of domestic water]]</f>
        <v>0</v>
      </c>
      <c r="CS219" s="798">
        <f>WWWW[[#This Row],[%equitable and continuous access to sufficient quantity of safe drinking and domestic water''s GAP]]*WWWW[[#This Row],[Total PoP ]]</f>
        <v>0</v>
      </c>
      <c r="CT219" s="801">
        <f>IF(WWWW[[#This Row],[Total required water points]]-WWWW[[#This Row],['#Water points coverage]]&lt;0,0,WWWW[[#This Row],[Total required water points]]-WWWW[[#This Row],['#Water points coverage]])</f>
        <v>0.92200000000000004</v>
      </c>
      <c r="CU219" s="801">
        <f>ROUND(IF(WWWW[[#This Row],[Total PoP ]]&lt;500,1,WWWW[[#This Row],[Total PoP ]]/500),0)</f>
        <v>1</v>
      </c>
      <c r="CV219" s="801">
        <f>(WWWW[[#This Row],['#_Constructed latrines_by_WASHAgencies]]+WWWW[[#This Row],['#_Non Cluster partner latrines]])-WWWW[[#This Row],['#_Non-functional latrines]]</f>
        <v>0</v>
      </c>
      <c r="CW219" s="804">
        <f>WWWW[[#This Row],[HRP2]]/WWWW[[#This Row],[Total PoP ]]</f>
        <v>0</v>
      </c>
      <c r="CX21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1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1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19" s="473">
        <f>IF(WWWW[[#This Row],['# of functional latrines in THF supported by WASH partners during the reporting period2]]="",0,WWWW[[#This Row],['# of functional latrines in THF supported by WASH partners during the reporting period2]]*50)</f>
        <v>0</v>
      </c>
      <c r="DB219" s="473">
        <f>WWWW[[#This Row],['# students access to functioning school latrines_HRP5]]+WWWW[[#This Row],['# People access to functioning latrines in THF_HRP5]]</f>
        <v>0</v>
      </c>
      <c r="DC219" s="801">
        <f>ROUND(IF(WWWW[[#This Row],[Location Type 1]]="camp",WWWW[[#This Row],[Total PoP ]]/20,IF(WWWW[[#This Row],[Location Type 1]]="Temporary Location",WWWW[[#This Row],[Total PoP ]]/50,(WWWW[[#This Row],[Total PoP ]]/6))),0)</f>
        <v>2</v>
      </c>
      <c r="DD219" s="801">
        <f>IF(WWWW[[#This Row],[Total required Latrines]]-(WWWW[[#This Row],['#_Constructed latrines_by_WASHAgencies]]+WWWW[[#This Row],['#_Non Cluster partner latrines]])&lt;0,0,WWWW[[#This Row],[Total required Latrines]]-(WWWW[[#This Row],['#_Constructed latrines_by_WASHAgencies]]+WWWW[[#This Row],['#_Non Cluster partner latrines]]))</f>
        <v>2</v>
      </c>
      <c r="DE219" s="803">
        <f>1-WWWW[[#This Row],[% people access to functioning Latrine]]</f>
        <v>1</v>
      </c>
      <c r="DF219" s="802">
        <f>IF(OR(WWWW[[#This Row],['#_Non-functional latrines]]="",WWWW[[#This Row],['#_Non-functional latrines]]=0),0,WWWW[[#This Row],['#_Non-functional latrines]]/(WWWW[[#This Row],['#_Constructed latrines_by_WASHAgencies]]+WWWW[[#This Row],['#_Non Cluster partner latrines]]))</f>
        <v>0</v>
      </c>
      <c r="DG219" s="798">
        <f>IF(500*(WWWW[[#This Row],['#_male hygiene promoters]]+WWWW[[#This Row],['#_female hygiene promoters]])&gt;WWWW[[#This Row],[Total PoP ]],WWWW[[#This Row],[Total PoP ]],500*(WWWW[[#This Row],['#_male hygiene promoters]]+WWWW[[#This Row],['#_female hygiene promoters]]))</f>
        <v>0</v>
      </c>
      <c r="DH21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1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19" s="801">
        <f>IF(WWWW[[#This Row],['# People with access to soap]]&gt;WWWW[[#This Row],['# People with access to Sanity Pads]],WWWW[[#This Row],['# People with access to soap]],WWWW[[#This Row],['# People with access to Sanity Pads]])</f>
        <v>30</v>
      </c>
      <c r="DK219" s="80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219" s="803">
        <f>IF(WWWW[[#This Row],[HRP3]]/WWWW[[#This Row],[Total PoP ]]&gt;1,1,WWWW[[#This Row],[HRP3]]/WWWW[[#This Row],[Total PoP ]])</f>
        <v>0.76923076923076927</v>
      </c>
      <c r="DM219" s="802">
        <f>1-WWWW[[#This Row],[Hygiene Coverage%]]</f>
        <v>0.23076923076923073</v>
      </c>
      <c r="DN219" s="800">
        <f>WWWW[[#This Row],['# people reached by regular dedicated hygiene promotion_5]]/WWWW[[#This Row],[Total PoP ]]</f>
        <v>0</v>
      </c>
      <c r="DO21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1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19" s="801">
        <f>WWWW[[#This Row],['#_Constructed/Existing hand washing stations]]-WWWW[[#This Row],['#_Non-Functional_hand_washing_stations]]</f>
        <v>2</v>
      </c>
      <c r="DR219" s="798">
        <f>IF(WWWW[[#This Row],['# Functional hand washing stations during reporting period]]*20&gt;WWWW[[#This Row],[Total HH]],WWWW[[#This Row],[Total HH]],WWWW[[#This Row],['# Functional hand washing stations during reporting period]]*20)</f>
        <v>14</v>
      </c>
      <c r="DS219" s="798">
        <f>IF(WWWW[[#This Row],[Is sufficient soap available for TLS? (Yes/No)]]="yes",WWWW[[#This Row],['#_Constructed/Existing hand washing stations at TLS]],0)</f>
        <v>0</v>
      </c>
      <c r="DT219" s="479">
        <f>IF(WWWW[[#This Row],['# Functional hand washing stations during reporting period]]*100&gt;WWWW[[#This Row],[Total PoP ]],WWWW[[#This Row],[Total PoP ]],WWWW[[#This Row],['# Functional hand washing stations during reporting period]]*100)</f>
        <v>39</v>
      </c>
      <c r="DU219" s="479" t="str">
        <f>IF(OR(WWWW[[#This Row],['#_students at TLS_CFS]]="",WWWW[[#This Row],['#_students at TLS_CFS]]=0),"No","Yes")</f>
        <v>No</v>
      </c>
      <c r="DV21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19" s="794">
        <f>VLOOKUP(WWWW[[#This Row],[Site Name]],SiteDB6[[Site Name]:[CCCM Management]],6,FALSE)</f>
        <v>0</v>
      </c>
      <c r="DZ219" s="794" t="str">
        <f>VLOOKUP(WWWW[[#This Row],[Site Name]],SiteDB6[[Site Name]:[CCCM Focal Agency]],7,FALSE)</f>
        <v>KMSS-MYT</v>
      </c>
      <c r="EA219" s="794" t="str">
        <f>VLOOKUP(WWWW[[#This Row],[Site Name]],SiteDB6[[Site Name]:[Location Type 1]],9,FALSE)</f>
        <v>Camp</v>
      </c>
      <c r="EB219" s="794" t="str">
        <f>VLOOKUP(WWWW[[#This Row],[Site Name]],SiteDB6[[Site Name]:[Type of Accommodation]],10,FALSE)</f>
        <v>Camp</v>
      </c>
      <c r="EC219" s="794" t="str">
        <f>VLOOKUP(WWWW[[#This Row],[Site Name]],SiteDB6[[Site Name]:[Ethnic or GCA/NGCA]],11,FALSE)</f>
        <v>GCA</v>
      </c>
      <c r="ED219" s="794">
        <f>VLOOKUP(WWWW[[#This Row],[Site Name]],SiteDB6[[Site Name]:[Lat]],12,FALSE)</f>
        <v>0</v>
      </c>
      <c r="EE219" s="794">
        <f>VLOOKUP(WWWW[[#This Row],[Site Name]],SiteDB6[[Site Name]:[Long]],13,FALSE)</f>
        <v>0</v>
      </c>
      <c r="EF219" s="794" t="str">
        <f>VLOOKUP(WWWW[[#This Row],[Site Name]],SiteDB6[[Site Name]:[Pcode]],3,FALSE)</f>
        <v>MMR001CMP256</v>
      </c>
      <c r="EG219" s="799" t="str">
        <f t="shared" si="4"/>
        <v>Covered</v>
      </c>
      <c r="EH219" s="799" t="str">
        <f>VLOOKUP(WWWW[[#This Row],[Site Name]],Site_DB!$C$389:$D$1120,2,FALSE)</f>
        <v>cccm_2019OCT</v>
      </c>
    </row>
    <row r="220" spans="1:138" hidden="1">
      <c r="A220" s="792" t="s">
        <v>3262</v>
      </c>
      <c r="B220" s="792" t="s">
        <v>144</v>
      </c>
      <c r="C220" s="793" t="s">
        <v>144</v>
      </c>
      <c r="D220" s="793"/>
      <c r="E220" s="793" t="s">
        <v>39</v>
      </c>
      <c r="F220" s="793" t="s">
        <v>162</v>
      </c>
      <c r="G220" s="721" t="str">
        <f>VLOOKUP(WWWW[[#This Row],[Site Name]],SiteDB6[[Site Name]:[Location Type]],8,FALSE)</f>
        <v>Camp_not registered</v>
      </c>
      <c r="H220" s="793" t="s">
        <v>2080</v>
      </c>
      <c r="I220" s="795">
        <v>51</v>
      </c>
      <c r="J220" s="795">
        <v>252</v>
      </c>
      <c r="K220" s="796"/>
      <c r="L220" s="797"/>
      <c r="M220" s="795"/>
      <c r="N220" s="795"/>
      <c r="O220" s="795"/>
      <c r="P220" s="795"/>
      <c r="Q220" s="798"/>
      <c r="R220" s="795"/>
      <c r="S220" s="795">
        <v>4</v>
      </c>
      <c r="T220" s="523">
        <v>0</v>
      </c>
      <c r="U220" s="795"/>
      <c r="V220" s="795"/>
      <c r="W220" s="795">
        <v>0</v>
      </c>
      <c r="X220" s="795"/>
      <c r="Y220" s="795"/>
      <c r="Z220" s="795"/>
      <c r="AA220" s="795"/>
      <c r="AB220" s="795"/>
      <c r="AC220" s="795"/>
      <c r="AD220" s="795"/>
      <c r="AE220" s="795"/>
      <c r="AF220" s="795"/>
      <c r="AG220" s="795"/>
      <c r="AH220" s="795">
        <v>0</v>
      </c>
      <c r="AI220" s="795"/>
      <c r="AJ220" s="795"/>
      <c r="AK220" s="795"/>
      <c r="AL220" s="795"/>
      <c r="AM220" s="795"/>
      <c r="AN220" s="795"/>
      <c r="AO220" s="799"/>
      <c r="AP220" s="795">
        <v>0</v>
      </c>
      <c r="AQ220" s="795"/>
      <c r="AR220" s="800"/>
      <c r="AS220" s="795"/>
      <c r="AT220" s="795"/>
      <c r="AU220" s="795"/>
      <c r="AV220" s="795"/>
      <c r="AW220" s="795">
        <v>0</v>
      </c>
      <c r="AX220" s="799" t="s">
        <v>143</v>
      </c>
      <c r="AY220" s="799" t="s">
        <v>143</v>
      </c>
      <c r="AZ220" s="795"/>
      <c r="BA220" s="795"/>
      <c r="BB220" s="795"/>
      <c r="BC220" s="523"/>
      <c r="BD220" s="523"/>
      <c r="BE220" s="794"/>
      <c r="BF220" s="795"/>
      <c r="BG220" s="795"/>
      <c r="BH220" s="795"/>
      <c r="BI220" s="795">
        <v>0</v>
      </c>
      <c r="BJ220" s="795"/>
      <c r="BK220" s="795"/>
      <c r="BL220" s="795"/>
      <c r="BM220" s="795"/>
      <c r="BN220" s="795"/>
      <c r="BO220" s="794"/>
      <c r="BP220" s="801"/>
      <c r="BQ220" s="800"/>
      <c r="BR220" s="794"/>
      <c r="BS220" s="472"/>
      <c r="BT220" s="472"/>
      <c r="BU220" s="474"/>
      <c r="BV220" s="472"/>
      <c r="BW220" s="523"/>
      <c r="BX220" s="523"/>
      <c r="BY220" s="523"/>
      <c r="BZ220" s="802" t="str">
        <f>IFERROR(WWWW[[#This Row],['#_Water sources passed]]/WWWW[[#This Row],['#_Water sources tested for fecal coliform ]],"no test")</f>
        <v>no test</v>
      </c>
      <c r="CA220" s="800" t="str">
        <f>IFERROR(WWWW[[#This Row],['#_Household passed]]/WWWW[[#This Row],['#_Household water samples tested for fecal coliform]],"no test")</f>
        <v>no test</v>
      </c>
      <c r="CB220" s="801" t="str">
        <f>IF(AND(WWWW[[#This Row],[% of water sources passed]]="no test",WWWW[[#This Row],[% Household passed]]="no test"),"No Test","Tested")</f>
        <v>No Test</v>
      </c>
      <c r="CC220" s="801">
        <f>WWWW[[#This Row],['#_Constructed/existing protected hand dug well]]-WWWW[[#This Row],['#_Non-functional protected hand dug well]]</f>
        <v>0</v>
      </c>
      <c r="CD220" s="801">
        <f>(WWWW[[#This Row],['#_Constructed/Existing tube wells/boreholes/handpumps_WASH_agency]]+WWWW[[#This Row],['#_Non-Cluster partner water tube-wells/boreholes/handpumps]])-WWWW[[#This Row],['#_Non-functional tube wells/boreholes/handpumps]]</f>
        <v>0</v>
      </c>
      <c r="CE220" s="801">
        <f>WWWW[[#This Row],['#_Constructed/Existingwater storage tank with gravity fed reticulation system]]-WWWW[[#This Row],['#_Non-functional storage tank gravity fed reticulation system]]</f>
        <v>0</v>
      </c>
      <c r="CF220" s="801">
        <f>(WWWW[[#This Row],['#_Water_Liters_supplied_by_Water boating or water trucking]]/90)/15</f>
        <v>0</v>
      </c>
      <c r="CG220" s="801">
        <f>WWWW[[#This Row],['#_Water_Liters_from_Constructed/Existing water distribution system from river or natural spring]]/90/15</f>
        <v>0</v>
      </c>
      <c r="CH220" s="473">
        <f>WWWW[[#This Row],['#_of water points in TLS/CFS /THF]]*500</f>
        <v>0</v>
      </c>
      <c r="CI22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2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20" s="800">
        <f>IF(WWWW[[#This Row],[Location Type 1]]="Village",WWWW[[#This Row],[Access to safe drinking water for Village]],WWWW[[#This Row],[Access to safe drinking water for Camp]])</f>
        <v>0</v>
      </c>
      <c r="CL220" s="798">
        <f>WWWW[[#This Row],[%Equitable and continuous access to sufficient quantity of safe drinking water]]*WWWW[[#This Row],[Total PoP ]]</f>
        <v>0</v>
      </c>
      <c r="CM220" s="800">
        <f>IF((WWWW[[#This Row],['#_Constructed/Existing protected/fenced ponds]]*250)/WWWW[[#This Row],[Total PoP ]]&gt;1,1,(WWWW[[#This Row],['#_Constructed/Existing protected/fenced ponds]]*250)/WWWW[[#This Row],[Total PoP ]])</f>
        <v>0</v>
      </c>
      <c r="CN220" s="798">
        <f>WWWW[[#This Row],[% Access to unimproved water points]]*WWWW[[#This Row],[Total PoP ]]</f>
        <v>0</v>
      </c>
      <c r="CO22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2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20" s="798">
        <f>WWWW[[#This Row],[HRP1]]/500</f>
        <v>0</v>
      </c>
      <c r="CR220" s="803">
        <f>1-WWWW[[#This Row],[% Equitable and continuous access to sufficient quantity of domestic water]]</f>
        <v>1</v>
      </c>
      <c r="CS220" s="798">
        <f>WWWW[[#This Row],[%equitable and continuous access to sufficient quantity of safe drinking and domestic water''s GAP]]*WWWW[[#This Row],[Total PoP ]]</f>
        <v>252</v>
      </c>
      <c r="CT220" s="801">
        <f>IF(WWWW[[#This Row],[Total required water points]]-WWWW[[#This Row],['#Water points coverage]]&lt;0,0,WWWW[[#This Row],[Total required water points]]-WWWW[[#This Row],['#Water points coverage]])</f>
        <v>1</v>
      </c>
      <c r="CU220" s="801">
        <f>ROUND(IF(WWWW[[#This Row],[Total PoP ]]&lt;500,1,WWWW[[#This Row],[Total PoP ]]/500),0)</f>
        <v>1</v>
      </c>
      <c r="CV220" s="801">
        <f>(WWWW[[#This Row],['#_Constructed latrines_by_WASHAgencies]]+WWWW[[#This Row],['#_Non Cluster partner latrines]])-WWWW[[#This Row],['#_Non-functional latrines]]</f>
        <v>0</v>
      </c>
      <c r="CW220" s="804">
        <f>WWWW[[#This Row],[HRP2]]/WWWW[[#This Row],[Total PoP ]]</f>
        <v>0</v>
      </c>
      <c r="CX22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2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0" s="473">
        <f>IF(WWWW[[#This Row],['# of functional latrines in THF supported by WASH partners during the reporting period2]]="",0,WWWW[[#This Row],['# of functional latrines in THF supported by WASH partners during the reporting period2]]*50)</f>
        <v>0</v>
      </c>
      <c r="DB220" s="473">
        <f>WWWW[[#This Row],['# students access to functioning school latrines_HRP5]]+WWWW[[#This Row],['# People access to functioning latrines in THF_HRP5]]</f>
        <v>0</v>
      </c>
      <c r="DC220" s="801">
        <f>ROUND(IF(WWWW[[#This Row],[Location Type 1]]="camp",WWWW[[#This Row],[Total PoP ]]/20,IF(WWWW[[#This Row],[Location Type 1]]="Temporary Location",WWWW[[#This Row],[Total PoP ]]/50,(WWWW[[#This Row],[Total PoP ]]/6))),0)</f>
        <v>13</v>
      </c>
      <c r="DD220" s="801">
        <f>IF(WWWW[[#This Row],[Total required Latrines]]-(WWWW[[#This Row],['#_Constructed latrines_by_WASHAgencies]]+WWWW[[#This Row],['#_Non Cluster partner latrines]])&lt;0,0,WWWW[[#This Row],[Total required Latrines]]-(WWWW[[#This Row],['#_Constructed latrines_by_WASHAgencies]]+WWWW[[#This Row],['#_Non Cluster partner latrines]]))</f>
        <v>13</v>
      </c>
      <c r="DE220" s="803">
        <f>1-WWWW[[#This Row],[% people access to functioning Latrine]]</f>
        <v>1</v>
      </c>
      <c r="DF220" s="802">
        <f>IF(OR(WWWW[[#This Row],['#_Non-functional latrines]]="",WWWW[[#This Row],['#_Non-functional latrines]]=0),0,WWWW[[#This Row],['#_Non-functional latrines]]/(WWWW[[#This Row],['#_Constructed latrines_by_WASHAgencies]]+WWWW[[#This Row],['#_Non Cluster partner latrines]]))</f>
        <v>0</v>
      </c>
      <c r="DG220" s="798">
        <f>IF(500*(WWWW[[#This Row],['#_male hygiene promoters]]+WWWW[[#This Row],['#_female hygiene promoters]])&gt;WWWW[[#This Row],[Total PoP ]],WWWW[[#This Row],[Total PoP ]],500*(WWWW[[#This Row],['#_male hygiene promoters]]+WWWW[[#This Row],['#_female hygiene promoters]]))</f>
        <v>0</v>
      </c>
      <c r="DH22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0" s="801">
        <f>IF(WWWW[[#This Row],['# People with access to soap]]&gt;WWWW[[#This Row],['# People with access to Sanity Pads]],WWWW[[#This Row],['# People with access to soap]],WWWW[[#This Row],['# People with access to Sanity Pads]])</f>
        <v>0</v>
      </c>
      <c r="DK220"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0" s="803">
        <f>IF(WWWW[[#This Row],[HRP3]]/WWWW[[#This Row],[Total PoP ]]&gt;1,1,WWWW[[#This Row],[HRP3]]/WWWW[[#This Row],[Total PoP ]])</f>
        <v>0</v>
      </c>
      <c r="DM220" s="802">
        <f>1-WWWW[[#This Row],[Hygiene Coverage%]]</f>
        <v>1</v>
      </c>
      <c r="DN220" s="800">
        <f>WWWW[[#This Row],['# people reached by regular dedicated hygiene promotion_5]]/WWWW[[#This Row],[Total PoP ]]</f>
        <v>0</v>
      </c>
      <c r="DO22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0" s="801">
        <f>WWWW[[#This Row],['#_Constructed/Existing hand washing stations]]-WWWW[[#This Row],['#_Non-Functional_hand_washing_stations]]</f>
        <v>0</v>
      </c>
      <c r="DR220" s="798">
        <f>IF(WWWW[[#This Row],['# Functional hand washing stations during reporting period]]*20&gt;WWWW[[#This Row],[Total HH]],WWWW[[#This Row],[Total HH]],WWWW[[#This Row],['# Functional hand washing stations during reporting period]]*20)</f>
        <v>0</v>
      </c>
      <c r="DS220" s="798">
        <f>IF(WWWW[[#This Row],[Is sufficient soap available for TLS? (Yes/No)]]="yes",WWWW[[#This Row],['#_Constructed/Existing hand washing stations at TLS]],0)</f>
        <v>0</v>
      </c>
      <c r="DT220" s="479">
        <f>IF(WWWW[[#This Row],['# Functional hand washing stations during reporting period]]*100&gt;WWWW[[#This Row],[Total PoP ]],WWWW[[#This Row],[Total PoP ]],WWWW[[#This Row],['# Functional hand washing stations during reporting period]]*100)</f>
        <v>0</v>
      </c>
      <c r="DU220" s="479" t="str">
        <f>IF(OR(WWWW[[#This Row],['#_students at TLS_CFS]]="",WWWW[[#This Row],['#_students at TLS_CFS]]=0),"No","Yes")</f>
        <v>No</v>
      </c>
      <c r="DV22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0" s="794">
        <f>VLOOKUP(WWWW[[#This Row],[Site Name]],SiteDB6[[Site Name]:[CCCM Management]],6,FALSE)</f>
        <v>0</v>
      </c>
      <c r="DZ220" s="794">
        <f>VLOOKUP(WWWW[[#This Row],[Site Name]],SiteDB6[[Site Name]:[CCCM Focal Agency]],7,FALSE)</f>
        <v>0</v>
      </c>
      <c r="EA220" s="794" t="str">
        <f>VLOOKUP(WWWW[[#This Row],[Site Name]],SiteDB6[[Site Name]:[Location Type 1]],9,FALSE)</f>
        <v>Camp</v>
      </c>
      <c r="EB220" s="794" t="str">
        <f>VLOOKUP(WWWW[[#This Row],[Site Name]],SiteDB6[[Site Name]:[Type of Accommodation]],10,FALSE)</f>
        <v>Camp like setting</v>
      </c>
      <c r="EC220" s="794" t="str">
        <f>VLOOKUP(WWWW[[#This Row],[Site Name]],SiteDB6[[Site Name]:[Ethnic or GCA/NGCA]],11,FALSE)</f>
        <v>NGCA</v>
      </c>
      <c r="ED220" s="794">
        <f>VLOOKUP(WWWW[[#This Row],[Site Name]],SiteDB6[[Site Name]:[Lat]],12,FALSE)</f>
        <v>0</v>
      </c>
      <c r="EE220" s="794">
        <f>VLOOKUP(WWWW[[#This Row],[Site Name]],SiteDB6[[Site Name]:[Long]],13,FALSE)</f>
        <v>0</v>
      </c>
      <c r="EF220" s="794">
        <f>VLOOKUP(WWWW[[#This Row],[Site Name]],SiteDB6[[Site Name]:[Pcode]],3,FALSE)</f>
        <v>0</v>
      </c>
      <c r="EG220" s="799" t="str">
        <f t="shared" si="4"/>
        <v>Covered</v>
      </c>
      <c r="EH220" s="799">
        <f>VLOOKUP(WWWW[[#This Row],[Site Name]],Site_DB!$C$389:$D$1120,2,FALSE)</f>
        <v>0</v>
      </c>
    </row>
    <row r="221" spans="1:138" hidden="1">
      <c r="A221" s="792" t="s">
        <v>3262</v>
      </c>
      <c r="B221" s="792" t="s">
        <v>144</v>
      </c>
      <c r="C221" s="793" t="s">
        <v>144</v>
      </c>
      <c r="D221" s="793" t="s">
        <v>3277</v>
      </c>
      <c r="E221" s="793" t="s">
        <v>39</v>
      </c>
      <c r="F221" s="793" t="s">
        <v>176</v>
      </c>
      <c r="G221" s="721" t="str">
        <f>VLOOKUP(WWWW[[#This Row],[Site Name]],SiteDB6[[Site Name]:[Location Type]],8,FALSE)</f>
        <v>Camp</v>
      </c>
      <c r="H221" s="793" t="s">
        <v>177</v>
      </c>
      <c r="I221" s="795">
        <v>60</v>
      </c>
      <c r="J221" s="795">
        <v>289</v>
      </c>
      <c r="K221" s="796" t="s">
        <v>3278</v>
      </c>
      <c r="L221" s="797" t="s">
        <v>3279</v>
      </c>
      <c r="M221" s="795"/>
      <c r="N221" s="795"/>
      <c r="O221" s="795"/>
      <c r="P221" s="795"/>
      <c r="Q221" s="798" t="s">
        <v>43</v>
      </c>
      <c r="R221" s="795"/>
      <c r="S221" s="795"/>
      <c r="T221" s="523">
        <v>1</v>
      </c>
      <c r="U221" s="795"/>
      <c r="V221" s="795"/>
      <c r="W221" s="795"/>
      <c r="X221" s="795"/>
      <c r="Y221" s="795"/>
      <c r="Z221" s="795"/>
      <c r="AA221" s="795"/>
      <c r="AB221" s="795"/>
      <c r="AC221" s="795"/>
      <c r="AD221" s="795"/>
      <c r="AE221" s="795">
        <v>1</v>
      </c>
      <c r="AF221" s="795"/>
      <c r="AG221" s="795"/>
      <c r="AH221" s="795">
        <v>1</v>
      </c>
      <c r="AI221" s="795"/>
      <c r="AJ221" s="795"/>
      <c r="AK221" s="795"/>
      <c r="AL221" s="795"/>
      <c r="AM221" s="795"/>
      <c r="AN221" s="795"/>
      <c r="AO221" s="799"/>
      <c r="AP221" s="795">
        <v>12</v>
      </c>
      <c r="AQ221" s="795"/>
      <c r="AR221" s="800"/>
      <c r="AS221" s="795"/>
      <c r="AT221" s="795"/>
      <c r="AU221" s="795"/>
      <c r="AV221" s="795"/>
      <c r="AW221" s="795">
        <v>12</v>
      </c>
      <c r="AX221" s="794" t="s">
        <v>43</v>
      </c>
      <c r="AY221" s="799" t="s">
        <v>140</v>
      </c>
      <c r="AZ221" s="795"/>
      <c r="BA221" s="795"/>
      <c r="BB221" s="795"/>
      <c r="BC221" s="523"/>
      <c r="BD221" s="523"/>
      <c r="BE221" s="794"/>
      <c r="BF221" s="795">
        <v>4</v>
      </c>
      <c r="BG221" s="795"/>
      <c r="BH221" s="795"/>
      <c r="BI221" s="795">
        <v>2</v>
      </c>
      <c r="BJ221" s="795"/>
      <c r="BK221" s="795"/>
      <c r="BL221" s="795">
        <v>2</v>
      </c>
      <c r="BM221" s="795"/>
      <c r="BN221" s="795"/>
      <c r="BO221" s="794"/>
      <c r="BP221" s="801"/>
      <c r="BQ221" s="800"/>
      <c r="BR221" s="794"/>
      <c r="BS221" s="472"/>
      <c r="BT221" s="472"/>
      <c r="BU221" s="474"/>
      <c r="BV221" s="472"/>
      <c r="BW221" s="523"/>
      <c r="BX221" s="523"/>
      <c r="BY221" s="523"/>
      <c r="BZ221" s="802" t="str">
        <f>IFERROR(WWWW[[#This Row],['#_Water sources passed]]/WWWW[[#This Row],['#_Water sources tested for fecal coliform ]],"no test")</f>
        <v>no test</v>
      </c>
      <c r="CA221" s="800" t="str">
        <f>IFERROR(WWWW[[#This Row],['#_Household passed]]/WWWW[[#This Row],['#_Household water samples tested for fecal coliform]],"no test")</f>
        <v>no test</v>
      </c>
      <c r="CB221" s="801" t="str">
        <f>IF(AND(WWWW[[#This Row],[% of water sources passed]]="no test",WWWW[[#This Row],[% Household passed]]="no test"),"No Test","Tested")</f>
        <v>No Test</v>
      </c>
      <c r="CC221" s="801">
        <f>WWWW[[#This Row],['#_Constructed/existing protected hand dug well]]-WWWW[[#This Row],['#_Non-functional protected hand dug well]]</f>
        <v>1</v>
      </c>
      <c r="CD221" s="801">
        <f>(WWWW[[#This Row],['#_Constructed/Existing tube wells/boreholes/handpumps_WASH_agency]]+WWWW[[#This Row],['#_Non-Cluster partner water tube-wells/boreholes/handpumps]])-WWWW[[#This Row],['#_Non-functional tube wells/boreholes/handpumps]]</f>
        <v>0</v>
      </c>
      <c r="CE221" s="801">
        <f>WWWW[[#This Row],['#_Constructed/Existingwater storage tank with gravity fed reticulation system]]-WWWW[[#This Row],['#_Non-functional storage tank gravity fed reticulation system]]</f>
        <v>0</v>
      </c>
      <c r="CF221" s="801">
        <f>(WWWW[[#This Row],['#_Water_Liters_supplied_by_Water boating or water trucking]]/90)/15</f>
        <v>0</v>
      </c>
      <c r="CG221" s="801">
        <f>WWWW[[#This Row],['#_Water_Liters_from_Constructed/Existing water distribution system from river or natural spring]]/90/15</f>
        <v>0</v>
      </c>
      <c r="CH221" s="473">
        <f>WWWW[[#This Row],['#_of water points in TLS/CFS /THF]]*500</f>
        <v>0</v>
      </c>
      <c r="CI22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221" s="800">
        <f>IF(WWWW[[#This Row],[Location Type 1]]="Village",WWWW[[#This Row],[Access to safe drinking water for Village]],WWWW[[#This Row],[Access to safe drinking water for Camp]])</f>
        <v>1</v>
      </c>
      <c r="CL221" s="798">
        <f>WWWW[[#This Row],[%Equitable and continuous access to sufficient quantity of safe drinking water]]*WWWW[[#This Row],[Total PoP ]]</f>
        <v>289</v>
      </c>
      <c r="CM221" s="800">
        <f>IF((WWWW[[#This Row],['#_Constructed/Existing protected/fenced ponds]]*250)/WWWW[[#This Row],[Total PoP ]]&gt;1,1,(WWWW[[#This Row],['#_Constructed/Existing protected/fenced ponds]]*250)/WWWW[[#This Row],[Total PoP ]])</f>
        <v>0.86505190311418689</v>
      </c>
      <c r="CN221" s="798">
        <f>WWWW[[#This Row],[% Access to unimproved water points]]*WWWW[[#This Row],[Total PoP ]]</f>
        <v>250</v>
      </c>
      <c r="CO22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221" s="798">
        <f>WWWW[[#This Row],[HRP1]]/500</f>
        <v>0.57799999999999996</v>
      </c>
      <c r="CR221" s="803">
        <f>1-WWWW[[#This Row],[% Equitable and continuous access to sufficient quantity of domestic water]]</f>
        <v>0</v>
      </c>
      <c r="CS221" s="798">
        <f>WWWW[[#This Row],[%equitable and continuous access to sufficient quantity of safe drinking and domestic water''s GAP]]*WWWW[[#This Row],[Total PoP ]]</f>
        <v>0</v>
      </c>
      <c r="CT221" s="801">
        <f>IF(WWWW[[#This Row],[Total required water points]]-WWWW[[#This Row],['#Water points coverage]]&lt;0,0,WWWW[[#This Row],[Total required water points]]-WWWW[[#This Row],['#Water points coverage]])</f>
        <v>0.42200000000000004</v>
      </c>
      <c r="CU221" s="801">
        <f>ROUND(IF(WWWW[[#This Row],[Total PoP ]]&lt;500,1,WWWW[[#This Row],[Total PoP ]]/500),0)</f>
        <v>1</v>
      </c>
      <c r="CV221" s="801">
        <f>(WWWW[[#This Row],['#_Constructed latrines_by_WASHAgencies]]+WWWW[[#This Row],['#_Non Cluster partner latrines]])-WWWW[[#This Row],['#_Non-functional latrines]]</f>
        <v>12</v>
      </c>
      <c r="CW221" s="804">
        <f>WWWW[[#This Row],[HRP2]]/WWWW[[#This Row],[Total PoP ]]</f>
        <v>0.83044982698961933</v>
      </c>
      <c r="CX22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2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1" s="473">
        <f>IF(WWWW[[#This Row],['# of functional latrines in THF supported by WASH partners during the reporting period2]]="",0,WWWW[[#This Row],['# of functional latrines in THF supported by WASH partners during the reporting period2]]*50)</f>
        <v>0</v>
      </c>
      <c r="DB221" s="473">
        <f>WWWW[[#This Row],['# students access to functioning school latrines_HRP5]]+WWWW[[#This Row],['# People access to functioning latrines in THF_HRP5]]</f>
        <v>0</v>
      </c>
      <c r="DC221" s="801">
        <f>ROUND(IF(WWWW[[#This Row],[Location Type 1]]="camp",WWWW[[#This Row],[Total PoP ]]/20,IF(WWWW[[#This Row],[Location Type 1]]="Temporary Location",WWWW[[#This Row],[Total PoP ]]/50,(WWWW[[#This Row],[Total PoP ]]/6))),0)</f>
        <v>14</v>
      </c>
      <c r="DD221" s="801">
        <f>IF(WWWW[[#This Row],[Total required Latrines]]-(WWWW[[#This Row],['#_Constructed latrines_by_WASHAgencies]]+WWWW[[#This Row],['#_Non Cluster partner latrines]])&lt;0,0,WWWW[[#This Row],[Total required Latrines]]-(WWWW[[#This Row],['#_Constructed latrines_by_WASHAgencies]]+WWWW[[#This Row],['#_Non Cluster partner latrines]]))</f>
        <v>2</v>
      </c>
      <c r="DE221" s="803">
        <f>1-WWWW[[#This Row],[% people access to functioning Latrine]]</f>
        <v>0.16955017301038067</v>
      </c>
      <c r="DF221" s="802">
        <f>IF(OR(WWWW[[#This Row],['#_Non-functional latrines]]="",WWWW[[#This Row],['#_Non-functional latrines]]=0),0,WWWW[[#This Row],['#_Non-functional latrines]]/(WWWW[[#This Row],['#_Constructed latrines_by_WASHAgencies]]+WWWW[[#This Row],['#_Non Cluster partner latrines]]))</f>
        <v>0</v>
      </c>
      <c r="DG221" s="798">
        <f>IF(500*(WWWW[[#This Row],['#_male hygiene promoters]]+WWWW[[#This Row],['#_female hygiene promoters]])&gt;WWWW[[#This Row],[Total PoP ]],WWWW[[#This Row],[Total PoP ]],500*(WWWW[[#This Row],['#_male hygiene promoters]]+WWWW[[#This Row],['#_female hygiene promoters]]))</f>
        <v>289</v>
      </c>
      <c r="DH22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1" s="801">
        <f>IF(WWWW[[#This Row],['# People with access to soap]]&gt;WWWW[[#This Row],['# People with access to Sanity Pads]],WWWW[[#This Row],['# People with access to soap]],WWWW[[#This Row],['# People with access to Sanity Pads]])</f>
        <v>0</v>
      </c>
      <c r="DK221" s="801">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221" s="803">
        <f>IF(WWWW[[#This Row],[HRP3]]/WWWW[[#This Row],[Total PoP ]]&gt;1,1,WWWW[[#This Row],[HRP3]]/WWWW[[#This Row],[Total PoP ]])</f>
        <v>1</v>
      </c>
      <c r="DM221" s="802">
        <f>1-WWWW[[#This Row],[Hygiene Coverage%]]</f>
        <v>0</v>
      </c>
      <c r="DN221" s="800">
        <f>WWWW[[#This Row],['# people reached by regular dedicated hygiene promotion_5]]/WWWW[[#This Row],[Total PoP ]]</f>
        <v>1</v>
      </c>
      <c r="DO22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1" s="801">
        <f>WWWW[[#This Row],['#_Constructed/Existing hand washing stations]]-WWWW[[#This Row],['#_Non-Functional_hand_washing_stations]]</f>
        <v>4</v>
      </c>
      <c r="DR221" s="798">
        <f>IF(WWWW[[#This Row],['# Functional hand washing stations during reporting period]]*20&gt;WWWW[[#This Row],[Total HH]],WWWW[[#This Row],[Total HH]],WWWW[[#This Row],['# Functional hand washing stations during reporting period]]*20)</f>
        <v>60</v>
      </c>
      <c r="DS221" s="798">
        <f>IF(WWWW[[#This Row],[Is sufficient soap available for TLS? (Yes/No)]]="yes",WWWW[[#This Row],['#_Constructed/Existing hand washing stations at TLS]],0)</f>
        <v>0</v>
      </c>
      <c r="DT221" s="479">
        <f>IF(WWWW[[#This Row],['# Functional hand washing stations during reporting period]]*100&gt;WWWW[[#This Row],[Total PoP ]],WWWW[[#This Row],[Total PoP ]],WWWW[[#This Row],['# Functional hand washing stations during reporting period]]*100)</f>
        <v>289</v>
      </c>
      <c r="DU221" s="479" t="str">
        <f>IF(OR(WWWW[[#This Row],['#_students at TLS_CFS]]="",WWWW[[#This Row],['#_students at TLS_CFS]]=0),"No","Yes")</f>
        <v>No</v>
      </c>
      <c r="DV22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1" s="794" t="str">
        <f>VLOOKUP(WWWW[[#This Row],[Site Name]],SiteDB6[[Site Name]:[CCCM Management]],6,FALSE)</f>
        <v>Yes</v>
      </c>
      <c r="DZ221" s="794" t="str">
        <f>VLOOKUP(WWWW[[#This Row],[Site Name]],SiteDB6[[Site Name]:[CCCM Focal Agency]],7,FALSE)</f>
        <v>KBC-MYT</v>
      </c>
      <c r="EA221" s="794" t="str">
        <f>VLOOKUP(WWWW[[#This Row],[Site Name]],SiteDB6[[Site Name]:[Location Type 1]],9,FALSE)</f>
        <v>Camp</v>
      </c>
      <c r="EB221" s="794" t="str">
        <f>VLOOKUP(WWWW[[#This Row],[Site Name]],SiteDB6[[Site Name]:[Type of Accommodation]],10,FALSE)</f>
        <v>Camp</v>
      </c>
      <c r="EC221" s="794" t="str">
        <f>VLOOKUP(WWWW[[#This Row],[Site Name]],SiteDB6[[Site Name]:[Ethnic or GCA/NGCA]],11,FALSE)</f>
        <v>GCA</v>
      </c>
      <c r="ED221" s="794">
        <f>VLOOKUP(WWWW[[#This Row],[Site Name]],SiteDB6[[Site Name]:[Lat]],12,FALSE)</f>
        <v>27.337499999999999</v>
      </c>
      <c r="EE221" s="794">
        <f>VLOOKUP(WWWW[[#This Row],[Site Name]],SiteDB6[[Site Name]:[Long]],13,FALSE)</f>
        <v>97.416121000000004</v>
      </c>
      <c r="EF221" s="794" t="str">
        <f>VLOOKUP(WWWW[[#This Row],[Site Name]],SiteDB6[[Site Name]:[Pcode]],3,FALSE)</f>
        <v>MMR001CMP234</v>
      </c>
      <c r="EG221" s="799" t="str">
        <f t="shared" si="4"/>
        <v>Covered</v>
      </c>
      <c r="EH221" s="799" t="str">
        <f>VLOOKUP(WWWW[[#This Row],[Site Name]],Site_DB!$C$389:$D$1120,2,FALSE)</f>
        <v>cccm_2019OCT</v>
      </c>
    </row>
    <row r="222" spans="1:138" hidden="1">
      <c r="A222" s="792" t="s">
        <v>3262</v>
      </c>
      <c r="B222" s="792" t="s">
        <v>144</v>
      </c>
      <c r="C222" s="793" t="s">
        <v>144</v>
      </c>
      <c r="D222" s="793" t="s">
        <v>3277</v>
      </c>
      <c r="E222" s="793" t="s">
        <v>39</v>
      </c>
      <c r="F222" s="793" t="s">
        <v>155</v>
      </c>
      <c r="G222" s="721" t="str">
        <f>VLOOKUP(WWWW[[#This Row],[Site Name]],SiteDB6[[Site Name]:[Location Type]],8,FALSE)</f>
        <v>Camp</v>
      </c>
      <c r="H222" s="404" t="s">
        <v>2175</v>
      </c>
      <c r="I222" s="795">
        <v>16</v>
      </c>
      <c r="J222" s="795">
        <v>78</v>
      </c>
      <c r="K222" s="796" t="s">
        <v>3278</v>
      </c>
      <c r="L222" s="797" t="s">
        <v>3279</v>
      </c>
      <c r="M222" s="795"/>
      <c r="N222" s="795"/>
      <c r="O222" s="795"/>
      <c r="P222" s="795"/>
      <c r="Q222" s="798" t="s">
        <v>43</v>
      </c>
      <c r="R222" s="795"/>
      <c r="S222" s="795">
        <v>3</v>
      </c>
      <c r="T222" s="523">
        <v>0</v>
      </c>
      <c r="U222" s="795"/>
      <c r="V222" s="795"/>
      <c r="W222" s="795">
        <v>1</v>
      </c>
      <c r="X222" s="795"/>
      <c r="Y222" s="795"/>
      <c r="Z222" s="795"/>
      <c r="AA222" s="795"/>
      <c r="AB222" s="795"/>
      <c r="AC222" s="795"/>
      <c r="AD222" s="795"/>
      <c r="AE222" s="795"/>
      <c r="AF222" s="795"/>
      <c r="AG222" s="795"/>
      <c r="AH222" s="795">
        <v>2</v>
      </c>
      <c r="AI222" s="795"/>
      <c r="AJ222" s="795"/>
      <c r="AK222" s="795"/>
      <c r="AL222" s="795"/>
      <c r="AM222" s="795"/>
      <c r="AN222" s="795"/>
      <c r="AO222" s="799"/>
      <c r="AP222" s="795">
        <v>2</v>
      </c>
      <c r="AQ222" s="795"/>
      <c r="AR222" s="800"/>
      <c r="AS222" s="795"/>
      <c r="AT222" s="795"/>
      <c r="AU222" s="795"/>
      <c r="AV222" s="795"/>
      <c r="AW222" s="795">
        <v>2</v>
      </c>
      <c r="AX222" s="794" t="s">
        <v>43</v>
      </c>
      <c r="AY222" s="799" t="s">
        <v>140</v>
      </c>
      <c r="AZ222" s="795"/>
      <c r="BA222" s="795"/>
      <c r="BB222" s="795"/>
      <c r="BC222" s="523"/>
      <c r="BD222" s="523"/>
      <c r="BE222" s="794"/>
      <c r="BF222" s="795">
        <v>2</v>
      </c>
      <c r="BG222" s="795"/>
      <c r="BH222" s="795"/>
      <c r="BI222" s="795">
        <v>2</v>
      </c>
      <c r="BJ222" s="795"/>
      <c r="BK222" s="795"/>
      <c r="BL222" s="795">
        <v>1</v>
      </c>
      <c r="BM222" s="795"/>
      <c r="BN222" s="795"/>
      <c r="BO222" s="794"/>
      <c r="BP222" s="801"/>
      <c r="BQ222" s="800"/>
      <c r="BR222" s="794"/>
      <c r="BS222" s="472"/>
      <c r="BT222" s="472"/>
      <c r="BU222" s="474"/>
      <c r="BV222" s="472"/>
      <c r="BW222" s="523"/>
      <c r="BX222" s="523"/>
      <c r="BY222" s="523"/>
      <c r="BZ222" s="802" t="str">
        <f>IFERROR(WWWW[[#This Row],['#_Water sources passed]]/WWWW[[#This Row],['#_Water sources tested for fecal coliform ]],"no test")</f>
        <v>no test</v>
      </c>
      <c r="CA222" s="800" t="str">
        <f>IFERROR(WWWW[[#This Row],['#_Household passed]]/WWWW[[#This Row],['#_Household water samples tested for fecal coliform]],"no test")</f>
        <v>no test</v>
      </c>
      <c r="CB222" s="801" t="str">
        <f>IF(AND(WWWW[[#This Row],[% of water sources passed]]="no test",WWWW[[#This Row],[% Household passed]]="no test"),"No Test","Tested")</f>
        <v>No Test</v>
      </c>
      <c r="CC222" s="801">
        <f>WWWW[[#This Row],['#_Constructed/existing protected hand dug well]]-WWWW[[#This Row],['#_Non-functional protected hand dug well]]</f>
        <v>0</v>
      </c>
      <c r="CD222" s="801">
        <f>(WWWW[[#This Row],['#_Constructed/Existing tube wells/boreholes/handpumps_WASH_agency]]+WWWW[[#This Row],['#_Non-Cluster partner water tube-wells/boreholes/handpumps]])-WWWW[[#This Row],['#_Non-functional tube wells/boreholes/handpumps]]</f>
        <v>1</v>
      </c>
      <c r="CE222" s="801">
        <f>WWWW[[#This Row],['#_Constructed/Existingwater storage tank with gravity fed reticulation system]]-WWWW[[#This Row],['#_Non-functional storage tank gravity fed reticulation system]]</f>
        <v>0</v>
      </c>
      <c r="CF222" s="801">
        <f>(WWWW[[#This Row],['#_Water_Liters_supplied_by_Water boating or water trucking]]/90)/15</f>
        <v>0</v>
      </c>
      <c r="CG222" s="801">
        <f>WWWW[[#This Row],['#_Water_Liters_from_Constructed/Existing water distribution system from river or natural spring]]/90/15</f>
        <v>0</v>
      </c>
      <c r="CH222" s="473">
        <f>WWWW[[#This Row],['#_of water points in TLS/CFS /THF]]*500</f>
        <v>0</v>
      </c>
      <c r="CI22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2" s="800">
        <f>IF(WWWW[[#This Row],[Location Type 1]]="Village",WWWW[[#This Row],[Access to safe drinking water for Village]],WWWW[[#This Row],[Access to safe drinking water for Camp]])</f>
        <v>1</v>
      </c>
      <c r="CL222" s="798">
        <f>WWWW[[#This Row],[%Equitable and continuous access to sufficient quantity of safe drinking water]]*WWWW[[#This Row],[Total PoP ]]</f>
        <v>78</v>
      </c>
      <c r="CM222" s="800">
        <f>IF((WWWW[[#This Row],['#_Constructed/Existing protected/fenced ponds]]*250)/WWWW[[#This Row],[Total PoP ]]&gt;1,1,(WWWW[[#This Row],['#_Constructed/Existing protected/fenced ponds]]*250)/WWWW[[#This Row],[Total PoP ]])</f>
        <v>0</v>
      </c>
      <c r="CN222" s="798">
        <f>WWWW[[#This Row],[% Access to unimproved water points]]*WWWW[[#This Row],[Total PoP ]]</f>
        <v>0</v>
      </c>
      <c r="CO22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Q222" s="798">
        <f>WWWW[[#This Row],[HRP1]]/500</f>
        <v>0.156</v>
      </c>
      <c r="CR222" s="803">
        <f>1-WWWW[[#This Row],[% Equitable and continuous access to sufficient quantity of domestic water]]</f>
        <v>0</v>
      </c>
      <c r="CS222" s="798">
        <f>WWWW[[#This Row],[%equitable and continuous access to sufficient quantity of safe drinking and domestic water''s GAP]]*WWWW[[#This Row],[Total PoP ]]</f>
        <v>0</v>
      </c>
      <c r="CT222" s="801">
        <f>IF(WWWW[[#This Row],[Total required water points]]-WWWW[[#This Row],['#Water points coverage]]&lt;0,0,WWWW[[#This Row],[Total required water points]]-WWWW[[#This Row],['#Water points coverage]])</f>
        <v>0.84399999999999997</v>
      </c>
      <c r="CU222" s="801">
        <f>ROUND(IF(WWWW[[#This Row],[Total PoP ]]&lt;500,1,WWWW[[#This Row],[Total PoP ]]/500),0)</f>
        <v>1</v>
      </c>
      <c r="CV222" s="801">
        <f>(WWWW[[#This Row],['#_Constructed latrines_by_WASHAgencies]]+WWWW[[#This Row],['#_Non Cluster partner latrines]])-WWWW[[#This Row],['#_Non-functional latrines]]</f>
        <v>2</v>
      </c>
      <c r="CW222" s="804">
        <f>WWWW[[#This Row],[HRP2]]/WWWW[[#This Row],[Total PoP ]]</f>
        <v>0.51282051282051277</v>
      </c>
      <c r="CX22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2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2" s="473">
        <f>IF(WWWW[[#This Row],['# of functional latrines in THF supported by WASH partners during the reporting period2]]="",0,WWWW[[#This Row],['# of functional latrines in THF supported by WASH partners during the reporting period2]]*50)</f>
        <v>0</v>
      </c>
      <c r="DB222" s="473">
        <f>WWWW[[#This Row],['# students access to functioning school latrines_HRP5]]+WWWW[[#This Row],['# People access to functioning latrines in THF_HRP5]]</f>
        <v>0</v>
      </c>
      <c r="DC222" s="801">
        <f>ROUND(IF(WWWW[[#This Row],[Location Type 1]]="camp",WWWW[[#This Row],[Total PoP ]]/20,IF(WWWW[[#This Row],[Location Type 1]]="Temporary Location",WWWW[[#This Row],[Total PoP ]]/50,(WWWW[[#This Row],[Total PoP ]]/6))),0)</f>
        <v>4</v>
      </c>
      <c r="DD222" s="801">
        <f>IF(WWWW[[#This Row],[Total required Latrines]]-(WWWW[[#This Row],['#_Constructed latrines_by_WASHAgencies]]+WWWW[[#This Row],['#_Non Cluster partner latrines]])&lt;0,0,WWWW[[#This Row],[Total required Latrines]]-(WWWW[[#This Row],['#_Constructed latrines_by_WASHAgencies]]+WWWW[[#This Row],['#_Non Cluster partner latrines]]))</f>
        <v>2</v>
      </c>
      <c r="DE222" s="803">
        <f>1-WWWW[[#This Row],[% people access to functioning Latrine]]</f>
        <v>0.48717948717948723</v>
      </c>
      <c r="DF222" s="802">
        <f>IF(OR(WWWW[[#This Row],['#_Non-functional latrines]]="",WWWW[[#This Row],['#_Non-functional latrines]]=0),0,WWWW[[#This Row],['#_Non-functional latrines]]/(WWWW[[#This Row],['#_Constructed latrines_by_WASHAgencies]]+WWWW[[#This Row],['#_Non Cluster partner latrines]]))</f>
        <v>0</v>
      </c>
      <c r="DG222" s="798">
        <f>IF(500*(WWWW[[#This Row],['#_male hygiene promoters]]+WWWW[[#This Row],['#_female hygiene promoters]])&gt;WWWW[[#This Row],[Total PoP ]],WWWW[[#This Row],[Total PoP ]],500*(WWWW[[#This Row],['#_male hygiene promoters]]+WWWW[[#This Row],['#_female hygiene promoters]]))</f>
        <v>78</v>
      </c>
      <c r="DH22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2" s="801">
        <f>IF(WWWW[[#This Row],['# People with access to soap]]&gt;WWWW[[#This Row],['# People with access to Sanity Pads]],WWWW[[#This Row],['# People with access to soap]],WWWW[[#This Row],['# People with access to Sanity Pads]])</f>
        <v>0</v>
      </c>
      <c r="DK222" s="801">
        <f>IF(WWWW[[#This Row],['# people reached by regular dedicated hygiene promotion_5]]&gt;WWWW[[#This Row],['# People received regular supply of hygiene items_6]],WWWW[[#This Row],['# people reached by regular dedicated hygiene promotion_5]],WWWW[[#This Row],['# People received regular supply of hygiene items_6]])</f>
        <v>78</v>
      </c>
      <c r="DL222" s="803">
        <f>IF(WWWW[[#This Row],[HRP3]]/WWWW[[#This Row],[Total PoP ]]&gt;1,1,WWWW[[#This Row],[HRP3]]/WWWW[[#This Row],[Total PoP ]])</f>
        <v>1</v>
      </c>
      <c r="DM222" s="802">
        <f>1-WWWW[[#This Row],[Hygiene Coverage%]]</f>
        <v>0</v>
      </c>
      <c r="DN222" s="800">
        <f>WWWW[[#This Row],['# people reached by regular dedicated hygiene promotion_5]]/WWWW[[#This Row],[Total PoP ]]</f>
        <v>1</v>
      </c>
      <c r="DO22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2" s="801">
        <f>WWWW[[#This Row],['#_Constructed/Existing hand washing stations]]-WWWW[[#This Row],['#_Non-Functional_hand_washing_stations]]</f>
        <v>2</v>
      </c>
      <c r="DR222" s="798">
        <f>IF(WWWW[[#This Row],['# Functional hand washing stations during reporting period]]*20&gt;WWWW[[#This Row],[Total HH]],WWWW[[#This Row],[Total HH]],WWWW[[#This Row],['# Functional hand washing stations during reporting period]]*20)</f>
        <v>16</v>
      </c>
      <c r="DS222" s="798">
        <f>IF(WWWW[[#This Row],[Is sufficient soap available for TLS? (Yes/No)]]="yes",WWWW[[#This Row],['#_Constructed/Existing hand washing stations at TLS]],0)</f>
        <v>0</v>
      </c>
      <c r="DT222" s="479">
        <f>IF(WWWW[[#This Row],['# Functional hand washing stations during reporting period]]*100&gt;WWWW[[#This Row],[Total PoP ]],WWWW[[#This Row],[Total PoP ]],WWWW[[#This Row],['# Functional hand washing stations during reporting period]]*100)</f>
        <v>78</v>
      </c>
      <c r="DU222" s="479" t="str">
        <f>IF(OR(WWWW[[#This Row],['#_students at TLS_CFS]]="",WWWW[[#This Row],['#_students at TLS_CFS]]=0),"No","Yes")</f>
        <v>No</v>
      </c>
      <c r="DV22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2" s="794" t="str">
        <f>VLOOKUP(WWWW[[#This Row],[Site Name]],SiteDB6[[Site Name]:[CCCM Management]],6,FALSE)</f>
        <v>Yes</v>
      </c>
      <c r="DZ222" s="794" t="str">
        <f>VLOOKUP(WWWW[[#This Row],[Site Name]],SiteDB6[[Site Name]:[CCCM Focal Agency]],7,FALSE)</f>
        <v>KBC-MYT</v>
      </c>
      <c r="EA222" s="794" t="str">
        <f>VLOOKUP(WWWW[[#This Row],[Site Name]],SiteDB6[[Site Name]:[Location Type 1]],9,FALSE)</f>
        <v>Camp</v>
      </c>
      <c r="EB222" s="794" t="str">
        <f>VLOOKUP(WWWW[[#This Row],[Site Name]],SiteDB6[[Site Name]:[Type of Accommodation]],10,FALSE)</f>
        <v>Camp</v>
      </c>
      <c r="EC222" s="794" t="str">
        <f>VLOOKUP(WWWW[[#This Row],[Site Name]],SiteDB6[[Site Name]:[Ethnic or GCA/NGCA]],11,FALSE)</f>
        <v>GCA</v>
      </c>
      <c r="ED222" s="794">
        <f>VLOOKUP(WWWW[[#This Row],[Site Name]],SiteDB6[[Site Name]:[Lat]],12,FALSE)</f>
        <v>25.296579999999999</v>
      </c>
      <c r="EE222" s="794">
        <f>VLOOKUP(WWWW[[#This Row],[Site Name]],SiteDB6[[Site Name]:[Long]],13,FALSE)</f>
        <v>96.942279999999997</v>
      </c>
      <c r="EF222" s="794" t="str">
        <f>VLOOKUP(WWWW[[#This Row],[Site Name]],SiteDB6[[Site Name]:[Pcode]],3,FALSE)</f>
        <v>MMR001CMP077</v>
      </c>
      <c r="EG222" s="799" t="str">
        <f t="shared" si="4"/>
        <v>Covered</v>
      </c>
      <c r="EH222" s="799" t="str">
        <f>VLOOKUP(WWWW[[#This Row],[Site Name]],Site_DB!$C$389:$D$1120,2,FALSE)</f>
        <v>cccm_2019OCT</v>
      </c>
    </row>
    <row r="223" spans="1:138" hidden="1">
      <c r="A223" s="792" t="s">
        <v>3262</v>
      </c>
      <c r="B223" s="792" t="s">
        <v>312</v>
      </c>
      <c r="C223" s="793" t="s">
        <v>312</v>
      </c>
      <c r="D223" s="793"/>
      <c r="E223" s="793" t="s">
        <v>39</v>
      </c>
      <c r="F223" s="793" t="s">
        <v>145</v>
      </c>
      <c r="G223" s="721" t="str">
        <f>VLOOKUP(WWWW[[#This Row],[Site Name]],SiteDB6[[Site Name]:[Location Type]],8,FALSE)</f>
        <v>Camp</v>
      </c>
      <c r="H223" s="793" t="s">
        <v>1052</v>
      </c>
      <c r="I223" s="795">
        <v>62</v>
      </c>
      <c r="J223" s="795">
        <v>410</v>
      </c>
      <c r="K223" s="796"/>
      <c r="L223" s="797"/>
      <c r="M223" s="795"/>
      <c r="N223" s="795"/>
      <c r="O223" s="795"/>
      <c r="P223" s="795"/>
      <c r="Q223" s="798"/>
      <c r="R223" s="795"/>
      <c r="S223" s="795">
        <v>3</v>
      </c>
      <c r="T223" s="523"/>
      <c r="U223" s="795"/>
      <c r="V223" s="795"/>
      <c r="W223" s="795"/>
      <c r="X223" s="795"/>
      <c r="Y223" s="795"/>
      <c r="Z223" s="795"/>
      <c r="AA223" s="795"/>
      <c r="AB223" s="795"/>
      <c r="AC223" s="795"/>
      <c r="AD223" s="795"/>
      <c r="AE223" s="795"/>
      <c r="AF223" s="795"/>
      <c r="AG223" s="795"/>
      <c r="AH223" s="795"/>
      <c r="AI223" s="795"/>
      <c r="AJ223" s="795"/>
      <c r="AK223" s="795"/>
      <c r="AL223" s="795"/>
      <c r="AM223" s="795"/>
      <c r="AN223" s="795"/>
      <c r="AO223" s="799"/>
      <c r="AP223" s="795"/>
      <c r="AQ223" s="795"/>
      <c r="AR223" s="800"/>
      <c r="AS223" s="795"/>
      <c r="AT223" s="795"/>
      <c r="AU223" s="795"/>
      <c r="AV223" s="795"/>
      <c r="AW223" s="795"/>
      <c r="AX223" s="794"/>
      <c r="AY223" s="799"/>
      <c r="AZ223" s="795"/>
      <c r="BA223" s="795"/>
      <c r="BB223" s="795"/>
      <c r="BC223" s="523"/>
      <c r="BD223" s="523"/>
      <c r="BE223" s="794"/>
      <c r="BF223" s="795"/>
      <c r="BG223" s="795"/>
      <c r="BH223" s="795"/>
      <c r="BI223" s="795"/>
      <c r="BJ223" s="795"/>
      <c r="BK223" s="795"/>
      <c r="BL223" s="795"/>
      <c r="BM223" s="795"/>
      <c r="BN223" s="795"/>
      <c r="BO223" s="794"/>
      <c r="BP223" s="801"/>
      <c r="BQ223" s="800"/>
      <c r="BR223" s="794"/>
      <c r="BS223" s="472"/>
      <c r="BT223" s="472"/>
      <c r="BU223" s="720"/>
      <c r="BV223" s="472"/>
      <c r="BW223" s="523"/>
      <c r="BX223" s="523"/>
      <c r="BY223" s="523"/>
      <c r="BZ223" s="802" t="str">
        <f>IFERROR(WWWW[[#This Row],['#_Water sources passed]]/WWWW[[#This Row],['#_Water sources tested for fecal coliform ]],"no test")</f>
        <v>no test</v>
      </c>
      <c r="CA223" s="800" t="str">
        <f>IFERROR(WWWW[[#This Row],['#_Household passed]]/WWWW[[#This Row],['#_Household water samples tested for fecal coliform]],"no test")</f>
        <v>no test</v>
      </c>
      <c r="CB223" s="801" t="str">
        <f>IF(AND(WWWW[[#This Row],[% of water sources passed]]="no test",WWWW[[#This Row],[% Household passed]]="no test"),"No Test","Tested")</f>
        <v>No Test</v>
      </c>
      <c r="CC223" s="801">
        <f>WWWW[[#This Row],['#_Constructed/existing protected hand dug well]]-WWWW[[#This Row],['#_Non-functional protected hand dug well]]</f>
        <v>0</v>
      </c>
      <c r="CD223" s="801">
        <f>(WWWW[[#This Row],['#_Constructed/Existing tube wells/boreholes/handpumps_WASH_agency]]+WWWW[[#This Row],['#_Non-Cluster partner water tube-wells/boreholes/handpumps]])-WWWW[[#This Row],['#_Non-functional tube wells/boreholes/handpumps]]</f>
        <v>0</v>
      </c>
      <c r="CE223" s="801">
        <f>WWWW[[#This Row],['#_Constructed/Existingwater storage tank with gravity fed reticulation system]]-WWWW[[#This Row],['#_Non-functional storage tank gravity fed reticulation system]]</f>
        <v>0</v>
      </c>
      <c r="CF223" s="801">
        <f>(WWWW[[#This Row],['#_Water_Liters_supplied_by_Water boating or water trucking]]/90)/15</f>
        <v>0</v>
      </c>
      <c r="CG223" s="801">
        <f>WWWW[[#This Row],['#_Water_Liters_from_Constructed/Existing water distribution system from river or natural spring]]/90/15</f>
        <v>0</v>
      </c>
      <c r="CH223" s="473">
        <f>WWWW[[#This Row],['#_of water points in TLS/CFS /THF]]*500</f>
        <v>0</v>
      </c>
      <c r="CI22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2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23" s="800">
        <f>IF(WWWW[[#This Row],[Location Type 1]]="Village",WWWW[[#This Row],[Access to safe drinking water for Village]],WWWW[[#This Row],[Access to safe drinking water for Camp]])</f>
        <v>0</v>
      </c>
      <c r="CL223" s="798">
        <f>WWWW[[#This Row],[%Equitable and continuous access to sufficient quantity of safe drinking water]]*WWWW[[#This Row],[Total PoP ]]</f>
        <v>0</v>
      </c>
      <c r="CM223" s="800">
        <f>IF((WWWW[[#This Row],['#_Constructed/Existing protected/fenced ponds]]*250)/WWWW[[#This Row],[Total PoP ]]&gt;1,1,(WWWW[[#This Row],['#_Constructed/Existing protected/fenced ponds]]*250)/WWWW[[#This Row],[Total PoP ]])</f>
        <v>0</v>
      </c>
      <c r="CN223" s="798">
        <f>WWWW[[#This Row],[% Access to unimproved water points]]*WWWW[[#This Row],[Total PoP ]]</f>
        <v>0</v>
      </c>
      <c r="CO22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2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23" s="798">
        <f>WWWW[[#This Row],[HRP1]]/500</f>
        <v>0</v>
      </c>
      <c r="CR223" s="803">
        <f>1-WWWW[[#This Row],[% Equitable and continuous access to sufficient quantity of domestic water]]</f>
        <v>1</v>
      </c>
      <c r="CS223" s="798">
        <f>WWWW[[#This Row],[%equitable and continuous access to sufficient quantity of safe drinking and domestic water''s GAP]]*WWWW[[#This Row],[Total PoP ]]</f>
        <v>410</v>
      </c>
      <c r="CT223" s="801">
        <f>IF(WWWW[[#This Row],[Total required water points]]-WWWW[[#This Row],['#Water points coverage]]&lt;0,0,WWWW[[#This Row],[Total required water points]]-WWWW[[#This Row],['#Water points coverage]])</f>
        <v>1</v>
      </c>
      <c r="CU223" s="801">
        <f>ROUND(IF(WWWW[[#This Row],[Total PoP ]]&lt;500,1,WWWW[[#This Row],[Total PoP ]]/500),0)</f>
        <v>1</v>
      </c>
      <c r="CV223" s="801">
        <f>(WWWW[[#This Row],['#_Constructed latrines_by_WASHAgencies]]+WWWW[[#This Row],['#_Non Cluster partner latrines]])-WWWW[[#This Row],['#_Non-functional latrines]]</f>
        <v>0</v>
      </c>
      <c r="CW223" s="804">
        <f>WWWW[[#This Row],[HRP2]]/WWWW[[#This Row],[Total PoP ]]</f>
        <v>0</v>
      </c>
      <c r="CX22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2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3" s="473">
        <f>IF(WWWW[[#This Row],['# of functional latrines in THF supported by WASH partners during the reporting period2]]="",0,WWWW[[#This Row],['# of functional latrines in THF supported by WASH partners during the reporting period2]]*50)</f>
        <v>0</v>
      </c>
      <c r="DB223" s="473">
        <f>WWWW[[#This Row],['# students access to functioning school latrines_HRP5]]+WWWW[[#This Row],['# People access to functioning latrines in THF_HRP5]]</f>
        <v>0</v>
      </c>
      <c r="DC223" s="801">
        <f>ROUND(IF(WWWW[[#This Row],[Location Type 1]]="camp",WWWW[[#This Row],[Total PoP ]]/20,IF(WWWW[[#This Row],[Location Type 1]]="Temporary Location",WWWW[[#This Row],[Total PoP ]]/50,(WWWW[[#This Row],[Total PoP ]]/6))),0)</f>
        <v>21</v>
      </c>
      <c r="DD223" s="801">
        <f>IF(WWWW[[#This Row],[Total required Latrines]]-(WWWW[[#This Row],['#_Constructed latrines_by_WASHAgencies]]+WWWW[[#This Row],['#_Non Cluster partner latrines]])&lt;0,0,WWWW[[#This Row],[Total required Latrines]]-(WWWW[[#This Row],['#_Constructed latrines_by_WASHAgencies]]+WWWW[[#This Row],['#_Non Cluster partner latrines]]))</f>
        <v>21</v>
      </c>
      <c r="DE223" s="803">
        <f>1-WWWW[[#This Row],[% people access to functioning Latrine]]</f>
        <v>1</v>
      </c>
      <c r="DF223" s="802">
        <f>IF(OR(WWWW[[#This Row],['#_Non-functional latrines]]="",WWWW[[#This Row],['#_Non-functional latrines]]=0),0,WWWW[[#This Row],['#_Non-functional latrines]]/(WWWW[[#This Row],['#_Constructed latrines_by_WASHAgencies]]+WWWW[[#This Row],['#_Non Cluster partner latrines]]))</f>
        <v>0</v>
      </c>
      <c r="DG223" s="798">
        <f>IF(500*(WWWW[[#This Row],['#_male hygiene promoters]]+WWWW[[#This Row],['#_female hygiene promoters]])&gt;WWWW[[#This Row],[Total PoP ]],WWWW[[#This Row],[Total PoP ]],500*(WWWW[[#This Row],['#_male hygiene promoters]]+WWWW[[#This Row],['#_female hygiene promoters]]))</f>
        <v>0</v>
      </c>
      <c r="DH22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3" s="801">
        <f>IF(WWWW[[#This Row],['# People with access to soap]]&gt;WWWW[[#This Row],['# People with access to Sanity Pads]],WWWW[[#This Row],['# People with access to soap]],WWWW[[#This Row],['# People with access to Sanity Pads]])</f>
        <v>0</v>
      </c>
      <c r="DK22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3" s="803">
        <f>IF(WWWW[[#This Row],[HRP3]]/WWWW[[#This Row],[Total PoP ]]&gt;1,1,WWWW[[#This Row],[HRP3]]/WWWW[[#This Row],[Total PoP ]])</f>
        <v>0</v>
      </c>
      <c r="DM223" s="802">
        <f>1-WWWW[[#This Row],[Hygiene Coverage%]]</f>
        <v>1</v>
      </c>
      <c r="DN223" s="800">
        <f>WWWW[[#This Row],['# people reached by regular dedicated hygiene promotion_5]]/WWWW[[#This Row],[Total PoP ]]</f>
        <v>0</v>
      </c>
      <c r="DO22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3" s="801">
        <f>WWWW[[#This Row],['#_Constructed/Existing hand washing stations]]-WWWW[[#This Row],['#_Non-Functional_hand_washing_stations]]</f>
        <v>0</v>
      </c>
      <c r="DR223" s="798">
        <f>IF(WWWW[[#This Row],['# Functional hand washing stations during reporting period]]*20&gt;WWWW[[#This Row],[Total HH]],WWWW[[#This Row],[Total HH]],WWWW[[#This Row],['# Functional hand washing stations during reporting period]]*20)</f>
        <v>0</v>
      </c>
      <c r="DS223" s="798">
        <f>IF(WWWW[[#This Row],[Is sufficient soap available for TLS? (Yes/No)]]="yes",WWWW[[#This Row],['#_Constructed/Existing hand washing stations at TLS]],0)</f>
        <v>0</v>
      </c>
      <c r="DT223" s="479">
        <f>IF(WWWW[[#This Row],['# Functional hand washing stations during reporting period]]*100&gt;WWWW[[#This Row],[Total PoP ]],WWWW[[#This Row],[Total PoP ]],WWWW[[#This Row],['# Functional hand washing stations during reporting period]]*100)</f>
        <v>0</v>
      </c>
      <c r="DU223" s="479" t="str">
        <f>IF(OR(WWWW[[#This Row],['#_students at TLS_CFS]]="",WWWW[[#This Row],['#_students at TLS_CFS]]=0),"No","Yes")</f>
        <v>No</v>
      </c>
      <c r="DV22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3" s="794">
        <f>VLOOKUP(WWWW[[#This Row],[Site Name]],SiteDB6[[Site Name]:[CCCM Management]],6,FALSE)</f>
        <v>0</v>
      </c>
      <c r="DZ223" s="794" t="str">
        <f>VLOOKUP(WWWW[[#This Row],[Site Name]],SiteDB6[[Site Name]:[CCCM Focal Agency]],7,FALSE)</f>
        <v>uncovered</v>
      </c>
      <c r="EA223" s="794" t="str">
        <f>VLOOKUP(WWWW[[#This Row],[Site Name]],SiteDB6[[Site Name]:[Location Type 1]],9,FALSE)</f>
        <v>Camp</v>
      </c>
      <c r="EB223" s="794" t="str">
        <f>VLOOKUP(WWWW[[#This Row],[Site Name]],SiteDB6[[Site Name]:[Type of Accommodation]],10,FALSE)</f>
        <v>Camp like setting</v>
      </c>
      <c r="EC223" s="794" t="str">
        <f>VLOOKUP(WWWW[[#This Row],[Site Name]],SiteDB6[[Site Name]:[Ethnic or GCA/NGCA]],11,FALSE)</f>
        <v>GCA</v>
      </c>
      <c r="ED223" s="794">
        <f>VLOOKUP(WWWW[[#This Row],[Site Name]],SiteDB6[[Site Name]:[Lat]],12,FALSE)</f>
        <v>25.305008999999998</v>
      </c>
      <c r="EE223" s="794">
        <f>VLOOKUP(WWWW[[#This Row],[Site Name]],SiteDB6[[Site Name]:[Long]],13,FALSE)</f>
        <v>97.430321000000006</v>
      </c>
      <c r="EF223" s="794" t="str">
        <f>VLOOKUP(WWWW[[#This Row],[Site Name]],SiteDB6[[Site Name]:[Pcode]],3,FALSE)</f>
        <v>MMR001CMP248</v>
      </c>
      <c r="EG223" s="799" t="str">
        <f t="shared" si="4"/>
        <v>Notcovered</v>
      </c>
      <c r="EH223" s="799" t="str">
        <f>VLOOKUP(WWWW[[#This Row],[Site Name]],Site_DB!$C$389:$D$1120,2,FALSE)</f>
        <v>cccm_2019OCT</v>
      </c>
    </row>
    <row r="224" spans="1:138" hidden="1">
      <c r="A224" s="792" t="s">
        <v>3262</v>
      </c>
      <c r="B224" s="792" t="s">
        <v>245</v>
      </c>
      <c r="C224" s="793" t="s">
        <v>245</v>
      </c>
      <c r="D224" s="793" t="s">
        <v>310</v>
      </c>
      <c r="E224" s="793" t="s">
        <v>39</v>
      </c>
      <c r="F224" s="793" t="s">
        <v>145</v>
      </c>
      <c r="G224" s="721" t="str">
        <f>VLOOKUP(WWWW[[#This Row],[Site Name]],SiteDB6[[Site Name]:[Location Type]],8,FALSE)</f>
        <v>Camp</v>
      </c>
      <c r="H224" s="793" t="s">
        <v>271</v>
      </c>
      <c r="I224" s="795">
        <v>92</v>
      </c>
      <c r="J224" s="795">
        <v>448</v>
      </c>
      <c r="K224" s="796">
        <v>43313</v>
      </c>
      <c r="L224" s="797">
        <v>44043</v>
      </c>
      <c r="M224" s="795"/>
      <c r="N224" s="795">
        <v>1</v>
      </c>
      <c r="O224" s="795"/>
      <c r="P224" s="795"/>
      <c r="Q224" s="798" t="s">
        <v>43</v>
      </c>
      <c r="R224" s="795">
        <v>4</v>
      </c>
      <c r="S224" s="795">
        <v>4</v>
      </c>
      <c r="T224" s="523">
        <v>2</v>
      </c>
      <c r="U224" s="795"/>
      <c r="V224" s="795"/>
      <c r="W224" s="795">
        <v>1</v>
      </c>
      <c r="X224" s="795"/>
      <c r="Y224" s="795"/>
      <c r="Z224" s="795"/>
      <c r="AA224" s="795">
        <v>0</v>
      </c>
      <c r="AB224" s="795"/>
      <c r="AC224" s="795"/>
      <c r="AD224" s="795">
        <v>0</v>
      </c>
      <c r="AE224" s="795">
        <v>0</v>
      </c>
      <c r="AF224" s="795">
        <v>0</v>
      </c>
      <c r="AG224" s="795">
        <v>0</v>
      </c>
      <c r="AH224" s="795">
        <v>2</v>
      </c>
      <c r="AI224" s="795"/>
      <c r="AJ224" s="795"/>
      <c r="AK224" s="795"/>
      <c r="AL224" s="795"/>
      <c r="AM224" s="795">
        <v>0</v>
      </c>
      <c r="AN224" s="795">
        <v>0</v>
      </c>
      <c r="AO224" s="799"/>
      <c r="AP224" s="795">
        <v>20</v>
      </c>
      <c r="AQ224" s="795">
        <v>20</v>
      </c>
      <c r="AR224" s="800" t="s">
        <v>2917</v>
      </c>
      <c r="AS224" s="795"/>
      <c r="AT224" s="795"/>
      <c r="AU224" s="795">
        <v>4</v>
      </c>
      <c r="AV224" s="795"/>
      <c r="AW224" s="795">
        <v>0</v>
      </c>
      <c r="AX224" s="794" t="s">
        <v>43</v>
      </c>
      <c r="AY224" s="799" t="s">
        <v>140</v>
      </c>
      <c r="AZ224" s="795">
        <v>2</v>
      </c>
      <c r="BA224" s="795">
        <v>2</v>
      </c>
      <c r="BB224" s="795">
        <v>0</v>
      </c>
      <c r="BC224" s="523"/>
      <c r="BD224" s="523"/>
      <c r="BE224" s="794"/>
      <c r="BF224" s="795">
        <v>8</v>
      </c>
      <c r="BG224" s="795"/>
      <c r="BH224" s="795">
        <v>0</v>
      </c>
      <c r="BI224" s="795">
        <v>4</v>
      </c>
      <c r="BJ224" s="795"/>
      <c r="BK224" s="795">
        <v>0</v>
      </c>
      <c r="BL224" s="795">
        <v>0</v>
      </c>
      <c r="BM224" s="795"/>
      <c r="BN224" s="795"/>
      <c r="BO224" s="474" t="s">
        <v>139</v>
      </c>
      <c r="BP224" s="801"/>
      <c r="BQ224" s="800"/>
      <c r="BR224" s="794"/>
      <c r="BS224" s="472"/>
      <c r="BT224" s="472"/>
      <c r="BU224" s="720"/>
      <c r="BV224" s="472"/>
      <c r="BW224" s="523"/>
      <c r="BX224" s="523"/>
      <c r="BY224" s="523"/>
      <c r="BZ224" s="802" t="str">
        <f>IFERROR(WWWW[[#This Row],['#_Water sources passed]]/WWWW[[#This Row],['#_Water sources tested for fecal coliform ]],"no test")</f>
        <v>no test</v>
      </c>
      <c r="CA224" s="800" t="str">
        <f>IFERROR(WWWW[[#This Row],['#_Household passed]]/WWWW[[#This Row],['#_Household water samples tested for fecal coliform]],"no test")</f>
        <v>no test</v>
      </c>
      <c r="CB224" s="801" t="str">
        <f>IF(AND(WWWW[[#This Row],[% of water sources passed]]="no test",WWWW[[#This Row],[% Household passed]]="no test"),"No Test","Tested")</f>
        <v>No Test</v>
      </c>
      <c r="CC224" s="801">
        <f>WWWW[[#This Row],['#_Constructed/existing protected hand dug well]]-WWWW[[#This Row],['#_Non-functional protected hand dug well]]</f>
        <v>2</v>
      </c>
      <c r="CD224" s="801">
        <f>(WWWW[[#This Row],['#_Constructed/Existing tube wells/boreholes/handpumps_WASH_agency]]+WWWW[[#This Row],['#_Non-Cluster partner water tube-wells/boreholes/handpumps]])-WWWW[[#This Row],['#_Non-functional tube wells/boreholes/handpumps]]</f>
        <v>1</v>
      </c>
      <c r="CE224" s="801">
        <f>WWWW[[#This Row],['#_Constructed/Existingwater storage tank with gravity fed reticulation system]]-WWWW[[#This Row],['#_Non-functional storage tank gravity fed reticulation system]]</f>
        <v>0</v>
      </c>
      <c r="CF224" s="801">
        <f>(WWWW[[#This Row],['#_Water_Liters_supplied_by_Water boating or water trucking]]/90)/15</f>
        <v>0</v>
      </c>
      <c r="CG224" s="801">
        <f>WWWW[[#This Row],['#_Water_Liters_from_Constructed/Existing water distribution system from river or natural spring]]/90/15</f>
        <v>0</v>
      </c>
      <c r="CH224" s="473">
        <f>WWWW[[#This Row],['#_of water points in TLS/CFS /THF]]*500</f>
        <v>0</v>
      </c>
      <c r="CI22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4" s="800">
        <f>IF(WWWW[[#This Row],[Location Type 1]]="Village",WWWW[[#This Row],[Access to safe drinking water for Village]],WWWW[[#This Row],[Access to safe drinking water for Camp]])</f>
        <v>1</v>
      </c>
      <c r="CL224" s="798">
        <f>WWWW[[#This Row],[%Equitable and continuous access to sufficient quantity of safe drinking water]]*WWWW[[#This Row],[Total PoP ]]</f>
        <v>448</v>
      </c>
      <c r="CM224" s="800">
        <f>IF((WWWW[[#This Row],['#_Constructed/Existing protected/fenced ponds]]*250)/WWWW[[#This Row],[Total PoP ]]&gt;1,1,(WWWW[[#This Row],['#_Constructed/Existing protected/fenced ponds]]*250)/WWWW[[#This Row],[Total PoP ]])</f>
        <v>0</v>
      </c>
      <c r="CN224" s="798">
        <f>WWWW[[#This Row],[% Access to unimproved water points]]*WWWW[[#This Row],[Total PoP ]]</f>
        <v>0</v>
      </c>
      <c r="CO22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Q224" s="798">
        <f>WWWW[[#This Row],[HRP1]]/500</f>
        <v>0.89600000000000002</v>
      </c>
      <c r="CR224" s="803">
        <f>1-WWWW[[#This Row],[% Equitable and continuous access to sufficient quantity of domestic water]]</f>
        <v>0</v>
      </c>
      <c r="CS224" s="798">
        <f>WWWW[[#This Row],[%equitable and continuous access to sufficient quantity of safe drinking and domestic water''s GAP]]*WWWW[[#This Row],[Total PoP ]]</f>
        <v>0</v>
      </c>
      <c r="CT224" s="801">
        <f>IF(WWWW[[#This Row],[Total required water points]]-WWWW[[#This Row],['#Water points coverage]]&lt;0,0,WWWW[[#This Row],[Total required water points]]-WWWW[[#This Row],['#Water points coverage]])</f>
        <v>0.10399999999999998</v>
      </c>
      <c r="CU224" s="801">
        <f>ROUND(IF(WWWW[[#This Row],[Total PoP ]]&lt;500,1,WWWW[[#This Row],[Total PoP ]]/500),0)</f>
        <v>1</v>
      </c>
      <c r="CV224" s="801">
        <f>(WWWW[[#This Row],['#_Constructed latrines_by_WASHAgencies]]+WWWW[[#This Row],['#_Non Cluster partner latrines]])-WWWW[[#This Row],['#_Non-functional latrines]]</f>
        <v>40</v>
      </c>
      <c r="CW224" s="804">
        <f>WWWW[[#This Row],[HRP2]]/WWWW[[#This Row],[Total PoP ]]</f>
        <v>1</v>
      </c>
      <c r="CX22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448</v>
      </c>
      <c r="CY22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22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4" s="473">
        <f>IF(WWWW[[#This Row],['# of functional latrines in THF supported by WASH partners during the reporting period2]]="",0,WWWW[[#This Row],['# of functional latrines in THF supported by WASH partners during the reporting period2]]*50)</f>
        <v>0</v>
      </c>
      <c r="DB224" s="473">
        <f>WWWW[[#This Row],['# students access to functioning school latrines_HRP5]]+WWWW[[#This Row],['# People access to functioning latrines in THF_HRP5]]</f>
        <v>0</v>
      </c>
      <c r="DC224" s="801">
        <f>ROUND(IF(WWWW[[#This Row],[Location Type 1]]="camp",WWWW[[#This Row],[Total PoP ]]/20,IF(WWWW[[#This Row],[Location Type 1]]="Temporary Location",WWWW[[#This Row],[Total PoP ]]/50,(WWWW[[#This Row],[Total PoP ]]/6))),0)</f>
        <v>22</v>
      </c>
      <c r="DD224" s="801">
        <f>IF(WWWW[[#This Row],[Total required Latrines]]-(WWWW[[#This Row],['#_Constructed latrines_by_WASHAgencies]]+WWWW[[#This Row],['#_Non Cluster partner latrines]])&lt;0,0,WWWW[[#This Row],[Total required Latrines]]-(WWWW[[#This Row],['#_Constructed latrines_by_WASHAgencies]]+WWWW[[#This Row],['#_Non Cluster partner latrines]]))</f>
        <v>0</v>
      </c>
      <c r="DE224" s="803">
        <f>1-WWWW[[#This Row],[% people access to functioning Latrine]]</f>
        <v>0</v>
      </c>
      <c r="DF224" s="802">
        <f>IF(OR(WWWW[[#This Row],['#_Non-functional latrines]]="",WWWW[[#This Row],['#_Non-functional latrines]]=0),0,WWWW[[#This Row],['#_Non-functional latrines]]/(WWWW[[#This Row],['#_Constructed latrines_by_WASHAgencies]]+WWWW[[#This Row],['#_Non Cluster partner latrines]]))</f>
        <v>0</v>
      </c>
      <c r="DG224" s="798">
        <f>IF(500*(WWWW[[#This Row],['#_male hygiene promoters]]+WWWW[[#This Row],['#_female hygiene promoters]])&gt;WWWW[[#This Row],[Total PoP ]],WWWW[[#This Row],[Total PoP ]],500*(WWWW[[#This Row],['#_male hygiene promoters]]+WWWW[[#This Row],['#_female hygiene promoters]]))</f>
        <v>0</v>
      </c>
      <c r="DH22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4" s="801">
        <f>IF(WWWW[[#This Row],['# People with access to soap]]&gt;WWWW[[#This Row],['# People with access to Sanity Pads]],WWWW[[#This Row],['# People with access to soap]],WWWW[[#This Row],['# People with access to Sanity Pads]])</f>
        <v>0</v>
      </c>
      <c r="DK22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24" s="803">
        <f>IF(WWWW[[#This Row],[HRP3]]/WWWW[[#This Row],[Total PoP ]]&gt;1,1,WWWW[[#This Row],[HRP3]]/WWWW[[#This Row],[Total PoP ]])</f>
        <v>0</v>
      </c>
      <c r="DM224" s="802">
        <f>1-WWWW[[#This Row],[Hygiene Coverage%]]</f>
        <v>1</v>
      </c>
      <c r="DN224" s="800">
        <f>WWWW[[#This Row],['# people reached by regular dedicated hygiene promotion_5]]/WWWW[[#This Row],[Total PoP ]]</f>
        <v>0</v>
      </c>
      <c r="DO22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4" s="801">
        <f>WWWW[[#This Row],['#_Constructed/Existing hand washing stations]]-WWWW[[#This Row],['#_Non-Functional_hand_washing_stations]]</f>
        <v>8</v>
      </c>
      <c r="DR224" s="798">
        <f>IF(WWWW[[#This Row],['# Functional hand washing stations during reporting period]]*20&gt;WWWW[[#This Row],[Total HH]],WWWW[[#This Row],[Total HH]],WWWW[[#This Row],['# Functional hand washing stations during reporting period]]*20)</f>
        <v>92</v>
      </c>
      <c r="DS224" s="798">
        <f>IF(WWWW[[#This Row],[Is sufficient soap available for TLS? (Yes/No)]]="yes",WWWW[[#This Row],['#_Constructed/Existing hand washing stations at TLS]],0)</f>
        <v>0</v>
      </c>
      <c r="DT224" s="479">
        <f>IF(WWWW[[#This Row],['# Functional hand washing stations during reporting period]]*100&gt;WWWW[[#This Row],[Total PoP ]],WWWW[[#This Row],[Total PoP ]],WWWW[[#This Row],['# Functional hand washing stations during reporting period]]*100)</f>
        <v>448</v>
      </c>
      <c r="DU224" s="479" t="str">
        <f>IF(OR(WWWW[[#This Row],['#_students at TLS_CFS]]="",WWWW[[#This Row],['#_students at TLS_CFS]]=0),"No","Yes")</f>
        <v>No</v>
      </c>
      <c r="DV22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4" s="794" t="str">
        <f>VLOOKUP(WWWW[[#This Row],[Site Name]],SiteDB6[[Site Name]:[CCCM Management]],6,FALSE)</f>
        <v>Yes</v>
      </c>
      <c r="DZ224" s="794" t="str">
        <f>VLOOKUP(WWWW[[#This Row],[Site Name]],SiteDB6[[Site Name]:[CCCM Focal Agency]],7,FALSE)</f>
        <v>Shalom</v>
      </c>
      <c r="EA224" s="794" t="str">
        <f>VLOOKUP(WWWW[[#This Row],[Site Name]],SiteDB6[[Site Name]:[Location Type 1]],9,FALSE)</f>
        <v>Camp</v>
      </c>
      <c r="EB224" s="794" t="str">
        <f>VLOOKUP(WWWW[[#This Row],[Site Name]],SiteDB6[[Site Name]:[Type of Accommodation]],10,FALSE)</f>
        <v>Camp</v>
      </c>
      <c r="EC224" s="794" t="str">
        <f>VLOOKUP(WWWW[[#This Row],[Site Name]],SiteDB6[[Site Name]:[Ethnic or GCA/NGCA]],11,FALSE)</f>
        <v>GCA</v>
      </c>
      <c r="ED224" s="794">
        <f>VLOOKUP(WWWW[[#This Row],[Site Name]],SiteDB6[[Site Name]:[Lat]],12,FALSE)</f>
        <v>25.321710740740698</v>
      </c>
      <c r="EE224" s="794">
        <f>VLOOKUP(WWWW[[#This Row],[Site Name]],SiteDB6[[Site Name]:[Long]],13,FALSE)</f>
        <v>97.404195925926004</v>
      </c>
      <c r="EF224" s="794" t="str">
        <f>VLOOKUP(WWWW[[#This Row],[Site Name]],SiteDB6[[Site Name]:[Pcode]],3,FALSE)</f>
        <v>MMR001CMP028</v>
      </c>
      <c r="EG224" s="799" t="str">
        <f t="shared" si="4"/>
        <v>Covered</v>
      </c>
      <c r="EH224" s="799" t="str">
        <f>VLOOKUP(WWWW[[#This Row],[Site Name]],Site_DB!$C$389:$D$1120,2,FALSE)</f>
        <v>cccm_2019OCT</v>
      </c>
    </row>
    <row r="225" spans="1:138" hidden="1">
      <c r="A225" s="792" t="s">
        <v>3262</v>
      </c>
      <c r="B225" s="792" t="s">
        <v>144</v>
      </c>
      <c r="C225" s="793" t="s">
        <v>144</v>
      </c>
      <c r="D225" s="793" t="s">
        <v>3280</v>
      </c>
      <c r="E225" s="793" t="s">
        <v>39</v>
      </c>
      <c r="F225" s="793" t="s">
        <v>145</v>
      </c>
      <c r="G225" s="721" t="str">
        <f>VLOOKUP(WWWW[[#This Row],[Site Name]],SiteDB6[[Site Name]:[Location Type]],8,FALSE)</f>
        <v>Camp</v>
      </c>
      <c r="H225" s="404" t="s">
        <v>178</v>
      </c>
      <c r="I225" s="795">
        <v>140</v>
      </c>
      <c r="J225" s="795">
        <v>875</v>
      </c>
      <c r="K225" s="796">
        <v>43475</v>
      </c>
      <c r="L225" s="797" t="s">
        <v>3281</v>
      </c>
      <c r="M225" s="795"/>
      <c r="N225" s="795"/>
      <c r="O225" s="795"/>
      <c r="P225" s="795"/>
      <c r="Q225" s="798" t="s">
        <v>43</v>
      </c>
      <c r="R225" s="795"/>
      <c r="S225" s="795">
        <v>3</v>
      </c>
      <c r="T225" s="523">
        <v>0</v>
      </c>
      <c r="U225" s="795"/>
      <c r="V225" s="795"/>
      <c r="W225" s="795">
        <v>0</v>
      </c>
      <c r="X225" s="795"/>
      <c r="Y225" s="795"/>
      <c r="Z225" s="795"/>
      <c r="AA225" s="795">
        <v>1</v>
      </c>
      <c r="AB225" s="795"/>
      <c r="AC225" s="795"/>
      <c r="AD225" s="795"/>
      <c r="AE225" s="795"/>
      <c r="AF225" s="795"/>
      <c r="AG225" s="795"/>
      <c r="AH225" s="795">
        <v>0</v>
      </c>
      <c r="AI225" s="795"/>
      <c r="AJ225" s="795"/>
      <c r="AK225" s="795"/>
      <c r="AL225" s="795"/>
      <c r="AM225" s="795"/>
      <c r="AN225" s="795"/>
      <c r="AO225" s="799"/>
      <c r="AP225" s="795">
        <v>50</v>
      </c>
      <c r="AQ225" s="795"/>
      <c r="AR225" s="800"/>
      <c r="AS225" s="795"/>
      <c r="AT225" s="795"/>
      <c r="AU225" s="795"/>
      <c r="AV225" s="795"/>
      <c r="AW225" s="795">
        <v>50</v>
      </c>
      <c r="AX225" s="794" t="s">
        <v>43</v>
      </c>
      <c r="AY225" s="799" t="s">
        <v>140</v>
      </c>
      <c r="AZ225" s="795"/>
      <c r="BA225" s="795"/>
      <c r="BB225" s="795"/>
      <c r="BC225" s="523"/>
      <c r="BD225" s="523"/>
      <c r="BE225" s="794"/>
      <c r="BF225" s="795">
        <v>50</v>
      </c>
      <c r="BG225" s="795"/>
      <c r="BH225" s="795"/>
      <c r="BI225" s="795">
        <v>4</v>
      </c>
      <c r="BJ225" s="795"/>
      <c r="BK225" s="795"/>
      <c r="BL225" s="795">
        <v>3</v>
      </c>
      <c r="BM225" s="795"/>
      <c r="BN225" s="795"/>
      <c r="BO225" s="794"/>
      <c r="BP225" s="801"/>
      <c r="BQ225" s="800"/>
      <c r="BR225" s="794"/>
      <c r="BS225" s="472"/>
      <c r="BT225" s="472"/>
      <c r="BU225" s="474"/>
      <c r="BV225" s="472"/>
      <c r="BW225" s="523"/>
      <c r="BX225" s="523"/>
      <c r="BY225" s="523"/>
      <c r="BZ225" s="802" t="str">
        <f>IFERROR(WWWW[[#This Row],['#_Water sources passed]]/WWWW[[#This Row],['#_Water sources tested for fecal coliform ]],"no test")</f>
        <v>no test</v>
      </c>
      <c r="CA225" s="800" t="str">
        <f>IFERROR(WWWW[[#This Row],['#_Household passed]]/WWWW[[#This Row],['#_Household water samples tested for fecal coliform]],"no test")</f>
        <v>no test</v>
      </c>
      <c r="CB225" s="801" t="str">
        <f>IF(AND(WWWW[[#This Row],[% of water sources passed]]="no test",WWWW[[#This Row],[% Household passed]]="no test"),"No Test","Tested")</f>
        <v>No Test</v>
      </c>
      <c r="CC225" s="801">
        <f>WWWW[[#This Row],['#_Constructed/existing protected hand dug well]]-WWWW[[#This Row],['#_Non-functional protected hand dug well]]</f>
        <v>0</v>
      </c>
      <c r="CD225" s="801">
        <f>(WWWW[[#This Row],['#_Constructed/Existing tube wells/boreholes/handpumps_WASH_agency]]+WWWW[[#This Row],['#_Non-Cluster partner water tube-wells/boreholes/handpumps]])-WWWW[[#This Row],['#_Non-functional tube wells/boreholes/handpumps]]</f>
        <v>0</v>
      </c>
      <c r="CE225" s="801">
        <f>WWWW[[#This Row],['#_Constructed/Existingwater storage tank with gravity fed reticulation system]]-WWWW[[#This Row],['#_Non-functional storage tank gravity fed reticulation system]]</f>
        <v>1</v>
      </c>
      <c r="CF225" s="801">
        <f>(WWWW[[#This Row],['#_Water_Liters_supplied_by_Water boating or water trucking]]/90)/15</f>
        <v>0</v>
      </c>
      <c r="CG225" s="801">
        <f>WWWW[[#This Row],['#_Water_Liters_from_Constructed/Existing water distribution system from river or natural spring]]/90/15</f>
        <v>0</v>
      </c>
      <c r="CH225" s="473">
        <f>WWWW[[#This Row],['#_of water points in TLS/CFS /THF]]*500</f>
        <v>0</v>
      </c>
      <c r="CI22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7.6190476190476197E-2</v>
      </c>
      <c r="CJ22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7.6190476190476197E-2</v>
      </c>
      <c r="CK225" s="800">
        <f>IF(WWWW[[#This Row],[Location Type 1]]="Village",WWWW[[#This Row],[Access to safe drinking water for Village]],WWWW[[#This Row],[Access to safe drinking water for Camp]])</f>
        <v>7.6190476190476197E-2</v>
      </c>
      <c r="CL225" s="798">
        <f>WWWW[[#This Row],[%Equitable and continuous access to sufficient quantity of safe drinking water]]*WWWW[[#This Row],[Total PoP ]]</f>
        <v>66.666666666666671</v>
      </c>
      <c r="CM225" s="800">
        <f>IF((WWWW[[#This Row],['#_Constructed/Existing protected/fenced ponds]]*250)/WWWW[[#This Row],[Total PoP ]]&gt;1,1,(WWWW[[#This Row],['#_Constructed/Existing protected/fenced ponds]]*250)/WWWW[[#This Row],[Total PoP ]])</f>
        <v>0</v>
      </c>
      <c r="CN225" s="798">
        <f>WWWW[[#This Row],[% Access to unimproved water points]]*WWWW[[#This Row],[Total PoP ]]</f>
        <v>0</v>
      </c>
      <c r="CO22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P22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25" s="798">
        <f>WWWW[[#This Row],[HRP1]]/500</f>
        <v>0.13333333333333333</v>
      </c>
      <c r="CR225" s="803">
        <f>1-WWWW[[#This Row],[% Equitable and continuous access to sufficient quantity of domestic water]]</f>
        <v>0.92380952380952386</v>
      </c>
      <c r="CS225" s="798">
        <f>WWWW[[#This Row],[%equitable and continuous access to sufficient quantity of safe drinking and domestic water''s GAP]]*WWWW[[#This Row],[Total PoP ]]</f>
        <v>808.33333333333337</v>
      </c>
      <c r="CT225" s="801">
        <f>IF(WWWW[[#This Row],[Total required water points]]-WWWW[[#This Row],['#Water points coverage]]&lt;0,0,WWWW[[#This Row],[Total required water points]]-WWWW[[#This Row],['#Water points coverage]])</f>
        <v>1.8666666666666667</v>
      </c>
      <c r="CU225" s="801">
        <f>ROUND(IF(WWWW[[#This Row],[Total PoP ]]&lt;500,1,WWWW[[#This Row],[Total PoP ]]/500),0)</f>
        <v>2</v>
      </c>
      <c r="CV225" s="801">
        <f>(WWWW[[#This Row],['#_Constructed latrines_by_WASHAgencies]]+WWWW[[#This Row],['#_Non Cluster partner latrines]])-WWWW[[#This Row],['#_Non-functional latrines]]</f>
        <v>50</v>
      </c>
      <c r="CW225" s="804">
        <f>WWWW[[#This Row],[HRP2]]/WWWW[[#This Row],[Total PoP ]]</f>
        <v>1</v>
      </c>
      <c r="CX22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875</v>
      </c>
      <c r="CY22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5" s="473">
        <f>IF(WWWW[[#This Row],['# of functional latrines in THF supported by WASH partners during the reporting period2]]="",0,WWWW[[#This Row],['# of functional latrines in THF supported by WASH partners during the reporting period2]]*50)</f>
        <v>0</v>
      </c>
      <c r="DB225" s="473">
        <f>WWWW[[#This Row],['# students access to functioning school latrines_HRP5]]+WWWW[[#This Row],['# People access to functioning latrines in THF_HRP5]]</f>
        <v>0</v>
      </c>
      <c r="DC225" s="801">
        <f>ROUND(IF(WWWW[[#This Row],[Location Type 1]]="camp",WWWW[[#This Row],[Total PoP ]]/20,IF(WWWW[[#This Row],[Location Type 1]]="Temporary Location",WWWW[[#This Row],[Total PoP ]]/50,(WWWW[[#This Row],[Total PoP ]]/6))),0)</f>
        <v>44</v>
      </c>
      <c r="DD225" s="801">
        <f>IF(WWWW[[#This Row],[Total required Latrines]]-(WWWW[[#This Row],['#_Constructed latrines_by_WASHAgencies]]+WWWW[[#This Row],['#_Non Cluster partner latrines]])&lt;0,0,WWWW[[#This Row],[Total required Latrines]]-(WWWW[[#This Row],['#_Constructed latrines_by_WASHAgencies]]+WWWW[[#This Row],['#_Non Cluster partner latrines]]))</f>
        <v>0</v>
      </c>
      <c r="DE225" s="803">
        <f>1-WWWW[[#This Row],[% people access to functioning Latrine]]</f>
        <v>0</v>
      </c>
      <c r="DF225" s="802">
        <f>IF(OR(WWWW[[#This Row],['#_Non-functional latrines]]="",WWWW[[#This Row],['#_Non-functional latrines]]=0),0,WWWW[[#This Row],['#_Non-functional latrines]]/(WWWW[[#This Row],['#_Constructed latrines_by_WASHAgencies]]+WWWW[[#This Row],['#_Non Cluster partner latrines]]))</f>
        <v>0</v>
      </c>
      <c r="DG225" s="798">
        <f>IF(500*(WWWW[[#This Row],['#_male hygiene promoters]]+WWWW[[#This Row],['#_female hygiene promoters]])&gt;WWWW[[#This Row],[Total PoP ]],WWWW[[#This Row],[Total PoP ]],500*(WWWW[[#This Row],['#_male hygiene promoters]]+WWWW[[#This Row],['#_female hygiene promoters]]))</f>
        <v>875</v>
      </c>
      <c r="DH22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5" s="801">
        <f>IF(WWWW[[#This Row],['# People with access to soap]]&gt;WWWW[[#This Row],['# People with access to Sanity Pads]],WWWW[[#This Row],['# People with access to soap]],WWWW[[#This Row],['# People with access to Sanity Pads]])</f>
        <v>0</v>
      </c>
      <c r="DK225" s="801">
        <f>IF(WWWW[[#This Row],['# people reached by regular dedicated hygiene promotion_5]]&gt;WWWW[[#This Row],['# People received regular supply of hygiene items_6]],WWWW[[#This Row],['# people reached by regular dedicated hygiene promotion_5]],WWWW[[#This Row],['# People received regular supply of hygiene items_6]])</f>
        <v>875</v>
      </c>
      <c r="DL225" s="803">
        <f>IF(WWWW[[#This Row],[HRP3]]/WWWW[[#This Row],[Total PoP ]]&gt;1,1,WWWW[[#This Row],[HRP3]]/WWWW[[#This Row],[Total PoP ]])</f>
        <v>1</v>
      </c>
      <c r="DM225" s="802">
        <f>1-WWWW[[#This Row],[Hygiene Coverage%]]</f>
        <v>0</v>
      </c>
      <c r="DN225" s="800">
        <f>WWWW[[#This Row],['# people reached by regular dedicated hygiene promotion_5]]/WWWW[[#This Row],[Total PoP ]]</f>
        <v>1</v>
      </c>
      <c r="DO22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5" s="801">
        <f>WWWW[[#This Row],['#_Constructed/Existing hand washing stations]]-WWWW[[#This Row],['#_Non-Functional_hand_washing_stations]]</f>
        <v>50</v>
      </c>
      <c r="DR225" s="798">
        <f>IF(WWWW[[#This Row],['# Functional hand washing stations during reporting period]]*20&gt;WWWW[[#This Row],[Total HH]],WWWW[[#This Row],[Total HH]],WWWW[[#This Row],['# Functional hand washing stations during reporting period]]*20)</f>
        <v>140</v>
      </c>
      <c r="DS225" s="798">
        <f>IF(WWWW[[#This Row],[Is sufficient soap available for TLS? (Yes/No)]]="yes",WWWW[[#This Row],['#_Constructed/Existing hand washing stations at TLS]],0)</f>
        <v>0</v>
      </c>
      <c r="DT225" s="479">
        <f>IF(WWWW[[#This Row],['# Functional hand washing stations during reporting period]]*100&gt;WWWW[[#This Row],[Total PoP ]],WWWW[[#This Row],[Total PoP ]],WWWW[[#This Row],['# Functional hand washing stations during reporting period]]*100)</f>
        <v>875</v>
      </c>
      <c r="DU225" s="479" t="str">
        <f>IF(OR(WWWW[[#This Row],['#_students at TLS_CFS]]="",WWWW[[#This Row],['#_students at TLS_CFS]]=0),"No","Yes")</f>
        <v>No</v>
      </c>
      <c r="DV22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5" s="794" t="str">
        <f>VLOOKUP(WWWW[[#This Row],[Site Name]],SiteDB6[[Site Name]:[CCCM Management]],6,FALSE)</f>
        <v>Yes</v>
      </c>
      <c r="DZ225" s="794" t="str">
        <f>VLOOKUP(WWWW[[#This Row],[Site Name]],SiteDB6[[Site Name]:[CCCM Focal Agency]],7,FALSE)</f>
        <v>KBC-MYT</v>
      </c>
      <c r="EA225" s="794" t="str">
        <f>VLOOKUP(WWWW[[#This Row],[Site Name]],SiteDB6[[Site Name]:[Location Type 1]],9,FALSE)</f>
        <v>Camp</v>
      </c>
      <c r="EB225" s="794" t="str">
        <f>VLOOKUP(WWWW[[#This Row],[Site Name]],SiteDB6[[Site Name]:[Type of Accommodation]],10,FALSE)</f>
        <v>Camp</v>
      </c>
      <c r="EC225" s="794" t="str">
        <f>VLOOKUP(WWWW[[#This Row],[Site Name]],SiteDB6[[Site Name]:[Ethnic or GCA/NGCA]],11,FALSE)</f>
        <v>NGCA</v>
      </c>
      <c r="ED225" s="794">
        <f>VLOOKUP(WWWW[[#This Row],[Site Name]],SiteDB6[[Site Name]:[Lat]],12,FALSE)</f>
        <v>25.200333000000001</v>
      </c>
      <c r="EE225" s="794">
        <f>VLOOKUP(WWWW[[#This Row],[Site Name]],SiteDB6[[Site Name]:[Long]],13,FALSE)</f>
        <v>97.807182999999995</v>
      </c>
      <c r="EF225" s="794" t="str">
        <f>VLOOKUP(WWWW[[#This Row],[Site Name]],SiteDB6[[Site Name]:[Pcode]],3,FALSE)</f>
        <v>MMR001CMP115</v>
      </c>
      <c r="EG225" s="799" t="str">
        <f t="shared" si="4"/>
        <v>Covered</v>
      </c>
      <c r="EH225" s="799" t="str">
        <f>VLOOKUP(WWWW[[#This Row],[Site Name]],Site_DB!$C$389:$D$1120,2,FALSE)</f>
        <v>cccm_2019OCT</v>
      </c>
    </row>
    <row r="226" spans="1:138" ht="52" hidden="1">
      <c r="A226" s="792" t="s">
        <v>3262</v>
      </c>
      <c r="B226" s="793" t="s">
        <v>3373</v>
      </c>
      <c r="C226" s="793" t="s">
        <v>3373</v>
      </c>
      <c r="D226" s="793" t="s">
        <v>3375</v>
      </c>
      <c r="E226" s="793" t="s">
        <v>39</v>
      </c>
      <c r="F226" s="793" t="s">
        <v>40</v>
      </c>
      <c r="G226" s="721" t="str">
        <f>VLOOKUP(WWWW[[#This Row],[Site Name]],SiteDB6[[Site Name]:[Location Type]],8,FALSE)</f>
        <v>Camp</v>
      </c>
      <c r="H226" s="793" t="s">
        <v>186</v>
      </c>
      <c r="I226" s="795">
        <v>429</v>
      </c>
      <c r="J226" s="795">
        <v>1900</v>
      </c>
      <c r="K226" s="407" t="s">
        <v>3603</v>
      </c>
      <c r="L226" s="797" t="s">
        <v>3384</v>
      </c>
      <c r="M226" s="720">
        <v>685</v>
      </c>
      <c r="N226" s="720">
        <v>18</v>
      </c>
      <c r="O226" s="720">
        <v>37</v>
      </c>
      <c r="P226" s="720"/>
      <c r="Q226" s="807" t="s">
        <v>43</v>
      </c>
      <c r="R226" s="720">
        <v>14</v>
      </c>
      <c r="S226" s="720">
        <v>42</v>
      </c>
      <c r="T226" s="523">
        <v>0</v>
      </c>
      <c r="U226" s="795"/>
      <c r="V226" s="795"/>
      <c r="W226" s="795">
        <v>4</v>
      </c>
      <c r="X226" s="795"/>
      <c r="Y226" s="795">
        <v>1</v>
      </c>
      <c r="Z226" s="795"/>
      <c r="AA226" s="795"/>
      <c r="AB226" s="795"/>
      <c r="AC226" s="795"/>
      <c r="AD226" s="795"/>
      <c r="AE226" s="795"/>
      <c r="AF226" s="795"/>
      <c r="AG226" s="795">
        <v>5</v>
      </c>
      <c r="AH226" s="795"/>
      <c r="AI226" s="720">
        <v>6</v>
      </c>
      <c r="AJ226" s="720">
        <v>5</v>
      </c>
      <c r="AK226" s="720">
        <f>28+5</f>
        <v>33</v>
      </c>
      <c r="AL226" s="720">
        <f>26+5</f>
        <v>31</v>
      </c>
      <c r="AM226" s="720">
        <v>8</v>
      </c>
      <c r="AN226" s="720"/>
      <c r="AO226" s="835" t="s">
        <v>3380</v>
      </c>
      <c r="AP226" s="795">
        <v>110</v>
      </c>
      <c r="AQ226" s="795"/>
      <c r="AR226" s="800"/>
      <c r="AS226" s="795"/>
      <c r="AT226" s="720">
        <v>18</v>
      </c>
      <c r="AU226" s="795"/>
      <c r="AV226" s="720">
        <v>68.13</v>
      </c>
      <c r="AW226" s="795">
        <v>110</v>
      </c>
      <c r="AX226" s="794" t="s">
        <v>43</v>
      </c>
      <c r="AY226" s="799" t="s">
        <v>140</v>
      </c>
      <c r="AZ226" s="795"/>
      <c r="BA226" s="795"/>
      <c r="BB226" s="795">
        <v>4</v>
      </c>
      <c r="BC226" s="523"/>
      <c r="BD226" s="837">
        <v>76</v>
      </c>
      <c r="BE226" s="806" t="s">
        <v>3381</v>
      </c>
      <c r="BF226" s="795">
        <v>7</v>
      </c>
      <c r="BG226" s="795"/>
      <c r="BH226" s="795"/>
      <c r="BI226" s="795">
        <v>10</v>
      </c>
      <c r="BJ226" s="795"/>
      <c r="BK226" s="795"/>
      <c r="BL226" s="795">
        <v>6</v>
      </c>
      <c r="BM226" s="795">
        <v>419</v>
      </c>
      <c r="BN226" s="795">
        <v>639</v>
      </c>
      <c r="BO226" s="794"/>
      <c r="BP226" s="801"/>
      <c r="BQ226" s="800"/>
      <c r="BR226" s="836" t="s">
        <v>3382</v>
      </c>
      <c r="BS226" s="808">
        <v>1</v>
      </c>
      <c r="BT226" s="808">
        <v>1</v>
      </c>
      <c r="BU226" s="474">
        <v>1900</v>
      </c>
      <c r="BV226" s="808">
        <v>1</v>
      </c>
      <c r="BW226" s="523"/>
      <c r="BX226" s="523"/>
      <c r="BY226" s="523"/>
      <c r="BZ226" s="802">
        <f>IFERROR(WWWW[[#This Row],['#_Water sources passed]]/WWWW[[#This Row],['#_Water sources tested for fecal coliform ]],"no test")</f>
        <v>0.83333333333333337</v>
      </c>
      <c r="CA226" s="800">
        <f>IFERROR(WWWW[[#This Row],['#_Household passed]]/WWWW[[#This Row],['#_Household water samples tested for fecal coliform]],"no test")</f>
        <v>0.93939393939393945</v>
      </c>
      <c r="CB226" s="801" t="str">
        <f>IF(AND(WWWW[[#This Row],[% of water sources passed]]="no test",WWWW[[#This Row],[% Household passed]]="no test"),"No Test","Tested")</f>
        <v>Tested</v>
      </c>
      <c r="CC226" s="801">
        <f>WWWW[[#This Row],['#_Constructed/existing protected hand dug well]]-WWWW[[#This Row],['#_Non-functional protected hand dug well]]</f>
        <v>0</v>
      </c>
      <c r="CD226" s="801">
        <f>(WWWW[[#This Row],['#_Constructed/Existing tube wells/boreholes/handpumps_WASH_agency]]+WWWW[[#This Row],['#_Non-Cluster partner water tube-wells/boreholes/handpumps]])-WWWW[[#This Row],['#_Non-functional tube wells/boreholes/handpumps]]</f>
        <v>3</v>
      </c>
      <c r="CE226" s="801">
        <f>WWWW[[#This Row],['#_Constructed/Existingwater storage tank with gravity fed reticulation system]]-WWWW[[#This Row],['#_Non-functional storage tank gravity fed reticulation system]]</f>
        <v>0</v>
      </c>
      <c r="CF226" s="801">
        <f>(WWWW[[#This Row],['#_Water_Liters_supplied_by_Water boating or water trucking]]/90)/15</f>
        <v>0</v>
      </c>
      <c r="CG226" s="801">
        <f>WWWW[[#This Row],['#_Water_Liters_from_Constructed/Existing water distribution system from river or natural spring]]/90/15</f>
        <v>0</v>
      </c>
      <c r="CH226" s="473">
        <f>WWWW[[#This Row],['#_of water points in TLS/CFS /THF]]*500</f>
        <v>0</v>
      </c>
      <c r="CI22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0.78947368421052633</v>
      </c>
      <c r="CJ22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0.39473684210526316</v>
      </c>
      <c r="CK226" s="800">
        <f>IF(WWWW[[#This Row],[Location Type 1]]="Village",WWWW[[#This Row],[Access to safe drinking water for Village]],WWWW[[#This Row],[Access to safe drinking water for Camp]])</f>
        <v>0.78947368421052633</v>
      </c>
      <c r="CL226" s="798">
        <f>WWWW[[#This Row],[%Equitable and continuous access to sufficient quantity of safe drinking water]]*WWWW[[#This Row],[Total PoP ]]</f>
        <v>1500</v>
      </c>
      <c r="CM226" s="800">
        <f>IF((WWWW[[#This Row],['#_Constructed/Existing protected/fenced ponds]]*250)/WWWW[[#This Row],[Total PoP ]]&gt;1,1,(WWWW[[#This Row],['#_Constructed/Existing protected/fenced ponds]]*250)/WWWW[[#This Row],[Total PoP ]])</f>
        <v>0</v>
      </c>
      <c r="CN226" s="798">
        <f>WWWW[[#This Row],[% Access to unimproved water points]]*WWWW[[#This Row],[Total PoP ]]</f>
        <v>0</v>
      </c>
      <c r="CO22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0.78947368421052633</v>
      </c>
      <c r="CP22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Q226" s="798">
        <f>WWWW[[#This Row],[HRP1]]/500</f>
        <v>3</v>
      </c>
      <c r="CR226" s="803">
        <f>1-WWWW[[#This Row],[% Equitable and continuous access to sufficient quantity of domestic water]]</f>
        <v>0.21052631578947367</v>
      </c>
      <c r="CS226" s="798">
        <f>WWWW[[#This Row],[%equitable and continuous access to sufficient quantity of safe drinking and domestic water''s GAP]]*WWWW[[#This Row],[Total PoP ]]</f>
        <v>400</v>
      </c>
      <c r="CT226" s="801">
        <f>IF(WWWW[[#This Row],[Total required water points]]-WWWW[[#This Row],['#Water points coverage]]&lt;0,0,WWWW[[#This Row],[Total required water points]]-WWWW[[#This Row],['#Water points coverage]])</f>
        <v>1</v>
      </c>
      <c r="CU226" s="801">
        <f>ROUND(IF(WWWW[[#This Row],[Total PoP ]]&lt;500,1,WWWW[[#This Row],[Total PoP ]]/500),0)</f>
        <v>4</v>
      </c>
      <c r="CV226" s="801">
        <f>(WWWW[[#This Row],['#_Constructed latrines_by_WASHAgencies]]+WWWW[[#This Row],['#_Non Cluster partner latrines]])-WWWW[[#This Row],['#_Non-functional latrines]]</f>
        <v>110</v>
      </c>
      <c r="CW226" s="804">
        <f>WWWW[[#This Row],[HRP2]]/WWWW[[#This Row],[Total PoP ]]</f>
        <v>1</v>
      </c>
      <c r="CX22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CY22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A226" s="473">
        <f>IF(WWWW[[#This Row],['# of functional latrines in THF supported by WASH partners during the reporting period2]]="",0,WWWW[[#This Row],['# of functional latrines in THF supported by WASH partners during the reporting period2]]*50)</f>
        <v>0</v>
      </c>
      <c r="DB226" s="473">
        <f>WWWW[[#This Row],['# students access to functioning school latrines_HRP5]]+WWWW[[#This Row],['# People access to functioning latrines in THF_HRP5]]</f>
        <v>200</v>
      </c>
      <c r="DC226" s="801">
        <f>ROUND(IF(WWWW[[#This Row],[Location Type 1]]="camp",WWWW[[#This Row],[Total PoP ]]/20,IF(WWWW[[#This Row],[Location Type 1]]="Temporary Location",WWWW[[#This Row],[Total PoP ]]/50,(WWWW[[#This Row],[Total PoP ]]/6))),0)</f>
        <v>95</v>
      </c>
      <c r="DD226" s="801">
        <f>IF(WWWW[[#This Row],[Total required Latrines]]-(WWWW[[#This Row],['#_Constructed latrines_by_WASHAgencies]]+WWWW[[#This Row],['#_Non Cluster partner latrines]])&lt;0,0,WWWW[[#This Row],[Total required Latrines]]-(WWWW[[#This Row],['#_Constructed latrines_by_WASHAgencies]]+WWWW[[#This Row],['#_Non Cluster partner latrines]]))</f>
        <v>0</v>
      </c>
      <c r="DE226" s="803">
        <f>1-WWWW[[#This Row],[% people access to functioning Latrine]]</f>
        <v>0</v>
      </c>
      <c r="DF226" s="802">
        <f>IF(OR(WWWW[[#This Row],['#_Non-functional latrines]]="",WWWW[[#This Row],['#_Non-functional latrines]]=0),0,WWWW[[#This Row],['#_Non-functional latrines]]/(WWWW[[#This Row],['#_Constructed latrines_by_WASHAgencies]]+WWWW[[#This Row],['#_Non Cluster partner latrines]]))</f>
        <v>0</v>
      </c>
      <c r="DG226" s="798">
        <f>IF(500*(WWWW[[#This Row],['#_male hygiene promoters]]+WWWW[[#This Row],['#_female hygiene promoters]])&gt;WWWW[[#This Row],[Total PoP ]],WWWW[[#This Row],[Total PoP ]],500*(WWWW[[#This Row],['#_male hygiene promoters]]+WWWW[[#This Row],['#_female hygiene promoters]]))</f>
        <v>1900</v>
      </c>
      <c r="DH22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1900</v>
      </c>
      <c r="DI22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639</v>
      </c>
      <c r="DJ226" s="801">
        <f>IF(WWWW[[#This Row],['# People with access to soap]]&gt;WWWW[[#This Row],['# People with access to Sanity Pads]],WWWW[[#This Row],['# People with access to soap]],WWWW[[#This Row],['# People with access to Sanity Pads]])</f>
        <v>1900</v>
      </c>
      <c r="DK226" s="801">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L226" s="803">
        <f>IF(WWWW[[#This Row],[HRP3]]/WWWW[[#This Row],[Total PoP ]]&gt;1,1,WWWW[[#This Row],[HRP3]]/WWWW[[#This Row],[Total PoP ]])</f>
        <v>1</v>
      </c>
      <c r="DM226" s="802">
        <f>1-WWWW[[#This Row],[Hygiene Coverage%]]</f>
        <v>0</v>
      </c>
      <c r="DN226" s="800">
        <f>WWWW[[#This Row],['# people reached by regular dedicated hygiene promotion_5]]/WWWW[[#This Row],[Total PoP ]]</f>
        <v>1</v>
      </c>
      <c r="DO22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2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26" s="801">
        <f>WWWW[[#This Row],['#_Constructed/Existing hand washing stations]]-WWWW[[#This Row],['#_Non-Functional_hand_washing_stations]]</f>
        <v>7</v>
      </c>
      <c r="DR226" s="798">
        <f>IF(WWWW[[#This Row],['# Functional hand washing stations during reporting period]]*20&gt;WWWW[[#This Row],[Total HH]],WWWW[[#This Row],[Total HH]],WWWW[[#This Row],['# Functional hand washing stations during reporting period]]*20)</f>
        <v>140</v>
      </c>
      <c r="DS226" s="798">
        <f>IF(WWWW[[#This Row],[Is sufficient soap available for TLS? (Yes/No)]]="yes",WWWW[[#This Row],['#_Constructed/Existing hand washing stations at TLS]],0)</f>
        <v>0</v>
      </c>
      <c r="DT226" s="479">
        <f>IF(WWWW[[#This Row],['# Functional hand washing stations during reporting period]]*100&gt;WWWW[[#This Row],[Total PoP ]],WWWW[[#This Row],[Total PoP ]],WWWW[[#This Row],['# Functional hand washing stations during reporting period]]*100)</f>
        <v>700</v>
      </c>
      <c r="DU226" s="479" t="str">
        <f>IF(OR(WWWW[[#This Row],['#_students at TLS_CFS]]="",WWWW[[#This Row],['#_students at TLS_CFS]]=0),"No","Yes")</f>
        <v>Yes</v>
      </c>
      <c r="DV226"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200</v>
      </c>
      <c r="DY226" s="794" t="str">
        <f>VLOOKUP(WWWW[[#This Row],[Site Name]],SiteDB6[[Site Name]:[CCCM Management]],6,FALSE)</f>
        <v>Yes</v>
      </c>
      <c r="DZ226" s="794" t="str">
        <f>VLOOKUP(WWWW[[#This Row],[Site Name]],SiteDB6[[Site Name]:[CCCM Focal Agency]],7,FALSE)</f>
        <v>KBC-BMO</v>
      </c>
      <c r="EA226" s="794" t="str">
        <f>VLOOKUP(WWWW[[#This Row],[Site Name]],SiteDB6[[Site Name]:[Location Type 1]],9,FALSE)</f>
        <v>Camp</v>
      </c>
      <c r="EB226" s="794" t="str">
        <f>VLOOKUP(WWWW[[#This Row],[Site Name]],SiteDB6[[Site Name]:[Type of Accommodation]],10,FALSE)</f>
        <v>Camp</v>
      </c>
      <c r="EC226" s="794" t="str">
        <f>VLOOKUP(WWWW[[#This Row],[Site Name]],SiteDB6[[Site Name]:[Ethnic or GCA/NGCA]],11,FALSE)</f>
        <v>GCA</v>
      </c>
      <c r="ED226" s="794">
        <f>VLOOKUP(WWWW[[#This Row],[Site Name]],SiteDB6[[Site Name]:[Lat]],12,FALSE)</f>
        <v>23.972453000000002</v>
      </c>
      <c r="EE226" s="794">
        <f>VLOOKUP(WWWW[[#This Row],[Site Name]],SiteDB6[[Site Name]:[Long]],13,FALSE)</f>
        <v>97.225881000000001</v>
      </c>
      <c r="EF226" s="794" t="str">
        <f>VLOOKUP(WWWW[[#This Row],[Site Name]],SiteDB6[[Site Name]:[Pcode]],3,FALSE)</f>
        <v>MMR001CMP218</v>
      </c>
      <c r="EG226" s="799" t="str">
        <f t="shared" si="4"/>
        <v>Covered</v>
      </c>
      <c r="EH226" s="799" t="str">
        <f>VLOOKUP(WWWW[[#This Row],[Site Name]],Site_DB!$C$389:$D$1120,2,FALSE)</f>
        <v>cccm_2019OCT</v>
      </c>
    </row>
    <row r="227" spans="1:138" hidden="1">
      <c r="A227" s="792" t="s">
        <v>3262</v>
      </c>
      <c r="B227" s="792" t="s">
        <v>144</v>
      </c>
      <c r="C227" s="793" t="s">
        <v>144</v>
      </c>
      <c r="D227" s="793" t="s">
        <v>3277</v>
      </c>
      <c r="E227" s="793" t="s">
        <v>39</v>
      </c>
      <c r="F227" s="793" t="s">
        <v>162</v>
      </c>
      <c r="G227" s="721" t="str">
        <f>VLOOKUP(WWWW[[#This Row],[Site Name]],SiteDB6[[Site Name]:[Location Type]],8,FALSE)</f>
        <v>Camp</v>
      </c>
      <c r="H227" s="404" t="s">
        <v>166</v>
      </c>
      <c r="I227" s="795">
        <v>99</v>
      </c>
      <c r="J227" s="795">
        <v>547</v>
      </c>
      <c r="K227" s="796" t="s">
        <v>3278</v>
      </c>
      <c r="L227" s="797" t="s">
        <v>3279</v>
      </c>
      <c r="M227" s="795"/>
      <c r="N227" s="795"/>
      <c r="O227" s="795"/>
      <c r="P227" s="795"/>
      <c r="Q227" s="798" t="s">
        <v>43</v>
      </c>
      <c r="R227" s="795"/>
      <c r="S227" s="795"/>
      <c r="T227" s="523">
        <v>0</v>
      </c>
      <c r="U227" s="795"/>
      <c r="V227" s="795"/>
      <c r="W227" s="795">
        <v>3</v>
      </c>
      <c r="X227" s="795"/>
      <c r="Y227" s="795"/>
      <c r="Z227" s="795"/>
      <c r="AA227" s="795"/>
      <c r="AB227" s="795"/>
      <c r="AC227" s="795"/>
      <c r="AD227" s="795"/>
      <c r="AE227" s="795"/>
      <c r="AF227" s="795"/>
      <c r="AG227" s="795"/>
      <c r="AH227" s="795">
        <v>2</v>
      </c>
      <c r="AI227" s="795"/>
      <c r="AJ227" s="795"/>
      <c r="AK227" s="795"/>
      <c r="AL227" s="795"/>
      <c r="AM227" s="795"/>
      <c r="AN227" s="795"/>
      <c r="AO227" s="799"/>
      <c r="AP227" s="795">
        <v>8</v>
      </c>
      <c r="AQ227" s="795"/>
      <c r="AR227" s="800"/>
      <c r="AS227" s="795"/>
      <c r="AT227" s="795"/>
      <c r="AU227" s="795"/>
      <c r="AV227" s="795"/>
      <c r="AW227" s="795">
        <v>8</v>
      </c>
      <c r="AX227" s="794" t="s">
        <v>43</v>
      </c>
      <c r="AY227" s="799" t="s">
        <v>1195</v>
      </c>
      <c r="AZ227" s="795"/>
      <c r="BA227" s="795"/>
      <c r="BB227" s="795"/>
      <c r="BC227" s="523"/>
      <c r="BD227" s="523"/>
      <c r="BE227" s="794"/>
      <c r="BF227" s="795">
        <v>5</v>
      </c>
      <c r="BG227" s="795"/>
      <c r="BH227" s="795"/>
      <c r="BI227" s="795">
        <v>2</v>
      </c>
      <c r="BJ227" s="795"/>
      <c r="BK227" s="795"/>
      <c r="BL227" s="795">
        <v>1</v>
      </c>
      <c r="BM227" s="795"/>
      <c r="BN227" s="795"/>
      <c r="BO227" s="794"/>
      <c r="BP227" s="801"/>
      <c r="BQ227" s="800"/>
      <c r="BR227" s="794"/>
      <c r="BS227" s="472"/>
      <c r="BT227" s="472"/>
      <c r="BU227" s="474"/>
      <c r="BV227" s="472"/>
      <c r="BW227" s="523"/>
      <c r="BX227" s="523"/>
      <c r="BY227" s="523"/>
      <c r="BZ227" s="802" t="str">
        <f>IFERROR(WWWW[[#This Row],['#_Water sources passed]]/WWWW[[#This Row],['#_Water sources tested for fecal coliform ]],"no test")</f>
        <v>no test</v>
      </c>
      <c r="CA227" s="800" t="str">
        <f>IFERROR(WWWW[[#This Row],['#_Household passed]]/WWWW[[#This Row],['#_Household water samples tested for fecal coliform]],"no test")</f>
        <v>no test</v>
      </c>
      <c r="CB227" s="801" t="str">
        <f>IF(AND(WWWW[[#This Row],[% of water sources passed]]="no test",WWWW[[#This Row],[% Household passed]]="no test"),"No Test","Tested")</f>
        <v>No Test</v>
      </c>
      <c r="CC227" s="801">
        <f>WWWW[[#This Row],['#_Constructed/existing protected hand dug well]]-WWWW[[#This Row],['#_Non-functional protected hand dug well]]</f>
        <v>0</v>
      </c>
      <c r="CD227" s="801">
        <f>(WWWW[[#This Row],['#_Constructed/Existing tube wells/boreholes/handpumps_WASH_agency]]+WWWW[[#This Row],['#_Non-Cluster partner water tube-wells/boreholes/handpumps]])-WWWW[[#This Row],['#_Non-functional tube wells/boreholes/handpumps]]</f>
        <v>3</v>
      </c>
      <c r="CE227" s="801">
        <f>WWWW[[#This Row],['#_Constructed/Existingwater storage tank with gravity fed reticulation system]]-WWWW[[#This Row],['#_Non-functional storage tank gravity fed reticulation system]]</f>
        <v>0</v>
      </c>
      <c r="CF227" s="801">
        <f>(WWWW[[#This Row],['#_Water_Liters_supplied_by_Water boating or water trucking]]/90)/15</f>
        <v>0</v>
      </c>
      <c r="CG227" s="801">
        <f>WWWW[[#This Row],['#_Water_Liters_from_Constructed/Existing water distribution system from river or natural spring]]/90/15</f>
        <v>0</v>
      </c>
      <c r="CH227" s="473">
        <f>WWWW[[#This Row],['#_of water points in TLS/CFS /THF]]*500</f>
        <v>0</v>
      </c>
      <c r="CI22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7" s="800">
        <f>IF(WWWW[[#This Row],[Location Type 1]]="Village",WWWW[[#This Row],[Access to safe drinking water for Village]],WWWW[[#This Row],[Access to safe drinking water for Camp]])</f>
        <v>1</v>
      </c>
      <c r="CL227" s="798">
        <f>WWWW[[#This Row],[%Equitable and continuous access to sufficient quantity of safe drinking water]]*WWWW[[#This Row],[Total PoP ]]</f>
        <v>547</v>
      </c>
      <c r="CM227" s="800">
        <f>IF((WWWW[[#This Row],['#_Constructed/Existing protected/fenced ponds]]*250)/WWWW[[#This Row],[Total PoP ]]&gt;1,1,(WWWW[[#This Row],['#_Constructed/Existing protected/fenced ponds]]*250)/WWWW[[#This Row],[Total PoP ]])</f>
        <v>0</v>
      </c>
      <c r="CN227" s="798">
        <f>WWWW[[#This Row],[% Access to unimproved water points]]*WWWW[[#This Row],[Total PoP ]]</f>
        <v>0</v>
      </c>
      <c r="CO22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27" s="798">
        <f>WWWW[[#This Row],[HRP1]]/500</f>
        <v>1.0940000000000001</v>
      </c>
      <c r="CR227" s="803">
        <f>1-WWWW[[#This Row],[% Equitable and continuous access to sufficient quantity of domestic water]]</f>
        <v>0</v>
      </c>
      <c r="CS227" s="798">
        <f>WWWW[[#This Row],[%equitable and continuous access to sufficient quantity of safe drinking and domestic water''s GAP]]*WWWW[[#This Row],[Total PoP ]]</f>
        <v>0</v>
      </c>
      <c r="CT227" s="801">
        <f>IF(WWWW[[#This Row],[Total required water points]]-WWWW[[#This Row],['#Water points coverage]]&lt;0,0,WWWW[[#This Row],[Total required water points]]-WWWW[[#This Row],['#Water points coverage]])</f>
        <v>0</v>
      </c>
      <c r="CU227" s="801">
        <f>ROUND(IF(WWWW[[#This Row],[Total PoP ]]&lt;500,1,WWWW[[#This Row],[Total PoP ]]/500),0)</f>
        <v>1</v>
      </c>
      <c r="CV227" s="801">
        <f>(WWWW[[#This Row],['#_Constructed latrines_by_WASHAgencies]]+WWWW[[#This Row],['#_Non Cluster partner latrines]])-WWWW[[#This Row],['#_Non-functional latrines]]</f>
        <v>8</v>
      </c>
      <c r="CW227" s="804">
        <f>WWWW[[#This Row],[HRP2]]/WWWW[[#This Row],[Total PoP ]]</f>
        <v>0.29250457038391225</v>
      </c>
      <c r="CX22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22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7" s="473">
        <f>IF(WWWW[[#This Row],['# of functional latrines in THF supported by WASH partners during the reporting period2]]="",0,WWWW[[#This Row],['# of functional latrines in THF supported by WASH partners during the reporting period2]]*50)</f>
        <v>0</v>
      </c>
      <c r="DB227" s="473">
        <f>WWWW[[#This Row],['# students access to functioning school latrines_HRP5]]+WWWW[[#This Row],['# People access to functioning latrines in THF_HRP5]]</f>
        <v>0</v>
      </c>
      <c r="DC227" s="801">
        <f>ROUND(IF(WWWW[[#This Row],[Location Type 1]]="camp",WWWW[[#This Row],[Total PoP ]]/20,IF(WWWW[[#This Row],[Location Type 1]]="Temporary Location",WWWW[[#This Row],[Total PoP ]]/50,(WWWW[[#This Row],[Total PoP ]]/6))),0)</f>
        <v>27</v>
      </c>
      <c r="DD227" s="801">
        <f>IF(WWWW[[#This Row],[Total required Latrines]]-(WWWW[[#This Row],['#_Constructed latrines_by_WASHAgencies]]+WWWW[[#This Row],['#_Non Cluster partner latrines]])&lt;0,0,WWWW[[#This Row],[Total required Latrines]]-(WWWW[[#This Row],['#_Constructed latrines_by_WASHAgencies]]+WWWW[[#This Row],['#_Non Cluster partner latrines]]))</f>
        <v>19</v>
      </c>
      <c r="DE227" s="803">
        <f>1-WWWW[[#This Row],[% people access to functioning Latrine]]</f>
        <v>0.7074954296160878</v>
      </c>
      <c r="DF227" s="802">
        <f>IF(OR(WWWW[[#This Row],['#_Non-functional latrines]]="",WWWW[[#This Row],['#_Non-functional latrines]]=0),0,WWWW[[#This Row],['#_Non-functional latrines]]/(WWWW[[#This Row],['#_Constructed latrines_by_WASHAgencies]]+WWWW[[#This Row],['#_Non Cluster partner latrines]]))</f>
        <v>0</v>
      </c>
      <c r="DG227" s="798">
        <f>IF(500*(WWWW[[#This Row],['#_male hygiene promoters]]+WWWW[[#This Row],['#_female hygiene promoters]])&gt;WWWW[[#This Row],[Total PoP ]],WWWW[[#This Row],[Total PoP ]],500*(WWWW[[#This Row],['#_male hygiene promoters]]+WWWW[[#This Row],['#_female hygiene promoters]]))</f>
        <v>500</v>
      </c>
      <c r="DH22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7" s="801">
        <f>IF(WWWW[[#This Row],['# People with access to soap]]&gt;WWWW[[#This Row],['# People with access to Sanity Pads]],WWWW[[#This Row],['# People with access to soap]],WWWW[[#This Row],['# People with access to Sanity Pads]])</f>
        <v>0</v>
      </c>
      <c r="DK227"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27" s="803">
        <f>IF(WWWW[[#This Row],[HRP3]]/WWWW[[#This Row],[Total PoP ]]&gt;1,1,WWWW[[#This Row],[HRP3]]/WWWW[[#This Row],[Total PoP ]])</f>
        <v>0.91407678244972579</v>
      </c>
      <c r="DM227" s="802">
        <f>1-WWWW[[#This Row],[Hygiene Coverage%]]</f>
        <v>8.5923217550274211E-2</v>
      </c>
      <c r="DN227" s="800">
        <f>WWWW[[#This Row],['# people reached by regular dedicated hygiene promotion_5]]/WWWW[[#This Row],[Total PoP ]]</f>
        <v>0.91407678244972579</v>
      </c>
      <c r="DO22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7" s="801">
        <f>WWWW[[#This Row],['#_Constructed/Existing hand washing stations]]-WWWW[[#This Row],['#_Non-Functional_hand_washing_stations]]</f>
        <v>5</v>
      </c>
      <c r="DR227" s="798">
        <f>IF(WWWW[[#This Row],['# Functional hand washing stations during reporting period]]*20&gt;WWWW[[#This Row],[Total HH]],WWWW[[#This Row],[Total HH]],WWWW[[#This Row],['# Functional hand washing stations during reporting period]]*20)</f>
        <v>99</v>
      </c>
      <c r="DS227" s="798">
        <f>IF(WWWW[[#This Row],[Is sufficient soap available for TLS? (Yes/No)]]="yes",WWWW[[#This Row],['#_Constructed/Existing hand washing stations at TLS]],0)</f>
        <v>0</v>
      </c>
      <c r="DT227" s="479">
        <f>IF(WWWW[[#This Row],['# Functional hand washing stations during reporting period]]*100&gt;WWWW[[#This Row],[Total PoP ]],WWWW[[#This Row],[Total PoP ]],WWWW[[#This Row],['# Functional hand washing stations during reporting period]]*100)</f>
        <v>500</v>
      </c>
      <c r="DU227" s="479" t="str">
        <f>IF(OR(WWWW[[#This Row],['#_students at TLS_CFS]]="",WWWW[[#This Row],['#_students at TLS_CFS]]=0),"No","Yes")</f>
        <v>No</v>
      </c>
      <c r="DV22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7" s="794" t="str">
        <f>VLOOKUP(WWWW[[#This Row],[Site Name]],SiteDB6[[Site Name]:[CCCM Management]],6,FALSE)</f>
        <v>Yes</v>
      </c>
      <c r="DZ227" s="794" t="str">
        <f>VLOOKUP(WWWW[[#This Row],[Site Name]],SiteDB6[[Site Name]:[CCCM Focal Agency]],7,FALSE)</f>
        <v>KBC-MYT</v>
      </c>
      <c r="EA227" s="794" t="str">
        <f>VLOOKUP(WWWW[[#This Row],[Site Name]],SiteDB6[[Site Name]:[Location Type 1]],9,FALSE)</f>
        <v>Camp</v>
      </c>
      <c r="EB227" s="794" t="str">
        <f>VLOOKUP(WWWW[[#This Row],[Site Name]],SiteDB6[[Site Name]:[Type of Accommodation]],10,FALSE)</f>
        <v>Camp</v>
      </c>
      <c r="EC227" s="794" t="str">
        <f>VLOOKUP(WWWW[[#This Row],[Site Name]],SiteDB6[[Site Name]:[Ethnic or GCA/NGCA]],11,FALSE)</f>
        <v>GCA</v>
      </c>
      <c r="ED227" s="794">
        <f>VLOOKUP(WWWW[[#This Row],[Site Name]],SiteDB6[[Site Name]:[Lat]],12,FALSE)</f>
        <v>25.362420757575801</v>
      </c>
      <c r="EE227" s="794">
        <f>VLOOKUP(WWWW[[#This Row],[Site Name]],SiteDB6[[Site Name]:[Long]],13,FALSE)</f>
        <v>97.409035000000003</v>
      </c>
      <c r="EF227" s="794" t="str">
        <f>VLOOKUP(WWWW[[#This Row],[Site Name]],SiteDB6[[Site Name]:[Pcode]],3,FALSE)</f>
        <v>MMR001CMP015</v>
      </c>
      <c r="EG227" s="799" t="str">
        <f t="shared" si="4"/>
        <v>Covered</v>
      </c>
      <c r="EH227" s="799" t="str">
        <f>VLOOKUP(WWWW[[#This Row],[Site Name]],Site_DB!$C$389:$D$1120,2,FALSE)</f>
        <v>cccm_2019OCT</v>
      </c>
    </row>
    <row r="228" spans="1:138" hidden="1">
      <c r="A228" s="792" t="s">
        <v>3262</v>
      </c>
      <c r="B228" s="792" t="s">
        <v>144</v>
      </c>
      <c r="C228" s="793" t="s">
        <v>144</v>
      </c>
      <c r="D228" s="793" t="s">
        <v>3277</v>
      </c>
      <c r="E228" s="793" t="s">
        <v>39</v>
      </c>
      <c r="F228" s="793" t="s">
        <v>162</v>
      </c>
      <c r="G228" s="721" t="str">
        <f>VLOOKUP(WWWW[[#This Row],[Site Name]],SiteDB6[[Site Name]:[Location Type]],8,FALSE)</f>
        <v>Camp</v>
      </c>
      <c r="H228" s="404" t="s">
        <v>167</v>
      </c>
      <c r="I228" s="795">
        <v>132</v>
      </c>
      <c r="J228" s="795">
        <v>676</v>
      </c>
      <c r="K228" s="796" t="s">
        <v>3278</v>
      </c>
      <c r="L228" s="797" t="s">
        <v>3279</v>
      </c>
      <c r="M228" s="795"/>
      <c r="N228" s="795"/>
      <c r="O228" s="795"/>
      <c r="P228" s="795"/>
      <c r="Q228" s="798" t="s">
        <v>43</v>
      </c>
      <c r="R228" s="795"/>
      <c r="S228" s="795">
        <v>5</v>
      </c>
      <c r="T228" s="523">
        <v>0</v>
      </c>
      <c r="U228" s="795"/>
      <c r="V228" s="795"/>
      <c r="W228" s="795">
        <v>3</v>
      </c>
      <c r="X228" s="795"/>
      <c r="Y228" s="795"/>
      <c r="Z228" s="795"/>
      <c r="AA228" s="795"/>
      <c r="AB228" s="795"/>
      <c r="AC228" s="795"/>
      <c r="AD228" s="795"/>
      <c r="AE228" s="795"/>
      <c r="AF228" s="795"/>
      <c r="AG228" s="795"/>
      <c r="AH228" s="795">
        <v>2</v>
      </c>
      <c r="AI228" s="795"/>
      <c r="AJ228" s="795"/>
      <c r="AK228" s="795"/>
      <c r="AL228" s="795"/>
      <c r="AM228" s="795"/>
      <c r="AN228" s="795"/>
      <c r="AO228" s="799"/>
      <c r="AP228" s="795">
        <v>32</v>
      </c>
      <c r="AQ228" s="795"/>
      <c r="AR228" s="800"/>
      <c r="AS228" s="795"/>
      <c r="AT228" s="795"/>
      <c r="AU228" s="795"/>
      <c r="AV228" s="795"/>
      <c r="AW228" s="795">
        <v>32</v>
      </c>
      <c r="AX228" s="794" t="s">
        <v>43</v>
      </c>
      <c r="AY228" s="799" t="s">
        <v>140</v>
      </c>
      <c r="AZ228" s="795"/>
      <c r="BA228" s="795"/>
      <c r="BB228" s="795"/>
      <c r="BC228" s="523"/>
      <c r="BD228" s="523"/>
      <c r="BE228" s="794"/>
      <c r="BF228" s="795">
        <v>4</v>
      </c>
      <c r="BG228" s="795"/>
      <c r="BH228" s="795"/>
      <c r="BI228" s="795">
        <v>2</v>
      </c>
      <c r="BJ228" s="795"/>
      <c r="BK228" s="795"/>
      <c r="BL228" s="795">
        <v>1</v>
      </c>
      <c r="BM228" s="795"/>
      <c r="BN228" s="795"/>
      <c r="BO228" s="794"/>
      <c r="BP228" s="801"/>
      <c r="BQ228" s="800"/>
      <c r="BR228" s="794"/>
      <c r="BS228" s="472"/>
      <c r="BT228" s="472"/>
      <c r="BU228" s="474"/>
      <c r="BV228" s="472"/>
      <c r="BW228" s="523"/>
      <c r="BX228" s="523"/>
      <c r="BY228" s="523"/>
      <c r="BZ228" s="802" t="str">
        <f>IFERROR(WWWW[[#This Row],['#_Water sources passed]]/WWWW[[#This Row],['#_Water sources tested for fecal coliform ]],"no test")</f>
        <v>no test</v>
      </c>
      <c r="CA228" s="800" t="str">
        <f>IFERROR(WWWW[[#This Row],['#_Household passed]]/WWWW[[#This Row],['#_Household water samples tested for fecal coliform]],"no test")</f>
        <v>no test</v>
      </c>
      <c r="CB228" s="801" t="str">
        <f>IF(AND(WWWW[[#This Row],[% of water sources passed]]="no test",WWWW[[#This Row],[% Household passed]]="no test"),"No Test","Tested")</f>
        <v>No Test</v>
      </c>
      <c r="CC228" s="801">
        <f>WWWW[[#This Row],['#_Constructed/existing protected hand dug well]]-WWWW[[#This Row],['#_Non-functional protected hand dug well]]</f>
        <v>0</v>
      </c>
      <c r="CD228" s="801">
        <f>(WWWW[[#This Row],['#_Constructed/Existing tube wells/boreholes/handpumps_WASH_agency]]+WWWW[[#This Row],['#_Non-Cluster partner water tube-wells/boreholes/handpumps]])-WWWW[[#This Row],['#_Non-functional tube wells/boreholes/handpumps]]</f>
        <v>3</v>
      </c>
      <c r="CE228" s="801">
        <f>WWWW[[#This Row],['#_Constructed/Existingwater storage tank with gravity fed reticulation system]]-WWWW[[#This Row],['#_Non-functional storage tank gravity fed reticulation system]]</f>
        <v>0</v>
      </c>
      <c r="CF228" s="801">
        <f>(WWWW[[#This Row],['#_Water_Liters_supplied_by_Water boating or water trucking]]/90)/15</f>
        <v>0</v>
      </c>
      <c r="CG228" s="801">
        <f>WWWW[[#This Row],['#_Water_Liters_from_Constructed/Existing water distribution system from river or natural spring]]/90/15</f>
        <v>0</v>
      </c>
      <c r="CH228" s="473">
        <f>WWWW[[#This Row],['#_of water points in TLS/CFS /THF]]*500</f>
        <v>0</v>
      </c>
      <c r="CI22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28" s="800">
        <f>IF(WWWW[[#This Row],[Location Type 1]]="Village",WWWW[[#This Row],[Access to safe drinking water for Village]],WWWW[[#This Row],[Access to safe drinking water for Camp]])</f>
        <v>1</v>
      </c>
      <c r="CL228" s="798">
        <f>WWWW[[#This Row],[%Equitable and continuous access to sufficient quantity of safe drinking water]]*WWWW[[#This Row],[Total PoP ]]</f>
        <v>676</v>
      </c>
      <c r="CM228" s="800">
        <f>IF((WWWW[[#This Row],['#_Constructed/Existing protected/fenced ponds]]*250)/WWWW[[#This Row],[Total PoP ]]&gt;1,1,(WWWW[[#This Row],['#_Constructed/Existing protected/fenced ponds]]*250)/WWWW[[#This Row],[Total PoP ]])</f>
        <v>0</v>
      </c>
      <c r="CN228" s="798">
        <f>WWWW[[#This Row],[% Access to unimproved water points]]*WWWW[[#This Row],[Total PoP ]]</f>
        <v>0</v>
      </c>
      <c r="CO22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Q228" s="798">
        <f>WWWW[[#This Row],[HRP1]]/500</f>
        <v>1.3520000000000001</v>
      </c>
      <c r="CR228" s="803">
        <f>1-WWWW[[#This Row],[% Equitable and continuous access to sufficient quantity of domestic water]]</f>
        <v>0</v>
      </c>
      <c r="CS228" s="798">
        <f>WWWW[[#This Row],[%equitable and continuous access to sufficient quantity of safe drinking and domestic water''s GAP]]*WWWW[[#This Row],[Total PoP ]]</f>
        <v>0</v>
      </c>
      <c r="CT228" s="801">
        <f>IF(WWWW[[#This Row],[Total required water points]]-WWWW[[#This Row],['#Water points coverage]]&lt;0,0,WWWW[[#This Row],[Total required water points]]-WWWW[[#This Row],['#Water points coverage]])</f>
        <v>0</v>
      </c>
      <c r="CU228" s="801">
        <f>ROUND(IF(WWWW[[#This Row],[Total PoP ]]&lt;500,1,WWWW[[#This Row],[Total PoP ]]/500),0)</f>
        <v>1</v>
      </c>
      <c r="CV228" s="801">
        <f>(WWWW[[#This Row],['#_Constructed latrines_by_WASHAgencies]]+WWWW[[#This Row],['#_Non Cluster partner latrines]])-WWWW[[#This Row],['#_Non-functional latrines]]</f>
        <v>32</v>
      </c>
      <c r="CW228" s="804">
        <f>WWWW[[#This Row],[HRP2]]/WWWW[[#This Row],[Total PoP ]]</f>
        <v>0.94674556213017746</v>
      </c>
      <c r="CX22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2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28" s="473">
        <f>IF(WWWW[[#This Row],['# of functional latrines in THF supported by WASH partners during the reporting period2]]="",0,WWWW[[#This Row],['# of functional latrines in THF supported by WASH partners during the reporting period2]]*50)</f>
        <v>0</v>
      </c>
      <c r="DB228" s="473">
        <f>WWWW[[#This Row],['# students access to functioning school latrines_HRP5]]+WWWW[[#This Row],['# People access to functioning latrines in THF_HRP5]]</f>
        <v>0</v>
      </c>
      <c r="DC228" s="801">
        <f>ROUND(IF(WWWW[[#This Row],[Location Type 1]]="camp",WWWW[[#This Row],[Total PoP ]]/20,IF(WWWW[[#This Row],[Location Type 1]]="Temporary Location",WWWW[[#This Row],[Total PoP ]]/50,(WWWW[[#This Row],[Total PoP ]]/6))),0)</f>
        <v>34</v>
      </c>
      <c r="DD228" s="801">
        <f>IF(WWWW[[#This Row],[Total required Latrines]]-(WWWW[[#This Row],['#_Constructed latrines_by_WASHAgencies]]+WWWW[[#This Row],['#_Non Cluster partner latrines]])&lt;0,0,WWWW[[#This Row],[Total required Latrines]]-(WWWW[[#This Row],['#_Constructed latrines_by_WASHAgencies]]+WWWW[[#This Row],['#_Non Cluster partner latrines]]))</f>
        <v>2</v>
      </c>
      <c r="DE228" s="803">
        <f>1-WWWW[[#This Row],[% people access to functioning Latrine]]</f>
        <v>5.3254437869822535E-2</v>
      </c>
      <c r="DF228" s="802">
        <f>IF(OR(WWWW[[#This Row],['#_Non-functional latrines]]="",WWWW[[#This Row],['#_Non-functional latrines]]=0),0,WWWW[[#This Row],['#_Non-functional latrines]]/(WWWW[[#This Row],['#_Constructed latrines_by_WASHAgencies]]+WWWW[[#This Row],['#_Non Cluster partner latrines]]))</f>
        <v>0</v>
      </c>
      <c r="DG228" s="798">
        <f>IF(500*(WWWW[[#This Row],['#_male hygiene promoters]]+WWWW[[#This Row],['#_female hygiene promoters]])&gt;WWWW[[#This Row],[Total PoP ]],WWWW[[#This Row],[Total PoP ]],500*(WWWW[[#This Row],['#_male hygiene promoters]]+WWWW[[#This Row],['#_female hygiene promoters]]))</f>
        <v>500</v>
      </c>
      <c r="DH22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2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28" s="801">
        <f>IF(WWWW[[#This Row],['# People with access to soap]]&gt;WWWW[[#This Row],['# People with access to Sanity Pads]],WWWW[[#This Row],['# People with access to soap]],WWWW[[#This Row],['# People with access to Sanity Pads]])</f>
        <v>0</v>
      </c>
      <c r="DK228"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28" s="803">
        <f>IF(WWWW[[#This Row],[HRP3]]/WWWW[[#This Row],[Total PoP ]]&gt;1,1,WWWW[[#This Row],[HRP3]]/WWWW[[#This Row],[Total PoP ]])</f>
        <v>0.73964497041420119</v>
      </c>
      <c r="DM228" s="802">
        <f>1-WWWW[[#This Row],[Hygiene Coverage%]]</f>
        <v>0.26035502958579881</v>
      </c>
      <c r="DN228" s="800">
        <f>WWWW[[#This Row],['# people reached by regular dedicated hygiene promotion_5]]/WWWW[[#This Row],[Total PoP ]]</f>
        <v>0.73964497041420119</v>
      </c>
      <c r="DO22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2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28" s="801">
        <f>WWWW[[#This Row],['#_Constructed/Existing hand washing stations]]-WWWW[[#This Row],['#_Non-Functional_hand_washing_stations]]</f>
        <v>4</v>
      </c>
      <c r="DR228" s="798">
        <f>IF(WWWW[[#This Row],['# Functional hand washing stations during reporting period]]*20&gt;WWWW[[#This Row],[Total HH]],WWWW[[#This Row],[Total HH]],WWWW[[#This Row],['# Functional hand washing stations during reporting period]]*20)</f>
        <v>80</v>
      </c>
      <c r="DS228" s="798">
        <f>IF(WWWW[[#This Row],[Is sufficient soap available for TLS? (Yes/No)]]="yes",WWWW[[#This Row],['#_Constructed/Existing hand washing stations at TLS]],0)</f>
        <v>0</v>
      </c>
      <c r="DT228" s="479">
        <f>IF(WWWW[[#This Row],['# Functional hand washing stations during reporting period]]*100&gt;WWWW[[#This Row],[Total PoP ]],WWWW[[#This Row],[Total PoP ]],WWWW[[#This Row],['# Functional hand washing stations during reporting period]]*100)</f>
        <v>400</v>
      </c>
      <c r="DU228" s="479" t="str">
        <f>IF(OR(WWWW[[#This Row],['#_students at TLS_CFS]]="",WWWW[[#This Row],['#_students at TLS_CFS]]=0),"No","Yes")</f>
        <v>No</v>
      </c>
      <c r="DV22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28" s="794" t="str">
        <f>VLOOKUP(WWWW[[#This Row],[Site Name]],SiteDB6[[Site Name]:[CCCM Management]],6,FALSE)</f>
        <v>Yes</v>
      </c>
      <c r="DZ228" s="794" t="str">
        <f>VLOOKUP(WWWW[[#This Row],[Site Name]],SiteDB6[[Site Name]:[CCCM Focal Agency]],7,FALSE)</f>
        <v>KBC-MYT</v>
      </c>
      <c r="EA228" s="794" t="str">
        <f>VLOOKUP(WWWW[[#This Row],[Site Name]],SiteDB6[[Site Name]:[Location Type 1]],9,FALSE)</f>
        <v>Camp</v>
      </c>
      <c r="EB228" s="794" t="str">
        <f>VLOOKUP(WWWW[[#This Row],[Site Name]],SiteDB6[[Site Name]:[Type of Accommodation]],10,FALSE)</f>
        <v>Camp</v>
      </c>
      <c r="EC228" s="794" t="str">
        <f>VLOOKUP(WWWW[[#This Row],[Site Name]],SiteDB6[[Site Name]:[Ethnic or GCA/NGCA]],11,FALSE)</f>
        <v>GCA</v>
      </c>
      <c r="ED228" s="794">
        <f>VLOOKUP(WWWW[[#This Row],[Site Name]],SiteDB6[[Site Name]:[Lat]],12,FALSE)</f>
        <v>25.3510167948718</v>
      </c>
      <c r="EE228" s="794">
        <f>VLOOKUP(WWWW[[#This Row],[Site Name]],SiteDB6[[Site Name]:[Long]],13,FALSE)</f>
        <v>97.403402307692303</v>
      </c>
      <c r="EF228" s="794" t="str">
        <f>VLOOKUP(WWWW[[#This Row],[Site Name]],SiteDB6[[Site Name]:[Pcode]],3,FALSE)</f>
        <v>MMR001CMP014</v>
      </c>
      <c r="EG228" s="799" t="str">
        <f t="shared" si="4"/>
        <v>Covered</v>
      </c>
      <c r="EH228" s="799" t="str">
        <f>VLOOKUP(WWWW[[#This Row],[Site Name]],Site_DB!$C$389:$D$1120,2,FALSE)</f>
        <v>cccm_2019OCT</v>
      </c>
    </row>
    <row r="229" spans="1:138" ht="52" hidden="1">
      <c r="A229" s="792" t="s">
        <v>3262</v>
      </c>
      <c r="B229" s="793" t="s">
        <v>3376</v>
      </c>
      <c r="C229" s="793" t="s">
        <v>3376</v>
      </c>
      <c r="D229" s="404" t="s">
        <v>3377</v>
      </c>
      <c r="E229" s="793" t="s">
        <v>39</v>
      </c>
      <c r="F229" s="793" t="s">
        <v>198</v>
      </c>
      <c r="G229" s="721" t="str">
        <f>VLOOKUP(WWWW[[#This Row],[Site Name]],SiteDB6[[Site Name]:[Location Type]],8,FALSE)</f>
        <v>Camp</v>
      </c>
      <c r="H229" s="793" t="s">
        <v>203</v>
      </c>
      <c r="I229" s="720">
        <v>141</v>
      </c>
      <c r="J229" s="720">
        <v>800</v>
      </c>
      <c r="K229" s="407" t="s">
        <v>3604</v>
      </c>
      <c r="L229" s="56" t="s">
        <v>3605</v>
      </c>
      <c r="M229" s="795">
        <v>111</v>
      </c>
      <c r="N229" s="795"/>
      <c r="O229" s="795">
        <v>4</v>
      </c>
      <c r="P229" s="795"/>
      <c r="Q229" s="798" t="s">
        <v>43</v>
      </c>
      <c r="R229" s="795">
        <v>2</v>
      </c>
      <c r="S229" s="795">
        <v>2</v>
      </c>
      <c r="T229" s="523">
        <v>1</v>
      </c>
      <c r="U229" s="795"/>
      <c r="V229" s="795"/>
      <c r="W229" s="795"/>
      <c r="X229" s="795">
        <v>1</v>
      </c>
      <c r="Y229" s="795"/>
      <c r="Z229" s="795"/>
      <c r="AA229" s="795"/>
      <c r="AB229" s="795"/>
      <c r="AC229" s="795"/>
      <c r="AD229" s="795"/>
      <c r="AE229" s="795"/>
      <c r="AF229" s="795"/>
      <c r="AG229" s="795"/>
      <c r="AH229" s="795"/>
      <c r="AI229" s="720">
        <v>4</v>
      </c>
      <c r="AJ229" s="720">
        <v>1</v>
      </c>
      <c r="AK229" s="720">
        <v>1</v>
      </c>
      <c r="AL229" s="795"/>
      <c r="AM229" s="795"/>
      <c r="AN229" s="795"/>
      <c r="AO229" s="835" t="s">
        <v>3380</v>
      </c>
      <c r="AP229" s="795">
        <v>21</v>
      </c>
      <c r="AQ229" s="795"/>
      <c r="AR229" s="800"/>
      <c r="AS229" s="795"/>
      <c r="AT229" s="795"/>
      <c r="AU229" s="795"/>
      <c r="AV229" s="795"/>
      <c r="AW229" s="795"/>
      <c r="AX229" s="794" t="s">
        <v>43</v>
      </c>
      <c r="AY229" s="799" t="s">
        <v>140</v>
      </c>
      <c r="AZ229" s="795"/>
      <c r="BA229" s="795"/>
      <c r="BB229" s="795">
        <v>5</v>
      </c>
      <c r="BC229" s="523"/>
      <c r="BD229" s="523"/>
      <c r="BE229" s="794"/>
      <c r="BF229" s="795">
        <v>12</v>
      </c>
      <c r="BG229" s="795"/>
      <c r="BH229" s="795"/>
      <c r="BI229" s="795">
        <v>5</v>
      </c>
      <c r="BJ229" s="795"/>
      <c r="BK229" s="795"/>
      <c r="BL229" s="720">
        <v>6</v>
      </c>
      <c r="BM229" s="720">
        <v>112</v>
      </c>
      <c r="BN229" s="720">
        <v>191</v>
      </c>
      <c r="BO229" s="794" t="s">
        <v>139</v>
      </c>
      <c r="BP229" s="801"/>
      <c r="BQ229" s="800"/>
      <c r="BR229" s="836" t="s">
        <v>3382</v>
      </c>
      <c r="BS229" s="808">
        <v>1</v>
      </c>
      <c r="BT229" s="808">
        <v>1</v>
      </c>
      <c r="BU229" s="474">
        <v>800</v>
      </c>
      <c r="BV229" s="808">
        <v>1</v>
      </c>
      <c r="BW229" s="523"/>
      <c r="BX229" s="523"/>
      <c r="BY229" s="523"/>
      <c r="BZ229" s="802">
        <f>IFERROR(WWWW[[#This Row],['#_Water sources passed]]/WWWW[[#This Row],['#_Water sources tested for fecal coliform ]],"no test")</f>
        <v>0.25</v>
      </c>
      <c r="CA229" s="800">
        <f>IFERROR(WWWW[[#This Row],['#_Household passed]]/WWWW[[#This Row],['#_Household water samples tested for fecal coliform]],"no test")</f>
        <v>0</v>
      </c>
      <c r="CB229" s="801" t="str">
        <f>IF(AND(WWWW[[#This Row],[% of water sources passed]]="no test",WWWW[[#This Row],[% Household passed]]="no test"),"No Test","Tested")</f>
        <v>Tested</v>
      </c>
      <c r="CC229" s="801">
        <f>WWWW[[#This Row],['#_Constructed/existing protected hand dug well]]-WWWW[[#This Row],['#_Non-functional protected hand dug well]]</f>
        <v>1</v>
      </c>
      <c r="CD229" s="801">
        <f>(WWWW[[#This Row],['#_Constructed/Existing tube wells/boreholes/handpumps_WASH_agency]]+WWWW[[#This Row],['#_Non-Cluster partner water tube-wells/boreholes/handpumps]])-WWWW[[#This Row],['#_Non-functional tube wells/boreholes/handpumps]]</f>
        <v>1</v>
      </c>
      <c r="CE229" s="801">
        <f>WWWW[[#This Row],['#_Constructed/Existingwater storage tank with gravity fed reticulation system]]-WWWW[[#This Row],['#_Non-functional storage tank gravity fed reticulation system]]</f>
        <v>0</v>
      </c>
      <c r="CF229" s="801">
        <f>(WWWW[[#This Row],['#_Water_Liters_supplied_by_Water boating or water trucking]]/90)/15</f>
        <v>0</v>
      </c>
      <c r="CG229" s="801">
        <f>WWWW[[#This Row],['#_Water_Liters_from_Constructed/Existing water distribution system from river or natural spring]]/90/15</f>
        <v>0</v>
      </c>
      <c r="CH229" s="473">
        <f>WWWW[[#This Row],['#_of water points in TLS/CFS /THF]]*500</f>
        <v>0</v>
      </c>
      <c r="CI22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2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v>
      </c>
      <c r="CK229" s="800">
        <f>IF(WWWW[[#This Row],[Location Type 1]]="Village",WWWW[[#This Row],[Access to safe drinking water for Village]],WWWW[[#This Row],[Access to safe drinking water for Camp]])</f>
        <v>1</v>
      </c>
      <c r="CL229" s="798">
        <f>WWWW[[#This Row],[%Equitable and continuous access to sufficient quantity of safe drinking water]]*WWWW[[#This Row],[Total PoP ]]</f>
        <v>800</v>
      </c>
      <c r="CM229" s="800">
        <f>IF((WWWW[[#This Row],['#_Constructed/Existing protected/fenced ponds]]*250)/WWWW[[#This Row],[Total PoP ]]&gt;1,1,(WWWW[[#This Row],['#_Constructed/Existing protected/fenced ponds]]*250)/WWWW[[#This Row],[Total PoP ]])</f>
        <v>0</v>
      </c>
      <c r="CN229" s="798">
        <f>WWWW[[#This Row],[% Access to unimproved water points]]*WWWW[[#This Row],[Total PoP ]]</f>
        <v>0</v>
      </c>
      <c r="CO22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2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229" s="798">
        <f>WWWW[[#This Row],[HRP1]]/500</f>
        <v>1.6</v>
      </c>
      <c r="CR229" s="803">
        <f>1-WWWW[[#This Row],[% Equitable and continuous access to sufficient quantity of domestic water]]</f>
        <v>0</v>
      </c>
      <c r="CS229" s="798">
        <f>WWWW[[#This Row],[%equitable and continuous access to sufficient quantity of safe drinking and domestic water''s GAP]]*WWWW[[#This Row],[Total PoP ]]</f>
        <v>0</v>
      </c>
      <c r="CT229" s="801">
        <f>IF(WWWW[[#This Row],[Total required water points]]-WWWW[[#This Row],['#Water points coverage]]&lt;0,0,WWWW[[#This Row],[Total required water points]]-WWWW[[#This Row],['#Water points coverage]])</f>
        <v>0.39999999999999991</v>
      </c>
      <c r="CU229" s="801">
        <f>ROUND(IF(WWWW[[#This Row],[Total PoP ]]&lt;500,1,WWWW[[#This Row],[Total PoP ]]/500),0)</f>
        <v>2</v>
      </c>
      <c r="CV229" s="801">
        <f>(WWWW[[#This Row],['#_Constructed latrines_by_WASHAgencies]]+WWWW[[#This Row],['#_Non Cluster partner latrines]])-WWWW[[#This Row],['#_Non-functional latrines]]</f>
        <v>21</v>
      </c>
      <c r="CW229" s="804">
        <f>WWWW[[#This Row],[HRP2]]/WWWW[[#This Row],[Total PoP ]]</f>
        <v>0.52500000000000002</v>
      </c>
      <c r="CX22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CY22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2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111</v>
      </c>
      <c r="DA229" s="473">
        <f>IF(WWWW[[#This Row],['# of functional latrines in THF supported by WASH partners during the reporting period2]]="",0,WWWW[[#This Row],['# of functional latrines in THF supported by WASH partners during the reporting period2]]*50)</f>
        <v>0</v>
      </c>
      <c r="DB229" s="473">
        <f>WWWW[[#This Row],['# students access to functioning school latrines_HRP5]]+WWWW[[#This Row],['# People access to functioning latrines in THF_HRP5]]</f>
        <v>111</v>
      </c>
      <c r="DC229" s="801">
        <f>ROUND(IF(WWWW[[#This Row],[Location Type 1]]="camp",WWWW[[#This Row],[Total PoP ]]/20,IF(WWWW[[#This Row],[Location Type 1]]="Temporary Location",WWWW[[#This Row],[Total PoP ]]/50,(WWWW[[#This Row],[Total PoP ]]/6))),0)</f>
        <v>40</v>
      </c>
      <c r="DD229" s="801">
        <f>IF(WWWW[[#This Row],[Total required Latrines]]-(WWWW[[#This Row],['#_Constructed latrines_by_WASHAgencies]]+WWWW[[#This Row],['#_Non Cluster partner latrines]])&lt;0,0,WWWW[[#This Row],[Total required Latrines]]-(WWWW[[#This Row],['#_Constructed latrines_by_WASHAgencies]]+WWWW[[#This Row],['#_Non Cluster partner latrines]]))</f>
        <v>19</v>
      </c>
      <c r="DE229" s="803">
        <f>1-WWWW[[#This Row],[% people access to functioning Latrine]]</f>
        <v>0.47499999999999998</v>
      </c>
      <c r="DF229" s="802">
        <f>IF(OR(WWWW[[#This Row],['#_Non-functional latrines]]="",WWWW[[#This Row],['#_Non-functional latrines]]=0),0,WWWW[[#This Row],['#_Non-functional latrines]]/(WWWW[[#This Row],['#_Constructed latrines_by_WASHAgencies]]+WWWW[[#This Row],['#_Non Cluster partner latrines]]))</f>
        <v>0</v>
      </c>
      <c r="DG229" s="798">
        <f>IF(500*(WWWW[[#This Row],['#_male hygiene promoters]]+WWWW[[#This Row],['#_female hygiene promoters]])&gt;WWWW[[#This Row],[Total PoP ]],WWWW[[#This Row],[Total PoP ]],500*(WWWW[[#This Row],['#_male hygiene promoters]]+WWWW[[#This Row],['#_female hygiene promoters]]))</f>
        <v>800</v>
      </c>
      <c r="DH22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560</v>
      </c>
      <c r="DI22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191</v>
      </c>
      <c r="DJ229" s="801">
        <f>IF(WWWW[[#This Row],['# People with access to soap]]&gt;WWWW[[#This Row],['# People with access to Sanity Pads]],WWWW[[#This Row],['# People with access to soap]],WWWW[[#This Row],['# People with access to Sanity Pads]])</f>
        <v>560</v>
      </c>
      <c r="DK229" s="801">
        <f>IF(WWWW[[#This Row],['# people reached by regular dedicated hygiene promotion_5]]&gt;WWWW[[#This Row],['# People received regular supply of hygiene items_6]],WWWW[[#This Row],['# people reached by regular dedicated hygiene promotion_5]],WWWW[[#This Row],['# People received regular supply of hygiene items_6]])</f>
        <v>800</v>
      </c>
      <c r="DL229" s="803">
        <f>IF(WWWW[[#This Row],[HRP3]]/WWWW[[#This Row],[Total PoP ]]&gt;1,1,WWWW[[#This Row],[HRP3]]/WWWW[[#This Row],[Total PoP ]])</f>
        <v>1</v>
      </c>
      <c r="DM229" s="802">
        <f>1-WWWW[[#This Row],[Hygiene Coverage%]]</f>
        <v>0</v>
      </c>
      <c r="DN229" s="800">
        <f>WWWW[[#This Row],['# people reached by regular dedicated hygiene promotion_5]]/WWWW[[#This Row],[Total PoP ]]</f>
        <v>1</v>
      </c>
      <c r="DO22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2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29" s="801">
        <f>WWWW[[#This Row],['#_Constructed/Existing hand washing stations]]-WWWW[[#This Row],['#_Non-Functional_hand_washing_stations]]</f>
        <v>12</v>
      </c>
      <c r="DR229" s="798">
        <f>IF(WWWW[[#This Row],['# Functional hand washing stations during reporting period]]*20&gt;WWWW[[#This Row],[Total HH]],WWWW[[#This Row],[Total HH]],WWWW[[#This Row],['# Functional hand washing stations during reporting period]]*20)</f>
        <v>141</v>
      </c>
      <c r="DS229" s="798">
        <f>IF(WWWW[[#This Row],[Is sufficient soap available for TLS? (Yes/No)]]="yes",WWWW[[#This Row],['#_Constructed/Existing hand washing stations at TLS]],0)</f>
        <v>0</v>
      </c>
      <c r="DT229" s="479">
        <f>IF(WWWW[[#This Row],['# Functional hand washing stations during reporting period]]*100&gt;WWWW[[#This Row],[Total PoP ]],WWWW[[#This Row],[Total PoP ]],WWWW[[#This Row],['# Functional hand washing stations during reporting period]]*100)</f>
        <v>800</v>
      </c>
      <c r="DU229" s="479" t="str">
        <f>IF(OR(WWWW[[#This Row],['#_students at TLS_CFS]]="",WWWW[[#This Row],['#_students at TLS_CFS]]=0),"No","Yes")</f>
        <v>Yes</v>
      </c>
      <c r="DV229"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111</v>
      </c>
      <c r="DY229" s="794" t="str">
        <f>VLOOKUP(WWWW[[#This Row],[Site Name]],SiteDB6[[Site Name]:[CCCM Management]],6,FALSE)</f>
        <v>Yes</v>
      </c>
      <c r="DZ229" s="794" t="str">
        <f>VLOOKUP(WWWW[[#This Row],[Site Name]],SiteDB6[[Site Name]:[CCCM Focal Agency]],7,FALSE)</f>
        <v>Shalom</v>
      </c>
      <c r="EA229" s="794" t="str">
        <f>VLOOKUP(WWWW[[#This Row],[Site Name]],SiteDB6[[Site Name]:[Location Type 1]],9,FALSE)</f>
        <v>Camp</v>
      </c>
      <c r="EB229" s="794" t="str">
        <f>VLOOKUP(WWWW[[#This Row],[Site Name]],SiteDB6[[Site Name]:[Type of Accommodation]],10,FALSE)</f>
        <v>Camp</v>
      </c>
      <c r="EC229" s="794" t="str">
        <f>VLOOKUP(WWWW[[#This Row],[Site Name]],SiteDB6[[Site Name]:[Ethnic or GCA/NGCA]],11,FALSE)</f>
        <v>GCA</v>
      </c>
      <c r="ED229" s="794">
        <f>VLOOKUP(WWWW[[#This Row],[Site Name]],SiteDB6[[Site Name]:[Lat]],12,FALSE)</f>
        <v>24.2631743589744</v>
      </c>
      <c r="EE229" s="794">
        <f>VLOOKUP(WWWW[[#This Row],[Site Name]],SiteDB6[[Site Name]:[Long]],13,FALSE)</f>
        <v>97.240183461538507</v>
      </c>
      <c r="EF229" s="794" t="str">
        <f>VLOOKUP(WWWW[[#This Row],[Site Name]],SiteDB6[[Site Name]:[Pcode]],3,FALSE)</f>
        <v>MMR001CMP049</v>
      </c>
      <c r="EG229" s="799" t="str">
        <f t="shared" si="4"/>
        <v>Covered</v>
      </c>
      <c r="EH229" s="799" t="str">
        <f>VLOOKUP(WWWW[[#This Row],[Site Name]],Site_DB!$C$389:$D$1120,2,FALSE)</f>
        <v>cccm_2019OCT</v>
      </c>
    </row>
    <row r="230" spans="1:138" hidden="1">
      <c r="A230" s="792" t="s">
        <v>3262</v>
      </c>
      <c r="B230" s="792" t="s">
        <v>144</v>
      </c>
      <c r="C230" s="793" t="s">
        <v>144</v>
      </c>
      <c r="D230" s="793" t="s">
        <v>3277</v>
      </c>
      <c r="E230" s="793" t="s">
        <v>39</v>
      </c>
      <c r="F230" s="793" t="s">
        <v>155</v>
      </c>
      <c r="G230" s="721" t="str">
        <f>VLOOKUP(WWWW[[#This Row],[Site Name]],SiteDB6[[Site Name]:[Location Type]],8,FALSE)</f>
        <v>Camp_not registered</v>
      </c>
      <c r="H230" s="793" t="s">
        <v>2073</v>
      </c>
      <c r="I230" s="795">
        <v>6</v>
      </c>
      <c r="J230" s="795">
        <v>36</v>
      </c>
      <c r="K230" s="796" t="s">
        <v>3278</v>
      </c>
      <c r="L230" s="797" t="s">
        <v>3279</v>
      </c>
      <c r="M230" s="795"/>
      <c r="N230" s="795"/>
      <c r="O230" s="795"/>
      <c r="P230" s="795"/>
      <c r="Q230" s="798" t="s">
        <v>43</v>
      </c>
      <c r="R230" s="795"/>
      <c r="S230" s="795">
        <v>1</v>
      </c>
      <c r="T230" s="523">
        <v>0</v>
      </c>
      <c r="U230" s="795"/>
      <c r="V230" s="795"/>
      <c r="W230" s="795">
        <v>1</v>
      </c>
      <c r="X230" s="795"/>
      <c r="Y230" s="795"/>
      <c r="Z230" s="795"/>
      <c r="AA230" s="795"/>
      <c r="AB230" s="795"/>
      <c r="AC230" s="795"/>
      <c r="AD230" s="795"/>
      <c r="AE230" s="795"/>
      <c r="AF230" s="795"/>
      <c r="AG230" s="795"/>
      <c r="AH230" s="795">
        <v>3</v>
      </c>
      <c r="AI230" s="795"/>
      <c r="AJ230" s="795"/>
      <c r="AK230" s="795"/>
      <c r="AL230" s="795"/>
      <c r="AM230" s="795"/>
      <c r="AN230" s="795"/>
      <c r="AO230" s="799"/>
      <c r="AP230" s="795">
        <v>2</v>
      </c>
      <c r="AQ230" s="795"/>
      <c r="AR230" s="800"/>
      <c r="AS230" s="795"/>
      <c r="AT230" s="795"/>
      <c r="AU230" s="795"/>
      <c r="AV230" s="795"/>
      <c r="AW230" s="795">
        <v>2</v>
      </c>
      <c r="AX230" s="794" t="s">
        <v>43</v>
      </c>
      <c r="AY230" s="799" t="s">
        <v>140</v>
      </c>
      <c r="AZ230" s="795"/>
      <c r="BA230" s="795"/>
      <c r="BB230" s="795"/>
      <c r="BC230" s="523"/>
      <c r="BD230" s="523"/>
      <c r="BE230" s="794"/>
      <c r="BF230" s="795">
        <v>1</v>
      </c>
      <c r="BG230" s="795"/>
      <c r="BH230" s="795"/>
      <c r="BI230" s="795">
        <v>0</v>
      </c>
      <c r="BJ230" s="795"/>
      <c r="BK230" s="795"/>
      <c r="BL230" s="795">
        <v>1</v>
      </c>
      <c r="BM230" s="795"/>
      <c r="BN230" s="795"/>
      <c r="BO230" s="794"/>
      <c r="BP230" s="801"/>
      <c r="BQ230" s="800"/>
      <c r="BR230" s="794"/>
      <c r="BS230" s="472"/>
      <c r="BT230" s="472"/>
      <c r="BU230" s="474"/>
      <c r="BV230" s="472"/>
      <c r="BW230" s="523"/>
      <c r="BX230" s="523"/>
      <c r="BY230" s="523"/>
      <c r="BZ230" s="802" t="str">
        <f>IFERROR(WWWW[[#This Row],['#_Water sources passed]]/WWWW[[#This Row],['#_Water sources tested for fecal coliform ]],"no test")</f>
        <v>no test</v>
      </c>
      <c r="CA230" s="800" t="str">
        <f>IFERROR(WWWW[[#This Row],['#_Household passed]]/WWWW[[#This Row],['#_Household water samples tested for fecal coliform]],"no test")</f>
        <v>no test</v>
      </c>
      <c r="CB230" s="801" t="str">
        <f>IF(AND(WWWW[[#This Row],[% of water sources passed]]="no test",WWWW[[#This Row],[% Household passed]]="no test"),"No Test","Tested")</f>
        <v>No Test</v>
      </c>
      <c r="CC230" s="801">
        <f>WWWW[[#This Row],['#_Constructed/existing protected hand dug well]]-WWWW[[#This Row],['#_Non-functional protected hand dug well]]</f>
        <v>0</v>
      </c>
      <c r="CD230" s="801">
        <f>(WWWW[[#This Row],['#_Constructed/Existing tube wells/boreholes/handpumps_WASH_agency]]+WWWW[[#This Row],['#_Non-Cluster partner water tube-wells/boreholes/handpumps]])-WWWW[[#This Row],['#_Non-functional tube wells/boreholes/handpumps]]</f>
        <v>1</v>
      </c>
      <c r="CE230" s="801">
        <f>WWWW[[#This Row],['#_Constructed/Existingwater storage tank with gravity fed reticulation system]]-WWWW[[#This Row],['#_Non-functional storage tank gravity fed reticulation system]]</f>
        <v>0</v>
      </c>
      <c r="CF230" s="801">
        <f>(WWWW[[#This Row],['#_Water_Liters_supplied_by_Water boating or water trucking]]/90)/15</f>
        <v>0</v>
      </c>
      <c r="CG230" s="801">
        <f>WWWW[[#This Row],['#_Water_Liters_from_Constructed/Existing water distribution system from river or natural spring]]/90/15</f>
        <v>0</v>
      </c>
      <c r="CH230" s="473">
        <f>WWWW[[#This Row],['#_of water points in TLS/CFS /THF]]*500</f>
        <v>0</v>
      </c>
      <c r="CI23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0" s="800">
        <f>IF(WWWW[[#This Row],[Location Type 1]]="Village",WWWW[[#This Row],[Access to safe drinking water for Village]],WWWW[[#This Row],[Access to safe drinking water for Camp]])</f>
        <v>1</v>
      </c>
      <c r="CL230" s="798">
        <f>WWWW[[#This Row],[%Equitable and continuous access to sufficient quantity of safe drinking water]]*WWWW[[#This Row],[Total PoP ]]</f>
        <v>36</v>
      </c>
      <c r="CM230" s="800">
        <f>IF((WWWW[[#This Row],['#_Constructed/Existing protected/fenced ponds]]*250)/WWWW[[#This Row],[Total PoP ]]&gt;1,1,(WWWW[[#This Row],['#_Constructed/Existing protected/fenced ponds]]*250)/WWWW[[#This Row],[Total PoP ]])</f>
        <v>0</v>
      </c>
      <c r="CN230" s="798">
        <f>WWWW[[#This Row],[% Access to unimproved water points]]*WWWW[[#This Row],[Total PoP ]]</f>
        <v>0</v>
      </c>
      <c r="CO23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Q230" s="798">
        <f>WWWW[[#This Row],[HRP1]]/500</f>
        <v>7.1999999999999995E-2</v>
      </c>
      <c r="CR230" s="803">
        <f>1-WWWW[[#This Row],[% Equitable and continuous access to sufficient quantity of domestic water]]</f>
        <v>0</v>
      </c>
      <c r="CS230" s="798">
        <f>WWWW[[#This Row],[%equitable and continuous access to sufficient quantity of safe drinking and domestic water''s GAP]]*WWWW[[#This Row],[Total PoP ]]</f>
        <v>0</v>
      </c>
      <c r="CT230" s="801">
        <f>IF(WWWW[[#This Row],[Total required water points]]-WWWW[[#This Row],['#Water points coverage]]&lt;0,0,WWWW[[#This Row],[Total required water points]]-WWWW[[#This Row],['#Water points coverage]])</f>
        <v>0.92800000000000005</v>
      </c>
      <c r="CU230" s="801">
        <f>ROUND(IF(WWWW[[#This Row],[Total PoP ]]&lt;500,1,WWWW[[#This Row],[Total PoP ]]/500),0)</f>
        <v>1</v>
      </c>
      <c r="CV230" s="801">
        <f>(WWWW[[#This Row],['#_Constructed latrines_by_WASHAgencies]]+WWWW[[#This Row],['#_Non Cluster partner latrines]])-WWWW[[#This Row],['#_Non-functional latrines]]</f>
        <v>2</v>
      </c>
      <c r="CW230" s="804">
        <f>WWWW[[#This Row],[HRP2]]/WWWW[[#This Row],[Total PoP ]]</f>
        <v>1</v>
      </c>
      <c r="CX23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CY23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0" s="473">
        <f>IF(WWWW[[#This Row],['# of functional latrines in THF supported by WASH partners during the reporting period2]]="",0,WWWW[[#This Row],['# of functional latrines in THF supported by WASH partners during the reporting period2]]*50)</f>
        <v>0</v>
      </c>
      <c r="DB230" s="473">
        <f>WWWW[[#This Row],['# students access to functioning school latrines_HRP5]]+WWWW[[#This Row],['# People access to functioning latrines in THF_HRP5]]</f>
        <v>0</v>
      </c>
      <c r="DC230" s="801">
        <f>ROUND(IF(WWWW[[#This Row],[Location Type 1]]="camp",WWWW[[#This Row],[Total PoP ]]/20,IF(WWWW[[#This Row],[Location Type 1]]="Temporary Location",WWWW[[#This Row],[Total PoP ]]/50,(WWWW[[#This Row],[Total PoP ]]/6))),0)</f>
        <v>2</v>
      </c>
      <c r="DD230" s="801">
        <f>IF(WWWW[[#This Row],[Total required Latrines]]-(WWWW[[#This Row],['#_Constructed latrines_by_WASHAgencies]]+WWWW[[#This Row],['#_Non Cluster partner latrines]])&lt;0,0,WWWW[[#This Row],[Total required Latrines]]-(WWWW[[#This Row],['#_Constructed latrines_by_WASHAgencies]]+WWWW[[#This Row],['#_Non Cluster partner latrines]]))</f>
        <v>0</v>
      </c>
      <c r="DE230" s="803">
        <f>1-WWWW[[#This Row],[% people access to functioning Latrine]]</f>
        <v>0</v>
      </c>
      <c r="DF230" s="802">
        <f>IF(OR(WWWW[[#This Row],['#_Non-functional latrines]]="",WWWW[[#This Row],['#_Non-functional latrines]]=0),0,WWWW[[#This Row],['#_Non-functional latrines]]/(WWWW[[#This Row],['#_Constructed latrines_by_WASHAgencies]]+WWWW[[#This Row],['#_Non Cluster partner latrines]]))</f>
        <v>0</v>
      </c>
      <c r="DG230" s="798">
        <f>IF(500*(WWWW[[#This Row],['#_male hygiene promoters]]+WWWW[[#This Row],['#_female hygiene promoters]])&gt;WWWW[[#This Row],[Total PoP ]],WWWW[[#This Row],[Total PoP ]],500*(WWWW[[#This Row],['#_male hygiene promoters]]+WWWW[[#This Row],['#_female hygiene promoters]]))</f>
        <v>36</v>
      </c>
      <c r="DH23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0" s="801">
        <f>IF(WWWW[[#This Row],['# People with access to soap]]&gt;WWWW[[#This Row],['# People with access to Sanity Pads]],WWWW[[#This Row],['# People with access to soap]],WWWW[[#This Row],['# People with access to Sanity Pads]])</f>
        <v>0</v>
      </c>
      <c r="DK230" s="801">
        <f>IF(WWWW[[#This Row],['# people reached by regular dedicated hygiene promotion_5]]&gt;WWWW[[#This Row],['# People received regular supply of hygiene items_6]],WWWW[[#This Row],['# people reached by regular dedicated hygiene promotion_5]],WWWW[[#This Row],['# People received regular supply of hygiene items_6]])</f>
        <v>36</v>
      </c>
      <c r="DL230" s="803">
        <f>IF(WWWW[[#This Row],[HRP3]]/WWWW[[#This Row],[Total PoP ]]&gt;1,1,WWWW[[#This Row],[HRP3]]/WWWW[[#This Row],[Total PoP ]])</f>
        <v>1</v>
      </c>
      <c r="DM230" s="802">
        <f>1-WWWW[[#This Row],[Hygiene Coverage%]]</f>
        <v>0</v>
      </c>
      <c r="DN230" s="800">
        <f>WWWW[[#This Row],['# people reached by regular dedicated hygiene promotion_5]]/WWWW[[#This Row],[Total PoP ]]</f>
        <v>1</v>
      </c>
      <c r="DO23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0" s="801">
        <f>WWWW[[#This Row],['#_Constructed/Existing hand washing stations]]-WWWW[[#This Row],['#_Non-Functional_hand_washing_stations]]</f>
        <v>1</v>
      </c>
      <c r="DR230" s="798">
        <f>IF(WWWW[[#This Row],['# Functional hand washing stations during reporting period]]*20&gt;WWWW[[#This Row],[Total HH]],WWWW[[#This Row],[Total HH]],WWWW[[#This Row],['# Functional hand washing stations during reporting period]]*20)</f>
        <v>6</v>
      </c>
      <c r="DS230" s="798">
        <f>IF(WWWW[[#This Row],[Is sufficient soap available for TLS? (Yes/No)]]="yes",WWWW[[#This Row],['#_Constructed/Existing hand washing stations at TLS]],0)</f>
        <v>0</v>
      </c>
      <c r="DT230" s="479">
        <f>IF(WWWW[[#This Row],['# Functional hand washing stations during reporting period]]*100&gt;WWWW[[#This Row],[Total PoP ]],WWWW[[#This Row],[Total PoP ]],WWWW[[#This Row],['# Functional hand washing stations during reporting period]]*100)</f>
        <v>36</v>
      </c>
      <c r="DU230" s="479" t="str">
        <f>IF(OR(WWWW[[#This Row],['#_students at TLS_CFS]]="",WWWW[[#This Row],['#_students at TLS_CFS]]=0),"No","Yes")</f>
        <v>No</v>
      </c>
      <c r="DV23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0" s="794">
        <f>VLOOKUP(WWWW[[#This Row],[Site Name]],SiteDB6[[Site Name]:[CCCM Management]],6,FALSE)</f>
        <v>0</v>
      </c>
      <c r="DZ230" s="794">
        <f>VLOOKUP(WWWW[[#This Row],[Site Name]],SiteDB6[[Site Name]:[CCCM Focal Agency]],7,FALSE)</f>
        <v>0</v>
      </c>
      <c r="EA230" s="794" t="str">
        <f>VLOOKUP(WWWW[[#This Row],[Site Name]],SiteDB6[[Site Name]:[Location Type 1]],9,FALSE)</f>
        <v>Camp</v>
      </c>
      <c r="EB230" s="794" t="str">
        <f>VLOOKUP(WWWW[[#This Row],[Site Name]],SiteDB6[[Site Name]:[Type of Accommodation]],10,FALSE)</f>
        <v>Camp like setting</v>
      </c>
      <c r="EC230" s="794" t="str">
        <f>VLOOKUP(WWWW[[#This Row],[Site Name]],SiteDB6[[Site Name]:[Ethnic or GCA/NGCA]],11,FALSE)</f>
        <v>GCA</v>
      </c>
      <c r="ED230" s="794">
        <f>VLOOKUP(WWWW[[#This Row],[Site Name]],SiteDB6[[Site Name]:[Lat]],12,FALSE)</f>
        <v>0</v>
      </c>
      <c r="EE230" s="794">
        <f>VLOOKUP(WWWW[[#This Row],[Site Name]],SiteDB6[[Site Name]:[Long]],13,FALSE)</f>
        <v>0</v>
      </c>
      <c r="EF230" s="794">
        <f>VLOOKUP(WWWW[[#This Row],[Site Name]],SiteDB6[[Site Name]:[Pcode]],3,FALSE)</f>
        <v>0</v>
      </c>
      <c r="EG230" s="799" t="str">
        <f t="shared" si="4"/>
        <v>Covered</v>
      </c>
      <c r="EH230" s="799">
        <f>VLOOKUP(WWWW[[#This Row],[Site Name]],Site_DB!$C$389:$D$1120,2,FALSE)</f>
        <v>0</v>
      </c>
    </row>
    <row r="231" spans="1:138" hidden="1">
      <c r="A231" s="792" t="s">
        <v>3262</v>
      </c>
      <c r="B231" s="792" t="s">
        <v>144</v>
      </c>
      <c r="C231" s="793" t="s">
        <v>144</v>
      </c>
      <c r="D231" s="793" t="s">
        <v>3277</v>
      </c>
      <c r="E231" s="793" t="s">
        <v>39</v>
      </c>
      <c r="F231" s="793" t="s">
        <v>155</v>
      </c>
      <c r="G231" s="721" t="str">
        <f>VLOOKUP(WWWW[[#This Row],[Site Name]],SiteDB6[[Site Name]:[Location Type]],8,FALSE)</f>
        <v>Camp</v>
      </c>
      <c r="H231" s="793" t="s">
        <v>2174</v>
      </c>
      <c r="I231" s="795">
        <v>105</v>
      </c>
      <c r="J231" s="795">
        <v>474</v>
      </c>
      <c r="K231" s="796" t="s">
        <v>3278</v>
      </c>
      <c r="L231" s="797" t="s">
        <v>3279</v>
      </c>
      <c r="M231" s="795"/>
      <c r="N231" s="795"/>
      <c r="O231" s="795"/>
      <c r="P231" s="795"/>
      <c r="Q231" s="798" t="s">
        <v>43</v>
      </c>
      <c r="R231" s="795"/>
      <c r="S231" s="795">
        <v>2</v>
      </c>
      <c r="T231" s="523">
        <v>1</v>
      </c>
      <c r="U231" s="795"/>
      <c r="V231" s="795"/>
      <c r="W231" s="795"/>
      <c r="X231" s="795"/>
      <c r="Y231" s="795"/>
      <c r="Z231" s="795"/>
      <c r="AA231" s="795"/>
      <c r="AB231" s="795"/>
      <c r="AC231" s="795"/>
      <c r="AD231" s="795"/>
      <c r="AE231" s="795"/>
      <c r="AF231" s="795"/>
      <c r="AG231" s="795"/>
      <c r="AH231" s="795">
        <v>2</v>
      </c>
      <c r="AI231" s="795"/>
      <c r="AJ231" s="795"/>
      <c r="AK231" s="795"/>
      <c r="AL231" s="795"/>
      <c r="AM231" s="795"/>
      <c r="AN231" s="795"/>
      <c r="AO231" s="799"/>
      <c r="AP231" s="795">
        <v>13</v>
      </c>
      <c r="AQ231" s="795"/>
      <c r="AR231" s="800"/>
      <c r="AS231" s="795"/>
      <c r="AT231" s="795"/>
      <c r="AU231" s="795"/>
      <c r="AV231" s="795"/>
      <c r="AW231" s="795">
        <v>12</v>
      </c>
      <c r="AX231" s="794" t="s">
        <v>43</v>
      </c>
      <c r="AY231" s="799" t="s">
        <v>140</v>
      </c>
      <c r="AZ231" s="795"/>
      <c r="BA231" s="795"/>
      <c r="BB231" s="795"/>
      <c r="BC231" s="523"/>
      <c r="BD231" s="523"/>
      <c r="BE231" s="794"/>
      <c r="BF231" s="795">
        <v>3</v>
      </c>
      <c r="BG231" s="795"/>
      <c r="BH231" s="795"/>
      <c r="BI231" s="795">
        <v>3</v>
      </c>
      <c r="BJ231" s="795"/>
      <c r="BK231" s="795"/>
      <c r="BL231" s="795">
        <v>2</v>
      </c>
      <c r="BM231" s="795"/>
      <c r="BN231" s="795"/>
      <c r="BO231" s="794"/>
      <c r="BP231" s="801"/>
      <c r="BQ231" s="800"/>
      <c r="BR231" s="794"/>
      <c r="BS231" s="472"/>
      <c r="BT231" s="472"/>
      <c r="BU231" s="474"/>
      <c r="BV231" s="472"/>
      <c r="BW231" s="523"/>
      <c r="BX231" s="523"/>
      <c r="BY231" s="523"/>
      <c r="BZ231" s="802" t="str">
        <f>IFERROR(WWWW[[#This Row],['#_Water sources passed]]/WWWW[[#This Row],['#_Water sources tested for fecal coliform ]],"no test")</f>
        <v>no test</v>
      </c>
      <c r="CA231" s="800" t="str">
        <f>IFERROR(WWWW[[#This Row],['#_Household passed]]/WWWW[[#This Row],['#_Household water samples tested for fecal coliform]],"no test")</f>
        <v>no test</v>
      </c>
      <c r="CB231" s="801" t="str">
        <f>IF(AND(WWWW[[#This Row],[% of water sources passed]]="no test",WWWW[[#This Row],[% Household passed]]="no test"),"No Test","Tested")</f>
        <v>No Test</v>
      </c>
      <c r="CC231" s="801">
        <f>WWWW[[#This Row],['#_Constructed/existing protected hand dug well]]-WWWW[[#This Row],['#_Non-functional protected hand dug well]]</f>
        <v>1</v>
      </c>
      <c r="CD231" s="801">
        <f>(WWWW[[#This Row],['#_Constructed/Existing tube wells/boreholes/handpumps_WASH_agency]]+WWWW[[#This Row],['#_Non-Cluster partner water tube-wells/boreholes/handpumps]])-WWWW[[#This Row],['#_Non-functional tube wells/boreholes/handpumps]]</f>
        <v>0</v>
      </c>
      <c r="CE231" s="801">
        <f>WWWW[[#This Row],['#_Constructed/Existingwater storage tank with gravity fed reticulation system]]-WWWW[[#This Row],['#_Non-functional storage tank gravity fed reticulation system]]</f>
        <v>0</v>
      </c>
      <c r="CF231" s="801">
        <f>(WWWW[[#This Row],['#_Water_Liters_supplied_by_Water boating or water trucking]]/90)/15</f>
        <v>0</v>
      </c>
      <c r="CG231" s="801">
        <f>WWWW[[#This Row],['#_Water_Liters_from_Constructed/Existing water distribution system from river or natural spring]]/90/15</f>
        <v>0</v>
      </c>
      <c r="CH231" s="473">
        <f>WWWW[[#This Row],['#_of water points in TLS/CFS /THF]]*500</f>
        <v>0</v>
      </c>
      <c r="CI23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J23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K231" s="800">
        <f>IF(WWWW[[#This Row],[Location Type 1]]="Village",WWWW[[#This Row],[Access to safe drinking water for Village]],WWWW[[#This Row],[Access to safe drinking water for Camp]])</f>
        <v>0.84388185654008441</v>
      </c>
      <c r="CL231" s="798">
        <f>WWWW[[#This Row],[%Equitable and continuous access to sufficient quantity of safe drinking water]]*WWWW[[#This Row],[Total PoP ]]</f>
        <v>400</v>
      </c>
      <c r="CM231" s="800">
        <f>IF((WWWW[[#This Row],['#_Constructed/Existing protected/fenced ponds]]*250)/WWWW[[#This Row],[Total PoP ]]&gt;1,1,(WWWW[[#This Row],['#_Constructed/Existing protected/fenced ponds]]*250)/WWWW[[#This Row],[Total PoP ]])</f>
        <v>0</v>
      </c>
      <c r="CN231" s="798">
        <f>WWWW[[#This Row],[% Access to unimproved water points]]*WWWW[[#This Row],[Total PoP ]]</f>
        <v>0</v>
      </c>
      <c r="CO23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P23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31" s="798">
        <f>WWWW[[#This Row],[HRP1]]/500</f>
        <v>0.8</v>
      </c>
      <c r="CR231" s="803">
        <f>1-WWWW[[#This Row],[% Equitable and continuous access to sufficient quantity of domestic water]]</f>
        <v>0.15611814345991559</v>
      </c>
      <c r="CS231" s="798">
        <f>WWWW[[#This Row],[%equitable and continuous access to sufficient quantity of safe drinking and domestic water''s GAP]]*WWWW[[#This Row],[Total PoP ]]</f>
        <v>73.999999999999986</v>
      </c>
      <c r="CT231" s="801">
        <f>IF(WWWW[[#This Row],[Total required water points]]-WWWW[[#This Row],['#Water points coverage]]&lt;0,0,WWWW[[#This Row],[Total required water points]]-WWWW[[#This Row],['#Water points coverage]])</f>
        <v>0.19999999999999996</v>
      </c>
      <c r="CU231" s="801">
        <f>ROUND(IF(WWWW[[#This Row],[Total PoP ]]&lt;500,1,WWWW[[#This Row],[Total PoP ]]/500),0)</f>
        <v>1</v>
      </c>
      <c r="CV231" s="801">
        <f>(WWWW[[#This Row],['#_Constructed latrines_by_WASHAgencies]]+WWWW[[#This Row],['#_Non Cluster partner latrines]])-WWWW[[#This Row],['#_Non-functional latrines]]</f>
        <v>13</v>
      </c>
      <c r="CW231" s="804">
        <f>WWWW[[#This Row],[HRP2]]/WWWW[[#This Row],[Total PoP ]]</f>
        <v>0.54852320675105481</v>
      </c>
      <c r="CX23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23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1" s="473">
        <f>IF(WWWW[[#This Row],['# of functional latrines in THF supported by WASH partners during the reporting period2]]="",0,WWWW[[#This Row],['# of functional latrines in THF supported by WASH partners during the reporting period2]]*50)</f>
        <v>0</v>
      </c>
      <c r="DB231" s="473">
        <f>WWWW[[#This Row],['# students access to functioning school latrines_HRP5]]+WWWW[[#This Row],['# People access to functioning latrines in THF_HRP5]]</f>
        <v>0</v>
      </c>
      <c r="DC231" s="801">
        <f>ROUND(IF(WWWW[[#This Row],[Location Type 1]]="camp",WWWW[[#This Row],[Total PoP ]]/20,IF(WWWW[[#This Row],[Location Type 1]]="Temporary Location",WWWW[[#This Row],[Total PoP ]]/50,(WWWW[[#This Row],[Total PoP ]]/6))),0)</f>
        <v>24</v>
      </c>
      <c r="DD231" s="801">
        <f>IF(WWWW[[#This Row],[Total required Latrines]]-(WWWW[[#This Row],['#_Constructed latrines_by_WASHAgencies]]+WWWW[[#This Row],['#_Non Cluster partner latrines]])&lt;0,0,WWWW[[#This Row],[Total required Latrines]]-(WWWW[[#This Row],['#_Constructed latrines_by_WASHAgencies]]+WWWW[[#This Row],['#_Non Cluster partner latrines]]))</f>
        <v>11</v>
      </c>
      <c r="DE231" s="803">
        <f>1-WWWW[[#This Row],[% people access to functioning Latrine]]</f>
        <v>0.45147679324894519</v>
      </c>
      <c r="DF231" s="802">
        <f>IF(OR(WWWW[[#This Row],['#_Non-functional latrines]]="",WWWW[[#This Row],['#_Non-functional latrines]]=0),0,WWWW[[#This Row],['#_Non-functional latrines]]/(WWWW[[#This Row],['#_Constructed latrines_by_WASHAgencies]]+WWWW[[#This Row],['#_Non Cluster partner latrines]]))</f>
        <v>0</v>
      </c>
      <c r="DG231" s="798">
        <f>IF(500*(WWWW[[#This Row],['#_male hygiene promoters]]+WWWW[[#This Row],['#_female hygiene promoters]])&gt;WWWW[[#This Row],[Total PoP ]],WWWW[[#This Row],[Total PoP ]],500*(WWWW[[#This Row],['#_male hygiene promoters]]+WWWW[[#This Row],['#_female hygiene promoters]]))</f>
        <v>474</v>
      </c>
      <c r="DH23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1" s="801">
        <f>IF(WWWW[[#This Row],['# People with access to soap]]&gt;WWWW[[#This Row],['# People with access to Sanity Pads]],WWWW[[#This Row],['# People with access to soap]],WWWW[[#This Row],['# People with access to Sanity Pads]])</f>
        <v>0</v>
      </c>
      <c r="DK231" s="801">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L231" s="803">
        <f>IF(WWWW[[#This Row],[HRP3]]/WWWW[[#This Row],[Total PoP ]]&gt;1,1,WWWW[[#This Row],[HRP3]]/WWWW[[#This Row],[Total PoP ]])</f>
        <v>1</v>
      </c>
      <c r="DM231" s="802">
        <f>1-WWWW[[#This Row],[Hygiene Coverage%]]</f>
        <v>0</v>
      </c>
      <c r="DN231" s="800">
        <f>WWWW[[#This Row],['# people reached by regular dedicated hygiene promotion_5]]/WWWW[[#This Row],[Total PoP ]]</f>
        <v>1</v>
      </c>
      <c r="DO23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1" s="801">
        <f>WWWW[[#This Row],['#_Constructed/Existing hand washing stations]]-WWWW[[#This Row],['#_Non-Functional_hand_washing_stations]]</f>
        <v>3</v>
      </c>
      <c r="DR231" s="798">
        <f>IF(WWWW[[#This Row],['# Functional hand washing stations during reporting period]]*20&gt;WWWW[[#This Row],[Total HH]],WWWW[[#This Row],[Total HH]],WWWW[[#This Row],['# Functional hand washing stations during reporting period]]*20)</f>
        <v>60</v>
      </c>
      <c r="DS231" s="798">
        <f>IF(WWWW[[#This Row],[Is sufficient soap available for TLS? (Yes/No)]]="yes",WWWW[[#This Row],['#_Constructed/Existing hand washing stations at TLS]],0)</f>
        <v>0</v>
      </c>
      <c r="DT231" s="479">
        <f>IF(WWWW[[#This Row],['# Functional hand washing stations during reporting period]]*100&gt;WWWW[[#This Row],[Total PoP ]],WWWW[[#This Row],[Total PoP ]],WWWW[[#This Row],['# Functional hand washing stations during reporting period]]*100)</f>
        <v>300</v>
      </c>
      <c r="DU231" s="479" t="str">
        <f>IF(OR(WWWW[[#This Row],['#_students at TLS_CFS]]="",WWWW[[#This Row],['#_students at TLS_CFS]]=0),"No","Yes")</f>
        <v>No</v>
      </c>
      <c r="DV23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1" s="794">
        <f>VLOOKUP(WWWW[[#This Row],[Site Name]],SiteDB6[[Site Name]:[CCCM Management]],6,FALSE)</f>
        <v>0</v>
      </c>
      <c r="DZ231" s="794" t="str">
        <f>VLOOKUP(WWWW[[#This Row],[Site Name]],SiteDB6[[Site Name]:[CCCM Focal Agency]],7,FALSE)</f>
        <v>KBC-MYT</v>
      </c>
      <c r="EA231" s="794" t="str">
        <f>VLOOKUP(WWWW[[#This Row],[Site Name]],SiteDB6[[Site Name]:[Location Type 1]],9,FALSE)</f>
        <v>Camp</v>
      </c>
      <c r="EB231" s="794" t="str">
        <f>VLOOKUP(WWWW[[#This Row],[Site Name]],SiteDB6[[Site Name]:[Type of Accommodation]],10,FALSE)</f>
        <v>Camp</v>
      </c>
      <c r="EC231" s="794" t="str">
        <f>VLOOKUP(WWWW[[#This Row],[Site Name]],SiteDB6[[Site Name]:[Ethnic or GCA/NGCA]],11,FALSE)</f>
        <v>GCA</v>
      </c>
      <c r="ED231" s="794">
        <f>VLOOKUP(WWWW[[#This Row],[Site Name]],SiteDB6[[Site Name]:[Lat]],12,FALSE)</f>
        <v>25.379014999999999</v>
      </c>
      <c r="EE231" s="794">
        <f>VLOOKUP(WWWW[[#This Row],[Site Name]],SiteDB6[[Site Name]:[Long]],13,FALSE)</f>
        <v>97.104997409999996</v>
      </c>
      <c r="EF231" s="794" t="str">
        <f>VLOOKUP(WWWW[[#This Row],[Site Name]],SiteDB6[[Site Name]:[Pcode]],3,FALSE)</f>
        <v>MMR001CMP261</v>
      </c>
      <c r="EG231" s="799" t="str">
        <f t="shared" si="4"/>
        <v>Covered</v>
      </c>
      <c r="EH231" s="799" t="str">
        <f>VLOOKUP(WWWW[[#This Row],[Site Name]],Site_DB!$C$389:$D$1120,2,FALSE)</f>
        <v>cccm_2019OCT</v>
      </c>
    </row>
    <row r="232" spans="1:138" hidden="1">
      <c r="A232" s="792" t="s">
        <v>3262</v>
      </c>
      <c r="B232" s="792" t="s">
        <v>144</v>
      </c>
      <c r="C232" s="793" t="s">
        <v>144</v>
      </c>
      <c r="D232" s="793" t="s">
        <v>3277</v>
      </c>
      <c r="E232" s="793" t="s">
        <v>39</v>
      </c>
      <c r="F232" s="793" t="s">
        <v>155</v>
      </c>
      <c r="G232" s="721" t="str">
        <f>VLOOKUP(WWWW[[#This Row],[Site Name]],SiteDB6[[Site Name]:[Location Type]],8,FALSE)</f>
        <v>Camp</v>
      </c>
      <c r="H232" s="404" t="s">
        <v>158</v>
      </c>
      <c r="I232" s="795">
        <v>10</v>
      </c>
      <c r="J232" s="795">
        <v>41</v>
      </c>
      <c r="K232" s="796" t="s">
        <v>3278</v>
      </c>
      <c r="L232" s="797" t="s">
        <v>3279</v>
      </c>
      <c r="M232" s="795"/>
      <c r="N232" s="795"/>
      <c r="O232" s="795"/>
      <c r="P232" s="795"/>
      <c r="Q232" s="798" t="s">
        <v>43</v>
      </c>
      <c r="R232" s="795"/>
      <c r="S232" s="795">
        <v>5</v>
      </c>
      <c r="T232" s="523">
        <v>1</v>
      </c>
      <c r="U232" s="795"/>
      <c r="V232" s="795"/>
      <c r="W232" s="795"/>
      <c r="X232" s="795"/>
      <c r="Y232" s="795"/>
      <c r="Z232" s="795"/>
      <c r="AA232" s="795"/>
      <c r="AB232" s="795"/>
      <c r="AC232" s="795"/>
      <c r="AD232" s="795"/>
      <c r="AE232" s="795"/>
      <c r="AF232" s="795"/>
      <c r="AG232" s="795"/>
      <c r="AH232" s="795">
        <v>3</v>
      </c>
      <c r="AI232" s="795"/>
      <c r="AJ232" s="795"/>
      <c r="AK232" s="795"/>
      <c r="AL232" s="795"/>
      <c r="AM232" s="795"/>
      <c r="AN232" s="795"/>
      <c r="AO232" s="799"/>
      <c r="AP232" s="795">
        <v>3</v>
      </c>
      <c r="AQ232" s="795"/>
      <c r="AR232" s="800"/>
      <c r="AS232" s="795"/>
      <c r="AT232" s="795"/>
      <c r="AU232" s="795"/>
      <c r="AV232" s="795"/>
      <c r="AW232" s="795">
        <v>3</v>
      </c>
      <c r="AX232" s="794" t="s">
        <v>43</v>
      </c>
      <c r="AY232" s="799" t="s">
        <v>140</v>
      </c>
      <c r="AZ232" s="795"/>
      <c r="BA232" s="795"/>
      <c r="BB232" s="795"/>
      <c r="BC232" s="523"/>
      <c r="BD232" s="523"/>
      <c r="BE232" s="794"/>
      <c r="BF232" s="795">
        <v>2</v>
      </c>
      <c r="BG232" s="795"/>
      <c r="BH232" s="795"/>
      <c r="BI232" s="795">
        <v>2</v>
      </c>
      <c r="BJ232" s="795"/>
      <c r="BK232" s="795"/>
      <c r="BL232" s="795">
        <v>1</v>
      </c>
      <c r="BM232" s="795"/>
      <c r="BN232" s="795"/>
      <c r="BO232" s="794"/>
      <c r="BP232" s="801"/>
      <c r="BQ232" s="800"/>
      <c r="BR232" s="794"/>
      <c r="BS232" s="472"/>
      <c r="BT232" s="472"/>
      <c r="BU232" s="474"/>
      <c r="BV232" s="472"/>
      <c r="BW232" s="523"/>
      <c r="BX232" s="523"/>
      <c r="BY232" s="523"/>
      <c r="BZ232" s="802" t="str">
        <f>IFERROR(WWWW[[#This Row],['#_Water sources passed]]/WWWW[[#This Row],['#_Water sources tested for fecal coliform ]],"no test")</f>
        <v>no test</v>
      </c>
      <c r="CA232" s="800" t="str">
        <f>IFERROR(WWWW[[#This Row],['#_Household passed]]/WWWW[[#This Row],['#_Household water samples tested for fecal coliform]],"no test")</f>
        <v>no test</v>
      </c>
      <c r="CB232" s="801" t="str">
        <f>IF(AND(WWWW[[#This Row],[% of water sources passed]]="no test",WWWW[[#This Row],[% Household passed]]="no test"),"No Test","Tested")</f>
        <v>No Test</v>
      </c>
      <c r="CC232" s="801">
        <f>WWWW[[#This Row],['#_Constructed/existing protected hand dug well]]-WWWW[[#This Row],['#_Non-functional protected hand dug well]]</f>
        <v>1</v>
      </c>
      <c r="CD232" s="801">
        <f>(WWWW[[#This Row],['#_Constructed/Existing tube wells/boreholes/handpumps_WASH_agency]]+WWWW[[#This Row],['#_Non-Cluster partner water tube-wells/boreholes/handpumps]])-WWWW[[#This Row],['#_Non-functional tube wells/boreholes/handpumps]]</f>
        <v>0</v>
      </c>
      <c r="CE232" s="801">
        <f>WWWW[[#This Row],['#_Constructed/Existingwater storage tank with gravity fed reticulation system]]-WWWW[[#This Row],['#_Non-functional storage tank gravity fed reticulation system]]</f>
        <v>0</v>
      </c>
      <c r="CF232" s="801">
        <f>(WWWW[[#This Row],['#_Water_Liters_supplied_by_Water boating or water trucking]]/90)/15</f>
        <v>0</v>
      </c>
      <c r="CG232" s="801">
        <f>WWWW[[#This Row],['#_Water_Liters_from_Constructed/Existing water distribution system from river or natural spring]]/90/15</f>
        <v>0</v>
      </c>
      <c r="CH232" s="473">
        <f>WWWW[[#This Row],['#_of water points in TLS/CFS /THF]]*500</f>
        <v>0</v>
      </c>
      <c r="CI23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2" s="800">
        <f>IF(WWWW[[#This Row],[Location Type 1]]="Village",WWWW[[#This Row],[Access to safe drinking water for Village]],WWWW[[#This Row],[Access to safe drinking water for Camp]])</f>
        <v>1</v>
      </c>
      <c r="CL232" s="798">
        <f>WWWW[[#This Row],[%Equitable and continuous access to sufficient quantity of safe drinking water]]*WWWW[[#This Row],[Total PoP ]]</f>
        <v>41</v>
      </c>
      <c r="CM232" s="800">
        <f>IF((WWWW[[#This Row],['#_Constructed/Existing protected/fenced ponds]]*250)/WWWW[[#This Row],[Total PoP ]]&gt;1,1,(WWWW[[#This Row],['#_Constructed/Existing protected/fenced ponds]]*250)/WWWW[[#This Row],[Total PoP ]])</f>
        <v>0</v>
      </c>
      <c r="CN232" s="798">
        <f>WWWW[[#This Row],[% Access to unimproved water points]]*WWWW[[#This Row],[Total PoP ]]</f>
        <v>0</v>
      </c>
      <c r="CO23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Q232" s="798">
        <f>WWWW[[#This Row],[HRP1]]/500</f>
        <v>8.2000000000000003E-2</v>
      </c>
      <c r="CR232" s="803">
        <f>1-WWWW[[#This Row],[% Equitable and continuous access to sufficient quantity of domestic water]]</f>
        <v>0</v>
      </c>
      <c r="CS232" s="798">
        <f>WWWW[[#This Row],[%equitable and continuous access to sufficient quantity of safe drinking and domestic water''s GAP]]*WWWW[[#This Row],[Total PoP ]]</f>
        <v>0</v>
      </c>
      <c r="CT232" s="801">
        <f>IF(WWWW[[#This Row],[Total required water points]]-WWWW[[#This Row],['#Water points coverage]]&lt;0,0,WWWW[[#This Row],[Total required water points]]-WWWW[[#This Row],['#Water points coverage]])</f>
        <v>0.91800000000000004</v>
      </c>
      <c r="CU232" s="801">
        <f>ROUND(IF(WWWW[[#This Row],[Total PoP ]]&lt;500,1,WWWW[[#This Row],[Total PoP ]]/500),0)</f>
        <v>1</v>
      </c>
      <c r="CV232" s="801">
        <f>(WWWW[[#This Row],['#_Constructed latrines_by_WASHAgencies]]+WWWW[[#This Row],['#_Non Cluster partner latrines]])-WWWW[[#This Row],['#_Non-functional latrines]]</f>
        <v>3</v>
      </c>
      <c r="CW232" s="804">
        <f>WWWW[[#This Row],[HRP2]]/WWWW[[#This Row],[Total PoP ]]</f>
        <v>1</v>
      </c>
      <c r="CX23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CY23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2" s="473">
        <f>IF(WWWW[[#This Row],['# of functional latrines in THF supported by WASH partners during the reporting period2]]="",0,WWWW[[#This Row],['# of functional latrines in THF supported by WASH partners during the reporting period2]]*50)</f>
        <v>0</v>
      </c>
      <c r="DB232" s="473">
        <f>WWWW[[#This Row],['# students access to functioning school latrines_HRP5]]+WWWW[[#This Row],['# People access to functioning latrines in THF_HRP5]]</f>
        <v>0</v>
      </c>
      <c r="DC232" s="801">
        <f>ROUND(IF(WWWW[[#This Row],[Location Type 1]]="camp",WWWW[[#This Row],[Total PoP ]]/20,IF(WWWW[[#This Row],[Location Type 1]]="Temporary Location",WWWW[[#This Row],[Total PoP ]]/50,(WWWW[[#This Row],[Total PoP ]]/6))),0)</f>
        <v>2</v>
      </c>
      <c r="DD232" s="801">
        <f>IF(WWWW[[#This Row],[Total required Latrines]]-(WWWW[[#This Row],['#_Constructed latrines_by_WASHAgencies]]+WWWW[[#This Row],['#_Non Cluster partner latrines]])&lt;0,0,WWWW[[#This Row],[Total required Latrines]]-(WWWW[[#This Row],['#_Constructed latrines_by_WASHAgencies]]+WWWW[[#This Row],['#_Non Cluster partner latrines]]))</f>
        <v>0</v>
      </c>
      <c r="DE232" s="803">
        <f>1-WWWW[[#This Row],[% people access to functioning Latrine]]</f>
        <v>0</v>
      </c>
      <c r="DF232" s="802">
        <f>IF(OR(WWWW[[#This Row],['#_Non-functional latrines]]="",WWWW[[#This Row],['#_Non-functional latrines]]=0),0,WWWW[[#This Row],['#_Non-functional latrines]]/(WWWW[[#This Row],['#_Constructed latrines_by_WASHAgencies]]+WWWW[[#This Row],['#_Non Cluster partner latrines]]))</f>
        <v>0</v>
      </c>
      <c r="DG232" s="798">
        <f>IF(500*(WWWW[[#This Row],['#_male hygiene promoters]]+WWWW[[#This Row],['#_female hygiene promoters]])&gt;WWWW[[#This Row],[Total PoP ]],WWWW[[#This Row],[Total PoP ]],500*(WWWW[[#This Row],['#_male hygiene promoters]]+WWWW[[#This Row],['#_female hygiene promoters]]))</f>
        <v>41</v>
      </c>
      <c r="DH23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2" s="801">
        <f>IF(WWWW[[#This Row],['# People with access to soap]]&gt;WWWW[[#This Row],['# People with access to Sanity Pads]],WWWW[[#This Row],['# People with access to soap]],WWWW[[#This Row],['# People with access to Sanity Pads]])</f>
        <v>0</v>
      </c>
      <c r="DK232" s="801">
        <f>IF(WWWW[[#This Row],['# people reached by regular dedicated hygiene promotion_5]]&gt;WWWW[[#This Row],['# People received regular supply of hygiene items_6]],WWWW[[#This Row],['# people reached by regular dedicated hygiene promotion_5]],WWWW[[#This Row],['# People received regular supply of hygiene items_6]])</f>
        <v>41</v>
      </c>
      <c r="DL232" s="803">
        <f>IF(WWWW[[#This Row],[HRP3]]/WWWW[[#This Row],[Total PoP ]]&gt;1,1,WWWW[[#This Row],[HRP3]]/WWWW[[#This Row],[Total PoP ]])</f>
        <v>1</v>
      </c>
      <c r="DM232" s="802">
        <f>1-WWWW[[#This Row],[Hygiene Coverage%]]</f>
        <v>0</v>
      </c>
      <c r="DN232" s="800">
        <f>WWWW[[#This Row],['# people reached by regular dedicated hygiene promotion_5]]/WWWW[[#This Row],[Total PoP ]]</f>
        <v>1</v>
      </c>
      <c r="DO23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2" s="801">
        <f>WWWW[[#This Row],['#_Constructed/Existing hand washing stations]]-WWWW[[#This Row],['#_Non-Functional_hand_washing_stations]]</f>
        <v>2</v>
      </c>
      <c r="DR232" s="798">
        <f>IF(WWWW[[#This Row],['# Functional hand washing stations during reporting period]]*20&gt;WWWW[[#This Row],[Total HH]],WWWW[[#This Row],[Total HH]],WWWW[[#This Row],['# Functional hand washing stations during reporting period]]*20)</f>
        <v>10</v>
      </c>
      <c r="DS232" s="798">
        <f>IF(WWWW[[#This Row],[Is sufficient soap available for TLS? (Yes/No)]]="yes",WWWW[[#This Row],['#_Constructed/Existing hand washing stations at TLS]],0)</f>
        <v>0</v>
      </c>
      <c r="DT232" s="479">
        <f>IF(WWWW[[#This Row],['# Functional hand washing stations during reporting period]]*100&gt;WWWW[[#This Row],[Total PoP ]],WWWW[[#This Row],[Total PoP ]],WWWW[[#This Row],['# Functional hand washing stations during reporting period]]*100)</f>
        <v>41</v>
      </c>
      <c r="DU232" s="479" t="str">
        <f>IF(OR(WWWW[[#This Row],['#_students at TLS_CFS]]="",WWWW[[#This Row],['#_students at TLS_CFS]]=0),"No","Yes")</f>
        <v>No</v>
      </c>
      <c r="DV23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2" s="794" t="str">
        <f>VLOOKUP(WWWW[[#This Row],[Site Name]],SiteDB6[[Site Name]:[CCCM Management]],6,FALSE)</f>
        <v>Yes</v>
      </c>
      <c r="DZ232" s="794" t="str">
        <f>VLOOKUP(WWWW[[#This Row],[Site Name]],SiteDB6[[Site Name]:[CCCM Focal Agency]],7,FALSE)</f>
        <v>KBC-MYT</v>
      </c>
      <c r="EA232" s="794" t="str">
        <f>VLOOKUP(WWWW[[#This Row],[Site Name]],SiteDB6[[Site Name]:[Location Type 1]],9,FALSE)</f>
        <v>Camp</v>
      </c>
      <c r="EB232" s="794" t="str">
        <f>VLOOKUP(WWWW[[#This Row],[Site Name]],SiteDB6[[Site Name]:[Type of Accommodation]],10,FALSE)</f>
        <v>Camp</v>
      </c>
      <c r="EC232" s="794" t="str">
        <f>VLOOKUP(WWWW[[#This Row],[Site Name]],SiteDB6[[Site Name]:[Ethnic or GCA/NGCA]],11,FALSE)</f>
        <v>GCA</v>
      </c>
      <c r="ED232" s="794">
        <f>VLOOKUP(WWWW[[#This Row],[Site Name]],SiteDB6[[Site Name]:[Lat]],12,FALSE)</f>
        <v>25.30442</v>
      </c>
      <c r="EE232" s="794">
        <f>VLOOKUP(WWWW[[#This Row],[Site Name]],SiteDB6[[Site Name]:[Long]],13,FALSE)</f>
        <v>96.948740000000001</v>
      </c>
      <c r="EF232" s="794" t="str">
        <f>VLOOKUP(WWWW[[#This Row],[Site Name]],SiteDB6[[Site Name]:[Pcode]],3,FALSE)</f>
        <v>MMR001CMP079</v>
      </c>
      <c r="EG232" s="799" t="str">
        <f t="shared" si="4"/>
        <v>Covered</v>
      </c>
      <c r="EH232" s="799" t="str">
        <f>VLOOKUP(WWWW[[#This Row],[Site Name]],Site_DB!$C$389:$D$1120,2,FALSE)</f>
        <v>cccm_2019OCT</v>
      </c>
    </row>
    <row r="233" spans="1:138" hidden="1">
      <c r="A233" s="792" t="s">
        <v>3262</v>
      </c>
      <c r="B233" s="792" t="s">
        <v>144</v>
      </c>
      <c r="C233" s="793" t="s">
        <v>144</v>
      </c>
      <c r="D233" s="793" t="s">
        <v>3277</v>
      </c>
      <c r="E233" s="793" t="s">
        <v>39</v>
      </c>
      <c r="F233" s="793" t="s">
        <v>160</v>
      </c>
      <c r="G233" s="721" t="str">
        <f>VLOOKUP(WWWW[[#This Row],[Site Name]],SiteDB6[[Site Name]:[Location Type]],8,FALSE)</f>
        <v>Camp</v>
      </c>
      <c r="H233" s="793" t="s">
        <v>161</v>
      </c>
      <c r="I233" s="795">
        <v>22</v>
      </c>
      <c r="J233" s="795">
        <v>113</v>
      </c>
      <c r="K233" s="796" t="s">
        <v>3278</v>
      </c>
      <c r="L233" s="797" t="s">
        <v>3279</v>
      </c>
      <c r="M233" s="795"/>
      <c r="N233" s="795"/>
      <c r="O233" s="795"/>
      <c r="P233" s="795"/>
      <c r="Q233" s="798" t="s">
        <v>43</v>
      </c>
      <c r="R233" s="795"/>
      <c r="S233" s="795">
        <v>1</v>
      </c>
      <c r="T233" s="523">
        <v>0</v>
      </c>
      <c r="U233" s="795"/>
      <c r="V233" s="795"/>
      <c r="W233" s="795">
        <v>3</v>
      </c>
      <c r="X233" s="795"/>
      <c r="Y233" s="795"/>
      <c r="Z233" s="795"/>
      <c r="AA233" s="795"/>
      <c r="AB233" s="795"/>
      <c r="AC233" s="795"/>
      <c r="AD233" s="795"/>
      <c r="AE233" s="795"/>
      <c r="AF233" s="795"/>
      <c r="AG233" s="795"/>
      <c r="AH233" s="795">
        <v>0</v>
      </c>
      <c r="AI233" s="795"/>
      <c r="AJ233" s="795"/>
      <c r="AK233" s="795"/>
      <c r="AL233" s="795"/>
      <c r="AM233" s="795"/>
      <c r="AN233" s="795"/>
      <c r="AO233" s="799"/>
      <c r="AP233" s="795">
        <v>5</v>
      </c>
      <c r="AQ233" s="795"/>
      <c r="AR233" s="800"/>
      <c r="AS233" s="795"/>
      <c r="AT233" s="795"/>
      <c r="AU233" s="795"/>
      <c r="AV233" s="795"/>
      <c r="AW233" s="795"/>
      <c r="AX233" s="794" t="s">
        <v>43</v>
      </c>
      <c r="AY233" s="799" t="s">
        <v>1195</v>
      </c>
      <c r="AZ233" s="795"/>
      <c r="BA233" s="795"/>
      <c r="BB233" s="795"/>
      <c r="BC233" s="523"/>
      <c r="BD233" s="523"/>
      <c r="BE233" s="794"/>
      <c r="BF233" s="795">
        <v>2</v>
      </c>
      <c r="BG233" s="795"/>
      <c r="BH233" s="795"/>
      <c r="BI233" s="795">
        <v>2</v>
      </c>
      <c r="BJ233" s="795"/>
      <c r="BK233" s="795"/>
      <c r="BL233" s="795">
        <v>1</v>
      </c>
      <c r="BM233" s="795"/>
      <c r="BN233" s="795"/>
      <c r="BO233" s="794"/>
      <c r="BP233" s="801"/>
      <c r="BQ233" s="800"/>
      <c r="BR233" s="794"/>
      <c r="BS233" s="472"/>
      <c r="BT233" s="472"/>
      <c r="BU233" s="474"/>
      <c r="BV233" s="472"/>
      <c r="BW233" s="523"/>
      <c r="BX233" s="523"/>
      <c r="BY233" s="523"/>
      <c r="BZ233" s="802" t="str">
        <f>IFERROR(WWWW[[#This Row],['#_Water sources passed]]/WWWW[[#This Row],['#_Water sources tested for fecal coliform ]],"no test")</f>
        <v>no test</v>
      </c>
      <c r="CA233" s="800" t="str">
        <f>IFERROR(WWWW[[#This Row],['#_Household passed]]/WWWW[[#This Row],['#_Household water samples tested for fecal coliform]],"no test")</f>
        <v>no test</v>
      </c>
      <c r="CB233" s="801" t="str">
        <f>IF(AND(WWWW[[#This Row],[% of water sources passed]]="no test",WWWW[[#This Row],[% Household passed]]="no test"),"No Test","Tested")</f>
        <v>No Test</v>
      </c>
      <c r="CC233" s="801">
        <f>WWWW[[#This Row],['#_Constructed/existing protected hand dug well]]-WWWW[[#This Row],['#_Non-functional protected hand dug well]]</f>
        <v>0</v>
      </c>
      <c r="CD233" s="801">
        <f>(WWWW[[#This Row],['#_Constructed/Existing tube wells/boreholes/handpumps_WASH_agency]]+WWWW[[#This Row],['#_Non-Cluster partner water tube-wells/boreholes/handpumps]])-WWWW[[#This Row],['#_Non-functional tube wells/boreholes/handpumps]]</f>
        <v>3</v>
      </c>
      <c r="CE233" s="801">
        <f>WWWW[[#This Row],['#_Constructed/Existingwater storage tank with gravity fed reticulation system]]-WWWW[[#This Row],['#_Non-functional storage tank gravity fed reticulation system]]</f>
        <v>0</v>
      </c>
      <c r="CF233" s="801">
        <f>(WWWW[[#This Row],['#_Water_Liters_supplied_by_Water boating or water trucking]]/90)/15</f>
        <v>0</v>
      </c>
      <c r="CG233" s="801">
        <f>WWWW[[#This Row],['#_Water_Liters_from_Constructed/Existing water distribution system from river or natural spring]]/90/15</f>
        <v>0</v>
      </c>
      <c r="CH233" s="473">
        <f>WWWW[[#This Row],['#_of water points in TLS/CFS /THF]]*500</f>
        <v>0</v>
      </c>
      <c r="CI23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3" s="800">
        <f>IF(WWWW[[#This Row],[Location Type 1]]="Village",WWWW[[#This Row],[Access to safe drinking water for Village]],WWWW[[#This Row],[Access to safe drinking water for Camp]])</f>
        <v>1</v>
      </c>
      <c r="CL233" s="798">
        <f>WWWW[[#This Row],[%Equitable and continuous access to sufficient quantity of safe drinking water]]*WWWW[[#This Row],[Total PoP ]]</f>
        <v>113</v>
      </c>
      <c r="CM233" s="800">
        <f>IF((WWWW[[#This Row],['#_Constructed/Existing protected/fenced ponds]]*250)/WWWW[[#This Row],[Total PoP ]]&gt;1,1,(WWWW[[#This Row],['#_Constructed/Existing protected/fenced ponds]]*250)/WWWW[[#This Row],[Total PoP ]])</f>
        <v>0</v>
      </c>
      <c r="CN233" s="798">
        <f>WWWW[[#This Row],[% Access to unimproved water points]]*WWWW[[#This Row],[Total PoP ]]</f>
        <v>0</v>
      </c>
      <c r="CO23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Q233" s="798">
        <f>WWWW[[#This Row],[HRP1]]/500</f>
        <v>0.22600000000000001</v>
      </c>
      <c r="CR233" s="803">
        <f>1-WWWW[[#This Row],[% Equitable and continuous access to sufficient quantity of domestic water]]</f>
        <v>0</v>
      </c>
      <c r="CS233" s="798">
        <f>WWWW[[#This Row],[%equitable and continuous access to sufficient quantity of safe drinking and domestic water''s GAP]]*WWWW[[#This Row],[Total PoP ]]</f>
        <v>0</v>
      </c>
      <c r="CT233" s="801">
        <f>IF(WWWW[[#This Row],[Total required water points]]-WWWW[[#This Row],['#Water points coverage]]&lt;0,0,WWWW[[#This Row],[Total required water points]]-WWWW[[#This Row],['#Water points coverage]])</f>
        <v>0.77400000000000002</v>
      </c>
      <c r="CU233" s="801">
        <f>ROUND(IF(WWWW[[#This Row],[Total PoP ]]&lt;500,1,WWWW[[#This Row],[Total PoP ]]/500),0)</f>
        <v>1</v>
      </c>
      <c r="CV233" s="801">
        <f>(WWWW[[#This Row],['#_Constructed latrines_by_WASHAgencies]]+WWWW[[#This Row],['#_Non Cluster partner latrines]])-WWWW[[#This Row],['#_Non-functional latrines]]</f>
        <v>5</v>
      </c>
      <c r="CW233" s="804">
        <f>WWWW[[#This Row],[HRP2]]/WWWW[[#This Row],[Total PoP ]]</f>
        <v>0.88495575221238942</v>
      </c>
      <c r="CX23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23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3" s="473">
        <f>IF(WWWW[[#This Row],['# of functional latrines in THF supported by WASH partners during the reporting period2]]="",0,WWWW[[#This Row],['# of functional latrines in THF supported by WASH partners during the reporting period2]]*50)</f>
        <v>0</v>
      </c>
      <c r="DB233" s="473">
        <f>WWWW[[#This Row],['# students access to functioning school latrines_HRP5]]+WWWW[[#This Row],['# People access to functioning latrines in THF_HRP5]]</f>
        <v>0</v>
      </c>
      <c r="DC233" s="801">
        <f>ROUND(IF(WWWW[[#This Row],[Location Type 1]]="camp",WWWW[[#This Row],[Total PoP ]]/20,IF(WWWW[[#This Row],[Location Type 1]]="Temporary Location",WWWW[[#This Row],[Total PoP ]]/50,(WWWW[[#This Row],[Total PoP ]]/6))),0)</f>
        <v>6</v>
      </c>
      <c r="DD233" s="801">
        <f>IF(WWWW[[#This Row],[Total required Latrines]]-(WWWW[[#This Row],['#_Constructed latrines_by_WASHAgencies]]+WWWW[[#This Row],['#_Non Cluster partner latrines]])&lt;0,0,WWWW[[#This Row],[Total required Latrines]]-(WWWW[[#This Row],['#_Constructed latrines_by_WASHAgencies]]+WWWW[[#This Row],['#_Non Cluster partner latrines]]))</f>
        <v>1</v>
      </c>
      <c r="DE233" s="803">
        <f>1-WWWW[[#This Row],[% people access to functioning Latrine]]</f>
        <v>0.11504424778761058</v>
      </c>
      <c r="DF233" s="802">
        <f>IF(OR(WWWW[[#This Row],['#_Non-functional latrines]]="",WWWW[[#This Row],['#_Non-functional latrines]]=0),0,WWWW[[#This Row],['#_Non-functional latrines]]/(WWWW[[#This Row],['#_Constructed latrines_by_WASHAgencies]]+WWWW[[#This Row],['#_Non Cluster partner latrines]]))</f>
        <v>0</v>
      </c>
      <c r="DG233" s="798">
        <f>IF(500*(WWWW[[#This Row],['#_male hygiene promoters]]+WWWW[[#This Row],['#_female hygiene promoters]])&gt;WWWW[[#This Row],[Total PoP ]],WWWW[[#This Row],[Total PoP ]],500*(WWWW[[#This Row],['#_male hygiene promoters]]+WWWW[[#This Row],['#_female hygiene promoters]]))</f>
        <v>113</v>
      </c>
      <c r="DH23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3" s="801">
        <f>IF(WWWW[[#This Row],['# People with access to soap]]&gt;WWWW[[#This Row],['# People with access to Sanity Pads]],WWWW[[#This Row],['# People with access to soap]],WWWW[[#This Row],['# People with access to Sanity Pads]])</f>
        <v>0</v>
      </c>
      <c r="DK233" s="801">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L233" s="803">
        <f>IF(WWWW[[#This Row],[HRP3]]/WWWW[[#This Row],[Total PoP ]]&gt;1,1,WWWW[[#This Row],[HRP3]]/WWWW[[#This Row],[Total PoP ]])</f>
        <v>1</v>
      </c>
      <c r="DM233" s="802">
        <f>1-WWWW[[#This Row],[Hygiene Coverage%]]</f>
        <v>0</v>
      </c>
      <c r="DN233" s="800">
        <f>WWWW[[#This Row],['# people reached by regular dedicated hygiene promotion_5]]/WWWW[[#This Row],[Total PoP ]]</f>
        <v>1</v>
      </c>
      <c r="DO23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3" s="801">
        <f>WWWW[[#This Row],['#_Constructed/Existing hand washing stations]]-WWWW[[#This Row],['#_Non-Functional_hand_washing_stations]]</f>
        <v>2</v>
      </c>
      <c r="DR233" s="798">
        <f>IF(WWWW[[#This Row],['# Functional hand washing stations during reporting period]]*20&gt;WWWW[[#This Row],[Total HH]],WWWW[[#This Row],[Total HH]],WWWW[[#This Row],['# Functional hand washing stations during reporting period]]*20)</f>
        <v>22</v>
      </c>
      <c r="DS233" s="798">
        <f>IF(WWWW[[#This Row],[Is sufficient soap available for TLS? (Yes/No)]]="yes",WWWW[[#This Row],['#_Constructed/Existing hand washing stations at TLS]],0)</f>
        <v>0</v>
      </c>
      <c r="DT233" s="479">
        <f>IF(WWWW[[#This Row],['# Functional hand washing stations during reporting period]]*100&gt;WWWW[[#This Row],[Total PoP ]],WWWW[[#This Row],[Total PoP ]],WWWW[[#This Row],['# Functional hand washing stations during reporting period]]*100)</f>
        <v>113</v>
      </c>
      <c r="DU233" s="479" t="str">
        <f>IF(OR(WWWW[[#This Row],['#_students at TLS_CFS]]="",WWWW[[#This Row],['#_students at TLS_CFS]]=0),"No","Yes")</f>
        <v>No</v>
      </c>
      <c r="DV23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3" s="794" t="str">
        <f>VLOOKUP(WWWW[[#This Row],[Site Name]],SiteDB6[[Site Name]:[CCCM Management]],6,FALSE)</f>
        <v>Yes</v>
      </c>
      <c r="DZ233" s="794" t="str">
        <f>VLOOKUP(WWWW[[#This Row],[Site Name]],SiteDB6[[Site Name]:[CCCM Focal Agency]],7,FALSE)</f>
        <v>KBC-MYT</v>
      </c>
      <c r="EA233" s="794" t="str">
        <f>VLOOKUP(WWWW[[#This Row],[Site Name]],SiteDB6[[Site Name]:[Location Type 1]],9,FALSE)</f>
        <v>Camp</v>
      </c>
      <c r="EB233" s="794" t="str">
        <f>VLOOKUP(WWWW[[#This Row],[Site Name]],SiteDB6[[Site Name]:[Type of Accommodation]],10,FALSE)</f>
        <v>Camp</v>
      </c>
      <c r="EC233" s="794" t="str">
        <f>VLOOKUP(WWWW[[#This Row],[Site Name]],SiteDB6[[Site Name]:[Ethnic or GCA/NGCA]],11,FALSE)</f>
        <v>GCA</v>
      </c>
      <c r="ED233" s="794">
        <f>VLOOKUP(WWWW[[#This Row],[Site Name]],SiteDB6[[Site Name]:[Lat]],12,FALSE)</f>
        <v>24.998349999999999</v>
      </c>
      <c r="EE233" s="794">
        <f>VLOOKUP(WWWW[[#This Row],[Site Name]],SiteDB6[[Site Name]:[Long]],13,FALSE)</f>
        <v>96.364949999999993</v>
      </c>
      <c r="EF233" s="794" t="str">
        <f>VLOOKUP(WWWW[[#This Row],[Site Name]],SiteDB6[[Site Name]:[Pcode]],3,FALSE)</f>
        <v>MMR001CMP152</v>
      </c>
      <c r="EG233" s="799" t="str">
        <f t="shared" si="4"/>
        <v>Covered</v>
      </c>
      <c r="EH233" s="799" t="str">
        <f>VLOOKUP(WWWW[[#This Row],[Site Name]],Site_DB!$C$389:$D$1120,2,FALSE)</f>
        <v>cccm_2019OCT</v>
      </c>
    </row>
    <row r="234" spans="1:138" hidden="1">
      <c r="A234" s="792" t="s">
        <v>3262</v>
      </c>
      <c r="B234" s="792" t="s">
        <v>144</v>
      </c>
      <c r="C234" s="793" t="s">
        <v>144</v>
      </c>
      <c r="D234" s="793" t="s">
        <v>3280</v>
      </c>
      <c r="E234" s="793" t="s">
        <v>39</v>
      </c>
      <c r="F234" s="793" t="s">
        <v>187</v>
      </c>
      <c r="G234" s="721" t="str">
        <f>VLOOKUP(WWWW[[#This Row],[Site Name]],SiteDB6[[Site Name]:[Location Type]],8,FALSE)</f>
        <v>Camp</v>
      </c>
      <c r="H234" s="793" t="s">
        <v>188</v>
      </c>
      <c r="I234" s="795">
        <v>127</v>
      </c>
      <c r="J234" s="795">
        <v>547</v>
      </c>
      <c r="K234" s="796">
        <v>43475</v>
      </c>
      <c r="L234" s="797" t="s">
        <v>3281</v>
      </c>
      <c r="M234" s="795"/>
      <c r="N234" s="795"/>
      <c r="O234" s="795"/>
      <c r="P234" s="795"/>
      <c r="Q234" s="798" t="s">
        <v>43</v>
      </c>
      <c r="R234" s="795"/>
      <c r="S234" s="795"/>
      <c r="T234" s="523">
        <v>0</v>
      </c>
      <c r="U234" s="795"/>
      <c r="V234" s="795"/>
      <c r="W234" s="795">
        <v>0</v>
      </c>
      <c r="X234" s="795"/>
      <c r="Y234" s="795"/>
      <c r="Z234" s="795"/>
      <c r="AA234" s="795">
        <v>1</v>
      </c>
      <c r="AB234" s="795"/>
      <c r="AC234" s="795"/>
      <c r="AD234" s="795"/>
      <c r="AE234" s="795"/>
      <c r="AF234" s="795"/>
      <c r="AG234" s="795"/>
      <c r="AH234" s="795">
        <v>0</v>
      </c>
      <c r="AI234" s="795"/>
      <c r="AJ234" s="795"/>
      <c r="AK234" s="795"/>
      <c r="AL234" s="795"/>
      <c r="AM234" s="795"/>
      <c r="AN234" s="795"/>
      <c r="AO234" s="799"/>
      <c r="AP234" s="795">
        <v>90</v>
      </c>
      <c r="AQ234" s="795"/>
      <c r="AR234" s="800"/>
      <c r="AS234" s="795"/>
      <c r="AT234" s="795"/>
      <c r="AU234" s="795"/>
      <c r="AV234" s="795"/>
      <c r="AW234" s="795">
        <v>90</v>
      </c>
      <c r="AX234" s="794" t="s">
        <v>43</v>
      </c>
      <c r="AY234" s="799" t="s">
        <v>140</v>
      </c>
      <c r="AZ234" s="795"/>
      <c r="BA234" s="795"/>
      <c r="BB234" s="795"/>
      <c r="BC234" s="523"/>
      <c r="BD234" s="523"/>
      <c r="BE234" s="794"/>
      <c r="BF234" s="795">
        <v>90</v>
      </c>
      <c r="BG234" s="795"/>
      <c r="BH234" s="795"/>
      <c r="BI234" s="795">
        <v>0</v>
      </c>
      <c r="BJ234" s="795"/>
      <c r="BK234" s="795"/>
      <c r="BL234" s="795">
        <v>2</v>
      </c>
      <c r="BM234" s="795"/>
      <c r="BN234" s="795"/>
      <c r="BO234" s="794"/>
      <c r="BP234" s="801"/>
      <c r="BQ234" s="800"/>
      <c r="BR234" s="794"/>
      <c r="BS234" s="472"/>
      <c r="BT234" s="472"/>
      <c r="BU234" s="474"/>
      <c r="BV234" s="472"/>
      <c r="BW234" s="523"/>
      <c r="BX234" s="523"/>
      <c r="BY234" s="523"/>
      <c r="BZ234" s="802" t="str">
        <f>IFERROR(WWWW[[#This Row],['#_Water sources passed]]/WWWW[[#This Row],['#_Water sources tested for fecal coliform ]],"no test")</f>
        <v>no test</v>
      </c>
      <c r="CA234" s="800" t="str">
        <f>IFERROR(WWWW[[#This Row],['#_Household passed]]/WWWW[[#This Row],['#_Household water samples tested for fecal coliform]],"no test")</f>
        <v>no test</v>
      </c>
      <c r="CB234" s="801" t="str">
        <f>IF(AND(WWWW[[#This Row],[% of water sources passed]]="no test",WWWW[[#This Row],[% Household passed]]="no test"),"No Test","Tested")</f>
        <v>No Test</v>
      </c>
      <c r="CC234" s="801">
        <f>WWWW[[#This Row],['#_Constructed/existing protected hand dug well]]-WWWW[[#This Row],['#_Non-functional protected hand dug well]]</f>
        <v>0</v>
      </c>
      <c r="CD234" s="801">
        <f>(WWWW[[#This Row],['#_Constructed/Existing tube wells/boreholes/handpumps_WASH_agency]]+WWWW[[#This Row],['#_Non-Cluster partner water tube-wells/boreholes/handpumps]])-WWWW[[#This Row],['#_Non-functional tube wells/boreholes/handpumps]]</f>
        <v>0</v>
      </c>
      <c r="CE234" s="801">
        <f>WWWW[[#This Row],['#_Constructed/Existingwater storage tank with gravity fed reticulation system]]-WWWW[[#This Row],['#_Non-functional storage tank gravity fed reticulation system]]</f>
        <v>1</v>
      </c>
      <c r="CF234" s="801">
        <f>(WWWW[[#This Row],['#_Water_Liters_supplied_by_Water boating or water trucking]]/90)/15</f>
        <v>0</v>
      </c>
      <c r="CG234" s="801">
        <f>WWWW[[#This Row],['#_Water_Liters_from_Constructed/Existing water distribution system from river or natural spring]]/90/15</f>
        <v>0</v>
      </c>
      <c r="CH234" s="473">
        <f>WWWW[[#This Row],['#_of water points in TLS/CFS /THF]]*500</f>
        <v>0</v>
      </c>
      <c r="CI23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0.12187690432663011</v>
      </c>
      <c r="CJ23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0.12187690432663011</v>
      </c>
      <c r="CK234" s="800">
        <f>IF(WWWW[[#This Row],[Location Type 1]]="Village",WWWW[[#This Row],[Access to safe drinking water for Village]],WWWW[[#This Row],[Access to safe drinking water for Camp]])</f>
        <v>0.12187690432663011</v>
      </c>
      <c r="CL234" s="798">
        <f>WWWW[[#This Row],[%Equitable and continuous access to sufficient quantity of safe drinking water]]*WWWW[[#This Row],[Total PoP ]]</f>
        <v>66.666666666666671</v>
      </c>
      <c r="CM234" s="800">
        <f>IF((WWWW[[#This Row],['#_Constructed/Existing protected/fenced ponds]]*250)/WWWW[[#This Row],[Total PoP ]]&gt;1,1,(WWWW[[#This Row],['#_Constructed/Existing protected/fenced ponds]]*250)/WWWW[[#This Row],[Total PoP ]])</f>
        <v>0</v>
      </c>
      <c r="CN234" s="798">
        <f>WWWW[[#This Row],[% Access to unimproved water points]]*WWWW[[#This Row],[Total PoP ]]</f>
        <v>0</v>
      </c>
      <c r="CO23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0.12187690432663011</v>
      </c>
      <c r="CP23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34" s="798">
        <f>WWWW[[#This Row],[HRP1]]/500</f>
        <v>0.13333333333333333</v>
      </c>
      <c r="CR234" s="803">
        <f>1-WWWW[[#This Row],[% Equitable and continuous access to sufficient quantity of domestic water]]</f>
        <v>0.87812309567336988</v>
      </c>
      <c r="CS234" s="798">
        <f>WWWW[[#This Row],[%equitable and continuous access to sufficient quantity of safe drinking and domestic water''s GAP]]*WWWW[[#This Row],[Total PoP ]]</f>
        <v>480.33333333333331</v>
      </c>
      <c r="CT234" s="801">
        <f>IF(WWWW[[#This Row],[Total required water points]]-WWWW[[#This Row],['#Water points coverage]]&lt;0,0,WWWW[[#This Row],[Total required water points]]-WWWW[[#This Row],['#Water points coverage]])</f>
        <v>0.8666666666666667</v>
      </c>
      <c r="CU234" s="801">
        <f>ROUND(IF(WWWW[[#This Row],[Total PoP ]]&lt;500,1,WWWW[[#This Row],[Total PoP ]]/500),0)</f>
        <v>1</v>
      </c>
      <c r="CV234" s="801">
        <f>(WWWW[[#This Row],['#_Constructed latrines_by_WASHAgencies]]+WWWW[[#This Row],['#_Non Cluster partner latrines]])-WWWW[[#This Row],['#_Non-functional latrines]]</f>
        <v>90</v>
      </c>
      <c r="CW234" s="804">
        <f>WWWW[[#This Row],[HRP2]]/WWWW[[#This Row],[Total PoP ]]</f>
        <v>1</v>
      </c>
      <c r="CX23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3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4" s="473">
        <f>IF(WWWW[[#This Row],['# of functional latrines in THF supported by WASH partners during the reporting period2]]="",0,WWWW[[#This Row],['# of functional latrines in THF supported by WASH partners during the reporting period2]]*50)</f>
        <v>0</v>
      </c>
      <c r="DB234" s="473">
        <f>WWWW[[#This Row],['# students access to functioning school latrines_HRP5]]+WWWW[[#This Row],['# People access to functioning latrines in THF_HRP5]]</f>
        <v>0</v>
      </c>
      <c r="DC234" s="801">
        <f>ROUND(IF(WWWW[[#This Row],[Location Type 1]]="camp",WWWW[[#This Row],[Total PoP ]]/20,IF(WWWW[[#This Row],[Location Type 1]]="Temporary Location",WWWW[[#This Row],[Total PoP ]]/50,(WWWW[[#This Row],[Total PoP ]]/6))),0)</f>
        <v>27</v>
      </c>
      <c r="DD234" s="801">
        <f>IF(WWWW[[#This Row],[Total required Latrines]]-(WWWW[[#This Row],['#_Constructed latrines_by_WASHAgencies]]+WWWW[[#This Row],['#_Non Cluster partner latrines]])&lt;0,0,WWWW[[#This Row],[Total required Latrines]]-(WWWW[[#This Row],['#_Constructed latrines_by_WASHAgencies]]+WWWW[[#This Row],['#_Non Cluster partner latrines]]))</f>
        <v>0</v>
      </c>
      <c r="DE234" s="803">
        <f>1-WWWW[[#This Row],[% people access to functioning Latrine]]</f>
        <v>0</v>
      </c>
      <c r="DF234" s="802">
        <f>IF(OR(WWWW[[#This Row],['#_Non-functional latrines]]="",WWWW[[#This Row],['#_Non-functional latrines]]=0),0,WWWW[[#This Row],['#_Non-functional latrines]]/(WWWW[[#This Row],['#_Constructed latrines_by_WASHAgencies]]+WWWW[[#This Row],['#_Non Cluster partner latrines]]))</f>
        <v>0</v>
      </c>
      <c r="DG234" s="798">
        <f>IF(500*(WWWW[[#This Row],['#_male hygiene promoters]]+WWWW[[#This Row],['#_female hygiene promoters]])&gt;WWWW[[#This Row],[Total PoP ]],WWWW[[#This Row],[Total PoP ]],500*(WWWW[[#This Row],['#_male hygiene promoters]]+WWWW[[#This Row],['#_female hygiene promoters]]))</f>
        <v>547</v>
      </c>
      <c r="DH23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4" s="801">
        <f>IF(WWWW[[#This Row],['# People with access to soap]]&gt;WWWW[[#This Row],['# People with access to Sanity Pads]],WWWW[[#This Row],['# People with access to soap]],WWWW[[#This Row],['# People with access to Sanity Pads]])</f>
        <v>0</v>
      </c>
      <c r="DK234" s="80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34" s="803">
        <f>IF(WWWW[[#This Row],[HRP3]]/WWWW[[#This Row],[Total PoP ]]&gt;1,1,WWWW[[#This Row],[HRP3]]/WWWW[[#This Row],[Total PoP ]])</f>
        <v>1</v>
      </c>
      <c r="DM234" s="802">
        <f>1-WWWW[[#This Row],[Hygiene Coverage%]]</f>
        <v>0</v>
      </c>
      <c r="DN234" s="800">
        <f>WWWW[[#This Row],['# people reached by regular dedicated hygiene promotion_5]]/WWWW[[#This Row],[Total PoP ]]</f>
        <v>1</v>
      </c>
      <c r="DO23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4" s="801">
        <f>WWWW[[#This Row],['#_Constructed/Existing hand washing stations]]-WWWW[[#This Row],['#_Non-Functional_hand_washing_stations]]</f>
        <v>90</v>
      </c>
      <c r="DR234" s="798">
        <f>IF(WWWW[[#This Row],['# Functional hand washing stations during reporting period]]*20&gt;WWWW[[#This Row],[Total HH]],WWWW[[#This Row],[Total HH]],WWWW[[#This Row],['# Functional hand washing stations during reporting period]]*20)</f>
        <v>127</v>
      </c>
      <c r="DS234" s="798">
        <f>IF(WWWW[[#This Row],[Is sufficient soap available for TLS? (Yes/No)]]="yes",WWWW[[#This Row],['#_Constructed/Existing hand washing stations at TLS]],0)</f>
        <v>0</v>
      </c>
      <c r="DT234" s="479">
        <f>IF(WWWW[[#This Row],['# Functional hand washing stations during reporting period]]*100&gt;WWWW[[#This Row],[Total PoP ]],WWWW[[#This Row],[Total PoP ]],WWWW[[#This Row],['# Functional hand washing stations during reporting period]]*100)</f>
        <v>547</v>
      </c>
      <c r="DU234" s="479" t="str">
        <f>IF(OR(WWWW[[#This Row],['#_students at TLS_CFS]]="",WWWW[[#This Row],['#_students at TLS_CFS]]=0),"No","Yes")</f>
        <v>No</v>
      </c>
      <c r="DV23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4" s="794" t="str">
        <f>VLOOKUP(WWWW[[#This Row],[Site Name]],SiteDB6[[Site Name]:[CCCM Management]],6,FALSE)</f>
        <v>Yes</v>
      </c>
      <c r="DZ234" s="794" t="str">
        <f>VLOOKUP(WWWW[[#This Row],[Site Name]],SiteDB6[[Site Name]:[CCCM Focal Agency]],7,FALSE)</f>
        <v>KBC-MYT</v>
      </c>
      <c r="EA234" s="794" t="str">
        <f>VLOOKUP(WWWW[[#This Row],[Site Name]],SiteDB6[[Site Name]:[Location Type 1]],9,FALSE)</f>
        <v>Camp</v>
      </c>
      <c r="EB234" s="794" t="str">
        <f>VLOOKUP(WWWW[[#This Row],[Site Name]],SiteDB6[[Site Name]:[Type of Accommodation]],10,FALSE)</f>
        <v>Camp</v>
      </c>
      <c r="EC234" s="794" t="str">
        <f>VLOOKUP(WWWW[[#This Row],[Site Name]],SiteDB6[[Site Name]:[Ethnic or GCA/NGCA]],11,FALSE)</f>
        <v>NGCA</v>
      </c>
      <c r="ED234" s="794">
        <f>VLOOKUP(WWWW[[#This Row],[Site Name]],SiteDB6[[Site Name]:[Lat]],12,FALSE)</f>
        <v>26.569633</v>
      </c>
      <c r="EE234" s="794">
        <f>VLOOKUP(WWWW[[#This Row],[Site Name]],SiteDB6[[Site Name]:[Long]],13,FALSE)</f>
        <v>97.745480999999998</v>
      </c>
      <c r="EF234" s="794" t="str">
        <f>VLOOKUP(WWWW[[#This Row],[Site Name]],SiteDB6[[Site Name]:[Pcode]],3,FALSE)</f>
        <v>MMR001CMP238</v>
      </c>
      <c r="EG234" s="799" t="str">
        <f t="shared" si="4"/>
        <v>Covered</v>
      </c>
      <c r="EH234" s="799" t="str">
        <f>VLOOKUP(WWWW[[#This Row],[Site Name]],Site_DB!$C$389:$D$1120,2,FALSE)</f>
        <v>cccm_2019OCT</v>
      </c>
    </row>
    <row r="235" spans="1:138" hidden="1">
      <c r="A235" s="792" t="s">
        <v>3262</v>
      </c>
      <c r="B235" s="792" t="s">
        <v>144</v>
      </c>
      <c r="C235" s="793" t="s">
        <v>144</v>
      </c>
      <c r="D235" s="793" t="s">
        <v>3277</v>
      </c>
      <c r="E235" s="793" t="s">
        <v>39</v>
      </c>
      <c r="F235" s="793" t="s">
        <v>162</v>
      </c>
      <c r="G235" s="721" t="str">
        <f>VLOOKUP(WWWW[[#This Row],[Site Name]],SiteDB6[[Site Name]:[Location Type]],8,FALSE)</f>
        <v>Camp</v>
      </c>
      <c r="H235" s="404" t="s">
        <v>168</v>
      </c>
      <c r="I235" s="795">
        <v>61</v>
      </c>
      <c r="J235" s="795">
        <v>290</v>
      </c>
      <c r="K235" s="796" t="s">
        <v>3278</v>
      </c>
      <c r="L235" s="797" t="s">
        <v>3279</v>
      </c>
      <c r="M235" s="795"/>
      <c r="N235" s="795"/>
      <c r="O235" s="795"/>
      <c r="P235" s="795"/>
      <c r="Q235" s="798" t="s">
        <v>43</v>
      </c>
      <c r="R235" s="795"/>
      <c r="S235" s="795">
        <v>4</v>
      </c>
      <c r="T235" s="523">
        <v>1</v>
      </c>
      <c r="U235" s="795"/>
      <c r="V235" s="795"/>
      <c r="W235" s="795">
        <v>1</v>
      </c>
      <c r="X235" s="795"/>
      <c r="Y235" s="795"/>
      <c r="Z235" s="795"/>
      <c r="AA235" s="795"/>
      <c r="AB235" s="795"/>
      <c r="AC235" s="795"/>
      <c r="AD235" s="795"/>
      <c r="AE235" s="795"/>
      <c r="AF235" s="795"/>
      <c r="AG235" s="795"/>
      <c r="AH235" s="795">
        <v>2</v>
      </c>
      <c r="AI235" s="795"/>
      <c r="AJ235" s="795"/>
      <c r="AK235" s="795"/>
      <c r="AL235" s="795"/>
      <c r="AM235" s="795"/>
      <c r="AN235" s="795"/>
      <c r="AO235" s="799"/>
      <c r="AP235" s="795">
        <v>7</v>
      </c>
      <c r="AQ235" s="795"/>
      <c r="AR235" s="800"/>
      <c r="AS235" s="795"/>
      <c r="AT235" s="795"/>
      <c r="AU235" s="795"/>
      <c r="AV235" s="795"/>
      <c r="AW235" s="795">
        <v>7</v>
      </c>
      <c r="AX235" s="794" t="s">
        <v>43</v>
      </c>
      <c r="AY235" s="799" t="s">
        <v>1195</v>
      </c>
      <c r="AZ235" s="795"/>
      <c r="BA235" s="795"/>
      <c r="BB235" s="795"/>
      <c r="BC235" s="523"/>
      <c r="BD235" s="523"/>
      <c r="BE235" s="794"/>
      <c r="BF235" s="795">
        <v>3</v>
      </c>
      <c r="BG235" s="795"/>
      <c r="BH235" s="795"/>
      <c r="BI235" s="795">
        <v>3</v>
      </c>
      <c r="BJ235" s="795"/>
      <c r="BK235" s="795"/>
      <c r="BL235" s="795">
        <v>1</v>
      </c>
      <c r="BM235" s="795"/>
      <c r="BN235" s="795"/>
      <c r="BO235" s="794"/>
      <c r="BP235" s="801"/>
      <c r="BQ235" s="800"/>
      <c r="BR235" s="794"/>
      <c r="BS235" s="472"/>
      <c r="BT235" s="472"/>
      <c r="BU235" s="474"/>
      <c r="BV235" s="472"/>
      <c r="BW235" s="523"/>
      <c r="BX235" s="523"/>
      <c r="BY235" s="523"/>
      <c r="BZ235" s="802" t="str">
        <f>IFERROR(WWWW[[#This Row],['#_Water sources passed]]/WWWW[[#This Row],['#_Water sources tested for fecal coliform ]],"no test")</f>
        <v>no test</v>
      </c>
      <c r="CA235" s="800" t="str">
        <f>IFERROR(WWWW[[#This Row],['#_Household passed]]/WWWW[[#This Row],['#_Household water samples tested for fecal coliform]],"no test")</f>
        <v>no test</v>
      </c>
      <c r="CB235" s="801" t="str">
        <f>IF(AND(WWWW[[#This Row],[% of water sources passed]]="no test",WWWW[[#This Row],[% Household passed]]="no test"),"No Test","Tested")</f>
        <v>No Test</v>
      </c>
      <c r="CC235" s="801">
        <f>WWWW[[#This Row],['#_Constructed/existing protected hand dug well]]-WWWW[[#This Row],['#_Non-functional protected hand dug well]]</f>
        <v>1</v>
      </c>
      <c r="CD235" s="801">
        <f>(WWWW[[#This Row],['#_Constructed/Existing tube wells/boreholes/handpumps_WASH_agency]]+WWWW[[#This Row],['#_Non-Cluster partner water tube-wells/boreholes/handpumps]])-WWWW[[#This Row],['#_Non-functional tube wells/boreholes/handpumps]]</f>
        <v>1</v>
      </c>
      <c r="CE235" s="801">
        <f>WWWW[[#This Row],['#_Constructed/Existingwater storage tank with gravity fed reticulation system]]-WWWW[[#This Row],['#_Non-functional storage tank gravity fed reticulation system]]</f>
        <v>0</v>
      </c>
      <c r="CF235" s="801">
        <f>(WWWW[[#This Row],['#_Water_Liters_supplied_by_Water boating or water trucking]]/90)/15</f>
        <v>0</v>
      </c>
      <c r="CG235" s="801">
        <f>WWWW[[#This Row],['#_Water_Liters_from_Constructed/Existing water distribution system from river or natural spring]]/90/15</f>
        <v>0</v>
      </c>
      <c r="CH235" s="473">
        <f>WWWW[[#This Row],['#_of water points in TLS/CFS /THF]]*500</f>
        <v>0</v>
      </c>
      <c r="CI23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5" s="800">
        <f>IF(WWWW[[#This Row],[Location Type 1]]="Village",WWWW[[#This Row],[Access to safe drinking water for Village]],WWWW[[#This Row],[Access to safe drinking water for Camp]])</f>
        <v>1</v>
      </c>
      <c r="CL235" s="798">
        <f>WWWW[[#This Row],[%Equitable and continuous access to sufficient quantity of safe drinking water]]*WWWW[[#This Row],[Total PoP ]]</f>
        <v>290</v>
      </c>
      <c r="CM235" s="800">
        <f>IF((WWWW[[#This Row],['#_Constructed/Existing protected/fenced ponds]]*250)/WWWW[[#This Row],[Total PoP ]]&gt;1,1,(WWWW[[#This Row],['#_Constructed/Existing protected/fenced ponds]]*250)/WWWW[[#This Row],[Total PoP ]])</f>
        <v>0</v>
      </c>
      <c r="CN235" s="798">
        <f>WWWW[[#This Row],[% Access to unimproved water points]]*WWWW[[#This Row],[Total PoP ]]</f>
        <v>0</v>
      </c>
      <c r="CO23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Q235" s="798">
        <f>WWWW[[#This Row],[HRP1]]/500</f>
        <v>0.57999999999999996</v>
      </c>
      <c r="CR235" s="803">
        <f>1-WWWW[[#This Row],[% Equitable and continuous access to sufficient quantity of domestic water]]</f>
        <v>0</v>
      </c>
      <c r="CS235" s="798">
        <f>WWWW[[#This Row],[%equitable and continuous access to sufficient quantity of safe drinking and domestic water''s GAP]]*WWWW[[#This Row],[Total PoP ]]</f>
        <v>0</v>
      </c>
      <c r="CT235" s="801">
        <f>IF(WWWW[[#This Row],[Total required water points]]-WWWW[[#This Row],['#Water points coverage]]&lt;0,0,WWWW[[#This Row],[Total required water points]]-WWWW[[#This Row],['#Water points coverage]])</f>
        <v>0.42000000000000004</v>
      </c>
      <c r="CU235" s="801">
        <f>ROUND(IF(WWWW[[#This Row],[Total PoP ]]&lt;500,1,WWWW[[#This Row],[Total PoP ]]/500),0)</f>
        <v>1</v>
      </c>
      <c r="CV235" s="801">
        <f>(WWWW[[#This Row],['#_Constructed latrines_by_WASHAgencies]]+WWWW[[#This Row],['#_Non Cluster partner latrines]])-WWWW[[#This Row],['#_Non-functional latrines]]</f>
        <v>7</v>
      </c>
      <c r="CW235" s="804">
        <f>WWWW[[#This Row],[HRP2]]/WWWW[[#This Row],[Total PoP ]]</f>
        <v>0.48275862068965519</v>
      </c>
      <c r="CX23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3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5" s="473">
        <f>IF(WWWW[[#This Row],['# of functional latrines in THF supported by WASH partners during the reporting period2]]="",0,WWWW[[#This Row],['# of functional latrines in THF supported by WASH partners during the reporting period2]]*50)</f>
        <v>0</v>
      </c>
      <c r="DB235" s="473">
        <f>WWWW[[#This Row],['# students access to functioning school latrines_HRP5]]+WWWW[[#This Row],['# People access to functioning latrines in THF_HRP5]]</f>
        <v>0</v>
      </c>
      <c r="DC235" s="801">
        <f>ROUND(IF(WWWW[[#This Row],[Location Type 1]]="camp",WWWW[[#This Row],[Total PoP ]]/20,IF(WWWW[[#This Row],[Location Type 1]]="Temporary Location",WWWW[[#This Row],[Total PoP ]]/50,(WWWW[[#This Row],[Total PoP ]]/6))),0)</f>
        <v>15</v>
      </c>
      <c r="DD235" s="801">
        <f>IF(WWWW[[#This Row],[Total required Latrines]]-(WWWW[[#This Row],['#_Constructed latrines_by_WASHAgencies]]+WWWW[[#This Row],['#_Non Cluster partner latrines]])&lt;0,0,WWWW[[#This Row],[Total required Latrines]]-(WWWW[[#This Row],['#_Constructed latrines_by_WASHAgencies]]+WWWW[[#This Row],['#_Non Cluster partner latrines]]))</f>
        <v>8</v>
      </c>
      <c r="DE235" s="803">
        <f>1-WWWW[[#This Row],[% people access to functioning Latrine]]</f>
        <v>0.51724137931034475</v>
      </c>
      <c r="DF235" s="802">
        <f>IF(OR(WWWW[[#This Row],['#_Non-functional latrines]]="",WWWW[[#This Row],['#_Non-functional latrines]]=0),0,WWWW[[#This Row],['#_Non-functional latrines]]/(WWWW[[#This Row],['#_Constructed latrines_by_WASHAgencies]]+WWWW[[#This Row],['#_Non Cluster partner latrines]]))</f>
        <v>0</v>
      </c>
      <c r="DG235" s="798">
        <f>IF(500*(WWWW[[#This Row],['#_male hygiene promoters]]+WWWW[[#This Row],['#_female hygiene promoters]])&gt;WWWW[[#This Row],[Total PoP ]],WWWW[[#This Row],[Total PoP ]],500*(WWWW[[#This Row],['#_male hygiene promoters]]+WWWW[[#This Row],['#_female hygiene promoters]]))</f>
        <v>290</v>
      </c>
      <c r="DH23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5" s="801">
        <f>IF(WWWW[[#This Row],['# People with access to soap]]&gt;WWWW[[#This Row],['# People with access to Sanity Pads]],WWWW[[#This Row],['# People with access to soap]],WWWW[[#This Row],['# People with access to Sanity Pads]])</f>
        <v>0</v>
      </c>
      <c r="DK235" s="801">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L235" s="803">
        <f>IF(WWWW[[#This Row],[HRP3]]/WWWW[[#This Row],[Total PoP ]]&gt;1,1,WWWW[[#This Row],[HRP3]]/WWWW[[#This Row],[Total PoP ]])</f>
        <v>1</v>
      </c>
      <c r="DM235" s="802">
        <f>1-WWWW[[#This Row],[Hygiene Coverage%]]</f>
        <v>0</v>
      </c>
      <c r="DN235" s="800">
        <f>WWWW[[#This Row],['# people reached by regular dedicated hygiene promotion_5]]/WWWW[[#This Row],[Total PoP ]]</f>
        <v>1</v>
      </c>
      <c r="DO23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5" s="801">
        <f>WWWW[[#This Row],['#_Constructed/Existing hand washing stations]]-WWWW[[#This Row],['#_Non-Functional_hand_washing_stations]]</f>
        <v>3</v>
      </c>
      <c r="DR235" s="798">
        <f>IF(WWWW[[#This Row],['# Functional hand washing stations during reporting period]]*20&gt;WWWW[[#This Row],[Total HH]],WWWW[[#This Row],[Total HH]],WWWW[[#This Row],['# Functional hand washing stations during reporting period]]*20)</f>
        <v>60</v>
      </c>
      <c r="DS235" s="798">
        <f>IF(WWWW[[#This Row],[Is sufficient soap available for TLS? (Yes/No)]]="yes",WWWW[[#This Row],['#_Constructed/Existing hand washing stations at TLS]],0)</f>
        <v>0</v>
      </c>
      <c r="DT235" s="479">
        <f>IF(WWWW[[#This Row],['# Functional hand washing stations during reporting period]]*100&gt;WWWW[[#This Row],[Total PoP ]],WWWW[[#This Row],[Total PoP ]],WWWW[[#This Row],['# Functional hand washing stations during reporting period]]*100)</f>
        <v>290</v>
      </c>
      <c r="DU235" s="479" t="str">
        <f>IF(OR(WWWW[[#This Row],['#_students at TLS_CFS]]="",WWWW[[#This Row],['#_students at TLS_CFS]]=0),"No","Yes")</f>
        <v>No</v>
      </c>
      <c r="DV23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5" s="794" t="str">
        <f>VLOOKUP(WWWW[[#This Row],[Site Name]],SiteDB6[[Site Name]:[CCCM Management]],6,FALSE)</f>
        <v>Yes</v>
      </c>
      <c r="DZ235" s="794" t="str">
        <f>VLOOKUP(WWWW[[#This Row],[Site Name]],SiteDB6[[Site Name]:[CCCM Focal Agency]],7,FALSE)</f>
        <v>KBC-MYT</v>
      </c>
      <c r="EA235" s="794" t="str">
        <f>VLOOKUP(WWWW[[#This Row],[Site Name]],SiteDB6[[Site Name]:[Location Type 1]],9,FALSE)</f>
        <v>Camp</v>
      </c>
      <c r="EB235" s="794" t="str">
        <f>VLOOKUP(WWWW[[#This Row],[Site Name]],SiteDB6[[Site Name]:[Type of Accommodation]],10,FALSE)</f>
        <v>Camp</v>
      </c>
      <c r="EC235" s="794" t="str">
        <f>VLOOKUP(WWWW[[#This Row],[Site Name]],SiteDB6[[Site Name]:[Ethnic or GCA/NGCA]],11,FALSE)</f>
        <v>GCA</v>
      </c>
      <c r="ED235" s="794">
        <f>VLOOKUP(WWWW[[#This Row],[Site Name]],SiteDB6[[Site Name]:[Lat]],12,FALSE)</f>
        <v>25.360463124999999</v>
      </c>
      <c r="EE235" s="794">
        <f>VLOOKUP(WWWW[[#This Row],[Site Name]],SiteDB6[[Site Name]:[Long]],13,FALSE)</f>
        <v>97.4113064583333</v>
      </c>
      <c r="EF235" s="794" t="str">
        <f>VLOOKUP(WWWW[[#This Row],[Site Name]],SiteDB6[[Site Name]:[Pcode]],3,FALSE)</f>
        <v>MMR001CMP016</v>
      </c>
      <c r="EG235" s="799" t="str">
        <f t="shared" si="4"/>
        <v>Covered</v>
      </c>
      <c r="EH235" s="799" t="str">
        <f>VLOOKUP(WWWW[[#This Row],[Site Name]],Site_DB!$C$389:$D$1120,2,FALSE)</f>
        <v>cccm_2019OCT</v>
      </c>
    </row>
    <row r="236" spans="1:138" hidden="1">
      <c r="A236" s="792" t="s">
        <v>3262</v>
      </c>
      <c r="B236" s="792" t="s">
        <v>195</v>
      </c>
      <c r="C236" s="793" t="s">
        <v>195</v>
      </c>
      <c r="D236" s="404" t="s">
        <v>3367</v>
      </c>
      <c r="E236" s="793" t="s">
        <v>39</v>
      </c>
      <c r="F236" s="793" t="s">
        <v>145</v>
      </c>
      <c r="G236" s="721" t="str">
        <f>VLOOKUP(WWWW[[#This Row],[Site Name]],SiteDB6[[Site Name]:[Location Type]],8,FALSE)</f>
        <v>Camp</v>
      </c>
      <c r="H236" s="404" t="s">
        <v>227</v>
      </c>
      <c r="I236" s="809">
        <v>144</v>
      </c>
      <c r="J236" s="809">
        <v>680</v>
      </c>
      <c r="K236" s="407" t="s">
        <v>3609</v>
      </c>
      <c r="L236" s="56" t="s">
        <v>3610</v>
      </c>
      <c r="M236" s="795"/>
      <c r="N236" s="795"/>
      <c r="O236" s="795"/>
      <c r="P236" s="795"/>
      <c r="Q236" s="798"/>
      <c r="R236" s="795"/>
      <c r="S236" s="795"/>
      <c r="T236" s="523"/>
      <c r="U236" s="795"/>
      <c r="V236" s="795"/>
      <c r="W236" s="795"/>
      <c r="X236" s="795"/>
      <c r="Y236" s="795"/>
      <c r="Z236" s="795"/>
      <c r="AA236" s="795">
        <v>2</v>
      </c>
      <c r="AB236" s="795"/>
      <c r="AC236" s="795"/>
      <c r="AD236" s="795"/>
      <c r="AE236" s="795"/>
      <c r="AF236" s="720">
        <v>48240</v>
      </c>
      <c r="AG236" s="795"/>
      <c r="AH236" s="795"/>
      <c r="AI236" s="795"/>
      <c r="AJ236" s="795"/>
      <c r="AK236" s="795"/>
      <c r="AL236" s="795"/>
      <c r="AM236" s="795"/>
      <c r="AN236" s="795">
        <v>2</v>
      </c>
      <c r="AO236" s="799"/>
      <c r="AP236" s="720">
        <v>89</v>
      </c>
      <c r="AQ236" s="795"/>
      <c r="AR236" s="800"/>
      <c r="AS236" s="795"/>
      <c r="AT236" s="795"/>
      <c r="AU236" s="795"/>
      <c r="AV236" s="795"/>
      <c r="AW236" s="795"/>
      <c r="AX236" s="794" t="s">
        <v>43</v>
      </c>
      <c r="AY236" s="799" t="s">
        <v>140</v>
      </c>
      <c r="AZ236" s="795"/>
      <c r="BA236" s="795"/>
      <c r="BB236" s="795"/>
      <c r="BC236" s="523"/>
      <c r="BD236" s="523"/>
      <c r="BE236" s="794"/>
      <c r="BF236" s="795">
        <v>4</v>
      </c>
      <c r="BG236" s="795"/>
      <c r="BH236" s="795"/>
      <c r="BI236" s="795">
        <v>5</v>
      </c>
      <c r="BJ236" s="795"/>
      <c r="BK236" s="795"/>
      <c r="BL236" s="795"/>
      <c r="BM236" s="795"/>
      <c r="BN236" s="795"/>
      <c r="BO236" s="794"/>
      <c r="BP236" s="801"/>
      <c r="BQ236" s="800"/>
      <c r="BR236" s="794"/>
      <c r="BS236" s="472"/>
      <c r="BT236" s="472"/>
      <c r="BU236" s="523"/>
      <c r="BV236" s="472"/>
      <c r="BW236" s="523"/>
      <c r="BX236" s="523"/>
      <c r="BY236" s="523"/>
      <c r="BZ236" s="802" t="str">
        <f>IFERROR(WWWW[[#This Row],['#_Water sources passed]]/WWWW[[#This Row],['#_Water sources tested for fecal coliform ]],"no test")</f>
        <v>no test</v>
      </c>
      <c r="CA236" s="800" t="str">
        <f>IFERROR(WWWW[[#This Row],['#_Household passed]]/WWWW[[#This Row],['#_Household water samples tested for fecal coliform]],"no test")</f>
        <v>no test</v>
      </c>
      <c r="CB236" s="801" t="str">
        <f>IF(AND(WWWW[[#This Row],[% of water sources passed]]="no test",WWWW[[#This Row],[% Household passed]]="no test"),"No Test","Tested")</f>
        <v>No Test</v>
      </c>
      <c r="CC236" s="801">
        <f>WWWW[[#This Row],['#_Constructed/existing protected hand dug well]]-WWWW[[#This Row],['#_Non-functional protected hand dug well]]</f>
        <v>0</v>
      </c>
      <c r="CD236" s="801">
        <f>(WWWW[[#This Row],['#_Constructed/Existing tube wells/boreholes/handpumps_WASH_agency]]+WWWW[[#This Row],['#_Non-Cluster partner water tube-wells/boreholes/handpumps]])-WWWW[[#This Row],['#_Non-functional tube wells/boreholes/handpumps]]</f>
        <v>0</v>
      </c>
      <c r="CE236" s="801">
        <f>WWWW[[#This Row],['#_Constructed/Existingwater storage tank with gravity fed reticulation system]]-WWWW[[#This Row],['#_Non-functional storage tank gravity fed reticulation system]]</f>
        <v>2</v>
      </c>
      <c r="CF236" s="801">
        <f>(WWWW[[#This Row],['#_Water_Liters_supplied_by_Water boating or water trucking]]/90)/15</f>
        <v>0</v>
      </c>
      <c r="CG236" s="801">
        <f>WWWW[[#This Row],['#_Water_Liters_from_Constructed/Existing water distribution system from river or natural spring]]/90/15</f>
        <v>35.733333333333334</v>
      </c>
      <c r="CH236" s="473">
        <f>WWWW[[#This Row],['#_of water points in TLS/CFS /THF]]*500</f>
        <v>1000</v>
      </c>
      <c r="CI23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0.24862745098039216</v>
      </c>
      <c r="CJ23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0.24862745098039216</v>
      </c>
      <c r="CK236" s="800">
        <f>IF(WWWW[[#This Row],[Location Type 1]]="Village",WWWW[[#This Row],[Access to safe drinking water for Village]],WWWW[[#This Row],[Access to safe drinking water for Camp]])</f>
        <v>0.24862745098039216</v>
      </c>
      <c r="CL236" s="798">
        <f>WWWW[[#This Row],[%Equitable and continuous access to sufficient quantity of safe drinking water]]*WWWW[[#This Row],[Total PoP ]]</f>
        <v>169.06666666666666</v>
      </c>
      <c r="CM236" s="800">
        <f>IF((WWWW[[#This Row],['#_Constructed/Existing protected/fenced ponds]]*250)/WWWW[[#This Row],[Total PoP ]]&gt;1,1,(WWWW[[#This Row],['#_Constructed/Existing protected/fenced ponds]]*250)/WWWW[[#This Row],[Total PoP ]])</f>
        <v>0</v>
      </c>
      <c r="CN236" s="798">
        <f>WWWW[[#This Row],[% Access to unimproved water points]]*WWWW[[#This Row],[Total PoP ]]</f>
        <v>0</v>
      </c>
      <c r="CO23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0.24862745098039216</v>
      </c>
      <c r="CP23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169.06666666666666</v>
      </c>
      <c r="CQ236" s="798">
        <f>WWWW[[#This Row],[HRP1]]/500</f>
        <v>0.33813333333333334</v>
      </c>
      <c r="CR236" s="803">
        <f>1-WWWW[[#This Row],[% Equitable and continuous access to sufficient quantity of domestic water]]</f>
        <v>0.75137254901960782</v>
      </c>
      <c r="CS236" s="798">
        <f>WWWW[[#This Row],[%equitable and continuous access to sufficient quantity of safe drinking and domestic water''s GAP]]*WWWW[[#This Row],[Total PoP ]]</f>
        <v>510.93333333333334</v>
      </c>
      <c r="CT236" s="801">
        <f>IF(WWWW[[#This Row],[Total required water points]]-WWWW[[#This Row],['#Water points coverage]]&lt;0,0,WWWW[[#This Row],[Total required water points]]-WWWW[[#This Row],['#Water points coverage]])</f>
        <v>0.6618666666666666</v>
      </c>
      <c r="CU236" s="801">
        <f>ROUND(IF(WWWW[[#This Row],[Total PoP ]]&lt;500,1,WWWW[[#This Row],[Total PoP ]]/500),0)</f>
        <v>1</v>
      </c>
      <c r="CV236" s="801">
        <f>(WWWW[[#This Row],['#_Constructed latrines_by_WASHAgencies]]+WWWW[[#This Row],['#_Non Cluster partner latrines]])-WWWW[[#This Row],['#_Non-functional latrines]]</f>
        <v>89</v>
      </c>
      <c r="CW236" s="804">
        <f>WWWW[[#This Row],[HRP2]]/WWWW[[#This Row],[Total PoP ]]</f>
        <v>1</v>
      </c>
      <c r="CX23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CY23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6" s="473">
        <f>IF(WWWW[[#This Row],['# of functional latrines in THF supported by WASH partners during the reporting period2]]="",0,WWWW[[#This Row],['# of functional latrines in THF supported by WASH partners during the reporting period2]]*50)</f>
        <v>0</v>
      </c>
      <c r="DB236" s="473">
        <f>WWWW[[#This Row],['# students access to functioning school latrines_HRP5]]+WWWW[[#This Row],['# People access to functioning latrines in THF_HRP5]]</f>
        <v>0</v>
      </c>
      <c r="DC236" s="801">
        <f>ROUND(IF(WWWW[[#This Row],[Location Type 1]]="camp",WWWW[[#This Row],[Total PoP ]]/20,IF(WWWW[[#This Row],[Location Type 1]]="Temporary Location",WWWW[[#This Row],[Total PoP ]]/50,(WWWW[[#This Row],[Total PoP ]]/6))),0)</f>
        <v>34</v>
      </c>
      <c r="DD236" s="801">
        <f>IF(WWWW[[#This Row],[Total required Latrines]]-(WWWW[[#This Row],['#_Constructed latrines_by_WASHAgencies]]+WWWW[[#This Row],['#_Non Cluster partner latrines]])&lt;0,0,WWWW[[#This Row],[Total required Latrines]]-(WWWW[[#This Row],['#_Constructed latrines_by_WASHAgencies]]+WWWW[[#This Row],['#_Non Cluster partner latrines]]))</f>
        <v>0</v>
      </c>
      <c r="DE236" s="803">
        <f>1-WWWW[[#This Row],[% people access to functioning Latrine]]</f>
        <v>0</v>
      </c>
      <c r="DF236" s="802">
        <f>IF(OR(WWWW[[#This Row],['#_Non-functional latrines]]="",WWWW[[#This Row],['#_Non-functional latrines]]=0),0,WWWW[[#This Row],['#_Non-functional latrines]]/(WWWW[[#This Row],['#_Constructed latrines_by_WASHAgencies]]+WWWW[[#This Row],['#_Non Cluster partner latrines]]))</f>
        <v>0</v>
      </c>
      <c r="DG236" s="798">
        <f>IF(500*(WWWW[[#This Row],['#_male hygiene promoters]]+WWWW[[#This Row],['#_female hygiene promoters]])&gt;WWWW[[#This Row],[Total PoP ]],WWWW[[#This Row],[Total PoP ]],500*(WWWW[[#This Row],['#_male hygiene promoters]]+WWWW[[#This Row],['#_female hygiene promoters]]))</f>
        <v>0</v>
      </c>
      <c r="DH23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6" s="801">
        <f>IF(WWWW[[#This Row],['# People with access to soap]]&gt;WWWW[[#This Row],['# People with access to Sanity Pads]],WWWW[[#This Row],['# People with access to soap]],WWWW[[#This Row],['# People with access to Sanity Pads]])</f>
        <v>0</v>
      </c>
      <c r="DK23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36" s="803">
        <f>IF(WWWW[[#This Row],[HRP3]]/WWWW[[#This Row],[Total PoP ]]&gt;1,1,WWWW[[#This Row],[HRP3]]/WWWW[[#This Row],[Total PoP ]])</f>
        <v>0</v>
      </c>
      <c r="DM236" s="802">
        <f>1-WWWW[[#This Row],[Hygiene Coverage%]]</f>
        <v>1</v>
      </c>
      <c r="DN236" s="800">
        <f>WWWW[[#This Row],['# people reached by regular dedicated hygiene promotion_5]]/WWWW[[#This Row],[Total PoP ]]</f>
        <v>0</v>
      </c>
      <c r="DO23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6" s="801">
        <f>WWWW[[#This Row],['#_Constructed/Existing hand washing stations]]-WWWW[[#This Row],['#_Non-Functional_hand_washing_stations]]</f>
        <v>4</v>
      </c>
      <c r="DR236" s="798">
        <f>IF(WWWW[[#This Row],['# Functional hand washing stations during reporting period]]*20&gt;WWWW[[#This Row],[Total HH]],WWWW[[#This Row],[Total HH]],WWWW[[#This Row],['# Functional hand washing stations during reporting period]]*20)</f>
        <v>80</v>
      </c>
      <c r="DS236" s="798">
        <f>IF(WWWW[[#This Row],[Is sufficient soap available for TLS? (Yes/No)]]="yes",WWWW[[#This Row],['#_Constructed/Existing hand washing stations at TLS]],0)</f>
        <v>0</v>
      </c>
      <c r="DT236" s="479">
        <f>IF(WWWW[[#This Row],['# Functional hand washing stations during reporting period]]*100&gt;WWWW[[#This Row],[Total PoP ]],WWWW[[#This Row],[Total PoP ]],WWWW[[#This Row],['# Functional hand washing stations during reporting period]]*100)</f>
        <v>400</v>
      </c>
      <c r="DU236" s="479" t="str">
        <f>IF(OR(WWWW[[#This Row],['#_students at TLS_CFS]]="",WWWW[[#This Row],['#_students at TLS_CFS]]=0),"No","Yes")</f>
        <v>No</v>
      </c>
      <c r="DV23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36" s="794">
        <f>VLOOKUP(WWWW[[#This Row],[Site Name]],SiteDB6[[Site Name]:[CCCM Management]],6,FALSE)</f>
        <v>0</v>
      </c>
      <c r="DZ236" s="794" t="str">
        <f>VLOOKUP(WWWW[[#This Row],[Site Name]],SiteDB6[[Site Name]:[CCCM Focal Agency]],7,FALSE)</f>
        <v>uncovered</v>
      </c>
      <c r="EA236" s="794" t="str">
        <f>VLOOKUP(WWWW[[#This Row],[Site Name]],SiteDB6[[Site Name]:[Location Type 1]],9,FALSE)</f>
        <v>Camp</v>
      </c>
      <c r="EB236" s="794" t="str">
        <f>VLOOKUP(WWWW[[#This Row],[Site Name]],SiteDB6[[Site Name]:[Type of Accommodation]],10,FALSE)</f>
        <v>Boarding School</v>
      </c>
      <c r="EC236" s="794" t="str">
        <f>VLOOKUP(WWWW[[#This Row],[Site Name]],SiteDB6[[Site Name]:[Ethnic or GCA/NGCA]],11,FALSE)</f>
        <v>NGCA</v>
      </c>
      <c r="ED236" s="794">
        <f>VLOOKUP(WWWW[[#This Row],[Site Name]],SiteDB6[[Site Name]:[Lat]],12,FALSE)</f>
        <v>24.752471</v>
      </c>
      <c r="EE236" s="794">
        <f>VLOOKUP(WWWW[[#This Row],[Site Name]],SiteDB6[[Site Name]:[Long]],13,FALSE)</f>
        <v>97.541793999999996</v>
      </c>
      <c r="EF236" s="794" t="str">
        <f>VLOOKUP(WWWW[[#This Row],[Site Name]],SiteDB6[[Site Name]:[Pcode]],3,FALSE)</f>
        <v>MMR001CMP208</v>
      </c>
      <c r="EG236" s="799" t="str">
        <f t="shared" si="4"/>
        <v>Covered</v>
      </c>
      <c r="EH236" s="799" t="str">
        <f>VLOOKUP(WWWW[[#This Row],[Site Name]],Site_DB!$C$389:$D$1120,2,FALSE)</f>
        <v>cccm_2019OCT</v>
      </c>
    </row>
    <row r="237" spans="1:138" ht="52" hidden="1">
      <c r="A237" s="792" t="s">
        <v>3262</v>
      </c>
      <c r="B237" s="792" t="s">
        <v>144</v>
      </c>
      <c r="C237" s="793" t="s">
        <v>144</v>
      </c>
      <c r="D237" s="404" t="s">
        <v>244</v>
      </c>
      <c r="E237" s="793" t="s">
        <v>39</v>
      </c>
      <c r="F237" s="793" t="s">
        <v>217</v>
      </c>
      <c r="G237" s="721" t="str">
        <f>VLOOKUP(WWWW[[#This Row],[Site Name]],SiteDB6[[Site Name]:[Location Type]],8,FALSE)</f>
        <v>Camp</v>
      </c>
      <c r="H237" s="793" t="s">
        <v>2070</v>
      </c>
      <c r="I237" s="720">
        <v>386</v>
      </c>
      <c r="J237" s="720">
        <v>1397</v>
      </c>
      <c r="K237" s="407">
        <v>43556</v>
      </c>
      <c r="L237" s="56">
        <v>43951</v>
      </c>
      <c r="M237" s="720">
        <v>383</v>
      </c>
      <c r="N237" s="795"/>
      <c r="O237" s="720">
        <f>15+59</f>
        <v>74</v>
      </c>
      <c r="P237" s="720"/>
      <c r="Q237" s="807"/>
      <c r="R237" s="720">
        <v>19</v>
      </c>
      <c r="S237" s="720">
        <v>55</v>
      </c>
      <c r="T237" s="523">
        <v>13</v>
      </c>
      <c r="U237" s="795"/>
      <c r="V237" s="795"/>
      <c r="W237" s="795">
        <v>1</v>
      </c>
      <c r="X237" s="795"/>
      <c r="Y237" s="795"/>
      <c r="Z237" s="795"/>
      <c r="AA237" s="795"/>
      <c r="AB237" s="795"/>
      <c r="AC237" s="795"/>
      <c r="AD237" s="795"/>
      <c r="AE237" s="795"/>
      <c r="AF237" s="795"/>
      <c r="AG237" s="795">
        <v>7</v>
      </c>
      <c r="AH237" s="795"/>
      <c r="AI237" s="720">
        <v>16</v>
      </c>
      <c r="AJ237" s="720">
        <v>5</v>
      </c>
      <c r="AK237" s="720">
        <v>22</v>
      </c>
      <c r="AL237" s="720">
        <v>16</v>
      </c>
      <c r="AM237" s="795"/>
      <c r="AN237" s="795"/>
      <c r="AO237" s="835" t="s">
        <v>3380</v>
      </c>
      <c r="AP237" s="795">
        <v>5</v>
      </c>
      <c r="AQ237" s="795"/>
      <c r="AR237" s="800"/>
      <c r="AS237" s="795"/>
      <c r="AT237" s="795">
        <v>2</v>
      </c>
      <c r="AU237" s="795"/>
      <c r="AV237" s="795"/>
      <c r="AW237" s="795"/>
      <c r="AX237" s="794" t="s">
        <v>43</v>
      </c>
      <c r="AY237" s="799" t="s">
        <v>143</v>
      </c>
      <c r="AZ237" s="795"/>
      <c r="BA237" s="795"/>
      <c r="BB237" s="795">
        <v>50</v>
      </c>
      <c r="BC237" s="523"/>
      <c r="BD237" s="523"/>
      <c r="BE237" s="794"/>
      <c r="BF237" s="795"/>
      <c r="BG237" s="795"/>
      <c r="BH237" s="795"/>
      <c r="BI237" s="795"/>
      <c r="BJ237" s="795"/>
      <c r="BK237" s="795"/>
      <c r="BL237" s="795"/>
      <c r="BM237" s="795"/>
      <c r="BN237" s="795"/>
      <c r="BO237" s="794" t="s">
        <v>139</v>
      </c>
      <c r="BP237" s="801"/>
      <c r="BQ237" s="800"/>
      <c r="BR237" s="836" t="s">
        <v>3382</v>
      </c>
      <c r="BS237" s="808">
        <v>1</v>
      </c>
      <c r="BT237" s="808">
        <v>1</v>
      </c>
      <c r="BU237" s="523">
        <v>1397</v>
      </c>
      <c r="BV237" s="808">
        <v>1</v>
      </c>
      <c r="BW237" s="523"/>
      <c r="BX237" s="523"/>
      <c r="BY237" s="523"/>
      <c r="BZ237" s="802">
        <f>IFERROR(WWWW[[#This Row],['#_Water sources passed]]/WWWW[[#This Row],['#_Water sources tested for fecal coliform ]],"no test")</f>
        <v>0.3125</v>
      </c>
      <c r="CA237" s="800">
        <f>IFERROR(WWWW[[#This Row],['#_Household passed]]/WWWW[[#This Row],['#_Household water samples tested for fecal coliform]],"no test")</f>
        <v>0.72727272727272729</v>
      </c>
      <c r="CB237" s="801" t="str">
        <f>IF(AND(WWWW[[#This Row],[% of water sources passed]]="no test",WWWW[[#This Row],[% Household passed]]="no test"),"No Test","Tested")</f>
        <v>Tested</v>
      </c>
      <c r="CC237" s="801">
        <f>WWWW[[#This Row],['#_Constructed/existing protected hand dug well]]-WWWW[[#This Row],['#_Non-functional protected hand dug well]]</f>
        <v>13</v>
      </c>
      <c r="CD237" s="801">
        <f>(WWWW[[#This Row],['#_Constructed/Existing tube wells/boreholes/handpumps_WASH_agency]]+WWWW[[#This Row],['#_Non-Cluster partner water tube-wells/boreholes/handpumps]])-WWWW[[#This Row],['#_Non-functional tube wells/boreholes/handpumps]]</f>
        <v>1</v>
      </c>
      <c r="CE237" s="801">
        <f>WWWW[[#This Row],['#_Constructed/Existingwater storage tank with gravity fed reticulation system]]-WWWW[[#This Row],['#_Non-functional storage tank gravity fed reticulation system]]</f>
        <v>0</v>
      </c>
      <c r="CF237" s="801">
        <f>(WWWW[[#This Row],['#_Water_Liters_supplied_by_Water boating or water trucking]]/90)/15</f>
        <v>0</v>
      </c>
      <c r="CG237" s="801">
        <f>WWWW[[#This Row],['#_Water_Liters_from_Constructed/Existing water distribution system from river or natural spring]]/90/15</f>
        <v>0</v>
      </c>
      <c r="CH237" s="473">
        <f>WWWW[[#This Row],['#_of water points in TLS/CFS /THF]]*500</f>
        <v>0</v>
      </c>
      <c r="CI23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7" s="800">
        <f>IF(WWWW[[#This Row],[Location Type 1]]="Village",WWWW[[#This Row],[Access to safe drinking water for Village]],WWWW[[#This Row],[Access to safe drinking water for Camp]])</f>
        <v>1</v>
      </c>
      <c r="CL237" s="798">
        <f>WWWW[[#This Row],[%Equitable and continuous access to sufficient quantity of safe drinking water]]*WWWW[[#This Row],[Total PoP ]]</f>
        <v>1397</v>
      </c>
      <c r="CM237" s="800">
        <f>IF((WWWW[[#This Row],['#_Constructed/Existing protected/fenced ponds]]*250)/WWWW[[#This Row],[Total PoP ]]&gt;1,1,(WWWW[[#This Row],['#_Constructed/Existing protected/fenced ponds]]*250)/WWWW[[#This Row],[Total PoP ]])</f>
        <v>0</v>
      </c>
      <c r="CN237" s="798">
        <f>WWWW[[#This Row],[% Access to unimproved water points]]*WWWW[[#This Row],[Total PoP ]]</f>
        <v>0</v>
      </c>
      <c r="CO23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Q237" s="798">
        <f>WWWW[[#This Row],[HRP1]]/500</f>
        <v>2.794</v>
      </c>
      <c r="CR237" s="803">
        <f>1-WWWW[[#This Row],[% Equitable and continuous access to sufficient quantity of domestic water]]</f>
        <v>0</v>
      </c>
      <c r="CS237" s="798">
        <f>WWWW[[#This Row],[%equitable and continuous access to sufficient quantity of safe drinking and domestic water''s GAP]]*WWWW[[#This Row],[Total PoP ]]</f>
        <v>0</v>
      </c>
      <c r="CT237" s="801">
        <f>IF(WWWW[[#This Row],[Total required water points]]-WWWW[[#This Row],['#Water points coverage]]&lt;0,0,WWWW[[#This Row],[Total required water points]]-WWWW[[#This Row],['#Water points coverage]])</f>
        <v>0.20599999999999996</v>
      </c>
      <c r="CU237" s="801">
        <f>ROUND(IF(WWWW[[#This Row],[Total PoP ]]&lt;500,1,WWWW[[#This Row],[Total PoP ]]/500),0)</f>
        <v>3</v>
      </c>
      <c r="CV237" s="801">
        <f>(WWWW[[#This Row],['#_Constructed latrines_by_WASHAgencies]]+WWWW[[#This Row],['#_Non Cluster partner latrines]])-WWWW[[#This Row],['#_Non-functional latrines]]</f>
        <v>5</v>
      </c>
      <c r="CW237" s="804">
        <f>WWWW[[#This Row],[HRP2]]/WWWW[[#This Row],[Total PoP ]]</f>
        <v>7.158196134574088E-2</v>
      </c>
      <c r="CX23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23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383</v>
      </c>
      <c r="DA237" s="473">
        <f>IF(WWWW[[#This Row],['# of functional latrines in THF supported by WASH partners during the reporting period2]]="",0,WWWW[[#This Row],['# of functional latrines in THF supported by WASH partners during the reporting period2]]*50)</f>
        <v>0</v>
      </c>
      <c r="DB237" s="473">
        <f>WWWW[[#This Row],['# students access to functioning school latrines_HRP5]]+WWWW[[#This Row],['# People access to functioning latrines in THF_HRP5]]</f>
        <v>383</v>
      </c>
      <c r="DC237" s="801">
        <f>ROUND(IF(WWWW[[#This Row],[Location Type 1]]="camp",WWWW[[#This Row],[Total PoP ]]/20,IF(WWWW[[#This Row],[Location Type 1]]="Temporary Location",WWWW[[#This Row],[Total PoP ]]/50,(WWWW[[#This Row],[Total PoP ]]/6))),0)</f>
        <v>70</v>
      </c>
      <c r="DD237" s="801">
        <f>IF(WWWW[[#This Row],[Total required Latrines]]-(WWWW[[#This Row],['#_Constructed latrines_by_WASHAgencies]]+WWWW[[#This Row],['#_Non Cluster partner latrines]])&lt;0,0,WWWW[[#This Row],[Total required Latrines]]-(WWWW[[#This Row],['#_Constructed latrines_by_WASHAgencies]]+WWWW[[#This Row],['#_Non Cluster partner latrines]]))</f>
        <v>65</v>
      </c>
      <c r="DE237" s="803">
        <f>1-WWWW[[#This Row],[% people access to functioning Latrine]]</f>
        <v>0.92841803865425909</v>
      </c>
      <c r="DF237" s="802">
        <f>IF(OR(WWWW[[#This Row],['#_Non-functional latrines]]="",WWWW[[#This Row],['#_Non-functional latrines]]=0),0,WWWW[[#This Row],['#_Non-functional latrines]]/(WWWW[[#This Row],['#_Constructed latrines_by_WASHAgencies]]+WWWW[[#This Row],['#_Non Cluster partner latrines]]))</f>
        <v>0</v>
      </c>
      <c r="DG237" s="798">
        <f>IF(500*(WWWW[[#This Row],['#_male hygiene promoters]]+WWWW[[#This Row],['#_female hygiene promoters]])&gt;WWWW[[#This Row],[Total PoP ]],WWWW[[#This Row],[Total PoP ]],500*(WWWW[[#This Row],['#_male hygiene promoters]]+WWWW[[#This Row],['#_female hygiene promoters]]))</f>
        <v>0</v>
      </c>
      <c r="DH23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7" s="801">
        <f>IF(WWWW[[#This Row],['# People with access to soap]]&gt;WWWW[[#This Row],['# People with access to Sanity Pads]],WWWW[[#This Row],['# People with access to soap]],WWWW[[#This Row],['# People with access to Sanity Pads]])</f>
        <v>0</v>
      </c>
      <c r="DK23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37" s="803">
        <f>IF(WWWW[[#This Row],[HRP3]]/WWWW[[#This Row],[Total PoP ]]&gt;1,1,WWWW[[#This Row],[HRP3]]/WWWW[[#This Row],[Total PoP ]])</f>
        <v>0</v>
      </c>
      <c r="DM237" s="802">
        <f>1-WWWW[[#This Row],[Hygiene Coverage%]]</f>
        <v>1</v>
      </c>
      <c r="DN237" s="800">
        <f>WWWW[[#This Row],['# people reached by regular dedicated hygiene promotion_5]]/WWWW[[#This Row],[Total PoP ]]</f>
        <v>0</v>
      </c>
      <c r="DO23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7" s="801">
        <f>WWWW[[#This Row],['#_Constructed/Existing hand washing stations]]-WWWW[[#This Row],['#_Non-Functional_hand_washing_stations]]</f>
        <v>0</v>
      </c>
      <c r="DR237" s="798">
        <f>IF(WWWW[[#This Row],['# Functional hand washing stations during reporting period]]*20&gt;WWWW[[#This Row],[Total HH]],WWWW[[#This Row],[Total HH]],WWWW[[#This Row],['# Functional hand washing stations during reporting period]]*20)</f>
        <v>0</v>
      </c>
      <c r="DS237" s="798">
        <f>IF(WWWW[[#This Row],[Is sufficient soap available for TLS? (Yes/No)]]="yes",WWWW[[#This Row],['#_Constructed/Existing hand washing stations at TLS]],0)</f>
        <v>0</v>
      </c>
      <c r="DT237" s="479">
        <f>IF(WWWW[[#This Row],['# Functional hand washing stations during reporting period]]*100&gt;WWWW[[#This Row],[Total PoP ]],WWWW[[#This Row],[Total PoP ]],WWWW[[#This Row],['# Functional hand washing stations during reporting period]]*100)</f>
        <v>0</v>
      </c>
      <c r="DU237" s="479" t="str">
        <f>IF(OR(WWWW[[#This Row],['#_students at TLS_CFS]]="",WWWW[[#This Row],['#_students at TLS_CFS]]=0),"No","Yes")</f>
        <v>Yes</v>
      </c>
      <c r="DV237"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383</v>
      </c>
      <c r="DY237" s="794">
        <f>VLOOKUP(WWWW[[#This Row],[Site Name]],SiteDB6[[Site Name]:[CCCM Management]],6,FALSE)</f>
        <v>0</v>
      </c>
      <c r="DZ237" s="794" t="str">
        <f>VLOOKUP(WWWW[[#This Row],[Site Name]],SiteDB6[[Site Name]:[CCCM Focal Agency]],7,FALSE)</f>
        <v>uncovered</v>
      </c>
      <c r="EA237" s="794" t="str">
        <f>VLOOKUP(WWWW[[#This Row],[Site Name]],SiteDB6[[Site Name]:[Location Type 1]],9,FALSE)</f>
        <v>Camp</v>
      </c>
      <c r="EB237" s="794" t="str">
        <f>VLOOKUP(WWWW[[#This Row],[Site Name]],SiteDB6[[Site Name]:[Type of Accommodation]],10,FALSE)</f>
        <v>Camp like setting</v>
      </c>
      <c r="EC237" s="794" t="str">
        <f>VLOOKUP(WWWW[[#This Row],[Site Name]],SiteDB6[[Site Name]:[Ethnic or GCA/NGCA]],11,FALSE)</f>
        <v>NGCA</v>
      </c>
      <c r="ED237" s="794">
        <f>VLOOKUP(WWWW[[#This Row],[Site Name]],SiteDB6[[Site Name]:[Lat]],12,FALSE)</f>
        <v>0</v>
      </c>
      <c r="EE237" s="794">
        <f>VLOOKUP(WWWW[[#This Row],[Site Name]],SiteDB6[[Site Name]:[Long]],13,FALSE)</f>
        <v>0</v>
      </c>
      <c r="EF237" s="794" t="str">
        <f>VLOOKUP(WWWW[[#This Row],[Site Name]],SiteDB6[[Site Name]:[Pcode]],3,FALSE)</f>
        <v>MMR001CMP273</v>
      </c>
      <c r="EG237" s="799" t="str">
        <f t="shared" si="4"/>
        <v>Covered</v>
      </c>
      <c r="EH237" s="799" t="str">
        <f>VLOOKUP(WWWW[[#This Row],[Site Name]],Site_DB!$C$389:$D$1120,2,FALSE)</f>
        <v>cccm_2019OCT</v>
      </c>
    </row>
    <row r="238" spans="1:138" hidden="1">
      <c r="A238" s="792" t="s">
        <v>3262</v>
      </c>
      <c r="B238" s="792" t="s">
        <v>144</v>
      </c>
      <c r="C238" s="793" t="s">
        <v>144</v>
      </c>
      <c r="D238" s="793" t="s">
        <v>3277</v>
      </c>
      <c r="E238" s="793" t="s">
        <v>39</v>
      </c>
      <c r="F238" s="793" t="s">
        <v>145</v>
      </c>
      <c r="G238" s="721" t="str">
        <f>VLOOKUP(WWWW[[#This Row],[Site Name]],SiteDB6[[Site Name]:[Location Type]],8,FALSE)</f>
        <v>Camp</v>
      </c>
      <c r="H238" s="404" t="s">
        <v>179</v>
      </c>
      <c r="I238" s="795">
        <v>28</v>
      </c>
      <c r="J238" s="795">
        <v>159</v>
      </c>
      <c r="K238" s="796" t="s">
        <v>3278</v>
      </c>
      <c r="L238" s="797" t="s">
        <v>3279</v>
      </c>
      <c r="M238" s="795"/>
      <c r="N238" s="795"/>
      <c r="O238" s="795"/>
      <c r="P238" s="795"/>
      <c r="Q238" s="798" t="s">
        <v>43</v>
      </c>
      <c r="R238" s="795"/>
      <c r="S238" s="795">
        <v>1</v>
      </c>
      <c r="T238" s="523">
        <v>2</v>
      </c>
      <c r="U238" s="795"/>
      <c r="V238" s="795"/>
      <c r="W238" s="795">
        <v>1</v>
      </c>
      <c r="X238" s="795"/>
      <c r="Y238" s="795"/>
      <c r="Z238" s="795"/>
      <c r="AA238" s="795">
        <v>0</v>
      </c>
      <c r="AB238" s="795"/>
      <c r="AC238" s="795"/>
      <c r="AD238" s="795"/>
      <c r="AE238" s="795"/>
      <c r="AF238" s="795"/>
      <c r="AG238" s="795"/>
      <c r="AH238" s="795">
        <v>3</v>
      </c>
      <c r="AI238" s="795"/>
      <c r="AJ238" s="795"/>
      <c r="AK238" s="795"/>
      <c r="AL238" s="795"/>
      <c r="AM238" s="795"/>
      <c r="AN238" s="795"/>
      <c r="AO238" s="799"/>
      <c r="AP238" s="795">
        <v>6</v>
      </c>
      <c r="AQ238" s="795"/>
      <c r="AR238" s="800"/>
      <c r="AS238" s="795"/>
      <c r="AT238" s="795"/>
      <c r="AU238" s="795"/>
      <c r="AV238" s="795"/>
      <c r="AW238" s="795">
        <v>6</v>
      </c>
      <c r="AX238" s="794" t="s">
        <v>43</v>
      </c>
      <c r="AY238" s="799" t="s">
        <v>140</v>
      </c>
      <c r="AZ238" s="795"/>
      <c r="BA238" s="795"/>
      <c r="BB238" s="795"/>
      <c r="BC238" s="523"/>
      <c r="BD238" s="523"/>
      <c r="BE238" s="794"/>
      <c r="BF238" s="795">
        <v>2</v>
      </c>
      <c r="BG238" s="795"/>
      <c r="BH238" s="795"/>
      <c r="BI238" s="795">
        <v>3</v>
      </c>
      <c r="BJ238" s="795"/>
      <c r="BK238" s="795"/>
      <c r="BL238" s="795">
        <v>1</v>
      </c>
      <c r="BM238" s="795"/>
      <c r="BN238" s="795"/>
      <c r="BO238" s="794"/>
      <c r="BP238" s="801"/>
      <c r="BQ238" s="800"/>
      <c r="BR238" s="794"/>
      <c r="BS238" s="472"/>
      <c r="BT238" s="472"/>
      <c r="BU238" s="474"/>
      <c r="BV238" s="472"/>
      <c r="BW238" s="523"/>
      <c r="BX238" s="523"/>
      <c r="BY238" s="523"/>
      <c r="BZ238" s="802" t="str">
        <f>IFERROR(WWWW[[#This Row],['#_Water sources passed]]/WWWW[[#This Row],['#_Water sources tested for fecal coliform ]],"no test")</f>
        <v>no test</v>
      </c>
      <c r="CA238" s="800" t="str">
        <f>IFERROR(WWWW[[#This Row],['#_Household passed]]/WWWW[[#This Row],['#_Household water samples tested for fecal coliform]],"no test")</f>
        <v>no test</v>
      </c>
      <c r="CB238" s="801" t="str">
        <f>IF(AND(WWWW[[#This Row],[% of water sources passed]]="no test",WWWW[[#This Row],[% Household passed]]="no test"),"No Test","Tested")</f>
        <v>No Test</v>
      </c>
      <c r="CC238" s="801">
        <f>WWWW[[#This Row],['#_Constructed/existing protected hand dug well]]-WWWW[[#This Row],['#_Non-functional protected hand dug well]]</f>
        <v>2</v>
      </c>
      <c r="CD238" s="801">
        <f>(WWWW[[#This Row],['#_Constructed/Existing tube wells/boreholes/handpumps_WASH_agency]]+WWWW[[#This Row],['#_Non-Cluster partner water tube-wells/boreholes/handpumps]])-WWWW[[#This Row],['#_Non-functional tube wells/boreholes/handpumps]]</f>
        <v>1</v>
      </c>
      <c r="CE238" s="801">
        <f>WWWW[[#This Row],['#_Constructed/Existingwater storage tank with gravity fed reticulation system]]-WWWW[[#This Row],['#_Non-functional storage tank gravity fed reticulation system]]</f>
        <v>0</v>
      </c>
      <c r="CF238" s="801">
        <f>(WWWW[[#This Row],['#_Water_Liters_supplied_by_Water boating or water trucking]]/90)/15</f>
        <v>0</v>
      </c>
      <c r="CG238" s="801">
        <f>WWWW[[#This Row],['#_Water_Liters_from_Constructed/Existing water distribution system from river or natural spring]]/90/15</f>
        <v>0</v>
      </c>
      <c r="CH238" s="473">
        <f>WWWW[[#This Row],['#_of water points in TLS/CFS /THF]]*500</f>
        <v>0</v>
      </c>
      <c r="CI23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3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38" s="800">
        <f>IF(WWWW[[#This Row],[Location Type 1]]="Village",WWWW[[#This Row],[Access to safe drinking water for Village]],WWWW[[#This Row],[Access to safe drinking water for Camp]])</f>
        <v>1</v>
      </c>
      <c r="CL238" s="798">
        <f>WWWW[[#This Row],[%Equitable and continuous access to sufficient quantity of safe drinking water]]*WWWW[[#This Row],[Total PoP ]]</f>
        <v>159</v>
      </c>
      <c r="CM238" s="800">
        <f>IF((WWWW[[#This Row],['#_Constructed/Existing protected/fenced ponds]]*250)/WWWW[[#This Row],[Total PoP ]]&gt;1,1,(WWWW[[#This Row],['#_Constructed/Existing protected/fenced ponds]]*250)/WWWW[[#This Row],[Total PoP ]])</f>
        <v>0</v>
      </c>
      <c r="CN238" s="798">
        <f>WWWW[[#This Row],[% Access to unimproved water points]]*WWWW[[#This Row],[Total PoP ]]</f>
        <v>0</v>
      </c>
      <c r="CO23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3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Q238" s="798">
        <f>WWWW[[#This Row],[HRP1]]/500</f>
        <v>0.318</v>
      </c>
      <c r="CR238" s="803">
        <f>1-WWWW[[#This Row],[% Equitable and continuous access to sufficient quantity of domestic water]]</f>
        <v>0</v>
      </c>
      <c r="CS238" s="798">
        <f>WWWW[[#This Row],[%equitable and continuous access to sufficient quantity of safe drinking and domestic water''s GAP]]*WWWW[[#This Row],[Total PoP ]]</f>
        <v>0</v>
      </c>
      <c r="CT238" s="801">
        <f>IF(WWWW[[#This Row],[Total required water points]]-WWWW[[#This Row],['#Water points coverage]]&lt;0,0,WWWW[[#This Row],[Total required water points]]-WWWW[[#This Row],['#Water points coverage]])</f>
        <v>0.68199999999999994</v>
      </c>
      <c r="CU238" s="801">
        <f>ROUND(IF(WWWW[[#This Row],[Total PoP ]]&lt;500,1,WWWW[[#This Row],[Total PoP ]]/500),0)</f>
        <v>1</v>
      </c>
      <c r="CV238" s="801">
        <f>(WWWW[[#This Row],['#_Constructed latrines_by_WASHAgencies]]+WWWW[[#This Row],['#_Non Cluster partner latrines]])-WWWW[[#This Row],['#_Non-functional latrines]]</f>
        <v>6</v>
      </c>
      <c r="CW238" s="804">
        <f>WWWW[[#This Row],[HRP2]]/WWWW[[#This Row],[Total PoP ]]</f>
        <v>0.75471698113207553</v>
      </c>
      <c r="CX23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23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8" s="473">
        <f>IF(WWWW[[#This Row],['# of functional latrines in THF supported by WASH partners during the reporting period2]]="",0,WWWW[[#This Row],['# of functional latrines in THF supported by WASH partners during the reporting period2]]*50)</f>
        <v>0</v>
      </c>
      <c r="DB238" s="473">
        <f>WWWW[[#This Row],['# students access to functioning school latrines_HRP5]]+WWWW[[#This Row],['# People access to functioning latrines in THF_HRP5]]</f>
        <v>0</v>
      </c>
      <c r="DC238" s="801">
        <f>ROUND(IF(WWWW[[#This Row],[Location Type 1]]="camp",WWWW[[#This Row],[Total PoP ]]/20,IF(WWWW[[#This Row],[Location Type 1]]="Temporary Location",WWWW[[#This Row],[Total PoP ]]/50,(WWWW[[#This Row],[Total PoP ]]/6))),0)</f>
        <v>8</v>
      </c>
      <c r="DD238" s="801">
        <f>IF(WWWW[[#This Row],[Total required Latrines]]-(WWWW[[#This Row],['#_Constructed latrines_by_WASHAgencies]]+WWWW[[#This Row],['#_Non Cluster partner latrines]])&lt;0,0,WWWW[[#This Row],[Total required Latrines]]-(WWWW[[#This Row],['#_Constructed latrines_by_WASHAgencies]]+WWWW[[#This Row],['#_Non Cluster partner latrines]]))</f>
        <v>2</v>
      </c>
      <c r="DE238" s="803">
        <f>1-WWWW[[#This Row],[% people access to functioning Latrine]]</f>
        <v>0.24528301886792447</v>
      </c>
      <c r="DF238" s="802">
        <f>IF(OR(WWWW[[#This Row],['#_Non-functional latrines]]="",WWWW[[#This Row],['#_Non-functional latrines]]=0),0,WWWW[[#This Row],['#_Non-functional latrines]]/(WWWW[[#This Row],['#_Constructed latrines_by_WASHAgencies]]+WWWW[[#This Row],['#_Non Cluster partner latrines]]))</f>
        <v>0</v>
      </c>
      <c r="DG238" s="798">
        <f>IF(500*(WWWW[[#This Row],['#_male hygiene promoters]]+WWWW[[#This Row],['#_female hygiene promoters]])&gt;WWWW[[#This Row],[Total PoP ]],WWWW[[#This Row],[Total PoP ]],500*(WWWW[[#This Row],['#_male hygiene promoters]]+WWWW[[#This Row],['#_female hygiene promoters]]))</f>
        <v>159</v>
      </c>
      <c r="DH23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8" s="801">
        <f>IF(WWWW[[#This Row],['# People with access to soap]]&gt;WWWW[[#This Row],['# People with access to Sanity Pads]],WWWW[[#This Row],['# People with access to soap]],WWWW[[#This Row],['# People with access to Sanity Pads]])</f>
        <v>0</v>
      </c>
      <c r="DK238" s="801">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L238" s="803">
        <f>IF(WWWW[[#This Row],[HRP3]]/WWWW[[#This Row],[Total PoP ]]&gt;1,1,WWWW[[#This Row],[HRP3]]/WWWW[[#This Row],[Total PoP ]])</f>
        <v>1</v>
      </c>
      <c r="DM238" s="802">
        <f>1-WWWW[[#This Row],[Hygiene Coverage%]]</f>
        <v>0</v>
      </c>
      <c r="DN238" s="800">
        <f>WWWW[[#This Row],['# people reached by regular dedicated hygiene promotion_5]]/WWWW[[#This Row],[Total PoP ]]</f>
        <v>1</v>
      </c>
      <c r="DO23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8" s="801">
        <f>WWWW[[#This Row],['#_Constructed/Existing hand washing stations]]-WWWW[[#This Row],['#_Non-Functional_hand_washing_stations]]</f>
        <v>2</v>
      </c>
      <c r="DR238" s="798">
        <f>IF(WWWW[[#This Row],['# Functional hand washing stations during reporting period]]*20&gt;WWWW[[#This Row],[Total HH]],WWWW[[#This Row],[Total HH]],WWWW[[#This Row],['# Functional hand washing stations during reporting period]]*20)</f>
        <v>28</v>
      </c>
      <c r="DS238" s="798">
        <f>IF(WWWW[[#This Row],[Is sufficient soap available for TLS? (Yes/No)]]="yes",WWWW[[#This Row],['#_Constructed/Existing hand washing stations at TLS]],0)</f>
        <v>0</v>
      </c>
      <c r="DT238" s="479">
        <f>IF(WWWW[[#This Row],['# Functional hand washing stations during reporting period]]*100&gt;WWWW[[#This Row],[Total PoP ]],WWWW[[#This Row],[Total PoP ]],WWWW[[#This Row],['# Functional hand washing stations during reporting period]]*100)</f>
        <v>159</v>
      </c>
      <c r="DU238" s="479" t="str">
        <f>IF(OR(WWWW[[#This Row],['#_students at TLS_CFS]]="",WWWW[[#This Row],['#_students at TLS_CFS]]=0),"No","Yes")</f>
        <v>No</v>
      </c>
      <c r="DV23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8" s="794" t="str">
        <f>VLOOKUP(WWWW[[#This Row],[Site Name]],SiteDB6[[Site Name]:[CCCM Management]],6,FALSE)</f>
        <v>Yes</v>
      </c>
      <c r="DZ238" s="794" t="str">
        <f>VLOOKUP(WWWW[[#This Row],[Site Name]],SiteDB6[[Site Name]:[CCCM Focal Agency]],7,FALSE)</f>
        <v>KBC-MYT</v>
      </c>
      <c r="EA238" s="794" t="str">
        <f>VLOOKUP(WWWW[[#This Row],[Site Name]],SiteDB6[[Site Name]:[Location Type 1]],9,FALSE)</f>
        <v>Camp</v>
      </c>
      <c r="EB238" s="794" t="str">
        <f>VLOOKUP(WWWW[[#This Row],[Site Name]],SiteDB6[[Site Name]:[Type of Accommodation]],10,FALSE)</f>
        <v>Camp</v>
      </c>
      <c r="EC238" s="794" t="str">
        <f>VLOOKUP(WWWW[[#This Row],[Site Name]],SiteDB6[[Site Name]:[Ethnic or GCA/NGCA]],11,FALSE)</f>
        <v>GCA</v>
      </c>
      <c r="ED238" s="794">
        <f>VLOOKUP(WWWW[[#This Row],[Site Name]],SiteDB6[[Site Name]:[Lat]],12,FALSE)</f>
        <v>25.356632000000001</v>
      </c>
      <c r="EE238" s="794">
        <f>VLOOKUP(WWWW[[#This Row],[Site Name]],SiteDB6[[Site Name]:[Long]],13,FALSE)</f>
        <v>97.451965000000001</v>
      </c>
      <c r="EF238" s="794" t="str">
        <f>VLOOKUP(WWWW[[#This Row],[Site Name]],SiteDB6[[Site Name]:[Pcode]],3,FALSE)</f>
        <v>MMR001CMP027</v>
      </c>
      <c r="EG238" s="799" t="str">
        <f t="shared" si="4"/>
        <v>Covered</v>
      </c>
      <c r="EH238" s="799" t="str">
        <f>VLOOKUP(WWWW[[#This Row],[Site Name]],Site_DB!$C$389:$D$1120,2,FALSE)</f>
        <v>cccm_2019OCT</v>
      </c>
    </row>
    <row r="239" spans="1:138" hidden="1">
      <c r="A239" s="792" t="s">
        <v>3262</v>
      </c>
      <c r="B239" s="792" t="s">
        <v>144</v>
      </c>
      <c r="C239" s="793" t="s">
        <v>144</v>
      </c>
      <c r="D239" s="793" t="s">
        <v>3280</v>
      </c>
      <c r="E239" s="793" t="s">
        <v>39</v>
      </c>
      <c r="F239" s="793" t="s">
        <v>187</v>
      </c>
      <c r="G239" s="721" t="str">
        <f>VLOOKUP(WWWW[[#This Row],[Site Name]],SiteDB6[[Site Name]:[Location Type]],8,FALSE)</f>
        <v>Camp</v>
      </c>
      <c r="H239" s="793" t="s">
        <v>190</v>
      </c>
      <c r="I239" s="795">
        <v>63</v>
      </c>
      <c r="J239" s="795">
        <v>325</v>
      </c>
      <c r="K239" s="796">
        <v>43475</v>
      </c>
      <c r="L239" s="797" t="s">
        <v>3281</v>
      </c>
      <c r="M239" s="795"/>
      <c r="N239" s="795"/>
      <c r="O239" s="795"/>
      <c r="P239" s="795"/>
      <c r="Q239" s="798" t="s">
        <v>43</v>
      </c>
      <c r="R239" s="795"/>
      <c r="S239" s="795"/>
      <c r="T239" s="523">
        <v>0</v>
      </c>
      <c r="U239" s="795"/>
      <c r="V239" s="795"/>
      <c r="W239" s="795">
        <v>0</v>
      </c>
      <c r="X239" s="795"/>
      <c r="Y239" s="795"/>
      <c r="Z239" s="795"/>
      <c r="AA239" s="795">
        <v>1</v>
      </c>
      <c r="AB239" s="795"/>
      <c r="AC239" s="795"/>
      <c r="AD239" s="795"/>
      <c r="AE239" s="795"/>
      <c r="AF239" s="795"/>
      <c r="AG239" s="795"/>
      <c r="AH239" s="795">
        <v>0</v>
      </c>
      <c r="AI239" s="795"/>
      <c r="AJ239" s="795"/>
      <c r="AK239" s="795"/>
      <c r="AL239" s="795"/>
      <c r="AM239" s="795"/>
      <c r="AN239" s="795"/>
      <c r="AO239" s="799"/>
      <c r="AP239" s="795">
        <v>65</v>
      </c>
      <c r="AQ239" s="795"/>
      <c r="AR239" s="800"/>
      <c r="AS239" s="795"/>
      <c r="AT239" s="795"/>
      <c r="AU239" s="795"/>
      <c r="AV239" s="795"/>
      <c r="AW239" s="795">
        <v>65</v>
      </c>
      <c r="AX239" s="794" t="s">
        <v>43</v>
      </c>
      <c r="AY239" s="799" t="s">
        <v>140</v>
      </c>
      <c r="AZ239" s="795"/>
      <c r="BA239" s="795"/>
      <c r="BB239" s="795"/>
      <c r="BC239" s="523"/>
      <c r="BD239" s="523"/>
      <c r="BE239" s="794"/>
      <c r="BF239" s="795">
        <v>65</v>
      </c>
      <c r="BG239" s="795"/>
      <c r="BH239" s="795"/>
      <c r="BI239" s="795">
        <v>0</v>
      </c>
      <c r="BJ239" s="795"/>
      <c r="BK239" s="795"/>
      <c r="BL239" s="795">
        <v>2</v>
      </c>
      <c r="BM239" s="795"/>
      <c r="BN239" s="795"/>
      <c r="BO239" s="794"/>
      <c r="BP239" s="801"/>
      <c r="BQ239" s="800"/>
      <c r="BR239" s="794"/>
      <c r="BS239" s="472"/>
      <c r="BT239" s="472"/>
      <c r="BU239" s="523"/>
      <c r="BV239" s="472"/>
      <c r="BW239" s="523"/>
      <c r="BX239" s="523"/>
      <c r="BY239" s="523"/>
      <c r="BZ239" s="802" t="str">
        <f>IFERROR(WWWW[[#This Row],['#_Water sources passed]]/WWWW[[#This Row],['#_Water sources tested for fecal coliform ]],"no test")</f>
        <v>no test</v>
      </c>
      <c r="CA239" s="800" t="str">
        <f>IFERROR(WWWW[[#This Row],['#_Household passed]]/WWWW[[#This Row],['#_Household water samples tested for fecal coliform]],"no test")</f>
        <v>no test</v>
      </c>
      <c r="CB239" s="801" t="str">
        <f>IF(AND(WWWW[[#This Row],[% of water sources passed]]="no test",WWWW[[#This Row],[% Household passed]]="no test"),"No Test","Tested")</f>
        <v>No Test</v>
      </c>
      <c r="CC239" s="801">
        <f>WWWW[[#This Row],['#_Constructed/existing protected hand dug well]]-WWWW[[#This Row],['#_Non-functional protected hand dug well]]</f>
        <v>0</v>
      </c>
      <c r="CD239" s="801">
        <f>(WWWW[[#This Row],['#_Constructed/Existing tube wells/boreholes/handpumps_WASH_agency]]+WWWW[[#This Row],['#_Non-Cluster partner water tube-wells/boreholes/handpumps]])-WWWW[[#This Row],['#_Non-functional tube wells/boreholes/handpumps]]</f>
        <v>0</v>
      </c>
      <c r="CE239" s="801">
        <f>WWWW[[#This Row],['#_Constructed/Existingwater storage tank with gravity fed reticulation system]]-WWWW[[#This Row],['#_Non-functional storage tank gravity fed reticulation system]]</f>
        <v>1</v>
      </c>
      <c r="CF239" s="801">
        <f>(WWWW[[#This Row],['#_Water_Liters_supplied_by_Water boating or water trucking]]/90)/15</f>
        <v>0</v>
      </c>
      <c r="CG239" s="801">
        <f>WWWW[[#This Row],['#_Water_Liters_from_Constructed/Existing water distribution system from river or natural spring]]/90/15</f>
        <v>0</v>
      </c>
      <c r="CH239" s="473">
        <f>WWWW[[#This Row],['#_of water points in TLS/CFS /THF]]*500</f>
        <v>0</v>
      </c>
      <c r="CI23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0.20512820512820515</v>
      </c>
      <c r="CJ23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0.20512820512820515</v>
      </c>
      <c r="CK239" s="800">
        <f>IF(WWWW[[#This Row],[Location Type 1]]="Village",WWWW[[#This Row],[Access to safe drinking water for Village]],WWWW[[#This Row],[Access to safe drinking water for Camp]])</f>
        <v>0.20512820512820515</v>
      </c>
      <c r="CL239" s="798">
        <f>WWWW[[#This Row],[%Equitable and continuous access to sufficient quantity of safe drinking water]]*WWWW[[#This Row],[Total PoP ]]</f>
        <v>66.666666666666671</v>
      </c>
      <c r="CM239" s="800">
        <f>IF((WWWW[[#This Row],['#_Constructed/Existing protected/fenced ponds]]*250)/WWWW[[#This Row],[Total PoP ]]&gt;1,1,(WWWW[[#This Row],['#_Constructed/Existing protected/fenced ponds]]*250)/WWWW[[#This Row],[Total PoP ]])</f>
        <v>0</v>
      </c>
      <c r="CN239" s="798">
        <f>WWWW[[#This Row],[% Access to unimproved water points]]*WWWW[[#This Row],[Total PoP ]]</f>
        <v>0</v>
      </c>
      <c r="CO23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0.20512820512820515</v>
      </c>
      <c r="CP23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39" s="798">
        <f>WWWW[[#This Row],[HRP1]]/500</f>
        <v>0.13333333333333333</v>
      </c>
      <c r="CR239" s="803">
        <f>1-WWWW[[#This Row],[% Equitable and continuous access to sufficient quantity of domestic water]]</f>
        <v>0.79487179487179482</v>
      </c>
      <c r="CS239" s="798">
        <f>WWWW[[#This Row],[%equitable and continuous access to sufficient quantity of safe drinking and domestic water''s GAP]]*WWWW[[#This Row],[Total PoP ]]</f>
        <v>258.33333333333331</v>
      </c>
      <c r="CT239" s="801">
        <f>IF(WWWW[[#This Row],[Total required water points]]-WWWW[[#This Row],['#Water points coverage]]&lt;0,0,WWWW[[#This Row],[Total required water points]]-WWWW[[#This Row],['#Water points coverage]])</f>
        <v>0.8666666666666667</v>
      </c>
      <c r="CU239" s="801">
        <f>ROUND(IF(WWWW[[#This Row],[Total PoP ]]&lt;500,1,WWWW[[#This Row],[Total PoP ]]/500),0)</f>
        <v>1</v>
      </c>
      <c r="CV239" s="801">
        <f>(WWWW[[#This Row],['#_Constructed latrines_by_WASHAgencies]]+WWWW[[#This Row],['#_Non Cluster partner latrines]])-WWWW[[#This Row],['#_Non-functional latrines]]</f>
        <v>65</v>
      </c>
      <c r="CW239" s="804">
        <f>WWWW[[#This Row],[HRP2]]/WWWW[[#This Row],[Total PoP ]]</f>
        <v>1</v>
      </c>
      <c r="CX23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CY23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3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39" s="473">
        <f>IF(WWWW[[#This Row],['# of functional latrines in THF supported by WASH partners during the reporting period2]]="",0,WWWW[[#This Row],['# of functional latrines in THF supported by WASH partners during the reporting period2]]*50)</f>
        <v>0</v>
      </c>
      <c r="DB239" s="473">
        <f>WWWW[[#This Row],['# students access to functioning school latrines_HRP5]]+WWWW[[#This Row],['# People access to functioning latrines in THF_HRP5]]</f>
        <v>0</v>
      </c>
      <c r="DC239" s="801">
        <f>ROUND(IF(WWWW[[#This Row],[Location Type 1]]="camp",WWWW[[#This Row],[Total PoP ]]/20,IF(WWWW[[#This Row],[Location Type 1]]="Temporary Location",WWWW[[#This Row],[Total PoP ]]/50,(WWWW[[#This Row],[Total PoP ]]/6))),0)</f>
        <v>16</v>
      </c>
      <c r="DD239" s="801">
        <f>IF(WWWW[[#This Row],[Total required Latrines]]-(WWWW[[#This Row],['#_Constructed latrines_by_WASHAgencies]]+WWWW[[#This Row],['#_Non Cluster partner latrines]])&lt;0,0,WWWW[[#This Row],[Total required Latrines]]-(WWWW[[#This Row],['#_Constructed latrines_by_WASHAgencies]]+WWWW[[#This Row],['#_Non Cluster partner latrines]]))</f>
        <v>0</v>
      </c>
      <c r="DE239" s="803">
        <f>1-WWWW[[#This Row],[% people access to functioning Latrine]]</f>
        <v>0</v>
      </c>
      <c r="DF239" s="802">
        <f>IF(OR(WWWW[[#This Row],['#_Non-functional latrines]]="",WWWW[[#This Row],['#_Non-functional latrines]]=0),0,WWWW[[#This Row],['#_Non-functional latrines]]/(WWWW[[#This Row],['#_Constructed latrines_by_WASHAgencies]]+WWWW[[#This Row],['#_Non Cluster partner latrines]]))</f>
        <v>0</v>
      </c>
      <c r="DG239" s="798">
        <f>IF(500*(WWWW[[#This Row],['#_male hygiene promoters]]+WWWW[[#This Row],['#_female hygiene promoters]])&gt;WWWW[[#This Row],[Total PoP ]],WWWW[[#This Row],[Total PoP ]],500*(WWWW[[#This Row],['#_male hygiene promoters]]+WWWW[[#This Row],['#_female hygiene promoters]]))</f>
        <v>325</v>
      </c>
      <c r="DH23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3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39" s="801">
        <f>IF(WWWW[[#This Row],['# People with access to soap]]&gt;WWWW[[#This Row],['# People with access to Sanity Pads]],WWWW[[#This Row],['# People with access to soap]],WWWW[[#This Row],['# People with access to Sanity Pads]])</f>
        <v>0</v>
      </c>
      <c r="DK239" s="801">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L239" s="803">
        <f>IF(WWWW[[#This Row],[HRP3]]/WWWW[[#This Row],[Total PoP ]]&gt;1,1,WWWW[[#This Row],[HRP3]]/WWWW[[#This Row],[Total PoP ]])</f>
        <v>1</v>
      </c>
      <c r="DM239" s="802">
        <f>1-WWWW[[#This Row],[Hygiene Coverage%]]</f>
        <v>0</v>
      </c>
      <c r="DN239" s="800">
        <f>WWWW[[#This Row],['# people reached by regular dedicated hygiene promotion_5]]/WWWW[[#This Row],[Total PoP ]]</f>
        <v>1</v>
      </c>
      <c r="DO23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3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39" s="801">
        <f>WWWW[[#This Row],['#_Constructed/Existing hand washing stations]]-WWWW[[#This Row],['#_Non-Functional_hand_washing_stations]]</f>
        <v>65</v>
      </c>
      <c r="DR239" s="798">
        <f>IF(WWWW[[#This Row],['# Functional hand washing stations during reporting period]]*20&gt;WWWW[[#This Row],[Total HH]],WWWW[[#This Row],[Total HH]],WWWW[[#This Row],['# Functional hand washing stations during reporting period]]*20)</f>
        <v>63</v>
      </c>
      <c r="DS239" s="798">
        <f>IF(WWWW[[#This Row],[Is sufficient soap available for TLS? (Yes/No)]]="yes",WWWW[[#This Row],['#_Constructed/Existing hand washing stations at TLS]],0)</f>
        <v>0</v>
      </c>
      <c r="DT239" s="479">
        <f>IF(WWWW[[#This Row],['# Functional hand washing stations during reporting period]]*100&gt;WWWW[[#This Row],[Total PoP ]],WWWW[[#This Row],[Total PoP ]],WWWW[[#This Row],['# Functional hand washing stations during reporting period]]*100)</f>
        <v>325</v>
      </c>
      <c r="DU239" s="479" t="str">
        <f>IF(OR(WWWW[[#This Row],['#_students at TLS_CFS]]="",WWWW[[#This Row],['#_students at TLS_CFS]]=0),"No","Yes")</f>
        <v>No</v>
      </c>
      <c r="DV23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39" s="794" t="str">
        <f>VLOOKUP(WWWW[[#This Row],[Site Name]],SiteDB6[[Site Name]:[CCCM Management]],6,FALSE)</f>
        <v>Yes</v>
      </c>
      <c r="DZ239" s="794" t="str">
        <f>VLOOKUP(WWWW[[#This Row],[Site Name]],SiteDB6[[Site Name]:[CCCM Focal Agency]],7,FALSE)</f>
        <v>KBC-MYT</v>
      </c>
      <c r="EA239" s="794" t="str">
        <f>VLOOKUP(WWWW[[#This Row],[Site Name]],SiteDB6[[Site Name]:[Location Type 1]],9,FALSE)</f>
        <v>Camp</v>
      </c>
      <c r="EB239" s="794" t="str">
        <f>VLOOKUP(WWWW[[#This Row],[Site Name]],SiteDB6[[Site Name]:[Type of Accommodation]],10,FALSE)</f>
        <v>Camp</v>
      </c>
      <c r="EC239" s="794" t="str">
        <f>VLOOKUP(WWWW[[#This Row],[Site Name]],SiteDB6[[Site Name]:[Ethnic or GCA/NGCA]],11,FALSE)</f>
        <v>NGCA</v>
      </c>
      <c r="ED239" s="794">
        <f>VLOOKUP(WWWW[[#This Row],[Site Name]],SiteDB6[[Site Name]:[Lat]],12,FALSE)</f>
        <v>26.548506</v>
      </c>
      <c r="EE239" s="794">
        <f>VLOOKUP(WWWW[[#This Row],[Site Name]],SiteDB6[[Site Name]:[Long]],13,FALSE)</f>
        <v>97.75609</v>
      </c>
      <c r="EF239" s="794" t="str">
        <f>VLOOKUP(WWWW[[#This Row],[Site Name]],SiteDB6[[Site Name]:[Pcode]],3,FALSE)</f>
        <v>MMR001CMP239</v>
      </c>
      <c r="EG239" s="799" t="str">
        <f t="shared" ref="EG239:EG270" si="5">IF(C239="none","Notcovered","Covered")</f>
        <v>Covered</v>
      </c>
      <c r="EH239" s="799" t="str">
        <f>VLOOKUP(WWWW[[#This Row],[Site Name]],Site_DB!$C$389:$D$1120,2,FALSE)</f>
        <v>cccm_2019OCT</v>
      </c>
    </row>
    <row r="240" spans="1:138" hidden="1">
      <c r="A240" s="792" t="s">
        <v>3262</v>
      </c>
      <c r="B240" s="792" t="s">
        <v>144</v>
      </c>
      <c r="C240" s="793" t="s">
        <v>144</v>
      </c>
      <c r="D240" s="793" t="s">
        <v>3277</v>
      </c>
      <c r="E240" s="793" t="s">
        <v>39</v>
      </c>
      <c r="F240" s="793" t="s">
        <v>155</v>
      </c>
      <c r="G240" s="721" t="str">
        <f>VLOOKUP(WWWW[[#This Row],[Site Name]],SiteDB6[[Site Name]:[Location Type]],8,FALSE)</f>
        <v>Camp</v>
      </c>
      <c r="H240" s="793" t="s">
        <v>159</v>
      </c>
      <c r="I240" s="795">
        <v>28</v>
      </c>
      <c r="J240" s="795">
        <v>136</v>
      </c>
      <c r="K240" s="796" t="s">
        <v>3278</v>
      </c>
      <c r="L240" s="797" t="s">
        <v>3279</v>
      </c>
      <c r="M240" s="795"/>
      <c r="N240" s="795"/>
      <c r="O240" s="795"/>
      <c r="P240" s="795"/>
      <c r="Q240" s="798" t="s">
        <v>43</v>
      </c>
      <c r="R240" s="795"/>
      <c r="S240" s="795">
        <v>4</v>
      </c>
      <c r="T240" s="523">
        <v>1</v>
      </c>
      <c r="U240" s="795"/>
      <c r="V240" s="795"/>
      <c r="W240" s="795">
        <v>1</v>
      </c>
      <c r="X240" s="795"/>
      <c r="Y240" s="795"/>
      <c r="Z240" s="795"/>
      <c r="AA240" s="795"/>
      <c r="AB240" s="795"/>
      <c r="AC240" s="795"/>
      <c r="AD240" s="795"/>
      <c r="AE240" s="795"/>
      <c r="AF240" s="795"/>
      <c r="AG240" s="795"/>
      <c r="AH240" s="795">
        <v>3</v>
      </c>
      <c r="AI240" s="795"/>
      <c r="AJ240" s="795"/>
      <c r="AK240" s="795"/>
      <c r="AL240" s="795"/>
      <c r="AM240" s="795"/>
      <c r="AN240" s="795"/>
      <c r="AO240" s="799"/>
      <c r="AP240" s="795">
        <v>12</v>
      </c>
      <c r="AQ240" s="795"/>
      <c r="AR240" s="800"/>
      <c r="AS240" s="795"/>
      <c r="AT240" s="795"/>
      <c r="AU240" s="795"/>
      <c r="AV240" s="795"/>
      <c r="AW240" s="795">
        <v>12</v>
      </c>
      <c r="AX240" s="794" t="s">
        <v>43</v>
      </c>
      <c r="AY240" s="799" t="s">
        <v>1195</v>
      </c>
      <c r="AZ240" s="795"/>
      <c r="BA240" s="795"/>
      <c r="BB240" s="795"/>
      <c r="BC240" s="523"/>
      <c r="BD240" s="523"/>
      <c r="BE240" s="794"/>
      <c r="BF240" s="795">
        <v>6</v>
      </c>
      <c r="BG240" s="795"/>
      <c r="BH240" s="795"/>
      <c r="BI240" s="795">
        <v>2</v>
      </c>
      <c r="BJ240" s="795"/>
      <c r="BK240" s="795"/>
      <c r="BL240" s="795">
        <v>1</v>
      </c>
      <c r="BM240" s="795"/>
      <c r="BN240" s="795"/>
      <c r="BO240" s="794"/>
      <c r="BP240" s="801"/>
      <c r="BQ240" s="800"/>
      <c r="BR240" s="794"/>
      <c r="BS240" s="472"/>
      <c r="BT240" s="472"/>
      <c r="BU240" s="523"/>
      <c r="BV240" s="472"/>
      <c r="BW240" s="523"/>
      <c r="BX240" s="523"/>
      <c r="BY240" s="523"/>
      <c r="BZ240" s="802" t="str">
        <f>IFERROR(WWWW[[#This Row],['#_Water sources passed]]/WWWW[[#This Row],['#_Water sources tested for fecal coliform ]],"no test")</f>
        <v>no test</v>
      </c>
      <c r="CA240" s="800" t="str">
        <f>IFERROR(WWWW[[#This Row],['#_Household passed]]/WWWW[[#This Row],['#_Household water samples tested for fecal coliform]],"no test")</f>
        <v>no test</v>
      </c>
      <c r="CB240" s="801" t="str">
        <f>IF(AND(WWWW[[#This Row],[% of water sources passed]]="no test",WWWW[[#This Row],[% Household passed]]="no test"),"No Test","Tested")</f>
        <v>No Test</v>
      </c>
      <c r="CC240" s="801">
        <f>WWWW[[#This Row],['#_Constructed/existing protected hand dug well]]-WWWW[[#This Row],['#_Non-functional protected hand dug well]]</f>
        <v>1</v>
      </c>
      <c r="CD240" s="801">
        <f>(WWWW[[#This Row],['#_Constructed/Existing tube wells/boreholes/handpumps_WASH_agency]]+WWWW[[#This Row],['#_Non-Cluster partner water tube-wells/boreholes/handpumps]])-WWWW[[#This Row],['#_Non-functional tube wells/boreholes/handpumps]]</f>
        <v>1</v>
      </c>
      <c r="CE240" s="801">
        <f>WWWW[[#This Row],['#_Constructed/Existingwater storage tank with gravity fed reticulation system]]-WWWW[[#This Row],['#_Non-functional storage tank gravity fed reticulation system]]</f>
        <v>0</v>
      </c>
      <c r="CF240" s="801">
        <f>(WWWW[[#This Row],['#_Water_Liters_supplied_by_Water boating or water trucking]]/90)/15</f>
        <v>0</v>
      </c>
      <c r="CG240" s="801">
        <f>WWWW[[#This Row],['#_Water_Liters_from_Constructed/Existing water distribution system from river or natural spring]]/90/15</f>
        <v>0</v>
      </c>
      <c r="CH240" s="473">
        <f>WWWW[[#This Row],['#_of water points in TLS/CFS /THF]]*500</f>
        <v>0</v>
      </c>
      <c r="CI24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0" s="800">
        <f>IF(WWWW[[#This Row],[Location Type 1]]="Village",WWWW[[#This Row],[Access to safe drinking water for Village]],WWWW[[#This Row],[Access to safe drinking water for Camp]])</f>
        <v>1</v>
      </c>
      <c r="CL240" s="798">
        <f>WWWW[[#This Row],[%Equitable and continuous access to sufficient quantity of safe drinking water]]*WWWW[[#This Row],[Total PoP ]]</f>
        <v>136</v>
      </c>
      <c r="CM240" s="800">
        <f>IF((WWWW[[#This Row],['#_Constructed/Existing protected/fenced ponds]]*250)/WWWW[[#This Row],[Total PoP ]]&gt;1,1,(WWWW[[#This Row],['#_Constructed/Existing protected/fenced ponds]]*250)/WWWW[[#This Row],[Total PoP ]])</f>
        <v>0</v>
      </c>
      <c r="CN240" s="798">
        <f>WWWW[[#This Row],[% Access to unimproved water points]]*WWWW[[#This Row],[Total PoP ]]</f>
        <v>0</v>
      </c>
      <c r="CO24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Q240" s="798">
        <f>WWWW[[#This Row],[HRP1]]/500</f>
        <v>0.27200000000000002</v>
      </c>
      <c r="CR240" s="803">
        <f>1-WWWW[[#This Row],[% Equitable and continuous access to sufficient quantity of domestic water]]</f>
        <v>0</v>
      </c>
      <c r="CS240" s="798">
        <f>WWWW[[#This Row],[%equitable and continuous access to sufficient quantity of safe drinking and domestic water''s GAP]]*WWWW[[#This Row],[Total PoP ]]</f>
        <v>0</v>
      </c>
      <c r="CT240" s="801">
        <f>IF(WWWW[[#This Row],[Total required water points]]-WWWW[[#This Row],['#Water points coverage]]&lt;0,0,WWWW[[#This Row],[Total required water points]]-WWWW[[#This Row],['#Water points coverage]])</f>
        <v>0.72799999999999998</v>
      </c>
      <c r="CU240" s="801">
        <f>ROUND(IF(WWWW[[#This Row],[Total PoP ]]&lt;500,1,WWWW[[#This Row],[Total PoP ]]/500),0)</f>
        <v>1</v>
      </c>
      <c r="CV240" s="801">
        <f>(WWWW[[#This Row],['#_Constructed latrines_by_WASHAgencies]]+WWWW[[#This Row],['#_Non Cluster partner latrines]])-WWWW[[#This Row],['#_Non-functional latrines]]</f>
        <v>12</v>
      </c>
      <c r="CW240" s="804">
        <f>WWWW[[#This Row],[HRP2]]/WWWW[[#This Row],[Total PoP ]]</f>
        <v>1</v>
      </c>
      <c r="CX24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CY24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0" s="473">
        <f>IF(WWWW[[#This Row],['# of functional latrines in THF supported by WASH partners during the reporting period2]]="",0,WWWW[[#This Row],['# of functional latrines in THF supported by WASH partners during the reporting period2]]*50)</f>
        <v>0</v>
      </c>
      <c r="DB240" s="473">
        <f>WWWW[[#This Row],['# students access to functioning school latrines_HRP5]]+WWWW[[#This Row],['# People access to functioning latrines in THF_HRP5]]</f>
        <v>0</v>
      </c>
      <c r="DC240" s="801">
        <f>ROUND(IF(WWWW[[#This Row],[Location Type 1]]="camp",WWWW[[#This Row],[Total PoP ]]/20,IF(WWWW[[#This Row],[Location Type 1]]="Temporary Location",WWWW[[#This Row],[Total PoP ]]/50,(WWWW[[#This Row],[Total PoP ]]/6))),0)</f>
        <v>7</v>
      </c>
      <c r="DD240" s="801">
        <f>IF(WWWW[[#This Row],[Total required Latrines]]-(WWWW[[#This Row],['#_Constructed latrines_by_WASHAgencies]]+WWWW[[#This Row],['#_Non Cluster partner latrines]])&lt;0,0,WWWW[[#This Row],[Total required Latrines]]-(WWWW[[#This Row],['#_Constructed latrines_by_WASHAgencies]]+WWWW[[#This Row],['#_Non Cluster partner latrines]]))</f>
        <v>0</v>
      </c>
      <c r="DE240" s="803">
        <f>1-WWWW[[#This Row],[% people access to functioning Latrine]]</f>
        <v>0</v>
      </c>
      <c r="DF240" s="802">
        <f>IF(OR(WWWW[[#This Row],['#_Non-functional latrines]]="",WWWW[[#This Row],['#_Non-functional latrines]]=0),0,WWWW[[#This Row],['#_Non-functional latrines]]/(WWWW[[#This Row],['#_Constructed latrines_by_WASHAgencies]]+WWWW[[#This Row],['#_Non Cluster partner latrines]]))</f>
        <v>0</v>
      </c>
      <c r="DG240" s="798">
        <f>IF(500*(WWWW[[#This Row],['#_male hygiene promoters]]+WWWW[[#This Row],['#_female hygiene promoters]])&gt;WWWW[[#This Row],[Total PoP ]],WWWW[[#This Row],[Total PoP ]],500*(WWWW[[#This Row],['#_male hygiene promoters]]+WWWW[[#This Row],['#_female hygiene promoters]]))</f>
        <v>136</v>
      </c>
      <c r="DH24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0" s="801">
        <f>IF(WWWW[[#This Row],['# People with access to soap]]&gt;WWWW[[#This Row],['# People with access to Sanity Pads]],WWWW[[#This Row],['# People with access to soap]],WWWW[[#This Row],['# People with access to Sanity Pads]])</f>
        <v>0</v>
      </c>
      <c r="DK240" s="801">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L240" s="803">
        <f>IF(WWWW[[#This Row],[HRP3]]/WWWW[[#This Row],[Total PoP ]]&gt;1,1,WWWW[[#This Row],[HRP3]]/WWWW[[#This Row],[Total PoP ]])</f>
        <v>1</v>
      </c>
      <c r="DM240" s="802">
        <f>1-WWWW[[#This Row],[Hygiene Coverage%]]</f>
        <v>0</v>
      </c>
      <c r="DN240" s="800">
        <f>WWWW[[#This Row],['# people reached by regular dedicated hygiene promotion_5]]/WWWW[[#This Row],[Total PoP ]]</f>
        <v>1</v>
      </c>
      <c r="DO24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0" s="801">
        <f>WWWW[[#This Row],['#_Constructed/Existing hand washing stations]]-WWWW[[#This Row],['#_Non-Functional_hand_washing_stations]]</f>
        <v>6</v>
      </c>
      <c r="DR240" s="798">
        <f>IF(WWWW[[#This Row],['# Functional hand washing stations during reporting period]]*20&gt;WWWW[[#This Row],[Total HH]],WWWW[[#This Row],[Total HH]],WWWW[[#This Row],['# Functional hand washing stations during reporting period]]*20)</f>
        <v>28</v>
      </c>
      <c r="DS240" s="798">
        <f>IF(WWWW[[#This Row],[Is sufficient soap available for TLS? (Yes/No)]]="yes",WWWW[[#This Row],['#_Constructed/Existing hand washing stations at TLS]],0)</f>
        <v>0</v>
      </c>
      <c r="DT240" s="479">
        <f>IF(WWWW[[#This Row],['# Functional hand washing stations during reporting period]]*100&gt;WWWW[[#This Row],[Total PoP ]],WWWW[[#This Row],[Total PoP ]],WWWW[[#This Row],['# Functional hand washing stations during reporting period]]*100)</f>
        <v>136</v>
      </c>
      <c r="DU240" s="479" t="str">
        <f>IF(OR(WWWW[[#This Row],['#_students at TLS_CFS]]="",WWWW[[#This Row],['#_students at TLS_CFS]]=0),"No","Yes")</f>
        <v>No</v>
      </c>
      <c r="DV24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0" s="794" t="str">
        <f>VLOOKUP(WWWW[[#This Row],[Site Name]],SiteDB6[[Site Name]:[CCCM Management]],6,FALSE)</f>
        <v>Yes</v>
      </c>
      <c r="DZ240" s="794" t="str">
        <f>VLOOKUP(WWWW[[#This Row],[Site Name]],SiteDB6[[Site Name]:[CCCM Focal Agency]],7,FALSE)</f>
        <v>KBC-MYT</v>
      </c>
      <c r="EA240" s="794" t="str">
        <f>VLOOKUP(WWWW[[#This Row],[Site Name]],SiteDB6[[Site Name]:[Location Type 1]],9,FALSE)</f>
        <v>Camp</v>
      </c>
      <c r="EB240" s="794" t="str">
        <f>VLOOKUP(WWWW[[#This Row],[Site Name]],SiteDB6[[Site Name]:[Type of Accommodation]],10,FALSE)</f>
        <v>Camp</v>
      </c>
      <c r="EC240" s="794" t="str">
        <f>VLOOKUP(WWWW[[#This Row],[Site Name]],SiteDB6[[Site Name]:[Ethnic or GCA/NGCA]],11,FALSE)</f>
        <v>GCA</v>
      </c>
      <c r="ED240" s="794">
        <f>VLOOKUP(WWWW[[#This Row],[Site Name]],SiteDB6[[Site Name]:[Lat]],12,FALSE)</f>
        <v>25.225000000000001</v>
      </c>
      <c r="EE240" s="794">
        <f>VLOOKUP(WWWW[[#This Row],[Site Name]],SiteDB6[[Site Name]:[Long]],13,FALSE)</f>
        <v>96.793999999999997</v>
      </c>
      <c r="EF240" s="794" t="str">
        <f>VLOOKUP(WWWW[[#This Row],[Site Name]],SiteDB6[[Site Name]:[Pcode]],3,FALSE)</f>
        <v>MMR001CMP236</v>
      </c>
      <c r="EG240" s="799" t="str">
        <f t="shared" si="5"/>
        <v>Covered</v>
      </c>
      <c r="EH240" s="799" t="str">
        <f>VLOOKUP(WWWW[[#This Row],[Site Name]],Site_DB!$C$389:$D$1120,2,FALSE)</f>
        <v>cccm_2019OCT</v>
      </c>
    </row>
    <row r="241" spans="1:138" hidden="1">
      <c r="A241" s="792" t="s">
        <v>3262</v>
      </c>
      <c r="B241" s="792" t="s">
        <v>312</v>
      </c>
      <c r="C241" s="793" t="s">
        <v>312</v>
      </c>
      <c r="D241" s="793"/>
      <c r="E241" s="793" t="s">
        <v>39</v>
      </c>
      <c r="F241" s="793" t="s">
        <v>145</v>
      </c>
      <c r="G241" s="721" t="str">
        <f>VLOOKUP(WWWW[[#This Row],[Site Name]],SiteDB6[[Site Name]:[Location Type]],8,FALSE)</f>
        <v>Camp</v>
      </c>
      <c r="H241" s="793" t="s">
        <v>180</v>
      </c>
      <c r="I241" s="795">
        <v>407</v>
      </c>
      <c r="J241" s="795">
        <v>1801</v>
      </c>
      <c r="K241" s="796"/>
      <c r="L241" s="797"/>
      <c r="M241" s="795">
        <v>218</v>
      </c>
      <c r="N241" s="795"/>
      <c r="O241" s="795"/>
      <c r="P241" s="795"/>
      <c r="Q241" s="798" t="s">
        <v>43</v>
      </c>
      <c r="R241" s="795"/>
      <c r="S241" s="795">
        <v>5</v>
      </c>
      <c r="T241" s="523"/>
      <c r="U241" s="795"/>
      <c r="V241" s="795"/>
      <c r="W241" s="795"/>
      <c r="X241" s="795"/>
      <c r="Y241" s="795"/>
      <c r="Z241" s="795"/>
      <c r="AA241" s="795">
        <v>6</v>
      </c>
      <c r="AB241" s="795"/>
      <c r="AC241" s="795"/>
      <c r="AD241" s="795"/>
      <c r="AE241" s="795"/>
      <c r="AF241" s="795"/>
      <c r="AG241" s="795"/>
      <c r="AH241" s="795"/>
      <c r="AI241" s="795"/>
      <c r="AJ241" s="795"/>
      <c r="AK241" s="795"/>
      <c r="AL241" s="795"/>
      <c r="AM241" s="795"/>
      <c r="AN241" s="795"/>
      <c r="AO241" s="799"/>
      <c r="AP241" s="795">
        <v>407</v>
      </c>
      <c r="AQ241" s="795"/>
      <c r="AR241" s="800"/>
      <c r="AS241" s="795"/>
      <c r="AT241" s="795"/>
      <c r="AU241" s="795"/>
      <c r="AV241" s="795"/>
      <c r="AW241" s="795"/>
      <c r="AX241" s="794" t="s">
        <v>43</v>
      </c>
      <c r="AY241" s="799" t="s">
        <v>140</v>
      </c>
      <c r="AZ241" s="795">
        <v>3</v>
      </c>
      <c r="BA241" s="795"/>
      <c r="BB241" s="795"/>
      <c r="BC241" s="523"/>
      <c r="BD241" s="523"/>
      <c r="BE241" s="794"/>
      <c r="BF241" s="795">
        <v>400</v>
      </c>
      <c r="BG241" s="795"/>
      <c r="BH241" s="795"/>
      <c r="BI241" s="795"/>
      <c r="BJ241" s="795"/>
      <c r="BK241" s="795"/>
      <c r="BL241" s="795"/>
      <c r="BM241" s="795"/>
      <c r="BN241" s="795"/>
      <c r="BO241" s="794"/>
      <c r="BP241" s="801"/>
      <c r="BQ241" s="800"/>
      <c r="BR241" s="794"/>
      <c r="BS241" s="472"/>
      <c r="BT241" s="472"/>
      <c r="BU241" s="720"/>
      <c r="BV241" s="472"/>
      <c r="BW241" s="523"/>
      <c r="BX241" s="523"/>
      <c r="BY241" s="523"/>
      <c r="BZ241" s="802" t="str">
        <f>IFERROR(WWWW[[#This Row],['#_Water sources passed]]/WWWW[[#This Row],['#_Water sources tested for fecal coliform ]],"no test")</f>
        <v>no test</v>
      </c>
      <c r="CA241" s="800" t="str">
        <f>IFERROR(WWWW[[#This Row],['#_Household passed]]/WWWW[[#This Row],['#_Household water samples tested for fecal coliform]],"no test")</f>
        <v>no test</v>
      </c>
      <c r="CB241" s="801" t="str">
        <f>IF(AND(WWWW[[#This Row],[% of water sources passed]]="no test",WWWW[[#This Row],[% Household passed]]="no test"),"No Test","Tested")</f>
        <v>No Test</v>
      </c>
      <c r="CC241" s="801">
        <f>WWWW[[#This Row],['#_Constructed/existing protected hand dug well]]-WWWW[[#This Row],['#_Non-functional protected hand dug well]]</f>
        <v>0</v>
      </c>
      <c r="CD241" s="801">
        <f>(WWWW[[#This Row],['#_Constructed/Existing tube wells/boreholes/handpumps_WASH_agency]]+WWWW[[#This Row],['#_Non-Cluster partner water tube-wells/boreholes/handpumps]])-WWWW[[#This Row],['#_Non-functional tube wells/boreholes/handpumps]]</f>
        <v>0</v>
      </c>
      <c r="CE241" s="801">
        <f>WWWW[[#This Row],['#_Constructed/Existingwater storage tank with gravity fed reticulation system]]-WWWW[[#This Row],['#_Non-functional storage tank gravity fed reticulation system]]</f>
        <v>6</v>
      </c>
      <c r="CF241" s="801">
        <f>(WWWW[[#This Row],['#_Water_Liters_supplied_by_Water boating or water trucking]]/90)/15</f>
        <v>0</v>
      </c>
      <c r="CG241" s="801">
        <f>WWWW[[#This Row],['#_Water_Liters_from_Constructed/Existing water distribution system from river or natural spring]]/90/15</f>
        <v>0</v>
      </c>
      <c r="CH241" s="473">
        <f>WWWW[[#This Row],['#_of water points in TLS/CFS /THF]]*500</f>
        <v>0</v>
      </c>
      <c r="CI24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0.2220988339811216</v>
      </c>
      <c r="CJ24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0.2220988339811216</v>
      </c>
      <c r="CK241" s="800">
        <f>IF(WWWW[[#This Row],[Location Type 1]]="Village",WWWW[[#This Row],[Access to safe drinking water for Village]],WWWW[[#This Row],[Access to safe drinking water for Camp]])</f>
        <v>0.2220988339811216</v>
      </c>
      <c r="CL241" s="798">
        <f>WWWW[[#This Row],[%Equitable and continuous access to sufficient quantity of safe drinking water]]*WWWW[[#This Row],[Total PoP ]]</f>
        <v>400</v>
      </c>
      <c r="CM241" s="800">
        <f>IF((WWWW[[#This Row],['#_Constructed/Existing protected/fenced ponds]]*250)/WWWW[[#This Row],[Total PoP ]]&gt;1,1,(WWWW[[#This Row],['#_Constructed/Existing protected/fenced ponds]]*250)/WWWW[[#This Row],[Total PoP ]])</f>
        <v>0</v>
      </c>
      <c r="CN241" s="798">
        <f>WWWW[[#This Row],[% Access to unimproved water points]]*WWWW[[#This Row],[Total PoP ]]</f>
        <v>0</v>
      </c>
      <c r="CO24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P24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241" s="798">
        <f>WWWW[[#This Row],[HRP1]]/500</f>
        <v>0.8</v>
      </c>
      <c r="CR241" s="803">
        <f>1-WWWW[[#This Row],[% Equitable and continuous access to sufficient quantity of domestic water]]</f>
        <v>0.77790116601887838</v>
      </c>
      <c r="CS241" s="798">
        <f>WWWW[[#This Row],[%equitable and continuous access to sufficient quantity of safe drinking and domestic water''s GAP]]*WWWW[[#This Row],[Total PoP ]]</f>
        <v>1401</v>
      </c>
      <c r="CT241" s="801">
        <f>IF(WWWW[[#This Row],[Total required water points]]-WWWW[[#This Row],['#Water points coverage]]&lt;0,0,WWWW[[#This Row],[Total required water points]]-WWWW[[#This Row],['#Water points coverage]])</f>
        <v>3.2</v>
      </c>
      <c r="CU241" s="801">
        <f>ROUND(IF(WWWW[[#This Row],[Total PoP ]]&lt;500,1,WWWW[[#This Row],[Total PoP ]]/500),0)</f>
        <v>4</v>
      </c>
      <c r="CV241" s="801">
        <f>(WWWW[[#This Row],['#_Constructed latrines_by_WASHAgencies]]+WWWW[[#This Row],['#_Non Cluster partner latrines]])-WWWW[[#This Row],['#_Non-functional latrines]]</f>
        <v>407</v>
      </c>
      <c r="CW241" s="804">
        <f>WWWW[[#This Row],[HRP2]]/WWWW[[#This Row],[Total PoP ]]</f>
        <v>1</v>
      </c>
      <c r="CX24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1801</v>
      </c>
      <c r="CY24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1" s="473">
        <f>IF(WWWW[[#This Row],['# of functional latrines in THF supported by WASH partners during the reporting period2]]="",0,WWWW[[#This Row],['# of functional latrines in THF supported by WASH partners during the reporting period2]]*50)</f>
        <v>0</v>
      </c>
      <c r="DB241" s="473">
        <f>WWWW[[#This Row],['# students access to functioning school latrines_HRP5]]+WWWW[[#This Row],['# People access to functioning latrines in THF_HRP5]]</f>
        <v>0</v>
      </c>
      <c r="DC241" s="801">
        <f>ROUND(IF(WWWW[[#This Row],[Location Type 1]]="camp",WWWW[[#This Row],[Total PoP ]]/20,IF(WWWW[[#This Row],[Location Type 1]]="Temporary Location",WWWW[[#This Row],[Total PoP ]]/50,(WWWW[[#This Row],[Total PoP ]]/6))),0)</f>
        <v>300</v>
      </c>
      <c r="DD241" s="801">
        <f>IF(WWWW[[#This Row],[Total required Latrines]]-(WWWW[[#This Row],['#_Constructed latrines_by_WASHAgencies]]+WWWW[[#This Row],['#_Non Cluster partner latrines]])&lt;0,0,WWWW[[#This Row],[Total required Latrines]]-(WWWW[[#This Row],['#_Constructed latrines_by_WASHAgencies]]+WWWW[[#This Row],['#_Non Cluster partner latrines]]))</f>
        <v>0</v>
      </c>
      <c r="DE241" s="803">
        <f>1-WWWW[[#This Row],[% people access to functioning Latrine]]</f>
        <v>0</v>
      </c>
      <c r="DF241" s="802">
        <f>IF(OR(WWWW[[#This Row],['#_Non-functional latrines]]="",WWWW[[#This Row],['#_Non-functional latrines]]=0),0,WWWW[[#This Row],['#_Non-functional latrines]]/(WWWW[[#This Row],['#_Constructed latrines_by_WASHAgencies]]+WWWW[[#This Row],['#_Non Cluster partner latrines]]))</f>
        <v>0</v>
      </c>
      <c r="DG241" s="798">
        <f>IF(500*(WWWW[[#This Row],['#_male hygiene promoters]]+WWWW[[#This Row],['#_female hygiene promoters]])&gt;WWWW[[#This Row],[Total PoP ]],WWWW[[#This Row],[Total PoP ]],500*(WWWW[[#This Row],['#_male hygiene promoters]]+WWWW[[#This Row],['#_female hygiene promoters]]))</f>
        <v>0</v>
      </c>
      <c r="DH24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1" s="801">
        <f>IF(WWWW[[#This Row],['# People with access to soap]]&gt;WWWW[[#This Row],['# People with access to Sanity Pads]],WWWW[[#This Row],['# People with access to soap]],WWWW[[#This Row],['# People with access to Sanity Pads]])</f>
        <v>0</v>
      </c>
      <c r="DK241"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1" s="803">
        <f>IF(WWWW[[#This Row],[HRP3]]/WWWW[[#This Row],[Total PoP ]]&gt;1,1,WWWW[[#This Row],[HRP3]]/WWWW[[#This Row],[Total PoP ]])</f>
        <v>0</v>
      </c>
      <c r="DM241" s="802">
        <f>1-WWWW[[#This Row],[Hygiene Coverage%]]</f>
        <v>1</v>
      </c>
      <c r="DN241" s="800">
        <f>WWWW[[#This Row],['# people reached by regular dedicated hygiene promotion_5]]/WWWW[[#This Row],[Total PoP ]]</f>
        <v>0</v>
      </c>
      <c r="DO24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1" s="801">
        <f>WWWW[[#This Row],['#_Constructed/Existing hand washing stations]]-WWWW[[#This Row],['#_Non-Functional_hand_washing_stations]]</f>
        <v>400</v>
      </c>
      <c r="DR241" s="798">
        <f>IF(WWWW[[#This Row],['# Functional hand washing stations during reporting period]]*20&gt;WWWW[[#This Row],[Total HH]],WWWW[[#This Row],[Total HH]],WWWW[[#This Row],['# Functional hand washing stations during reporting period]]*20)</f>
        <v>407</v>
      </c>
      <c r="DS241" s="798">
        <f>IF(WWWW[[#This Row],[Is sufficient soap available for TLS? (Yes/No)]]="yes",WWWW[[#This Row],['#_Constructed/Existing hand washing stations at TLS]],0)</f>
        <v>0</v>
      </c>
      <c r="DT241" s="479">
        <f>IF(WWWW[[#This Row],['# Functional hand washing stations during reporting period]]*100&gt;WWWW[[#This Row],[Total PoP ]],WWWW[[#This Row],[Total PoP ]],WWWW[[#This Row],['# Functional hand washing stations during reporting period]]*100)</f>
        <v>1801</v>
      </c>
      <c r="DU241" s="479" t="str">
        <f>IF(OR(WWWW[[#This Row],['#_students at TLS_CFS]]="",WWWW[[#This Row],['#_students at TLS_CFS]]=0),"No","Yes")</f>
        <v>Yes</v>
      </c>
      <c r="DV24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1" s="794" t="str">
        <f>VLOOKUP(WWWW[[#This Row],[Site Name]],SiteDB6[[Site Name]:[CCCM Management]],6,FALSE)</f>
        <v>Yes</v>
      </c>
      <c r="DZ241" s="794" t="str">
        <f>VLOOKUP(WWWW[[#This Row],[Site Name]],SiteDB6[[Site Name]:[CCCM Focal Agency]],7,FALSE)</f>
        <v>KMSS-MYT</v>
      </c>
      <c r="EA241" s="794" t="str">
        <f>VLOOKUP(WWWW[[#This Row],[Site Name]],SiteDB6[[Site Name]:[Location Type 1]],9,FALSE)</f>
        <v>Village Type Camp</v>
      </c>
      <c r="EB241" s="794" t="str">
        <f>VLOOKUP(WWWW[[#This Row],[Site Name]],SiteDB6[[Site Name]:[Type of Accommodation]],10,FALSE)</f>
        <v>Camp</v>
      </c>
      <c r="EC241" s="794" t="str">
        <f>VLOOKUP(WWWW[[#This Row],[Site Name]],SiteDB6[[Site Name]:[Ethnic or GCA/NGCA]],11,FALSE)</f>
        <v>NGCA</v>
      </c>
      <c r="ED241" s="794">
        <f>VLOOKUP(WWWW[[#This Row],[Site Name]],SiteDB6[[Site Name]:[Lat]],12,FALSE)</f>
        <v>24.980250000000002</v>
      </c>
      <c r="EE241" s="794">
        <f>VLOOKUP(WWWW[[#This Row],[Site Name]],SiteDB6[[Site Name]:[Long]],13,FALSE)</f>
        <v>97.715230000000005</v>
      </c>
      <c r="EF241" s="794" t="str">
        <f>VLOOKUP(WWWW[[#This Row],[Site Name]],SiteDB6[[Site Name]:[Pcode]],3,FALSE)</f>
        <v>MMR001CMP119</v>
      </c>
      <c r="EG241" s="799" t="str">
        <f t="shared" si="5"/>
        <v>Notcovered</v>
      </c>
      <c r="EH241" s="799" t="str">
        <f>VLOOKUP(WWWW[[#This Row],[Site Name]],Site_DB!$C$389:$D$1120,2,FALSE)</f>
        <v>cccm_2019OCT</v>
      </c>
    </row>
    <row r="242" spans="1:138" hidden="1">
      <c r="A242" s="792" t="s">
        <v>3262</v>
      </c>
      <c r="B242" s="792" t="s">
        <v>245</v>
      </c>
      <c r="C242" s="793" t="s">
        <v>245</v>
      </c>
      <c r="D242" s="793" t="s">
        <v>310</v>
      </c>
      <c r="E242" s="793" t="s">
        <v>39</v>
      </c>
      <c r="F242" s="793" t="s">
        <v>151</v>
      </c>
      <c r="G242" s="721" t="str">
        <f>VLOOKUP(WWWW[[#This Row],[Site Name]],SiteDB6[[Site Name]:[Location Type]],8,FALSE)</f>
        <v>Camp</v>
      </c>
      <c r="H242" s="404" t="s">
        <v>251</v>
      </c>
      <c r="I242" s="720">
        <v>70</v>
      </c>
      <c r="J242" s="720">
        <v>371</v>
      </c>
      <c r="K242" s="407">
        <v>43313</v>
      </c>
      <c r="L242" s="56">
        <v>44043</v>
      </c>
      <c r="M242" s="795"/>
      <c r="N242" s="795">
        <v>1</v>
      </c>
      <c r="O242" s="795"/>
      <c r="P242" s="795"/>
      <c r="Q242" s="798" t="s">
        <v>43</v>
      </c>
      <c r="R242" s="795">
        <v>10</v>
      </c>
      <c r="S242" s="795">
        <v>3</v>
      </c>
      <c r="T242" s="523">
        <v>1</v>
      </c>
      <c r="U242" s="795"/>
      <c r="V242" s="795"/>
      <c r="W242" s="795">
        <v>0</v>
      </c>
      <c r="X242" s="795">
        <v>0</v>
      </c>
      <c r="Y242" s="795"/>
      <c r="Z242" s="795"/>
      <c r="AA242" s="795">
        <v>0</v>
      </c>
      <c r="AB242" s="795"/>
      <c r="AC242" s="795"/>
      <c r="AD242" s="795">
        <v>0</v>
      </c>
      <c r="AE242" s="795">
        <v>0</v>
      </c>
      <c r="AF242" s="795">
        <v>0</v>
      </c>
      <c r="AG242" s="795">
        <v>0</v>
      </c>
      <c r="AH242" s="795">
        <v>1</v>
      </c>
      <c r="AI242" s="795"/>
      <c r="AJ242" s="795"/>
      <c r="AK242" s="795"/>
      <c r="AL242" s="795"/>
      <c r="AM242" s="795">
        <v>0</v>
      </c>
      <c r="AN242" s="795">
        <v>0</v>
      </c>
      <c r="AO242" s="799"/>
      <c r="AP242" s="795">
        <v>19</v>
      </c>
      <c r="AQ242" s="795">
        <v>7</v>
      </c>
      <c r="AR242" s="800" t="s">
        <v>2915</v>
      </c>
      <c r="AS242" s="795"/>
      <c r="AT242" s="795"/>
      <c r="AU242" s="795"/>
      <c r="AV242" s="795"/>
      <c r="AW242" s="795">
        <v>0</v>
      </c>
      <c r="AX242" s="794" t="s">
        <v>43</v>
      </c>
      <c r="AY242" s="799" t="s">
        <v>140</v>
      </c>
      <c r="AZ242" s="795">
        <v>0</v>
      </c>
      <c r="BA242" s="795">
        <v>0</v>
      </c>
      <c r="BB242" s="795">
        <v>0</v>
      </c>
      <c r="BC242" s="523"/>
      <c r="BD242" s="523"/>
      <c r="BE242" s="794"/>
      <c r="BF242" s="795">
        <v>2</v>
      </c>
      <c r="BG242" s="795"/>
      <c r="BH242" s="795">
        <v>0</v>
      </c>
      <c r="BI242" s="795">
        <v>4</v>
      </c>
      <c r="BJ242" s="795"/>
      <c r="BK242" s="795">
        <v>8</v>
      </c>
      <c r="BL242" s="795">
        <v>5</v>
      </c>
      <c r="BM242" s="795"/>
      <c r="BN242" s="795"/>
      <c r="BO242" s="794"/>
      <c r="BP242" s="801"/>
      <c r="BQ242" s="800"/>
      <c r="BR242" s="794"/>
      <c r="BS242" s="472"/>
      <c r="BT242" s="472"/>
      <c r="BU242" s="720"/>
      <c r="BV242" s="472"/>
      <c r="BW242" s="523"/>
      <c r="BX242" s="523"/>
      <c r="BY242" s="523"/>
      <c r="BZ242" s="802" t="str">
        <f>IFERROR(WWWW[[#This Row],['#_Water sources passed]]/WWWW[[#This Row],['#_Water sources tested for fecal coliform ]],"no test")</f>
        <v>no test</v>
      </c>
      <c r="CA242" s="800" t="str">
        <f>IFERROR(WWWW[[#This Row],['#_Household passed]]/WWWW[[#This Row],['#_Household water samples tested for fecal coliform]],"no test")</f>
        <v>no test</v>
      </c>
      <c r="CB242" s="801" t="str">
        <f>IF(AND(WWWW[[#This Row],[% of water sources passed]]="no test",WWWW[[#This Row],[% Household passed]]="no test"),"No Test","Tested")</f>
        <v>No Test</v>
      </c>
      <c r="CC242" s="801">
        <f>WWWW[[#This Row],['#_Constructed/existing protected hand dug well]]-WWWW[[#This Row],['#_Non-functional protected hand dug well]]</f>
        <v>1</v>
      </c>
      <c r="CD242" s="801">
        <f>(WWWW[[#This Row],['#_Constructed/Existing tube wells/boreholes/handpumps_WASH_agency]]+WWWW[[#This Row],['#_Non-Cluster partner water tube-wells/boreholes/handpumps]])-WWWW[[#This Row],['#_Non-functional tube wells/boreholes/handpumps]]</f>
        <v>0</v>
      </c>
      <c r="CE242" s="801">
        <f>WWWW[[#This Row],['#_Constructed/Existingwater storage tank with gravity fed reticulation system]]-WWWW[[#This Row],['#_Non-functional storage tank gravity fed reticulation system]]</f>
        <v>0</v>
      </c>
      <c r="CF242" s="801">
        <f>(WWWW[[#This Row],['#_Water_Liters_supplied_by_Water boating or water trucking]]/90)/15</f>
        <v>0</v>
      </c>
      <c r="CG242" s="801">
        <f>WWWW[[#This Row],['#_Water_Liters_from_Constructed/Existing water distribution system from river or natural spring]]/90/15</f>
        <v>0</v>
      </c>
      <c r="CH242" s="473">
        <f>WWWW[[#This Row],['#_of water points in TLS/CFS /THF]]*500</f>
        <v>0</v>
      </c>
      <c r="CI24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0.67385444743935308</v>
      </c>
      <c r="CK242" s="800">
        <f>IF(WWWW[[#This Row],[Location Type 1]]="Village",WWWW[[#This Row],[Access to safe drinking water for Village]],WWWW[[#This Row],[Access to safe drinking water for Camp]])</f>
        <v>1</v>
      </c>
      <c r="CL242" s="798">
        <f>WWWW[[#This Row],[%Equitable and continuous access to sufficient quantity of safe drinking water]]*WWWW[[#This Row],[Total PoP ]]</f>
        <v>371</v>
      </c>
      <c r="CM242" s="800">
        <f>IF((WWWW[[#This Row],['#_Constructed/Existing protected/fenced ponds]]*250)/WWWW[[#This Row],[Total PoP ]]&gt;1,1,(WWWW[[#This Row],['#_Constructed/Existing protected/fenced ponds]]*250)/WWWW[[#This Row],[Total PoP ]])</f>
        <v>0</v>
      </c>
      <c r="CN242" s="798">
        <f>WWWW[[#This Row],[% Access to unimproved water points]]*WWWW[[#This Row],[Total PoP ]]</f>
        <v>0</v>
      </c>
      <c r="CO24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371</v>
      </c>
      <c r="CQ242" s="798">
        <f>WWWW[[#This Row],[HRP1]]/500</f>
        <v>0.74199999999999999</v>
      </c>
      <c r="CR242" s="803">
        <f>1-WWWW[[#This Row],[% Equitable and continuous access to sufficient quantity of domestic water]]</f>
        <v>0</v>
      </c>
      <c r="CS242" s="798">
        <f>WWWW[[#This Row],[%equitable and continuous access to sufficient quantity of safe drinking and domestic water''s GAP]]*WWWW[[#This Row],[Total PoP ]]</f>
        <v>0</v>
      </c>
      <c r="CT242" s="801">
        <f>IF(WWWW[[#This Row],[Total required water points]]-WWWW[[#This Row],['#Water points coverage]]&lt;0,0,WWWW[[#This Row],[Total required water points]]-WWWW[[#This Row],['#Water points coverage]])</f>
        <v>0.25800000000000001</v>
      </c>
      <c r="CU242" s="801">
        <f>ROUND(IF(WWWW[[#This Row],[Total PoP ]]&lt;500,1,WWWW[[#This Row],[Total PoP ]]/500),0)</f>
        <v>1</v>
      </c>
      <c r="CV242" s="801">
        <f>(WWWW[[#This Row],['#_Constructed latrines_by_WASHAgencies]]+WWWW[[#This Row],['#_Non Cluster partner latrines]])-WWWW[[#This Row],['#_Non-functional latrines]]</f>
        <v>26</v>
      </c>
      <c r="CW242" s="804">
        <f>WWWW[[#This Row],[HRP2]]/WWWW[[#This Row],[Total PoP ]]</f>
        <v>1</v>
      </c>
      <c r="CX24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371</v>
      </c>
      <c r="CY24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2" s="473">
        <f>IF(WWWW[[#This Row],['# of functional latrines in THF supported by WASH partners during the reporting period2]]="",0,WWWW[[#This Row],['# of functional latrines in THF supported by WASH partners during the reporting period2]]*50)</f>
        <v>0</v>
      </c>
      <c r="DB242" s="473">
        <f>WWWW[[#This Row],['# students access to functioning school latrines_HRP5]]+WWWW[[#This Row],['# People access to functioning latrines in THF_HRP5]]</f>
        <v>0</v>
      </c>
      <c r="DC242" s="801">
        <f>ROUND(IF(WWWW[[#This Row],[Location Type 1]]="camp",WWWW[[#This Row],[Total PoP ]]/20,IF(WWWW[[#This Row],[Location Type 1]]="Temporary Location",WWWW[[#This Row],[Total PoP ]]/50,(WWWW[[#This Row],[Total PoP ]]/6))),0)</f>
        <v>19</v>
      </c>
      <c r="DD242" s="801">
        <f>IF(WWWW[[#This Row],[Total required Latrines]]-(WWWW[[#This Row],['#_Constructed latrines_by_WASHAgencies]]+WWWW[[#This Row],['#_Non Cluster partner latrines]])&lt;0,0,WWWW[[#This Row],[Total required Latrines]]-(WWWW[[#This Row],['#_Constructed latrines_by_WASHAgencies]]+WWWW[[#This Row],['#_Non Cluster partner latrines]]))</f>
        <v>0</v>
      </c>
      <c r="DE242" s="803">
        <f>1-WWWW[[#This Row],[% people access to functioning Latrine]]</f>
        <v>0</v>
      </c>
      <c r="DF242" s="802">
        <f>IF(OR(WWWW[[#This Row],['#_Non-functional latrines]]="",WWWW[[#This Row],['#_Non-functional latrines]]=0),0,WWWW[[#This Row],['#_Non-functional latrines]]/(WWWW[[#This Row],['#_Constructed latrines_by_WASHAgencies]]+WWWW[[#This Row],['#_Non Cluster partner latrines]]))</f>
        <v>0</v>
      </c>
      <c r="DG242" s="798">
        <f>IF(500*(WWWW[[#This Row],['#_male hygiene promoters]]+WWWW[[#This Row],['#_female hygiene promoters]])&gt;WWWW[[#This Row],[Total PoP ]],WWWW[[#This Row],[Total PoP ]],500*(WWWW[[#This Row],['#_male hygiene promoters]]+WWWW[[#This Row],['#_female hygiene promoters]]))</f>
        <v>371</v>
      </c>
      <c r="DH24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2" s="801">
        <f>IF(WWWW[[#This Row],['# People with access to soap]]&gt;WWWW[[#This Row],['# People with access to Sanity Pads]],WWWW[[#This Row],['# People with access to soap]],WWWW[[#This Row],['# People with access to Sanity Pads]])</f>
        <v>0</v>
      </c>
      <c r="DK242" s="801">
        <f>IF(WWWW[[#This Row],['# people reached by regular dedicated hygiene promotion_5]]&gt;WWWW[[#This Row],['# People received regular supply of hygiene items_6]],WWWW[[#This Row],['# people reached by regular dedicated hygiene promotion_5]],WWWW[[#This Row],['# People received regular supply of hygiene items_6]])</f>
        <v>371</v>
      </c>
      <c r="DL242" s="803">
        <f>IF(WWWW[[#This Row],[HRP3]]/WWWW[[#This Row],[Total PoP ]]&gt;1,1,WWWW[[#This Row],[HRP3]]/WWWW[[#This Row],[Total PoP ]])</f>
        <v>1</v>
      </c>
      <c r="DM242" s="802">
        <f>1-WWWW[[#This Row],[Hygiene Coverage%]]</f>
        <v>0</v>
      </c>
      <c r="DN242" s="800">
        <f>WWWW[[#This Row],['# people reached by regular dedicated hygiene promotion_5]]/WWWW[[#This Row],[Total PoP ]]</f>
        <v>1</v>
      </c>
      <c r="DO24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2" s="801">
        <f>WWWW[[#This Row],['#_Constructed/Existing hand washing stations]]-WWWW[[#This Row],['#_Non-Functional_hand_washing_stations]]</f>
        <v>2</v>
      </c>
      <c r="DR242" s="798">
        <f>IF(WWWW[[#This Row],['# Functional hand washing stations during reporting period]]*20&gt;WWWW[[#This Row],[Total HH]],WWWW[[#This Row],[Total HH]],WWWW[[#This Row],['# Functional hand washing stations during reporting period]]*20)</f>
        <v>40</v>
      </c>
      <c r="DS242" s="798">
        <f>IF(WWWW[[#This Row],[Is sufficient soap available for TLS? (Yes/No)]]="yes",WWWW[[#This Row],['#_Constructed/Existing hand washing stations at TLS]],0)</f>
        <v>0</v>
      </c>
      <c r="DT242" s="479">
        <f>IF(WWWW[[#This Row],['# Functional hand washing stations during reporting period]]*100&gt;WWWW[[#This Row],[Total PoP ]],WWWW[[#This Row],[Total PoP ]],WWWW[[#This Row],['# Functional hand washing stations during reporting period]]*100)</f>
        <v>200</v>
      </c>
      <c r="DU242" s="479" t="str">
        <f>IF(OR(WWWW[[#This Row],['#_students at TLS_CFS]]="",WWWW[[#This Row],['#_students at TLS_CFS]]=0),"No","Yes")</f>
        <v>No</v>
      </c>
      <c r="DV24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2" s="794" t="str">
        <f>VLOOKUP(WWWW[[#This Row],[Site Name]],SiteDB6[[Site Name]:[CCCM Management]],6,FALSE)</f>
        <v>Yes</v>
      </c>
      <c r="DZ242" s="794" t="str">
        <f>VLOOKUP(WWWW[[#This Row],[Site Name]],SiteDB6[[Site Name]:[CCCM Focal Agency]],7,FALSE)</f>
        <v>Shalom</v>
      </c>
      <c r="EA242" s="794" t="str">
        <f>VLOOKUP(WWWW[[#This Row],[Site Name]],SiteDB6[[Site Name]:[Location Type 1]],9,FALSE)</f>
        <v>Camp</v>
      </c>
      <c r="EB242" s="794" t="str">
        <f>VLOOKUP(WWWW[[#This Row],[Site Name]],SiteDB6[[Site Name]:[Type of Accommodation]],10,FALSE)</f>
        <v>Camp</v>
      </c>
      <c r="EC242" s="794" t="str">
        <f>VLOOKUP(WWWW[[#This Row],[Site Name]],SiteDB6[[Site Name]:[Ethnic or GCA/NGCA]],11,FALSE)</f>
        <v>GCA</v>
      </c>
      <c r="ED242" s="794">
        <f>VLOOKUP(WWWW[[#This Row],[Site Name]],SiteDB6[[Site Name]:[Lat]],12,FALSE)</f>
        <v>25.635300000000001</v>
      </c>
      <c r="EE242" s="794">
        <f>VLOOKUP(WWWW[[#This Row],[Site Name]],SiteDB6[[Site Name]:[Long]],13,FALSE)</f>
        <v>96.345569999999995</v>
      </c>
      <c r="EF242" s="794" t="str">
        <f>VLOOKUP(WWWW[[#This Row],[Site Name]],SiteDB6[[Site Name]:[Pcode]],3,FALSE)</f>
        <v>MMR001CMP176</v>
      </c>
      <c r="EG242" s="799" t="str">
        <f t="shared" si="5"/>
        <v>Covered</v>
      </c>
      <c r="EH242" s="799" t="str">
        <f>VLOOKUP(WWWW[[#This Row],[Site Name]],Site_DB!$C$389:$D$1120,2,FALSE)</f>
        <v>cccm_2019OCT</v>
      </c>
    </row>
    <row r="243" spans="1:138" hidden="1">
      <c r="A243" s="792" t="s">
        <v>3262</v>
      </c>
      <c r="B243" s="792" t="s">
        <v>245</v>
      </c>
      <c r="C243" s="793" t="s">
        <v>245</v>
      </c>
      <c r="D243" s="793" t="s">
        <v>310</v>
      </c>
      <c r="E243" s="793" t="s">
        <v>39</v>
      </c>
      <c r="F243" s="793" t="s">
        <v>151</v>
      </c>
      <c r="G243" s="721" t="str">
        <f>VLOOKUP(WWWW[[#This Row],[Site Name]],SiteDB6[[Site Name]:[Location Type]],8,FALSE)</f>
        <v>Camp</v>
      </c>
      <c r="H243" s="793" t="s">
        <v>252</v>
      </c>
      <c r="I243" s="720">
        <v>13</v>
      </c>
      <c r="J243" s="720">
        <v>83</v>
      </c>
      <c r="K243" s="407">
        <v>43313</v>
      </c>
      <c r="L243" s="56">
        <v>44043</v>
      </c>
      <c r="M243" s="795"/>
      <c r="N243" s="795">
        <v>1</v>
      </c>
      <c r="O243" s="795"/>
      <c r="P243" s="795"/>
      <c r="Q243" s="798" t="s">
        <v>43</v>
      </c>
      <c r="R243" s="795">
        <v>0</v>
      </c>
      <c r="S243" s="795">
        <v>1</v>
      </c>
      <c r="T243" s="523">
        <v>1</v>
      </c>
      <c r="U243" s="795"/>
      <c r="V243" s="795"/>
      <c r="W243" s="795">
        <v>0</v>
      </c>
      <c r="X243" s="795">
        <v>0</v>
      </c>
      <c r="Y243" s="795"/>
      <c r="Z243" s="795"/>
      <c r="AA243" s="795">
        <v>0</v>
      </c>
      <c r="AB243" s="795"/>
      <c r="AC243" s="795"/>
      <c r="AD243" s="795">
        <v>0</v>
      </c>
      <c r="AE243" s="795">
        <v>0</v>
      </c>
      <c r="AF243" s="795">
        <v>0</v>
      </c>
      <c r="AG243" s="795">
        <v>0</v>
      </c>
      <c r="AH243" s="795">
        <v>0</v>
      </c>
      <c r="AI243" s="795"/>
      <c r="AJ243" s="795"/>
      <c r="AK243" s="795"/>
      <c r="AL243" s="795"/>
      <c r="AM243" s="795">
        <v>0</v>
      </c>
      <c r="AN243" s="795">
        <v>0</v>
      </c>
      <c r="AO243" s="799"/>
      <c r="AP243" s="795">
        <v>5</v>
      </c>
      <c r="AQ243" s="795">
        <v>1</v>
      </c>
      <c r="AR243" s="800" t="s">
        <v>245</v>
      </c>
      <c r="AS243" s="795"/>
      <c r="AT243" s="795"/>
      <c r="AU243" s="795"/>
      <c r="AV243" s="795"/>
      <c r="AW243" s="795">
        <v>0</v>
      </c>
      <c r="AX243" s="794" t="s">
        <v>43</v>
      </c>
      <c r="AY243" s="799" t="s">
        <v>139</v>
      </c>
      <c r="AZ243" s="795">
        <v>0</v>
      </c>
      <c r="BA243" s="795">
        <v>0</v>
      </c>
      <c r="BB243" s="795">
        <v>0</v>
      </c>
      <c r="BC243" s="523"/>
      <c r="BD243" s="523"/>
      <c r="BE243" s="794"/>
      <c r="BF243" s="795">
        <v>3</v>
      </c>
      <c r="BG243" s="795"/>
      <c r="BH243" s="795">
        <v>0</v>
      </c>
      <c r="BI243" s="795">
        <v>2</v>
      </c>
      <c r="BJ243" s="795"/>
      <c r="BK243" s="795">
        <v>1</v>
      </c>
      <c r="BL243" s="795">
        <v>2</v>
      </c>
      <c r="BM243" s="795"/>
      <c r="BN243" s="795"/>
      <c r="BO243" s="794"/>
      <c r="BP243" s="801"/>
      <c r="BQ243" s="800"/>
      <c r="BR243" s="794"/>
      <c r="BS243" s="472"/>
      <c r="BT243" s="472"/>
      <c r="BU243" s="720"/>
      <c r="BV243" s="472"/>
      <c r="BW243" s="523"/>
      <c r="BX243" s="523"/>
      <c r="BY243" s="523"/>
      <c r="BZ243" s="802" t="str">
        <f>IFERROR(WWWW[[#This Row],['#_Water sources passed]]/WWWW[[#This Row],['#_Water sources tested for fecal coliform ]],"no test")</f>
        <v>no test</v>
      </c>
      <c r="CA243" s="800" t="str">
        <f>IFERROR(WWWW[[#This Row],['#_Household passed]]/WWWW[[#This Row],['#_Household water samples tested for fecal coliform]],"no test")</f>
        <v>no test</v>
      </c>
      <c r="CB243" s="801" t="str">
        <f>IF(AND(WWWW[[#This Row],[% of water sources passed]]="no test",WWWW[[#This Row],[% Household passed]]="no test"),"No Test","Tested")</f>
        <v>No Test</v>
      </c>
      <c r="CC243" s="801">
        <f>WWWW[[#This Row],['#_Constructed/existing protected hand dug well]]-WWWW[[#This Row],['#_Non-functional protected hand dug well]]</f>
        <v>1</v>
      </c>
      <c r="CD243" s="801">
        <f>(WWWW[[#This Row],['#_Constructed/Existing tube wells/boreholes/handpumps_WASH_agency]]+WWWW[[#This Row],['#_Non-Cluster partner water tube-wells/boreholes/handpumps]])-WWWW[[#This Row],['#_Non-functional tube wells/boreholes/handpumps]]</f>
        <v>0</v>
      </c>
      <c r="CE243" s="801">
        <f>WWWW[[#This Row],['#_Constructed/Existingwater storage tank with gravity fed reticulation system]]-WWWW[[#This Row],['#_Non-functional storage tank gravity fed reticulation system]]</f>
        <v>0</v>
      </c>
      <c r="CF243" s="801">
        <f>(WWWW[[#This Row],['#_Water_Liters_supplied_by_Water boating or water trucking]]/90)/15</f>
        <v>0</v>
      </c>
      <c r="CG243" s="801">
        <f>WWWW[[#This Row],['#_Water_Liters_from_Constructed/Existing water distribution system from river or natural spring]]/90/15</f>
        <v>0</v>
      </c>
      <c r="CH243" s="473">
        <f>WWWW[[#This Row],['#_of water points in TLS/CFS /THF]]*500</f>
        <v>0</v>
      </c>
      <c r="CI24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3" s="800">
        <f>IF(WWWW[[#This Row],[Location Type 1]]="Village",WWWW[[#This Row],[Access to safe drinking water for Village]],WWWW[[#This Row],[Access to safe drinking water for Camp]])</f>
        <v>1</v>
      </c>
      <c r="CL243" s="798">
        <f>WWWW[[#This Row],[%Equitable and continuous access to sufficient quantity of safe drinking water]]*WWWW[[#This Row],[Total PoP ]]</f>
        <v>83</v>
      </c>
      <c r="CM243" s="800">
        <f>IF((WWWW[[#This Row],['#_Constructed/Existing protected/fenced ponds]]*250)/WWWW[[#This Row],[Total PoP ]]&gt;1,1,(WWWW[[#This Row],['#_Constructed/Existing protected/fenced ponds]]*250)/WWWW[[#This Row],[Total PoP ]])</f>
        <v>0</v>
      </c>
      <c r="CN243" s="798">
        <f>WWWW[[#This Row],[% Access to unimproved water points]]*WWWW[[#This Row],[Total PoP ]]</f>
        <v>0</v>
      </c>
      <c r="CO24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Q243" s="798">
        <f>WWWW[[#This Row],[HRP1]]/500</f>
        <v>0.16600000000000001</v>
      </c>
      <c r="CR243" s="803">
        <f>1-WWWW[[#This Row],[% Equitable and continuous access to sufficient quantity of domestic water]]</f>
        <v>0</v>
      </c>
      <c r="CS243" s="798">
        <f>WWWW[[#This Row],[%equitable and continuous access to sufficient quantity of safe drinking and domestic water''s GAP]]*WWWW[[#This Row],[Total PoP ]]</f>
        <v>0</v>
      </c>
      <c r="CT243" s="801">
        <f>IF(WWWW[[#This Row],[Total required water points]]-WWWW[[#This Row],['#Water points coverage]]&lt;0,0,WWWW[[#This Row],[Total required water points]]-WWWW[[#This Row],['#Water points coverage]])</f>
        <v>0.83399999999999996</v>
      </c>
      <c r="CU243" s="801">
        <f>ROUND(IF(WWWW[[#This Row],[Total PoP ]]&lt;500,1,WWWW[[#This Row],[Total PoP ]]/500),0)</f>
        <v>1</v>
      </c>
      <c r="CV243" s="801">
        <f>(WWWW[[#This Row],['#_Constructed latrines_by_WASHAgencies]]+WWWW[[#This Row],['#_Non Cluster partner latrines]])-WWWW[[#This Row],['#_Non-functional latrines]]</f>
        <v>6</v>
      </c>
      <c r="CW243" s="804">
        <f>WWWW[[#This Row],[HRP2]]/WWWW[[#This Row],[Total PoP ]]</f>
        <v>1</v>
      </c>
      <c r="CX24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CY24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3" s="473">
        <f>IF(WWWW[[#This Row],['# of functional latrines in THF supported by WASH partners during the reporting period2]]="",0,WWWW[[#This Row],['# of functional latrines in THF supported by WASH partners during the reporting period2]]*50)</f>
        <v>0</v>
      </c>
      <c r="DB243" s="473">
        <f>WWWW[[#This Row],['# students access to functioning school latrines_HRP5]]+WWWW[[#This Row],['# People access to functioning latrines in THF_HRP5]]</f>
        <v>0</v>
      </c>
      <c r="DC243" s="801">
        <f>ROUND(IF(WWWW[[#This Row],[Location Type 1]]="camp",WWWW[[#This Row],[Total PoP ]]/20,IF(WWWW[[#This Row],[Location Type 1]]="Temporary Location",WWWW[[#This Row],[Total PoP ]]/50,(WWWW[[#This Row],[Total PoP ]]/6))),0)</f>
        <v>4</v>
      </c>
      <c r="DD243" s="801">
        <f>IF(WWWW[[#This Row],[Total required Latrines]]-(WWWW[[#This Row],['#_Constructed latrines_by_WASHAgencies]]+WWWW[[#This Row],['#_Non Cluster partner latrines]])&lt;0,0,WWWW[[#This Row],[Total required Latrines]]-(WWWW[[#This Row],['#_Constructed latrines_by_WASHAgencies]]+WWWW[[#This Row],['#_Non Cluster partner latrines]]))</f>
        <v>0</v>
      </c>
      <c r="DE243" s="803">
        <f>1-WWWW[[#This Row],[% people access to functioning Latrine]]</f>
        <v>0</v>
      </c>
      <c r="DF243" s="802">
        <f>IF(OR(WWWW[[#This Row],['#_Non-functional latrines]]="",WWWW[[#This Row],['#_Non-functional latrines]]=0),0,WWWW[[#This Row],['#_Non-functional latrines]]/(WWWW[[#This Row],['#_Constructed latrines_by_WASHAgencies]]+WWWW[[#This Row],['#_Non Cluster partner latrines]]))</f>
        <v>0</v>
      </c>
      <c r="DG243" s="798">
        <f>IF(500*(WWWW[[#This Row],['#_male hygiene promoters]]+WWWW[[#This Row],['#_female hygiene promoters]])&gt;WWWW[[#This Row],[Total PoP ]],WWWW[[#This Row],[Total PoP ]],500*(WWWW[[#This Row],['#_male hygiene promoters]]+WWWW[[#This Row],['#_female hygiene promoters]]))</f>
        <v>83</v>
      </c>
      <c r="DH24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3" s="801">
        <f>IF(WWWW[[#This Row],['# People with access to soap]]&gt;WWWW[[#This Row],['# People with access to Sanity Pads]],WWWW[[#This Row],['# People with access to soap]],WWWW[[#This Row],['# People with access to Sanity Pads]])</f>
        <v>0</v>
      </c>
      <c r="DK243" s="801">
        <f>IF(WWWW[[#This Row],['# people reached by regular dedicated hygiene promotion_5]]&gt;WWWW[[#This Row],['# People received regular supply of hygiene items_6]],WWWW[[#This Row],['# people reached by regular dedicated hygiene promotion_5]],WWWW[[#This Row],['# People received regular supply of hygiene items_6]])</f>
        <v>83</v>
      </c>
      <c r="DL243" s="803">
        <f>IF(WWWW[[#This Row],[HRP3]]/WWWW[[#This Row],[Total PoP ]]&gt;1,1,WWWW[[#This Row],[HRP3]]/WWWW[[#This Row],[Total PoP ]])</f>
        <v>1</v>
      </c>
      <c r="DM243" s="802">
        <f>1-WWWW[[#This Row],[Hygiene Coverage%]]</f>
        <v>0</v>
      </c>
      <c r="DN243" s="800">
        <f>WWWW[[#This Row],['# people reached by regular dedicated hygiene promotion_5]]/WWWW[[#This Row],[Total PoP ]]</f>
        <v>1</v>
      </c>
      <c r="DO24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3" s="801">
        <f>WWWW[[#This Row],['#_Constructed/Existing hand washing stations]]-WWWW[[#This Row],['#_Non-Functional_hand_washing_stations]]</f>
        <v>3</v>
      </c>
      <c r="DR243" s="798">
        <f>IF(WWWW[[#This Row],['# Functional hand washing stations during reporting period]]*20&gt;WWWW[[#This Row],[Total HH]],WWWW[[#This Row],[Total HH]],WWWW[[#This Row],['# Functional hand washing stations during reporting period]]*20)</f>
        <v>13</v>
      </c>
      <c r="DS243" s="798">
        <f>IF(WWWW[[#This Row],[Is sufficient soap available for TLS? (Yes/No)]]="yes",WWWW[[#This Row],['#_Constructed/Existing hand washing stations at TLS]],0)</f>
        <v>0</v>
      </c>
      <c r="DT243" s="479">
        <f>IF(WWWW[[#This Row],['# Functional hand washing stations during reporting period]]*100&gt;WWWW[[#This Row],[Total PoP ]],WWWW[[#This Row],[Total PoP ]],WWWW[[#This Row],['# Functional hand washing stations during reporting period]]*100)</f>
        <v>83</v>
      </c>
      <c r="DU243" s="479" t="str">
        <f>IF(OR(WWWW[[#This Row],['#_students at TLS_CFS]]="",WWWW[[#This Row],['#_students at TLS_CFS]]=0),"No","Yes")</f>
        <v>No</v>
      </c>
      <c r="DV24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3" s="794" t="str">
        <f>VLOOKUP(WWWW[[#This Row],[Site Name]],SiteDB6[[Site Name]:[CCCM Management]],6,FALSE)</f>
        <v>Yes</v>
      </c>
      <c r="DZ243" s="794" t="str">
        <f>VLOOKUP(WWWW[[#This Row],[Site Name]],SiteDB6[[Site Name]:[CCCM Focal Agency]],7,FALSE)</f>
        <v>Shalom</v>
      </c>
      <c r="EA243" s="794" t="str">
        <f>VLOOKUP(WWWW[[#This Row],[Site Name]],SiteDB6[[Site Name]:[Location Type 1]],9,FALSE)</f>
        <v>Camp</v>
      </c>
      <c r="EB243" s="794" t="str">
        <f>VLOOKUP(WWWW[[#This Row],[Site Name]],SiteDB6[[Site Name]:[Type of Accommodation]],10,FALSE)</f>
        <v>Camp</v>
      </c>
      <c r="EC243" s="794" t="str">
        <f>VLOOKUP(WWWW[[#This Row],[Site Name]],SiteDB6[[Site Name]:[Ethnic or GCA/NGCA]],11,FALSE)</f>
        <v>GCA</v>
      </c>
      <c r="ED243" s="794">
        <f>VLOOKUP(WWWW[[#This Row],[Site Name]],SiteDB6[[Site Name]:[Lat]],12,FALSE)</f>
        <v>25.616509000000001</v>
      </c>
      <c r="EE243" s="794">
        <f>VLOOKUP(WWWW[[#This Row],[Site Name]],SiteDB6[[Site Name]:[Long]],13,FALSE)</f>
        <v>96.317350000000005</v>
      </c>
      <c r="EF243" s="794" t="str">
        <f>VLOOKUP(WWWW[[#This Row],[Site Name]],SiteDB6[[Site Name]:[Pcode]],3,FALSE)</f>
        <v>MMR001CMP190</v>
      </c>
      <c r="EG243" s="799" t="str">
        <f t="shared" si="5"/>
        <v>Covered</v>
      </c>
      <c r="EH243" s="799" t="str">
        <f>VLOOKUP(WWWW[[#This Row],[Site Name]],Site_DB!$C$389:$D$1120,2,FALSE)</f>
        <v>cccm_2019OCT</v>
      </c>
    </row>
    <row r="244" spans="1:138" hidden="1">
      <c r="A244" s="792" t="s">
        <v>3262</v>
      </c>
      <c r="B244" s="792" t="s">
        <v>144</v>
      </c>
      <c r="C244" s="793" t="s">
        <v>144</v>
      </c>
      <c r="D244" s="793" t="s">
        <v>3277</v>
      </c>
      <c r="E244" s="793" t="s">
        <v>39</v>
      </c>
      <c r="F244" s="793" t="s">
        <v>162</v>
      </c>
      <c r="G244" s="721" t="str">
        <f>VLOOKUP(WWWW[[#This Row],[Site Name]],SiteDB6[[Site Name]:[Location Type]],8,FALSE)</f>
        <v>Camp</v>
      </c>
      <c r="H244" s="404" t="s">
        <v>169</v>
      </c>
      <c r="I244" s="795">
        <v>101</v>
      </c>
      <c r="J244" s="795">
        <v>547</v>
      </c>
      <c r="K244" s="796" t="s">
        <v>3278</v>
      </c>
      <c r="L244" s="797" t="s">
        <v>3279</v>
      </c>
      <c r="M244" s="795"/>
      <c r="N244" s="795"/>
      <c r="O244" s="795"/>
      <c r="P244" s="795"/>
      <c r="Q244" s="798" t="s">
        <v>43</v>
      </c>
      <c r="R244" s="795"/>
      <c r="S244" s="795">
        <v>5</v>
      </c>
      <c r="T244" s="523">
        <v>0</v>
      </c>
      <c r="U244" s="795"/>
      <c r="V244" s="795"/>
      <c r="W244" s="795">
        <v>2</v>
      </c>
      <c r="X244" s="795"/>
      <c r="Y244" s="795"/>
      <c r="Z244" s="795"/>
      <c r="AA244" s="795"/>
      <c r="AB244" s="795"/>
      <c r="AC244" s="795"/>
      <c r="AD244" s="795"/>
      <c r="AE244" s="795"/>
      <c r="AF244" s="795"/>
      <c r="AG244" s="795"/>
      <c r="AH244" s="795">
        <v>3</v>
      </c>
      <c r="AI244" s="795"/>
      <c r="AJ244" s="795"/>
      <c r="AK244" s="795"/>
      <c r="AL244" s="795"/>
      <c r="AM244" s="795"/>
      <c r="AN244" s="795"/>
      <c r="AO244" s="799"/>
      <c r="AP244" s="795">
        <v>34</v>
      </c>
      <c r="AQ244" s="795"/>
      <c r="AR244" s="800"/>
      <c r="AS244" s="795"/>
      <c r="AT244" s="795"/>
      <c r="AU244" s="795"/>
      <c r="AV244" s="795"/>
      <c r="AW244" s="795">
        <v>34</v>
      </c>
      <c r="AX244" s="794" t="s">
        <v>43</v>
      </c>
      <c r="AY244" s="799" t="s">
        <v>1195</v>
      </c>
      <c r="AZ244" s="795"/>
      <c r="BA244" s="795"/>
      <c r="BB244" s="795"/>
      <c r="BC244" s="523"/>
      <c r="BD244" s="523"/>
      <c r="BE244" s="794"/>
      <c r="BF244" s="795">
        <v>2</v>
      </c>
      <c r="BG244" s="795"/>
      <c r="BH244" s="795"/>
      <c r="BI244" s="795">
        <v>2</v>
      </c>
      <c r="BJ244" s="795"/>
      <c r="BK244" s="795"/>
      <c r="BL244" s="795">
        <v>2</v>
      </c>
      <c r="BM244" s="795"/>
      <c r="BN244" s="795"/>
      <c r="BO244" s="794"/>
      <c r="BP244" s="801"/>
      <c r="BQ244" s="800"/>
      <c r="BR244" s="794"/>
      <c r="BS244" s="472"/>
      <c r="BT244" s="472"/>
      <c r="BU244" s="474"/>
      <c r="BV244" s="472"/>
      <c r="BW244" s="523"/>
      <c r="BX244" s="523"/>
      <c r="BY244" s="523"/>
      <c r="BZ244" s="802" t="str">
        <f>IFERROR(WWWW[[#This Row],['#_Water sources passed]]/WWWW[[#This Row],['#_Water sources tested for fecal coliform ]],"no test")</f>
        <v>no test</v>
      </c>
      <c r="CA244" s="800" t="str">
        <f>IFERROR(WWWW[[#This Row],['#_Household passed]]/WWWW[[#This Row],['#_Household water samples tested for fecal coliform]],"no test")</f>
        <v>no test</v>
      </c>
      <c r="CB244" s="801" t="str">
        <f>IF(AND(WWWW[[#This Row],[% of water sources passed]]="no test",WWWW[[#This Row],[% Household passed]]="no test"),"No Test","Tested")</f>
        <v>No Test</v>
      </c>
      <c r="CC244" s="801">
        <f>WWWW[[#This Row],['#_Constructed/existing protected hand dug well]]-WWWW[[#This Row],['#_Non-functional protected hand dug well]]</f>
        <v>0</v>
      </c>
      <c r="CD244" s="801">
        <f>(WWWW[[#This Row],['#_Constructed/Existing tube wells/boreholes/handpumps_WASH_agency]]+WWWW[[#This Row],['#_Non-Cluster partner water tube-wells/boreholes/handpumps]])-WWWW[[#This Row],['#_Non-functional tube wells/boreholes/handpumps]]</f>
        <v>2</v>
      </c>
      <c r="CE244" s="801">
        <f>WWWW[[#This Row],['#_Constructed/Existingwater storage tank with gravity fed reticulation system]]-WWWW[[#This Row],['#_Non-functional storage tank gravity fed reticulation system]]</f>
        <v>0</v>
      </c>
      <c r="CF244" s="801">
        <f>(WWWW[[#This Row],['#_Water_Liters_supplied_by_Water boating or water trucking]]/90)/15</f>
        <v>0</v>
      </c>
      <c r="CG244" s="801">
        <f>WWWW[[#This Row],['#_Water_Liters_from_Constructed/Existing water distribution system from river or natural spring]]/90/15</f>
        <v>0</v>
      </c>
      <c r="CH244" s="473">
        <f>WWWW[[#This Row],['#_of water points in TLS/CFS /THF]]*500</f>
        <v>0</v>
      </c>
      <c r="CI24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0.91407678244972579</v>
      </c>
      <c r="CK244" s="800">
        <f>IF(WWWW[[#This Row],[Location Type 1]]="Village",WWWW[[#This Row],[Access to safe drinking water for Village]],WWWW[[#This Row],[Access to safe drinking water for Camp]])</f>
        <v>1</v>
      </c>
      <c r="CL244" s="798">
        <f>WWWW[[#This Row],[%Equitable and continuous access to sufficient quantity of safe drinking water]]*WWWW[[#This Row],[Total PoP ]]</f>
        <v>547</v>
      </c>
      <c r="CM244" s="800">
        <f>IF((WWWW[[#This Row],['#_Constructed/Existing protected/fenced ponds]]*250)/WWWW[[#This Row],[Total PoP ]]&gt;1,1,(WWWW[[#This Row],['#_Constructed/Existing protected/fenced ponds]]*250)/WWWW[[#This Row],[Total PoP ]])</f>
        <v>0</v>
      </c>
      <c r="CN244" s="798">
        <f>WWWW[[#This Row],[% Access to unimproved water points]]*WWWW[[#This Row],[Total PoP ]]</f>
        <v>0</v>
      </c>
      <c r="CO24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244" s="798">
        <f>WWWW[[#This Row],[HRP1]]/500</f>
        <v>1.0940000000000001</v>
      </c>
      <c r="CR244" s="803">
        <f>1-WWWW[[#This Row],[% Equitable and continuous access to sufficient quantity of domestic water]]</f>
        <v>0</v>
      </c>
      <c r="CS244" s="798">
        <f>WWWW[[#This Row],[%equitable and continuous access to sufficient quantity of safe drinking and domestic water''s GAP]]*WWWW[[#This Row],[Total PoP ]]</f>
        <v>0</v>
      </c>
      <c r="CT244" s="801">
        <f>IF(WWWW[[#This Row],[Total required water points]]-WWWW[[#This Row],['#Water points coverage]]&lt;0,0,WWWW[[#This Row],[Total required water points]]-WWWW[[#This Row],['#Water points coverage]])</f>
        <v>0</v>
      </c>
      <c r="CU244" s="801">
        <f>ROUND(IF(WWWW[[#This Row],[Total PoP ]]&lt;500,1,WWWW[[#This Row],[Total PoP ]]/500),0)</f>
        <v>1</v>
      </c>
      <c r="CV244" s="801">
        <f>(WWWW[[#This Row],['#_Constructed latrines_by_WASHAgencies]]+WWWW[[#This Row],['#_Non Cluster partner latrines]])-WWWW[[#This Row],['#_Non-functional latrines]]</f>
        <v>34</v>
      </c>
      <c r="CW244" s="804">
        <f>WWWW[[#This Row],[HRP2]]/WWWW[[#This Row],[Total PoP ]]</f>
        <v>1</v>
      </c>
      <c r="CX24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24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4" s="473">
        <f>IF(WWWW[[#This Row],['# of functional latrines in THF supported by WASH partners during the reporting period2]]="",0,WWWW[[#This Row],['# of functional latrines in THF supported by WASH partners during the reporting period2]]*50)</f>
        <v>0</v>
      </c>
      <c r="DB244" s="473">
        <f>WWWW[[#This Row],['# students access to functioning school latrines_HRP5]]+WWWW[[#This Row],['# People access to functioning latrines in THF_HRP5]]</f>
        <v>0</v>
      </c>
      <c r="DC244" s="801">
        <f>ROUND(IF(WWWW[[#This Row],[Location Type 1]]="camp",WWWW[[#This Row],[Total PoP ]]/20,IF(WWWW[[#This Row],[Location Type 1]]="Temporary Location",WWWW[[#This Row],[Total PoP ]]/50,(WWWW[[#This Row],[Total PoP ]]/6))),0)</f>
        <v>27</v>
      </c>
      <c r="DD244" s="801">
        <f>IF(WWWW[[#This Row],[Total required Latrines]]-(WWWW[[#This Row],['#_Constructed latrines_by_WASHAgencies]]+WWWW[[#This Row],['#_Non Cluster partner latrines]])&lt;0,0,WWWW[[#This Row],[Total required Latrines]]-(WWWW[[#This Row],['#_Constructed latrines_by_WASHAgencies]]+WWWW[[#This Row],['#_Non Cluster partner latrines]]))</f>
        <v>0</v>
      </c>
      <c r="DE244" s="803">
        <f>1-WWWW[[#This Row],[% people access to functioning Latrine]]</f>
        <v>0</v>
      </c>
      <c r="DF244" s="802">
        <f>IF(OR(WWWW[[#This Row],['#_Non-functional latrines]]="",WWWW[[#This Row],['#_Non-functional latrines]]=0),0,WWWW[[#This Row],['#_Non-functional latrines]]/(WWWW[[#This Row],['#_Constructed latrines_by_WASHAgencies]]+WWWW[[#This Row],['#_Non Cluster partner latrines]]))</f>
        <v>0</v>
      </c>
      <c r="DG244" s="798">
        <f>IF(500*(WWWW[[#This Row],['#_male hygiene promoters]]+WWWW[[#This Row],['#_female hygiene promoters]])&gt;WWWW[[#This Row],[Total PoP ]],WWWW[[#This Row],[Total PoP ]],500*(WWWW[[#This Row],['#_male hygiene promoters]]+WWWW[[#This Row],['#_female hygiene promoters]]))</f>
        <v>547</v>
      </c>
      <c r="DH24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4" s="801">
        <f>IF(WWWW[[#This Row],['# People with access to soap]]&gt;WWWW[[#This Row],['# People with access to Sanity Pads]],WWWW[[#This Row],['# People with access to soap]],WWWW[[#This Row],['# People with access to Sanity Pads]])</f>
        <v>0</v>
      </c>
      <c r="DK244" s="80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244" s="803">
        <f>IF(WWWW[[#This Row],[HRP3]]/WWWW[[#This Row],[Total PoP ]]&gt;1,1,WWWW[[#This Row],[HRP3]]/WWWW[[#This Row],[Total PoP ]])</f>
        <v>1</v>
      </c>
      <c r="DM244" s="802">
        <f>1-WWWW[[#This Row],[Hygiene Coverage%]]</f>
        <v>0</v>
      </c>
      <c r="DN244" s="800">
        <f>WWWW[[#This Row],['# people reached by regular dedicated hygiene promotion_5]]/WWWW[[#This Row],[Total PoP ]]</f>
        <v>1</v>
      </c>
      <c r="DO24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4" s="801">
        <f>WWWW[[#This Row],['#_Constructed/Existing hand washing stations]]-WWWW[[#This Row],['#_Non-Functional_hand_washing_stations]]</f>
        <v>2</v>
      </c>
      <c r="DR244" s="798">
        <f>IF(WWWW[[#This Row],['# Functional hand washing stations during reporting period]]*20&gt;WWWW[[#This Row],[Total HH]],WWWW[[#This Row],[Total HH]],WWWW[[#This Row],['# Functional hand washing stations during reporting period]]*20)</f>
        <v>40</v>
      </c>
      <c r="DS244" s="798">
        <f>IF(WWWW[[#This Row],[Is sufficient soap available for TLS? (Yes/No)]]="yes",WWWW[[#This Row],['#_Constructed/Existing hand washing stations at TLS]],0)</f>
        <v>0</v>
      </c>
      <c r="DT244" s="479">
        <f>IF(WWWW[[#This Row],['# Functional hand washing stations during reporting period]]*100&gt;WWWW[[#This Row],[Total PoP ]],WWWW[[#This Row],[Total PoP ]],WWWW[[#This Row],['# Functional hand washing stations during reporting period]]*100)</f>
        <v>200</v>
      </c>
      <c r="DU244" s="479" t="str">
        <f>IF(OR(WWWW[[#This Row],['#_students at TLS_CFS]]="",WWWW[[#This Row],['#_students at TLS_CFS]]=0),"No","Yes")</f>
        <v>No</v>
      </c>
      <c r="DV24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4" s="794" t="str">
        <f>VLOOKUP(WWWW[[#This Row],[Site Name]],SiteDB6[[Site Name]:[CCCM Management]],6,FALSE)</f>
        <v>Yes</v>
      </c>
      <c r="DZ244" s="794" t="str">
        <f>VLOOKUP(WWWW[[#This Row],[Site Name]],SiteDB6[[Site Name]:[CCCM Focal Agency]],7,FALSE)</f>
        <v>KBC-MYT</v>
      </c>
      <c r="EA244" s="794" t="str">
        <f>VLOOKUP(WWWW[[#This Row],[Site Name]],SiteDB6[[Site Name]:[Location Type 1]],9,FALSE)</f>
        <v>Camp</v>
      </c>
      <c r="EB244" s="794" t="str">
        <f>VLOOKUP(WWWW[[#This Row],[Site Name]],SiteDB6[[Site Name]:[Type of Accommodation]],10,FALSE)</f>
        <v>Camp</v>
      </c>
      <c r="EC244" s="794" t="str">
        <f>VLOOKUP(WWWW[[#This Row],[Site Name]],SiteDB6[[Site Name]:[Ethnic or GCA/NGCA]],11,FALSE)</f>
        <v>GCA</v>
      </c>
      <c r="ED244" s="794">
        <f>VLOOKUP(WWWW[[#This Row],[Site Name]],SiteDB6[[Site Name]:[Lat]],12,FALSE)</f>
        <v>25.428910999999999</v>
      </c>
      <c r="EE244" s="794">
        <f>VLOOKUP(WWWW[[#This Row],[Site Name]],SiteDB6[[Site Name]:[Long]],13,FALSE)</f>
        <v>97.418694000000002</v>
      </c>
      <c r="EF244" s="794" t="str">
        <f>VLOOKUP(WWWW[[#This Row],[Site Name]],SiteDB6[[Site Name]:[Pcode]],3,FALSE)</f>
        <v>MMR001CMP008</v>
      </c>
      <c r="EG244" s="799" t="str">
        <f t="shared" si="5"/>
        <v>Covered</v>
      </c>
      <c r="EH244" s="799" t="str">
        <f>VLOOKUP(WWWW[[#This Row],[Site Name]],Site_DB!$C$389:$D$1120,2,FALSE)</f>
        <v>cccm_2019OCT</v>
      </c>
    </row>
    <row r="245" spans="1:138" hidden="1">
      <c r="A245" s="792" t="s">
        <v>3262</v>
      </c>
      <c r="B245" s="792" t="s">
        <v>245</v>
      </c>
      <c r="C245" s="793" t="s">
        <v>245</v>
      </c>
      <c r="D245" s="793" t="s">
        <v>310</v>
      </c>
      <c r="E245" s="793" t="s">
        <v>39</v>
      </c>
      <c r="F245" s="793" t="s">
        <v>145</v>
      </c>
      <c r="G245" s="721" t="str">
        <f>VLOOKUP(WWWW[[#This Row],[Site Name]],SiteDB6[[Site Name]:[Location Type]],8,FALSE)</f>
        <v>Camp</v>
      </c>
      <c r="H245" s="793" t="s">
        <v>272</v>
      </c>
      <c r="I245" s="795">
        <v>347</v>
      </c>
      <c r="J245" s="795">
        <v>2065</v>
      </c>
      <c r="K245" s="796">
        <v>43313</v>
      </c>
      <c r="L245" s="797">
        <v>44043</v>
      </c>
      <c r="M245" s="795">
        <v>80</v>
      </c>
      <c r="N245" s="795">
        <v>1</v>
      </c>
      <c r="O245" s="795"/>
      <c r="P245" s="795"/>
      <c r="Q245" s="798" t="s">
        <v>43</v>
      </c>
      <c r="R245" s="795">
        <v>1</v>
      </c>
      <c r="S245" s="795">
        <v>3</v>
      </c>
      <c r="T245" s="523">
        <v>4</v>
      </c>
      <c r="U245" s="795"/>
      <c r="V245" s="795"/>
      <c r="W245" s="795">
        <v>3</v>
      </c>
      <c r="X245" s="795">
        <v>3</v>
      </c>
      <c r="Y245" s="795"/>
      <c r="Z245" s="795"/>
      <c r="AA245" s="795">
        <v>0</v>
      </c>
      <c r="AB245" s="795"/>
      <c r="AC245" s="795"/>
      <c r="AD245" s="795">
        <v>0</v>
      </c>
      <c r="AE245" s="795">
        <v>0</v>
      </c>
      <c r="AF245" s="795">
        <v>0</v>
      </c>
      <c r="AG245" s="795">
        <v>0</v>
      </c>
      <c r="AH245" s="795">
        <v>0</v>
      </c>
      <c r="AI245" s="795"/>
      <c r="AJ245" s="795"/>
      <c r="AK245" s="795"/>
      <c r="AL245" s="795"/>
      <c r="AM245" s="795">
        <v>0</v>
      </c>
      <c r="AN245" s="795">
        <v>0</v>
      </c>
      <c r="AO245" s="799"/>
      <c r="AP245" s="795">
        <v>30</v>
      </c>
      <c r="AQ245" s="795"/>
      <c r="AR245" s="800"/>
      <c r="AS245" s="795"/>
      <c r="AT245" s="795"/>
      <c r="AU245" s="795">
        <v>6</v>
      </c>
      <c r="AV245" s="795"/>
      <c r="AW245" s="795">
        <v>0</v>
      </c>
      <c r="AX245" s="794" t="s">
        <v>43</v>
      </c>
      <c r="AY245" s="799" t="s">
        <v>140</v>
      </c>
      <c r="AZ245" s="795">
        <v>0</v>
      </c>
      <c r="BA245" s="795">
        <v>0</v>
      </c>
      <c r="BB245" s="795">
        <v>0</v>
      </c>
      <c r="BC245" s="523"/>
      <c r="BD245" s="523"/>
      <c r="BE245" s="794"/>
      <c r="BF245" s="795">
        <v>20</v>
      </c>
      <c r="BG245" s="795"/>
      <c r="BH245" s="795">
        <v>0</v>
      </c>
      <c r="BI245" s="795">
        <v>7</v>
      </c>
      <c r="BJ245" s="795"/>
      <c r="BK245" s="795">
        <v>0</v>
      </c>
      <c r="BL245" s="795">
        <v>0</v>
      </c>
      <c r="BM245" s="795"/>
      <c r="BN245" s="795"/>
      <c r="BO245" s="474" t="s">
        <v>139</v>
      </c>
      <c r="BP245" s="801"/>
      <c r="BQ245" s="800"/>
      <c r="BR245" s="794"/>
      <c r="BS245" s="472"/>
      <c r="BT245" s="472"/>
      <c r="BU245" s="720"/>
      <c r="BV245" s="472"/>
      <c r="BW245" s="523"/>
      <c r="BX245" s="523"/>
      <c r="BY245" s="523"/>
      <c r="BZ245" s="802" t="str">
        <f>IFERROR(WWWW[[#This Row],['#_Water sources passed]]/WWWW[[#This Row],['#_Water sources tested for fecal coliform ]],"no test")</f>
        <v>no test</v>
      </c>
      <c r="CA245" s="800" t="str">
        <f>IFERROR(WWWW[[#This Row],['#_Household passed]]/WWWW[[#This Row],['#_Household water samples tested for fecal coliform]],"no test")</f>
        <v>no test</v>
      </c>
      <c r="CB245" s="801" t="str">
        <f>IF(AND(WWWW[[#This Row],[% of water sources passed]]="no test",WWWW[[#This Row],[% Household passed]]="no test"),"No Test","Tested")</f>
        <v>No Test</v>
      </c>
      <c r="CC245" s="801">
        <f>WWWW[[#This Row],['#_Constructed/existing protected hand dug well]]-WWWW[[#This Row],['#_Non-functional protected hand dug well]]</f>
        <v>4</v>
      </c>
      <c r="CD245" s="801">
        <f>(WWWW[[#This Row],['#_Constructed/Existing tube wells/boreholes/handpumps_WASH_agency]]+WWWW[[#This Row],['#_Non-Cluster partner water tube-wells/boreholes/handpumps]])-WWWW[[#This Row],['#_Non-functional tube wells/boreholes/handpumps]]</f>
        <v>6</v>
      </c>
      <c r="CE245" s="801">
        <f>WWWW[[#This Row],['#_Constructed/Existingwater storage tank with gravity fed reticulation system]]-WWWW[[#This Row],['#_Non-functional storage tank gravity fed reticulation system]]</f>
        <v>0</v>
      </c>
      <c r="CF245" s="801">
        <f>(WWWW[[#This Row],['#_Water_Liters_supplied_by_Water boating or water trucking]]/90)/15</f>
        <v>0</v>
      </c>
      <c r="CG245" s="801">
        <f>WWWW[[#This Row],['#_Water_Liters_from_Constructed/Existing water distribution system from river or natural spring]]/90/15</f>
        <v>0</v>
      </c>
      <c r="CH245" s="473">
        <f>WWWW[[#This Row],['#_of water points in TLS/CFS /THF]]*500</f>
        <v>0</v>
      </c>
      <c r="CI24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5" s="800">
        <f>IF(WWWW[[#This Row],[Location Type 1]]="Village",WWWW[[#This Row],[Access to safe drinking water for Village]],WWWW[[#This Row],[Access to safe drinking water for Camp]])</f>
        <v>1</v>
      </c>
      <c r="CL245" s="798">
        <f>WWWW[[#This Row],[%Equitable and continuous access to sufficient quantity of safe drinking water]]*WWWW[[#This Row],[Total PoP ]]</f>
        <v>2065</v>
      </c>
      <c r="CM245" s="800">
        <f>IF((WWWW[[#This Row],['#_Constructed/Existing protected/fenced ponds]]*250)/WWWW[[#This Row],[Total PoP ]]&gt;1,1,(WWWW[[#This Row],['#_Constructed/Existing protected/fenced ponds]]*250)/WWWW[[#This Row],[Total PoP ]])</f>
        <v>0</v>
      </c>
      <c r="CN245" s="798">
        <f>WWWW[[#This Row],[% Access to unimproved water points]]*WWWW[[#This Row],[Total PoP ]]</f>
        <v>0</v>
      </c>
      <c r="CO24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Q245" s="798">
        <f>WWWW[[#This Row],[HRP1]]/500</f>
        <v>4.13</v>
      </c>
      <c r="CR245" s="803">
        <f>1-WWWW[[#This Row],[% Equitable and continuous access to sufficient quantity of domestic water]]</f>
        <v>0</v>
      </c>
      <c r="CS245" s="798">
        <f>WWWW[[#This Row],[%equitable and continuous access to sufficient quantity of safe drinking and domestic water''s GAP]]*WWWW[[#This Row],[Total PoP ]]</f>
        <v>0</v>
      </c>
      <c r="CT245" s="801">
        <f>IF(WWWW[[#This Row],[Total required water points]]-WWWW[[#This Row],['#Water points coverage]]&lt;0,0,WWWW[[#This Row],[Total required water points]]-WWWW[[#This Row],['#Water points coverage]])</f>
        <v>0</v>
      </c>
      <c r="CU245" s="801">
        <f>ROUND(IF(WWWW[[#This Row],[Total PoP ]]&lt;500,1,WWWW[[#This Row],[Total PoP ]]/500),0)</f>
        <v>4</v>
      </c>
      <c r="CV245" s="801">
        <f>(WWWW[[#This Row],['#_Constructed latrines_by_WASHAgencies]]+WWWW[[#This Row],['#_Non Cluster partner latrines]])-WWWW[[#This Row],['#_Non-functional latrines]]</f>
        <v>30</v>
      </c>
      <c r="CW245" s="804">
        <f>WWWW[[#This Row],[HRP2]]/WWWW[[#This Row],[Total PoP ]]</f>
        <v>0.29055690072639223</v>
      </c>
      <c r="CX24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600</v>
      </c>
      <c r="CY24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24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5" s="473">
        <f>IF(WWWW[[#This Row],['# of functional latrines in THF supported by WASH partners during the reporting period2]]="",0,WWWW[[#This Row],['# of functional latrines in THF supported by WASH partners during the reporting period2]]*50)</f>
        <v>0</v>
      </c>
      <c r="DB245" s="473">
        <f>WWWW[[#This Row],['# students access to functioning school latrines_HRP5]]+WWWW[[#This Row],['# People access to functioning latrines in THF_HRP5]]</f>
        <v>0</v>
      </c>
      <c r="DC245" s="801">
        <f>ROUND(IF(WWWW[[#This Row],[Location Type 1]]="camp",WWWW[[#This Row],[Total PoP ]]/20,IF(WWWW[[#This Row],[Location Type 1]]="Temporary Location",WWWW[[#This Row],[Total PoP ]]/50,(WWWW[[#This Row],[Total PoP ]]/6))),0)</f>
        <v>103</v>
      </c>
      <c r="DD245" s="801">
        <f>IF(WWWW[[#This Row],[Total required Latrines]]-(WWWW[[#This Row],['#_Constructed latrines_by_WASHAgencies]]+WWWW[[#This Row],['#_Non Cluster partner latrines]])&lt;0,0,WWWW[[#This Row],[Total required Latrines]]-(WWWW[[#This Row],['#_Constructed latrines_by_WASHAgencies]]+WWWW[[#This Row],['#_Non Cluster partner latrines]]))</f>
        <v>73</v>
      </c>
      <c r="DE245" s="803">
        <f>1-WWWW[[#This Row],[% people access to functioning Latrine]]</f>
        <v>0.70944309927360782</v>
      </c>
      <c r="DF245" s="802">
        <f>IF(OR(WWWW[[#This Row],['#_Non-functional latrines]]="",WWWW[[#This Row],['#_Non-functional latrines]]=0),0,WWWW[[#This Row],['#_Non-functional latrines]]/(WWWW[[#This Row],['#_Constructed latrines_by_WASHAgencies]]+WWWW[[#This Row],['#_Non Cluster partner latrines]]))</f>
        <v>0</v>
      </c>
      <c r="DG245" s="798">
        <f>IF(500*(WWWW[[#This Row],['#_male hygiene promoters]]+WWWW[[#This Row],['#_female hygiene promoters]])&gt;WWWW[[#This Row],[Total PoP ]],WWWW[[#This Row],[Total PoP ]],500*(WWWW[[#This Row],['#_male hygiene promoters]]+WWWW[[#This Row],['#_female hygiene promoters]]))</f>
        <v>0</v>
      </c>
      <c r="DH24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5" s="801">
        <f>IF(WWWW[[#This Row],['# People with access to soap]]&gt;WWWW[[#This Row],['# People with access to Sanity Pads]],WWWW[[#This Row],['# People with access to soap]],WWWW[[#This Row],['# People with access to Sanity Pads]])</f>
        <v>0</v>
      </c>
      <c r="DK245"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5" s="803">
        <f>IF(WWWW[[#This Row],[HRP3]]/WWWW[[#This Row],[Total PoP ]]&gt;1,1,WWWW[[#This Row],[HRP3]]/WWWW[[#This Row],[Total PoP ]])</f>
        <v>0</v>
      </c>
      <c r="DM245" s="802">
        <f>1-WWWW[[#This Row],[Hygiene Coverage%]]</f>
        <v>1</v>
      </c>
      <c r="DN245" s="800">
        <f>WWWW[[#This Row],['# people reached by regular dedicated hygiene promotion_5]]/WWWW[[#This Row],[Total PoP ]]</f>
        <v>0</v>
      </c>
      <c r="DO24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5" s="801">
        <f>WWWW[[#This Row],['#_Constructed/Existing hand washing stations]]-WWWW[[#This Row],['#_Non-Functional_hand_washing_stations]]</f>
        <v>20</v>
      </c>
      <c r="DR245" s="798">
        <f>IF(WWWW[[#This Row],['# Functional hand washing stations during reporting period]]*20&gt;WWWW[[#This Row],[Total HH]],WWWW[[#This Row],[Total HH]],WWWW[[#This Row],['# Functional hand washing stations during reporting period]]*20)</f>
        <v>347</v>
      </c>
      <c r="DS245" s="798">
        <f>IF(WWWW[[#This Row],[Is sufficient soap available for TLS? (Yes/No)]]="yes",WWWW[[#This Row],['#_Constructed/Existing hand washing stations at TLS]],0)</f>
        <v>0</v>
      </c>
      <c r="DT245" s="479">
        <f>IF(WWWW[[#This Row],['# Functional hand washing stations during reporting period]]*100&gt;WWWW[[#This Row],[Total PoP ]],WWWW[[#This Row],[Total PoP ]],WWWW[[#This Row],['# Functional hand washing stations during reporting period]]*100)</f>
        <v>2000</v>
      </c>
      <c r="DU245" s="479" t="str">
        <f>IF(OR(WWWW[[#This Row],['#_students at TLS_CFS]]="",WWWW[[#This Row],['#_students at TLS_CFS]]=0),"No","Yes")</f>
        <v>Yes</v>
      </c>
      <c r="DV24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5" s="794" t="str">
        <f>VLOOKUP(WWWW[[#This Row],[Site Name]],SiteDB6[[Site Name]:[CCCM Management]],6,FALSE)</f>
        <v>Yes</v>
      </c>
      <c r="DZ245" s="794" t="str">
        <f>VLOOKUP(WWWW[[#This Row],[Site Name]],SiteDB6[[Site Name]:[CCCM Focal Agency]],7,FALSE)</f>
        <v>Shalom</v>
      </c>
      <c r="EA245" s="794" t="str">
        <f>VLOOKUP(WWWW[[#This Row],[Site Name]],SiteDB6[[Site Name]:[Location Type 1]],9,FALSE)</f>
        <v>Camp</v>
      </c>
      <c r="EB245" s="794" t="str">
        <f>VLOOKUP(WWWW[[#This Row],[Site Name]],SiteDB6[[Site Name]:[Type of Accommodation]],10,FALSE)</f>
        <v>Camp</v>
      </c>
      <c r="EC245" s="794" t="str">
        <f>VLOOKUP(WWWW[[#This Row],[Site Name]],SiteDB6[[Site Name]:[Ethnic or GCA/NGCA]],11,FALSE)</f>
        <v>GCA</v>
      </c>
      <c r="ED245" s="794">
        <f>VLOOKUP(WWWW[[#This Row],[Site Name]],SiteDB6[[Site Name]:[Lat]],12,FALSE)</f>
        <v>25.424529444444399</v>
      </c>
      <c r="EE245" s="794">
        <f>VLOOKUP(WWWW[[#This Row],[Site Name]],SiteDB6[[Site Name]:[Long]],13,FALSE)</f>
        <v>97.433419259259296</v>
      </c>
      <c r="EF245" s="794" t="str">
        <f>VLOOKUP(WWWW[[#This Row],[Site Name]],SiteDB6[[Site Name]:[Pcode]],3,FALSE)</f>
        <v>MMR001CMP031</v>
      </c>
      <c r="EG245" s="799" t="str">
        <f t="shared" si="5"/>
        <v>Covered</v>
      </c>
      <c r="EH245" s="799" t="str">
        <f>VLOOKUP(WWWW[[#This Row],[Site Name]],Site_DB!$C$389:$D$1120,2,FALSE)</f>
        <v>cccm_2019OCT</v>
      </c>
    </row>
    <row r="246" spans="1:138" hidden="1">
      <c r="A246" s="792" t="s">
        <v>3262</v>
      </c>
      <c r="B246" s="792" t="s">
        <v>245</v>
      </c>
      <c r="C246" s="793" t="s">
        <v>245</v>
      </c>
      <c r="D246" s="793" t="s">
        <v>310</v>
      </c>
      <c r="E246" s="793" t="s">
        <v>39</v>
      </c>
      <c r="F246" s="793" t="s">
        <v>162</v>
      </c>
      <c r="G246" s="721" t="str">
        <f>VLOOKUP(WWWW[[#This Row],[Site Name]],SiteDB6[[Site Name]:[Location Type]],8,FALSE)</f>
        <v>Camp</v>
      </c>
      <c r="H246" s="793" t="s">
        <v>266</v>
      </c>
      <c r="I246" s="795">
        <v>22</v>
      </c>
      <c r="J246" s="795">
        <v>92</v>
      </c>
      <c r="K246" s="796">
        <v>43313</v>
      </c>
      <c r="L246" s="797">
        <v>44043</v>
      </c>
      <c r="M246" s="795"/>
      <c r="N246" s="795">
        <v>1</v>
      </c>
      <c r="O246" s="795"/>
      <c r="P246" s="795"/>
      <c r="Q246" s="798" t="s">
        <v>43</v>
      </c>
      <c r="R246" s="795">
        <v>3</v>
      </c>
      <c r="S246" s="795">
        <v>7</v>
      </c>
      <c r="T246" s="523">
        <v>1</v>
      </c>
      <c r="U246" s="795"/>
      <c r="V246" s="795"/>
      <c r="W246" s="795">
        <v>1</v>
      </c>
      <c r="X246" s="795">
        <v>1</v>
      </c>
      <c r="Y246" s="795"/>
      <c r="Z246" s="795"/>
      <c r="AA246" s="795"/>
      <c r="AB246" s="795"/>
      <c r="AC246" s="795"/>
      <c r="AD246" s="795"/>
      <c r="AE246" s="795"/>
      <c r="AF246" s="795"/>
      <c r="AG246" s="795"/>
      <c r="AH246" s="795"/>
      <c r="AI246" s="795"/>
      <c r="AJ246" s="795"/>
      <c r="AK246" s="795"/>
      <c r="AL246" s="795"/>
      <c r="AM246" s="795"/>
      <c r="AN246" s="795"/>
      <c r="AO246" s="799"/>
      <c r="AP246" s="795">
        <v>5</v>
      </c>
      <c r="AQ246" s="795"/>
      <c r="AR246" s="800"/>
      <c r="AS246" s="795"/>
      <c r="AT246" s="795"/>
      <c r="AU246" s="795"/>
      <c r="AV246" s="795"/>
      <c r="AW246" s="795"/>
      <c r="AX246" s="794" t="s">
        <v>43</v>
      </c>
      <c r="AY246" s="799" t="s">
        <v>1195</v>
      </c>
      <c r="AZ246" s="795"/>
      <c r="BA246" s="795"/>
      <c r="BB246" s="795"/>
      <c r="BC246" s="523"/>
      <c r="BD246" s="523"/>
      <c r="BE246" s="794"/>
      <c r="BF246" s="795">
        <v>4</v>
      </c>
      <c r="BG246" s="795"/>
      <c r="BH246" s="795">
        <v>0</v>
      </c>
      <c r="BI246" s="795">
        <v>2</v>
      </c>
      <c r="BJ246" s="795"/>
      <c r="BK246" s="795">
        <v>0</v>
      </c>
      <c r="BL246" s="795">
        <v>0</v>
      </c>
      <c r="BM246" s="795"/>
      <c r="BN246" s="795"/>
      <c r="BO246" s="794"/>
      <c r="BP246" s="801"/>
      <c r="BQ246" s="800"/>
      <c r="BR246" s="794"/>
      <c r="BS246" s="472"/>
      <c r="BT246" s="472"/>
      <c r="BU246" s="720"/>
      <c r="BV246" s="472"/>
      <c r="BW246" s="523"/>
      <c r="BX246" s="523"/>
      <c r="BY246" s="523"/>
      <c r="BZ246" s="802" t="str">
        <f>IFERROR(WWWW[[#This Row],['#_Water sources passed]]/WWWW[[#This Row],['#_Water sources tested for fecal coliform ]],"no test")</f>
        <v>no test</v>
      </c>
      <c r="CA246" s="800" t="str">
        <f>IFERROR(WWWW[[#This Row],['#_Household passed]]/WWWW[[#This Row],['#_Household water samples tested for fecal coliform]],"no test")</f>
        <v>no test</v>
      </c>
      <c r="CB246" s="801" t="str">
        <f>IF(AND(WWWW[[#This Row],[% of water sources passed]]="no test",WWWW[[#This Row],[% Household passed]]="no test"),"No Test","Tested")</f>
        <v>No Test</v>
      </c>
      <c r="CC246" s="801">
        <f>WWWW[[#This Row],['#_Constructed/existing protected hand dug well]]-WWWW[[#This Row],['#_Non-functional protected hand dug well]]</f>
        <v>1</v>
      </c>
      <c r="CD246" s="801">
        <f>(WWWW[[#This Row],['#_Constructed/Existing tube wells/boreholes/handpumps_WASH_agency]]+WWWW[[#This Row],['#_Non-Cluster partner water tube-wells/boreholes/handpumps]])-WWWW[[#This Row],['#_Non-functional tube wells/boreholes/handpumps]]</f>
        <v>2</v>
      </c>
      <c r="CE246" s="801">
        <f>WWWW[[#This Row],['#_Constructed/Existingwater storage tank with gravity fed reticulation system]]-WWWW[[#This Row],['#_Non-functional storage tank gravity fed reticulation system]]</f>
        <v>0</v>
      </c>
      <c r="CF246" s="801">
        <f>(WWWW[[#This Row],['#_Water_Liters_supplied_by_Water boating or water trucking]]/90)/15</f>
        <v>0</v>
      </c>
      <c r="CG246" s="801">
        <f>WWWW[[#This Row],['#_Water_Liters_from_Constructed/Existing water distribution system from river or natural spring]]/90/15</f>
        <v>0</v>
      </c>
      <c r="CH246" s="473">
        <f>WWWW[[#This Row],['#_of water points in TLS/CFS /THF]]*500</f>
        <v>0</v>
      </c>
      <c r="CI24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6" s="800">
        <f>IF(WWWW[[#This Row],[Location Type 1]]="Village",WWWW[[#This Row],[Access to safe drinking water for Village]],WWWW[[#This Row],[Access to safe drinking water for Camp]])</f>
        <v>1</v>
      </c>
      <c r="CL246" s="798">
        <f>WWWW[[#This Row],[%Equitable and continuous access to sufficient quantity of safe drinking water]]*WWWW[[#This Row],[Total PoP ]]</f>
        <v>92</v>
      </c>
      <c r="CM246" s="800">
        <f>IF((WWWW[[#This Row],['#_Constructed/Existing protected/fenced ponds]]*250)/WWWW[[#This Row],[Total PoP ]]&gt;1,1,(WWWW[[#This Row],['#_Constructed/Existing protected/fenced ponds]]*250)/WWWW[[#This Row],[Total PoP ]])</f>
        <v>0</v>
      </c>
      <c r="CN246" s="798">
        <f>WWWW[[#This Row],[% Access to unimproved water points]]*WWWW[[#This Row],[Total PoP ]]</f>
        <v>0</v>
      </c>
      <c r="CO24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Q246" s="798">
        <f>WWWW[[#This Row],[HRP1]]/500</f>
        <v>0.184</v>
      </c>
      <c r="CR246" s="803">
        <f>1-WWWW[[#This Row],[% Equitable and continuous access to sufficient quantity of domestic water]]</f>
        <v>0</v>
      </c>
      <c r="CS246" s="798">
        <f>WWWW[[#This Row],[%equitable and continuous access to sufficient quantity of safe drinking and domestic water''s GAP]]*WWWW[[#This Row],[Total PoP ]]</f>
        <v>0</v>
      </c>
      <c r="CT246" s="801">
        <f>IF(WWWW[[#This Row],[Total required water points]]-WWWW[[#This Row],['#Water points coverage]]&lt;0,0,WWWW[[#This Row],[Total required water points]]-WWWW[[#This Row],['#Water points coverage]])</f>
        <v>0.81600000000000006</v>
      </c>
      <c r="CU246" s="801">
        <f>ROUND(IF(WWWW[[#This Row],[Total PoP ]]&lt;500,1,WWWW[[#This Row],[Total PoP ]]/500),0)</f>
        <v>1</v>
      </c>
      <c r="CV246" s="801">
        <f>(WWWW[[#This Row],['#_Constructed latrines_by_WASHAgencies]]+WWWW[[#This Row],['#_Non Cluster partner latrines]])-WWWW[[#This Row],['#_Non-functional latrines]]</f>
        <v>5</v>
      </c>
      <c r="CW246" s="804">
        <f>WWWW[[#This Row],[HRP2]]/WWWW[[#This Row],[Total PoP ]]</f>
        <v>1</v>
      </c>
      <c r="CX24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92</v>
      </c>
      <c r="CY24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6" s="473">
        <f>IF(WWWW[[#This Row],['# of functional latrines in THF supported by WASH partners during the reporting period2]]="",0,WWWW[[#This Row],['# of functional latrines in THF supported by WASH partners during the reporting period2]]*50)</f>
        <v>0</v>
      </c>
      <c r="DB246" s="473">
        <f>WWWW[[#This Row],['# students access to functioning school latrines_HRP5]]+WWWW[[#This Row],['# People access to functioning latrines in THF_HRP5]]</f>
        <v>0</v>
      </c>
      <c r="DC246" s="801">
        <f>ROUND(IF(WWWW[[#This Row],[Location Type 1]]="camp",WWWW[[#This Row],[Total PoP ]]/20,IF(WWWW[[#This Row],[Location Type 1]]="Temporary Location",WWWW[[#This Row],[Total PoP ]]/50,(WWWW[[#This Row],[Total PoP ]]/6))),0)</f>
        <v>5</v>
      </c>
      <c r="DD246" s="801">
        <f>IF(WWWW[[#This Row],[Total required Latrines]]-(WWWW[[#This Row],['#_Constructed latrines_by_WASHAgencies]]+WWWW[[#This Row],['#_Non Cluster partner latrines]])&lt;0,0,WWWW[[#This Row],[Total required Latrines]]-(WWWW[[#This Row],['#_Constructed latrines_by_WASHAgencies]]+WWWW[[#This Row],['#_Non Cluster partner latrines]]))</f>
        <v>0</v>
      </c>
      <c r="DE246" s="803">
        <f>1-WWWW[[#This Row],[% people access to functioning Latrine]]</f>
        <v>0</v>
      </c>
      <c r="DF246" s="802">
        <f>IF(OR(WWWW[[#This Row],['#_Non-functional latrines]]="",WWWW[[#This Row],['#_Non-functional latrines]]=0),0,WWWW[[#This Row],['#_Non-functional latrines]]/(WWWW[[#This Row],['#_Constructed latrines_by_WASHAgencies]]+WWWW[[#This Row],['#_Non Cluster partner latrines]]))</f>
        <v>0</v>
      </c>
      <c r="DG246" s="798">
        <f>IF(500*(WWWW[[#This Row],['#_male hygiene promoters]]+WWWW[[#This Row],['#_female hygiene promoters]])&gt;WWWW[[#This Row],[Total PoP ]],WWWW[[#This Row],[Total PoP ]],500*(WWWW[[#This Row],['#_male hygiene promoters]]+WWWW[[#This Row],['#_female hygiene promoters]]))</f>
        <v>0</v>
      </c>
      <c r="DH24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6" s="801">
        <f>IF(WWWW[[#This Row],['# People with access to soap]]&gt;WWWW[[#This Row],['# People with access to Sanity Pads]],WWWW[[#This Row],['# People with access to soap]],WWWW[[#This Row],['# People with access to Sanity Pads]])</f>
        <v>0</v>
      </c>
      <c r="DK24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6" s="803">
        <f>IF(WWWW[[#This Row],[HRP3]]/WWWW[[#This Row],[Total PoP ]]&gt;1,1,WWWW[[#This Row],[HRP3]]/WWWW[[#This Row],[Total PoP ]])</f>
        <v>0</v>
      </c>
      <c r="DM246" s="802">
        <f>1-WWWW[[#This Row],[Hygiene Coverage%]]</f>
        <v>1</v>
      </c>
      <c r="DN246" s="800">
        <f>WWWW[[#This Row],['# people reached by regular dedicated hygiene promotion_5]]/WWWW[[#This Row],[Total PoP ]]</f>
        <v>0</v>
      </c>
      <c r="DO24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6" s="801">
        <f>WWWW[[#This Row],['#_Constructed/Existing hand washing stations]]-WWWW[[#This Row],['#_Non-Functional_hand_washing_stations]]</f>
        <v>4</v>
      </c>
      <c r="DR246" s="798">
        <f>IF(WWWW[[#This Row],['# Functional hand washing stations during reporting period]]*20&gt;WWWW[[#This Row],[Total HH]],WWWW[[#This Row],[Total HH]],WWWW[[#This Row],['# Functional hand washing stations during reporting period]]*20)</f>
        <v>22</v>
      </c>
      <c r="DS246" s="798">
        <f>IF(WWWW[[#This Row],[Is sufficient soap available for TLS? (Yes/No)]]="yes",WWWW[[#This Row],['#_Constructed/Existing hand washing stations at TLS]],0)</f>
        <v>0</v>
      </c>
      <c r="DT246" s="479">
        <f>IF(WWWW[[#This Row],['# Functional hand washing stations during reporting period]]*100&gt;WWWW[[#This Row],[Total PoP ]],WWWW[[#This Row],[Total PoP ]],WWWW[[#This Row],['# Functional hand washing stations during reporting period]]*100)</f>
        <v>92</v>
      </c>
      <c r="DU246" s="479" t="str">
        <f>IF(OR(WWWW[[#This Row],['#_students at TLS_CFS]]="",WWWW[[#This Row],['#_students at TLS_CFS]]=0),"No","Yes")</f>
        <v>No</v>
      </c>
      <c r="DV24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6" s="794" t="str">
        <f>VLOOKUP(WWWW[[#This Row],[Site Name]],SiteDB6[[Site Name]:[CCCM Management]],6,FALSE)</f>
        <v>Yes</v>
      </c>
      <c r="DZ246" s="794" t="str">
        <f>VLOOKUP(WWWW[[#This Row],[Site Name]],SiteDB6[[Site Name]:[CCCM Focal Agency]],7,FALSE)</f>
        <v>Shalom</v>
      </c>
      <c r="EA246" s="794" t="str">
        <f>VLOOKUP(WWWW[[#This Row],[Site Name]],SiteDB6[[Site Name]:[Location Type 1]],9,FALSE)</f>
        <v>Camp</v>
      </c>
      <c r="EB246" s="794" t="str">
        <f>VLOOKUP(WWWW[[#This Row],[Site Name]],SiteDB6[[Site Name]:[Type of Accommodation]],10,FALSE)</f>
        <v>Camp</v>
      </c>
      <c r="EC246" s="794" t="str">
        <f>VLOOKUP(WWWW[[#This Row],[Site Name]],SiteDB6[[Site Name]:[Ethnic or GCA/NGCA]],11,FALSE)</f>
        <v>GCA</v>
      </c>
      <c r="ED246" s="794">
        <f>VLOOKUP(WWWW[[#This Row],[Site Name]],SiteDB6[[Site Name]:[Lat]],12,FALSE)</f>
        <v>25.374343974359</v>
      </c>
      <c r="EE246" s="794">
        <f>VLOOKUP(WWWW[[#This Row],[Site Name]],SiteDB6[[Site Name]:[Long]],13,FALSE)</f>
        <v>97.2843958974359</v>
      </c>
      <c r="EF246" s="794" t="str">
        <f>VLOOKUP(WWWW[[#This Row],[Site Name]],SiteDB6[[Site Name]:[Pcode]],3,FALSE)</f>
        <v>MMR001CMP020</v>
      </c>
      <c r="EG246" s="799" t="str">
        <f t="shared" si="5"/>
        <v>Covered</v>
      </c>
      <c r="EH246" s="799" t="str">
        <f>VLOOKUP(WWWW[[#This Row],[Site Name]],Site_DB!$C$389:$D$1120,2,FALSE)</f>
        <v>cccm_2019OCT</v>
      </c>
    </row>
    <row r="247" spans="1:138" hidden="1">
      <c r="A247" s="792" t="s">
        <v>3262</v>
      </c>
      <c r="B247" s="792" t="s">
        <v>144</v>
      </c>
      <c r="C247" s="793" t="s">
        <v>144</v>
      </c>
      <c r="D247" s="793"/>
      <c r="E247" s="793" t="s">
        <v>39</v>
      </c>
      <c r="F247" s="793" t="s">
        <v>217</v>
      </c>
      <c r="G247" s="721" t="str">
        <f>VLOOKUP(WWWW[[#This Row],[Site Name]],SiteDB6[[Site Name]:[Location Type]],8,FALSE)</f>
        <v>Camp_not registered</v>
      </c>
      <c r="H247" s="793" t="s">
        <v>2077</v>
      </c>
      <c r="I247" s="795">
        <v>63</v>
      </c>
      <c r="J247" s="795">
        <v>270</v>
      </c>
      <c r="K247" s="796"/>
      <c r="L247" s="797"/>
      <c r="M247" s="795"/>
      <c r="N247" s="795"/>
      <c r="O247" s="795"/>
      <c r="P247" s="795"/>
      <c r="Q247" s="798"/>
      <c r="R247" s="795"/>
      <c r="S247" s="795">
        <v>5</v>
      </c>
      <c r="T247" s="523"/>
      <c r="U247" s="795"/>
      <c r="V247" s="795"/>
      <c r="W247" s="795"/>
      <c r="X247" s="795"/>
      <c r="Y247" s="795"/>
      <c r="Z247" s="795"/>
      <c r="AA247" s="795"/>
      <c r="AB247" s="795"/>
      <c r="AC247" s="795"/>
      <c r="AD247" s="795"/>
      <c r="AE247" s="795"/>
      <c r="AF247" s="795"/>
      <c r="AG247" s="795"/>
      <c r="AH247" s="795"/>
      <c r="AI247" s="795"/>
      <c r="AJ247" s="795"/>
      <c r="AK247" s="795"/>
      <c r="AL247" s="795"/>
      <c r="AM247" s="795"/>
      <c r="AN247" s="795"/>
      <c r="AO247" s="799"/>
      <c r="AP247" s="795"/>
      <c r="AQ247" s="795"/>
      <c r="AR247" s="800"/>
      <c r="AS247" s="795"/>
      <c r="AT247" s="795"/>
      <c r="AU247" s="795"/>
      <c r="AV247" s="795"/>
      <c r="AW247" s="795"/>
      <c r="AX247" s="799" t="s">
        <v>143</v>
      </c>
      <c r="AY247" s="799" t="s">
        <v>143</v>
      </c>
      <c r="AZ247" s="795"/>
      <c r="BA247" s="795"/>
      <c r="BB247" s="795"/>
      <c r="BC247" s="523"/>
      <c r="BD247" s="523"/>
      <c r="BE247" s="794"/>
      <c r="BF247" s="795"/>
      <c r="BG247" s="795"/>
      <c r="BH247" s="795"/>
      <c r="BI247" s="795"/>
      <c r="BJ247" s="795"/>
      <c r="BK247" s="795"/>
      <c r="BL247" s="795"/>
      <c r="BM247" s="795"/>
      <c r="BN247" s="795"/>
      <c r="BO247" s="794"/>
      <c r="BP247" s="801"/>
      <c r="BQ247" s="800"/>
      <c r="BR247" s="794"/>
      <c r="BS247" s="472"/>
      <c r="BT247" s="472"/>
      <c r="BU247" s="523"/>
      <c r="BV247" s="472"/>
      <c r="BW247" s="523"/>
      <c r="BX247" s="523"/>
      <c r="BY247" s="523"/>
      <c r="BZ247" s="802" t="str">
        <f>IFERROR(WWWW[[#This Row],['#_Water sources passed]]/WWWW[[#This Row],['#_Water sources tested for fecal coliform ]],"no test")</f>
        <v>no test</v>
      </c>
      <c r="CA247" s="800" t="str">
        <f>IFERROR(WWWW[[#This Row],['#_Household passed]]/WWWW[[#This Row],['#_Household water samples tested for fecal coliform]],"no test")</f>
        <v>no test</v>
      </c>
      <c r="CB247" s="801" t="str">
        <f>IF(AND(WWWW[[#This Row],[% of water sources passed]]="no test",WWWW[[#This Row],[% Household passed]]="no test"),"No Test","Tested")</f>
        <v>No Test</v>
      </c>
      <c r="CC247" s="801">
        <f>WWWW[[#This Row],['#_Constructed/existing protected hand dug well]]-WWWW[[#This Row],['#_Non-functional protected hand dug well]]</f>
        <v>0</v>
      </c>
      <c r="CD247" s="801">
        <f>(WWWW[[#This Row],['#_Constructed/Existing tube wells/boreholes/handpumps_WASH_agency]]+WWWW[[#This Row],['#_Non-Cluster partner water tube-wells/boreholes/handpumps]])-WWWW[[#This Row],['#_Non-functional tube wells/boreholes/handpumps]]</f>
        <v>0</v>
      </c>
      <c r="CE247" s="801">
        <f>WWWW[[#This Row],['#_Constructed/Existingwater storage tank with gravity fed reticulation system]]-WWWW[[#This Row],['#_Non-functional storage tank gravity fed reticulation system]]</f>
        <v>0</v>
      </c>
      <c r="CF247" s="801">
        <f>(WWWW[[#This Row],['#_Water_Liters_supplied_by_Water boating or water trucking]]/90)/15</f>
        <v>0</v>
      </c>
      <c r="CG247" s="801">
        <f>WWWW[[#This Row],['#_Water_Liters_from_Constructed/Existing water distribution system from river or natural spring]]/90/15</f>
        <v>0</v>
      </c>
      <c r="CH247" s="473">
        <f>WWWW[[#This Row],['#_of water points in TLS/CFS /THF]]*500</f>
        <v>0</v>
      </c>
      <c r="CI24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4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47" s="800">
        <f>IF(WWWW[[#This Row],[Location Type 1]]="Village",WWWW[[#This Row],[Access to safe drinking water for Village]],WWWW[[#This Row],[Access to safe drinking water for Camp]])</f>
        <v>0</v>
      </c>
      <c r="CL247" s="798">
        <f>WWWW[[#This Row],[%Equitable and continuous access to sufficient quantity of safe drinking water]]*WWWW[[#This Row],[Total PoP ]]</f>
        <v>0</v>
      </c>
      <c r="CM247" s="800">
        <f>IF((WWWW[[#This Row],['#_Constructed/Existing protected/fenced ponds]]*250)/WWWW[[#This Row],[Total PoP ]]&gt;1,1,(WWWW[[#This Row],['#_Constructed/Existing protected/fenced ponds]]*250)/WWWW[[#This Row],[Total PoP ]])</f>
        <v>0</v>
      </c>
      <c r="CN247" s="798">
        <f>WWWW[[#This Row],[% Access to unimproved water points]]*WWWW[[#This Row],[Total PoP ]]</f>
        <v>0</v>
      </c>
      <c r="CO24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4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47" s="798">
        <f>WWWW[[#This Row],[HRP1]]/500</f>
        <v>0</v>
      </c>
      <c r="CR247" s="803">
        <f>1-WWWW[[#This Row],[% Equitable and continuous access to sufficient quantity of domestic water]]</f>
        <v>1</v>
      </c>
      <c r="CS247" s="798">
        <f>WWWW[[#This Row],[%equitable and continuous access to sufficient quantity of safe drinking and domestic water''s GAP]]*WWWW[[#This Row],[Total PoP ]]</f>
        <v>270</v>
      </c>
      <c r="CT247" s="801">
        <f>IF(WWWW[[#This Row],[Total required water points]]-WWWW[[#This Row],['#Water points coverage]]&lt;0,0,WWWW[[#This Row],[Total required water points]]-WWWW[[#This Row],['#Water points coverage]])</f>
        <v>1</v>
      </c>
      <c r="CU247" s="801">
        <f>ROUND(IF(WWWW[[#This Row],[Total PoP ]]&lt;500,1,WWWW[[#This Row],[Total PoP ]]/500),0)</f>
        <v>1</v>
      </c>
      <c r="CV247" s="801">
        <f>(WWWW[[#This Row],['#_Constructed latrines_by_WASHAgencies]]+WWWW[[#This Row],['#_Non Cluster partner latrines]])-WWWW[[#This Row],['#_Non-functional latrines]]</f>
        <v>0</v>
      </c>
      <c r="CW247" s="804">
        <f>WWWW[[#This Row],[HRP2]]/WWWW[[#This Row],[Total PoP ]]</f>
        <v>0</v>
      </c>
      <c r="CX24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4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7" s="473">
        <f>IF(WWWW[[#This Row],['# of functional latrines in THF supported by WASH partners during the reporting period2]]="",0,WWWW[[#This Row],['# of functional latrines in THF supported by WASH partners during the reporting period2]]*50)</f>
        <v>0</v>
      </c>
      <c r="DB247" s="473">
        <f>WWWW[[#This Row],['# students access to functioning school latrines_HRP5]]+WWWW[[#This Row],['# People access to functioning latrines in THF_HRP5]]</f>
        <v>0</v>
      </c>
      <c r="DC247" s="801">
        <f>ROUND(IF(WWWW[[#This Row],[Location Type 1]]="camp",WWWW[[#This Row],[Total PoP ]]/20,IF(WWWW[[#This Row],[Location Type 1]]="Temporary Location",WWWW[[#This Row],[Total PoP ]]/50,(WWWW[[#This Row],[Total PoP ]]/6))),0)</f>
        <v>14</v>
      </c>
      <c r="DD247" s="801">
        <f>IF(WWWW[[#This Row],[Total required Latrines]]-(WWWW[[#This Row],['#_Constructed latrines_by_WASHAgencies]]+WWWW[[#This Row],['#_Non Cluster partner latrines]])&lt;0,0,WWWW[[#This Row],[Total required Latrines]]-(WWWW[[#This Row],['#_Constructed latrines_by_WASHAgencies]]+WWWW[[#This Row],['#_Non Cluster partner latrines]]))</f>
        <v>14</v>
      </c>
      <c r="DE247" s="803">
        <f>1-WWWW[[#This Row],[% people access to functioning Latrine]]</f>
        <v>1</v>
      </c>
      <c r="DF247" s="802">
        <f>IF(OR(WWWW[[#This Row],['#_Non-functional latrines]]="",WWWW[[#This Row],['#_Non-functional latrines]]=0),0,WWWW[[#This Row],['#_Non-functional latrines]]/(WWWW[[#This Row],['#_Constructed latrines_by_WASHAgencies]]+WWWW[[#This Row],['#_Non Cluster partner latrines]]))</f>
        <v>0</v>
      </c>
      <c r="DG247" s="798">
        <f>IF(500*(WWWW[[#This Row],['#_male hygiene promoters]]+WWWW[[#This Row],['#_female hygiene promoters]])&gt;WWWW[[#This Row],[Total PoP ]],WWWW[[#This Row],[Total PoP ]],500*(WWWW[[#This Row],['#_male hygiene promoters]]+WWWW[[#This Row],['#_female hygiene promoters]]))</f>
        <v>0</v>
      </c>
      <c r="DH24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7" s="801">
        <f>IF(WWWW[[#This Row],['# People with access to soap]]&gt;WWWW[[#This Row],['# People with access to Sanity Pads]],WWWW[[#This Row],['# People with access to soap]],WWWW[[#This Row],['# People with access to Sanity Pads]])</f>
        <v>0</v>
      </c>
      <c r="DK24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47" s="803">
        <f>IF(WWWW[[#This Row],[HRP3]]/WWWW[[#This Row],[Total PoP ]]&gt;1,1,WWWW[[#This Row],[HRP3]]/WWWW[[#This Row],[Total PoP ]])</f>
        <v>0</v>
      </c>
      <c r="DM247" s="802">
        <f>1-WWWW[[#This Row],[Hygiene Coverage%]]</f>
        <v>1</v>
      </c>
      <c r="DN247" s="800">
        <f>WWWW[[#This Row],['# people reached by regular dedicated hygiene promotion_5]]/WWWW[[#This Row],[Total PoP ]]</f>
        <v>0</v>
      </c>
      <c r="DO24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7" s="801">
        <f>WWWW[[#This Row],['#_Constructed/Existing hand washing stations]]-WWWW[[#This Row],['#_Non-Functional_hand_washing_stations]]</f>
        <v>0</v>
      </c>
      <c r="DR247" s="798">
        <f>IF(WWWW[[#This Row],['# Functional hand washing stations during reporting period]]*20&gt;WWWW[[#This Row],[Total HH]],WWWW[[#This Row],[Total HH]],WWWW[[#This Row],['# Functional hand washing stations during reporting period]]*20)</f>
        <v>0</v>
      </c>
      <c r="DS247" s="798">
        <f>IF(WWWW[[#This Row],[Is sufficient soap available for TLS? (Yes/No)]]="yes",WWWW[[#This Row],['#_Constructed/Existing hand washing stations at TLS]],0)</f>
        <v>0</v>
      </c>
      <c r="DT247" s="479">
        <f>IF(WWWW[[#This Row],['# Functional hand washing stations during reporting period]]*100&gt;WWWW[[#This Row],[Total PoP ]],WWWW[[#This Row],[Total PoP ]],WWWW[[#This Row],['# Functional hand washing stations during reporting period]]*100)</f>
        <v>0</v>
      </c>
      <c r="DU247" s="479" t="str">
        <f>IF(OR(WWWW[[#This Row],['#_students at TLS_CFS]]="",WWWW[[#This Row],['#_students at TLS_CFS]]=0),"No","Yes")</f>
        <v>No</v>
      </c>
      <c r="DV24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7" s="794">
        <f>VLOOKUP(WWWW[[#This Row],[Site Name]],SiteDB6[[Site Name]:[CCCM Management]],6,FALSE)</f>
        <v>0</v>
      </c>
      <c r="DZ247" s="794">
        <f>VLOOKUP(WWWW[[#This Row],[Site Name]],SiteDB6[[Site Name]:[CCCM Focal Agency]],7,FALSE)</f>
        <v>0</v>
      </c>
      <c r="EA247" s="794" t="str">
        <f>VLOOKUP(WWWW[[#This Row],[Site Name]],SiteDB6[[Site Name]:[Location Type 1]],9,FALSE)</f>
        <v>Camp</v>
      </c>
      <c r="EB247" s="794" t="str">
        <f>VLOOKUP(WWWW[[#This Row],[Site Name]],SiteDB6[[Site Name]:[Type of Accommodation]],10,FALSE)</f>
        <v>Camp like setting</v>
      </c>
      <c r="EC247" s="794" t="str">
        <f>VLOOKUP(WWWW[[#This Row],[Site Name]],SiteDB6[[Site Name]:[Ethnic or GCA/NGCA]],11,FALSE)</f>
        <v>NGCA</v>
      </c>
      <c r="ED247" s="794">
        <f>VLOOKUP(WWWW[[#This Row],[Site Name]],SiteDB6[[Site Name]:[Lat]],12,FALSE)</f>
        <v>0</v>
      </c>
      <c r="EE247" s="794">
        <f>VLOOKUP(WWWW[[#This Row],[Site Name]],SiteDB6[[Site Name]:[Long]],13,FALSE)</f>
        <v>0</v>
      </c>
      <c r="EF247" s="794">
        <f>VLOOKUP(WWWW[[#This Row],[Site Name]],SiteDB6[[Site Name]:[Pcode]],3,FALSE)</f>
        <v>0</v>
      </c>
      <c r="EG247" s="799" t="str">
        <f t="shared" si="5"/>
        <v>Covered</v>
      </c>
      <c r="EH247" s="799">
        <f>VLOOKUP(WWWW[[#This Row],[Site Name]],Site_DB!$C$389:$D$1120,2,FALSE)</f>
        <v>0</v>
      </c>
    </row>
    <row r="248" spans="1:138" hidden="1">
      <c r="A248" s="792" t="s">
        <v>3262</v>
      </c>
      <c r="B248" s="792" t="s">
        <v>245</v>
      </c>
      <c r="C248" s="793" t="s">
        <v>245</v>
      </c>
      <c r="D248" s="793" t="s">
        <v>310</v>
      </c>
      <c r="E248" s="793" t="s">
        <v>39</v>
      </c>
      <c r="F248" s="793" t="s">
        <v>162</v>
      </c>
      <c r="G248" s="721" t="str">
        <f>VLOOKUP(WWWW[[#This Row],[Site Name]],SiteDB6[[Site Name]:[Location Type]],8,FALSE)</f>
        <v>Camp</v>
      </c>
      <c r="H248" s="793" t="s">
        <v>267</v>
      </c>
      <c r="I248" s="795">
        <v>21</v>
      </c>
      <c r="J248" s="795">
        <v>123</v>
      </c>
      <c r="K248" s="796">
        <v>43313</v>
      </c>
      <c r="L248" s="797">
        <v>44043</v>
      </c>
      <c r="M248" s="795"/>
      <c r="N248" s="795">
        <v>1</v>
      </c>
      <c r="O248" s="795"/>
      <c r="P248" s="795"/>
      <c r="Q248" s="798" t="s">
        <v>43</v>
      </c>
      <c r="R248" s="795">
        <v>1</v>
      </c>
      <c r="S248" s="795">
        <v>4</v>
      </c>
      <c r="T248" s="523">
        <v>0</v>
      </c>
      <c r="U248" s="795"/>
      <c r="V248" s="795"/>
      <c r="W248" s="795">
        <v>1</v>
      </c>
      <c r="X248" s="795"/>
      <c r="Y248" s="795"/>
      <c r="Z248" s="795"/>
      <c r="AA248" s="795"/>
      <c r="AB248" s="795"/>
      <c r="AC248" s="795"/>
      <c r="AD248" s="795"/>
      <c r="AE248" s="795"/>
      <c r="AF248" s="795"/>
      <c r="AG248" s="795">
        <v>1</v>
      </c>
      <c r="AH248" s="795">
        <v>1</v>
      </c>
      <c r="AI248" s="795"/>
      <c r="AJ248" s="795"/>
      <c r="AK248" s="795"/>
      <c r="AL248" s="795"/>
      <c r="AM248" s="795"/>
      <c r="AN248" s="795"/>
      <c r="AO248" s="799"/>
      <c r="AP248" s="795">
        <v>6</v>
      </c>
      <c r="AQ248" s="795">
        <v>5</v>
      </c>
      <c r="AR248" s="800" t="s">
        <v>2915</v>
      </c>
      <c r="AS248" s="795"/>
      <c r="AT248" s="795"/>
      <c r="AU248" s="795"/>
      <c r="AV248" s="795"/>
      <c r="AW248" s="795"/>
      <c r="AX248" s="794" t="s">
        <v>43</v>
      </c>
      <c r="AY248" s="799" t="s">
        <v>1195</v>
      </c>
      <c r="AZ248" s="795"/>
      <c r="BA248" s="795"/>
      <c r="BB248" s="795"/>
      <c r="BC248" s="523"/>
      <c r="BD248" s="523"/>
      <c r="BE248" s="794"/>
      <c r="BF248" s="795">
        <v>1</v>
      </c>
      <c r="BG248" s="795"/>
      <c r="BH248" s="795">
        <v>0</v>
      </c>
      <c r="BI248" s="795">
        <v>2</v>
      </c>
      <c r="BJ248" s="795"/>
      <c r="BK248" s="795">
        <v>1</v>
      </c>
      <c r="BL248" s="795">
        <v>0</v>
      </c>
      <c r="BM248" s="795"/>
      <c r="BN248" s="795"/>
      <c r="BO248" s="794"/>
      <c r="BP248" s="801"/>
      <c r="BQ248" s="800"/>
      <c r="BR248" s="794"/>
      <c r="BS248" s="472"/>
      <c r="BT248" s="472"/>
      <c r="BU248" s="720"/>
      <c r="BV248" s="472"/>
      <c r="BW248" s="523"/>
      <c r="BX248" s="523"/>
      <c r="BY248" s="523"/>
      <c r="BZ248" s="802" t="str">
        <f>IFERROR(WWWW[[#This Row],['#_Water sources passed]]/WWWW[[#This Row],['#_Water sources tested for fecal coliform ]],"no test")</f>
        <v>no test</v>
      </c>
      <c r="CA248" s="800" t="str">
        <f>IFERROR(WWWW[[#This Row],['#_Household passed]]/WWWW[[#This Row],['#_Household water samples tested for fecal coliform]],"no test")</f>
        <v>no test</v>
      </c>
      <c r="CB248" s="801" t="str">
        <f>IF(AND(WWWW[[#This Row],[% of water sources passed]]="no test",WWWW[[#This Row],[% Household passed]]="no test"),"No Test","Tested")</f>
        <v>No Test</v>
      </c>
      <c r="CC248" s="801">
        <f>WWWW[[#This Row],['#_Constructed/existing protected hand dug well]]-WWWW[[#This Row],['#_Non-functional protected hand dug well]]</f>
        <v>0</v>
      </c>
      <c r="CD248" s="801">
        <f>(WWWW[[#This Row],['#_Constructed/Existing tube wells/boreholes/handpumps_WASH_agency]]+WWWW[[#This Row],['#_Non-Cluster partner water tube-wells/boreholes/handpumps]])-WWWW[[#This Row],['#_Non-functional tube wells/boreholes/handpumps]]</f>
        <v>1</v>
      </c>
      <c r="CE248" s="801">
        <f>WWWW[[#This Row],['#_Constructed/Existingwater storage tank with gravity fed reticulation system]]-WWWW[[#This Row],['#_Non-functional storage tank gravity fed reticulation system]]</f>
        <v>0</v>
      </c>
      <c r="CF248" s="801">
        <f>(WWWW[[#This Row],['#_Water_Liters_supplied_by_Water boating or water trucking]]/90)/15</f>
        <v>0</v>
      </c>
      <c r="CG248" s="801">
        <f>WWWW[[#This Row],['#_Water_Liters_from_Constructed/Existing water distribution system from river or natural spring]]/90/15</f>
        <v>0</v>
      </c>
      <c r="CH248" s="473">
        <f>WWWW[[#This Row],['#_of water points in TLS/CFS /THF]]*500</f>
        <v>0</v>
      </c>
      <c r="CI24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8" s="800">
        <f>IF(WWWW[[#This Row],[Location Type 1]]="Village",WWWW[[#This Row],[Access to safe drinking water for Village]],WWWW[[#This Row],[Access to safe drinking water for Camp]])</f>
        <v>1</v>
      </c>
      <c r="CL248" s="798">
        <f>WWWW[[#This Row],[%Equitable and continuous access to sufficient quantity of safe drinking water]]*WWWW[[#This Row],[Total PoP ]]</f>
        <v>123</v>
      </c>
      <c r="CM248" s="800">
        <f>IF((WWWW[[#This Row],['#_Constructed/Existing protected/fenced ponds]]*250)/WWWW[[#This Row],[Total PoP ]]&gt;1,1,(WWWW[[#This Row],['#_Constructed/Existing protected/fenced ponds]]*250)/WWWW[[#This Row],[Total PoP ]])</f>
        <v>0</v>
      </c>
      <c r="CN248" s="798">
        <f>WWWW[[#This Row],[% Access to unimproved water points]]*WWWW[[#This Row],[Total PoP ]]</f>
        <v>0</v>
      </c>
      <c r="CO24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Q248" s="798">
        <f>WWWW[[#This Row],[HRP1]]/500</f>
        <v>0.246</v>
      </c>
      <c r="CR248" s="803">
        <f>1-WWWW[[#This Row],[% Equitable and continuous access to sufficient quantity of domestic water]]</f>
        <v>0</v>
      </c>
      <c r="CS248" s="798">
        <f>WWWW[[#This Row],[%equitable and continuous access to sufficient quantity of safe drinking and domestic water''s GAP]]*WWWW[[#This Row],[Total PoP ]]</f>
        <v>0</v>
      </c>
      <c r="CT248" s="801">
        <f>IF(WWWW[[#This Row],[Total required water points]]-WWWW[[#This Row],['#Water points coverage]]&lt;0,0,WWWW[[#This Row],[Total required water points]]-WWWW[[#This Row],['#Water points coverage]])</f>
        <v>0.754</v>
      </c>
      <c r="CU248" s="801">
        <f>ROUND(IF(WWWW[[#This Row],[Total PoP ]]&lt;500,1,WWWW[[#This Row],[Total PoP ]]/500),0)</f>
        <v>1</v>
      </c>
      <c r="CV248" s="801">
        <f>(WWWW[[#This Row],['#_Constructed latrines_by_WASHAgencies]]+WWWW[[#This Row],['#_Non Cluster partner latrines]])-WWWW[[#This Row],['#_Non-functional latrines]]</f>
        <v>11</v>
      </c>
      <c r="CW248" s="804">
        <f>WWWW[[#This Row],[HRP2]]/WWWW[[#This Row],[Total PoP ]]</f>
        <v>1</v>
      </c>
      <c r="CX24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123</v>
      </c>
      <c r="CY24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8" s="473">
        <f>IF(WWWW[[#This Row],['# of functional latrines in THF supported by WASH partners during the reporting period2]]="",0,WWWW[[#This Row],['# of functional latrines in THF supported by WASH partners during the reporting period2]]*50)</f>
        <v>0</v>
      </c>
      <c r="DB248" s="473">
        <f>WWWW[[#This Row],['# students access to functioning school latrines_HRP5]]+WWWW[[#This Row],['# People access to functioning latrines in THF_HRP5]]</f>
        <v>0</v>
      </c>
      <c r="DC248" s="801">
        <f>ROUND(IF(WWWW[[#This Row],[Location Type 1]]="camp",WWWW[[#This Row],[Total PoP ]]/20,IF(WWWW[[#This Row],[Location Type 1]]="Temporary Location",WWWW[[#This Row],[Total PoP ]]/50,(WWWW[[#This Row],[Total PoP ]]/6))),0)</f>
        <v>6</v>
      </c>
      <c r="DD248" s="801">
        <f>IF(WWWW[[#This Row],[Total required Latrines]]-(WWWW[[#This Row],['#_Constructed latrines_by_WASHAgencies]]+WWWW[[#This Row],['#_Non Cluster partner latrines]])&lt;0,0,WWWW[[#This Row],[Total required Latrines]]-(WWWW[[#This Row],['#_Constructed latrines_by_WASHAgencies]]+WWWW[[#This Row],['#_Non Cluster partner latrines]]))</f>
        <v>0</v>
      </c>
      <c r="DE248" s="803">
        <f>1-WWWW[[#This Row],[% people access to functioning Latrine]]</f>
        <v>0</v>
      </c>
      <c r="DF248" s="802">
        <f>IF(OR(WWWW[[#This Row],['#_Non-functional latrines]]="",WWWW[[#This Row],['#_Non-functional latrines]]=0),0,WWWW[[#This Row],['#_Non-functional latrines]]/(WWWW[[#This Row],['#_Constructed latrines_by_WASHAgencies]]+WWWW[[#This Row],['#_Non Cluster partner latrines]]))</f>
        <v>0</v>
      </c>
      <c r="DG248" s="798">
        <f>IF(500*(WWWW[[#This Row],['#_male hygiene promoters]]+WWWW[[#This Row],['#_female hygiene promoters]])&gt;WWWW[[#This Row],[Total PoP ]],WWWW[[#This Row],[Total PoP ]],500*(WWWW[[#This Row],['#_male hygiene promoters]]+WWWW[[#This Row],['#_female hygiene promoters]]))</f>
        <v>123</v>
      </c>
      <c r="DH24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8" s="801">
        <f>IF(WWWW[[#This Row],['# People with access to soap]]&gt;WWWW[[#This Row],['# People with access to Sanity Pads]],WWWW[[#This Row],['# People with access to soap]],WWWW[[#This Row],['# People with access to Sanity Pads]])</f>
        <v>0</v>
      </c>
      <c r="DK248" s="801">
        <f>IF(WWWW[[#This Row],['# people reached by regular dedicated hygiene promotion_5]]&gt;WWWW[[#This Row],['# People received regular supply of hygiene items_6]],WWWW[[#This Row],['# people reached by regular dedicated hygiene promotion_5]],WWWW[[#This Row],['# People received regular supply of hygiene items_6]])</f>
        <v>123</v>
      </c>
      <c r="DL248" s="803">
        <f>IF(WWWW[[#This Row],[HRP3]]/WWWW[[#This Row],[Total PoP ]]&gt;1,1,WWWW[[#This Row],[HRP3]]/WWWW[[#This Row],[Total PoP ]])</f>
        <v>1</v>
      </c>
      <c r="DM248" s="802">
        <f>1-WWWW[[#This Row],[Hygiene Coverage%]]</f>
        <v>0</v>
      </c>
      <c r="DN248" s="800">
        <f>WWWW[[#This Row],['# people reached by regular dedicated hygiene promotion_5]]/WWWW[[#This Row],[Total PoP ]]</f>
        <v>1</v>
      </c>
      <c r="DO24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8" s="801">
        <f>WWWW[[#This Row],['#_Constructed/Existing hand washing stations]]-WWWW[[#This Row],['#_Non-Functional_hand_washing_stations]]</f>
        <v>1</v>
      </c>
      <c r="DR248" s="798">
        <f>IF(WWWW[[#This Row],['# Functional hand washing stations during reporting period]]*20&gt;WWWW[[#This Row],[Total HH]],WWWW[[#This Row],[Total HH]],WWWW[[#This Row],['# Functional hand washing stations during reporting period]]*20)</f>
        <v>20</v>
      </c>
      <c r="DS248" s="798">
        <f>IF(WWWW[[#This Row],[Is sufficient soap available for TLS? (Yes/No)]]="yes",WWWW[[#This Row],['#_Constructed/Existing hand washing stations at TLS]],0)</f>
        <v>0</v>
      </c>
      <c r="DT248" s="479">
        <f>IF(WWWW[[#This Row],['# Functional hand washing stations during reporting period]]*100&gt;WWWW[[#This Row],[Total PoP ]],WWWW[[#This Row],[Total PoP ]],WWWW[[#This Row],['# Functional hand washing stations during reporting period]]*100)</f>
        <v>100</v>
      </c>
      <c r="DU248" s="479" t="str">
        <f>IF(OR(WWWW[[#This Row],['#_students at TLS_CFS]]="",WWWW[[#This Row],['#_students at TLS_CFS]]=0),"No","Yes")</f>
        <v>No</v>
      </c>
      <c r="DV24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8" s="794" t="str">
        <f>VLOOKUP(WWWW[[#This Row],[Site Name]],SiteDB6[[Site Name]:[CCCM Management]],6,FALSE)</f>
        <v>Yes</v>
      </c>
      <c r="DZ248" s="794" t="str">
        <f>VLOOKUP(WWWW[[#This Row],[Site Name]],SiteDB6[[Site Name]:[CCCM Focal Agency]],7,FALSE)</f>
        <v>Shalom</v>
      </c>
      <c r="EA248" s="794" t="str">
        <f>VLOOKUP(WWWW[[#This Row],[Site Name]],SiteDB6[[Site Name]:[Location Type 1]],9,FALSE)</f>
        <v>Camp</v>
      </c>
      <c r="EB248" s="794" t="str">
        <f>VLOOKUP(WWWW[[#This Row],[Site Name]],SiteDB6[[Site Name]:[Type of Accommodation]],10,FALSE)</f>
        <v>Camp</v>
      </c>
      <c r="EC248" s="794" t="str">
        <f>VLOOKUP(WWWW[[#This Row],[Site Name]],SiteDB6[[Site Name]:[Ethnic or GCA/NGCA]],11,FALSE)</f>
        <v>GCA</v>
      </c>
      <c r="ED248" s="794">
        <f>VLOOKUP(WWWW[[#This Row],[Site Name]],SiteDB6[[Site Name]:[Lat]],12,FALSE)</f>
        <v>25.371049444444399</v>
      </c>
      <c r="EE248" s="794">
        <f>VLOOKUP(WWWW[[#This Row],[Site Name]],SiteDB6[[Site Name]:[Long]],13,FALSE)</f>
        <v>97.290952037037002</v>
      </c>
      <c r="EF248" s="794" t="str">
        <f>VLOOKUP(WWWW[[#This Row],[Site Name]],SiteDB6[[Site Name]:[Pcode]],3,FALSE)</f>
        <v>MMR001CMP021</v>
      </c>
      <c r="EG248" s="799" t="str">
        <f t="shared" si="5"/>
        <v>Covered</v>
      </c>
      <c r="EH248" s="799" t="str">
        <f>VLOOKUP(WWWW[[#This Row],[Site Name]],Site_DB!$C$389:$D$1120,2,FALSE)</f>
        <v>cccm_2019OCT</v>
      </c>
    </row>
    <row r="249" spans="1:138" hidden="1">
      <c r="A249" s="792" t="s">
        <v>3262</v>
      </c>
      <c r="B249" s="792" t="s">
        <v>38</v>
      </c>
      <c r="C249" s="793" t="s">
        <v>38</v>
      </c>
      <c r="D249" s="404" t="s">
        <v>3372</v>
      </c>
      <c r="E249" s="793" t="s">
        <v>39</v>
      </c>
      <c r="F249" s="793" t="s">
        <v>162</v>
      </c>
      <c r="G249" s="721" t="str">
        <f>VLOOKUP(WWWW[[#This Row],[Site Name]],SiteDB6[[Site Name]:[Location Type]],8,FALSE)</f>
        <v>Camp</v>
      </c>
      <c r="H249" s="404" t="s">
        <v>237</v>
      </c>
      <c r="I249" s="795">
        <v>63</v>
      </c>
      <c r="J249" s="795">
        <v>309</v>
      </c>
      <c r="K249" s="407" t="s">
        <v>3619</v>
      </c>
      <c r="L249" s="56" t="s">
        <v>3620</v>
      </c>
      <c r="M249" s="809">
        <v>18</v>
      </c>
      <c r="N249" s="795"/>
      <c r="O249" s="795"/>
      <c r="P249" s="795"/>
      <c r="Q249" s="798" t="s">
        <v>43</v>
      </c>
      <c r="R249" s="795"/>
      <c r="S249" s="795"/>
      <c r="T249" s="523"/>
      <c r="U249" s="795"/>
      <c r="V249" s="795"/>
      <c r="W249" s="795">
        <v>4</v>
      </c>
      <c r="X249" s="795"/>
      <c r="Y249" s="795"/>
      <c r="Z249" s="795"/>
      <c r="AA249" s="795"/>
      <c r="AB249" s="795"/>
      <c r="AC249" s="795"/>
      <c r="AD249" s="795"/>
      <c r="AE249" s="795"/>
      <c r="AF249" s="795"/>
      <c r="AG249" s="795"/>
      <c r="AH249" s="795"/>
      <c r="AI249" s="795"/>
      <c r="AJ249" s="795"/>
      <c r="AK249" s="795"/>
      <c r="AL249" s="795"/>
      <c r="AM249" s="795"/>
      <c r="AN249" s="795"/>
      <c r="AO249" s="799"/>
      <c r="AP249" s="795">
        <v>20</v>
      </c>
      <c r="AQ249" s="795"/>
      <c r="AR249" s="800"/>
      <c r="AS249" s="795"/>
      <c r="AT249" s="795"/>
      <c r="AU249" s="795"/>
      <c r="AV249" s="795"/>
      <c r="AW249" s="795"/>
      <c r="AX249" s="794" t="s">
        <v>43</v>
      </c>
      <c r="AY249" s="799" t="s">
        <v>140</v>
      </c>
      <c r="AZ249" s="795">
        <v>1</v>
      </c>
      <c r="BA249" s="795"/>
      <c r="BB249" s="795"/>
      <c r="BC249" s="523"/>
      <c r="BD249" s="523"/>
      <c r="BE249" s="794"/>
      <c r="BF249" s="795"/>
      <c r="BG249" s="795"/>
      <c r="BH249" s="795"/>
      <c r="BI249" s="795">
        <v>2</v>
      </c>
      <c r="BJ249" s="795"/>
      <c r="BK249" s="795">
        <v>1</v>
      </c>
      <c r="BL249" s="795">
        <v>1</v>
      </c>
      <c r="BM249" s="795"/>
      <c r="BN249" s="795"/>
      <c r="BO249" s="794"/>
      <c r="BP249" s="801"/>
      <c r="BQ249" s="800"/>
      <c r="BR249" s="794"/>
      <c r="BS249" s="472"/>
      <c r="BT249" s="472"/>
      <c r="BU249" s="523"/>
      <c r="BV249" s="472"/>
      <c r="BW249" s="523"/>
      <c r="BX249" s="523"/>
      <c r="BY249" s="523"/>
      <c r="BZ249" s="802" t="str">
        <f>IFERROR(WWWW[[#This Row],['#_Water sources passed]]/WWWW[[#This Row],['#_Water sources tested for fecal coliform ]],"no test")</f>
        <v>no test</v>
      </c>
      <c r="CA249" s="800" t="str">
        <f>IFERROR(WWWW[[#This Row],['#_Household passed]]/WWWW[[#This Row],['#_Household water samples tested for fecal coliform]],"no test")</f>
        <v>no test</v>
      </c>
      <c r="CB249" s="801" t="str">
        <f>IF(AND(WWWW[[#This Row],[% of water sources passed]]="no test",WWWW[[#This Row],[% Household passed]]="no test"),"No Test","Tested")</f>
        <v>No Test</v>
      </c>
      <c r="CC249" s="801">
        <f>WWWW[[#This Row],['#_Constructed/existing protected hand dug well]]-WWWW[[#This Row],['#_Non-functional protected hand dug well]]</f>
        <v>0</v>
      </c>
      <c r="CD249" s="801">
        <f>(WWWW[[#This Row],['#_Constructed/Existing tube wells/boreholes/handpumps_WASH_agency]]+WWWW[[#This Row],['#_Non-Cluster partner water tube-wells/boreholes/handpumps]])-WWWW[[#This Row],['#_Non-functional tube wells/boreholes/handpumps]]</f>
        <v>4</v>
      </c>
      <c r="CE249" s="801">
        <f>WWWW[[#This Row],['#_Constructed/Existingwater storage tank with gravity fed reticulation system]]-WWWW[[#This Row],['#_Non-functional storage tank gravity fed reticulation system]]</f>
        <v>0</v>
      </c>
      <c r="CF249" s="801">
        <f>(WWWW[[#This Row],['#_Water_Liters_supplied_by_Water boating or water trucking]]/90)/15</f>
        <v>0</v>
      </c>
      <c r="CG249" s="801">
        <f>WWWW[[#This Row],['#_Water_Liters_from_Constructed/Existing water distribution system from river or natural spring]]/90/15</f>
        <v>0</v>
      </c>
      <c r="CH249" s="473">
        <f>WWWW[[#This Row],['#_of water points in TLS/CFS /THF]]*500</f>
        <v>0</v>
      </c>
      <c r="CI24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4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49" s="800">
        <f>IF(WWWW[[#This Row],[Location Type 1]]="Village",WWWW[[#This Row],[Access to safe drinking water for Village]],WWWW[[#This Row],[Access to safe drinking water for Camp]])</f>
        <v>1</v>
      </c>
      <c r="CL249" s="798">
        <f>WWWW[[#This Row],[%Equitable and continuous access to sufficient quantity of safe drinking water]]*WWWW[[#This Row],[Total PoP ]]</f>
        <v>309</v>
      </c>
      <c r="CM249" s="800">
        <f>IF((WWWW[[#This Row],['#_Constructed/Existing protected/fenced ponds]]*250)/WWWW[[#This Row],[Total PoP ]]&gt;1,1,(WWWW[[#This Row],['#_Constructed/Existing protected/fenced ponds]]*250)/WWWW[[#This Row],[Total PoP ]])</f>
        <v>0</v>
      </c>
      <c r="CN249" s="798">
        <f>WWWW[[#This Row],[% Access to unimproved water points]]*WWWW[[#This Row],[Total PoP ]]</f>
        <v>0</v>
      </c>
      <c r="CO24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4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Q249" s="798">
        <f>WWWW[[#This Row],[HRP1]]/500</f>
        <v>0.61799999999999999</v>
      </c>
      <c r="CR249" s="803">
        <f>1-WWWW[[#This Row],[% Equitable and continuous access to sufficient quantity of domestic water]]</f>
        <v>0</v>
      </c>
      <c r="CS249" s="798">
        <f>WWWW[[#This Row],[%equitable and continuous access to sufficient quantity of safe drinking and domestic water''s GAP]]*WWWW[[#This Row],[Total PoP ]]</f>
        <v>0</v>
      </c>
      <c r="CT249" s="801">
        <f>IF(WWWW[[#This Row],[Total required water points]]-WWWW[[#This Row],['#Water points coverage]]&lt;0,0,WWWW[[#This Row],[Total required water points]]-WWWW[[#This Row],['#Water points coverage]])</f>
        <v>0.38200000000000001</v>
      </c>
      <c r="CU249" s="801">
        <f>ROUND(IF(WWWW[[#This Row],[Total PoP ]]&lt;500,1,WWWW[[#This Row],[Total PoP ]]/500),0)</f>
        <v>1</v>
      </c>
      <c r="CV249" s="801">
        <f>(WWWW[[#This Row],['#_Constructed latrines_by_WASHAgencies]]+WWWW[[#This Row],['#_Non Cluster partner latrines]])-WWWW[[#This Row],['#_Non-functional latrines]]</f>
        <v>20</v>
      </c>
      <c r="CW249" s="804">
        <f>WWWW[[#This Row],[HRP2]]/WWWW[[#This Row],[Total PoP ]]</f>
        <v>1</v>
      </c>
      <c r="CX24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CY24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4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49" s="473">
        <f>IF(WWWW[[#This Row],['# of functional latrines in THF supported by WASH partners during the reporting period2]]="",0,WWWW[[#This Row],['# of functional latrines in THF supported by WASH partners during the reporting period2]]*50)</f>
        <v>0</v>
      </c>
      <c r="DB249" s="473">
        <f>WWWW[[#This Row],['# students access to functioning school latrines_HRP5]]+WWWW[[#This Row],['# People access to functioning latrines in THF_HRP5]]</f>
        <v>0</v>
      </c>
      <c r="DC249" s="801">
        <f>ROUND(IF(WWWW[[#This Row],[Location Type 1]]="camp",WWWW[[#This Row],[Total PoP ]]/20,IF(WWWW[[#This Row],[Location Type 1]]="Temporary Location",WWWW[[#This Row],[Total PoP ]]/50,(WWWW[[#This Row],[Total PoP ]]/6))),0)</f>
        <v>15</v>
      </c>
      <c r="DD249" s="801">
        <f>IF(WWWW[[#This Row],[Total required Latrines]]-(WWWW[[#This Row],['#_Constructed latrines_by_WASHAgencies]]+WWWW[[#This Row],['#_Non Cluster partner latrines]])&lt;0,0,WWWW[[#This Row],[Total required Latrines]]-(WWWW[[#This Row],['#_Constructed latrines_by_WASHAgencies]]+WWWW[[#This Row],['#_Non Cluster partner latrines]]))</f>
        <v>0</v>
      </c>
      <c r="DE249" s="803">
        <f>1-WWWW[[#This Row],[% people access to functioning Latrine]]</f>
        <v>0</v>
      </c>
      <c r="DF249" s="802">
        <f>IF(OR(WWWW[[#This Row],['#_Non-functional latrines]]="",WWWW[[#This Row],['#_Non-functional latrines]]=0),0,WWWW[[#This Row],['#_Non-functional latrines]]/(WWWW[[#This Row],['#_Constructed latrines_by_WASHAgencies]]+WWWW[[#This Row],['#_Non Cluster partner latrines]]))</f>
        <v>0</v>
      </c>
      <c r="DG249" s="798">
        <f>IF(500*(WWWW[[#This Row],['#_male hygiene promoters]]+WWWW[[#This Row],['#_female hygiene promoters]])&gt;WWWW[[#This Row],[Total PoP ]],WWWW[[#This Row],[Total PoP ]],500*(WWWW[[#This Row],['#_male hygiene promoters]]+WWWW[[#This Row],['#_female hygiene promoters]]))</f>
        <v>309</v>
      </c>
      <c r="DH24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4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49" s="801">
        <f>IF(WWWW[[#This Row],['# People with access to soap]]&gt;WWWW[[#This Row],['# People with access to Sanity Pads]],WWWW[[#This Row],['# People with access to soap]],WWWW[[#This Row],['# People with access to Sanity Pads]])</f>
        <v>0</v>
      </c>
      <c r="DK249" s="801">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L249" s="803">
        <f>IF(WWWW[[#This Row],[HRP3]]/WWWW[[#This Row],[Total PoP ]]&gt;1,1,WWWW[[#This Row],[HRP3]]/WWWW[[#This Row],[Total PoP ]])</f>
        <v>1</v>
      </c>
      <c r="DM249" s="802">
        <f>1-WWWW[[#This Row],[Hygiene Coverage%]]</f>
        <v>0</v>
      </c>
      <c r="DN249" s="800">
        <f>WWWW[[#This Row],['# people reached by regular dedicated hygiene promotion_5]]/WWWW[[#This Row],[Total PoP ]]</f>
        <v>1</v>
      </c>
      <c r="DO24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4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49" s="801">
        <f>WWWW[[#This Row],['#_Constructed/Existing hand washing stations]]-WWWW[[#This Row],['#_Non-Functional_hand_washing_stations]]</f>
        <v>0</v>
      </c>
      <c r="DR249" s="798">
        <f>IF(WWWW[[#This Row],['# Functional hand washing stations during reporting period]]*20&gt;WWWW[[#This Row],[Total HH]],WWWW[[#This Row],[Total HH]],WWWW[[#This Row],['# Functional hand washing stations during reporting period]]*20)</f>
        <v>0</v>
      </c>
      <c r="DS249" s="798">
        <f>IF(WWWW[[#This Row],[Is sufficient soap available for TLS? (Yes/No)]]="yes",WWWW[[#This Row],['#_Constructed/Existing hand washing stations at TLS]],0)</f>
        <v>0</v>
      </c>
      <c r="DT249" s="479">
        <f>IF(WWWW[[#This Row],['# Functional hand washing stations during reporting period]]*100&gt;WWWW[[#This Row],[Total PoP ]],WWWW[[#This Row],[Total PoP ]],WWWW[[#This Row],['# Functional hand washing stations during reporting period]]*100)</f>
        <v>0</v>
      </c>
      <c r="DU249" s="479" t="str">
        <f>IF(OR(WWWW[[#This Row],['#_students at TLS_CFS]]="",WWWW[[#This Row],['#_students at TLS_CFS]]=0),"No","Yes")</f>
        <v>Yes</v>
      </c>
      <c r="DV24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49" s="794" t="str">
        <f>VLOOKUP(WWWW[[#This Row],[Site Name]],SiteDB6[[Site Name]:[CCCM Management]],6,FALSE)</f>
        <v>Yes</v>
      </c>
      <c r="DZ249" s="794" t="str">
        <f>VLOOKUP(WWWW[[#This Row],[Site Name]],SiteDB6[[Site Name]:[CCCM Focal Agency]],7,FALSE)</f>
        <v>KMSS-MYT</v>
      </c>
      <c r="EA249" s="794" t="str">
        <f>VLOOKUP(WWWW[[#This Row],[Site Name]],SiteDB6[[Site Name]:[Location Type 1]],9,FALSE)</f>
        <v>Camp</v>
      </c>
      <c r="EB249" s="794" t="str">
        <f>VLOOKUP(WWWW[[#This Row],[Site Name]],SiteDB6[[Site Name]:[Type of Accommodation]],10,FALSE)</f>
        <v>Camp</v>
      </c>
      <c r="EC249" s="794" t="str">
        <f>VLOOKUP(WWWW[[#This Row],[Site Name]],SiteDB6[[Site Name]:[Ethnic or GCA/NGCA]],11,FALSE)</f>
        <v>GCA</v>
      </c>
      <c r="ED249" s="794">
        <f>VLOOKUP(WWWW[[#This Row],[Site Name]],SiteDB6[[Site Name]:[Lat]],12,FALSE)</f>
        <v>25.410569299999999</v>
      </c>
      <c r="EE249" s="794">
        <f>VLOOKUP(WWWW[[#This Row],[Site Name]],SiteDB6[[Site Name]:[Long]],13,FALSE)</f>
        <v>97.359320179999997</v>
      </c>
      <c r="EF249" s="794" t="str">
        <f>VLOOKUP(WWWW[[#This Row],[Site Name]],SiteDB6[[Site Name]:[Pcode]],3,FALSE)</f>
        <v>MMR001CMP024</v>
      </c>
      <c r="EG249" s="799" t="str">
        <f t="shared" si="5"/>
        <v>Covered</v>
      </c>
      <c r="EH249" s="799" t="str">
        <f>VLOOKUP(WWWW[[#This Row],[Site Name]],Site_DB!$C$389:$D$1120,2,FALSE)</f>
        <v>cccm_2019OCT</v>
      </c>
    </row>
    <row r="250" spans="1:138" hidden="1">
      <c r="A250" s="792" t="s">
        <v>3262</v>
      </c>
      <c r="B250" s="792" t="s">
        <v>144</v>
      </c>
      <c r="C250" s="793" t="s">
        <v>144</v>
      </c>
      <c r="D250" s="793" t="s">
        <v>3277</v>
      </c>
      <c r="E250" s="793" t="s">
        <v>39</v>
      </c>
      <c r="F250" s="793" t="s">
        <v>162</v>
      </c>
      <c r="G250" s="721" t="str">
        <f>VLOOKUP(WWWW[[#This Row],[Site Name]],SiteDB6[[Site Name]:[Location Type]],8,FALSE)</f>
        <v>Camp</v>
      </c>
      <c r="H250" s="793" t="s">
        <v>170</v>
      </c>
      <c r="I250" s="795">
        <v>67</v>
      </c>
      <c r="J250" s="795">
        <v>281</v>
      </c>
      <c r="K250" s="796" t="s">
        <v>3278</v>
      </c>
      <c r="L250" s="797" t="s">
        <v>3279</v>
      </c>
      <c r="M250" s="795"/>
      <c r="N250" s="795"/>
      <c r="O250" s="795"/>
      <c r="P250" s="795"/>
      <c r="Q250" s="798" t="s">
        <v>43</v>
      </c>
      <c r="R250" s="795"/>
      <c r="S250" s="795">
        <v>4</v>
      </c>
      <c r="T250" s="523">
        <v>1</v>
      </c>
      <c r="U250" s="795"/>
      <c r="V250" s="795"/>
      <c r="W250" s="795">
        <v>2</v>
      </c>
      <c r="X250" s="795"/>
      <c r="Y250" s="795"/>
      <c r="Z250" s="795"/>
      <c r="AA250" s="795"/>
      <c r="AB250" s="795"/>
      <c r="AC250" s="795"/>
      <c r="AD250" s="795"/>
      <c r="AE250" s="795"/>
      <c r="AF250" s="795"/>
      <c r="AG250" s="795"/>
      <c r="AH250" s="795">
        <v>3</v>
      </c>
      <c r="AI250" s="795"/>
      <c r="AJ250" s="795"/>
      <c r="AK250" s="795"/>
      <c r="AL250" s="795"/>
      <c r="AM250" s="795"/>
      <c r="AN250" s="795"/>
      <c r="AO250" s="799"/>
      <c r="AP250" s="795">
        <v>15</v>
      </c>
      <c r="AQ250" s="795"/>
      <c r="AR250" s="800"/>
      <c r="AS250" s="795"/>
      <c r="AT250" s="795"/>
      <c r="AU250" s="795"/>
      <c r="AV250" s="795"/>
      <c r="AW250" s="795">
        <v>15</v>
      </c>
      <c r="AX250" s="794" t="s">
        <v>43</v>
      </c>
      <c r="AY250" s="799" t="s">
        <v>140</v>
      </c>
      <c r="AZ250" s="795"/>
      <c r="BA250" s="795"/>
      <c r="BB250" s="795"/>
      <c r="BC250" s="523"/>
      <c r="BD250" s="523"/>
      <c r="BE250" s="794"/>
      <c r="BF250" s="795">
        <v>6</v>
      </c>
      <c r="BG250" s="795"/>
      <c r="BH250" s="795"/>
      <c r="BI250" s="795">
        <v>2</v>
      </c>
      <c r="BJ250" s="795"/>
      <c r="BK250" s="795"/>
      <c r="BL250" s="795">
        <v>1</v>
      </c>
      <c r="BM250" s="795"/>
      <c r="BN250" s="795"/>
      <c r="BO250" s="794"/>
      <c r="BP250" s="801"/>
      <c r="BQ250" s="800"/>
      <c r="BR250" s="794"/>
      <c r="BS250" s="472"/>
      <c r="BT250" s="472"/>
      <c r="BU250" s="474"/>
      <c r="BV250" s="472"/>
      <c r="BW250" s="523"/>
      <c r="BX250" s="523"/>
      <c r="BY250" s="523"/>
      <c r="BZ250" s="802" t="str">
        <f>IFERROR(WWWW[[#This Row],['#_Water sources passed]]/WWWW[[#This Row],['#_Water sources tested for fecal coliform ]],"no test")</f>
        <v>no test</v>
      </c>
      <c r="CA250" s="800" t="str">
        <f>IFERROR(WWWW[[#This Row],['#_Household passed]]/WWWW[[#This Row],['#_Household water samples tested for fecal coliform]],"no test")</f>
        <v>no test</v>
      </c>
      <c r="CB250" s="801" t="str">
        <f>IF(AND(WWWW[[#This Row],[% of water sources passed]]="no test",WWWW[[#This Row],[% Household passed]]="no test"),"No Test","Tested")</f>
        <v>No Test</v>
      </c>
      <c r="CC250" s="801">
        <f>WWWW[[#This Row],['#_Constructed/existing protected hand dug well]]-WWWW[[#This Row],['#_Non-functional protected hand dug well]]</f>
        <v>1</v>
      </c>
      <c r="CD250" s="801">
        <f>(WWWW[[#This Row],['#_Constructed/Existing tube wells/boreholes/handpumps_WASH_agency]]+WWWW[[#This Row],['#_Non-Cluster partner water tube-wells/boreholes/handpumps]])-WWWW[[#This Row],['#_Non-functional tube wells/boreholes/handpumps]]</f>
        <v>2</v>
      </c>
      <c r="CE250" s="801">
        <f>WWWW[[#This Row],['#_Constructed/Existingwater storage tank with gravity fed reticulation system]]-WWWW[[#This Row],['#_Non-functional storage tank gravity fed reticulation system]]</f>
        <v>0</v>
      </c>
      <c r="CF250" s="801">
        <f>(WWWW[[#This Row],['#_Water_Liters_supplied_by_Water boating or water trucking]]/90)/15</f>
        <v>0</v>
      </c>
      <c r="CG250" s="801">
        <f>WWWW[[#This Row],['#_Water_Liters_from_Constructed/Existing water distribution system from river or natural spring]]/90/15</f>
        <v>0</v>
      </c>
      <c r="CH250" s="473">
        <f>WWWW[[#This Row],['#_of water points in TLS/CFS /THF]]*500</f>
        <v>0</v>
      </c>
      <c r="CI25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0" s="800">
        <f>IF(WWWW[[#This Row],[Location Type 1]]="Village",WWWW[[#This Row],[Access to safe drinking water for Village]],WWWW[[#This Row],[Access to safe drinking water for Camp]])</f>
        <v>1</v>
      </c>
      <c r="CL250" s="798">
        <f>WWWW[[#This Row],[%Equitable and continuous access to sufficient quantity of safe drinking water]]*WWWW[[#This Row],[Total PoP ]]</f>
        <v>281</v>
      </c>
      <c r="CM250" s="800">
        <f>IF((WWWW[[#This Row],['#_Constructed/Existing protected/fenced ponds]]*250)/WWWW[[#This Row],[Total PoP ]]&gt;1,1,(WWWW[[#This Row],['#_Constructed/Existing protected/fenced ponds]]*250)/WWWW[[#This Row],[Total PoP ]])</f>
        <v>0</v>
      </c>
      <c r="CN250" s="798">
        <f>WWWW[[#This Row],[% Access to unimproved water points]]*WWWW[[#This Row],[Total PoP ]]</f>
        <v>0</v>
      </c>
      <c r="CO25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Q250" s="798">
        <f>WWWW[[#This Row],[HRP1]]/500</f>
        <v>0.56200000000000006</v>
      </c>
      <c r="CR250" s="803">
        <f>1-WWWW[[#This Row],[% Equitable and continuous access to sufficient quantity of domestic water]]</f>
        <v>0</v>
      </c>
      <c r="CS250" s="798">
        <f>WWWW[[#This Row],[%equitable and continuous access to sufficient quantity of safe drinking and domestic water''s GAP]]*WWWW[[#This Row],[Total PoP ]]</f>
        <v>0</v>
      </c>
      <c r="CT250" s="801">
        <f>IF(WWWW[[#This Row],[Total required water points]]-WWWW[[#This Row],['#Water points coverage]]&lt;0,0,WWWW[[#This Row],[Total required water points]]-WWWW[[#This Row],['#Water points coverage]])</f>
        <v>0.43799999999999994</v>
      </c>
      <c r="CU250" s="801">
        <f>ROUND(IF(WWWW[[#This Row],[Total PoP ]]&lt;500,1,WWWW[[#This Row],[Total PoP ]]/500),0)</f>
        <v>1</v>
      </c>
      <c r="CV250" s="801">
        <f>(WWWW[[#This Row],['#_Constructed latrines_by_WASHAgencies]]+WWWW[[#This Row],['#_Non Cluster partner latrines]])-WWWW[[#This Row],['#_Non-functional latrines]]</f>
        <v>15</v>
      </c>
      <c r="CW250" s="804">
        <f>WWWW[[#This Row],[HRP2]]/WWWW[[#This Row],[Total PoP ]]</f>
        <v>1</v>
      </c>
      <c r="CX25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281</v>
      </c>
      <c r="CY25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0" s="473">
        <f>IF(WWWW[[#This Row],['# of functional latrines in THF supported by WASH partners during the reporting period2]]="",0,WWWW[[#This Row],['# of functional latrines in THF supported by WASH partners during the reporting period2]]*50)</f>
        <v>0</v>
      </c>
      <c r="DB250" s="473">
        <f>WWWW[[#This Row],['# students access to functioning school latrines_HRP5]]+WWWW[[#This Row],['# People access to functioning latrines in THF_HRP5]]</f>
        <v>0</v>
      </c>
      <c r="DC250" s="801">
        <f>ROUND(IF(WWWW[[#This Row],[Location Type 1]]="camp",WWWW[[#This Row],[Total PoP ]]/20,IF(WWWW[[#This Row],[Location Type 1]]="Temporary Location",WWWW[[#This Row],[Total PoP ]]/50,(WWWW[[#This Row],[Total PoP ]]/6))),0)</f>
        <v>14</v>
      </c>
      <c r="DD250" s="801">
        <f>IF(WWWW[[#This Row],[Total required Latrines]]-(WWWW[[#This Row],['#_Constructed latrines_by_WASHAgencies]]+WWWW[[#This Row],['#_Non Cluster partner latrines]])&lt;0,0,WWWW[[#This Row],[Total required Latrines]]-(WWWW[[#This Row],['#_Constructed latrines_by_WASHAgencies]]+WWWW[[#This Row],['#_Non Cluster partner latrines]]))</f>
        <v>0</v>
      </c>
      <c r="DE250" s="803">
        <f>1-WWWW[[#This Row],[% people access to functioning Latrine]]</f>
        <v>0</v>
      </c>
      <c r="DF250" s="802">
        <f>IF(OR(WWWW[[#This Row],['#_Non-functional latrines]]="",WWWW[[#This Row],['#_Non-functional latrines]]=0),0,WWWW[[#This Row],['#_Non-functional latrines]]/(WWWW[[#This Row],['#_Constructed latrines_by_WASHAgencies]]+WWWW[[#This Row],['#_Non Cluster partner latrines]]))</f>
        <v>0</v>
      </c>
      <c r="DG250" s="798">
        <f>IF(500*(WWWW[[#This Row],['#_male hygiene promoters]]+WWWW[[#This Row],['#_female hygiene promoters]])&gt;WWWW[[#This Row],[Total PoP ]],WWWW[[#This Row],[Total PoP ]],500*(WWWW[[#This Row],['#_male hygiene promoters]]+WWWW[[#This Row],['#_female hygiene promoters]]))</f>
        <v>281</v>
      </c>
      <c r="DH25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0" s="801">
        <f>IF(WWWW[[#This Row],['# People with access to soap]]&gt;WWWW[[#This Row],['# People with access to Sanity Pads]],WWWW[[#This Row],['# People with access to soap]],WWWW[[#This Row],['# People with access to Sanity Pads]])</f>
        <v>0</v>
      </c>
      <c r="DK250" s="801">
        <f>IF(WWWW[[#This Row],['# people reached by regular dedicated hygiene promotion_5]]&gt;WWWW[[#This Row],['# People received regular supply of hygiene items_6]],WWWW[[#This Row],['# people reached by regular dedicated hygiene promotion_5]],WWWW[[#This Row],['# People received regular supply of hygiene items_6]])</f>
        <v>281</v>
      </c>
      <c r="DL250" s="803">
        <f>IF(WWWW[[#This Row],[HRP3]]/WWWW[[#This Row],[Total PoP ]]&gt;1,1,WWWW[[#This Row],[HRP3]]/WWWW[[#This Row],[Total PoP ]])</f>
        <v>1</v>
      </c>
      <c r="DM250" s="802">
        <f>1-WWWW[[#This Row],[Hygiene Coverage%]]</f>
        <v>0</v>
      </c>
      <c r="DN250" s="800">
        <f>WWWW[[#This Row],['# people reached by regular dedicated hygiene promotion_5]]/WWWW[[#This Row],[Total PoP ]]</f>
        <v>1</v>
      </c>
      <c r="DO25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0" s="801">
        <f>WWWW[[#This Row],['#_Constructed/Existing hand washing stations]]-WWWW[[#This Row],['#_Non-Functional_hand_washing_stations]]</f>
        <v>6</v>
      </c>
      <c r="DR250" s="798">
        <f>IF(WWWW[[#This Row],['# Functional hand washing stations during reporting period]]*20&gt;WWWW[[#This Row],[Total HH]],WWWW[[#This Row],[Total HH]],WWWW[[#This Row],['# Functional hand washing stations during reporting period]]*20)</f>
        <v>67</v>
      </c>
      <c r="DS250" s="798">
        <f>IF(WWWW[[#This Row],[Is sufficient soap available for TLS? (Yes/No)]]="yes",WWWW[[#This Row],['#_Constructed/Existing hand washing stations at TLS]],0)</f>
        <v>0</v>
      </c>
      <c r="DT250" s="479">
        <f>IF(WWWW[[#This Row],['# Functional hand washing stations during reporting period]]*100&gt;WWWW[[#This Row],[Total PoP ]],WWWW[[#This Row],[Total PoP ]],WWWW[[#This Row],['# Functional hand washing stations during reporting period]]*100)</f>
        <v>281</v>
      </c>
      <c r="DU250" s="479" t="str">
        <f>IF(OR(WWWW[[#This Row],['#_students at TLS_CFS]]="",WWWW[[#This Row],['#_students at TLS_CFS]]=0),"No","Yes")</f>
        <v>No</v>
      </c>
      <c r="DV25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0" s="794" t="str">
        <f>VLOOKUP(WWWW[[#This Row],[Site Name]],SiteDB6[[Site Name]:[CCCM Management]],6,FALSE)</f>
        <v>Yes</v>
      </c>
      <c r="DZ250" s="794" t="str">
        <f>VLOOKUP(WWWW[[#This Row],[Site Name]],SiteDB6[[Site Name]:[CCCM Focal Agency]],7,FALSE)</f>
        <v>KBC-MYT</v>
      </c>
      <c r="EA250" s="794" t="str">
        <f>VLOOKUP(WWWW[[#This Row],[Site Name]],SiteDB6[[Site Name]:[Location Type 1]],9,FALSE)</f>
        <v>Camp</v>
      </c>
      <c r="EB250" s="794" t="str">
        <f>VLOOKUP(WWWW[[#This Row],[Site Name]],SiteDB6[[Site Name]:[Type of Accommodation]],10,FALSE)</f>
        <v>Camp</v>
      </c>
      <c r="EC250" s="794" t="str">
        <f>VLOOKUP(WWWW[[#This Row],[Site Name]],SiteDB6[[Site Name]:[Ethnic or GCA/NGCA]],11,FALSE)</f>
        <v>GCA</v>
      </c>
      <c r="ED250" s="794">
        <f>VLOOKUP(WWWW[[#This Row],[Site Name]],SiteDB6[[Site Name]:[Lat]],12,FALSE)</f>
        <v>25.422194000000001</v>
      </c>
      <c r="EE250" s="794">
        <f>VLOOKUP(WWWW[[#This Row],[Site Name]],SiteDB6[[Site Name]:[Long]],13,FALSE)</f>
        <v>97.394547000000003</v>
      </c>
      <c r="EF250" s="794" t="str">
        <f>VLOOKUP(WWWW[[#This Row],[Site Name]],SiteDB6[[Site Name]:[Pcode]],3,FALSE)</f>
        <v>MMR001CMP002</v>
      </c>
      <c r="EG250" s="799" t="str">
        <f t="shared" si="5"/>
        <v>Covered</v>
      </c>
      <c r="EH250" s="799" t="str">
        <f>VLOOKUP(WWWW[[#This Row],[Site Name]],Site_DB!$C$389:$D$1120,2,FALSE)</f>
        <v>cccm_2019OCT</v>
      </c>
    </row>
    <row r="251" spans="1:138" hidden="1">
      <c r="A251" s="792" t="s">
        <v>3262</v>
      </c>
      <c r="B251" s="792" t="s">
        <v>38</v>
      </c>
      <c r="C251" s="793" t="s">
        <v>38</v>
      </c>
      <c r="D251" s="404" t="s">
        <v>3372</v>
      </c>
      <c r="E251" s="793" t="s">
        <v>39</v>
      </c>
      <c r="F251" s="793" t="s">
        <v>162</v>
      </c>
      <c r="G251" s="721" t="str">
        <f>VLOOKUP(WWWW[[#This Row],[Site Name]],SiteDB6[[Site Name]:[Location Type]],8,FALSE)</f>
        <v>Camp</v>
      </c>
      <c r="H251" s="793" t="s">
        <v>238</v>
      </c>
      <c r="I251" s="795">
        <v>147</v>
      </c>
      <c r="J251" s="795">
        <v>882</v>
      </c>
      <c r="K251" s="407" t="s">
        <v>3619</v>
      </c>
      <c r="L251" s="56" t="s">
        <v>3620</v>
      </c>
      <c r="M251" s="809">
        <v>72</v>
      </c>
      <c r="N251" s="795">
        <v>2</v>
      </c>
      <c r="O251" s="795"/>
      <c r="P251" s="795"/>
      <c r="Q251" s="798" t="s">
        <v>43</v>
      </c>
      <c r="R251" s="795">
        <v>3</v>
      </c>
      <c r="S251" s="795">
        <v>4</v>
      </c>
      <c r="T251" s="523">
        <v>5</v>
      </c>
      <c r="U251" s="795">
        <v>1</v>
      </c>
      <c r="V251" s="795"/>
      <c r="W251" s="795">
        <v>2</v>
      </c>
      <c r="X251" s="795"/>
      <c r="Y251" s="795"/>
      <c r="Z251" s="795"/>
      <c r="AA251" s="795">
        <v>5</v>
      </c>
      <c r="AB251" s="795"/>
      <c r="AC251" s="795">
        <v>1</v>
      </c>
      <c r="AD251" s="795"/>
      <c r="AE251" s="795"/>
      <c r="AF251" s="795"/>
      <c r="AG251" s="795"/>
      <c r="AH251" s="795"/>
      <c r="AI251" s="795">
        <v>4</v>
      </c>
      <c r="AJ251" s="795">
        <v>2</v>
      </c>
      <c r="AK251" s="795">
        <v>4</v>
      </c>
      <c r="AL251" s="795">
        <v>1</v>
      </c>
      <c r="AM251" s="795"/>
      <c r="AN251" s="795"/>
      <c r="AO251" s="799"/>
      <c r="AP251" s="795">
        <v>74</v>
      </c>
      <c r="AQ251" s="795"/>
      <c r="AR251" s="800"/>
      <c r="AS251" s="795"/>
      <c r="AT251" s="795"/>
      <c r="AU251" s="795"/>
      <c r="AV251" s="795"/>
      <c r="AW251" s="795"/>
      <c r="AX251" s="794" t="s">
        <v>43</v>
      </c>
      <c r="AY251" s="799" t="s">
        <v>140</v>
      </c>
      <c r="AZ251" s="795"/>
      <c r="BA251" s="795"/>
      <c r="BB251" s="795"/>
      <c r="BC251" s="523"/>
      <c r="BD251" s="523"/>
      <c r="BE251" s="794"/>
      <c r="BF251" s="795"/>
      <c r="BG251" s="795"/>
      <c r="BH251" s="795"/>
      <c r="BI251" s="795">
        <v>13</v>
      </c>
      <c r="BJ251" s="795"/>
      <c r="BK251" s="795"/>
      <c r="BL251" s="795">
        <v>4</v>
      </c>
      <c r="BM251" s="795"/>
      <c r="BN251" s="795"/>
      <c r="BO251" s="794"/>
      <c r="BP251" s="801"/>
      <c r="BQ251" s="800"/>
      <c r="BR251" s="794"/>
      <c r="BS251" s="472"/>
      <c r="BT251" s="472"/>
      <c r="BU251" s="523"/>
      <c r="BV251" s="472"/>
      <c r="BW251" s="523"/>
      <c r="BX251" s="523"/>
      <c r="BY251" s="523"/>
      <c r="BZ251" s="802">
        <f>IFERROR(WWWW[[#This Row],['#_Water sources passed]]/WWWW[[#This Row],['#_Water sources tested for fecal coliform ]],"no test")</f>
        <v>0.5</v>
      </c>
      <c r="CA251" s="800">
        <f>IFERROR(WWWW[[#This Row],['#_Household passed]]/WWWW[[#This Row],['#_Household water samples tested for fecal coliform]],"no test")</f>
        <v>0.25</v>
      </c>
      <c r="CB251" s="801" t="str">
        <f>IF(AND(WWWW[[#This Row],[% of water sources passed]]="no test",WWWW[[#This Row],[% Household passed]]="no test"),"No Test","Tested")</f>
        <v>Tested</v>
      </c>
      <c r="CC251" s="801">
        <f>WWWW[[#This Row],['#_Constructed/existing protected hand dug well]]-WWWW[[#This Row],['#_Non-functional protected hand dug well]]</f>
        <v>4</v>
      </c>
      <c r="CD251" s="801">
        <f>(WWWW[[#This Row],['#_Constructed/Existing tube wells/boreholes/handpumps_WASH_agency]]+WWWW[[#This Row],['#_Non-Cluster partner water tube-wells/boreholes/handpumps]])-WWWW[[#This Row],['#_Non-functional tube wells/boreholes/handpumps]]</f>
        <v>2</v>
      </c>
      <c r="CE251" s="801">
        <f>WWWW[[#This Row],['#_Constructed/Existingwater storage tank with gravity fed reticulation system]]-WWWW[[#This Row],['#_Non-functional storage tank gravity fed reticulation system]]</f>
        <v>5</v>
      </c>
      <c r="CF251" s="801">
        <f>(WWWW[[#This Row],['#_Water_Liters_supplied_by_Water boating or water trucking]]/90)/15</f>
        <v>0</v>
      </c>
      <c r="CG251" s="801">
        <f>WWWW[[#This Row],['#_Water_Liters_from_Constructed/Existing water distribution system from river or natural spring]]/90/15</f>
        <v>0</v>
      </c>
      <c r="CH251" s="473">
        <f>WWWW[[#This Row],['#_of water points in TLS/CFS /THF]]*500</f>
        <v>0</v>
      </c>
      <c r="CI25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1" s="800">
        <f>IF(WWWW[[#This Row],[Location Type 1]]="Village",WWWW[[#This Row],[Access to safe drinking water for Village]],WWWW[[#This Row],[Access to safe drinking water for Camp]])</f>
        <v>1</v>
      </c>
      <c r="CL251" s="798">
        <f>WWWW[[#This Row],[%Equitable and continuous access to sufficient quantity of safe drinking water]]*WWWW[[#This Row],[Total PoP ]]</f>
        <v>882</v>
      </c>
      <c r="CM251" s="800">
        <f>IF((WWWW[[#This Row],['#_Constructed/Existing protected/fenced ponds]]*250)/WWWW[[#This Row],[Total PoP ]]&gt;1,1,(WWWW[[#This Row],['#_Constructed/Existing protected/fenced ponds]]*250)/WWWW[[#This Row],[Total PoP ]])</f>
        <v>0</v>
      </c>
      <c r="CN251" s="798">
        <f>WWWW[[#This Row],[% Access to unimproved water points]]*WWWW[[#This Row],[Total PoP ]]</f>
        <v>0</v>
      </c>
      <c r="CO25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Q251" s="798">
        <f>WWWW[[#This Row],[HRP1]]/500</f>
        <v>1.764</v>
      </c>
      <c r="CR251" s="803">
        <f>1-WWWW[[#This Row],[% Equitable and continuous access to sufficient quantity of domestic water]]</f>
        <v>0</v>
      </c>
      <c r="CS251" s="798">
        <f>WWWW[[#This Row],[%equitable and continuous access to sufficient quantity of safe drinking and domestic water''s GAP]]*WWWW[[#This Row],[Total PoP ]]</f>
        <v>0</v>
      </c>
      <c r="CT251" s="801">
        <f>IF(WWWW[[#This Row],[Total required water points]]-WWWW[[#This Row],['#Water points coverage]]&lt;0,0,WWWW[[#This Row],[Total required water points]]-WWWW[[#This Row],['#Water points coverage]])</f>
        <v>0.23599999999999999</v>
      </c>
      <c r="CU251" s="801">
        <f>ROUND(IF(WWWW[[#This Row],[Total PoP ]]&lt;500,1,WWWW[[#This Row],[Total PoP ]]/500),0)</f>
        <v>2</v>
      </c>
      <c r="CV251" s="801">
        <f>(WWWW[[#This Row],['#_Constructed latrines_by_WASHAgencies]]+WWWW[[#This Row],['#_Non Cluster partner latrines]])-WWWW[[#This Row],['#_Non-functional latrines]]</f>
        <v>74</v>
      </c>
      <c r="CW251" s="804">
        <f>WWWW[[#This Row],[HRP2]]/WWWW[[#This Row],[Total PoP ]]</f>
        <v>1</v>
      </c>
      <c r="CX25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882</v>
      </c>
      <c r="CY25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1" s="473">
        <f>IF(WWWW[[#This Row],['# of functional latrines in THF supported by WASH partners during the reporting period2]]="",0,WWWW[[#This Row],['# of functional latrines in THF supported by WASH partners during the reporting period2]]*50)</f>
        <v>0</v>
      </c>
      <c r="DB251" s="473">
        <f>WWWW[[#This Row],['# students access to functioning school latrines_HRP5]]+WWWW[[#This Row],['# People access to functioning latrines in THF_HRP5]]</f>
        <v>0</v>
      </c>
      <c r="DC251" s="801">
        <f>ROUND(IF(WWWW[[#This Row],[Location Type 1]]="camp",WWWW[[#This Row],[Total PoP ]]/20,IF(WWWW[[#This Row],[Location Type 1]]="Temporary Location",WWWW[[#This Row],[Total PoP ]]/50,(WWWW[[#This Row],[Total PoP ]]/6))),0)</f>
        <v>44</v>
      </c>
      <c r="DD251" s="801">
        <f>IF(WWWW[[#This Row],[Total required Latrines]]-(WWWW[[#This Row],['#_Constructed latrines_by_WASHAgencies]]+WWWW[[#This Row],['#_Non Cluster partner latrines]])&lt;0,0,WWWW[[#This Row],[Total required Latrines]]-(WWWW[[#This Row],['#_Constructed latrines_by_WASHAgencies]]+WWWW[[#This Row],['#_Non Cluster partner latrines]]))</f>
        <v>0</v>
      </c>
      <c r="DE251" s="803">
        <f>1-WWWW[[#This Row],[% people access to functioning Latrine]]</f>
        <v>0</v>
      </c>
      <c r="DF251" s="802">
        <f>IF(OR(WWWW[[#This Row],['#_Non-functional latrines]]="",WWWW[[#This Row],['#_Non-functional latrines]]=0),0,WWWW[[#This Row],['#_Non-functional latrines]]/(WWWW[[#This Row],['#_Constructed latrines_by_WASHAgencies]]+WWWW[[#This Row],['#_Non Cluster partner latrines]]))</f>
        <v>0</v>
      </c>
      <c r="DG251" s="798">
        <f>IF(500*(WWWW[[#This Row],['#_male hygiene promoters]]+WWWW[[#This Row],['#_female hygiene promoters]])&gt;WWWW[[#This Row],[Total PoP ]],WWWW[[#This Row],[Total PoP ]],500*(WWWW[[#This Row],['#_male hygiene promoters]]+WWWW[[#This Row],['#_female hygiene promoters]]))</f>
        <v>882</v>
      </c>
      <c r="DH25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1" s="801">
        <f>IF(WWWW[[#This Row],['# People with access to soap]]&gt;WWWW[[#This Row],['# People with access to Sanity Pads]],WWWW[[#This Row],['# People with access to soap]],WWWW[[#This Row],['# People with access to Sanity Pads]])</f>
        <v>0</v>
      </c>
      <c r="DK251" s="801">
        <f>IF(WWWW[[#This Row],['# people reached by regular dedicated hygiene promotion_5]]&gt;WWWW[[#This Row],['# People received regular supply of hygiene items_6]],WWWW[[#This Row],['# people reached by regular dedicated hygiene promotion_5]],WWWW[[#This Row],['# People received regular supply of hygiene items_6]])</f>
        <v>882</v>
      </c>
      <c r="DL251" s="803">
        <f>IF(WWWW[[#This Row],[HRP3]]/WWWW[[#This Row],[Total PoP ]]&gt;1,1,WWWW[[#This Row],[HRP3]]/WWWW[[#This Row],[Total PoP ]])</f>
        <v>1</v>
      </c>
      <c r="DM251" s="802">
        <f>1-WWWW[[#This Row],[Hygiene Coverage%]]</f>
        <v>0</v>
      </c>
      <c r="DN251" s="800">
        <f>WWWW[[#This Row],['# people reached by regular dedicated hygiene promotion_5]]/WWWW[[#This Row],[Total PoP ]]</f>
        <v>1</v>
      </c>
      <c r="DO25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1" s="801">
        <f>WWWW[[#This Row],['#_Constructed/Existing hand washing stations]]-WWWW[[#This Row],['#_Non-Functional_hand_washing_stations]]</f>
        <v>0</v>
      </c>
      <c r="DR251" s="798">
        <f>IF(WWWW[[#This Row],['# Functional hand washing stations during reporting period]]*20&gt;WWWW[[#This Row],[Total HH]],WWWW[[#This Row],[Total HH]],WWWW[[#This Row],['# Functional hand washing stations during reporting period]]*20)</f>
        <v>0</v>
      </c>
      <c r="DS251" s="798">
        <f>IF(WWWW[[#This Row],[Is sufficient soap available for TLS? (Yes/No)]]="yes",WWWW[[#This Row],['#_Constructed/Existing hand washing stations at TLS]],0)</f>
        <v>0</v>
      </c>
      <c r="DT251" s="479">
        <f>IF(WWWW[[#This Row],['# Functional hand washing stations during reporting period]]*100&gt;WWWW[[#This Row],[Total PoP ]],WWWW[[#This Row],[Total PoP ]],WWWW[[#This Row],['# Functional hand washing stations during reporting period]]*100)</f>
        <v>0</v>
      </c>
      <c r="DU251" s="479" t="str">
        <f>IF(OR(WWWW[[#This Row],['#_students at TLS_CFS]]="",WWWW[[#This Row],['#_students at TLS_CFS]]=0),"No","Yes")</f>
        <v>Yes</v>
      </c>
      <c r="DV25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1" s="794" t="str">
        <f>VLOOKUP(WWWW[[#This Row],[Site Name]],SiteDB6[[Site Name]:[CCCM Management]],6,FALSE)</f>
        <v>Yes</v>
      </c>
      <c r="DZ251" s="794" t="str">
        <f>VLOOKUP(WWWW[[#This Row],[Site Name]],SiteDB6[[Site Name]:[CCCM Focal Agency]],7,FALSE)</f>
        <v>KMSS-MYT</v>
      </c>
      <c r="EA251" s="794" t="str">
        <f>VLOOKUP(WWWW[[#This Row],[Site Name]],SiteDB6[[Site Name]:[Location Type 1]],9,FALSE)</f>
        <v>Camp</v>
      </c>
      <c r="EB251" s="794" t="str">
        <f>VLOOKUP(WWWW[[#This Row],[Site Name]],SiteDB6[[Site Name]:[Type of Accommodation]],10,FALSE)</f>
        <v>Camp</v>
      </c>
      <c r="EC251" s="794" t="str">
        <f>VLOOKUP(WWWW[[#This Row],[Site Name]],SiteDB6[[Site Name]:[Ethnic or GCA/NGCA]],11,FALSE)</f>
        <v>GCA</v>
      </c>
      <c r="ED251" s="794">
        <f>VLOOKUP(WWWW[[#This Row],[Site Name]],SiteDB6[[Site Name]:[Lat]],12,FALSE)</f>
        <v>25.493819999999999</v>
      </c>
      <c r="EE251" s="794">
        <f>VLOOKUP(WWWW[[#This Row],[Site Name]],SiteDB6[[Site Name]:[Long]],13,FALSE)</f>
        <v>97.4345</v>
      </c>
      <c r="EF251" s="794" t="str">
        <f>VLOOKUP(WWWW[[#This Row],[Site Name]],SiteDB6[[Site Name]:[Pcode]],3,FALSE)</f>
        <v>MMR001CMP162</v>
      </c>
      <c r="EG251" s="799" t="str">
        <f t="shared" si="5"/>
        <v>Covered</v>
      </c>
      <c r="EH251" s="799" t="str">
        <f>VLOOKUP(WWWW[[#This Row],[Site Name]],Site_DB!$C$389:$D$1120,2,FALSE)</f>
        <v>cccm_2019OCT</v>
      </c>
    </row>
    <row r="252" spans="1:138" hidden="1">
      <c r="A252" s="792" t="s">
        <v>3262</v>
      </c>
      <c r="B252" s="792" t="s">
        <v>38</v>
      </c>
      <c r="C252" s="793" t="s">
        <v>38</v>
      </c>
      <c r="D252" s="404" t="s">
        <v>3372</v>
      </c>
      <c r="E252" s="793" t="s">
        <v>39</v>
      </c>
      <c r="F252" s="793" t="s">
        <v>162</v>
      </c>
      <c r="G252" s="721" t="str">
        <f>VLOOKUP(WWWW[[#This Row],[Site Name]],SiteDB6[[Site Name]:[Location Type]],8,FALSE)</f>
        <v>Camp</v>
      </c>
      <c r="H252" s="793" t="s">
        <v>2167</v>
      </c>
      <c r="I252" s="795">
        <v>255</v>
      </c>
      <c r="J252" s="795">
        <v>1374</v>
      </c>
      <c r="K252" s="407" t="s">
        <v>3619</v>
      </c>
      <c r="L252" s="56" t="s">
        <v>3620</v>
      </c>
      <c r="M252" s="795"/>
      <c r="N252" s="795"/>
      <c r="O252" s="795"/>
      <c r="P252" s="795"/>
      <c r="Q252" s="798"/>
      <c r="R252" s="795"/>
      <c r="S252" s="795"/>
      <c r="T252" s="523">
        <v>2</v>
      </c>
      <c r="U252" s="795"/>
      <c r="V252" s="795">
        <v>1</v>
      </c>
      <c r="W252" s="795"/>
      <c r="X252" s="795"/>
      <c r="Y252" s="795"/>
      <c r="Z252" s="795"/>
      <c r="AA252" s="795">
        <v>2</v>
      </c>
      <c r="AB252" s="795"/>
      <c r="AC252" s="795"/>
      <c r="AD252" s="795"/>
      <c r="AE252" s="795"/>
      <c r="AF252" s="795"/>
      <c r="AG252" s="795"/>
      <c r="AH252" s="795"/>
      <c r="AI252" s="795">
        <v>4</v>
      </c>
      <c r="AJ252" s="795"/>
      <c r="AK252" s="795">
        <v>4</v>
      </c>
      <c r="AL252" s="795">
        <v>2</v>
      </c>
      <c r="AM252" s="795"/>
      <c r="AN252" s="795"/>
      <c r="AO252" s="799"/>
      <c r="AP252" s="795">
        <v>62</v>
      </c>
      <c r="AQ252" s="795"/>
      <c r="AR252" s="800"/>
      <c r="AS252" s="795"/>
      <c r="AT252" s="795"/>
      <c r="AU252" s="795"/>
      <c r="AV252" s="795"/>
      <c r="AW252" s="795"/>
      <c r="AX252" s="794" t="s">
        <v>43</v>
      </c>
      <c r="AY252" s="799" t="s">
        <v>140</v>
      </c>
      <c r="AZ252" s="795">
        <v>1</v>
      </c>
      <c r="BA252" s="795"/>
      <c r="BB252" s="795">
        <v>62</v>
      </c>
      <c r="BC252" s="523"/>
      <c r="BD252" s="523"/>
      <c r="BE252" s="794"/>
      <c r="BF252" s="795"/>
      <c r="BG252" s="795"/>
      <c r="BH252" s="795">
        <v>7</v>
      </c>
      <c r="BI252" s="795">
        <v>7</v>
      </c>
      <c r="BJ252" s="795"/>
      <c r="BK252" s="795"/>
      <c r="BL252" s="795"/>
      <c r="BM252" s="795"/>
      <c r="BN252" s="795"/>
      <c r="BO252" s="794"/>
      <c r="BP252" s="801">
        <v>6</v>
      </c>
      <c r="BQ252" s="800"/>
      <c r="BR252" s="794"/>
      <c r="BS252" s="472"/>
      <c r="BT252" s="472"/>
      <c r="BU252" s="523"/>
      <c r="BV252" s="472"/>
      <c r="BW252" s="523"/>
      <c r="BX252" s="523"/>
      <c r="BY252" s="523"/>
      <c r="BZ252" s="802">
        <f>IFERROR(WWWW[[#This Row],['#_Water sources passed]]/WWWW[[#This Row],['#_Water sources tested for fecal coliform ]],"no test")</f>
        <v>0</v>
      </c>
      <c r="CA252" s="800">
        <f>IFERROR(WWWW[[#This Row],['#_Household passed]]/WWWW[[#This Row],['#_Household water samples tested for fecal coliform]],"no test")</f>
        <v>0.5</v>
      </c>
      <c r="CB252" s="801" t="str">
        <f>IF(AND(WWWW[[#This Row],[% of water sources passed]]="no test",WWWW[[#This Row],[% Household passed]]="no test"),"No Test","Tested")</f>
        <v>Tested</v>
      </c>
      <c r="CC252" s="801">
        <f>WWWW[[#This Row],['#_Constructed/existing protected hand dug well]]-WWWW[[#This Row],['#_Non-functional protected hand dug well]]</f>
        <v>2</v>
      </c>
      <c r="CD252" s="801">
        <f>(WWWW[[#This Row],['#_Constructed/Existing tube wells/boreholes/handpumps_WASH_agency]]+WWWW[[#This Row],['#_Non-Cluster partner water tube-wells/boreholes/handpumps]])-WWWW[[#This Row],['#_Non-functional tube wells/boreholes/handpumps]]</f>
        <v>0</v>
      </c>
      <c r="CE252" s="801">
        <f>WWWW[[#This Row],['#_Constructed/Existingwater storage tank with gravity fed reticulation system]]-WWWW[[#This Row],['#_Non-functional storage tank gravity fed reticulation system]]</f>
        <v>2</v>
      </c>
      <c r="CF252" s="801">
        <f>(WWWW[[#This Row],['#_Water_Liters_supplied_by_Water boating or water trucking]]/90)/15</f>
        <v>0</v>
      </c>
      <c r="CG252" s="801">
        <f>WWWW[[#This Row],['#_Water_Liters_from_Constructed/Existing water distribution system from river or natural spring]]/90/15</f>
        <v>0</v>
      </c>
      <c r="CH252" s="473">
        <f>WWWW[[#This Row],['#_of water points in TLS/CFS /THF]]*500</f>
        <v>0</v>
      </c>
      <c r="CI25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0.67928190198932559</v>
      </c>
      <c r="CJ25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0.46094129063561379</v>
      </c>
      <c r="CK252" s="800">
        <f>IF(WWWW[[#This Row],[Location Type 1]]="Village",WWWW[[#This Row],[Access to safe drinking water for Village]],WWWW[[#This Row],[Access to safe drinking water for Camp]])</f>
        <v>0.67928190198932559</v>
      </c>
      <c r="CL252" s="798">
        <f>WWWW[[#This Row],[%Equitable and continuous access to sufficient quantity of safe drinking water]]*WWWW[[#This Row],[Total PoP ]]</f>
        <v>933.33333333333337</v>
      </c>
      <c r="CM252" s="800">
        <f>IF((WWWW[[#This Row],['#_Constructed/Existing protected/fenced ponds]]*250)/WWWW[[#This Row],[Total PoP ]]&gt;1,1,(WWWW[[#This Row],['#_Constructed/Existing protected/fenced ponds]]*250)/WWWW[[#This Row],[Total PoP ]])</f>
        <v>0</v>
      </c>
      <c r="CN252" s="798">
        <f>WWWW[[#This Row],[% Access to unimproved water points]]*WWWW[[#This Row],[Total PoP ]]</f>
        <v>0</v>
      </c>
      <c r="CO25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0.67928190198932559</v>
      </c>
      <c r="CP25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Q252" s="798">
        <f>WWWW[[#This Row],[HRP1]]/500</f>
        <v>1.8666666666666667</v>
      </c>
      <c r="CR252" s="803">
        <f>1-WWWW[[#This Row],[% Equitable and continuous access to sufficient quantity of domestic water]]</f>
        <v>0.32071809801067441</v>
      </c>
      <c r="CS252" s="798">
        <f>WWWW[[#This Row],[%equitable and continuous access to sufficient quantity of safe drinking and domestic water''s GAP]]*WWWW[[#This Row],[Total PoP ]]</f>
        <v>440.66666666666663</v>
      </c>
      <c r="CT252" s="801">
        <f>IF(WWWW[[#This Row],[Total required water points]]-WWWW[[#This Row],['#Water points coverage]]&lt;0,0,WWWW[[#This Row],[Total required water points]]-WWWW[[#This Row],['#Water points coverage]])</f>
        <v>1.1333333333333333</v>
      </c>
      <c r="CU252" s="801">
        <f>ROUND(IF(WWWW[[#This Row],[Total PoP ]]&lt;500,1,WWWW[[#This Row],[Total PoP ]]/500),0)</f>
        <v>3</v>
      </c>
      <c r="CV252" s="801">
        <f>(WWWW[[#This Row],['#_Constructed latrines_by_WASHAgencies]]+WWWW[[#This Row],['#_Non Cluster partner latrines]])-WWWW[[#This Row],['#_Non-functional latrines]]</f>
        <v>62</v>
      </c>
      <c r="CW252" s="804">
        <f>WWWW[[#This Row],[HRP2]]/WWWW[[#This Row],[Total PoP ]]</f>
        <v>0.91703056768558955</v>
      </c>
      <c r="CX25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1260</v>
      </c>
      <c r="CY25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2" s="473">
        <f>IF(WWWW[[#This Row],['# of functional latrines in THF supported by WASH partners during the reporting period2]]="",0,WWWW[[#This Row],['# of functional latrines in THF supported by WASH partners during the reporting period2]]*50)</f>
        <v>0</v>
      </c>
      <c r="DB252" s="473">
        <f>WWWW[[#This Row],['# students access to functioning school latrines_HRP5]]+WWWW[[#This Row],['# People access to functioning latrines in THF_HRP5]]</f>
        <v>0</v>
      </c>
      <c r="DC252" s="801">
        <f>ROUND(IF(WWWW[[#This Row],[Location Type 1]]="camp",WWWW[[#This Row],[Total PoP ]]/20,IF(WWWW[[#This Row],[Location Type 1]]="Temporary Location",WWWW[[#This Row],[Total PoP ]]/50,(WWWW[[#This Row],[Total PoP ]]/6))),0)</f>
        <v>69</v>
      </c>
      <c r="DD252" s="801">
        <f>IF(WWWW[[#This Row],[Total required Latrines]]-(WWWW[[#This Row],['#_Constructed latrines_by_WASHAgencies]]+WWWW[[#This Row],['#_Non Cluster partner latrines]])&lt;0,0,WWWW[[#This Row],[Total required Latrines]]-(WWWW[[#This Row],['#_Constructed latrines_by_WASHAgencies]]+WWWW[[#This Row],['#_Non Cluster partner latrines]]))</f>
        <v>7</v>
      </c>
      <c r="DE252" s="803">
        <f>1-WWWW[[#This Row],[% people access to functioning Latrine]]</f>
        <v>8.2969432314410452E-2</v>
      </c>
      <c r="DF252" s="802">
        <f>IF(OR(WWWW[[#This Row],['#_Non-functional latrines]]="",WWWW[[#This Row],['#_Non-functional latrines]]=0),0,WWWW[[#This Row],['#_Non-functional latrines]]/(WWWW[[#This Row],['#_Constructed latrines_by_WASHAgencies]]+WWWW[[#This Row],['#_Non Cluster partner latrines]]))</f>
        <v>0</v>
      </c>
      <c r="DG252" s="798">
        <f>IF(500*(WWWW[[#This Row],['#_male hygiene promoters]]+WWWW[[#This Row],['#_female hygiene promoters]])&gt;WWWW[[#This Row],[Total PoP ]],WWWW[[#This Row],[Total PoP ]],500*(WWWW[[#This Row],['#_male hygiene promoters]]+WWWW[[#This Row],['#_female hygiene promoters]]))</f>
        <v>0</v>
      </c>
      <c r="DH25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2" s="801">
        <f>IF(WWWW[[#This Row],['# People with access to soap]]&gt;WWWW[[#This Row],['# People with access to Sanity Pads]],WWWW[[#This Row],['# People with access to soap]],WWWW[[#This Row],['# People with access to Sanity Pads]])</f>
        <v>0</v>
      </c>
      <c r="DK25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2" s="803">
        <f>IF(WWWW[[#This Row],[HRP3]]/WWWW[[#This Row],[Total PoP ]]&gt;1,1,WWWW[[#This Row],[HRP3]]/WWWW[[#This Row],[Total PoP ]])</f>
        <v>0</v>
      </c>
      <c r="DM252" s="802">
        <f>1-WWWW[[#This Row],[Hygiene Coverage%]]</f>
        <v>1</v>
      </c>
      <c r="DN252" s="800">
        <f>WWWW[[#This Row],['# people reached by regular dedicated hygiene promotion_5]]/WWWW[[#This Row],[Total PoP ]]</f>
        <v>0</v>
      </c>
      <c r="DO25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2" s="801">
        <f>WWWW[[#This Row],['#_Constructed/Existing hand washing stations]]-WWWW[[#This Row],['#_Non-Functional_hand_washing_stations]]</f>
        <v>0</v>
      </c>
      <c r="DR252" s="798">
        <f>IF(WWWW[[#This Row],['# Functional hand washing stations during reporting period]]*20&gt;WWWW[[#This Row],[Total HH]],WWWW[[#This Row],[Total HH]],WWWW[[#This Row],['# Functional hand washing stations during reporting period]]*20)</f>
        <v>0</v>
      </c>
      <c r="DS252" s="798">
        <f>IF(WWWW[[#This Row],[Is sufficient soap available for TLS? (Yes/No)]]="yes",WWWW[[#This Row],['#_Constructed/Existing hand washing stations at TLS]],0)</f>
        <v>0</v>
      </c>
      <c r="DT252" s="479">
        <f>IF(WWWW[[#This Row],['# Functional hand washing stations during reporting period]]*100&gt;WWWW[[#This Row],[Total PoP ]],WWWW[[#This Row],[Total PoP ]],WWWW[[#This Row],['# Functional hand washing stations during reporting period]]*100)</f>
        <v>0</v>
      </c>
      <c r="DU252" s="479" t="str">
        <f>IF(OR(WWWW[[#This Row],['#_students at TLS_CFS]]="",WWWW[[#This Row],['#_students at TLS_CFS]]=0),"No","Yes")</f>
        <v>No</v>
      </c>
      <c r="DV25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2" s="794" t="str">
        <f>VLOOKUP(WWWW[[#This Row],[Site Name]],SiteDB6[[Site Name]:[CCCM Management]],6,FALSE)</f>
        <v>Yes</v>
      </c>
      <c r="DZ252" s="794" t="str">
        <f>VLOOKUP(WWWW[[#This Row],[Site Name]],SiteDB6[[Site Name]:[CCCM Focal Agency]],7,FALSE)</f>
        <v>KMSS-MYT</v>
      </c>
      <c r="EA252" s="794" t="str">
        <f>VLOOKUP(WWWW[[#This Row],[Site Name]],SiteDB6[[Site Name]:[Location Type 1]],9,FALSE)</f>
        <v>Camp</v>
      </c>
      <c r="EB252" s="794" t="str">
        <f>VLOOKUP(WWWW[[#This Row],[Site Name]],SiteDB6[[Site Name]:[Type of Accommodation]],10,FALSE)</f>
        <v>Camp</v>
      </c>
      <c r="EC252" s="794" t="str">
        <f>VLOOKUP(WWWW[[#This Row],[Site Name]],SiteDB6[[Site Name]:[Ethnic or GCA/NGCA]],11,FALSE)</f>
        <v>GCA</v>
      </c>
      <c r="ED252" s="794">
        <f>VLOOKUP(WWWW[[#This Row],[Site Name]],SiteDB6[[Site Name]:[Lat]],12,FALSE)</f>
        <v>25.493819999999999</v>
      </c>
      <c r="EE252" s="794">
        <f>VLOOKUP(WWWW[[#This Row],[Site Name]],SiteDB6[[Site Name]:[Long]],13,FALSE)</f>
        <v>97.4345</v>
      </c>
      <c r="EF252" s="794" t="str">
        <f>VLOOKUP(WWWW[[#This Row],[Site Name]],SiteDB6[[Site Name]:[Pcode]],3,FALSE)</f>
        <v>MMR001CMP271</v>
      </c>
      <c r="EG252" s="799" t="str">
        <f t="shared" si="5"/>
        <v>Covered</v>
      </c>
      <c r="EH252" s="799" t="str">
        <f>VLOOKUP(WWWW[[#This Row],[Site Name]],Site_DB!$C$389:$D$1120,2,FALSE)</f>
        <v>cccm_2019OCT</v>
      </c>
    </row>
    <row r="253" spans="1:138" hidden="1">
      <c r="A253" s="792" t="s">
        <v>3262</v>
      </c>
      <c r="B253" s="792" t="s">
        <v>38</v>
      </c>
      <c r="C253" s="793" t="s">
        <v>38</v>
      </c>
      <c r="D253" s="793" t="s">
        <v>3049</v>
      </c>
      <c r="E253" s="793" t="s">
        <v>39</v>
      </c>
      <c r="F253" s="793" t="s">
        <v>145</v>
      </c>
      <c r="G253" s="721" t="str">
        <f>VLOOKUP(WWWW[[#This Row],[Site Name]],SiteDB6[[Site Name]:[Location Type]],8,FALSE)</f>
        <v>Camp</v>
      </c>
      <c r="H253" s="404" t="s">
        <v>240</v>
      </c>
      <c r="I253" s="795">
        <v>283</v>
      </c>
      <c r="J253" s="795">
        <v>1481</v>
      </c>
      <c r="K253" s="407" t="s">
        <v>3619</v>
      </c>
      <c r="L253" s="56" t="s">
        <v>3620</v>
      </c>
      <c r="M253" s="795">
        <v>85</v>
      </c>
      <c r="N253" s="795"/>
      <c r="O253" s="795"/>
      <c r="P253" s="795"/>
      <c r="Q253" s="798" t="s">
        <v>43</v>
      </c>
      <c r="R253" s="795"/>
      <c r="S253" s="795"/>
      <c r="T253" s="523">
        <v>10</v>
      </c>
      <c r="U253" s="795"/>
      <c r="V253" s="795"/>
      <c r="W253" s="795"/>
      <c r="X253" s="795"/>
      <c r="Y253" s="795"/>
      <c r="Z253" s="795"/>
      <c r="AA253" s="795"/>
      <c r="AB253" s="795"/>
      <c r="AC253" s="795"/>
      <c r="AD253" s="795"/>
      <c r="AE253" s="795"/>
      <c r="AF253" s="795"/>
      <c r="AG253" s="795"/>
      <c r="AH253" s="795"/>
      <c r="AI253" s="795"/>
      <c r="AJ253" s="795">
        <v>2</v>
      </c>
      <c r="AK253" s="795">
        <v>1</v>
      </c>
      <c r="AL253" s="795"/>
      <c r="AM253" s="795">
        <v>2</v>
      </c>
      <c r="AN253" s="795"/>
      <c r="AO253" s="799"/>
      <c r="AP253" s="795">
        <v>97</v>
      </c>
      <c r="AQ253" s="795"/>
      <c r="AR253" s="800"/>
      <c r="AS253" s="795"/>
      <c r="AT253" s="795"/>
      <c r="AU253" s="795"/>
      <c r="AV253" s="795"/>
      <c r="AW253" s="795"/>
      <c r="AX253" s="794" t="s">
        <v>43</v>
      </c>
      <c r="AY253" s="799" t="s">
        <v>140</v>
      </c>
      <c r="AZ253" s="795">
        <v>4</v>
      </c>
      <c r="BA253" s="795"/>
      <c r="BB253" s="795"/>
      <c r="BC253" s="523"/>
      <c r="BD253" s="523"/>
      <c r="BE253" s="794"/>
      <c r="BF253" s="795"/>
      <c r="BG253" s="795"/>
      <c r="BH253" s="795"/>
      <c r="BI253" s="795">
        <v>6</v>
      </c>
      <c r="BJ253" s="795"/>
      <c r="BK253" s="795"/>
      <c r="BL253" s="795">
        <v>4</v>
      </c>
      <c r="BM253" s="795"/>
      <c r="BN253" s="795"/>
      <c r="BO253" s="794" t="s">
        <v>139</v>
      </c>
      <c r="BP253" s="801"/>
      <c r="BQ253" s="800"/>
      <c r="BR253" s="794"/>
      <c r="BS253" s="472"/>
      <c r="BT253" s="472"/>
      <c r="BU253" s="523"/>
      <c r="BV253" s="472"/>
      <c r="BW253" s="523"/>
      <c r="BX253" s="523"/>
      <c r="BY253" s="523"/>
      <c r="BZ253" s="802" t="str">
        <f>IFERROR(WWWW[[#This Row],['#_Water sources passed]]/WWWW[[#This Row],['#_Water sources tested for fecal coliform ]],"no test")</f>
        <v>no test</v>
      </c>
      <c r="CA253" s="800">
        <f>IFERROR(WWWW[[#This Row],['#_Household passed]]/WWWW[[#This Row],['#_Household water samples tested for fecal coliform]],"no test")</f>
        <v>0</v>
      </c>
      <c r="CB253" s="801" t="str">
        <f>IF(AND(WWWW[[#This Row],[% of water sources passed]]="no test",WWWW[[#This Row],[% Household passed]]="no test"),"No Test","Tested")</f>
        <v>Tested</v>
      </c>
      <c r="CC253" s="801">
        <f>WWWW[[#This Row],['#_Constructed/existing protected hand dug well]]-WWWW[[#This Row],['#_Non-functional protected hand dug well]]</f>
        <v>10</v>
      </c>
      <c r="CD253" s="801">
        <f>(WWWW[[#This Row],['#_Constructed/Existing tube wells/boreholes/handpumps_WASH_agency]]+WWWW[[#This Row],['#_Non-Cluster partner water tube-wells/boreholes/handpumps]])-WWWW[[#This Row],['#_Non-functional tube wells/boreholes/handpumps]]</f>
        <v>0</v>
      </c>
      <c r="CE253" s="801">
        <f>WWWW[[#This Row],['#_Constructed/Existingwater storage tank with gravity fed reticulation system]]-WWWW[[#This Row],['#_Non-functional storage tank gravity fed reticulation system]]</f>
        <v>0</v>
      </c>
      <c r="CF253" s="801">
        <f>(WWWW[[#This Row],['#_Water_Liters_supplied_by_Water boating or water trucking]]/90)/15</f>
        <v>0</v>
      </c>
      <c r="CG253" s="801">
        <f>WWWW[[#This Row],['#_Water_Liters_from_Constructed/Existing water distribution system from river or natural spring]]/90/15</f>
        <v>0</v>
      </c>
      <c r="CH253" s="473">
        <f>WWWW[[#This Row],['#_of water points in TLS/CFS /THF]]*500</f>
        <v>0</v>
      </c>
      <c r="CI25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3" s="800">
        <f>IF(WWWW[[#This Row],[Location Type 1]]="Village",WWWW[[#This Row],[Access to safe drinking water for Village]],WWWW[[#This Row],[Access to safe drinking water for Camp]])</f>
        <v>1</v>
      </c>
      <c r="CL253" s="798">
        <f>WWWW[[#This Row],[%Equitable and continuous access to sufficient quantity of safe drinking water]]*WWWW[[#This Row],[Total PoP ]]</f>
        <v>1481</v>
      </c>
      <c r="CM253" s="800">
        <f>IF((WWWW[[#This Row],['#_Constructed/Existing protected/fenced ponds]]*250)/WWWW[[#This Row],[Total PoP ]]&gt;1,1,(WWWW[[#This Row],['#_Constructed/Existing protected/fenced ponds]]*250)/WWWW[[#This Row],[Total PoP ]])</f>
        <v>0</v>
      </c>
      <c r="CN253" s="798">
        <f>WWWW[[#This Row],[% Access to unimproved water points]]*WWWW[[#This Row],[Total PoP ]]</f>
        <v>0</v>
      </c>
      <c r="CO25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Q253" s="798">
        <f>WWWW[[#This Row],[HRP1]]/500</f>
        <v>2.9620000000000002</v>
      </c>
      <c r="CR253" s="803">
        <f>1-WWWW[[#This Row],[% Equitable and continuous access to sufficient quantity of domestic water]]</f>
        <v>0</v>
      </c>
      <c r="CS253" s="798">
        <f>WWWW[[#This Row],[%equitable and continuous access to sufficient quantity of safe drinking and domestic water''s GAP]]*WWWW[[#This Row],[Total PoP ]]</f>
        <v>0</v>
      </c>
      <c r="CT253" s="801">
        <f>IF(WWWW[[#This Row],[Total required water points]]-WWWW[[#This Row],['#Water points coverage]]&lt;0,0,WWWW[[#This Row],[Total required water points]]-WWWW[[#This Row],['#Water points coverage]])</f>
        <v>3.7999999999999812E-2</v>
      </c>
      <c r="CU253" s="801">
        <f>ROUND(IF(WWWW[[#This Row],[Total PoP ]]&lt;500,1,WWWW[[#This Row],[Total PoP ]]/500),0)</f>
        <v>3</v>
      </c>
      <c r="CV253" s="801">
        <f>(WWWW[[#This Row],['#_Constructed latrines_by_WASHAgencies]]+WWWW[[#This Row],['#_Non Cluster partner latrines]])-WWWW[[#This Row],['#_Non-functional latrines]]</f>
        <v>97</v>
      </c>
      <c r="CW253" s="804">
        <f>WWWW[[#This Row],[HRP2]]/WWWW[[#This Row],[Total PoP ]]</f>
        <v>1</v>
      </c>
      <c r="CX25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1481</v>
      </c>
      <c r="CY25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3" s="473">
        <f>IF(WWWW[[#This Row],['# of functional latrines in THF supported by WASH partners during the reporting period2]]="",0,WWWW[[#This Row],['# of functional latrines in THF supported by WASH partners during the reporting period2]]*50)</f>
        <v>0</v>
      </c>
      <c r="DB253" s="473">
        <f>WWWW[[#This Row],['# students access to functioning school latrines_HRP5]]+WWWW[[#This Row],['# People access to functioning latrines in THF_HRP5]]</f>
        <v>0</v>
      </c>
      <c r="DC253" s="801">
        <f>ROUND(IF(WWWW[[#This Row],[Location Type 1]]="camp",WWWW[[#This Row],[Total PoP ]]/20,IF(WWWW[[#This Row],[Location Type 1]]="Temporary Location",WWWW[[#This Row],[Total PoP ]]/50,(WWWW[[#This Row],[Total PoP ]]/6))),0)</f>
        <v>74</v>
      </c>
      <c r="DD253" s="801">
        <f>IF(WWWW[[#This Row],[Total required Latrines]]-(WWWW[[#This Row],['#_Constructed latrines_by_WASHAgencies]]+WWWW[[#This Row],['#_Non Cluster partner latrines]])&lt;0,0,WWWW[[#This Row],[Total required Latrines]]-(WWWW[[#This Row],['#_Constructed latrines_by_WASHAgencies]]+WWWW[[#This Row],['#_Non Cluster partner latrines]]))</f>
        <v>0</v>
      </c>
      <c r="DE253" s="803">
        <f>1-WWWW[[#This Row],[% people access to functioning Latrine]]</f>
        <v>0</v>
      </c>
      <c r="DF253" s="802">
        <f>IF(OR(WWWW[[#This Row],['#_Non-functional latrines]]="",WWWW[[#This Row],['#_Non-functional latrines]]=0),0,WWWW[[#This Row],['#_Non-functional latrines]]/(WWWW[[#This Row],['#_Constructed latrines_by_WASHAgencies]]+WWWW[[#This Row],['#_Non Cluster partner latrines]]))</f>
        <v>0</v>
      </c>
      <c r="DG253" s="798">
        <f>IF(500*(WWWW[[#This Row],['#_male hygiene promoters]]+WWWW[[#This Row],['#_female hygiene promoters]])&gt;WWWW[[#This Row],[Total PoP ]],WWWW[[#This Row],[Total PoP ]],500*(WWWW[[#This Row],['#_male hygiene promoters]]+WWWW[[#This Row],['#_female hygiene promoters]]))</f>
        <v>1481</v>
      </c>
      <c r="DH25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3" s="801">
        <f>IF(WWWW[[#This Row],['# People with access to soap]]&gt;WWWW[[#This Row],['# People with access to Sanity Pads]],WWWW[[#This Row],['# People with access to soap]],WWWW[[#This Row],['# People with access to Sanity Pads]])</f>
        <v>0</v>
      </c>
      <c r="DK253" s="801">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DL253" s="803">
        <f>IF(WWWW[[#This Row],[HRP3]]/WWWW[[#This Row],[Total PoP ]]&gt;1,1,WWWW[[#This Row],[HRP3]]/WWWW[[#This Row],[Total PoP ]])</f>
        <v>1</v>
      </c>
      <c r="DM253" s="802">
        <f>1-WWWW[[#This Row],[Hygiene Coverage%]]</f>
        <v>0</v>
      </c>
      <c r="DN253" s="800">
        <f>WWWW[[#This Row],['# people reached by regular dedicated hygiene promotion_5]]/WWWW[[#This Row],[Total PoP ]]</f>
        <v>1</v>
      </c>
      <c r="DO25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3" s="801">
        <f>WWWW[[#This Row],['#_Constructed/Existing hand washing stations]]-WWWW[[#This Row],['#_Non-Functional_hand_washing_stations]]</f>
        <v>0</v>
      </c>
      <c r="DR253" s="798">
        <f>IF(WWWW[[#This Row],['# Functional hand washing stations during reporting period]]*20&gt;WWWW[[#This Row],[Total HH]],WWWW[[#This Row],[Total HH]],WWWW[[#This Row],['# Functional hand washing stations during reporting period]]*20)</f>
        <v>0</v>
      </c>
      <c r="DS253" s="798">
        <f>IF(WWWW[[#This Row],[Is sufficient soap available for TLS? (Yes/No)]]="yes",WWWW[[#This Row],['#_Constructed/Existing hand washing stations at TLS]],0)</f>
        <v>0</v>
      </c>
      <c r="DT253" s="479">
        <f>IF(WWWW[[#This Row],['# Functional hand washing stations during reporting period]]*100&gt;WWWW[[#This Row],[Total PoP ]],WWWW[[#This Row],[Total PoP ]],WWWW[[#This Row],['# Functional hand washing stations during reporting period]]*100)</f>
        <v>0</v>
      </c>
      <c r="DU253" s="479" t="str">
        <f>IF(OR(WWWW[[#This Row],['#_students at TLS_CFS]]="",WWWW[[#This Row],['#_students at TLS_CFS]]=0),"No","Yes")</f>
        <v>Yes</v>
      </c>
      <c r="DV25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3" s="794" t="str">
        <f>VLOOKUP(WWWW[[#This Row],[Site Name]],SiteDB6[[Site Name]:[CCCM Management]],6,FALSE)</f>
        <v>Yes</v>
      </c>
      <c r="DZ253" s="794" t="str">
        <f>VLOOKUP(WWWW[[#This Row],[Site Name]],SiteDB6[[Site Name]:[CCCM Focal Agency]],7,FALSE)</f>
        <v>KMSS-MYT</v>
      </c>
      <c r="EA253" s="794" t="str">
        <f>VLOOKUP(WWWW[[#This Row],[Site Name]],SiteDB6[[Site Name]:[Location Type 1]],9,FALSE)</f>
        <v>Camp</v>
      </c>
      <c r="EB253" s="794" t="str">
        <f>VLOOKUP(WWWW[[#This Row],[Site Name]],SiteDB6[[Site Name]:[Type of Accommodation]],10,FALSE)</f>
        <v>Camp</v>
      </c>
      <c r="EC253" s="794" t="str">
        <f>VLOOKUP(WWWW[[#This Row],[Site Name]],SiteDB6[[Site Name]:[Ethnic or GCA/NGCA]],11,FALSE)</f>
        <v>GCA</v>
      </c>
      <c r="ED253" s="794">
        <f>VLOOKUP(WWWW[[#This Row],[Site Name]],SiteDB6[[Site Name]:[Lat]],12,FALSE)</f>
        <v>25.415667500000001</v>
      </c>
      <c r="EE253" s="794">
        <f>VLOOKUP(WWWW[[#This Row],[Site Name]],SiteDB6[[Site Name]:[Long]],13,FALSE)</f>
        <v>97.437782499999997</v>
      </c>
      <c r="EF253" s="794" t="str">
        <f>VLOOKUP(WWWW[[#This Row],[Site Name]],SiteDB6[[Site Name]:[Pcode]],3,FALSE)</f>
        <v>MMR001CMP029</v>
      </c>
      <c r="EG253" s="799" t="str">
        <f t="shared" si="5"/>
        <v>Covered</v>
      </c>
      <c r="EH253" s="799" t="str">
        <f>VLOOKUP(WWWW[[#This Row],[Site Name]],Site_DB!$C$389:$D$1120,2,FALSE)</f>
        <v>cccm_2019OCT</v>
      </c>
    </row>
    <row r="254" spans="1:138" hidden="1">
      <c r="A254" s="792" t="s">
        <v>3262</v>
      </c>
      <c r="B254" s="792" t="s">
        <v>144</v>
      </c>
      <c r="C254" s="793" t="s">
        <v>144</v>
      </c>
      <c r="D254" s="793"/>
      <c r="E254" s="793" t="s">
        <v>39</v>
      </c>
      <c r="F254" s="793" t="s">
        <v>217</v>
      </c>
      <c r="G254" s="721" t="str">
        <f>VLOOKUP(WWWW[[#This Row],[Site Name]],SiteDB6[[Site Name]:[Location Type]],8,FALSE)</f>
        <v>Camp_not registered</v>
      </c>
      <c r="H254" s="793" t="s">
        <v>2075</v>
      </c>
      <c r="I254" s="795">
        <v>78</v>
      </c>
      <c r="J254" s="795">
        <v>324</v>
      </c>
      <c r="K254" s="796"/>
      <c r="L254" s="797"/>
      <c r="M254" s="795">
        <v>442</v>
      </c>
      <c r="N254" s="795"/>
      <c r="O254" s="795"/>
      <c r="P254" s="795"/>
      <c r="Q254" s="798"/>
      <c r="R254" s="795"/>
      <c r="S254" s="795"/>
      <c r="T254" s="523"/>
      <c r="U254" s="795"/>
      <c r="V254" s="795"/>
      <c r="W254" s="795"/>
      <c r="X254" s="795"/>
      <c r="Y254" s="795"/>
      <c r="Z254" s="795"/>
      <c r="AA254" s="795"/>
      <c r="AB254" s="795"/>
      <c r="AC254" s="795"/>
      <c r="AD254" s="795"/>
      <c r="AE254" s="795"/>
      <c r="AF254" s="795"/>
      <c r="AG254" s="795"/>
      <c r="AH254" s="795">
        <v>0</v>
      </c>
      <c r="AI254" s="795"/>
      <c r="AJ254" s="795"/>
      <c r="AK254" s="795"/>
      <c r="AL254" s="795"/>
      <c r="AM254" s="795"/>
      <c r="AN254" s="795"/>
      <c r="AO254" s="799"/>
      <c r="AP254" s="795"/>
      <c r="AQ254" s="795"/>
      <c r="AR254" s="800"/>
      <c r="AS254" s="795"/>
      <c r="AT254" s="795"/>
      <c r="AU254" s="795"/>
      <c r="AV254" s="795"/>
      <c r="AW254" s="795"/>
      <c r="AX254" s="794" t="s">
        <v>43</v>
      </c>
      <c r="AY254" s="799" t="s">
        <v>143</v>
      </c>
      <c r="AZ254" s="795"/>
      <c r="BA254" s="795"/>
      <c r="BB254" s="795"/>
      <c r="BC254" s="523"/>
      <c r="BD254" s="523"/>
      <c r="BE254" s="794"/>
      <c r="BF254" s="795"/>
      <c r="BG254" s="795"/>
      <c r="BH254" s="795"/>
      <c r="BI254" s="795">
        <v>0</v>
      </c>
      <c r="BJ254" s="795"/>
      <c r="BK254" s="795"/>
      <c r="BL254" s="795"/>
      <c r="BM254" s="795"/>
      <c r="BN254" s="795"/>
      <c r="BO254" s="794"/>
      <c r="BP254" s="801"/>
      <c r="BQ254" s="800"/>
      <c r="BR254" s="794"/>
      <c r="BS254" s="472"/>
      <c r="BT254" s="472"/>
      <c r="BU254" s="523"/>
      <c r="BV254" s="472"/>
      <c r="BW254" s="523"/>
      <c r="BX254" s="523"/>
      <c r="BY254" s="523"/>
      <c r="BZ254" s="802" t="str">
        <f>IFERROR(WWWW[[#This Row],['#_Water sources passed]]/WWWW[[#This Row],['#_Water sources tested for fecal coliform ]],"no test")</f>
        <v>no test</v>
      </c>
      <c r="CA254" s="800" t="str">
        <f>IFERROR(WWWW[[#This Row],['#_Household passed]]/WWWW[[#This Row],['#_Household water samples tested for fecal coliform]],"no test")</f>
        <v>no test</v>
      </c>
      <c r="CB254" s="801" t="str">
        <f>IF(AND(WWWW[[#This Row],[% of water sources passed]]="no test",WWWW[[#This Row],[% Household passed]]="no test"),"No Test","Tested")</f>
        <v>No Test</v>
      </c>
      <c r="CC254" s="801">
        <f>WWWW[[#This Row],['#_Constructed/existing protected hand dug well]]-WWWW[[#This Row],['#_Non-functional protected hand dug well]]</f>
        <v>0</v>
      </c>
      <c r="CD254" s="801">
        <f>(WWWW[[#This Row],['#_Constructed/Existing tube wells/boreholes/handpumps_WASH_agency]]+WWWW[[#This Row],['#_Non-Cluster partner water tube-wells/boreholes/handpumps]])-WWWW[[#This Row],['#_Non-functional tube wells/boreholes/handpumps]]</f>
        <v>0</v>
      </c>
      <c r="CE254" s="801">
        <f>WWWW[[#This Row],['#_Constructed/Existingwater storage tank with gravity fed reticulation system]]-WWWW[[#This Row],['#_Non-functional storage tank gravity fed reticulation system]]</f>
        <v>0</v>
      </c>
      <c r="CF254" s="801">
        <f>(WWWW[[#This Row],['#_Water_Liters_supplied_by_Water boating or water trucking]]/90)/15</f>
        <v>0</v>
      </c>
      <c r="CG254" s="801">
        <f>WWWW[[#This Row],['#_Water_Liters_from_Constructed/Existing water distribution system from river or natural spring]]/90/15</f>
        <v>0</v>
      </c>
      <c r="CH254" s="473">
        <f>WWWW[[#This Row],['#_of water points in TLS/CFS /THF]]*500</f>
        <v>0</v>
      </c>
      <c r="CI25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5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54" s="800">
        <f>IF(WWWW[[#This Row],[Location Type 1]]="Village",WWWW[[#This Row],[Access to safe drinking water for Village]],WWWW[[#This Row],[Access to safe drinking water for Camp]])</f>
        <v>0</v>
      </c>
      <c r="CL254" s="798">
        <f>WWWW[[#This Row],[%Equitable and continuous access to sufficient quantity of safe drinking water]]*WWWW[[#This Row],[Total PoP ]]</f>
        <v>0</v>
      </c>
      <c r="CM254" s="800">
        <f>IF((WWWW[[#This Row],['#_Constructed/Existing protected/fenced ponds]]*250)/WWWW[[#This Row],[Total PoP ]]&gt;1,1,(WWWW[[#This Row],['#_Constructed/Existing protected/fenced ponds]]*250)/WWWW[[#This Row],[Total PoP ]])</f>
        <v>0</v>
      </c>
      <c r="CN254" s="798">
        <f>WWWW[[#This Row],[% Access to unimproved water points]]*WWWW[[#This Row],[Total PoP ]]</f>
        <v>0</v>
      </c>
      <c r="CO25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5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54" s="798">
        <f>WWWW[[#This Row],[HRP1]]/500</f>
        <v>0</v>
      </c>
      <c r="CR254" s="803">
        <f>1-WWWW[[#This Row],[% Equitable and continuous access to sufficient quantity of domestic water]]</f>
        <v>1</v>
      </c>
      <c r="CS254" s="798">
        <f>WWWW[[#This Row],[%equitable and continuous access to sufficient quantity of safe drinking and domestic water''s GAP]]*WWWW[[#This Row],[Total PoP ]]</f>
        <v>324</v>
      </c>
      <c r="CT254" s="801">
        <f>IF(WWWW[[#This Row],[Total required water points]]-WWWW[[#This Row],['#Water points coverage]]&lt;0,0,WWWW[[#This Row],[Total required water points]]-WWWW[[#This Row],['#Water points coverage]])</f>
        <v>1</v>
      </c>
      <c r="CU254" s="801">
        <f>ROUND(IF(WWWW[[#This Row],[Total PoP ]]&lt;500,1,WWWW[[#This Row],[Total PoP ]]/500),0)</f>
        <v>1</v>
      </c>
      <c r="CV254" s="801">
        <f>(WWWW[[#This Row],['#_Constructed latrines_by_WASHAgencies]]+WWWW[[#This Row],['#_Non Cluster partner latrines]])-WWWW[[#This Row],['#_Non-functional latrines]]</f>
        <v>0</v>
      </c>
      <c r="CW254" s="804">
        <f>WWWW[[#This Row],[HRP2]]/WWWW[[#This Row],[Total PoP ]]</f>
        <v>0</v>
      </c>
      <c r="CX25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5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4" s="473">
        <f>IF(WWWW[[#This Row],['# of functional latrines in THF supported by WASH partners during the reporting period2]]="",0,WWWW[[#This Row],['# of functional latrines in THF supported by WASH partners during the reporting period2]]*50)</f>
        <v>0</v>
      </c>
      <c r="DB254" s="473">
        <f>WWWW[[#This Row],['# students access to functioning school latrines_HRP5]]+WWWW[[#This Row],['# People access to functioning latrines in THF_HRP5]]</f>
        <v>0</v>
      </c>
      <c r="DC254" s="801">
        <f>ROUND(IF(WWWW[[#This Row],[Location Type 1]]="camp",WWWW[[#This Row],[Total PoP ]]/20,IF(WWWW[[#This Row],[Location Type 1]]="Temporary Location",WWWW[[#This Row],[Total PoP ]]/50,(WWWW[[#This Row],[Total PoP ]]/6))),0)</f>
        <v>16</v>
      </c>
      <c r="DD254" s="801">
        <f>IF(WWWW[[#This Row],[Total required Latrines]]-(WWWW[[#This Row],['#_Constructed latrines_by_WASHAgencies]]+WWWW[[#This Row],['#_Non Cluster partner latrines]])&lt;0,0,WWWW[[#This Row],[Total required Latrines]]-(WWWW[[#This Row],['#_Constructed latrines_by_WASHAgencies]]+WWWW[[#This Row],['#_Non Cluster partner latrines]]))</f>
        <v>16</v>
      </c>
      <c r="DE254" s="803">
        <f>1-WWWW[[#This Row],[% people access to functioning Latrine]]</f>
        <v>1</v>
      </c>
      <c r="DF254" s="802">
        <f>IF(OR(WWWW[[#This Row],['#_Non-functional latrines]]="",WWWW[[#This Row],['#_Non-functional latrines]]=0),0,WWWW[[#This Row],['#_Non-functional latrines]]/(WWWW[[#This Row],['#_Constructed latrines_by_WASHAgencies]]+WWWW[[#This Row],['#_Non Cluster partner latrines]]))</f>
        <v>0</v>
      </c>
      <c r="DG254" s="798">
        <f>IF(500*(WWWW[[#This Row],['#_male hygiene promoters]]+WWWW[[#This Row],['#_female hygiene promoters]])&gt;WWWW[[#This Row],[Total PoP ]],WWWW[[#This Row],[Total PoP ]],500*(WWWW[[#This Row],['#_male hygiene promoters]]+WWWW[[#This Row],['#_female hygiene promoters]]))</f>
        <v>0</v>
      </c>
      <c r="DH25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4" s="801">
        <f>IF(WWWW[[#This Row],['# People with access to soap]]&gt;WWWW[[#This Row],['# People with access to Sanity Pads]],WWWW[[#This Row],['# People with access to soap]],WWWW[[#This Row],['# People with access to Sanity Pads]])</f>
        <v>0</v>
      </c>
      <c r="DK25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4" s="803">
        <f>IF(WWWW[[#This Row],[HRP3]]/WWWW[[#This Row],[Total PoP ]]&gt;1,1,WWWW[[#This Row],[HRP3]]/WWWW[[#This Row],[Total PoP ]])</f>
        <v>0</v>
      </c>
      <c r="DM254" s="802">
        <f>1-WWWW[[#This Row],[Hygiene Coverage%]]</f>
        <v>1</v>
      </c>
      <c r="DN254" s="800">
        <f>WWWW[[#This Row],['# people reached by regular dedicated hygiene promotion_5]]/WWWW[[#This Row],[Total PoP ]]</f>
        <v>0</v>
      </c>
      <c r="DO25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4" s="801">
        <f>WWWW[[#This Row],['#_Constructed/Existing hand washing stations]]-WWWW[[#This Row],['#_Non-Functional_hand_washing_stations]]</f>
        <v>0</v>
      </c>
      <c r="DR254" s="798">
        <f>IF(WWWW[[#This Row],['# Functional hand washing stations during reporting period]]*20&gt;WWWW[[#This Row],[Total HH]],WWWW[[#This Row],[Total HH]],WWWW[[#This Row],['# Functional hand washing stations during reporting period]]*20)</f>
        <v>0</v>
      </c>
      <c r="DS254" s="798">
        <f>IF(WWWW[[#This Row],[Is sufficient soap available for TLS? (Yes/No)]]="yes",WWWW[[#This Row],['#_Constructed/Existing hand washing stations at TLS]],0)</f>
        <v>0</v>
      </c>
      <c r="DT254" s="479">
        <f>IF(WWWW[[#This Row],['# Functional hand washing stations during reporting period]]*100&gt;WWWW[[#This Row],[Total PoP ]],WWWW[[#This Row],[Total PoP ]],WWWW[[#This Row],['# Functional hand washing stations during reporting period]]*100)</f>
        <v>0</v>
      </c>
      <c r="DU254" s="479" t="str">
        <f>IF(OR(WWWW[[#This Row],['#_students at TLS_CFS]]="",WWWW[[#This Row],['#_students at TLS_CFS]]=0),"No","Yes")</f>
        <v>Yes</v>
      </c>
      <c r="DV25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4" s="794">
        <f>VLOOKUP(WWWW[[#This Row],[Site Name]],SiteDB6[[Site Name]:[CCCM Management]],6,FALSE)</f>
        <v>0</v>
      </c>
      <c r="DZ254" s="794">
        <f>VLOOKUP(WWWW[[#This Row],[Site Name]],SiteDB6[[Site Name]:[CCCM Focal Agency]],7,FALSE)</f>
        <v>0</v>
      </c>
      <c r="EA254" s="794" t="str">
        <f>VLOOKUP(WWWW[[#This Row],[Site Name]],SiteDB6[[Site Name]:[Location Type 1]],9,FALSE)</f>
        <v>Camp</v>
      </c>
      <c r="EB254" s="794" t="str">
        <f>VLOOKUP(WWWW[[#This Row],[Site Name]],SiteDB6[[Site Name]:[Type of Accommodation]],10,FALSE)</f>
        <v>Camp like setting</v>
      </c>
      <c r="EC254" s="794" t="str">
        <f>VLOOKUP(WWWW[[#This Row],[Site Name]],SiteDB6[[Site Name]:[Ethnic or GCA/NGCA]],11,FALSE)</f>
        <v>NGCA</v>
      </c>
      <c r="ED254" s="794">
        <f>VLOOKUP(WWWW[[#This Row],[Site Name]],SiteDB6[[Site Name]:[Lat]],12,FALSE)</f>
        <v>0</v>
      </c>
      <c r="EE254" s="794">
        <f>VLOOKUP(WWWW[[#This Row],[Site Name]],SiteDB6[[Site Name]:[Long]],13,FALSE)</f>
        <v>0</v>
      </c>
      <c r="EF254" s="794">
        <f>VLOOKUP(WWWW[[#This Row],[Site Name]],SiteDB6[[Site Name]:[Pcode]],3,FALSE)</f>
        <v>0</v>
      </c>
      <c r="EG254" s="799" t="str">
        <f t="shared" si="5"/>
        <v>Covered</v>
      </c>
      <c r="EH254" s="799">
        <f>VLOOKUP(WWWW[[#This Row],[Site Name]],Site_DB!$C$389:$D$1120,2,FALSE)</f>
        <v>0</v>
      </c>
    </row>
    <row r="255" spans="1:138" hidden="1">
      <c r="A255" s="792" t="s">
        <v>3262</v>
      </c>
      <c r="B255" s="792" t="s">
        <v>144</v>
      </c>
      <c r="C255" s="793" t="s">
        <v>144</v>
      </c>
      <c r="D255" s="793" t="s">
        <v>3277</v>
      </c>
      <c r="E255" s="793" t="s">
        <v>39</v>
      </c>
      <c r="F255" s="793" t="s">
        <v>145</v>
      </c>
      <c r="G255" s="721" t="str">
        <f>VLOOKUP(WWWW[[#This Row],[Site Name]],SiteDB6[[Site Name]:[Location Type]],8,FALSE)</f>
        <v>Camp</v>
      </c>
      <c r="H255" s="404" t="s">
        <v>181</v>
      </c>
      <c r="I255" s="795">
        <v>494</v>
      </c>
      <c r="J255" s="795">
        <v>2500</v>
      </c>
      <c r="K255" s="796" t="s">
        <v>3278</v>
      </c>
      <c r="L255" s="797" t="s">
        <v>3279</v>
      </c>
      <c r="M255" s="795"/>
      <c r="N255" s="795"/>
      <c r="O255" s="795"/>
      <c r="P255" s="795"/>
      <c r="Q255" s="798" t="s">
        <v>43</v>
      </c>
      <c r="R255" s="795"/>
      <c r="S255" s="795"/>
      <c r="T255" s="523">
        <v>9</v>
      </c>
      <c r="U255" s="795"/>
      <c r="V255" s="795"/>
      <c r="W255" s="795">
        <v>2</v>
      </c>
      <c r="X255" s="795"/>
      <c r="Y255" s="795"/>
      <c r="Z255" s="795"/>
      <c r="AA255" s="795"/>
      <c r="AB255" s="795"/>
      <c r="AC255" s="795"/>
      <c r="AD255" s="795">
        <v>9000</v>
      </c>
      <c r="AE255" s="795"/>
      <c r="AF255" s="795"/>
      <c r="AG255" s="795"/>
      <c r="AH255" s="795">
        <v>9</v>
      </c>
      <c r="AI255" s="795"/>
      <c r="AJ255" s="795"/>
      <c r="AK255" s="795"/>
      <c r="AL255" s="795"/>
      <c r="AM255" s="795"/>
      <c r="AN255" s="795"/>
      <c r="AO255" s="799"/>
      <c r="AP255" s="795">
        <v>130</v>
      </c>
      <c r="AQ255" s="795"/>
      <c r="AR255" s="800"/>
      <c r="AS255" s="795"/>
      <c r="AT255" s="795"/>
      <c r="AU255" s="795"/>
      <c r="AV255" s="795"/>
      <c r="AW255" s="795">
        <v>130</v>
      </c>
      <c r="AX255" s="794" t="s">
        <v>43</v>
      </c>
      <c r="AY255" s="799" t="s">
        <v>140</v>
      </c>
      <c r="AZ255" s="795"/>
      <c r="BA255" s="795"/>
      <c r="BB255" s="795"/>
      <c r="BC255" s="523"/>
      <c r="BD255" s="523"/>
      <c r="BE255" s="794"/>
      <c r="BF255" s="795">
        <v>2</v>
      </c>
      <c r="BG255" s="795"/>
      <c r="BH255" s="795"/>
      <c r="BI255" s="795">
        <v>6</v>
      </c>
      <c r="BJ255" s="795"/>
      <c r="BK255" s="795"/>
      <c r="BL255" s="795">
        <v>5</v>
      </c>
      <c r="BM255" s="795"/>
      <c r="BN255" s="795"/>
      <c r="BO255" s="794"/>
      <c r="BP255" s="801"/>
      <c r="BQ255" s="800"/>
      <c r="BR255" s="794"/>
      <c r="BS255" s="472"/>
      <c r="BT255" s="472"/>
      <c r="BU255" s="474"/>
      <c r="BV255" s="472"/>
      <c r="BW255" s="523"/>
      <c r="BX255" s="523"/>
      <c r="BY255" s="523"/>
      <c r="BZ255" s="802" t="str">
        <f>IFERROR(WWWW[[#This Row],['#_Water sources passed]]/WWWW[[#This Row],['#_Water sources tested for fecal coliform ]],"no test")</f>
        <v>no test</v>
      </c>
      <c r="CA255" s="800" t="str">
        <f>IFERROR(WWWW[[#This Row],['#_Household passed]]/WWWW[[#This Row],['#_Household water samples tested for fecal coliform]],"no test")</f>
        <v>no test</v>
      </c>
      <c r="CB255" s="801" t="str">
        <f>IF(AND(WWWW[[#This Row],[% of water sources passed]]="no test",WWWW[[#This Row],[% Household passed]]="no test"),"No Test","Tested")</f>
        <v>No Test</v>
      </c>
      <c r="CC255" s="801">
        <f>WWWW[[#This Row],['#_Constructed/existing protected hand dug well]]-WWWW[[#This Row],['#_Non-functional protected hand dug well]]</f>
        <v>9</v>
      </c>
      <c r="CD255" s="801">
        <f>(WWWW[[#This Row],['#_Constructed/Existing tube wells/boreholes/handpumps_WASH_agency]]+WWWW[[#This Row],['#_Non-Cluster partner water tube-wells/boreholes/handpumps]])-WWWW[[#This Row],['#_Non-functional tube wells/boreholes/handpumps]]</f>
        <v>2</v>
      </c>
      <c r="CE255" s="801">
        <f>WWWW[[#This Row],['#_Constructed/Existingwater storage tank with gravity fed reticulation system]]-WWWW[[#This Row],['#_Non-functional storage tank gravity fed reticulation system]]</f>
        <v>0</v>
      </c>
      <c r="CF255" s="801">
        <f>(WWWW[[#This Row],['#_Water_Liters_supplied_by_Water boating or water trucking]]/90)/15</f>
        <v>6.666666666666667</v>
      </c>
      <c r="CG255" s="801">
        <f>WWWW[[#This Row],['#_Water_Liters_from_Constructed/Existing water distribution system from river or natural spring]]/90/15</f>
        <v>0</v>
      </c>
      <c r="CH255" s="473">
        <f>WWWW[[#This Row],['#_of water points in TLS/CFS /THF]]*500</f>
        <v>0</v>
      </c>
      <c r="CI25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5" s="800">
        <f>IF(WWWW[[#This Row],[Location Type 1]]="Village",WWWW[[#This Row],[Access to safe drinking water for Village]],WWWW[[#This Row],[Access to safe drinking water for Camp]])</f>
        <v>1</v>
      </c>
      <c r="CL255" s="798">
        <f>WWWW[[#This Row],[%Equitable and continuous access to sufficient quantity of safe drinking water]]*WWWW[[#This Row],[Total PoP ]]</f>
        <v>2500</v>
      </c>
      <c r="CM255" s="800">
        <f>IF((WWWW[[#This Row],['#_Constructed/Existing protected/fenced ponds]]*250)/WWWW[[#This Row],[Total PoP ]]&gt;1,1,(WWWW[[#This Row],['#_Constructed/Existing protected/fenced ponds]]*250)/WWWW[[#This Row],[Total PoP ]])</f>
        <v>0</v>
      </c>
      <c r="CN255" s="798">
        <f>WWWW[[#This Row],[% Access to unimproved water points]]*WWWW[[#This Row],[Total PoP ]]</f>
        <v>0</v>
      </c>
      <c r="CO25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Q255" s="798">
        <f>WWWW[[#This Row],[HRP1]]/500</f>
        <v>5</v>
      </c>
      <c r="CR255" s="803">
        <f>1-WWWW[[#This Row],[% Equitable and continuous access to sufficient quantity of domestic water]]</f>
        <v>0</v>
      </c>
      <c r="CS255" s="798">
        <f>WWWW[[#This Row],[%equitable and continuous access to sufficient quantity of safe drinking and domestic water''s GAP]]*WWWW[[#This Row],[Total PoP ]]</f>
        <v>0</v>
      </c>
      <c r="CT255" s="801">
        <f>IF(WWWW[[#This Row],[Total required water points]]-WWWW[[#This Row],['#Water points coverage]]&lt;0,0,WWWW[[#This Row],[Total required water points]]-WWWW[[#This Row],['#Water points coverage]])</f>
        <v>0</v>
      </c>
      <c r="CU255" s="801">
        <f>ROUND(IF(WWWW[[#This Row],[Total PoP ]]&lt;500,1,WWWW[[#This Row],[Total PoP ]]/500),0)</f>
        <v>5</v>
      </c>
      <c r="CV255" s="801">
        <f>(WWWW[[#This Row],['#_Constructed latrines_by_WASHAgencies]]+WWWW[[#This Row],['#_Non Cluster partner latrines]])-WWWW[[#This Row],['#_Non-functional latrines]]</f>
        <v>130</v>
      </c>
      <c r="CW255" s="804">
        <f>WWWW[[#This Row],[HRP2]]/WWWW[[#This Row],[Total PoP ]]</f>
        <v>1</v>
      </c>
      <c r="CX25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CY25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5" s="473">
        <f>IF(WWWW[[#This Row],['# of functional latrines in THF supported by WASH partners during the reporting period2]]="",0,WWWW[[#This Row],['# of functional latrines in THF supported by WASH partners during the reporting period2]]*50)</f>
        <v>0</v>
      </c>
      <c r="DB255" s="473">
        <f>WWWW[[#This Row],['# students access to functioning school latrines_HRP5]]+WWWW[[#This Row],['# People access to functioning latrines in THF_HRP5]]</f>
        <v>0</v>
      </c>
      <c r="DC255" s="801">
        <f>ROUND(IF(WWWW[[#This Row],[Location Type 1]]="camp",WWWW[[#This Row],[Total PoP ]]/20,IF(WWWW[[#This Row],[Location Type 1]]="Temporary Location",WWWW[[#This Row],[Total PoP ]]/50,(WWWW[[#This Row],[Total PoP ]]/6))),0)</f>
        <v>125</v>
      </c>
      <c r="DD255" s="801">
        <f>IF(WWWW[[#This Row],[Total required Latrines]]-(WWWW[[#This Row],['#_Constructed latrines_by_WASHAgencies]]+WWWW[[#This Row],['#_Non Cluster partner latrines]])&lt;0,0,WWWW[[#This Row],[Total required Latrines]]-(WWWW[[#This Row],['#_Constructed latrines_by_WASHAgencies]]+WWWW[[#This Row],['#_Non Cluster partner latrines]]))</f>
        <v>0</v>
      </c>
      <c r="DE255" s="803">
        <f>1-WWWW[[#This Row],[% people access to functioning Latrine]]</f>
        <v>0</v>
      </c>
      <c r="DF255" s="802">
        <f>IF(OR(WWWW[[#This Row],['#_Non-functional latrines]]="",WWWW[[#This Row],['#_Non-functional latrines]]=0),0,WWWW[[#This Row],['#_Non-functional latrines]]/(WWWW[[#This Row],['#_Constructed latrines_by_WASHAgencies]]+WWWW[[#This Row],['#_Non Cluster partner latrines]]))</f>
        <v>0</v>
      </c>
      <c r="DG255" s="798">
        <f>IF(500*(WWWW[[#This Row],['#_male hygiene promoters]]+WWWW[[#This Row],['#_female hygiene promoters]])&gt;WWWW[[#This Row],[Total PoP ]],WWWW[[#This Row],[Total PoP ]],500*(WWWW[[#This Row],['#_male hygiene promoters]]+WWWW[[#This Row],['#_female hygiene promoters]]))</f>
        <v>2500</v>
      </c>
      <c r="DH25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5" s="801">
        <f>IF(WWWW[[#This Row],['# People with access to soap]]&gt;WWWW[[#This Row],['# People with access to Sanity Pads]],WWWW[[#This Row],['# People with access to soap]],WWWW[[#This Row],['# People with access to Sanity Pads]])</f>
        <v>0</v>
      </c>
      <c r="DK255" s="801">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L255" s="803">
        <f>IF(WWWW[[#This Row],[HRP3]]/WWWW[[#This Row],[Total PoP ]]&gt;1,1,WWWW[[#This Row],[HRP3]]/WWWW[[#This Row],[Total PoP ]])</f>
        <v>1</v>
      </c>
      <c r="DM255" s="802">
        <f>1-WWWW[[#This Row],[Hygiene Coverage%]]</f>
        <v>0</v>
      </c>
      <c r="DN255" s="800">
        <f>WWWW[[#This Row],['# people reached by regular dedicated hygiene promotion_5]]/WWWW[[#This Row],[Total PoP ]]</f>
        <v>1</v>
      </c>
      <c r="DO25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5" s="801">
        <f>WWWW[[#This Row],['#_Constructed/Existing hand washing stations]]-WWWW[[#This Row],['#_Non-Functional_hand_washing_stations]]</f>
        <v>2</v>
      </c>
      <c r="DR255" s="798">
        <f>IF(WWWW[[#This Row],['# Functional hand washing stations during reporting period]]*20&gt;WWWW[[#This Row],[Total HH]],WWWW[[#This Row],[Total HH]],WWWW[[#This Row],['# Functional hand washing stations during reporting period]]*20)</f>
        <v>40</v>
      </c>
      <c r="DS255" s="798">
        <f>IF(WWWW[[#This Row],[Is sufficient soap available for TLS? (Yes/No)]]="yes",WWWW[[#This Row],['#_Constructed/Existing hand washing stations at TLS]],0)</f>
        <v>0</v>
      </c>
      <c r="DT255" s="479">
        <f>IF(WWWW[[#This Row],['# Functional hand washing stations during reporting period]]*100&gt;WWWW[[#This Row],[Total PoP ]],WWWW[[#This Row],[Total PoP ]],WWWW[[#This Row],['# Functional hand washing stations during reporting period]]*100)</f>
        <v>200</v>
      </c>
      <c r="DU255" s="479" t="str">
        <f>IF(OR(WWWW[[#This Row],['#_students at TLS_CFS]]="",WWWW[[#This Row],['#_students at TLS_CFS]]=0),"No","Yes")</f>
        <v>No</v>
      </c>
      <c r="DV25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5" s="794" t="str">
        <f>VLOOKUP(WWWW[[#This Row],[Site Name]],SiteDB6[[Site Name]:[CCCM Management]],6,FALSE)</f>
        <v>Yes</v>
      </c>
      <c r="DZ255" s="794" t="str">
        <f>VLOOKUP(WWWW[[#This Row],[Site Name]],SiteDB6[[Site Name]:[CCCM Focal Agency]],7,FALSE)</f>
        <v>KBC-MYT</v>
      </c>
      <c r="EA255" s="794" t="str">
        <f>VLOOKUP(WWWW[[#This Row],[Site Name]],SiteDB6[[Site Name]:[Location Type 1]],9,FALSE)</f>
        <v>Camp</v>
      </c>
      <c r="EB255" s="794" t="str">
        <f>VLOOKUP(WWWW[[#This Row],[Site Name]],SiteDB6[[Site Name]:[Type of Accommodation]],10,FALSE)</f>
        <v>Camp</v>
      </c>
      <c r="EC255" s="794" t="str">
        <f>VLOOKUP(WWWW[[#This Row],[Site Name]],SiteDB6[[Site Name]:[Ethnic or GCA/NGCA]],11,FALSE)</f>
        <v>GCA</v>
      </c>
      <c r="ED255" s="794">
        <f>VLOOKUP(WWWW[[#This Row],[Site Name]],SiteDB6[[Site Name]:[Lat]],12,FALSE)</f>
        <v>25.4118005797101</v>
      </c>
      <c r="EE255" s="794">
        <f>VLOOKUP(WWWW[[#This Row],[Site Name]],SiteDB6[[Site Name]:[Long]],13,FALSE)</f>
        <v>97.434855869565197</v>
      </c>
      <c r="EF255" s="794" t="str">
        <f>VLOOKUP(WWWW[[#This Row],[Site Name]],SiteDB6[[Site Name]:[Pcode]],3,FALSE)</f>
        <v>MMR001CMP040</v>
      </c>
      <c r="EG255" s="799" t="str">
        <f t="shared" si="5"/>
        <v>Covered</v>
      </c>
      <c r="EH255" s="799" t="str">
        <f>VLOOKUP(WWWW[[#This Row],[Site Name]],Site_DB!$C$389:$D$1120,2,FALSE)</f>
        <v>cccm_2019OCT</v>
      </c>
    </row>
    <row r="256" spans="1:138" hidden="1">
      <c r="A256" s="792" t="s">
        <v>3262</v>
      </c>
      <c r="B256" s="792" t="s">
        <v>38</v>
      </c>
      <c r="C256" s="793" t="s">
        <v>38</v>
      </c>
      <c r="D256" s="793" t="s">
        <v>3049</v>
      </c>
      <c r="E256" s="793" t="s">
        <v>39</v>
      </c>
      <c r="F256" s="793" t="s">
        <v>208</v>
      </c>
      <c r="G256" s="721" t="str">
        <f>VLOOKUP(WWWW[[#This Row],[Site Name]],SiteDB6[[Site Name]:[Location Type]],8,FALSE)</f>
        <v>Camp</v>
      </c>
      <c r="H256" s="404" t="s">
        <v>235</v>
      </c>
      <c r="I256" s="795">
        <v>101</v>
      </c>
      <c r="J256" s="795">
        <v>458</v>
      </c>
      <c r="K256" s="407" t="s">
        <v>3619</v>
      </c>
      <c r="L256" s="56" t="s">
        <v>3620</v>
      </c>
      <c r="M256" s="523">
        <v>125</v>
      </c>
      <c r="N256" s="523">
        <v>2</v>
      </c>
      <c r="O256" s="523"/>
      <c r="P256" s="523"/>
      <c r="Q256" s="479" t="s">
        <v>43</v>
      </c>
      <c r="R256" s="795"/>
      <c r="S256" s="795"/>
      <c r="T256" s="523"/>
      <c r="U256" s="795"/>
      <c r="V256" s="795"/>
      <c r="W256" s="795"/>
      <c r="X256" s="795"/>
      <c r="Y256" s="795"/>
      <c r="Z256" s="795"/>
      <c r="AA256" s="795">
        <v>1</v>
      </c>
      <c r="AB256" s="795"/>
      <c r="AC256" s="795"/>
      <c r="AD256" s="795"/>
      <c r="AE256" s="795"/>
      <c r="AF256" s="795"/>
      <c r="AG256" s="795"/>
      <c r="AH256" s="795"/>
      <c r="AI256" s="795"/>
      <c r="AJ256" s="795"/>
      <c r="AK256" s="795"/>
      <c r="AL256" s="795"/>
      <c r="AM256" s="795">
        <v>3</v>
      </c>
      <c r="AN256" s="795"/>
      <c r="AO256" s="799"/>
      <c r="AP256" s="795">
        <v>86</v>
      </c>
      <c r="AQ256" s="795"/>
      <c r="AR256" s="800"/>
      <c r="AS256" s="795"/>
      <c r="AT256" s="795"/>
      <c r="AU256" s="795"/>
      <c r="AV256" s="795"/>
      <c r="AW256" s="795"/>
      <c r="AX256" s="794" t="s">
        <v>43</v>
      </c>
      <c r="AY256" s="799" t="s">
        <v>140</v>
      </c>
      <c r="AZ256" s="795">
        <v>1</v>
      </c>
      <c r="BA256" s="795"/>
      <c r="BB256" s="795"/>
      <c r="BC256" s="523"/>
      <c r="BD256" s="523"/>
      <c r="BE256" s="794"/>
      <c r="BF256" s="795"/>
      <c r="BG256" s="795"/>
      <c r="BH256" s="795"/>
      <c r="BI256" s="795">
        <v>3</v>
      </c>
      <c r="BJ256" s="795"/>
      <c r="BK256" s="795"/>
      <c r="BL256" s="795">
        <v>2</v>
      </c>
      <c r="BM256" s="795"/>
      <c r="BN256" s="795"/>
      <c r="BO256" s="794" t="s">
        <v>139</v>
      </c>
      <c r="BP256" s="801"/>
      <c r="BQ256" s="800"/>
      <c r="BR256" s="794"/>
      <c r="BS256" s="472"/>
      <c r="BT256" s="472"/>
      <c r="BU256" s="523"/>
      <c r="BV256" s="472"/>
      <c r="BW256" s="523"/>
      <c r="BX256" s="523"/>
      <c r="BY256" s="523"/>
      <c r="BZ256" s="802" t="str">
        <f>IFERROR(WWWW[[#This Row],['#_Water sources passed]]/WWWW[[#This Row],['#_Water sources tested for fecal coliform ]],"no test")</f>
        <v>no test</v>
      </c>
      <c r="CA256" s="800" t="str">
        <f>IFERROR(WWWW[[#This Row],['#_Household passed]]/WWWW[[#This Row],['#_Household water samples tested for fecal coliform]],"no test")</f>
        <v>no test</v>
      </c>
      <c r="CB256" s="801" t="str">
        <f>IF(AND(WWWW[[#This Row],[% of water sources passed]]="no test",WWWW[[#This Row],[% Household passed]]="no test"),"No Test","Tested")</f>
        <v>No Test</v>
      </c>
      <c r="CC256" s="801">
        <f>WWWW[[#This Row],['#_Constructed/existing protected hand dug well]]-WWWW[[#This Row],['#_Non-functional protected hand dug well]]</f>
        <v>0</v>
      </c>
      <c r="CD256" s="801">
        <f>(WWWW[[#This Row],['#_Constructed/Existing tube wells/boreholes/handpumps_WASH_agency]]+WWWW[[#This Row],['#_Non-Cluster partner water tube-wells/boreholes/handpumps]])-WWWW[[#This Row],['#_Non-functional tube wells/boreholes/handpumps]]</f>
        <v>0</v>
      </c>
      <c r="CE256" s="801">
        <f>WWWW[[#This Row],['#_Constructed/Existingwater storage tank with gravity fed reticulation system]]-WWWW[[#This Row],['#_Non-functional storage tank gravity fed reticulation system]]</f>
        <v>1</v>
      </c>
      <c r="CF256" s="801">
        <f>(WWWW[[#This Row],['#_Water_Liters_supplied_by_Water boating or water trucking]]/90)/15</f>
        <v>0</v>
      </c>
      <c r="CG256" s="801">
        <f>WWWW[[#This Row],['#_Water_Liters_from_Constructed/Existing water distribution system from river or natural spring]]/90/15</f>
        <v>0</v>
      </c>
      <c r="CH256" s="473">
        <f>WWWW[[#This Row],['#_of water points in TLS/CFS /THF]]*500</f>
        <v>0</v>
      </c>
      <c r="CI25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25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256" s="800">
        <f>IF(WWWW[[#This Row],[Location Type 1]]="Village",WWWW[[#This Row],[Access to safe drinking water for Village]],WWWW[[#This Row],[Access to safe drinking water for Camp]])</f>
        <v>0.14556040756914121</v>
      </c>
      <c r="CL256" s="798">
        <f>WWWW[[#This Row],[%Equitable and continuous access to sufficient quantity of safe drinking water]]*WWWW[[#This Row],[Total PoP ]]</f>
        <v>66.666666666666671</v>
      </c>
      <c r="CM256" s="800">
        <f>IF((WWWW[[#This Row],['#_Constructed/Existing protected/fenced ponds]]*250)/WWWW[[#This Row],[Total PoP ]]&gt;1,1,(WWWW[[#This Row],['#_Constructed/Existing protected/fenced ponds]]*250)/WWWW[[#This Row],[Total PoP ]])</f>
        <v>0</v>
      </c>
      <c r="CN256" s="798">
        <f>WWWW[[#This Row],[% Access to unimproved water points]]*WWWW[[#This Row],[Total PoP ]]</f>
        <v>0</v>
      </c>
      <c r="CO25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25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56" s="798">
        <f>WWWW[[#This Row],[HRP1]]/500</f>
        <v>0.13333333333333333</v>
      </c>
      <c r="CR256" s="803">
        <f>1-WWWW[[#This Row],[% Equitable and continuous access to sufficient quantity of domestic water]]</f>
        <v>0.85443959243085876</v>
      </c>
      <c r="CS256" s="798">
        <f>WWWW[[#This Row],[%equitable and continuous access to sufficient quantity of safe drinking and domestic water''s GAP]]*WWWW[[#This Row],[Total PoP ]]</f>
        <v>391.33333333333331</v>
      </c>
      <c r="CT256" s="801">
        <f>IF(WWWW[[#This Row],[Total required water points]]-WWWW[[#This Row],['#Water points coverage]]&lt;0,0,WWWW[[#This Row],[Total required water points]]-WWWW[[#This Row],['#Water points coverage]])</f>
        <v>0.8666666666666667</v>
      </c>
      <c r="CU256" s="801">
        <f>ROUND(IF(WWWW[[#This Row],[Total PoP ]]&lt;500,1,WWWW[[#This Row],[Total PoP ]]/500),0)</f>
        <v>1</v>
      </c>
      <c r="CV256" s="801">
        <f>(WWWW[[#This Row],['#_Constructed latrines_by_WASHAgencies]]+WWWW[[#This Row],['#_Non Cluster partner latrines]])-WWWW[[#This Row],['#_Non-functional latrines]]</f>
        <v>86</v>
      </c>
      <c r="CW256" s="804">
        <f>WWWW[[#This Row],[HRP2]]/WWWW[[#This Row],[Total PoP ]]</f>
        <v>1</v>
      </c>
      <c r="CX25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25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6" s="473">
        <f>IF(WWWW[[#This Row],['# of functional latrines in THF supported by WASH partners during the reporting period2]]="",0,WWWW[[#This Row],['# of functional latrines in THF supported by WASH partners during the reporting period2]]*50)</f>
        <v>0</v>
      </c>
      <c r="DB256" s="473">
        <f>WWWW[[#This Row],['# students access to functioning school latrines_HRP5]]+WWWW[[#This Row],['# People access to functioning latrines in THF_HRP5]]</f>
        <v>0</v>
      </c>
      <c r="DC256" s="801">
        <f>ROUND(IF(WWWW[[#This Row],[Location Type 1]]="camp",WWWW[[#This Row],[Total PoP ]]/20,IF(WWWW[[#This Row],[Location Type 1]]="Temporary Location",WWWW[[#This Row],[Total PoP ]]/50,(WWWW[[#This Row],[Total PoP ]]/6))),0)</f>
        <v>23</v>
      </c>
      <c r="DD256" s="801">
        <f>IF(WWWW[[#This Row],[Total required Latrines]]-(WWWW[[#This Row],['#_Constructed latrines_by_WASHAgencies]]+WWWW[[#This Row],['#_Non Cluster partner latrines]])&lt;0,0,WWWW[[#This Row],[Total required Latrines]]-(WWWW[[#This Row],['#_Constructed latrines_by_WASHAgencies]]+WWWW[[#This Row],['#_Non Cluster partner latrines]]))</f>
        <v>0</v>
      </c>
      <c r="DE256" s="803">
        <f>1-WWWW[[#This Row],[% people access to functioning Latrine]]</f>
        <v>0</v>
      </c>
      <c r="DF256" s="802">
        <f>IF(OR(WWWW[[#This Row],['#_Non-functional latrines]]="",WWWW[[#This Row],['#_Non-functional latrines]]=0),0,WWWW[[#This Row],['#_Non-functional latrines]]/(WWWW[[#This Row],['#_Constructed latrines_by_WASHAgencies]]+WWWW[[#This Row],['#_Non Cluster partner latrines]]))</f>
        <v>0</v>
      </c>
      <c r="DG256" s="798">
        <f>IF(500*(WWWW[[#This Row],['#_male hygiene promoters]]+WWWW[[#This Row],['#_female hygiene promoters]])&gt;WWWW[[#This Row],[Total PoP ]],WWWW[[#This Row],[Total PoP ]],500*(WWWW[[#This Row],['#_male hygiene promoters]]+WWWW[[#This Row],['#_female hygiene promoters]]))</f>
        <v>458</v>
      </c>
      <c r="DH25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6" s="801">
        <f>IF(WWWW[[#This Row],['# People with access to soap]]&gt;WWWW[[#This Row],['# People with access to Sanity Pads]],WWWW[[#This Row],['# People with access to soap]],WWWW[[#This Row],['# People with access to Sanity Pads]])</f>
        <v>0</v>
      </c>
      <c r="DK256" s="80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256" s="803">
        <f>IF(WWWW[[#This Row],[HRP3]]/WWWW[[#This Row],[Total PoP ]]&gt;1,1,WWWW[[#This Row],[HRP3]]/WWWW[[#This Row],[Total PoP ]])</f>
        <v>1</v>
      </c>
      <c r="DM256" s="802">
        <f>1-WWWW[[#This Row],[Hygiene Coverage%]]</f>
        <v>0</v>
      </c>
      <c r="DN256" s="800">
        <f>WWWW[[#This Row],['# people reached by regular dedicated hygiene promotion_5]]/WWWW[[#This Row],[Total PoP ]]</f>
        <v>1</v>
      </c>
      <c r="DO25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6" s="801">
        <f>WWWW[[#This Row],['#_Constructed/Existing hand washing stations]]-WWWW[[#This Row],['#_Non-Functional_hand_washing_stations]]</f>
        <v>0</v>
      </c>
      <c r="DR256" s="798">
        <f>IF(WWWW[[#This Row],['# Functional hand washing stations during reporting period]]*20&gt;WWWW[[#This Row],[Total HH]],WWWW[[#This Row],[Total HH]],WWWW[[#This Row],['# Functional hand washing stations during reporting period]]*20)</f>
        <v>0</v>
      </c>
      <c r="DS256" s="798">
        <f>IF(WWWW[[#This Row],[Is sufficient soap available for TLS? (Yes/No)]]="yes",WWWW[[#This Row],['#_Constructed/Existing hand washing stations at TLS]],0)</f>
        <v>0</v>
      </c>
      <c r="DT256" s="479">
        <f>IF(WWWW[[#This Row],['# Functional hand washing stations during reporting period]]*100&gt;WWWW[[#This Row],[Total PoP ]],WWWW[[#This Row],[Total PoP ]],WWWW[[#This Row],['# Functional hand washing stations during reporting period]]*100)</f>
        <v>0</v>
      </c>
      <c r="DU256" s="479" t="str">
        <f>IF(OR(WWWW[[#This Row],['#_students at TLS_CFS]]="",WWWW[[#This Row],['#_students at TLS_CFS]]=0),"No","Yes")</f>
        <v>Yes</v>
      </c>
      <c r="DV25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6" s="794" t="str">
        <f>VLOOKUP(WWWW[[#This Row],[Site Name]],SiteDB6[[Site Name]:[CCCM Management]],6,FALSE)</f>
        <v>Yes</v>
      </c>
      <c r="DZ256" s="794" t="str">
        <f>VLOOKUP(WWWW[[#This Row],[Site Name]],SiteDB6[[Site Name]:[CCCM Focal Agency]],7,FALSE)</f>
        <v>KMSS-MYT</v>
      </c>
      <c r="EA256" s="794" t="str">
        <f>VLOOKUP(WWWW[[#This Row],[Site Name]],SiteDB6[[Site Name]:[Location Type 1]],9,FALSE)</f>
        <v>Camp</v>
      </c>
      <c r="EB256" s="794" t="str">
        <f>VLOOKUP(WWWW[[#This Row],[Site Name]],SiteDB6[[Site Name]:[Type of Accommodation]],10,FALSE)</f>
        <v>Camp</v>
      </c>
      <c r="EC256" s="794" t="str">
        <f>VLOOKUP(WWWW[[#This Row],[Site Name]],SiteDB6[[Site Name]:[Ethnic or GCA/NGCA]],11,FALSE)</f>
        <v>NGCA</v>
      </c>
      <c r="ED256" s="794">
        <f>VLOOKUP(WWWW[[#This Row],[Site Name]],SiteDB6[[Site Name]:[Lat]],12,FALSE)</f>
        <v>24.461033</v>
      </c>
      <c r="EE256" s="794">
        <f>VLOOKUP(WWWW[[#This Row],[Site Name]],SiteDB6[[Site Name]:[Long]],13,FALSE)</f>
        <v>97.537099999999995</v>
      </c>
      <c r="EF256" s="794" t="str">
        <f>VLOOKUP(WWWW[[#This Row],[Site Name]],SiteDB6[[Site Name]:[Pcode]],3,FALSE)</f>
        <v>MMR001CMP123</v>
      </c>
      <c r="EG256" s="799" t="str">
        <f t="shared" si="5"/>
        <v>Covered</v>
      </c>
      <c r="EH256" s="799" t="str">
        <f>VLOOKUP(WWWW[[#This Row],[Site Name]],Site_DB!$C$389:$D$1120,2,FALSE)</f>
        <v>cccm_2019OCT</v>
      </c>
    </row>
    <row r="257" spans="1:138" s="470" customFormat="1" hidden="1">
      <c r="A257" s="792" t="s">
        <v>3262</v>
      </c>
      <c r="B257" s="792" t="s">
        <v>38</v>
      </c>
      <c r="C257" s="793" t="s">
        <v>38</v>
      </c>
      <c r="D257" s="793" t="s">
        <v>244</v>
      </c>
      <c r="E257" s="793" t="s">
        <v>39</v>
      </c>
      <c r="F257" s="793" t="s">
        <v>162</v>
      </c>
      <c r="G257" s="721" t="str">
        <f>VLOOKUP(WWWW[[#This Row],[Site Name]],SiteDB6[[Site Name]:[Location Type]],8,FALSE)</f>
        <v>Camp_not registered</v>
      </c>
      <c r="H257" s="793" t="s">
        <v>3091</v>
      </c>
      <c r="I257" s="795">
        <v>26</v>
      </c>
      <c r="J257" s="795">
        <f>WWWW[[#This Row],[Total HH]]*5</f>
        <v>130</v>
      </c>
      <c r="K257" s="796">
        <v>43810</v>
      </c>
      <c r="L257" s="797">
        <v>44175</v>
      </c>
      <c r="M257" s="795"/>
      <c r="N257" s="795">
        <v>1</v>
      </c>
      <c r="O257" s="795"/>
      <c r="P257" s="795"/>
      <c r="Q257" s="798" t="s">
        <v>43</v>
      </c>
      <c r="R257" s="795">
        <v>2</v>
      </c>
      <c r="S257" s="795">
        <v>1</v>
      </c>
      <c r="T257" s="523"/>
      <c r="U257" s="795"/>
      <c r="V257" s="795"/>
      <c r="W257" s="795">
        <v>2</v>
      </c>
      <c r="X257" s="795"/>
      <c r="Y257" s="795"/>
      <c r="Z257" s="795">
        <v>1</v>
      </c>
      <c r="AA257" s="795"/>
      <c r="AB257" s="795"/>
      <c r="AC257" s="795"/>
      <c r="AD257" s="795"/>
      <c r="AE257" s="795"/>
      <c r="AF257" s="795"/>
      <c r="AG257" s="795"/>
      <c r="AH257" s="795"/>
      <c r="AI257" s="795"/>
      <c r="AJ257" s="795"/>
      <c r="AK257" s="795"/>
      <c r="AL257" s="795"/>
      <c r="AM257" s="795"/>
      <c r="AN257" s="795"/>
      <c r="AO257" s="799"/>
      <c r="AP257" s="795">
        <v>4</v>
      </c>
      <c r="AQ257" s="795"/>
      <c r="AR257" s="800"/>
      <c r="AS257" s="795"/>
      <c r="AT257" s="795"/>
      <c r="AU257" s="795"/>
      <c r="AV257" s="795"/>
      <c r="AW257" s="795"/>
      <c r="AX257" s="794" t="s">
        <v>43</v>
      </c>
      <c r="AY257" s="799" t="s">
        <v>139</v>
      </c>
      <c r="AZ257" s="795"/>
      <c r="BA257" s="795"/>
      <c r="BB257" s="795"/>
      <c r="BC257" s="523"/>
      <c r="BD257" s="523"/>
      <c r="BE257" s="794"/>
      <c r="BF257" s="795"/>
      <c r="BG257" s="795"/>
      <c r="BH257" s="795"/>
      <c r="BI257" s="795"/>
      <c r="BJ257" s="795"/>
      <c r="BK257" s="795"/>
      <c r="BL257" s="795"/>
      <c r="BM257" s="795">
        <v>6</v>
      </c>
      <c r="BN257" s="795"/>
      <c r="BO257" s="794" t="s">
        <v>139</v>
      </c>
      <c r="BP257" s="801"/>
      <c r="BQ257" s="800"/>
      <c r="BR257" s="794"/>
      <c r="BS257" s="472"/>
      <c r="BT257" s="472"/>
      <c r="BU257" s="523"/>
      <c r="BV257" s="472"/>
      <c r="BW257" s="523"/>
      <c r="BX257" s="523"/>
      <c r="BY257" s="523"/>
      <c r="BZ257" s="802" t="str">
        <f>IFERROR(WWWW[[#This Row],['#_Water sources passed]]/WWWW[[#This Row],['#_Water sources tested for fecal coliform ]],"no test")</f>
        <v>no test</v>
      </c>
      <c r="CA257" s="800" t="str">
        <f>IFERROR(WWWW[[#This Row],['#_Household passed]]/WWWW[[#This Row],['#_Household water samples tested for fecal coliform]],"no test")</f>
        <v>no test</v>
      </c>
      <c r="CB257" s="801" t="str">
        <f>IF(AND(WWWW[[#This Row],[% of water sources passed]]="no test",WWWW[[#This Row],[% Household passed]]="no test"),"No Test","Tested")</f>
        <v>No Test</v>
      </c>
      <c r="CC257" s="801">
        <f>WWWW[[#This Row],['#_Constructed/existing protected hand dug well]]-WWWW[[#This Row],['#_Non-functional protected hand dug well]]</f>
        <v>0</v>
      </c>
      <c r="CD257" s="801">
        <f>(WWWW[[#This Row],['#_Constructed/Existing tube wells/boreholes/handpumps_WASH_agency]]+WWWW[[#This Row],['#_Non-Cluster partner water tube-wells/boreholes/handpumps]])-WWWW[[#This Row],['#_Non-functional tube wells/boreholes/handpumps]]</f>
        <v>2</v>
      </c>
      <c r="CE257" s="801">
        <f>WWWW[[#This Row],['#_Constructed/Existingwater storage tank with gravity fed reticulation system]]-WWWW[[#This Row],['#_Non-functional storage tank gravity fed reticulation system]]</f>
        <v>0</v>
      </c>
      <c r="CF257" s="801">
        <f>(WWWW[[#This Row],['#_Water_Liters_supplied_by_Water boating or water trucking]]/90)/15</f>
        <v>0</v>
      </c>
      <c r="CG257" s="801">
        <f>WWWW[[#This Row],['#_Water_Liters_from_Constructed/Existing water distribution system from river or natural spring]]/90/15</f>
        <v>0</v>
      </c>
      <c r="CH257" s="473">
        <f>WWWW[[#This Row],['#_of water points in TLS/CFS /THF]]*500</f>
        <v>0</v>
      </c>
      <c r="CI25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7" s="800">
        <f>IF(WWWW[[#This Row],[Location Type 1]]="Village",WWWW[[#This Row],[Access to safe drinking water for Village]],WWWW[[#This Row],[Access to safe drinking water for Camp]])</f>
        <v>1</v>
      </c>
      <c r="CL257" s="798">
        <f>WWWW[[#This Row],[%Equitable and continuous access to sufficient quantity of safe drinking water]]*WWWW[[#This Row],[Total PoP ]]</f>
        <v>130</v>
      </c>
      <c r="CM257" s="800">
        <f>IF((WWWW[[#This Row],['#_Constructed/Existing protected/fenced ponds]]*250)/WWWW[[#This Row],[Total PoP ]]&gt;1,1,(WWWW[[#This Row],['#_Constructed/Existing protected/fenced ponds]]*250)/WWWW[[#This Row],[Total PoP ]])</f>
        <v>0</v>
      </c>
      <c r="CN257" s="798">
        <f>WWWW[[#This Row],[% Access to unimproved water points]]*WWWW[[#This Row],[Total PoP ]]</f>
        <v>0</v>
      </c>
      <c r="CO25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Q257" s="798">
        <f>WWWW[[#This Row],[HRP1]]/500</f>
        <v>0.26</v>
      </c>
      <c r="CR257" s="803">
        <f>1-WWWW[[#This Row],[% Equitable and continuous access to sufficient quantity of domestic water]]</f>
        <v>0</v>
      </c>
      <c r="CS257" s="798">
        <f>WWWW[[#This Row],[%equitable and continuous access to sufficient quantity of safe drinking and domestic water''s GAP]]*WWWW[[#This Row],[Total PoP ]]</f>
        <v>0</v>
      </c>
      <c r="CT257" s="801">
        <f>IF(WWWW[[#This Row],[Total required water points]]-WWWW[[#This Row],['#Water points coverage]]&lt;0,0,WWWW[[#This Row],[Total required water points]]-WWWW[[#This Row],['#Water points coverage]])</f>
        <v>0.74</v>
      </c>
      <c r="CU257" s="801">
        <f>ROUND(IF(WWWW[[#This Row],[Total PoP ]]&lt;500,1,WWWW[[#This Row],[Total PoP ]]/500),0)</f>
        <v>1</v>
      </c>
      <c r="CV257" s="801">
        <f>(WWWW[[#This Row],['#_Constructed latrines_by_WASHAgencies]]+WWWW[[#This Row],['#_Non Cluster partner latrines]])-WWWW[[#This Row],['#_Non-functional latrines]]</f>
        <v>4</v>
      </c>
      <c r="CW257" s="804">
        <f>WWWW[[#This Row],[HRP2]]/WWWW[[#This Row],[Total PoP ]]</f>
        <v>0.61538461538461542</v>
      </c>
      <c r="CX25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5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7" s="473">
        <f>IF(WWWW[[#This Row],['# of functional latrines in THF supported by WASH partners during the reporting period2]]="",0,WWWW[[#This Row],['# of functional latrines in THF supported by WASH partners during the reporting period2]]*50)</f>
        <v>0</v>
      </c>
      <c r="DB257" s="473">
        <f>WWWW[[#This Row],['# students access to functioning school latrines_HRP5]]+WWWW[[#This Row],['# People access to functioning latrines in THF_HRP5]]</f>
        <v>0</v>
      </c>
      <c r="DC257" s="801">
        <f>ROUND(IF(WWWW[[#This Row],[Location Type 1]]="camp",WWWW[[#This Row],[Total PoP ]]/20,IF(WWWW[[#This Row],[Location Type 1]]="Temporary Location",WWWW[[#This Row],[Total PoP ]]/50,(WWWW[[#This Row],[Total PoP ]]/6))),0)</f>
        <v>7</v>
      </c>
      <c r="DD257" s="801">
        <f>IF(WWWW[[#This Row],[Total required Latrines]]-(WWWW[[#This Row],['#_Constructed latrines_by_WASHAgencies]]+WWWW[[#This Row],['#_Non Cluster partner latrines]])&lt;0,0,WWWW[[#This Row],[Total required Latrines]]-(WWWW[[#This Row],['#_Constructed latrines_by_WASHAgencies]]+WWWW[[#This Row],['#_Non Cluster partner latrines]]))</f>
        <v>3</v>
      </c>
      <c r="DE257" s="803">
        <f>1-WWWW[[#This Row],[% people access to functioning Latrine]]</f>
        <v>0.38461538461538458</v>
      </c>
      <c r="DF257" s="802">
        <f>IF(OR(WWWW[[#This Row],['#_Non-functional latrines]]="",WWWW[[#This Row],['#_Non-functional latrines]]=0),0,WWWW[[#This Row],['#_Non-functional latrines]]/(WWWW[[#This Row],['#_Constructed latrines_by_WASHAgencies]]+WWWW[[#This Row],['#_Non Cluster partner latrines]]))</f>
        <v>0</v>
      </c>
      <c r="DG257" s="798">
        <f>IF(500*(WWWW[[#This Row],['#_male hygiene promoters]]+WWWW[[#This Row],['#_female hygiene promoters]])&gt;WWWW[[#This Row],[Total PoP ]],WWWW[[#This Row],[Total PoP ]],500*(WWWW[[#This Row],['#_male hygiene promoters]]+WWWW[[#This Row],['#_female hygiene promoters]]))</f>
        <v>0</v>
      </c>
      <c r="DH25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5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7" s="801">
        <f>IF(WWWW[[#This Row],['# People with access to soap]]&gt;WWWW[[#This Row],['# People with access to Sanity Pads]],WWWW[[#This Row],['# People with access to soap]],WWWW[[#This Row],['# People with access to Sanity Pads]])</f>
        <v>30</v>
      </c>
      <c r="DK257" s="80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257" s="803">
        <f>IF(WWWW[[#This Row],[HRP3]]/WWWW[[#This Row],[Total PoP ]]&gt;1,1,WWWW[[#This Row],[HRP3]]/WWWW[[#This Row],[Total PoP ]])</f>
        <v>0.23076923076923078</v>
      </c>
      <c r="DM257" s="802">
        <f>1-WWWW[[#This Row],[Hygiene Coverage%]]</f>
        <v>0.76923076923076916</v>
      </c>
      <c r="DN257" s="800">
        <f>WWWW[[#This Row],['# people reached by regular dedicated hygiene promotion_5]]/WWWW[[#This Row],[Total PoP ]]</f>
        <v>0</v>
      </c>
      <c r="DO25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P25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7" s="801">
        <f>WWWW[[#This Row],['#_Constructed/Existing hand washing stations]]-WWWW[[#This Row],['#_Non-Functional_hand_washing_stations]]</f>
        <v>0</v>
      </c>
      <c r="DR257" s="798">
        <f>IF(WWWW[[#This Row],['# Functional hand washing stations during reporting period]]*20&gt;WWWW[[#This Row],[Total HH]],WWWW[[#This Row],[Total HH]],WWWW[[#This Row],['# Functional hand washing stations during reporting period]]*20)</f>
        <v>0</v>
      </c>
      <c r="DS257" s="798">
        <f>IF(WWWW[[#This Row],[Is sufficient soap available for TLS? (Yes/No)]]="yes",WWWW[[#This Row],['#_Constructed/Existing hand washing stations at TLS]],0)</f>
        <v>0</v>
      </c>
      <c r="DT257" s="479">
        <f>IF(WWWW[[#This Row],['# Functional hand washing stations during reporting period]]*100&gt;WWWW[[#This Row],[Total PoP ]],WWWW[[#This Row],[Total PoP ]],WWWW[[#This Row],['# Functional hand washing stations during reporting period]]*100)</f>
        <v>0</v>
      </c>
      <c r="DU257" s="479" t="str">
        <f>IF(OR(WWWW[[#This Row],['#_students at TLS_CFS]]="",WWWW[[#This Row],['#_students at TLS_CFS]]=0),"No","Yes")</f>
        <v>No</v>
      </c>
      <c r="DV25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7" s="794">
        <f>VLOOKUP(WWWW[[#This Row],[Site Name]],SiteDB6[[Site Name]:[CCCM Management]],6,FALSE)</f>
        <v>0</v>
      </c>
      <c r="DZ257" s="794">
        <f>VLOOKUP(WWWW[[#This Row],[Site Name]],SiteDB6[[Site Name]:[CCCM Focal Agency]],7,FALSE)</f>
        <v>0</v>
      </c>
      <c r="EA257" s="794" t="str">
        <f>VLOOKUP(WWWW[[#This Row],[Site Name]],SiteDB6[[Site Name]:[Location Type 1]],9,FALSE)</f>
        <v>Camp</v>
      </c>
      <c r="EB257" s="794" t="str">
        <f>VLOOKUP(WWWW[[#This Row],[Site Name]],SiteDB6[[Site Name]:[Type of Accommodation]],10,FALSE)</f>
        <v>Camp</v>
      </c>
      <c r="EC257" s="794" t="str">
        <f>VLOOKUP(WWWW[[#This Row],[Site Name]],SiteDB6[[Site Name]:[Ethnic or GCA/NGCA]],11,FALSE)</f>
        <v>GCA</v>
      </c>
      <c r="ED257" s="794">
        <f>VLOOKUP(WWWW[[#This Row],[Site Name]],SiteDB6[[Site Name]:[Lat]],12,FALSE)</f>
        <v>0</v>
      </c>
      <c r="EE257" s="794">
        <f>VLOOKUP(WWWW[[#This Row],[Site Name]],SiteDB6[[Site Name]:[Long]],13,FALSE)</f>
        <v>0</v>
      </c>
      <c r="EF257" s="794">
        <f>VLOOKUP(WWWW[[#This Row],[Site Name]],SiteDB6[[Site Name]:[Pcode]],3,FALSE)</f>
        <v>0</v>
      </c>
      <c r="EG257" s="799" t="str">
        <f t="shared" si="5"/>
        <v>Covered</v>
      </c>
      <c r="EH257" s="799">
        <f>VLOOKUP(WWWW[[#This Row],[Site Name]],Site_DB!$C$389:$D$1120,2,FALSE)</f>
        <v>0</v>
      </c>
    </row>
    <row r="258" spans="1:138" hidden="1">
      <c r="A258" s="792" t="s">
        <v>3262</v>
      </c>
      <c r="B258" s="792" t="s">
        <v>312</v>
      </c>
      <c r="C258" s="793" t="s">
        <v>312</v>
      </c>
      <c r="D258" s="793"/>
      <c r="E258" s="793" t="s">
        <v>39</v>
      </c>
      <c r="F258" s="793" t="s">
        <v>162</v>
      </c>
      <c r="G258" s="721" t="str">
        <f>VLOOKUP(WWWW[[#This Row],[Site Name]],SiteDB6[[Site Name]:[Location Type]],8,FALSE)</f>
        <v>Camp</v>
      </c>
      <c r="H258" s="793" t="s">
        <v>3130</v>
      </c>
      <c r="I258" s="795">
        <v>30</v>
      </c>
      <c r="J258" s="795">
        <v>159</v>
      </c>
      <c r="K258" s="796"/>
      <c r="L258" s="797"/>
      <c r="M258" s="795"/>
      <c r="N258" s="795"/>
      <c r="O258" s="795"/>
      <c r="P258" s="795"/>
      <c r="Q258" s="798"/>
      <c r="R258" s="795"/>
      <c r="S258" s="795">
        <v>4</v>
      </c>
      <c r="T258" s="523"/>
      <c r="U258" s="795"/>
      <c r="V258" s="795"/>
      <c r="W258" s="795"/>
      <c r="X258" s="795"/>
      <c r="Y258" s="795"/>
      <c r="Z258" s="795"/>
      <c r="AA258" s="795"/>
      <c r="AB258" s="795"/>
      <c r="AC258" s="795"/>
      <c r="AD258" s="795"/>
      <c r="AE258" s="795"/>
      <c r="AF258" s="795"/>
      <c r="AG258" s="795"/>
      <c r="AH258" s="795"/>
      <c r="AI258" s="795"/>
      <c r="AJ258" s="795"/>
      <c r="AK258" s="795"/>
      <c r="AL258" s="795"/>
      <c r="AM258" s="795"/>
      <c r="AN258" s="795"/>
      <c r="AO258" s="799"/>
      <c r="AP258" s="795"/>
      <c r="AQ258" s="795"/>
      <c r="AR258" s="800"/>
      <c r="AS258" s="795"/>
      <c r="AT258" s="795"/>
      <c r="AU258" s="795"/>
      <c r="AV258" s="795"/>
      <c r="AW258" s="795"/>
      <c r="AX258" s="794"/>
      <c r="AY258" s="799"/>
      <c r="AZ258" s="795"/>
      <c r="BA258" s="795"/>
      <c r="BB258" s="795"/>
      <c r="BC258" s="523"/>
      <c r="BD258" s="523"/>
      <c r="BE258" s="794"/>
      <c r="BF258" s="795"/>
      <c r="BG258" s="795"/>
      <c r="BH258" s="795"/>
      <c r="BI258" s="795"/>
      <c r="BJ258" s="795"/>
      <c r="BK258" s="795"/>
      <c r="BL258" s="795"/>
      <c r="BM258" s="795"/>
      <c r="BN258" s="795"/>
      <c r="BO258" s="794"/>
      <c r="BP258" s="801"/>
      <c r="BQ258" s="800"/>
      <c r="BR258" s="794"/>
      <c r="BS258" s="472"/>
      <c r="BT258" s="472"/>
      <c r="BU258" s="720"/>
      <c r="BV258" s="472"/>
      <c r="BW258" s="523"/>
      <c r="BX258" s="523"/>
      <c r="BY258" s="523"/>
      <c r="BZ258" s="802" t="str">
        <f>IFERROR(WWWW[[#This Row],['#_Water sources passed]]/WWWW[[#This Row],['#_Water sources tested for fecal coliform ]],"no test")</f>
        <v>no test</v>
      </c>
      <c r="CA258" s="800" t="str">
        <f>IFERROR(WWWW[[#This Row],['#_Household passed]]/WWWW[[#This Row],['#_Household water samples tested for fecal coliform]],"no test")</f>
        <v>no test</v>
      </c>
      <c r="CB258" s="801" t="str">
        <f>IF(AND(WWWW[[#This Row],[% of water sources passed]]="no test",WWWW[[#This Row],[% Household passed]]="no test"),"No Test","Tested")</f>
        <v>No Test</v>
      </c>
      <c r="CC258" s="801">
        <f>WWWW[[#This Row],['#_Constructed/existing protected hand dug well]]-WWWW[[#This Row],['#_Non-functional protected hand dug well]]</f>
        <v>0</v>
      </c>
      <c r="CD258" s="801">
        <f>(WWWW[[#This Row],['#_Constructed/Existing tube wells/boreholes/handpumps_WASH_agency]]+WWWW[[#This Row],['#_Non-Cluster partner water tube-wells/boreholes/handpumps]])-WWWW[[#This Row],['#_Non-functional tube wells/boreholes/handpumps]]</f>
        <v>0</v>
      </c>
      <c r="CE258" s="801">
        <f>WWWW[[#This Row],['#_Constructed/Existingwater storage tank with gravity fed reticulation system]]-WWWW[[#This Row],['#_Non-functional storage tank gravity fed reticulation system]]</f>
        <v>0</v>
      </c>
      <c r="CF258" s="801">
        <f>(WWWW[[#This Row],['#_Water_Liters_supplied_by_Water boating or water trucking]]/90)/15</f>
        <v>0</v>
      </c>
      <c r="CG258" s="801">
        <f>WWWW[[#This Row],['#_Water_Liters_from_Constructed/Existing water distribution system from river or natural spring]]/90/15</f>
        <v>0</v>
      </c>
      <c r="CH258" s="473">
        <f>WWWW[[#This Row],['#_of water points in TLS/CFS /THF]]*500</f>
        <v>0</v>
      </c>
      <c r="CI25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5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58" s="800">
        <f>IF(WWWW[[#This Row],[Location Type 1]]="Village",WWWW[[#This Row],[Access to safe drinking water for Village]],WWWW[[#This Row],[Access to safe drinking water for Camp]])</f>
        <v>0</v>
      </c>
      <c r="CL258" s="798">
        <f>WWWW[[#This Row],[%Equitable and continuous access to sufficient quantity of safe drinking water]]*WWWW[[#This Row],[Total PoP ]]</f>
        <v>0</v>
      </c>
      <c r="CM258" s="800">
        <f>IF((WWWW[[#This Row],['#_Constructed/Existing protected/fenced ponds]]*250)/WWWW[[#This Row],[Total PoP ]]&gt;1,1,(WWWW[[#This Row],['#_Constructed/Existing protected/fenced ponds]]*250)/WWWW[[#This Row],[Total PoP ]])</f>
        <v>0</v>
      </c>
      <c r="CN258" s="798">
        <f>WWWW[[#This Row],[% Access to unimproved water points]]*WWWW[[#This Row],[Total PoP ]]</f>
        <v>0</v>
      </c>
      <c r="CO25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5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58" s="798">
        <f>WWWW[[#This Row],[HRP1]]/500</f>
        <v>0</v>
      </c>
      <c r="CR258" s="803">
        <f>1-WWWW[[#This Row],[% Equitable and continuous access to sufficient quantity of domestic water]]</f>
        <v>1</v>
      </c>
      <c r="CS258" s="798">
        <f>WWWW[[#This Row],[%equitable and continuous access to sufficient quantity of safe drinking and domestic water''s GAP]]*WWWW[[#This Row],[Total PoP ]]</f>
        <v>159</v>
      </c>
      <c r="CT258" s="801">
        <f>IF(WWWW[[#This Row],[Total required water points]]-WWWW[[#This Row],['#Water points coverage]]&lt;0,0,WWWW[[#This Row],[Total required water points]]-WWWW[[#This Row],['#Water points coverage]])</f>
        <v>1</v>
      </c>
      <c r="CU258" s="801">
        <f>ROUND(IF(WWWW[[#This Row],[Total PoP ]]&lt;500,1,WWWW[[#This Row],[Total PoP ]]/500),0)</f>
        <v>1</v>
      </c>
      <c r="CV258" s="801">
        <f>(WWWW[[#This Row],['#_Constructed latrines_by_WASHAgencies]]+WWWW[[#This Row],['#_Non Cluster partner latrines]])-WWWW[[#This Row],['#_Non-functional latrines]]</f>
        <v>0</v>
      </c>
      <c r="CW258" s="804">
        <f>WWWW[[#This Row],[HRP2]]/WWWW[[#This Row],[Total PoP ]]</f>
        <v>0</v>
      </c>
      <c r="CX25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5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58" s="473">
        <f>IF(WWWW[[#This Row],['# of functional latrines in THF supported by WASH partners during the reporting period2]]="",0,WWWW[[#This Row],['# of functional latrines in THF supported by WASH partners during the reporting period2]]*50)</f>
        <v>0</v>
      </c>
      <c r="DB258" s="473">
        <f>WWWW[[#This Row],['# students access to functioning school latrines_HRP5]]+WWWW[[#This Row],['# People access to functioning latrines in THF_HRP5]]</f>
        <v>0</v>
      </c>
      <c r="DC258" s="801">
        <f>ROUND(IF(WWWW[[#This Row],[Location Type 1]]="camp",WWWW[[#This Row],[Total PoP ]]/20,IF(WWWW[[#This Row],[Location Type 1]]="Temporary Location",WWWW[[#This Row],[Total PoP ]]/50,(WWWW[[#This Row],[Total PoP ]]/6))),0)</f>
        <v>8</v>
      </c>
      <c r="DD258" s="801">
        <f>IF(WWWW[[#This Row],[Total required Latrines]]-(WWWW[[#This Row],['#_Constructed latrines_by_WASHAgencies]]+WWWW[[#This Row],['#_Non Cluster partner latrines]])&lt;0,0,WWWW[[#This Row],[Total required Latrines]]-(WWWW[[#This Row],['#_Constructed latrines_by_WASHAgencies]]+WWWW[[#This Row],['#_Non Cluster partner latrines]]))</f>
        <v>8</v>
      </c>
      <c r="DE258" s="803">
        <f>1-WWWW[[#This Row],[% people access to functioning Latrine]]</f>
        <v>1</v>
      </c>
      <c r="DF258" s="802">
        <f>IF(OR(WWWW[[#This Row],['#_Non-functional latrines]]="",WWWW[[#This Row],['#_Non-functional latrines]]=0),0,WWWW[[#This Row],['#_Non-functional latrines]]/(WWWW[[#This Row],['#_Constructed latrines_by_WASHAgencies]]+WWWW[[#This Row],['#_Non Cluster partner latrines]]))</f>
        <v>0</v>
      </c>
      <c r="DG258" s="798">
        <f>IF(500*(WWWW[[#This Row],['#_male hygiene promoters]]+WWWW[[#This Row],['#_female hygiene promoters]])&gt;WWWW[[#This Row],[Total PoP ]],WWWW[[#This Row],[Total PoP ]],500*(WWWW[[#This Row],['#_male hygiene promoters]]+WWWW[[#This Row],['#_female hygiene promoters]]))</f>
        <v>0</v>
      </c>
      <c r="DH25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5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58" s="801">
        <f>IF(WWWW[[#This Row],['# People with access to soap]]&gt;WWWW[[#This Row],['# People with access to Sanity Pads]],WWWW[[#This Row],['# People with access to soap]],WWWW[[#This Row],['# People with access to Sanity Pads]])</f>
        <v>0</v>
      </c>
      <c r="DK25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58" s="803">
        <f>IF(WWWW[[#This Row],[HRP3]]/WWWW[[#This Row],[Total PoP ]]&gt;1,1,WWWW[[#This Row],[HRP3]]/WWWW[[#This Row],[Total PoP ]])</f>
        <v>0</v>
      </c>
      <c r="DM258" s="802">
        <f>1-WWWW[[#This Row],[Hygiene Coverage%]]</f>
        <v>1</v>
      </c>
      <c r="DN258" s="800">
        <f>WWWW[[#This Row],['# people reached by regular dedicated hygiene promotion_5]]/WWWW[[#This Row],[Total PoP ]]</f>
        <v>0</v>
      </c>
      <c r="DO25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5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58" s="801">
        <f>WWWW[[#This Row],['#_Constructed/Existing hand washing stations]]-WWWW[[#This Row],['#_Non-Functional_hand_washing_stations]]</f>
        <v>0</v>
      </c>
      <c r="DR258" s="798">
        <f>IF(WWWW[[#This Row],['# Functional hand washing stations during reporting period]]*20&gt;WWWW[[#This Row],[Total HH]],WWWW[[#This Row],[Total HH]],WWWW[[#This Row],['# Functional hand washing stations during reporting period]]*20)</f>
        <v>0</v>
      </c>
      <c r="DS258" s="798">
        <f>IF(WWWW[[#This Row],[Is sufficient soap available for TLS? (Yes/No)]]="yes",WWWW[[#This Row],['#_Constructed/Existing hand washing stations at TLS]],0)</f>
        <v>0</v>
      </c>
      <c r="DT258" s="479">
        <f>IF(WWWW[[#This Row],['# Functional hand washing stations during reporting period]]*100&gt;WWWW[[#This Row],[Total PoP ]],WWWW[[#This Row],[Total PoP ]],WWWW[[#This Row],['# Functional hand washing stations during reporting period]]*100)</f>
        <v>0</v>
      </c>
      <c r="DU258" s="479" t="str">
        <f>IF(OR(WWWW[[#This Row],['#_students at TLS_CFS]]="",WWWW[[#This Row],['#_students at TLS_CFS]]=0),"No","Yes")</f>
        <v>No</v>
      </c>
      <c r="DV25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58" s="794">
        <f>VLOOKUP(WWWW[[#This Row],[Site Name]],SiteDB6[[Site Name]:[CCCM Management]],6,FALSE)</f>
        <v>0</v>
      </c>
      <c r="DZ258" s="794" t="str">
        <f>VLOOKUP(WWWW[[#This Row],[Site Name]],SiteDB6[[Site Name]:[CCCM Focal Agency]],7,FALSE)</f>
        <v>uncovered</v>
      </c>
      <c r="EA258" s="794" t="str">
        <f>VLOOKUP(WWWW[[#This Row],[Site Name]],SiteDB6[[Site Name]:[Location Type 1]],9,FALSE)</f>
        <v>Camp</v>
      </c>
      <c r="EB258" s="794" t="str">
        <f>VLOOKUP(WWWW[[#This Row],[Site Name]],SiteDB6[[Site Name]:[Type of Accommodation]],10,FALSE)</f>
        <v>Camp like setting</v>
      </c>
      <c r="EC258" s="794" t="str">
        <f>VLOOKUP(WWWW[[#This Row],[Site Name]],SiteDB6[[Site Name]:[Ethnic or GCA/NGCA]],11,FALSE)</f>
        <v>GCA</v>
      </c>
      <c r="ED258" s="794">
        <f>VLOOKUP(WWWW[[#This Row],[Site Name]],SiteDB6[[Site Name]:[Lat]],12,FALSE)</f>
        <v>25.387892000000001</v>
      </c>
      <c r="EE258" s="794">
        <f>VLOOKUP(WWWW[[#This Row],[Site Name]],SiteDB6[[Site Name]:[Long]],13,FALSE)</f>
        <v>97.325181999999998</v>
      </c>
      <c r="EF258" s="794" t="str">
        <f>VLOOKUP(WWWW[[#This Row],[Site Name]],SiteDB6[[Site Name]:[Pcode]],3,FALSE)</f>
        <v>MMR001CMP276</v>
      </c>
      <c r="EG258" s="799" t="str">
        <f t="shared" si="5"/>
        <v>Notcovered</v>
      </c>
      <c r="EH258" s="799" t="str">
        <f>VLOOKUP(WWWW[[#This Row],[Site Name]],Site_DB!$C$389:$D$1120,2,FALSE)</f>
        <v>cccm_2019OCT</v>
      </c>
    </row>
    <row r="259" spans="1:138" ht="52" hidden="1">
      <c r="A259" s="792" t="s">
        <v>3262</v>
      </c>
      <c r="B259" s="793" t="s">
        <v>3376</v>
      </c>
      <c r="C259" s="793" t="s">
        <v>3376</v>
      </c>
      <c r="D259" s="404" t="s">
        <v>3377</v>
      </c>
      <c r="E259" s="793" t="s">
        <v>39</v>
      </c>
      <c r="F259" s="793" t="s">
        <v>208</v>
      </c>
      <c r="G259" s="721" t="str">
        <f>VLOOKUP(WWWW[[#This Row],[Site Name]],SiteDB6[[Site Name]:[Location Type]],8,FALSE)</f>
        <v>Camp_not registered</v>
      </c>
      <c r="H259" s="793" t="s">
        <v>209</v>
      </c>
      <c r="I259" s="720">
        <v>126</v>
      </c>
      <c r="J259" s="720">
        <v>571</v>
      </c>
      <c r="K259" s="407" t="s">
        <v>3606</v>
      </c>
      <c r="L259" s="56" t="s">
        <v>3605</v>
      </c>
      <c r="M259" s="795">
        <v>127</v>
      </c>
      <c r="N259" s="795"/>
      <c r="O259" s="795">
        <v>4</v>
      </c>
      <c r="P259" s="795"/>
      <c r="Q259" s="798" t="s">
        <v>43</v>
      </c>
      <c r="R259" s="795">
        <v>2</v>
      </c>
      <c r="S259" s="795">
        <v>3</v>
      </c>
      <c r="T259" s="523">
        <v>1</v>
      </c>
      <c r="U259" s="795"/>
      <c r="V259" s="795"/>
      <c r="W259" s="795">
        <v>1</v>
      </c>
      <c r="X259" s="795">
        <v>1</v>
      </c>
      <c r="Y259" s="795"/>
      <c r="Z259" s="795"/>
      <c r="AA259" s="795"/>
      <c r="AB259" s="795"/>
      <c r="AC259" s="795"/>
      <c r="AD259" s="795"/>
      <c r="AE259" s="795"/>
      <c r="AF259" s="795"/>
      <c r="AG259" s="795"/>
      <c r="AH259" s="795"/>
      <c r="AI259" s="795"/>
      <c r="AJ259" s="795"/>
      <c r="AK259" s="720">
        <v>2</v>
      </c>
      <c r="AL259" s="720">
        <v>2</v>
      </c>
      <c r="AM259" s="795">
        <v>2</v>
      </c>
      <c r="AN259" s="795"/>
      <c r="AO259" s="835" t="s">
        <v>3380</v>
      </c>
      <c r="AP259" s="795">
        <v>28</v>
      </c>
      <c r="AQ259" s="795"/>
      <c r="AR259" s="800"/>
      <c r="AS259" s="795"/>
      <c r="AT259" s="795"/>
      <c r="AU259" s="795"/>
      <c r="AV259" s="795"/>
      <c r="AW259" s="795"/>
      <c r="AX259" s="794" t="s">
        <v>43</v>
      </c>
      <c r="AY259" s="799" t="s">
        <v>140</v>
      </c>
      <c r="AZ259" s="795"/>
      <c r="BA259" s="795"/>
      <c r="BB259" s="795">
        <v>3</v>
      </c>
      <c r="BC259" s="523"/>
      <c r="BD259" s="523"/>
      <c r="BE259" s="794"/>
      <c r="BF259" s="795">
        <v>12</v>
      </c>
      <c r="BG259" s="795"/>
      <c r="BH259" s="795"/>
      <c r="BI259" s="795">
        <v>3</v>
      </c>
      <c r="BJ259" s="795"/>
      <c r="BK259" s="795"/>
      <c r="BL259" s="720">
        <v>4</v>
      </c>
      <c r="BM259" s="720">
        <v>126</v>
      </c>
      <c r="BN259" s="720">
        <f>152+62</f>
        <v>214</v>
      </c>
      <c r="BO259" s="794" t="s">
        <v>139</v>
      </c>
      <c r="BP259" s="801"/>
      <c r="BQ259" s="800"/>
      <c r="BR259" s="836" t="s">
        <v>3382</v>
      </c>
      <c r="BS259" s="808">
        <v>1</v>
      </c>
      <c r="BT259" s="808">
        <v>1</v>
      </c>
      <c r="BU259" s="523">
        <v>571</v>
      </c>
      <c r="BV259" s="808">
        <v>1</v>
      </c>
      <c r="BW259" s="523"/>
      <c r="BX259" s="523"/>
      <c r="BY259" s="523"/>
      <c r="BZ259" s="802" t="str">
        <f>IFERROR(WWWW[[#This Row],['#_Water sources passed]]/WWWW[[#This Row],['#_Water sources tested for fecal coliform ]],"no test")</f>
        <v>no test</v>
      </c>
      <c r="CA259" s="800">
        <f>IFERROR(WWWW[[#This Row],['#_Household passed]]/WWWW[[#This Row],['#_Household water samples tested for fecal coliform]],"no test")</f>
        <v>1</v>
      </c>
      <c r="CB259" s="801" t="str">
        <f>IF(AND(WWWW[[#This Row],[% of water sources passed]]="no test",WWWW[[#This Row],[% Household passed]]="no test"),"No Test","Tested")</f>
        <v>Tested</v>
      </c>
      <c r="CC259" s="801">
        <f>WWWW[[#This Row],['#_Constructed/existing protected hand dug well]]-WWWW[[#This Row],['#_Non-functional protected hand dug well]]</f>
        <v>1</v>
      </c>
      <c r="CD259" s="801">
        <f>(WWWW[[#This Row],['#_Constructed/Existing tube wells/boreholes/handpumps_WASH_agency]]+WWWW[[#This Row],['#_Non-Cluster partner water tube-wells/boreholes/handpumps]])-WWWW[[#This Row],['#_Non-functional tube wells/boreholes/handpumps]]</f>
        <v>2</v>
      </c>
      <c r="CE259" s="801">
        <f>WWWW[[#This Row],['#_Constructed/Existingwater storage tank with gravity fed reticulation system]]-WWWW[[#This Row],['#_Non-functional storage tank gravity fed reticulation system]]</f>
        <v>0</v>
      </c>
      <c r="CF259" s="801">
        <f>(WWWW[[#This Row],['#_Water_Liters_supplied_by_Water boating or water trucking]]/90)/15</f>
        <v>0</v>
      </c>
      <c r="CG259" s="801">
        <f>WWWW[[#This Row],['#_Water_Liters_from_Constructed/Existing water distribution system from river or natural spring]]/90/15</f>
        <v>0</v>
      </c>
      <c r="CH259" s="473">
        <f>WWWW[[#This Row],['#_of water points in TLS/CFS /THF]]*500</f>
        <v>0</v>
      </c>
      <c r="CI25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5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59" s="800">
        <f>IF(WWWW[[#This Row],[Location Type 1]]="Village",WWWW[[#This Row],[Access to safe drinking water for Village]],WWWW[[#This Row],[Access to safe drinking water for Camp]])</f>
        <v>1</v>
      </c>
      <c r="CL259" s="798">
        <f>WWWW[[#This Row],[%Equitable and continuous access to sufficient quantity of safe drinking water]]*WWWW[[#This Row],[Total PoP ]]</f>
        <v>571</v>
      </c>
      <c r="CM259" s="800">
        <f>IF((WWWW[[#This Row],['#_Constructed/Existing protected/fenced ponds]]*250)/WWWW[[#This Row],[Total PoP ]]&gt;1,1,(WWWW[[#This Row],['#_Constructed/Existing protected/fenced ponds]]*250)/WWWW[[#This Row],[Total PoP ]])</f>
        <v>0</v>
      </c>
      <c r="CN259" s="798">
        <f>WWWW[[#This Row],[% Access to unimproved water points]]*WWWW[[#This Row],[Total PoP ]]</f>
        <v>0</v>
      </c>
      <c r="CO25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5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571</v>
      </c>
      <c r="CQ259" s="798">
        <f>WWWW[[#This Row],[HRP1]]/500</f>
        <v>1.1419999999999999</v>
      </c>
      <c r="CR259" s="803">
        <f>1-WWWW[[#This Row],[% Equitable and continuous access to sufficient quantity of domestic water]]</f>
        <v>0</v>
      </c>
      <c r="CS259" s="798">
        <f>WWWW[[#This Row],[%equitable and continuous access to sufficient quantity of safe drinking and domestic water''s GAP]]*WWWW[[#This Row],[Total PoP ]]</f>
        <v>0</v>
      </c>
      <c r="CT259" s="801">
        <f>IF(WWWW[[#This Row],[Total required water points]]-WWWW[[#This Row],['#Water points coverage]]&lt;0,0,WWWW[[#This Row],[Total required water points]]-WWWW[[#This Row],['#Water points coverage]])</f>
        <v>0</v>
      </c>
      <c r="CU259" s="801">
        <f>ROUND(IF(WWWW[[#This Row],[Total PoP ]]&lt;500,1,WWWW[[#This Row],[Total PoP ]]/500),0)</f>
        <v>1</v>
      </c>
      <c r="CV259" s="801">
        <f>(WWWW[[#This Row],['#_Constructed latrines_by_WASHAgencies]]+WWWW[[#This Row],['#_Non Cluster partner latrines]])-WWWW[[#This Row],['#_Non-functional latrines]]</f>
        <v>28</v>
      </c>
      <c r="CW259" s="804">
        <f>WWWW[[#This Row],[HRP2]]/WWWW[[#This Row],[Total PoP ]]</f>
        <v>0.98073555166374782</v>
      </c>
      <c r="CX25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25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5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127</v>
      </c>
      <c r="DA259" s="473">
        <f>IF(WWWW[[#This Row],['# of functional latrines in THF supported by WASH partners during the reporting period2]]="",0,WWWW[[#This Row],['# of functional latrines in THF supported by WASH partners during the reporting period2]]*50)</f>
        <v>0</v>
      </c>
      <c r="DB259" s="473">
        <f>WWWW[[#This Row],['# students access to functioning school latrines_HRP5]]+WWWW[[#This Row],['# People access to functioning latrines in THF_HRP5]]</f>
        <v>127</v>
      </c>
      <c r="DC259" s="801">
        <f>ROUND(IF(WWWW[[#This Row],[Location Type 1]]="camp",WWWW[[#This Row],[Total PoP ]]/20,IF(WWWW[[#This Row],[Location Type 1]]="Temporary Location",WWWW[[#This Row],[Total PoP ]]/50,(WWWW[[#This Row],[Total PoP ]]/6))),0)</f>
        <v>29</v>
      </c>
      <c r="DD259" s="801">
        <f>IF(WWWW[[#This Row],[Total required Latrines]]-(WWWW[[#This Row],['#_Constructed latrines_by_WASHAgencies]]+WWWW[[#This Row],['#_Non Cluster partner latrines]])&lt;0,0,WWWW[[#This Row],[Total required Latrines]]-(WWWW[[#This Row],['#_Constructed latrines_by_WASHAgencies]]+WWWW[[#This Row],['#_Non Cluster partner latrines]]))</f>
        <v>1</v>
      </c>
      <c r="DE259" s="803">
        <f>1-WWWW[[#This Row],[% people access to functioning Latrine]]</f>
        <v>1.9264448336252182E-2</v>
      </c>
      <c r="DF259" s="802">
        <f>IF(OR(WWWW[[#This Row],['#_Non-functional latrines]]="",WWWW[[#This Row],['#_Non-functional latrines]]=0),0,WWWW[[#This Row],['#_Non-functional latrines]]/(WWWW[[#This Row],['#_Constructed latrines_by_WASHAgencies]]+WWWW[[#This Row],['#_Non Cluster partner latrines]]))</f>
        <v>0</v>
      </c>
      <c r="DG259" s="798">
        <f>IF(500*(WWWW[[#This Row],['#_male hygiene promoters]]+WWWW[[#This Row],['#_female hygiene promoters]])&gt;WWWW[[#This Row],[Total PoP ]],WWWW[[#This Row],[Total PoP ]],500*(WWWW[[#This Row],['#_male hygiene promoters]]+WWWW[[#This Row],['#_female hygiene promoters]]))</f>
        <v>571</v>
      </c>
      <c r="DH25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571</v>
      </c>
      <c r="DI25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214</v>
      </c>
      <c r="DJ259" s="801">
        <f>IF(WWWW[[#This Row],['# People with access to soap]]&gt;WWWW[[#This Row],['# People with access to Sanity Pads]],WWWW[[#This Row],['# People with access to soap]],WWWW[[#This Row],['# People with access to Sanity Pads]])</f>
        <v>571</v>
      </c>
      <c r="DK259" s="801">
        <f>IF(WWWW[[#This Row],['# people reached by regular dedicated hygiene promotion_5]]&gt;WWWW[[#This Row],['# People received regular supply of hygiene items_6]],WWWW[[#This Row],['# people reached by regular dedicated hygiene promotion_5]],WWWW[[#This Row],['# People received regular supply of hygiene items_6]])</f>
        <v>571</v>
      </c>
      <c r="DL259" s="803">
        <f>IF(WWWW[[#This Row],[HRP3]]/WWWW[[#This Row],[Total PoP ]]&gt;1,1,WWWW[[#This Row],[HRP3]]/WWWW[[#This Row],[Total PoP ]])</f>
        <v>1</v>
      </c>
      <c r="DM259" s="802">
        <f>1-WWWW[[#This Row],[Hygiene Coverage%]]</f>
        <v>0</v>
      </c>
      <c r="DN259" s="800">
        <f>WWWW[[#This Row],['# people reached by regular dedicated hygiene promotion_5]]/WWWW[[#This Row],[Total PoP ]]</f>
        <v>1</v>
      </c>
      <c r="DO25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5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59" s="801">
        <f>WWWW[[#This Row],['#_Constructed/Existing hand washing stations]]-WWWW[[#This Row],['#_Non-Functional_hand_washing_stations]]</f>
        <v>12</v>
      </c>
      <c r="DR259" s="798">
        <f>IF(WWWW[[#This Row],['# Functional hand washing stations during reporting period]]*20&gt;WWWW[[#This Row],[Total HH]],WWWW[[#This Row],[Total HH]],WWWW[[#This Row],['# Functional hand washing stations during reporting period]]*20)</f>
        <v>126</v>
      </c>
      <c r="DS259" s="798">
        <f>IF(WWWW[[#This Row],[Is sufficient soap available for TLS? (Yes/No)]]="yes",WWWW[[#This Row],['#_Constructed/Existing hand washing stations at TLS]],0)</f>
        <v>0</v>
      </c>
      <c r="DT259" s="479">
        <f>IF(WWWW[[#This Row],['# Functional hand washing stations during reporting period]]*100&gt;WWWW[[#This Row],[Total PoP ]],WWWW[[#This Row],[Total PoP ]],WWWW[[#This Row],['# Functional hand washing stations during reporting period]]*100)</f>
        <v>571</v>
      </c>
      <c r="DU259" s="479" t="str">
        <f>IF(OR(WWWW[[#This Row],['#_students at TLS_CFS]]="",WWWW[[#This Row],['#_students at TLS_CFS]]=0),"No","Yes")</f>
        <v>Yes</v>
      </c>
      <c r="DV259"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127</v>
      </c>
      <c r="DY259" s="794">
        <f>VLOOKUP(WWWW[[#This Row],[Site Name]],SiteDB6[[Site Name]:[CCCM Management]],6,FALSE)</f>
        <v>0</v>
      </c>
      <c r="DZ259" s="794">
        <f>VLOOKUP(WWWW[[#This Row],[Site Name]],SiteDB6[[Site Name]:[CCCM Focal Agency]],7,FALSE)</f>
        <v>0</v>
      </c>
      <c r="EA259" s="794" t="str">
        <f>VLOOKUP(WWWW[[#This Row],[Site Name]],SiteDB6[[Site Name]:[Location Type 1]],9,FALSE)</f>
        <v>Camp</v>
      </c>
      <c r="EB259" s="794" t="str">
        <f>VLOOKUP(WWWW[[#This Row],[Site Name]],SiteDB6[[Site Name]:[Type of Accommodation]],10,FALSE)</f>
        <v>Camp</v>
      </c>
      <c r="EC259" s="794" t="str">
        <f>VLOOKUP(WWWW[[#This Row],[Site Name]],SiteDB6[[Site Name]:[Ethnic or GCA/NGCA]],11,FALSE)</f>
        <v>GCA</v>
      </c>
      <c r="ED259" s="794">
        <f>VLOOKUP(WWWW[[#This Row],[Site Name]],SiteDB6[[Site Name]:[Lat]],12,FALSE)</f>
        <v>0</v>
      </c>
      <c r="EE259" s="794">
        <f>VLOOKUP(WWWW[[#This Row],[Site Name]],SiteDB6[[Site Name]:[Long]],13,FALSE)</f>
        <v>0</v>
      </c>
      <c r="EF259" s="794">
        <f>VLOOKUP(WWWW[[#This Row],[Site Name]],SiteDB6[[Site Name]:[Pcode]],3,FALSE)</f>
        <v>0</v>
      </c>
      <c r="EG259" s="799" t="str">
        <f t="shared" si="5"/>
        <v>Covered</v>
      </c>
      <c r="EH259" s="799">
        <f>VLOOKUP(WWWW[[#This Row],[Site Name]],Site_DB!$C$389:$D$1120,2,FALSE)</f>
        <v>0</v>
      </c>
    </row>
    <row r="260" spans="1:138" hidden="1">
      <c r="A260" s="792" t="s">
        <v>3262</v>
      </c>
      <c r="B260" s="792" t="s">
        <v>144</v>
      </c>
      <c r="C260" s="793" t="s">
        <v>144</v>
      </c>
      <c r="D260" s="793" t="s">
        <v>3277</v>
      </c>
      <c r="E260" s="793" t="s">
        <v>39</v>
      </c>
      <c r="F260" s="793" t="s">
        <v>162</v>
      </c>
      <c r="G260" s="721" t="str">
        <f>VLOOKUP(WWWW[[#This Row],[Site Name]],SiteDB6[[Site Name]:[Location Type]],8,FALSE)</f>
        <v>Camp</v>
      </c>
      <c r="H260" s="404" t="s">
        <v>171</v>
      </c>
      <c r="I260" s="795">
        <v>107</v>
      </c>
      <c r="J260" s="795">
        <v>534</v>
      </c>
      <c r="K260" s="796" t="s">
        <v>3278</v>
      </c>
      <c r="L260" s="797" t="s">
        <v>3279</v>
      </c>
      <c r="M260" s="795"/>
      <c r="N260" s="795"/>
      <c r="O260" s="795"/>
      <c r="P260" s="795"/>
      <c r="Q260" s="798" t="s">
        <v>43</v>
      </c>
      <c r="R260" s="795"/>
      <c r="S260" s="795">
        <v>4</v>
      </c>
      <c r="T260" s="523">
        <v>1</v>
      </c>
      <c r="U260" s="795"/>
      <c r="V260" s="795"/>
      <c r="W260" s="795">
        <v>1</v>
      </c>
      <c r="X260" s="795"/>
      <c r="Y260" s="795"/>
      <c r="Z260" s="795"/>
      <c r="AA260" s="795"/>
      <c r="AB260" s="795"/>
      <c r="AC260" s="795"/>
      <c r="AD260" s="795"/>
      <c r="AE260" s="795"/>
      <c r="AF260" s="795"/>
      <c r="AG260" s="795"/>
      <c r="AH260" s="795">
        <v>2</v>
      </c>
      <c r="AI260" s="795"/>
      <c r="AJ260" s="795"/>
      <c r="AK260" s="795"/>
      <c r="AL260" s="795"/>
      <c r="AM260" s="795"/>
      <c r="AN260" s="795"/>
      <c r="AO260" s="799"/>
      <c r="AP260" s="795">
        <v>13</v>
      </c>
      <c r="AQ260" s="795"/>
      <c r="AR260" s="800"/>
      <c r="AS260" s="795"/>
      <c r="AT260" s="795"/>
      <c r="AU260" s="795"/>
      <c r="AV260" s="795"/>
      <c r="AW260" s="795">
        <v>13</v>
      </c>
      <c r="AX260" s="794" t="s">
        <v>43</v>
      </c>
      <c r="AY260" s="799" t="s">
        <v>140</v>
      </c>
      <c r="AZ260" s="795"/>
      <c r="BA260" s="795"/>
      <c r="BB260" s="795"/>
      <c r="BC260" s="523"/>
      <c r="BD260" s="523"/>
      <c r="BE260" s="794"/>
      <c r="BF260" s="795">
        <v>4</v>
      </c>
      <c r="BG260" s="795"/>
      <c r="BH260" s="795"/>
      <c r="BI260" s="795">
        <v>2</v>
      </c>
      <c r="BJ260" s="795"/>
      <c r="BK260" s="795"/>
      <c r="BL260" s="795">
        <v>2</v>
      </c>
      <c r="BM260" s="795"/>
      <c r="BN260" s="795"/>
      <c r="BO260" s="794"/>
      <c r="BP260" s="801"/>
      <c r="BQ260" s="800"/>
      <c r="BR260" s="794"/>
      <c r="BS260" s="472"/>
      <c r="BT260" s="472"/>
      <c r="BU260" s="523"/>
      <c r="BV260" s="472"/>
      <c r="BW260" s="523"/>
      <c r="BX260" s="523"/>
      <c r="BY260" s="523"/>
      <c r="BZ260" s="802" t="str">
        <f>IFERROR(WWWW[[#This Row],['#_Water sources passed]]/WWWW[[#This Row],['#_Water sources tested for fecal coliform ]],"no test")</f>
        <v>no test</v>
      </c>
      <c r="CA260" s="800" t="str">
        <f>IFERROR(WWWW[[#This Row],['#_Household passed]]/WWWW[[#This Row],['#_Household water samples tested for fecal coliform]],"no test")</f>
        <v>no test</v>
      </c>
      <c r="CB260" s="801" t="str">
        <f>IF(AND(WWWW[[#This Row],[% of water sources passed]]="no test",WWWW[[#This Row],[% Household passed]]="no test"),"No Test","Tested")</f>
        <v>No Test</v>
      </c>
      <c r="CC260" s="801">
        <f>WWWW[[#This Row],['#_Constructed/existing protected hand dug well]]-WWWW[[#This Row],['#_Non-functional protected hand dug well]]</f>
        <v>1</v>
      </c>
      <c r="CD260" s="801">
        <f>(WWWW[[#This Row],['#_Constructed/Existing tube wells/boreholes/handpumps_WASH_agency]]+WWWW[[#This Row],['#_Non-Cluster partner water tube-wells/boreholes/handpumps]])-WWWW[[#This Row],['#_Non-functional tube wells/boreholes/handpumps]]</f>
        <v>1</v>
      </c>
      <c r="CE260" s="801">
        <f>WWWW[[#This Row],['#_Constructed/Existingwater storage tank with gravity fed reticulation system]]-WWWW[[#This Row],['#_Non-functional storage tank gravity fed reticulation system]]</f>
        <v>0</v>
      </c>
      <c r="CF260" s="801">
        <f>(WWWW[[#This Row],['#_Water_Liters_supplied_by_Water boating or water trucking]]/90)/15</f>
        <v>0</v>
      </c>
      <c r="CG260" s="801">
        <f>WWWW[[#This Row],['#_Water_Liters_from_Constructed/Existing water distribution system from river or natural spring]]/90/15</f>
        <v>0</v>
      </c>
      <c r="CH260" s="473">
        <f>WWWW[[#This Row],['#_of water points in TLS/CFS /THF]]*500</f>
        <v>0</v>
      </c>
      <c r="CI26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0.93632958801498123</v>
      </c>
      <c r="CK260" s="800">
        <f>IF(WWWW[[#This Row],[Location Type 1]]="Village",WWWW[[#This Row],[Access to safe drinking water for Village]],WWWW[[#This Row],[Access to safe drinking water for Camp]])</f>
        <v>1</v>
      </c>
      <c r="CL260" s="798">
        <f>WWWW[[#This Row],[%Equitable and continuous access to sufficient quantity of safe drinking water]]*WWWW[[#This Row],[Total PoP ]]</f>
        <v>534</v>
      </c>
      <c r="CM260" s="800">
        <f>IF((WWWW[[#This Row],['#_Constructed/Existing protected/fenced ponds]]*250)/WWWW[[#This Row],[Total PoP ]]&gt;1,1,(WWWW[[#This Row],['#_Constructed/Existing protected/fenced ponds]]*250)/WWWW[[#This Row],[Total PoP ]])</f>
        <v>0</v>
      </c>
      <c r="CN260" s="798">
        <f>WWWW[[#This Row],[% Access to unimproved water points]]*WWWW[[#This Row],[Total PoP ]]</f>
        <v>0</v>
      </c>
      <c r="CO26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Q260" s="798">
        <f>WWWW[[#This Row],[HRP1]]/500</f>
        <v>1.0680000000000001</v>
      </c>
      <c r="CR260" s="803">
        <f>1-WWWW[[#This Row],[% Equitable and continuous access to sufficient quantity of domestic water]]</f>
        <v>0</v>
      </c>
      <c r="CS260" s="798">
        <f>WWWW[[#This Row],[%equitable and continuous access to sufficient quantity of safe drinking and domestic water''s GAP]]*WWWW[[#This Row],[Total PoP ]]</f>
        <v>0</v>
      </c>
      <c r="CT260" s="801">
        <f>IF(WWWW[[#This Row],[Total required water points]]-WWWW[[#This Row],['#Water points coverage]]&lt;0,0,WWWW[[#This Row],[Total required water points]]-WWWW[[#This Row],['#Water points coverage]])</f>
        <v>0</v>
      </c>
      <c r="CU260" s="801">
        <f>ROUND(IF(WWWW[[#This Row],[Total PoP ]]&lt;500,1,WWWW[[#This Row],[Total PoP ]]/500),0)</f>
        <v>1</v>
      </c>
      <c r="CV260" s="801">
        <f>(WWWW[[#This Row],['#_Constructed latrines_by_WASHAgencies]]+WWWW[[#This Row],['#_Non Cluster partner latrines]])-WWWW[[#This Row],['#_Non-functional latrines]]</f>
        <v>13</v>
      </c>
      <c r="CW260" s="804">
        <f>WWWW[[#This Row],[HRP2]]/WWWW[[#This Row],[Total PoP ]]</f>
        <v>0.48689138576779029</v>
      </c>
      <c r="CX26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26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0" s="473">
        <f>IF(WWWW[[#This Row],['# of functional latrines in THF supported by WASH partners during the reporting period2]]="",0,WWWW[[#This Row],['# of functional latrines in THF supported by WASH partners during the reporting period2]]*50)</f>
        <v>0</v>
      </c>
      <c r="DB260" s="473">
        <f>WWWW[[#This Row],['# students access to functioning school latrines_HRP5]]+WWWW[[#This Row],['# People access to functioning latrines in THF_HRP5]]</f>
        <v>0</v>
      </c>
      <c r="DC260" s="801">
        <f>ROUND(IF(WWWW[[#This Row],[Location Type 1]]="camp",WWWW[[#This Row],[Total PoP ]]/20,IF(WWWW[[#This Row],[Location Type 1]]="Temporary Location",WWWW[[#This Row],[Total PoP ]]/50,(WWWW[[#This Row],[Total PoP ]]/6))),0)</f>
        <v>27</v>
      </c>
      <c r="DD260" s="801">
        <f>IF(WWWW[[#This Row],[Total required Latrines]]-(WWWW[[#This Row],['#_Constructed latrines_by_WASHAgencies]]+WWWW[[#This Row],['#_Non Cluster partner latrines]])&lt;0,0,WWWW[[#This Row],[Total required Latrines]]-(WWWW[[#This Row],['#_Constructed latrines_by_WASHAgencies]]+WWWW[[#This Row],['#_Non Cluster partner latrines]]))</f>
        <v>14</v>
      </c>
      <c r="DE260" s="803">
        <f>1-WWWW[[#This Row],[% people access to functioning Latrine]]</f>
        <v>0.51310861423220966</v>
      </c>
      <c r="DF260" s="802">
        <f>IF(OR(WWWW[[#This Row],['#_Non-functional latrines]]="",WWWW[[#This Row],['#_Non-functional latrines]]=0),0,WWWW[[#This Row],['#_Non-functional latrines]]/(WWWW[[#This Row],['#_Constructed latrines_by_WASHAgencies]]+WWWW[[#This Row],['#_Non Cluster partner latrines]]))</f>
        <v>0</v>
      </c>
      <c r="DG260" s="798">
        <f>IF(500*(WWWW[[#This Row],['#_male hygiene promoters]]+WWWW[[#This Row],['#_female hygiene promoters]])&gt;WWWW[[#This Row],[Total PoP ]],WWWW[[#This Row],[Total PoP ]],500*(WWWW[[#This Row],['#_male hygiene promoters]]+WWWW[[#This Row],['#_female hygiene promoters]]))</f>
        <v>534</v>
      </c>
      <c r="DH26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0" s="801">
        <f>IF(WWWW[[#This Row],['# People with access to soap]]&gt;WWWW[[#This Row],['# People with access to Sanity Pads]],WWWW[[#This Row],['# People with access to soap]],WWWW[[#This Row],['# People with access to Sanity Pads]])</f>
        <v>0</v>
      </c>
      <c r="DK260" s="801">
        <f>IF(WWWW[[#This Row],['# people reached by regular dedicated hygiene promotion_5]]&gt;WWWW[[#This Row],['# People received regular supply of hygiene items_6]],WWWW[[#This Row],['# people reached by regular dedicated hygiene promotion_5]],WWWW[[#This Row],['# People received regular supply of hygiene items_6]])</f>
        <v>534</v>
      </c>
      <c r="DL260" s="803">
        <f>IF(WWWW[[#This Row],[HRP3]]/WWWW[[#This Row],[Total PoP ]]&gt;1,1,WWWW[[#This Row],[HRP3]]/WWWW[[#This Row],[Total PoP ]])</f>
        <v>1</v>
      </c>
      <c r="DM260" s="802">
        <f>1-WWWW[[#This Row],[Hygiene Coverage%]]</f>
        <v>0</v>
      </c>
      <c r="DN260" s="800">
        <f>WWWW[[#This Row],['# people reached by regular dedicated hygiene promotion_5]]/WWWW[[#This Row],[Total PoP ]]</f>
        <v>1</v>
      </c>
      <c r="DO26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0" s="801">
        <f>WWWW[[#This Row],['#_Constructed/Existing hand washing stations]]-WWWW[[#This Row],['#_Non-Functional_hand_washing_stations]]</f>
        <v>4</v>
      </c>
      <c r="DR260" s="798">
        <f>IF(WWWW[[#This Row],['# Functional hand washing stations during reporting period]]*20&gt;WWWW[[#This Row],[Total HH]],WWWW[[#This Row],[Total HH]],WWWW[[#This Row],['# Functional hand washing stations during reporting period]]*20)</f>
        <v>80</v>
      </c>
      <c r="DS260" s="798">
        <f>IF(WWWW[[#This Row],[Is sufficient soap available for TLS? (Yes/No)]]="yes",WWWW[[#This Row],['#_Constructed/Existing hand washing stations at TLS]],0)</f>
        <v>0</v>
      </c>
      <c r="DT260" s="479">
        <f>IF(WWWW[[#This Row],['# Functional hand washing stations during reporting period]]*100&gt;WWWW[[#This Row],[Total PoP ]],WWWW[[#This Row],[Total PoP ]],WWWW[[#This Row],['# Functional hand washing stations during reporting period]]*100)</f>
        <v>400</v>
      </c>
      <c r="DU260" s="479" t="str">
        <f>IF(OR(WWWW[[#This Row],['#_students at TLS_CFS]]="",WWWW[[#This Row],['#_students at TLS_CFS]]=0),"No","Yes")</f>
        <v>No</v>
      </c>
      <c r="DV26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0" s="794" t="str">
        <f>VLOOKUP(WWWW[[#This Row],[Site Name]],SiteDB6[[Site Name]:[CCCM Management]],6,FALSE)</f>
        <v>Yes</v>
      </c>
      <c r="DZ260" s="794" t="str">
        <f>VLOOKUP(WWWW[[#This Row],[Site Name]],SiteDB6[[Site Name]:[CCCM Focal Agency]],7,FALSE)</f>
        <v>KBC-MYT</v>
      </c>
      <c r="EA260" s="794" t="str">
        <f>VLOOKUP(WWWW[[#This Row],[Site Name]],SiteDB6[[Site Name]:[Location Type 1]],9,FALSE)</f>
        <v>Camp</v>
      </c>
      <c r="EB260" s="794" t="str">
        <f>VLOOKUP(WWWW[[#This Row],[Site Name]],SiteDB6[[Site Name]:[Type of Accommodation]],10,FALSE)</f>
        <v>Camp</v>
      </c>
      <c r="EC260" s="794" t="str">
        <f>VLOOKUP(WWWW[[#This Row],[Site Name]],SiteDB6[[Site Name]:[Ethnic or GCA/NGCA]],11,FALSE)</f>
        <v>GCA</v>
      </c>
      <c r="ED260" s="794">
        <f>VLOOKUP(WWWW[[#This Row],[Site Name]],SiteDB6[[Site Name]:[Lat]],12,FALSE)</f>
        <v>25.412313000000001</v>
      </c>
      <c r="EE260" s="794">
        <f>VLOOKUP(WWWW[[#This Row],[Site Name]],SiteDB6[[Site Name]:[Long]],13,FALSE)</f>
        <v>97.399628000000007</v>
      </c>
      <c r="EF260" s="794" t="str">
        <f>VLOOKUP(WWWW[[#This Row],[Site Name]],SiteDB6[[Site Name]:[Pcode]],3,FALSE)</f>
        <v>MMR001CMP006</v>
      </c>
      <c r="EG260" s="799" t="str">
        <f t="shared" si="5"/>
        <v>Covered</v>
      </c>
      <c r="EH260" s="799" t="str">
        <f>VLOOKUP(WWWW[[#This Row],[Site Name]],Site_DB!$C$389:$D$1120,2,FALSE)</f>
        <v>cccm_2019OCT</v>
      </c>
    </row>
    <row r="261" spans="1:138" hidden="1">
      <c r="A261" s="792" t="s">
        <v>3262</v>
      </c>
      <c r="B261" s="792" t="s">
        <v>245</v>
      </c>
      <c r="C261" s="793" t="s">
        <v>245</v>
      </c>
      <c r="D261" s="793" t="s">
        <v>310</v>
      </c>
      <c r="E261" s="793" t="s">
        <v>39</v>
      </c>
      <c r="F261" s="793" t="s">
        <v>151</v>
      </c>
      <c r="G261" s="721" t="str">
        <f>VLOOKUP(WWWW[[#This Row],[Site Name]],SiteDB6[[Site Name]:[Location Type]],8,FALSE)</f>
        <v>Camp</v>
      </c>
      <c r="H261" s="404" t="s">
        <v>253</v>
      </c>
      <c r="I261" s="795">
        <v>36</v>
      </c>
      <c r="J261" s="795">
        <v>228</v>
      </c>
      <c r="K261" s="796">
        <v>43313</v>
      </c>
      <c r="L261" s="797">
        <v>44043</v>
      </c>
      <c r="M261" s="795"/>
      <c r="N261" s="795">
        <v>1</v>
      </c>
      <c r="O261" s="795"/>
      <c r="P261" s="795"/>
      <c r="Q261" s="798" t="s">
        <v>43</v>
      </c>
      <c r="R261" s="795">
        <v>2</v>
      </c>
      <c r="S261" s="795">
        <v>2</v>
      </c>
      <c r="T261" s="523">
        <v>2</v>
      </c>
      <c r="U261" s="795"/>
      <c r="V261" s="795"/>
      <c r="W261" s="795">
        <v>0</v>
      </c>
      <c r="X261" s="795">
        <v>0</v>
      </c>
      <c r="Y261" s="795"/>
      <c r="Z261" s="795"/>
      <c r="AA261" s="795">
        <v>0</v>
      </c>
      <c r="AB261" s="795"/>
      <c r="AC261" s="795"/>
      <c r="AD261" s="795">
        <v>0</v>
      </c>
      <c r="AE261" s="795">
        <v>0</v>
      </c>
      <c r="AF261" s="795">
        <v>0</v>
      </c>
      <c r="AG261" s="795">
        <v>0</v>
      </c>
      <c r="AH261" s="795">
        <v>1</v>
      </c>
      <c r="AI261" s="795"/>
      <c r="AJ261" s="795"/>
      <c r="AK261" s="795"/>
      <c r="AL261" s="795"/>
      <c r="AM261" s="795">
        <v>0</v>
      </c>
      <c r="AN261" s="795">
        <v>0</v>
      </c>
      <c r="AO261" s="799"/>
      <c r="AP261" s="795">
        <v>10</v>
      </c>
      <c r="AQ261" s="795">
        <v>0</v>
      </c>
      <c r="AR261" s="800" t="s">
        <v>245</v>
      </c>
      <c r="AS261" s="795"/>
      <c r="AT261" s="795"/>
      <c r="AU261" s="795"/>
      <c r="AV261" s="795"/>
      <c r="AW261" s="795">
        <v>0</v>
      </c>
      <c r="AX261" s="794" t="s">
        <v>43</v>
      </c>
      <c r="AY261" s="799" t="s">
        <v>140</v>
      </c>
      <c r="AZ261" s="795">
        <v>0</v>
      </c>
      <c r="BA261" s="795">
        <v>0</v>
      </c>
      <c r="BB261" s="795">
        <v>0</v>
      </c>
      <c r="BC261" s="523"/>
      <c r="BD261" s="523"/>
      <c r="BE261" s="794"/>
      <c r="BF261" s="795">
        <v>0</v>
      </c>
      <c r="BG261" s="795"/>
      <c r="BH261" s="795">
        <v>0</v>
      </c>
      <c r="BI261" s="795">
        <v>3</v>
      </c>
      <c r="BJ261" s="795"/>
      <c r="BK261" s="795">
        <v>2</v>
      </c>
      <c r="BL261" s="795">
        <v>2</v>
      </c>
      <c r="BM261" s="795"/>
      <c r="BN261" s="795"/>
      <c r="BO261" s="794"/>
      <c r="BP261" s="801"/>
      <c r="BQ261" s="800"/>
      <c r="BR261" s="794"/>
      <c r="BS261" s="472"/>
      <c r="BT261" s="472"/>
      <c r="BU261" s="720"/>
      <c r="BV261" s="472"/>
      <c r="BW261" s="523"/>
      <c r="BX261" s="523"/>
      <c r="BY261" s="523"/>
      <c r="BZ261" s="802" t="str">
        <f>IFERROR(WWWW[[#This Row],['#_Water sources passed]]/WWWW[[#This Row],['#_Water sources tested for fecal coliform ]],"no test")</f>
        <v>no test</v>
      </c>
      <c r="CA261" s="800" t="str">
        <f>IFERROR(WWWW[[#This Row],['#_Household passed]]/WWWW[[#This Row],['#_Household water samples tested for fecal coliform]],"no test")</f>
        <v>no test</v>
      </c>
      <c r="CB261" s="801" t="str">
        <f>IF(AND(WWWW[[#This Row],[% of water sources passed]]="no test",WWWW[[#This Row],[% Household passed]]="no test"),"No Test","Tested")</f>
        <v>No Test</v>
      </c>
      <c r="CC261" s="801">
        <f>WWWW[[#This Row],['#_Constructed/existing protected hand dug well]]-WWWW[[#This Row],['#_Non-functional protected hand dug well]]</f>
        <v>2</v>
      </c>
      <c r="CD261" s="801">
        <f>(WWWW[[#This Row],['#_Constructed/Existing tube wells/boreholes/handpumps_WASH_agency]]+WWWW[[#This Row],['#_Non-Cluster partner water tube-wells/boreholes/handpumps]])-WWWW[[#This Row],['#_Non-functional tube wells/boreholes/handpumps]]</f>
        <v>0</v>
      </c>
      <c r="CE261" s="801">
        <f>WWWW[[#This Row],['#_Constructed/Existingwater storage tank with gravity fed reticulation system]]-WWWW[[#This Row],['#_Non-functional storage tank gravity fed reticulation system]]</f>
        <v>0</v>
      </c>
      <c r="CF261" s="801">
        <f>(WWWW[[#This Row],['#_Water_Liters_supplied_by_Water boating or water trucking]]/90)/15</f>
        <v>0</v>
      </c>
      <c r="CG261" s="801">
        <f>WWWW[[#This Row],['#_Water_Liters_from_Constructed/Existing water distribution system from river or natural spring]]/90/15</f>
        <v>0</v>
      </c>
      <c r="CH261" s="473">
        <f>WWWW[[#This Row],['#_of water points in TLS/CFS /THF]]*500</f>
        <v>0</v>
      </c>
      <c r="CI26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1" s="800">
        <f>IF(WWWW[[#This Row],[Location Type 1]]="Village",WWWW[[#This Row],[Access to safe drinking water for Village]],WWWW[[#This Row],[Access to safe drinking water for Camp]])</f>
        <v>1</v>
      </c>
      <c r="CL261" s="798">
        <f>WWWW[[#This Row],[%Equitable and continuous access to sufficient quantity of safe drinking water]]*WWWW[[#This Row],[Total PoP ]]</f>
        <v>228</v>
      </c>
      <c r="CM261" s="800">
        <f>IF((WWWW[[#This Row],['#_Constructed/Existing protected/fenced ponds]]*250)/WWWW[[#This Row],[Total PoP ]]&gt;1,1,(WWWW[[#This Row],['#_Constructed/Existing protected/fenced ponds]]*250)/WWWW[[#This Row],[Total PoP ]])</f>
        <v>0</v>
      </c>
      <c r="CN261" s="798">
        <f>WWWW[[#This Row],[% Access to unimproved water points]]*WWWW[[#This Row],[Total PoP ]]</f>
        <v>0</v>
      </c>
      <c r="CO26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Q261" s="798">
        <f>WWWW[[#This Row],[HRP1]]/500</f>
        <v>0.45600000000000002</v>
      </c>
      <c r="CR261" s="803">
        <f>1-WWWW[[#This Row],[% Equitable and continuous access to sufficient quantity of domestic water]]</f>
        <v>0</v>
      </c>
      <c r="CS261" s="798">
        <f>WWWW[[#This Row],[%equitable and continuous access to sufficient quantity of safe drinking and domestic water''s GAP]]*WWWW[[#This Row],[Total PoP ]]</f>
        <v>0</v>
      </c>
      <c r="CT261" s="801">
        <f>IF(WWWW[[#This Row],[Total required water points]]-WWWW[[#This Row],['#Water points coverage]]&lt;0,0,WWWW[[#This Row],[Total required water points]]-WWWW[[#This Row],['#Water points coverage]])</f>
        <v>0.54400000000000004</v>
      </c>
      <c r="CU261" s="801">
        <f>ROUND(IF(WWWW[[#This Row],[Total PoP ]]&lt;500,1,WWWW[[#This Row],[Total PoP ]]/500),0)</f>
        <v>1</v>
      </c>
      <c r="CV261" s="801">
        <f>(WWWW[[#This Row],['#_Constructed latrines_by_WASHAgencies]]+WWWW[[#This Row],['#_Non Cluster partner latrines]])-WWWW[[#This Row],['#_Non-functional latrines]]</f>
        <v>10</v>
      </c>
      <c r="CW261" s="804">
        <f>WWWW[[#This Row],[HRP2]]/WWWW[[#This Row],[Total PoP ]]</f>
        <v>0.8771929824561403</v>
      </c>
      <c r="CX26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26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1" s="473">
        <f>IF(WWWW[[#This Row],['# of functional latrines in THF supported by WASH partners during the reporting period2]]="",0,WWWW[[#This Row],['# of functional latrines in THF supported by WASH partners during the reporting period2]]*50)</f>
        <v>0</v>
      </c>
      <c r="DB261" s="473">
        <f>WWWW[[#This Row],['# students access to functioning school latrines_HRP5]]+WWWW[[#This Row],['# People access to functioning latrines in THF_HRP5]]</f>
        <v>0</v>
      </c>
      <c r="DC261" s="801">
        <f>ROUND(IF(WWWW[[#This Row],[Location Type 1]]="camp",WWWW[[#This Row],[Total PoP ]]/20,IF(WWWW[[#This Row],[Location Type 1]]="Temporary Location",WWWW[[#This Row],[Total PoP ]]/50,(WWWW[[#This Row],[Total PoP ]]/6))),0)</f>
        <v>11</v>
      </c>
      <c r="DD261" s="801">
        <f>IF(WWWW[[#This Row],[Total required Latrines]]-(WWWW[[#This Row],['#_Constructed latrines_by_WASHAgencies]]+WWWW[[#This Row],['#_Non Cluster partner latrines]])&lt;0,0,WWWW[[#This Row],[Total required Latrines]]-(WWWW[[#This Row],['#_Constructed latrines_by_WASHAgencies]]+WWWW[[#This Row],['#_Non Cluster partner latrines]]))</f>
        <v>1</v>
      </c>
      <c r="DE261" s="803">
        <f>1-WWWW[[#This Row],[% people access to functioning Latrine]]</f>
        <v>0.1228070175438597</v>
      </c>
      <c r="DF261" s="802">
        <f>IF(OR(WWWW[[#This Row],['#_Non-functional latrines]]="",WWWW[[#This Row],['#_Non-functional latrines]]=0),0,WWWW[[#This Row],['#_Non-functional latrines]]/(WWWW[[#This Row],['#_Constructed latrines_by_WASHAgencies]]+WWWW[[#This Row],['#_Non Cluster partner latrines]]))</f>
        <v>0</v>
      </c>
      <c r="DG261" s="798">
        <f>IF(500*(WWWW[[#This Row],['#_male hygiene promoters]]+WWWW[[#This Row],['#_female hygiene promoters]])&gt;WWWW[[#This Row],[Total PoP ]],WWWW[[#This Row],[Total PoP ]],500*(WWWW[[#This Row],['#_male hygiene promoters]]+WWWW[[#This Row],['#_female hygiene promoters]]))</f>
        <v>228</v>
      </c>
      <c r="DH26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1" s="801">
        <f>IF(WWWW[[#This Row],['# People with access to soap]]&gt;WWWW[[#This Row],['# People with access to Sanity Pads]],WWWW[[#This Row],['# People with access to soap]],WWWW[[#This Row],['# People with access to Sanity Pads]])</f>
        <v>0</v>
      </c>
      <c r="DK261" s="801">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L261" s="803">
        <f>IF(WWWW[[#This Row],[HRP3]]/WWWW[[#This Row],[Total PoP ]]&gt;1,1,WWWW[[#This Row],[HRP3]]/WWWW[[#This Row],[Total PoP ]])</f>
        <v>1</v>
      </c>
      <c r="DM261" s="802">
        <f>1-WWWW[[#This Row],[Hygiene Coverage%]]</f>
        <v>0</v>
      </c>
      <c r="DN261" s="800">
        <f>WWWW[[#This Row],['# people reached by regular dedicated hygiene promotion_5]]/WWWW[[#This Row],[Total PoP ]]</f>
        <v>1</v>
      </c>
      <c r="DO26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1" s="801">
        <f>WWWW[[#This Row],['#_Constructed/Existing hand washing stations]]-WWWW[[#This Row],['#_Non-Functional_hand_washing_stations]]</f>
        <v>0</v>
      </c>
      <c r="DR261" s="798">
        <f>IF(WWWW[[#This Row],['# Functional hand washing stations during reporting period]]*20&gt;WWWW[[#This Row],[Total HH]],WWWW[[#This Row],[Total HH]],WWWW[[#This Row],['# Functional hand washing stations during reporting period]]*20)</f>
        <v>0</v>
      </c>
      <c r="DS261" s="798">
        <f>IF(WWWW[[#This Row],[Is sufficient soap available for TLS? (Yes/No)]]="yes",WWWW[[#This Row],['#_Constructed/Existing hand washing stations at TLS]],0)</f>
        <v>0</v>
      </c>
      <c r="DT261" s="479">
        <f>IF(WWWW[[#This Row],['# Functional hand washing stations during reporting period]]*100&gt;WWWW[[#This Row],[Total PoP ]],WWWW[[#This Row],[Total PoP ]],WWWW[[#This Row],['# Functional hand washing stations during reporting period]]*100)</f>
        <v>0</v>
      </c>
      <c r="DU261" s="479" t="str">
        <f>IF(OR(WWWW[[#This Row],['#_students at TLS_CFS]]="",WWWW[[#This Row],['#_students at TLS_CFS]]=0),"No","Yes")</f>
        <v>No</v>
      </c>
      <c r="DV26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1" s="794" t="str">
        <f>VLOOKUP(WWWW[[#This Row],[Site Name]],SiteDB6[[Site Name]:[CCCM Management]],6,FALSE)</f>
        <v>Yes</v>
      </c>
      <c r="DZ261" s="794" t="str">
        <f>VLOOKUP(WWWW[[#This Row],[Site Name]],SiteDB6[[Site Name]:[CCCM Focal Agency]],7,FALSE)</f>
        <v>KBC-MYT</v>
      </c>
      <c r="EA261" s="794" t="str">
        <f>VLOOKUP(WWWW[[#This Row],[Site Name]],SiteDB6[[Site Name]:[Location Type 1]],9,FALSE)</f>
        <v>Camp</v>
      </c>
      <c r="EB261" s="794" t="str">
        <f>VLOOKUP(WWWW[[#This Row],[Site Name]],SiteDB6[[Site Name]:[Type of Accommodation]],10,FALSE)</f>
        <v>Camp</v>
      </c>
      <c r="EC261" s="794" t="str">
        <f>VLOOKUP(WWWW[[#This Row],[Site Name]],SiteDB6[[Site Name]:[Ethnic or GCA/NGCA]],11,FALSE)</f>
        <v>GCA</v>
      </c>
      <c r="ED261" s="794">
        <f>VLOOKUP(WWWW[[#This Row],[Site Name]],SiteDB6[[Site Name]:[Lat]],12,FALSE)</f>
        <v>25.647649999999999</v>
      </c>
      <c r="EE261" s="794">
        <f>VLOOKUP(WWWW[[#This Row],[Site Name]],SiteDB6[[Site Name]:[Long]],13,FALSE)</f>
        <v>96.346469999999997</v>
      </c>
      <c r="EF261" s="794" t="str">
        <f>VLOOKUP(WWWW[[#This Row],[Site Name]],SiteDB6[[Site Name]:[Pcode]],3,FALSE)</f>
        <v>MMR001CMP169</v>
      </c>
      <c r="EG261" s="799" t="str">
        <f t="shared" si="5"/>
        <v>Covered</v>
      </c>
      <c r="EH261" s="799" t="str">
        <f>VLOOKUP(WWWW[[#This Row],[Site Name]],Site_DB!$C$389:$D$1120,2,FALSE)</f>
        <v>cccm_2019OCT</v>
      </c>
    </row>
    <row r="262" spans="1:138" hidden="1">
      <c r="A262" s="792" t="s">
        <v>3262</v>
      </c>
      <c r="B262" s="792" t="s">
        <v>38</v>
      </c>
      <c r="C262" s="793" t="s">
        <v>38</v>
      </c>
      <c r="D262" s="793" t="s">
        <v>244</v>
      </c>
      <c r="E262" s="793" t="s">
        <v>39</v>
      </c>
      <c r="F262" s="793" t="s">
        <v>155</v>
      </c>
      <c r="G262" s="721" t="str">
        <f>VLOOKUP(WWWW[[#This Row],[Site Name]],SiteDB6[[Site Name]:[Location Type]],8,FALSE)</f>
        <v>Camp</v>
      </c>
      <c r="H262" s="793" t="s">
        <v>2003</v>
      </c>
      <c r="I262" s="795">
        <v>79</v>
      </c>
      <c r="J262" s="795">
        <v>396</v>
      </c>
      <c r="K262" s="796">
        <v>43810</v>
      </c>
      <c r="L262" s="797">
        <v>44175</v>
      </c>
      <c r="M262" s="523">
        <v>24</v>
      </c>
      <c r="N262" s="523"/>
      <c r="O262" s="523"/>
      <c r="P262" s="523"/>
      <c r="Q262" s="479" t="s">
        <v>43</v>
      </c>
      <c r="R262" s="795">
        <v>2</v>
      </c>
      <c r="S262" s="795">
        <v>1</v>
      </c>
      <c r="T262" s="523">
        <v>2</v>
      </c>
      <c r="U262" s="795"/>
      <c r="V262" s="795"/>
      <c r="W262" s="795"/>
      <c r="X262" s="795"/>
      <c r="Y262" s="795"/>
      <c r="Z262" s="795"/>
      <c r="AA262" s="795">
        <v>2</v>
      </c>
      <c r="AB262" s="795"/>
      <c r="AC262" s="795"/>
      <c r="AD262" s="795"/>
      <c r="AE262" s="795"/>
      <c r="AF262" s="795"/>
      <c r="AG262" s="795"/>
      <c r="AH262" s="795"/>
      <c r="AI262" s="795">
        <v>1</v>
      </c>
      <c r="AJ262" s="795">
        <v>1</v>
      </c>
      <c r="AK262" s="795"/>
      <c r="AL262" s="795"/>
      <c r="AM262" s="795"/>
      <c r="AN262" s="795"/>
      <c r="AO262" s="404" t="s">
        <v>3143</v>
      </c>
      <c r="AP262" s="795">
        <v>16</v>
      </c>
      <c r="AQ262" s="795"/>
      <c r="AR262" s="800"/>
      <c r="AS262" s="795"/>
      <c r="AT262" s="795">
        <v>6</v>
      </c>
      <c r="AU262" s="795"/>
      <c r="AV262" s="795"/>
      <c r="AW262" s="795"/>
      <c r="AX262" s="794" t="s">
        <v>43</v>
      </c>
      <c r="AY262" s="799" t="s">
        <v>1195</v>
      </c>
      <c r="AZ262" s="795"/>
      <c r="BA262" s="795"/>
      <c r="BB262" s="795">
        <v>16</v>
      </c>
      <c r="BC262" s="523"/>
      <c r="BD262" s="523"/>
      <c r="BE262" s="794"/>
      <c r="BF262" s="795"/>
      <c r="BG262" s="795"/>
      <c r="BH262" s="795">
        <v>2</v>
      </c>
      <c r="BI262" s="795">
        <v>2</v>
      </c>
      <c r="BJ262" s="795"/>
      <c r="BK262" s="795"/>
      <c r="BL262" s="795">
        <v>1</v>
      </c>
      <c r="BM262" s="795">
        <v>6</v>
      </c>
      <c r="BN262" s="795"/>
      <c r="BO262" s="794"/>
      <c r="BP262" s="801"/>
      <c r="BQ262" s="800"/>
      <c r="BR262" s="794"/>
      <c r="BS262" s="472">
        <v>0.4</v>
      </c>
      <c r="BT262" s="472">
        <v>0.3</v>
      </c>
      <c r="BU262" s="523"/>
      <c r="BV262" s="472">
        <v>0.1</v>
      </c>
      <c r="BW262" s="523">
        <v>16</v>
      </c>
      <c r="BX262" s="523">
        <v>6</v>
      </c>
      <c r="BY262" s="523">
        <v>2</v>
      </c>
      <c r="BZ262" s="802">
        <f>IFERROR(WWWW[[#This Row],['#_Water sources passed]]/WWWW[[#This Row],['#_Water sources tested for fecal coliform ]],"no test")</f>
        <v>1</v>
      </c>
      <c r="CA262" s="800" t="str">
        <f>IFERROR(WWWW[[#This Row],['#_Household passed]]/WWWW[[#This Row],['#_Household water samples tested for fecal coliform]],"no test")</f>
        <v>no test</v>
      </c>
      <c r="CB262" s="801" t="str">
        <f>IF(AND(WWWW[[#This Row],[% of water sources passed]]="no test",WWWW[[#This Row],[% Household passed]]="no test"),"No Test","Tested")</f>
        <v>Tested</v>
      </c>
      <c r="CC262" s="801">
        <f>WWWW[[#This Row],['#_Constructed/existing protected hand dug well]]-WWWW[[#This Row],['#_Non-functional protected hand dug well]]</f>
        <v>2</v>
      </c>
      <c r="CD262" s="801">
        <f>(WWWW[[#This Row],['#_Constructed/Existing tube wells/boreholes/handpumps_WASH_agency]]+WWWW[[#This Row],['#_Non-Cluster partner water tube-wells/boreholes/handpumps]])-WWWW[[#This Row],['#_Non-functional tube wells/boreholes/handpumps]]</f>
        <v>0</v>
      </c>
      <c r="CE262" s="801">
        <f>WWWW[[#This Row],['#_Constructed/Existingwater storage tank with gravity fed reticulation system]]-WWWW[[#This Row],['#_Non-functional storage tank gravity fed reticulation system]]</f>
        <v>2</v>
      </c>
      <c r="CF262" s="801">
        <f>(WWWW[[#This Row],['#_Water_Liters_supplied_by_Water boating or water trucking]]/90)/15</f>
        <v>0</v>
      </c>
      <c r="CG262" s="801">
        <f>WWWW[[#This Row],['#_Water_Liters_from_Constructed/Existing water distribution system from river or natural spring]]/90/15</f>
        <v>0</v>
      </c>
      <c r="CH262" s="473">
        <f>WWWW[[#This Row],['#_of water points in TLS/CFS /THF]]*500</f>
        <v>0</v>
      </c>
      <c r="CI26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2" s="800">
        <f>IF(WWWW[[#This Row],[Location Type 1]]="Village",WWWW[[#This Row],[Access to safe drinking water for Village]],WWWW[[#This Row],[Access to safe drinking water for Camp]])</f>
        <v>1</v>
      </c>
      <c r="CL262" s="798">
        <f>WWWW[[#This Row],[%Equitable and continuous access to sufficient quantity of safe drinking water]]*WWWW[[#This Row],[Total PoP ]]</f>
        <v>396</v>
      </c>
      <c r="CM262" s="800">
        <f>IF((WWWW[[#This Row],['#_Constructed/Existing protected/fenced ponds]]*250)/WWWW[[#This Row],[Total PoP ]]&gt;1,1,(WWWW[[#This Row],['#_Constructed/Existing protected/fenced ponds]]*250)/WWWW[[#This Row],[Total PoP ]])</f>
        <v>0</v>
      </c>
      <c r="CN262" s="798">
        <f>WWWW[[#This Row],[% Access to unimproved water points]]*WWWW[[#This Row],[Total PoP ]]</f>
        <v>0</v>
      </c>
      <c r="CO26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Q262" s="798">
        <f>WWWW[[#This Row],[HRP1]]/500</f>
        <v>0.79200000000000004</v>
      </c>
      <c r="CR262" s="803">
        <f>1-WWWW[[#This Row],[% Equitable and continuous access to sufficient quantity of domestic water]]</f>
        <v>0</v>
      </c>
      <c r="CS262" s="798">
        <f>WWWW[[#This Row],[%equitable and continuous access to sufficient quantity of safe drinking and domestic water''s GAP]]*WWWW[[#This Row],[Total PoP ]]</f>
        <v>0</v>
      </c>
      <c r="CT262" s="801">
        <f>IF(WWWW[[#This Row],[Total required water points]]-WWWW[[#This Row],['#Water points coverage]]&lt;0,0,WWWW[[#This Row],[Total required water points]]-WWWW[[#This Row],['#Water points coverage]])</f>
        <v>0.20799999999999996</v>
      </c>
      <c r="CU262" s="801">
        <f>ROUND(IF(WWWW[[#This Row],[Total PoP ]]&lt;500,1,WWWW[[#This Row],[Total PoP ]]/500),0)</f>
        <v>1</v>
      </c>
      <c r="CV262" s="801">
        <f>(WWWW[[#This Row],['#_Constructed latrines_by_WASHAgencies]]+WWWW[[#This Row],['#_Non Cluster partner latrines]])-WWWW[[#This Row],['#_Non-functional latrines]]</f>
        <v>16</v>
      </c>
      <c r="CW262" s="804">
        <f>WWWW[[#This Row],[HRP2]]/WWWW[[#This Row],[Total PoP ]]</f>
        <v>0.80808080808080807</v>
      </c>
      <c r="CX26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26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24</v>
      </c>
      <c r="DA262" s="473">
        <f>IF(WWWW[[#This Row],['# of functional latrines in THF supported by WASH partners during the reporting period2]]="",0,WWWW[[#This Row],['# of functional latrines in THF supported by WASH partners during the reporting period2]]*50)</f>
        <v>0</v>
      </c>
      <c r="DB262" s="473">
        <f>WWWW[[#This Row],['# students access to functioning school latrines_HRP5]]+WWWW[[#This Row],['# People access to functioning latrines in THF_HRP5]]</f>
        <v>24</v>
      </c>
      <c r="DC262" s="801">
        <f>ROUND(IF(WWWW[[#This Row],[Location Type 1]]="camp",WWWW[[#This Row],[Total PoP ]]/20,IF(WWWW[[#This Row],[Location Type 1]]="Temporary Location",WWWW[[#This Row],[Total PoP ]]/50,(WWWW[[#This Row],[Total PoP ]]/6))),0)</f>
        <v>20</v>
      </c>
      <c r="DD262" s="801">
        <f>IF(WWWW[[#This Row],[Total required Latrines]]-(WWWW[[#This Row],['#_Constructed latrines_by_WASHAgencies]]+WWWW[[#This Row],['#_Non Cluster partner latrines]])&lt;0,0,WWWW[[#This Row],[Total required Latrines]]-(WWWW[[#This Row],['#_Constructed latrines_by_WASHAgencies]]+WWWW[[#This Row],['#_Non Cluster partner latrines]]))</f>
        <v>4</v>
      </c>
      <c r="DE262" s="803">
        <f>1-WWWW[[#This Row],[% people access to functioning Latrine]]</f>
        <v>0.19191919191919193</v>
      </c>
      <c r="DF262" s="802">
        <f>IF(OR(WWWW[[#This Row],['#_Non-functional latrines]]="",WWWW[[#This Row],['#_Non-functional latrines]]=0),0,WWWW[[#This Row],['#_Non-functional latrines]]/(WWWW[[#This Row],['#_Constructed latrines_by_WASHAgencies]]+WWWW[[#This Row],['#_Non Cluster partner latrines]]))</f>
        <v>0</v>
      </c>
      <c r="DG262" s="798">
        <f>IF(500*(WWWW[[#This Row],['#_male hygiene promoters]]+WWWW[[#This Row],['#_female hygiene promoters]])&gt;WWWW[[#This Row],[Total PoP ]],WWWW[[#This Row],[Total PoP ]],500*(WWWW[[#This Row],['#_male hygiene promoters]]+WWWW[[#This Row],['#_female hygiene promoters]]))</f>
        <v>396</v>
      </c>
      <c r="DH26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6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2" s="801">
        <f>IF(WWWW[[#This Row],['# People with access to soap]]&gt;WWWW[[#This Row],['# People with access to Sanity Pads]],WWWW[[#This Row],['# People with access to soap]],WWWW[[#This Row],['# People with access to Sanity Pads]])</f>
        <v>30</v>
      </c>
      <c r="DK262" s="801">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L262" s="803">
        <f>IF(WWWW[[#This Row],[HRP3]]/WWWW[[#This Row],[Total PoP ]]&gt;1,1,WWWW[[#This Row],[HRP3]]/WWWW[[#This Row],[Total PoP ]])</f>
        <v>1</v>
      </c>
      <c r="DM262" s="802">
        <f>1-WWWW[[#This Row],[Hygiene Coverage%]]</f>
        <v>0</v>
      </c>
      <c r="DN262" s="800">
        <f>WWWW[[#This Row],['# people reached by regular dedicated hygiene promotion_5]]/WWWW[[#This Row],[Total PoP ]]</f>
        <v>1</v>
      </c>
      <c r="DO26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0.30379746835443039</v>
      </c>
      <c r="DP26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2" s="801">
        <f>WWWW[[#This Row],['#_Constructed/Existing hand washing stations]]-WWWW[[#This Row],['#_Non-Functional_hand_washing_stations]]</f>
        <v>0</v>
      </c>
      <c r="DR262" s="798">
        <f>IF(WWWW[[#This Row],['# Functional hand washing stations during reporting period]]*20&gt;WWWW[[#This Row],[Total HH]],WWWW[[#This Row],[Total HH]],WWWW[[#This Row],['# Functional hand washing stations during reporting period]]*20)</f>
        <v>0</v>
      </c>
      <c r="DS262" s="798">
        <f>IF(WWWW[[#This Row],[Is sufficient soap available for TLS? (Yes/No)]]="yes",WWWW[[#This Row],['#_Constructed/Existing hand washing stations at TLS]],0)</f>
        <v>0</v>
      </c>
      <c r="DT262" s="479">
        <f>IF(WWWW[[#This Row],['# Functional hand washing stations during reporting period]]*100&gt;WWWW[[#This Row],[Total PoP ]],WWWW[[#This Row],[Total PoP ]],WWWW[[#This Row],['# Functional hand washing stations during reporting period]]*100)</f>
        <v>0</v>
      </c>
      <c r="DU262" s="479" t="str">
        <f>IF(OR(WWWW[[#This Row],['#_students at TLS_CFS]]="",WWWW[[#This Row],['#_students at TLS_CFS]]=0),"No","Yes")</f>
        <v>Yes</v>
      </c>
      <c r="DV26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24</v>
      </c>
      <c r="DX2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24</v>
      </c>
      <c r="DY262" s="794">
        <f>VLOOKUP(WWWW[[#This Row],[Site Name]],SiteDB6[[Site Name]:[CCCM Management]],6,FALSE)</f>
        <v>0</v>
      </c>
      <c r="DZ262" s="794" t="str">
        <f>VLOOKUP(WWWW[[#This Row],[Site Name]],SiteDB6[[Site Name]:[CCCM Focal Agency]],7,FALSE)</f>
        <v>KMSS-MYT</v>
      </c>
      <c r="EA262" s="794" t="str">
        <f>VLOOKUP(WWWW[[#This Row],[Site Name]],SiteDB6[[Site Name]:[Location Type 1]],9,FALSE)</f>
        <v>Camp</v>
      </c>
      <c r="EB262" s="794" t="str">
        <f>VLOOKUP(WWWW[[#This Row],[Site Name]],SiteDB6[[Site Name]:[Type of Accommodation]],10,FALSE)</f>
        <v>Camp</v>
      </c>
      <c r="EC262" s="794" t="str">
        <f>VLOOKUP(WWWW[[#This Row],[Site Name]],SiteDB6[[Site Name]:[Ethnic or GCA/NGCA]],11,FALSE)</f>
        <v>GCA</v>
      </c>
      <c r="ED262" s="794">
        <f>VLOOKUP(WWWW[[#This Row],[Site Name]],SiteDB6[[Site Name]:[Lat]],12,FALSE)</f>
        <v>25.383465999999999</v>
      </c>
      <c r="EE262" s="794">
        <f>VLOOKUP(WWWW[[#This Row],[Site Name]],SiteDB6[[Site Name]:[Long]],13,FALSE)</f>
        <v>97.013800000000003</v>
      </c>
      <c r="EF262" s="794" t="str">
        <f>VLOOKUP(WWWW[[#This Row],[Site Name]],SiteDB6[[Site Name]:[Pcode]],3,FALSE)</f>
        <v>MMR001CMP260</v>
      </c>
      <c r="EG262" s="799" t="str">
        <f t="shared" si="5"/>
        <v>Covered</v>
      </c>
      <c r="EH262" s="799" t="str">
        <f>VLOOKUP(WWWW[[#This Row],[Site Name]],Site_DB!$C$389:$D$1120,2,FALSE)</f>
        <v>cccm_2019OCT</v>
      </c>
    </row>
    <row r="263" spans="1:138" hidden="1">
      <c r="A263" s="792" t="s">
        <v>3262</v>
      </c>
      <c r="B263" s="792" t="s">
        <v>245</v>
      </c>
      <c r="C263" s="793" t="s">
        <v>245</v>
      </c>
      <c r="D263" s="793" t="s">
        <v>310</v>
      </c>
      <c r="E263" s="793" t="s">
        <v>39</v>
      </c>
      <c r="F263" s="793" t="s">
        <v>151</v>
      </c>
      <c r="G263" s="721" t="str">
        <f>VLOOKUP(WWWW[[#This Row],[Site Name]],SiteDB6[[Site Name]:[Location Type]],8,FALSE)</f>
        <v>Camp</v>
      </c>
      <c r="H263" s="793" t="s">
        <v>254</v>
      </c>
      <c r="I263" s="795">
        <v>6</v>
      </c>
      <c r="J263" s="795">
        <v>31</v>
      </c>
      <c r="K263" s="796">
        <v>43313</v>
      </c>
      <c r="L263" s="797">
        <v>44043</v>
      </c>
      <c r="M263" s="795"/>
      <c r="N263" s="795">
        <v>1</v>
      </c>
      <c r="O263" s="795"/>
      <c r="P263" s="795"/>
      <c r="Q263" s="798" t="s">
        <v>43</v>
      </c>
      <c r="R263" s="795">
        <v>1</v>
      </c>
      <c r="S263" s="795">
        <v>2</v>
      </c>
      <c r="T263" s="523">
        <v>0</v>
      </c>
      <c r="U263" s="795"/>
      <c r="V263" s="795"/>
      <c r="W263" s="795">
        <v>0</v>
      </c>
      <c r="X263" s="795">
        <v>0</v>
      </c>
      <c r="Y263" s="795"/>
      <c r="Z263" s="795"/>
      <c r="AA263" s="795">
        <v>0</v>
      </c>
      <c r="AB263" s="795"/>
      <c r="AC263" s="795"/>
      <c r="AD263" s="795">
        <v>0</v>
      </c>
      <c r="AE263" s="795">
        <v>0</v>
      </c>
      <c r="AF263" s="795">
        <v>0</v>
      </c>
      <c r="AG263" s="795">
        <v>0</v>
      </c>
      <c r="AH263" s="795">
        <v>0</v>
      </c>
      <c r="AI263" s="795"/>
      <c r="AJ263" s="795"/>
      <c r="AK263" s="795"/>
      <c r="AL263" s="795"/>
      <c r="AM263" s="795">
        <v>0</v>
      </c>
      <c r="AN263" s="795">
        <v>0</v>
      </c>
      <c r="AO263" s="799"/>
      <c r="AP263" s="795">
        <v>2</v>
      </c>
      <c r="AQ263" s="795">
        <v>0</v>
      </c>
      <c r="AR263" s="800" t="s">
        <v>245</v>
      </c>
      <c r="AS263" s="795"/>
      <c r="AT263" s="795"/>
      <c r="AU263" s="795"/>
      <c r="AV263" s="795"/>
      <c r="AW263" s="795">
        <v>0</v>
      </c>
      <c r="AX263" s="794" t="s">
        <v>43</v>
      </c>
      <c r="AY263" s="799" t="s">
        <v>139</v>
      </c>
      <c r="AZ263" s="795">
        <v>0</v>
      </c>
      <c r="BA263" s="795">
        <v>0</v>
      </c>
      <c r="BB263" s="795">
        <v>0</v>
      </c>
      <c r="BC263" s="523"/>
      <c r="BD263" s="523"/>
      <c r="BE263" s="794"/>
      <c r="BF263" s="795">
        <v>0</v>
      </c>
      <c r="BG263" s="795"/>
      <c r="BH263" s="795">
        <v>0</v>
      </c>
      <c r="BI263" s="795">
        <v>1</v>
      </c>
      <c r="BJ263" s="795"/>
      <c r="BK263" s="795">
        <v>1</v>
      </c>
      <c r="BL263" s="795">
        <v>2</v>
      </c>
      <c r="BM263" s="795"/>
      <c r="BN263" s="795"/>
      <c r="BO263" s="794"/>
      <c r="BP263" s="801"/>
      <c r="BQ263" s="800"/>
      <c r="BR263" s="794"/>
      <c r="BS263" s="472"/>
      <c r="BT263" s="472"/>
      <c r="BU263" s="720"/>
      <c r="BV263" s="472"/>
      <c r="BW263" s="523"/>
      <c r="BX263" s="523"/>
      <c r="BY263" s="523"/>
      <c r="BZ263" s="802" t="str">
        <f>IFERROR(WWWW[[#This Row],['#_Water sources passed]]/WWWW[[#This Row],['#_Water sources tested for fecal coliform ]],"no test")</f>
        <v>no test</v>
      </c>
      <c r="CA263" s="800" t="str">
        <f>IFERROR(WWWW[[#This Row],['#_Household passed]]/WWWW[[#This Row],['#_Household water samples tested for fecal coliform]],"no test")</f>
        <v>no test</v>
      </c>
      <c r="CB263" s="801" t="str">
        <f>IF(AND(WWWW[[#This Row],[% of water sources passed]]="no test",WWWW[[#This Row],[% Household passed]]="no test"),"No Test","Tested")</f>
        <v>No Test</v>
      </c>
      <c r="CC263" s="801">
        <f>WWWW[[#This Row],['#_Constructed/existing protected hand dug well]]-WWWW[[#This Row],['#_Non-functional protected hand dug well]]</f>
        <v>0</v>
      </c>
      <c r="CD263" s="801">
        <f>(WWWW[[#This Row],['#_Constructed/Existing tube wells/boreholes/handpumps_WASH_agency]]+WWWW[[#This Row],['#_Non-Cluster partner water tube-wells/boreholes/handpumps]])-WWWW[[#This Row],['#_Non-functional tube wells/boreholes/handpumps]]</f>
        <v>0</v>
      </c>
      <c r="CE263" s="801">
        <f>WWWW[[#This Row],['#_Constructed/Existingwater storage tank with gravity fed reticulation system]]-WWWW[[#This Row],['#_Non-functional storage tank gravity fed reticulation system]]</f>
        <v>0</v>
      </c>
      <c r="CF263" s="801">
        <f>(WWWW[[#This Row],['#_Water_Liters_supplied_by_Water boating or water trucking]]/90)/15</f>
        <v>0</v>
      </c>
      <c r="CG263" s="801">
        <f>WWWW[[#This Row],['#_Water_Liters_from_Constructed/Existing water distribution system from river or natural spring]]/90/15</f>
        <v>0</v>
      </c>
      <c r="CH263" s="473">
        <f>WWWW[[#This Row],['#_of water points in TLS/CFS /THF]]*500</f>
        <v>0</v>
      </c>
      <c r="CI26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6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63" s="800">
        <f>IF(WWWW[[#This Row],[Location Type 1]]="Village",WWWW[[#This Row],[Access to safe drinking water for Village]],WWWW[[#This Row],[Access to safe drinking water for Camp]])</f>
        <v>0</v>
      </c>
      <c r="CL263" s="798">
        <f>WWWW[[#This Row],[%Equitable and continuous access to sufficient quantity of safe drinking water]]*WWWW[[#This Row],[Total PoP ]]</f>
        <v>0</v>
      </c>
      <c r="CM263" s="800">
        <f>IF((WWWW[[#This Row],['#_Constructed/Existing protected/fenced ponds]]*250)/WWWW[[#This Row],[Total PoP ]]&gt;1,1,(WWWW[[#This Row],['#_Constructed/Existing protected/fenced ponds]]*250)/WWWW[[#This Row],[Total PoP ]])</f>
        <v>0</v>
      </c>
      <c r="CN263" s="798">
        <f>WWWW[[#This Row],[% Access to unimproved water points]]*WWWW[[#This Row],[Total PoP ]]</f>
        <v>0</v>
      </c>
      <c r="CO26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6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63" s="798">
        <f>WWWW[[#This Row],[HRP1]]/500</f>
        <v>0</v>
      </c>
      <c r="CR263" s="803">
        <f>1-WWWW[[#This Row],[% Equitable and continuous access to sufficient quantity of domestic water]]</f>
        <v>1</v>
      </c>
      <c r="CS263" s="798">
        <f>WWWW[[#This Row],[%equitable and continuous access to sufficient quantity of safe drinking and domestic water''s GAP]]*WWWW[[#This Row],[Total PoP ]]</f>
        <v>31</v>
      </c>
      <c r="CT263" s="801">
        <f>IF(WWWW[[#This Row],[Total required water points]]-WWWW[[#This Row],['#Water points coverage]]&lt;0,0,WWWW[[#This Row],[Total required water points]]-WWWW[[#This Row],['#Water points coverage]])</f>
        <v>1</v>
      </c>
      <c r="CU263" s="801">
        <f>ROUND(IF(WWWW[[#This Row],[Total PoP ]]&lt;500,1,WWWW[[#This Row],[Total PoP ]]/500),0)</f>
        <v>1</v>
      </c>
      <c r="CV263" s="801">
        <f>(WWWW[[#This Row],['#_Constructed latrines_by_WASHAgencies]]+WWWW[[#This Row],['#_Non Cluster partner latrines]])-WWWW[[#This Row],['#_Non-functional latrines]]</f>
        <v>2</v>
      </c>
      <c r="CW263" s="804">
        <f>WWWW[[#This Row],[HRP2]]/WWWW[[#This Row],[Total PoP ]]</f>
        <v>1</v>
      </c>
      <c r="CX26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CY26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3" s="473">
        <f>IF(WWWW[[#This Row],['# of functional latrines in THF supported by WASH partners during the reporting period2]]="",0,WWWW[[#This Row],['# of functional latrines in THF supported by WASH partners during the reporting period2]]*50)</f>
        <v>0</v>
      </c>
      <c r="DB263" s="473">
        <f>WWWW[[#This Row],['# students access to functioning school latrines_HRP5]]+WWWW[[#This Row],['# People access to functioning latrines in THF_HRP5]]</f>
        <v>0</v>
      </c>
      <c r="DC263" s="801">
        <f>ROUND(IF(WWWW[[#This Row],[Location Type 1]]="camp",WWWW[[#This Row],[Total PoP ]]/20,IF(WWWW[[#This Row],[Location Type 1]]="Temporary Location",WWWW[[#This Row],[Total PoP ]]/50,(WWWW[[#This Row],[Total PoP ]]/6))),0)</f>
        <v>2</v>
      </c>
      <c r="DD263" s="801">
        <f>IF(WWWW[[#This Row],[Total required Latrines]]-(WWWW[[#This Row],['#_Constructed latrines_by_WASHAgencies]]+WWWW[[#This Row],['#_Non Cluster partner latrines]])&lt;0,0,WWWW[[#This Row],[Total required Latrines]]-(WWWW[[#This Row],['#_Constructed latrines_by_WASHAgencies]]+WWWW[[#This Row],['#_Non Cluster partner latrines]]))</f>
        <v>0</v>
      </c>
      <c r="DE263" s="803">
        <f>1-WWWW[[#This Row],[% people access to functioning Latrine]]</f>
        <v>0</v>
      </c>
      <c r="DF263" s="802">
        <f>IF(OR(WWWW[[#This Row],['#_Non-functional latrines]]="",WWWW[[#This Row],['#_Non-functional latrines]]=0),0,WWWW[[#This Row],['#_Non-functional latrines]]/(WWWW[[#This Row],['#_Constructed latrines_by_WASHAgencies]]+WWWW[[#This Row],['#_Non Cluster partner latrines]]))</f>
        <v>0</v>
      </c>
      <c r="DG263" s="798">
        <f>IF(500*(WWWW[[#This Row],['#_male hygiene promoters]]+WWWW[[#This Row],['#_female hygiene promoters]])&gt;WWWW[[#This Row],[Total PoP ]],WWWW[[#This Row],[Total PoP ]],500*(WWWW[[#This Row],['#_male hygiene promoters]]+WWWW[[#This Row],['#_female hygiene promoters]]))</f>
        <v>31</v>
      </c>
      <c r="DH26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3" s="801">
        <f>IF(WWWW[[#This Row],['# People with access to soap]]&gt;WWWW[[#This Row],['# People with access to Sanity Pads]],WWWW[[#This Row],['# People with access to soap]],WWWW[[#This Row],['# People with access to Sanity Pads]])</f>
        <v>0</v>
      </c>
      <c r="DK263" s="801">
        <f>IF(WWWW[[#This Row],['# people reached by regular dedicated hygiene promotion_5]]&gt;WWWW[[#This Row],['# People received regular supply of hygiene items_6]],WWWW[[#This Row],['# people reached by regular dedicated hygiene promotion_5]],WWWW[[#This Row],['# People received regular supply of hygiene items_6]])</f>
        <v>31</v>
      </c>
      <c r="DL263" s="803">
        <f>IF(WWWW[[#This Row],[HRP3]]/WWWW[[#This Row],[Total PoP ]]&gt;1,1,WWWW[[#This Row],[HRP3]]/WWWW[[#This Row],[Total PoP ]])</f>
        <v>1</v>
      </c>
      <c r="DM263" s="802">
        <f>1-WWWW[[#This Row],[Hygiene Coverage%]]</f>
        <v>0</v>
      </c>
      <c r="DN263" s="800">
        <f>WWWW[[#This Row],['# people reached by regular dedicated hygiene promotion_5]]/WWWW[[#This Row],[Total PoP ]]</f>
        <v>1</v>
      </c>
      <c r="DO26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3" s="801">
        <f>WWWW[[#This Row],['#_Constructed/Existing hand washing stations]]-WWWW[[#This Row],['#_Non-Functional_hand_washing_stations]]</f>
        <v>0</v>
      </c>
      <c r="DR263" s="798">
        <f>IF(WWWW[[#This Row],['# Functional hand washing stations during reporting period]]*20&gt;WWWW[[#This Row],[Total HH]],WWWW[[#This Row],[Total HH]],WWWW[[#This Row],['# Functional hand washing stations during reporting period]]*20)</f>
        <v>0</v>
      </c>
      <c r="DS263" s="798">
        <f>IF(WWWW[[#This Row],[Is sufficient soap available for TLS? (Yes/No)]]="yes",WWWW[[#This Row],['#_Constructed/Existing hand washing stations at TLS]],0)</f>
        <v>0</v>
      </c>
      <c r="DT263" s="479">
        <f>IF(WWWW[[#This Row],['# Functional hand washing stations during reporting period]]*100&gt;WWWW[[#This Row],[Total PoP ]],WWWW[[#This Row],[Total PoP ]],WWWW[[#This Row],['# Functional hand washing stations during reporting period]]*100)</f>
        <v>0</v>
      </c>
      <c r="DU263" s="479" t="str">
        <f>IF(OR(WWWW[[#This Row],['#_students at TLS_CFS]]="",WWWW[[#This Row],['#_students at TLS_CFS]]=0),"No","Yes")</f>
        <v>No</v>
      </c>
      <c r="DV26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3" s="794" t="str">
        <f>VLOOKUP(WWWW[[#This Row],[Site Name]],SiteDB6[[Site Name]:[CCCM Management]],6,FALSE)</f>
        <v>Yes</v>
      </c>
      <c r="DZ263" s="794" t="str">
        <f>VLOOKUP(WWWW[[#This Row],[Site Name]],SiteDB6[[Site Name]:[CCCM Focal Agency]],7,FALSE)</f>
        <v>Shalom</v>
      </c>
      <c r="EA263" s="794" t="str">
        <f>VLOOKUP(WWWW[[#This Row],[Site Name]],SiteDB6[[Site Name]:[Location Type 1]],9,FALSE)</f>
        <v>Camp</v>
      </c>
      <c r="EB263" s="794" t="str">
        <f>VLOOKUP(WWWW[[#This Row],[Site Name]],SiteDB6[[Site Name]:[Type of Accommodation]],10,FALSE)</f>
        <v>Camp like setting</v>
      </c>
      <c r="EC263" s="794" t="str">
        <f>VLOOKUP(WWWW[[#This Row],[Site Name]],SiteDB6[[Site Name]:[Ethnic or GCA/NGCA]],11,FALSE)</f>
        <v>GCA</v>
      </c>
      <c r="ED263" s="794">
        <f>VLOOKUP(WWWW[[#This Row],[Site Name]],SiteDB6[[Site Name]:[Lat]],12,FALSE)</f>
        <v>25.582065</v>
      </c>
      <c r="EE263" s="794">
        <f>VLOOKUP(WWWW[[#This Row],[Site Name]],SiteDB6[[Site Name]:[Long]],13,FALSE)</f>
        <v>96.283377000000002</v>
      </c>
      <c r="EF263" s="794" t="str">
        <f>VLOOKUP(WWWW[[#This Row],[Site Name]],SiteDB6[[Site Name]:[Pcode]],3,FALSE)</f>
        <v>MMR001CMP109</v>
      </c>
      <c r="EG263" s="799" t="str">
        <f t="shared" si="5"/>
        <v>Covered</v>
      </c>
      <c r="EH263" s="799" t="str">
        <f>VLOOKUP(WWWW[[#This Row],[Site Name]],Site_DB!$C$389:$D$1120,2,FALSE)</f>
        <v>cccm_2019OCT</v>
      </c>
    </row>
    <row r="264" spans="1:138" hidden="1">
      <c r="A264" s="792" t="s">
        <v>3262</v>
      </c>
      <c r="B264" s="792" t="s">
        <v>245</v>
      </c>
      <c r="C264" s="793" t="s">
        <v>245</v>
      </c>
      <c r="D264" s="793" t="s">
        <v>310</v>
      </c>
      <c r="E264" s="793" t="s">
        <v>39</v>
      </c>
      <c r="F264" s="793" t="s">
        <v>151</v>
      </c>
      <c r="G264" s="721" t="str">
        <f>VLOOKUP(WWWW[[#This Row],[Site Name]],SiteDB6[[Site Name]:[Location Type]],8,FALSE)</f>
        <v>Camp</v>
      </c>
      <c r="H264" s="404" t="s">
        <v>255</v>
      </c>
      <c r="I264" s="795">
        <v>70</v>
      </c>
      <c r="J264" s="795">
        <v>377</v>
      </c>
      <c r="K264" s="796">
        <v>43313</v>
      </c>
      <c r="L264" s="797">
        <v>44043</v>
      </c>
      <c r="M264" s="795"/>
      <c r="N264" s="795">
        <v>1</v>
      </c>
      <c r="O264" s="795"/>
      <c r="P264" s="795"/>
      <c r="Q264" s="798" t="s">
        <v>43</v>
      </c>
      <c r="R264" s="795">
        <v>4</v>
      </c>
      <c r="S264" s="795">
        <v>4</v>
      </c>
      <c r="T264" s="523">
        <v>0</v>
      </c>
      <c r="U264" s="795"/>
      <c r="V264" s="795"/>
      <c r="W264" s="795">
        <v>0</v>
      </c>
      <c r="X264" s="795">
        <v>0</v>
      </c>
      <c r="Y264" s="795"/>
      <c r="Z264" s="795"/>
      <c r="AA264" s="795">
        <v>0</v>
      </c>
      <c r="AB264" s="795"/>
      <c r="AC264" s="795"/>
      <c r="AD264" s="795">
        <v>0</v>
      </c>
      <c r="AE264" s="795">
        <v>0</v>
      </c>
      <c r="AF264" s="795">
        <v>0</v>
      </c>
      <c r="AG264" s="795">
        <v>0</v>
      </c>
      <c r="AH264" s="795">
        <v>0</v>
      </c>
      <c r="AI264" s="795"/>
      <c r="AJ264" s="795"/>
      <c r="AK264" s="795"/>
      <c r="AL264" s="795"/>
      <c r="AM264" s="795">
        <v>0</v>
      </c>
      <c r="AN264" s="795">
        <v>0</v>
      </c>
      <c r="AO264" s="799"/>
      <c r="AP264" s="795">
        <v>22</v>
      </c>
      <c r="AQ264" s="795">
        <v>0</v>
      </c>
      <c r="AR264" s="800" t="s">
        <v>245</v>
      </c>
      <c r="AS264" s="795"/>
      <c r="AT264" s="795"/>
      <c r="AU264" s="795"/>
      <c r="AV264" s="795"/>
      <c r="AW264" s="795">
        <v>0</v>
      </c>
      <c r="AX264" s="794" t="s">
        <v>43</v>
      </c>
      <c r="AY264" s="799" t="s">
        <v>140</v>
      </c>
      <c r="AZ264" s="795">
        <v>0</v>
      </c>
      <c r="BA264" s="795">
        <v>1</v>
      </c>
      <c r="BB264" s="795">
        <v>0</v>
      </c>
      <c r="BC264" s="523"/>
      <c r="BD264" s="523"/>
      <c r="BE264" s="794"/>
      <c r="BF264" s="795">
        <v>8</v>
      </c>
      <c r="BG264" s="795">
        <v>4</v>
      </c>
      <c r="BH264" s="795">
        <v>0</v>
      </c>
      <c r="BI264" s="795">
        <v>3</v>
      </c>
      <c r="BJ264" s="795"/>
      <c r="BK264" s="795">
        <v>2</v>
      </c>
      <c r="BL264" s="795">
        <v>3</v>
      </c>
      <c r="BM264" s="795"/>
      <c r="BN264" s="795"/>
      <c r="BO264" s="794"/>
      <c r="BP264" s="801"/>
      <c r="BQ264" s="800"/>
      <c r="BR264" s="794"/>
      <c r="BS264" s="472"/>
      <c r="BT264" s="472"/>
      <c r="BU264" s="720"/>
      <c r="BV264" s="472"/>
      <c r="BW264" s="523"/>
      <c r="BX264" s="523"/>
      <c r="BY264" s="523"/>
      <c r="BZ264" s="802" t="str">
        <f>IFERROR(WWWW[[#This Row],['#_Water sources passed]]/WWWW[[#This Row],['#_Water sources tested for fecal coliform ]],"no test")</f>
        <v>no test</v>
      </c>
      <c r="CA264" s="800" t="str">
        <f>IFERROR(WWWW[[#This Row],['#_Household passed]]/WWWW[[#This Row],['#_Household water samples tested for fecal coliform]],"no test")</f>
        <v>no test</v>
      </c>
      <c r="CB264" s="801" t="str">
        <f>IF(AND(WWWW[[#This Row],[% of water sources passed]]="no test",WWWW[[#This Row],[% Household passed]]="no test"),"No Test","Tested")</f>
        <v>No Test</v>
      </c>
      <c r="CC264" s="801">
        <f>WWWW[[#This Row],['#_Constructed/existing protected hand dug well]]-WWWW[[#This Row],['#_Non-functional protected hand dug well]]</f>
        <v>0</v>
      </c>
      <c r="CD264" s="801">
        <f>(WWWW[[#This Row],['#_Constructed/Existing tube wells/boreholes/handpumps_WASH_agency]]+WWWW[[#This Row],['#_Non-Cluster partner water tube-wells/boreholes/handpumps]])-WWWW[[#This Row],['#_Non-functional tube wells/boreholes/handpumps]]</f>
        <v>0</v>
      </c>
      <c r="CE264" s="801">
        <f>WWWW[[#This Row],['#_Constructed/Existingwater storage tank with gravity fed reticulation system]]-WWWW[[#This Row],['#_Non-functional storage tank gravity fed reticulation system]]</f>
        <v>0</v>
      </c>
      <c r="CF264" s="801">
        <f>(WWWW[[#This Row],['#_Water_Liters_supplied_by_Water boating or water trucking]]/90)/15</f>
        <v>0</v>
      </c>
      <c r="CG264" s="801">
        <f>WWWW[[#This Row],['#_Water_Liters_from_Constructed/Existing water distribution system from river or natural spring]]/90/15</f>
        <v>0</v>
      </c>
      <c r="CH264" s="473">
        <f>WWWW[[#This Row],['#_of water points in TLS/CFS /THF]]*500</f>
        <v>0</v>
      </c>
      <c r="CI26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6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64" s="800">
        <f>IF(WWWW[[#This Row],[Location Type 1]]="Village",WWWW[[#This Row],[Access to safe drinking water for Village]],WWWW[[#This Row],[Access to safe drinking water for Camp]])</f>
        <v>0</v>
      </c>
      <c r="CL264" s="798">
        <f>WWWW[[#This Row],[%Equitable and continuous access to sufficient quantity of safe drinking water]]*WWWW[[#This Row],[Total PoP ]]</f>
        <v>0</v>
      </c>
      <c r="CM264" s="800">
        <f>IF((WWWW[[#This Row],['#_Constructed/Existing protected/fenced ponds]]*250)/WWWW[[#This Row],[Total PoP ]]&gt;1,1,(WWWW[[#This Row],['#_Constructed/Existing protected/fenced ponds]]*250)/WWWW[[#This Row],[Total PoP ]])</f>
        <v>0</v>
      </c>
      <c r="CN264" s="798">
        <f>WWWW[[#This Row],[% Access to unimproved water points]]*WWWW[[#This Row],[Total PoP ]]</f>
        <v>0</v>
      </c>
      <c r="CO26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6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64" s="798">
        <f>WWWW[[#This Row],[HRP1]]/500</f>
        <v>0</v>
      </c>
      <c r="CR264" s="803">
        <f>1-WWWW[[#This Row],[% Equitable and continuous access to sufficient quantity of domestic water]]</f>
        <v>1</v>
      </c>
      <c r="CS264" s="798">
        <f>WWWW[[#This Row],[%equitable and continuous access to sufficient quantity of safe drinking and domestic water''s GAP]]*WWWW[[#This Row],[Total PoP ]]</f>
        <v>377</v>
      </c>
      <c r="CT264" s="801">
        <f>IF(WWWW[[#This Row],[Total required water points]]-WWWW[[#This Row],['#Water points coverage]]&lt;0,0,WWWW[[#This Row],[Total required water points]]-WWWW[[#This Row],['#Water points coverage]])</f>
        <v>1</v>
      </c>
      <c r="CU264" s="801">
        <f>ROUND(IF(WWWW[[#This Row],[Total PoP ]]&lt;500,1,WWWW[[#This Row],[Total PoP ]]/500),0)</f>
        <v>1</v>
      </c>
      <c r="CV264" s="801">
        <f>(WWWW[[#This Row],['#_Constructed latrines_by_WASHAgencies]]+WWWW[[#This Row],['#_Non Cluster partner latrines]])-WWWW[[#This Row],['#_Non-functional latrines]]</f>
        <v>22</v>
      </c>
      <c r="CW264" s="804">
        <f>WWWW[[#This Row],[HRP2]]/WWWW[[#This Row],[Total PoP ]]</f>
        <v>1</v>
      </c>
      <c r="CX26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377</v>
      </c>
      <c r="CY26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4" s="473">
        <f>IF(WWWW[[#This Row],['# of functional latrines in THF supported by WASH partners during the reporting period2]]="",0,WWWW[[#This Row],['# of functional latrines in THF supported by WASH partners during the reporting period2]]*50)</f>
        <v>0</v>
      </c>
      <c r="DB264" s="473">
        <f>WWWW[[#This Row],['# students access to functioning school latrines_HRP5]]+WWWW[[#This Row],['# People access to functioning latrines in THF_HRP5]]</f>
        <v>0</v>
      </c>
      <c r="DC264" s="801">
        <f>ROUND(IF(WWWW[[#This Row],[Location Type 1]]="camp",WWWW[[#This Row],[Total PoP ]]/20,IF(WWWW[[#This Row],[Location Type 1]]="Temporary Location",WWWW[[#This Row],[Total PoP ]]/50,(WWWW[[#This Row],[Total PoP ]]/6))),0)</f>
        <v>19</v>
      </c>
      <c r="DD264" s="801">
        <f>IF(WWWW[[#This Row],[Total required Latrines]]-(WWWW[[#This Row],['#_Constructed latrines_by_WASHAgencies]]+WWWW[[#This Row],['#_Non Cluster partner latrines]])&lt;0,0,WWWW[[#This Row],[Total required Latrines]]-(WWWW[[#This Row],['#_Constructed latrines_by_WASHAgencies]]+WWWW[[#This Row],['#_Non Cluster partner latrines]]))</f>
        <v>0</v>
      </c>
      <c r="DE264" s="803">
        <f>1-WWWW[[#This Row],[% people access to functioning Latrine]]</f>
        <v>0</v>
      </c>
      <c r="DF264" s="802">
        <f>IF(OR(WWWW[[#This Row],['#_Non-functional latrines]]="",WWWW[[#This Row],['#_Non-functional latrines]]=0),0,WWWW[[#This Row],['#_Non-functional latrines]]/(WWWW[[#This Row],['#_Constructed latrines_by_WASHAgencies]]+WWWW[[#This Row],['#_Non Cluster partner latrines]]))</f>
        <v>0</v>
      </c>
      <c r="DG264" s="798">
        <f>IF(500*(WWWW[[#This Row],['#_male hygiene promoters]]+WWWW[[#This Row],['#_female hygiene promoters]])&gt;WWWW[[#This Row],[Total PoP ]],WWWW[[#This Row],[Total PoP ]],500*(WWWW[[#This Row],['#_male hygiene promoters]]+WWWW[[#This Row],['#_female hygiene promoters]]))</f>
        <v>377</v>
      </c>
      <c r="DH26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4" s="801">
        <f>IF(WWWW[[#This Row],['# People with access to soap]]&gt;WWWW[[#This Row],['# People with access to Sanity Pads]],WWWW[[#This Row],['# People with access to soap]],WWWW[[#This Row],['# People with access to Sanity Pads]])</f>
        <v>0</v>
      </c>
      <c r="DK264" s="801">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L264" s="803">
        <f>IF(WWWW[[#This Row],[HRP3]]/WWWW[[#This Row],[Total PoP ]]&gt;1,1,WWWW[[#This Row],[HRP3]]/WWWW[[#This Row],[Total PoP ]])</f>
        <v>1</v>
      </c>
      <c r="DM264" s="802">
        <f>1-WWWW[[#This Row],[Hygiene Coverage%]]</f>
        <v>0</v>
      </c>
      <c r="DN264" s="800">
        <f>WWWW[[#This Row],['# people reached by regular dedicated hygiene promotion_5]]/WWWW[[#This Row],[Total PoP ]]</f>
        <v>1</v>
      </c>
      <c r="DO26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4" s="801">
        <f>WWWW[[#This Row],['#_Constructed/Existing hand washing stations]]-WWWW[[#This Row],['#_Non-Functional_hand_washing_stations]]</f>
        <v>4</v>
      </c>
      <c r="DR264" s="798">
        <f>IF(WWWW[[#This Row],['# Functional hand washing stations during reporting period]]*20&gt;WWWW[[#This Row],[Total HH]],WWWW[[#This Row],[Total HH]],WWWW[[#This Row],['# Functional hand washing stations during reporting period]]*20)</f>
        <v>70</v>
      </c>
      <c r="DS264" s="798">
        <f>IF(WWWW[[#This Row],[Is sufficient soap available for TLS? (Yes/No)]]="yes",WWWW[[#This Row],['#_Constructed/Existing hand washing stations at TLS]],0)</f>
        <v>0</v>
      </c>
      <c r="DT264" s="479">
        <f>IF(WWWW[[#This Row],['# Functional hand washing stations during reporting period]]*100&gt;WWWW[[#This Row],[Total PoP ]],WWWW[[#This Row],[Total PoP ]],WWWW[[#This Row],['# Functional hand washing stations during reporting period]]*100)</f>
        <v>377</v>
      </c>
      <c r="DU264" s="479" t="str">
        <f>IF(OR(WWWW[[#This Row],['#_students at TLS_CFS]]="",WWWW[[#This Row],['#_students at TLS_CFS]]=0),"No","Yes")</f>
        <v>No</v>
      </c>
      <c r="DV26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4" s="794" t="str">
        <f>VLOOKUP(WWWW[[#This Row],[Site Name]],SiteDB6[[Site Name]:[CCCM Management]],6,FALSE)</f>
        <v>Yes</v>
      </c>
      <c r="DZ264" s="794" t="str">
        <f>VLOOKUP(WWWW[[#This Row],[Site Name]],SiteDB6[[Site Name]:[CCCM Focal Agency]],7,FALSE)</f>
        <v>Shalom</v>
      </c>
      <c r="EA264" s="794" t="str">
        <f>VLOOKUP(WWWW[[#This Row],[Site Name]],SiteDB6[[Site Name]:[Location Type 1]],9,FALSE)</f>
        <v>Camp</v>
      </c>
      <c r="EB264" s="794" t="str">
        <f>VLOOKUP(WWWW[[#This Row],[Site Name]],SiteDB6[[Site Name]:[Type of Accommodation]],10,FALSE)</f>
        <v>Camp</v>
      </c>
      <c r="EC264" s="794" t="str">
        <f>VLOOKUP(WWWW[[#This Row],[Site Name]],SiteDB6[[Site Name]:[Ethnic or GCA/NGCA]],11,FALSE)</f>
        <v>GCA</v>
      </c>
      <c r="ED264" s="794">
        <f>VLOOKUP(WWWW[[#This Row],[Site Name]],SiteDB6[[Site Name]:[Lat]],12,FALSE)</f>
        <v>25.637309999999999</v>
      </c>
      <c r="EE264" s="794">
        <f>VLOOKUP(WWWW[[#This Row],[Site Name]],SiteDB6[[Site Name]:[Long]],13,FALSE)</f>
        <v>96.35257</v>
      </c>
      <c r="EF264" s="794" t="str">
        <f>VLOOKUP(WWWW[[#This Row],[Site Name]],SiteDB6[[Site Name]:[Pcode]],3,FALSE)</f>
        <v>MMR001CMP174</v>
      </c>
      <c r="EG264" s="799" t="str">
        <f t="shared" si="5"/>
        <v>Covered</v>
      </c>
      <c r="EH264" s="799" t="str">
        <f>VLOOKUP(WWWW[[#This Row],[Site Name]],Site_DB!$C$389:$D$1120,2,FALSE)</f>
        <v>cccm_2019OCT</v>
      </c>
    </row>
    <row r="265" spans="1:138" hidden="1">
      <c r="A265" s="792" t="s">
        <v>3262</v>
      </c>
      <c r="B265" s="792" t="s">
        <v>144</v>
      </c>
      <c r="C265" s="793" t="s">
        <v>144</v>
      </c>
      <c r="D265" s="793" t="s">
        <v>3277</v>
      </c>
      <c r="E265" s="793" t="s">
        <v>39</v>
      </c>
      <c r="F265" s="793" t="s">
        <v>145</v>
      </c>
      <c r="G265" s="721" t="str">
        <f>VLOOKUP(WWWW[[#This Row],[Site Name]],SiteDB6[[Site Name]:[Location Type]],8,FALSE)</f>
        <v>Camp</v>
      </c>
      <c r="H265" s="404" t="s">
        <v>182</v>
      </c>
      <c r="I265" s="795">
        <v>43</v>
      </c>
      <c r="J265" s="795">
        <v>191</v>
      </c>
      <c r="K265" s="796" t="s">
        <v>3278</v>
      </c>
      <c r="L265" s="797" t="s">
        <v>3279</v>
      </c>
      <c r="M265" s="795"/>
      <c r="N265" s="795"/>
      <c r="O265" s="795"/>
      <c r="P265" s="795"/>
      <c r="Q265" s="798" t="s">
        <v>43</v>
      </c>
      <c r="R265" s="795"/>
      <c r="S265" s="795">
        <v>4</v>
      </c>
      <c r="T265" s="523">
        <v>1</v>
      </c>
      <c r="U265" s="795"/>
      <c r="V265" s="795"/>
      <c r="W265" s="795">
        <v>0</v>
      </c>
      <c r="X265" s="795"/>
      <c r="Y265" s="795"/>
      <c r="Z265" s="795"/>
      <c r="AA265" s="795"/>
      <c r="AB265" s="795"/>
      <c r="AC265" s="795"/>
      <c r="AD265" s="795"/>
      <c r="AE265" s="795"/>
      <c r="AF265" s="795"/>
      <c r="AG265" s="795"/>
      <c r="AH265" s="795">
        <v>2</v>
      </c>
      <c r="AI265" s="795"/>
      <c r="AJ265" s="795"/>
      <c r="AK265" s="795"/>
      <c r="AL265" s="795"/>
      <c r="AM265" s="795"/>
      <c r="AN265" s="795"/>
      <c r="AO265" s="799"/>
      <c r="AP265" s="795">
        <v>10</v>
      </c>
      <c r="AQ265" s="795"/>
      <c r="AR265" s="800"/>
      <c r="AS265" s="795"/>
      <c r="AT265" s="795"/>
      <c r="AU265" s="795"/>
      <c r="AV265" s="795"/>
      <c r="AW265" s="795">
        <v>10</v>
      </c>
      <c r="AX265" s="794" t="s">
        <v>43</v>
      </c>
      <c r="AY265" s="799" t="s">
        <v>140</v>
      </c>
      <c r="AZ265" s="795"/>
      <c r="BA265" s="795"/>
      <c r="BB265" s="795"/>
      <c r="BC265" s="523"/>
      <c r="BD265" s="523"/>
      <c r="BE265" s="794"/>
      <c r="BF265" s="795">
        <v>2</v>
      </c>
      <c r="BG265" s="795"/>
      <c r="BH265" s="795"/>
      <c r="BI265" s="795">
        <v>2</v>
      </c>
      <c r="BJ265" s="795"/>
      <c r="BK265" s="795"/>
      <c r="BL265" s="795">
        <v>1</v>
      </c>
      <c r="BM265" s="795"/>
      <c r="BN265" s="795"/>
      <c r="BO265" s="794"/>
      <c r="BP265" s="801"/>
      <c r="BQ265" s="800"/>
      <c r="BR265" s="794"/>
      <c r="BS265" s="472"/>
      <c r="BT265" s="472"/>
      <c r="BU265" s="474"/>
      <c r="BV265" s="472"/>
      <c r="BW265" s="523"/>
      <c r="BX265" s="523"/>
      <c r="BY265" s="523"/>
      <c r="BZ265" s="802" t="str">
        <f>IFERROR(WWWW[[#This Row],['#_Water sources passed]]/WWWW[[#This Row],['#_Water sources tested for fecal coliform ]],"no test")</f>
        <v>no test</v>
      </c>
      <c r="CA265" s="800" t="str">
        <f>IFERROR(WWWW[[#This Row],['#_Household passed]]/WWWW[[#This Row],['#_Household water samples tested for fecal coliform]],"no test")</f>
        <v>no test</v>
      </c>
      <c r="CB265" s="801" t="str">
        <f>IF(AND(WWWW[[#This Row],[% of water sources passed]]="no test",WWWW[[#This Row],[% Household passed]]="no test"),"No Test","Tested")</f>
        <v>No Test</v>
      </c>
      <c r="CC265" s="801">
        <f>WWWW[[#This Row],['#_Constructed/existing protected hand dug well]]-WWWW[[#This Row],['#_Non-functional protected hand dug well]]</f>
        <v>1</v>
      </c>
      <c r="CD265" s="801">
        <f>(WWWW[[#This Row],['#_Constructed/Existing tube wells/boreholes/handpumps_WASH_agency]]+WWWW[[#This Row],['#_Non-Cluster partner water tube-wells/boreholes/handpumps]])-WWWW[[#This Row],['#_Non-functional tube wells/boreholes/handpumps]]</f>
        <v>0</v>
      </c>
      <c r="CE265" s="801">
        <f>WWWW[[#This Row],['#_Constructed/Existingwater storage tank with gravity fed reticulation system]]-WWWW[[#This Row],['#_Non-functional storage tank gravity fed reticulation system]]</f>
        <v>0</v>
      </c>
      <c r="CF265" s="801">
        <f>(WWWW[[#This Row],['#_Water_Liters_supplied_by_Water boating or water trucking]]/90)/15</f>
        <v>0</v>
      </c>
      <c r="CG265" s="801">
        <f>WWWW[[#This Row],['#_Water_Liters_from_Constructed/Existing water distribution system from river or natural spring]]/90/15</f>
        <v>0</v>
      </c>
      <c r="CH265" s="473">
        <f>WWWW[[#This Row],['#_of water points in TLS/CFS /THF]]*500</f>
        <v>0</v>
      </c>
      <c r="CI26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5" s="800">
        <f>IF(WWWW[[#This Row],[Location Type 1]]="Village",WWWW[[#This Row],[Access to safe drinking water for Village]],WWWW[[#This Row],[Access to safe drinking water for Camp]])</f>
        <v>1</v>
      </c>
      <c r="CL265" s="798">
        <f>WWWW[[#This Row],[%Equitable and continuous access to sufficient quantity of safe drinking water]]*WWWW[[#This Row],[Total PoP ]]</f>
        <v>191</v>
      </c>
      <c r="CM265" s="800">
        <f>IF((WWWW[[#This Row],['#_Constructed/Existing protected/fenced ponds]]*250)/WWWW[[#This Row],[Total PoP ]]&gt;1,1,(WWWW[[#This Row],['#_Constructed/Existing protected/fenced ponds]]*250)/WWWW[[#This Row],[Total PoP ]])</f>
        <v>0</v>
      </c>
      <c r="CN265" s="798">
        <f>WWWW[[#This Row],[% Access to unimproved water points]]*WWWW[[#This Row],[Total PoP ]]</f>
        <v>0</v>
      </c>
      <c r="CO26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Q265" s="798">
        <f>WWWW[[#This Row],[HRP1]]/500</f>
        <v>0.38200000000000001</v>
      </c>
      <c r="CR265" s="803">
        <f>1-WWWW[[#This Row],[% Equitable and continuous access to sufficient quantity of domestic water]]</f>
        <v>0</v>
      </c>
      <c r="CS265" s="798">
        <f>WWWW[[#This Row],[%equitable and continuous access to sufficient quantity of safe drinking and domestic water''s GAP]]*WWWW[[#This Row],[Total PoP ]]</f>
        <v>0</v>
      </c>
      <c r="CT265" s="801">
        <f>IF(WWWW[[#This Row],[Total required water points]]-WWWW[[#This Row],['#Water points coverage]]&lt;0,0,WWWW[[#This Row],[Total required water points]]-WWWW[[#This Row],['#Water points coverage]])</f>
        <v>0.61799999999999999</v>
      </c>
      <c r="CU265" s="801">
        <f>ROUND(IF(WWWW[[#This Row],[Total PoP ]]&lt;500,1,WWWW[[#This Row],[Total PoP ]]/500),0)</f>
        <v>1</v>
      </c>
      <c r="CV265" s="801">
        <f>(WWWW[[#This Row],['#_Constructed latrines_by_WASHAgencies]]+WWWW[[#This Row],['#_Non Cluster partner latrines]])-WWWW[[#This Row],['#_Non-functional latrines]]</f>
        <v>10</v>
      </c>
      <c r="CW265" s="804">
        <f>WWWW[[#This Row],[HRP2]]/WWWW[[#This Row],[Total PoP ]]</f>
        <v>1</v>
      </c>
      <c r="CX26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CY26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5" s="473">
        <f>IF(WWWW[[#This Row],['# of functional latrines in THF supported by WASH partners during the reporting period2]]="",0,WWWW[[#This Row],['# of functional latrines in THF supported by WASH partners during the reporting period2]]*50)</f>
        <v>0</v>
      </c>
      <c r="DB265" s="473">
        <f>WWWW[[#This Row],['# students access to functioning school latrines_HRP5]]+WWWW[[#This Row],['# People access to functioning latrines in THF_HRP5]]</f>
        <v>0</v>
      </c>
      <c r="DC265" s="801">
        <f>ROUND(IF(WWWW[[#This Row],[Location Type 1]]="camp",WWWW[[#This Row],[Total PoP ]]/20,IF(WWWW[[#This Row],[Location Type 1]]="Temporary Location",WWWW[[#This Row],[Total PoP ]]/50,(WWWW[[#This Row],[Total PoP ]]/6))),0)</f>
        <v>10</v>
      </c>
      <c r="DD265" s="801">
        <f>IF(WWWW[[#This Row],[Total required Latrines]]-(WWWW[[#This Row],['#_Constructed latrines_by_WASHAgencies]]+WWWW[[#This Row],['#_Non Cluster partner latrines]])&lt;0,0,WWWW[[#This Row],[Total required Latrines]]-(WWWW[[#This Row],['#_Constructed latrines_by_WASHAgencies]]+WWWW[[#This Row],['#_Non Cluster partner latrines]]))</f>
        <v>0</v>
      </c>
      <c r="DE265" s="803">
        <f>1-WWWW[[#This Row],[% people access to functioning Latrine]]</f>
        <v>0</v>
      </c>
      <c r="DF265" s="802">
        <f>IF(OR(WWWW[[#This Row],['#_Non-functional latrines]]="",WWWW[[#This Row],['#_Non-functional latrines]]=0),0,WWWW[[#This Row],['#_Non-functional latrines]]/(WWWW[[#This Row],['#_Constructed latrines_by_WASHAgencies]]+WWWW[[#This Row],['#_Non Cluster partner latrines]]))</f>
        <v>0</v>
      </c>
      <c r="DG265" s="798">
        <f>IF(500*(WWWW[[#This Row],['#_male hygiene promoters]]+WWWW[[#This Row],['#_female hygiene promoters]])&gt;WWWW[[#This Row],[Total PoP ]],WWWW[[#This Row],[Total PoP ]],500*(WWWW[[#This Row],['#_male hygiene promoters]]+WWWW[[#This Row],['#_female hygiene promoters]]))</f>
        <v>191</v>
      </c>
      <c r="DH26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5" s="801">
        <f>IF(WWWW[[#This Row],['# People with access to soap]]&gt;WWWW[[#This Row],['# People with access to Sanity Pads]],WWWW[[#This Row],['# People with access to soap]],WWWW[[#This Row],['# People with access to Sanity Pads]])</f>
        <v>0</v>
      </c>
      <c r="DK265" s="801">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L265" s="803">
        <f>IF(WWWW[[#This Row],[HRP3]]/WWWW[[#This Row],[Total PoP ]]&gt;1,1,WWWW[[#This Row],[HRP3]]/WWWW[[#This Row],[Total PoP ]])</f>
        <v>1</v>
      </c>
      <c r="DM265" s="802">
        <f>1-WWWW[[#This Row],[Hygiene Coverage%]]</f>
        <v>0</v>
      </c>
      <c r="DN265" s="800">
        <f>WWWW[[#This Row],['# people reached by regular dedicated hygiene promotion_5]]/WWWW[[#This Row],[Total PoP ]]</f>
        <v>1</v>
      </c>
      <c r="DO26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5" s="801">
        <f>WWWW[[#This Row],['#_Constructed/Existing hand washing stations]]-WWWW[[#This Row],['#_Non-Functional_hand_washing_stations]]</f>
        <v>2</v>
      </c>
      <c r="DR265" s="798">
        <f>IF(WWWW[[#This Row],['# Functional hand washing stations during reporting period]]*20&gt;WWWW[[#This Row],[Total HH]],WWWW[[#This Row],[Total HH]],WWWW[[#This Row],['# Functional hand washing stations during reporting period]]*20)</f>
        <v>40</v>
      </c>
      <c r="DS265" s="798">
        <f>IF(WWWW[[#This Row],[Is sufficient soap available for TLS? (Yes/No)]]="yes",WWWW[[#This Row],['#_Constructed/Existing hand washing stations at TLS]],0)</f>
        <v>0</v>
      </c>
      <c r="DT265" s="479">
        <f>IF(WWWW[[#This Row],['# Functional hand washing stations during reporting period]]*100&gt;WWWW[[#This Row],[Total PoP ]],WWWW[[#This Row],[Total PoP ]],WWWW[[#This Row],['# Functional hand washing stations during reporting period]]*100)</f>
        <v>191</v>
      </c>
      <c r="DU265" s="479" t="str">
        <f>IF(OR(WWWW[[#This Row],['#_students at TLS_CFS]]="",WWWW[[#This Row],['#_students at TLS_CFS]]=0),"No","Yes")</f>
        <v>No</v>
      </c>
      <c r="DV26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5" s="794" t="str">
        <f>VLOOKUP(WWWW[[#This Row],[Site Name]],SiteDB6[[Site Name]:[CCCM Management]],6,FALSE)</f>
        <v>Yes</v>
      </c>
      <c r="DZ265" s="794" t="str">
        <f>VLOOKUP(WWWW[[#This Row],[Site Name]],SiteDB6[[Site Name]:[CCCM Focal Agency]],7,FALSE)</f>
        <v>KBC-MYT</v>
      </c>
      <c r="EA265" s="794" t="str">
        <f>VLOOKUP(WWWW[[#This Row],[Site Name]],SiteDB6[[Site Name]:[Location Type 1]],9,FALSE)</f>
        <v>Camp</v>
      </c>
      <c r="EB265" s="794" t="str">
        <f>VLOOKUP(WWWW[[#This Row],[Site Name]],SiteDB6[[Site Name]:[Type of Accommodation]],10,FALSE)</f>
        <v>Camp</v>
      </c>
      <c r="EC265" s="794" t="str">
        <f>VLOOKUP(WWWW[[#This Row],[Site Name]],SiteDB6[[Site Name]:[Ethnic or GCA/NGCA]],11,FALSE)</f>
        <v>GCA</v>
      </c>
      <c r="ED265" s="794">
        <f>VLOOKUP(WWWW[[#This Row],[Site Name]],SiteDB6[[Site Name]:[Lat]],12,FALSE)</f>
        <v>25.409612685185198</v>
      </c>
      <c r="EE265" s="794">
        <f>VLOOKUP(WWWW[[#This Row],[Site Name]],SiteDB6[[Site Name]:[Long]],13,FALSE)</f>
        <v>97.426536944444507</v>
      </c>
      <c r="EF265" s="794" t="str">
        <f>VLOOKUP(WWWW[[#This Row],[Site Name]],SiteDB6[[Site Name]:[Pcode]],3,FALSE)</f>
        <v>MMR001CMP039</v>
      </c>
      <c r="EG265" s="799" t="str">
        <f t="shared" si="5"/>
        <v>Covered</v>
      </c>
      <c r="EH265" s="799" t="str">
        <f>VLOOKUP(WWWW[[#This Row],[Site Name]],Site_DB!$C$389:$D$1120,2,FALSE)</f>
        <v>cccm_2019OCT</v>
      </c>
    </row>
    <row r="266" spans="1:138" hidden="1">
      <c r="A266" s="792" t="s">
        <v>3262</v>
      </c>
      <c r="B266" s="792" t="s">
        <v>38</v>
      </c>
      <c r="C266" s="793" t="s">
        <v>38</v>
      </c>
      <c r="D266" s="793" t="s">
        <v>717</v>
      </c>
      <c r="E266" s="793" t="s">
        <v>39</v>
      </c>
      <c r="F266" s="793" t="s">
        <v>40</v>
      </c>
      <c r="G266" s="721" t="str">
        <f>VLOOKUP(WWWW[[#This Row],[Site Name]],SiteDB6[[Site Name]:[Location Type]],8,FALSE)</f>
        <v>Camp</v>
      </c>
      <c r="H266" s="793" t="s">
        <v>41</v>
      </c>
      <c r="I266" s="795">
        <v>154</v>
      </c>
      <c r="J266" s="795">
        <v>694</v>
      </c>
      <c r="K266" s="796">
        <v>43525</v>
      </c>
      <c r="L266" s="797">
        <v>44196</v>
      </c>
      <c r="M266" s="795"/>
      <c r="N266" s="795"/>
      <c r="O266" s="795"/>
      <c r="P266" s="795"/>
      <c r="Q266" s="798" t="s">
        <v>43</v>
      </c>
      <c r="R266" s="795"/>
      <c r="S266" s="795">
        <v>4</v>
      </c>
      <c r="T266" s="523">
        <v>1</v>
      </c>
      <c r="U266" s="795"/>
      <c r="V266" s="795"/>
      <c r="W266" s="795">
        <v>3</v>
      </c>
      <c r="X266" s="795">
        <v>2</v>
      </c>
      <c r="Y266" s="795"/>
      <c r="Z266" s="795"/>
      <c r="AA266" s="795"/>
      <c r="AB266" s="795"/>
      <c r="AC266" s="795"/>
      <c r="AD266" s="795"/>
      <c r="AE266" s="795"/>
      <c r="AF266" s="795"/>
      <c r="AG266" s="795"/>
      <c r="AH266" s="795"/>
      <c r="AI266" s="795"/>
      <c r="AJ266" s="795"/>
      <c r="AK266" s="795"/>
      <c r="AL266" s="795"/>
      <c r="AM266" s="795"/>
      <c r="AN266" s="795"/>
      <c r="AO266" s="799"/>
      <c r="AP266" s="795">
        <v>61</v>
      </c>
      <c r="AQ266" s="795"/>
      <c r="AR266" s="800"/>
      <c r="AS266" s="795"/>
      <c r="AT266" s="795"/>
      <c r="AU266" s="795"/>
      <c r="AV266" s="795"/>
      <c r="AW266" s="795"/>
      <c r="AX266" s="794" t="s">
        <v>43</v>
      </c>
      <c r="AY266" s="799" t="s">
        <v>140</v>
      </c>
      <c r="AZ266" s="795"/>
      <c r="BA266" s="795"/>
      <c r="BB266" s="795"/>
      <c r="BC266" s="523"/>
      <c r="BD266" s="523"/>
      <c r="BE266" s="794"/>
      <c r="BF266" s="795">
        <v>10</v>
      </c>
      <c r="BG266" s="795"/>
      <c r="BH266" s="795"/>
      <c r="BI266" s="795">
        <v>7</v>
      </c>
      <c r="BJ266" s="795"/>
      <c r="BK266" s="795"/>
      <c r="BL266" s="795">
        <v>2</v>
      </c>
      <c r="BM266" s="795"/>
      <c r="BN266" s="795"/>
      <c r="BO266" s="794"/>
      <c r="BP266" s="801"/>
      <c r="BQ266" s="800"/>
      <c r="BR266" s="794"/>
      <c r="BS266" s="472"/>
      <c r="BT266" s="472"/>
      <c r="BU266" s="523"/>
      <c r="BV266" s="472"/>
      <c r="BW266" s="523"/>
      <c r="BX266" s="523"/>
      <c r="BY266" s="523"/>
      <c r="BZ266" s="802" t="str">
        <f>IFERROR(WWWW[[#This Row],['#_Water sources passed]]/WWWW[[#This Row],['#_Water sources tested for fecal coliform ]],"no test")</f>
        <v>no test</v>
      </c>
      <c r="CA266" s="800" t="str">
        <f>IFERROR(WWWW[[#This Row],['#_Household passed]]/WWWW[[#This Row],['#_Household water samples tested for fecal coliform]],"no test")</f>
        <v>no test</v>
      </c>
      <c r="CB266" s="801" t="str">
        <f>IF(AND(WWWW[[#This Row],[% of water sources passed]]="no test",WWWW[[#This Row],[% Household passed]]="no test"),"No Test","Tested")</f>
        <v>No Test</v>
      </c>
      <c r="CC266" s="801">
        <f>WWWW[[#This Row],['#_Constructed/existing protected hand dug well]]-WWWW[[#This Row],['#_Non-functional protected hand dug well]]</f>
        <v>1</v>
      </c>
      <c r="CD266" s="801">
        <f>(WWWW[[#This Row],['#_Constructed/Existing tube wells/boreholes/handpumps_WASH_agency]]+WWWW[[#This Row],['#_Non-Cluster partner water tube-wells/boreholes/handpumps]])-WWWW[[#This Row],['#_Non-functional tube wells/boreholes/handpumps]]</f>
        <v>5</v>
      </c>
      <c r="CE266" s="801">
        <f>WWWW[[#This Row],['#_Constructed/Existingwater storage tank with gravity fed reticulation system]]-WWWW[[#This Row],['#_Non-functional storage tank gravity fed reticulation system]]</f>
        <v>0</v>
      </c>
      <c r="CF266" s="801">
        <f>(WWWW[[#This Row],['#_Water_Liters_supplied_by_Water boating or water trucking]]/90)/15</f>
        <v>0</v>
      </c>
      <c r="CG266" s="801">
        <f>WWWW[[#This Row],['#_Water_Liters_from_Constructed/Existing water distribution system from river or natural spring]]/90/15</f>
        <v>0</v>
      </c>
      <c r="CH266" s="473">
        <f>WWWW[[#This Row],['#_of water points in TLS/CFS /THF]]*500</f>
        <v>0</v>
      </c>
      <c r="CI26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6" s="800">
        <f>IF(WWWW[[#This Row],[Location Type 1]]="Village",WWWW[[#This Row],[Access to safe drinking water for Village]],WWWW[[#This Row],[Access to safe drinking water for Camp]])</f>
        <v>1</v>
      </c>
      <c r="CL266" s="798">
        <f>WWWW[[#This Row],[%Equitable and continuous access to sufficient quantity of safe drinking water]]*WWWW[[#This Row],[Total PoP ]]</f>
        <v>694</v>
      </c>
      <c r="CM266" s="800">
        <f>IF((WWWW[[#This Row],['#_Constructed/Existing protected/fenced ponds]]*250)/WWWW[[#This Row],[Total PoP ]]&gt;1,1,(WWWW[[#This Row],['#_Constructed/Existing protected/fenced ponds]]*250)/WWWW[[#This Row],[Total PoP ]])</f>
        <v>0</v>
      </c>
      <c r="CN266" s="798">
        <f>WWWW[[#This Row],[% Access to unimproved water points]]*WWWW[[#This Row],[Total PoP ]]</f>
        <v>0</v>
      </c>
      <c r="CO26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Q266" s="798">
        <f>WWWW[[#This Row],[HRP1]]/500</f>
        <v>1.3879999999999999</v>
      </c>
      <c r="CR266" s="803">
        <f>1-WWWW[[#This Row],[% Equitable and continuous access to sufficient quantity of domestic water]]</f>
        <v>0</v>
      </c>
      <c r="CS266" s="798">
        <f>WWWW[[#This Row],[%equitable and continuous access to sufficient quantity of safe drinking and domestic water''s GAP]]*WWWW[[#This Row],[Total PoP ]]</f>
        <v>0</v>
      </c>
      <c r="CT266" s="801">
        <f>IF(WWWW[[#This Row],[Total required water points]]-WWWW[[#This Row],['#Water points coverage]]&lt;0,0,WWWW[[#This Row],[Total required water points]]-WWWW[[#This Row],['#Water points coverage]])</f>
        <v>0</v>
      </c>
      <c r="CU266" s="801">
        <f>ROUND(IF(WWWW[[#This Row],[Total PoP ]]&lt;500,1,WWWW[[#This Row],[Total PoP ]]/500),0)</f>
        <v>1</v>
      </c>
      <c r="CV266" s="801">
        <f>(WWWW[[#This Row],['#_Constructed latrines_by_WASHAgencies]]+WWWW[[#This Row],['#_Non Cluster partner latrines]])-WWWW[[#This Row],['#_Non-functional latrines]]</f>
        <v>61</v>
      </c>
      <c r="CW266" s="804">
        <f>WWWW[[#This Row],[HRP2]]/WWWW[[#This Row],[Total PoP ]]</f>
        <v>1</v>
      </c>
      <c r="CX26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CY26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6" s="473">
        <f>IF(WWWW[[#This Row],['# of functional latrines in THF supported by WASH partners during the reporting period2]]="",0,WWWW[[#This Row],['# of functional latrines in THF supported by WASH partners during the reporting period2]]*50)</f>
        <v>0</v>
      </c>
      <c r="DB266" s="473">
        <f>WWWW[[#This Row],['# students access to functioning school latrines_HRP5]]+WWWW[[#This Row],['# People access to functioning latrines in THF_HRP5]]</f>
        <v>0</v>
      </c>
      <c r="DC266" s="801">
        <f>ROUND(IF(WWWW[[#This Row],[Location Type 1]]="camp",WWWW[[#This Row],[Total PoP ]]/20,IF(WWWW[[#This Row],[Location Type 1]]="Temporary Location",WWWW[[#This Row],[Total PoP ]]/50,(WWWW[[#This Row],[Total PoP ]]/6))),0)</f>
        <v>35</v>
      </c>
      <c r="DD266" s="801">
        <f>IF(WWWW[[#This Row],[Total required Latrines]]-(WWWW[[#This Row],['#_Constructed latrines_by_WASHAgencies]]+WWWW[[#This Row],['#_Non Cluster partner latrines]])&lt;0,0,WWWW[[#This Row],[Total required Latrines]]-(WWWW[[#This Row],['#_Constructed latrines_by_WASHAgencies]]+WWWW[[#This Row],['#_Non Cluster partner latrines]]))</f>
        <v>0</v>
      </c>
      <c r="DE266" s="803">
        <f>1-WWWW[[#This Row],[% people access to functioning Latrine]]</f>
        <v>0</v>
      </c>
      <c r="DF266" s="802">
        <f>IF(OR(WWWW[[#This Row],['#_Non-functional latrines]]="",WWWW[[#This Row],['#_Non-functional latrines]]=0),0,WWWW[[#This Row],['#_Non-functional latrines]]/(WWWW[[#This Row],['#_Constructed latrines_by_WASHAgencies]]+WWWW[[#This Row],['#_Non Cluster partner latrines]]))</f>
        <v>0</v>
      </c>
      <c r="DG266" s="798">
        <f>IF(500*(WWWW[[#This Row],['#_male hygiene promoters]]+WWWW[[#This Row],['#_female hygiene promoters]])&gt;WWWW[[#This Row],[Total PoP ]],WWWW[[#This Row],[Total PoP ]],500*(WWWW[[#This Row],['#_male hygiene promoters]]+WWWW[[#This Row],['#_female hygiene promoters]]))</f>
        <v>694</v>
      </c>
      <c r="DH26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6" s="801">
        <f>IF(WWWW[[#This Row],['# People with access to soap]]&gt;WWWW[[#This Row],['# People with access to Sanity Pads]],WWWW[[#This Row],['# People with access to soap]],WWWW[[#This Row],['# People with access to Sanity Pads]])</f>
        <v>0</v>
      </c>
      <c r="DK266" s="801">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L266" s="803">
        <f>IF(WWWW[[#This Row],[HRP3]]/WWWW[[#This Row],[Total PoP ]]&gt;1,1,WWWW[[#This Row],[HRP3]]/WWWW[[#This Row],[Total PoP ]])</f>
        <v>1</v>
      </c>
      <c r="DM266" s="802">
        <f>1-WWWW[[#This Row],[Hygiene Coverage%]]</f>
        <v>0</v>
      </c>
      <c r="DN266" s="800">
        <f>WWWW[[#This Row],['# people reached by regular dedicated hygiene promotion_5]]/WWWW[[#This Row],[Total PoP ]]</f>
        <v>1</v>
      </c>
      <c r="DO26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6" s="801">
        <f>WWWW[[#This Row],['#_Constructed/Existing hand washing stations]]-WWWW[[#This Row],['#_Non-Functional_hand_washing_stations]]</f>
        <v>10</v>
      </c>
      <c r="DR266" s="798">
        <f>IF(WWWW[[#This Row],['# Functional hand washing stations during reporting period]]*20&gt;WWWW[[#This Row],[Total HH]],WWWW[[#This Row],[Total HH]],WWWW[[#This Row],['# Functional hand washing stations during reporting period]]*20)</f>
        <v>154</v>
      </c>
      <c r="DS266" s="798">
        <f>IF(WWWW[[#This Row],[Is sufficient soap available for TLS? (Yes/No)]]="yes",WWWW[[#This Row],['#_Constructed/Existing hand washing stations at TLS]],0)</f>
        <v>0</v>
      </c>
      <c r="DT266" s="479">
        <f>IF(WWWW[[#This Row],['# Functional hand washing stations during reporting period]]*100&gt;WWWW[[#This Row],[Total PoP ]],WWWW[[#This Row],[Total PoP ]],WWWW[[#This Row],['# Functional hand washing stations during reporting period]]*100)</f>
        <v>694</v>
      </c>
      <c r="DU266" s="479" t="str">
        <f>IF(OR(WWWW[[#This Row],['#_students at TLS_CFS]]="",WWWW[[#This Row],['#_students at TLS_CFS]]=0),"No","Yes")</f>
        <v>No</v>
      </c>
      <c r="DV26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6" s="794" t="str">
        <f>VLOOKUP(WWWW[[#This Row],[Site Name]],SiteDB6[[Site Name]:[CCCM Management]],6,FALSE)</f>
        <v>Yes</v>
      </c>
      <c r="DZ266" s="794" t="str">
        <f>VLOOKUP(WWWW[[#This Row],[Site Name]],SiteDB6[[Site Name]:[CCCM Focal Agency]],7,FALSE)</f>
        <v>KMSS-BMO</v>
      </c>
      <c r="EA266" s="794" t="str">
        <f>VLOOKUP(WWWW[[#This Row],[Site Name]],SiteDB6[[Site Name]:[Location Type 1]],9,FALSE)</f>
        <v>Camp</v>
      </c>
      <c r="EB266" s="794" t="str">
        <f>VLOOKUP(WWWW[[#This Row],[Site Name]],SiteDB6[[Site Name]:[Type of Accommodation]],10,FALSE)</f>
        <v>Camp</v>
      </c>
      <c r="EC266" s="794" t="str">
        <f>VLOOKUP(WWWW[[#This Row],[Site Name]],SiteDB6[[Site Name]:[Ethnic or GCA/NGCA]],11,FALSE)</f>
        <v>GCA</v>
      </c>
      <c r="ED266" s="794">
        <f>VLOOKUP(WWWW[[#This Row],[Site Name]],SiteDB6[[Site Name]:[Lat]],12,FALSE)</f>
        <v>23.976571</v>
      </c>
      <c r="EE266" s="794">
        <f>VLOOKUP(WWWW[[#This Row],[Site Name]],SiteDB6[[Site Name]:[Long]],13,FALSE)</f>
        <v>97.227057000000002</v>
      </c>
      <c r="EF266" s="794" t="str">
        <f>VLOOKUP(WWWW[[#This Row],[Site Name]],SiteDB6[[Site Name]:[Pcode]],3,FALSE)</f>
        <v>MMR001CMP223</v>
      </c>
      <c r="EG266" s="799" t="str">
        <f t="shared" si="5"/>
        <v>Covered</v>
      </c>
      <c r="EH266" s="799" t="str">
        <f>VLOOKUP(WWWW[[#This Row],[Site Name]],Site_DB!$C$389:$D$1120,2,FALSE)</f>
        <v>cccm_2019OCT</v>
      </c>
    </row>
    <row r="267" spans="1:138" hidden="1">
      <c r="A267" s="792" t="s">
        <v>3262</v>
      </c>
      <c r="B267" s="792" t="s">
        <v>38</v>
      </c>
      <c r="C267" s="793" t="s">
        <v>38</v>
      </c>
      <c r="D267" s="793" t="s">
        <v>244</v>
      </c>
      <c r="E267" s="793" t="s">
        <v>39</v>
      </c>
      <c r="F267" s="793" t="s">
        <v>155</v>
      </c>
      <c r="G267" s="721" t="str">
        <f>VLOOKUP(WWWW[[#This Row],[Site Name]],SiteDB6[[Site Name]:[Location Type]],8,FALSE)</f>
        <v>Camp</v>
      </c>
      <c r="H267" s="793" t="s">
        <v>2002</v>
      </c>
      <c r="I267" s="795">
        <v>45</v>
      </c>
      <c r="J267" s="795">
        <v>235</v>
      </c>
      <c r="K267" s="796">
        <v>43810</v>
      </c>
      <c r="L267" s="797">
        <v>44175</v>
      </c>
      <c r="M267" s="523">
        <v>24</v>
      </c>
      <c r="N267" s="523">
        <v>1</v>
      </c>
      <c r="O267" s="523"/>
      <c r="P267" s="523"/>
      <c r="Q267" s="479" t="s">
        <v>43</v>
      </c>
      <c r="R267" s="795"/>
      <c r="S267" s="795">
        <v>1</v>
      </c>
      <c r="T267" s="523">
        <v>1</v>
      </c>
      <c r="U267" s="795"/>
      <c r="V267" s="795"/>
      <c r="W267" s="795"/>
      <c r="X267" s="795">
        <v>2</v>
      </c>
      <c r="Y267" s="795"/>
      <c r="Z267" s="795"/>
      <c r="AA267" s="795">
        <v>1</v>
      </c>
      <c r="AB267" s="795"/>
      <c r="AC267" s="795"/>
      <c r="AD267" s="795"/>
      <c r="AE267" s="795"/>
      <c r="AF267" s="795"/>
      <c r="AG267" s="795"/>
      <c r="AH267" s="795"/>
      <c r="AI267" s="795">
        <v>1</v>
      </c>
      <c r="AJ267" s="795">
        <v>1</v>
      </c>
      <c r="AK267" s="795"/>
      <c r="AL267" s="795"/>
      <c r="AM267" s="795"/>
      <c r="AN267" s="795"/>
      <c r="AO267" s="404" t="s">
        <v>3143</v>
      </c>
      <c r="AP267" s="795">
        <v>16</v>
      </c>
      <c r="AQ267" s="795"/>
      <c r="AR267" s="800"/>
      <c r="AS267" s="795"/>
      <c r="AT267" s="795">
        <v>6</v>
      </c>
      <c r="AU267" s="795"/>
      <c r="AV267" s="795"/>
      <c r="AW267" s="795"/>
      <c r="AX267" s="794" t="s">
        <v>43</v>
      </c>
      <c r="AY267" s="799" t="s">
        <v>139</v>
      </c>
      <c r="AZ267" s="795"/>
      <c r="BA267" s="795"/>
      <c r="BB267" s="795"/>
      <c r="BC267" s="523"/>
      <c r="BD267" s="523"/>
      <c r="BE267" s="794"/>
      <c r="BF267" s="795"/>
      <c r="BG267" s="795"/>
      <c r="BH267" s="795">
        <v>2</v>
      </c>
      <c r="BI267" s="795">
        <v>2</v>
      </c>
      <c r="BJ267" s="795"/>
      <c r="BK267" s="795">
        <v>1</v>
      </c>
      <c r="BL267" s="795"/>
      <c r="BM267" s="795">
        <v>6</v>
      </c>
      <c r="BN267" s="795"/>
      <c r="BO267" s="794"/>
      <c r="BP267" s="801"/>
      <c r="BQ267" s="800"/>
      <c r="BR267" s="794"/>
      <c r="BS267" s="472"/>
      <c r="BT267" s="472">
        <v>0.45</v>
      </c>
      <c r="BU267" s="523"/>
      <c r="BV267" s="472">
        <v>0.1</v>
      </c>
      <c r="BW267" s="523">
        <v>6</v>
      </c>
      <c r="BX267" s="523">
        <v>6</v>
      </c>
      <c r="BY267" s="523">
        <v>2</v>
      </c>
      <c r="BZ267" s="802">
        <f>IFERROR(WWWW[[#This Row],['#_Water sources passed]]/WWWW[[#This Row],['#_Water sources tested for fecal coliform ]],"no test")</f>
        <v>1</v>
      </c>
      <c r="CA267" s="800" t="str">
        <f>IFERROR(WWWW[[#This Row],['#_Household passed]]/WWWW[[#This Row],['#_Household water samples tested for fecal coliform]],"no test")</f>
        <v>no test</v>
      </c>
      <c r="CB267" s="801" t="str">
        <f>IF(AND(WWWW[[#This Row],[% of water sources passed]]="no test",WWWW[[#This Row],[% Household passed]]="no test"),"No Test","Tested")</f>
        <v>Tested</v>
      </c>
      <c r="CC267" s="801">
        <f>WWWW[[#This Row],['#_Constructed/existing protected hand dug well]]-WWWW[[#This Row],['#_Non-functional protected hand dug well]]</f>
        <v>1</v>
      </c>
      <c r="CD267" s="801">
        <f>(WWWW[[#This Row],['#_Constructed/Existing tube wells/boreholes/handpumps_WASH_agency]]+WWWW[[#This Row],['#_Non-Cluster partner water tube-wells/boreholes/handpumps]])-WWWW[[#This Row],['#_Non-functional tube wells/boreholes/handpumps]]</f>
        <v>2</v>
      </c>
      <c r="CE267" s="801">
        <f>WWWW[[#This Row],['#_Constructed/Existingwater storage tank with gravity fed reticulation system]]-WWWW[[#This Row],['#_Non-functional storage tank gravity fed reticulation system]]</f>
        <v>1</v>
      </c>
      <c r="CF267" s="801">
        <f>(WWWW[[#This Row],['#_Water_Liters_supplied_by_Water boating or water trucking]]/90)/15</f>
        <v>0</v>
      </c>
      <c r="CG267" s="801">
        <f>WWWW[[#This Row],['#_Water_Liters_from_Constructed/Existing water distribution system from river or natural spring]]/90/15</f>
        <v>0</v>
      </c>
      <c r="CH267" s="473">
        <f>WWWW[[#This Row],['#_of water points in TLS/CFS /THF]]*500</f>
        <v>0</v>
      </c>
      <c r="CI26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7" s="800">
        <f>IF(WWWW[[#This Row],[Location Type 1]]="Village",WWWW[[#This Row],[Access to safe drinking water for Village]],WWWW[[#This Row],[Access to safe drinking water for Camp]])</f>
        <v>1</v>
      </c>
      <c r="CL267" s="798">
        <f>WWWW[[#This Row],[%Equitable and continuous access to sufficient quantity of safe drinking water]]*WWWW[[#This Row],[Total PoP ]]</f>
        <v>235</v>
      </c>
      <c r="CM267" s="800">
        <f>IF((WWWW[[#This Row],['#_Constructed/Existing protected/fenced ponds]]*250)/WWWW[[#This Row],[Total PoP ]]&gt;1,1,(WWWW[[#This Row],['#_Constructed/Existing protected/fenced ponds]]*250)/WWWW[[#This Row],[Total PoP ]])</f>
        <v>0</v>
      </c>
      <c r="CN267" s="798">
        <f>WWWW[[#This Row],[% Access to unimproved water points]]*WWWW[[#This Row],[Total PoP ]]</f>
        <v>0</v>
      </c>
      <c r="CO26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267" s="798">
        <f>WWWW[[#This Row],[HRP1]]/500</f>
        <v>0.47</v>
      </c>
      <c r="CR267" s="803">
        <f>1-WWWW[[#This Row],[% Equitable and continuous access to sufficient quantity of domestic water]]</f>
        <v>0</v>
      </c>
      <c r="CS267" s="798">
        <f>WWWW[[#This Row],[%equitable and continuous access to sufficient quantity of safe drinking and domestic water''s GAP]]*WWWW[[#This Row],[Total PoP ]]</f>
        <v>0</v>
      </c>
      <c r="CT267" s="801">
        <f>IF(WWWW[[#This Row],[Total required water points]]-WWWW[[#This Row],['#Water points coverage]]&lt;0,0,WWWW[[#This Row],[Total required water points]]-WWWW[[#This Row],['#Water points coverage]])</f>
        <v>0.53</v>
      </c>
      <c r="CU267" s="801">
        <f>ROUND(IF(WWWW[[#This Row],[Total PoP ]]&lt;500,1,WWWW[[#This Row],[Total PoP ]]/500),0)</f>
        <v>1</v>
      </c>
      <c r="CV267" s="801">
        <f>(WWWW[[#This Row],['#_Constructed latrines_by_WASHAgencies]]+WWWW[[#This Row],['#_Non Cluster partner latrines]])-WWWW[[#This Row],['#_Non-functional latrines]]</f>
        <v>16</v>
      </c>
      <c r="CW267" s="804">
        <f>WWWW[[#This Row],[HRP2]]/WWWW[[#This Row],[Total PoP ]]</f>
        <v>1</v>
      </c>
      <c r="CX26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v>
      </c>
      <c r="CY26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7" s="473">
        <f>IF(WWWW[[#This Row],['# of functional latrines in THF supported by WASH partners during the reporting period2]]="",0,WWWW[[#This Row],['# of functional latrines in THF supported by WASH partners during the reporting period2]]*50)</f>
        <v>0</v>
      </c>
      <c r="DB267" s="473">
        <f>WWWW[[#This Row],['# students access to functioning school latrines_HRP5]]+WWWW[[#This Row],['# People access to functioning latrines in THF_HRP5]]</f>
        <v>0</v>
      </c>
      <c r="DC267" s="801">
        <f>ROUND(IF(WWWW[[#This Row],[Location Type 1]]="camp",WWWW[[#This Row],[Total PoP ]]/20,IF(WWWW[[#This Row],[Location Type 1]]="Temporary Location",WWWW[[#This Row],[Total PoP ]]/50,(WWWW[[#This Row],[Total PoP ]]/6))),0)</f>
        <v>12</v>
      </c>
      <c r="DD267" s="801">
        <f>IF(WWWW[[#This Row],[Total required Latrines]]-(WWWW[[#This Row],['#_Constructed latrines_by_WASHAgencies]]+WWWW[[#This Row],['#_Non Cluster partner latrines]])&lt;0,0,WWWW[[#This Row],[Total required Latrines]]-(WWWW[[#This Row],['#_Constructed latrines_by_WASHAgencies]]+WWWW[[#This Row],['#_Non Cluster partner latrines]]))</f>
        <v>0</v>
      </c>
      <c r="DE267" s="803">
        <f>1-WWWW[[#This Row],[% people access to functioning Latrine]]</f>
        <v>0</v>
      </c>
      <c r="DF267" s="802">
        <f>IF(OR(WWWW[[#This Row],['#_Non-functional latrines]]="",WWWW[[#This Row],['#_Non-functional latrines]]=0),0,WWWW[[#This Row],['#_Non-functional latrines]]/(WWWW[[#This Row],['#_Constructed latrines_by_WASHAgencies]]+WWWW[[#This Row],['#_Non Cluster partner latrines]]))</f>
        <v>0</v>
      </c>
      <c r="DG267" s="798">
        <f>IF(500*(WWWW[[#This Row],['#_male hygiene promoters]]+WWWW[[#This Row],['#_female hygiene promoters]])&gt;WWWW[[#This Row],[Total PoP ]],WWWW[[#This Row],[Total PoP ]],500*(WWWW[[#This Row],['#_male hygiene promoters]]+WWWW[[#This Row],['#_female hygiene promoters]]))</f>
        <v>235</v>
      </c>
      <c r="DH26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26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7" s="801">
        <f>IF(WWWW[[#This Row],['# People with access to soap]]&gt;WWWW[[#This Row],['# People with access to Sanity Pads]],WWWW[[#This Row],['# People with access to soap]],WWWW[[#This Row],['# People with access to Sanity Pads]])</f>
        <v>30</v>
      </c>
      <c r="DK267" s="80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267" s="803">
        <f>IF(WWWW[[#This Row],[HRP3]]/WWWW[[#This Row],[Total PoP ]]&gt;1,1,WWWW[[#This Row],[HRP3]]/WWWW[[#This Row],[Total PoP ]])</f>
        <v>1</v>
      </c>
      <c r="DM267" s="802">
        <f>1-WWWW[[#This Row],[Hygiene Coverage%]]</f>
        <v>0</v>
      </c>
      <c r="DN267" s="800">
        <f>WWWW[[#This Row],['# people reached by regular dedicated hygiene promotion_5]]/WWWW[[#This Row],[Total PoP ]]</f>
        <v>1</v>
      </c>
      <c r="DO26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0.53333333333333333</v>
      </c>
      <c r="DP26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7" s="801">
        <f>WWWW[[#This Row],['#_Constructed/Existing hand washing stations]]-WWWW[[#This Row],['#_Non-Functional_hand_washing_stations]]</f>
        <v>0</v>
      </c>
      <c r="DR267" s="798">
        <f>IF(WWWW[[#This Row],['# Functional hand washing stations during reporting period]]*20&gt;WWWW[[#This Row],[Total HH]],WWWW[[#This Row],[Total HH]],WWWW[[#This Row],['# Functional hand washing stations during reporting period]]*20)</f>
        <v>0</v>
      </c>
      <c r="DS267" s="798">
        <f>IF(WWWW[[#This Row],[Is sufficient soap available for TLS? (Yes/No)]]="yes",WWWW[[#This Row],['#_Constructed/Existing hand washing stations at TLS]],0)</f>
        <v>0</v>
      </c>
      <c r="DT267" s="479">
        <f>IF(WWWW[[#This Row],['# Functional hand washing stations during reporting period]]*100&gt;WWWW[[#This Row],[Total PoP ]],WWWW[[#This Row],[Total PoP ]],WWWW[[#This Row],['# Functional hand washing stations during reporting period]]*100)</f>
        <v>0</v>
      </c>
      <c r="DU267" s="479" t="str">
        <f>IF(OR(WWWW[[#This Row],['#_students at TLS_CFS]]="",WWWW[[#This Row],['#_students at TLS_CFS]]=0),"No","Yes")</f>
        <v>Yes</v>
      </c>
      <c r="DV26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14</v>
      </c>
      <c r="DX2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7" s="794">
        <f>VLOOKUP(WWWW[[#This Row],[Site Name]],SiteDB6[[Site Name]:[CCCM Management]],6,FALSE)</f>
        <v>0</v>
      </c>
      <c r="DZ267" s="794" t="str">
        <f>VLOOKUP(WWWW[[#This Row],[Site Name]],SiteDB6[[Site Name]:[CCCM Focal Agency]],7,FALSE)</f>
        <v>KMSS-MYT</v>
      </c>
      <c r="EA267" s="794" t="str">
        <f>VLOOKUP(WWWW[[#This Row],[Site Name]],SiteDB6[[Site Name]:[Location Type 1]],9,FALSE)</f>
        <v>Camp</v>
      </c>
      <c r="EB267" s="794" t="str">
        <f>VLOOKUP(WWWW[[#This Row],[Site Name]],SiteDB6[[Site Name]:[Type of Accommodation]],10,FALSE)</f>
        <v>Camp</v>
      </c>
      <c r="EC267" s="794" t="str">
        <f>VLOOKUP(WWWW[[#This Row],[Site Name]],SiteDB6[[Site Name]:[Ethnic or GCA/NGCA]],11,FALSE)</f>
        <v>GCA</v>
      </c>
      <c r="ED267" s="794">
        <f>VLOOKUP(WWWW[[#This Row],[Site Name]],SiteDB6[[Site Name]:[Lat]],12,FALSE)</f>
        <v>25.370330525559201</v>
      </c>
      <c r="EE267" s="794">
        <f>VLOOKUP(WWWW[[#This Row],[Site Name]],SiteDB6[[Site Name]:[Long]],13,FALSE)</f>
        <v>97.010629910000006</v>
      </c>
      <c r="EF267" s="794" t="str">
        <f>VLOOKUP(WWWW[[#This Row],[Site Name]],SiteDB6[[Site Name]:[Pcode]],3,FALSE)</f>
        <v>MMR001CMP259</v>
      </c>
      <c r="EG267" s="799" t="str">
        <f t="shared" si="5"/>
        <v>Covered</v>
      </c>
      <c r="EH267" s="799" t="str">
        <f>VLOOKUP(WWWW[[#This Row],[Site Name]],Site_DB!$C$389:$D$1120,2,FALSE)</f>
        <v>cccm_2019OCT</v>
      </c>
    </row>
    <row r="268" spans="1:138" hidden="1">
      <c r="A268" s="792" t="s">
        <v>3262</v>
      </c>
      <c r="B268" s="792" t="s">
        <v>245</v>
      </c>
      <c r="C268" s="793" t="s">
        <v>245</v>
      </c>
      <c r="D268" s="793" t="s">
        <v>310</v>
      </c>
      <c r="E268" s="793" t="s">
        <v>39</v>
      </c>
      <c r="F268" s="793" t="s">
        <v>162</v>
      </c>
      <c r="G268" s="721" t="str">
        <f>VLOOKUP(WWWW[[#This Row],[Site Name]],SiteDB6[[Site Name]:[Location Type]],8,FALSE)</f>
        <v>Camp</v>
      </c>
      <c r="H268" s="404" t="s">
        <v>268</v>
      </c>
      <c r="I268" s="795">
        <v>24</v>
      </c>
      <c r="J268" s="795">
        <v>111</v>
      </c>
      <c r="K268" s="796">
        <v>43313</v>
      </c>
      <c r="L268" s="797">
        <v>44043</v>
      </c>
      <c r="M268" s="795"/>
      <c r="N268" s="795">
        <v>1</v>
      </c>
      <c r="O268" s="795"/>
      <c r="P268" s="795"/>
      <c r="Q268" s="798" t="s">
        <v>43</v>
      </c>
      <c r="R268" s="795">
        <v>1</v>
      </c>
      <c r="S268" s="795">
        <v>3</v>
      </c>
      <c r="T268" s="523">
        <v>1</v>
      </c>
      <c r="U268" s="795"/>
      <c r="V268" s="795"/>
      <c r="W268" s="795">
        <v>0</v>
      </c>
      <c r="X268" s="795">
        <v>1</v>
      </c>
      <c r="Y268" s="795"/>
      <c r="Z268" s="795"/>
      <c r="AA268" s="795"/>
      <c r="AB268" s="795"/>
      <c r="AC268" s="795"/>
      <c r="AD268" s="795"/>
      <c r="AE268" s="795"/>
      <c r="AF268" s="795"/>
      <c r="AG268" s="795"/>
      <c r="AH268" s="795"/>
      <c r="AI268" s="795"/>
      <c r="AJ268" s="795"/>
      <c r="AK268" s="795"/>
      <c r="AL268" s="795"/>
      <c r="AM268" s="795"/>
      <c r="AN268" s="795"/>
      <c r="AO268" s="799"/>
      <c r="AP268" s="795">
        <v>7</v>
      </c>
      <c r="AQ268" s="795">
        <v>5</v>
      </c>
      <c r="AR268" s="800" t="s">
        <v>2915</v>
      </c>
      <c r="AS268" s="795"/>
      <c r="AT268" s="795"/>
      <c r="AU268" s="795"/>
      <c r="AV268" s="795"/>
      <c r="AW268" s="795"/>
      <c r="AX268" s="794" t="s">
        <v>43</v>
      </c>
      <c r="AY268" s="799" t="s">
        <v>1195</v>
      </c>
      <c r="AZ268" s="795"/>
      <c r="BA268" s="795"/>
      <c r="BB268" s="795"/>
      <c r="BC268" s="523"/>
      <c r="BD268" s="523"/>
      <c r="BE268" s="794"/>
      <c r="BF268" s="795">
        <v>4</v>
      </c>
      <c r="BG268" s="795"/>
      <c r="BH268" s="795">
        <v>0</v>
      </c>
      <c r="BI268" s="795">
        <v>1</v>
      </c>
      <c r="BJ268" s="795"/>
      <c r="BK268" s="795">
        <v>0</v>
      </c>
      <c r="BL268" s="795">
        <v>0</v>
      </c>
      <c r="BM268" s="795"/>
      <c r="BN268" s="795"/>
      <c r="BO268" s="794"/>
      <c r="BP268" s="801"/>
      <c r="BQ268" s="800"/>
      <c r="BR268" s="794"/>
      <c r="BS268" s="472"/>
      <c r="BT268" s="472"/>
      <c r="BU268" s="720"/>
      <c r="BV268" s="472"/>
      <c r="BW268" s="523"/>
      <c r="BX268" s="523"/>
      <c r="BY268" s="523"/>
      <c r="BZ268" s="802" t="str">
        <f>IFERROR(WWWW[[#This Row],['#_Water sources passed]]/WWWW[[#This Row],['#_Water sources tested for fecal coliform ]],"no test")</f>
        <v>no test</v>
      </c>
      <c r="CA268" s="800" t="str">
        <f>IFERROR(WWWW[[#This Row],['#_Household passed]]/WWWW[[#This Row],['#_Household water samples tested for fecal coliform]],"no test")</f>
        <v>no test</v>
      </c>
      <c r="CB268" s="801" t="str">
        <f>IF(AND(WWWW[[#This Row],[% of water sources passed]]="no test",WWWW[[#This Row],[% Household passed]]="no test"),"No Test","Tested")</f>
        <v>No Test</v>
      </c>
      <c r="CC268" s="801">
        <f>WWWW[[#This Row],['#_Constructed/existing protected hand dug well]]-WWWW[[#This Row],['#_Non-functional protected hand dug well]]</f>
        <v>1</v>
      </c>
      <c r="CD268" s="801">
        <f>(WWWW[[#This Row],['#_Constructed/Existing tube wells/boreholes/handpumps_WASH_agency]]+WWWW[[#This Row],['#_Non-Cluster partner water tube-wells/boreholes/handpumps]])-WWWW[[#This Row],['#_Non-functional tube wells/boreholes/handpumps]]</f>
        <v>1</v>
      </c>
      <c r="CE268" s="801">
        <f>WWWW[[#This Row],['#_Constructed/Existingwater storage tank with gravity fed reticulation system]]-WWWW[[#This Row],['#_Non-functional storage tank gravity fed reticulation system]]</f>
        <v>0</v>
      </c>
      <c r="CF268" s="801">
        <f>(WWWW[[#This Row],['#_Water_Liters_supplied_by_Water boating or water trucking]]/90)/15</f>
        <v>0</v>
      </c>
      <c r="CG268" s="801">
        <f>WWWW[[#This Row],['#_Water_Liters_from_Constructed/Existing water distribution system from river or natural spring]]/90/15</f>
        <v>0</v>
      </c>
      <c r="CH268" s="473">
        <f>WWWW[[#This Row],['#_of water points in TLS/CFS /THF]]*500</f>
        <v>0</v>
      </c>
      <c r="CI26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8" s="800">
        <f>IF(WWWW[[#This Row],[Location Type 1]]="Village",WWWW[[#This Row],[Access to safe drinking water for Village]],WWWW[[#This Row],[Access to safe drinking water for Camp]])</f>
        <v>1</v>
      </c>
      <c r="CL268" s="798">
        <f>WWWW[[#This Row],[%Equitable and continuous access to sufficient quantity of safe drinking water]]*WWWW[[#This Row],[Total PoP ]]</f>
        <v>111</v>
      </c>
      <c r="CM268" s="800">
        <f>IF((WWWW[[#This Row],['#_Constructed/Existing protected/fenced ponds]]*250)/WWWW[[#This Row],[Total PoP ]]&gt;1,1,(WWWW[[#This Row],['#_Constructed/Existing protected/fenced ponds]]*250)/WWWW[[#This Row],[Total PoP ]])</f>
        <v>0</v>
      </c>
      <c r="CN268" s="798">
        <f>WWWW[[#This Row],[% Access to unimproved water points]]*WWWW[[#This Row],[Total PoP ]]</f>
        <v>0</v>
      </c>
      <c r="CO26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268" s="798">
        <f>WWWW[[#This Row],[HRP1]]/500</f>
        <v>0.222</v>
      </c>
      <c r="CR268" s="803">
        <f>1-WWWW[[#This Row],[% Equitable and continuous access to sufficient quantity of domestic water]]</f>
        <v>0</v>
      </c>
      <c r="CS268" s="798">
        <f>WWWW[[#This Row],[%equitable and continuous access to sufficient quantity of safe drinking and domestic water''s GAP]]*WWWW[[#This Row],[Total PoP ]]</f>
        <v>0</v>
      </c>
      <c r="CT268" s="801">
        <f>IF(WWWW[[#This Row],[Total required water points]]-WWWW[[#This Row],['#Water points coverage]]&lt;0,0,WWWW[[#This Row],[Total required water points]]-WWWW[[#This Row],['#Water points coverage]])</f>
        <v>0.77800000000000002</v>
      </c>
      <c r="CU268" s="801">
        <f>ROUND(IF(WWWW[[#This Row],[Total PoP ]]&lt;500,1,WWWW[[#This Row],[Total PoP ]]/500),0)</f>
        <v>1</v>
      </c>
      <c r="CV268" s="801">
        <f>(WWWW[[#This Row],['#_Constructed latrines_by_WASHAgencies]]+WWWW[[#This Row],['#_Non Cluster partner latrines]])-WWWW[[#This Row],['#_Non-functional latrines]]</f>
        <v>12</v>
      </c>
      <c r="CW268" s="804">
        <f>WWWW[[#This Row],[HRP2]]/WWWW[[#This Row],[Total PoP ]]</f>
        <v>1</v>
      </c>
      <c r="CX26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26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8" s="473">
        <f>IF(WWWW[[#This Row],['# of functional latrines in THF supported by WASH partners during the reporting period2]]="",0,WWWW[[#This Row],['# of functional latrines in THF supported by WASH partners during the reporting period2]]*50)</f>
        <v>0</v>
      </c>
      <c r="DB268" s="473">
        <f>WWWW[[#This Row],['# students access to functioning school latrines_HRP5]]+WWWW[[#This Row],['# People access to functioning latrines in THF_HRP5]]</f>
        <v>0</v>
      </c>
      <c r="DC268" s="801">
        <f>ROUND(IF(WWWW[[#This Row],[Location Type 1]]="camp",WWWW[[#This Row],[Total PoP ]]/20,IF(WWWW[[#This Row],[Location Type 1]]="Temporary Location",WWWW[[#This Row],[Total PoP ]]/50,(WWWW[[#This Row],[Total PoP ]]/6))),0)</f>
        <v>6</v>
      </c>
      <c r="DD268" s="801">
        <f>IF(WWWW[[#This Row],[Total required Latrines]]-(WWWW[[#This Row],['#_Constructed latrines_by_WASHAgencies]]+WWWW[[#This Row],['#_Non Cluster partner latrines]])&lt;0,0,WWWW[[#This Row],[Total required Latrines]]-(WWWW[[#This Row],['#_Constructed latrines_by_WASHAgencies]]+WWWW[[#This Row],['#_Non Cluster partner latrines]]))</f>
        <v>0</v>
      </c>
      <c r="DE268" s="803">
        <f>1-WWWW[[#This Row],[% people access to functioning Latrine]]</f>
        <v>0</v>
      </c>
      <c r="DF268" s="802">
        <f>IF(OR(WWWW[[#This Row],['#_Non-functional latrines]]="",WWWW[[#This Row],['#_Non-functional latrines]]=0),0,WWWW[[#This Row],['#_Non-functional latrines]]/(WWWW[[#This Row],['#_Constructed latrines_by_WASHAgencies]]+WWWW[[#This Row],['#_Non Cluster partner latrines]]))</f>
        <v>0</v>
      </c>
      <c r="DG268" s="798">
        <f>IF(500*(WWWW[[#This Row],['#_male hygiene promoters]]+WWWW[[#This Row],['#_female hygiene promoters]])&gt;WWWW[[#This Row],[Total PoP ]],WWWW[[#This Row],[Total PoP ]],500*(WWWW[[#This Row],['#_male hygiene promoters]]+WWWW[[#This Row],['#_female hygiene promoters]]))</f>
        <v>0</v>
      </c>
      <c r="DH26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8" s="801">
        <f>IF(WWWW[[#This Row],['# People with access to soap]]&gt;WWWW[[#This Row],['# People with access to Sanity Pads]],WWWW[[#This Row],['# People with access to soap]],WWWW[[#This Row],['# People with access to Sanity Pads]])</f>
        <v>0</v>
      </c>
      <c r="DK26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68" s="803">
        <f>IF(WWWW[[#This Row],[HRP3]]/WWWW[[#This Row],[Total PoP ]]&gt;1,1,WWWW[[#This Row],[HRP3]]/WWWW[[#This Row],[Total PoP ]])</f>
        <v>0</v>
      </c>
      <c r="DM268" s="802">
        <f>1-WWWW[[#This Row],[Hygiene Coverage%]]</f>
        <v>1</v>
      </c>
      <c r="DN268" s="800">
        <f>WWWW[[#This Row],['# people reached by regular dedicated hygiene promotion_5]]/WWWW[[#This Row],[Total PoP ]]</f>
        <v>0</v>
      </c>
      <c r="DO26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8" s="801">
        <f>WWWW[[#This Row],['#_Constructed/Existing hand washing stations]]-WWWW[[#This Row],['#_Non-Functional_hand_washing_stations]]</f>
        <v>4</v>
      </c>
      <c r="DR268" s="798">
        <f>IF(WWWW[[#This Row],['# Functional hand washing stations during reporting period]]*20&gt;WWWW[[#This Row],[Total HH]],WWWW[[#This Row],[Total HH]],WWWW[[#This Row],['# Functional hand washing stations during reporting period]]*20)</f>
        <v>24</v>
      </c>
      <c r="DS268" s="798">
        <f>IF(WWWW[[#This Row],[Is sufficient soap available for TLS? (Yes/No)]]="yes",WWWW[[#This Row],['#_Constructed/Existing hand washing stations at TLS]],0)</f>
        <v>0</v>
      </c>
      <c r="DT268" s="479">
        <f>IF(WWWW[[#This Row],['# Functional hand washing stations during reporting period]]*100&gt;WWWW[[#This Row],[Total PoP ]],WWWW[[#This Row],[Total PoP ]],WWWW[[#This Row],['# Functional hand washing stations during reporting period]]*100)</f>
        <v>111</v>
      </c>
      <c r="DU268" s="479" t="str">
        <f>IF(OR(WWWW[[#This Row],['#_students at TLS_CFS]]="",WWWW[[#This Row],['#_students at TLS_CFS]]=0),"No","Yes")</f>
        <v>No</v>
      </c>
      <c r="DV26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8" s="794" t="str">
        <f>VLOOKUP(WWWW[[#This Row],[Site Name]],SiteDB6[[Site Name]:[CCCM Management]],6,FALSE)</f>
        <v>Yes</v>
      </c>
      <c r="DZ268" s="794" t="str">
        <f>VLOOKUP(WWWW[[#This Row],[Site Name]],SiteDB6[[Site Name]:[CCCM Focal Agency]],7,FALSE)</f>
        <v>Shalom</v>
      </c>
      <c r="EA268" s="794" t="str">
        <f>VLOOKUP(WWWW[[#This Row],[Site Name]],SiteDB6[[Site Name]:[Location Type 1]],9,FALSE)</f>
        <v>Camp</v>
      </c>
      <c r="EB268" s="794" t="str">
        <f>VLOOKUP(WWWW[[#This Row],[Site Name]],SiteDB6[[Site Name]:[Type of Accommodation]],10,FALSE)</f>
        <v>Camp</v>
      </c>
      <c r="EC268" s="794" t="str">
        <f>VLOOKUP(WWWW[[#This Row],[Site Name]],SiteDB6[[Site Name]:[Ethnic or GCA/NGCA]],11,FALSE)</f>
        <v>GCA</v>
      </c>
      <c r="ED268" s="794">
        <f>VLOOKUP(WWWW[[#This Row],[Site Name]],SiteDB6[[Site Name]:[Lat]],12,FALSE)</f>
        <v>25.423817</v>
      </c>
      <c r="EE268" s="794">
        <f>VLOOKUP(WWWW[[#This Row],[Site Name]],SiteDB6[[Site Name]:[Long]],13,FALSE)</f>
        <v>97.418004999999994</v>
      </c>
      <c r="EF268" s="794" t="str">
        <f>VLOOKUP(WWWW[[#This Row],[Site Name]],SiteDB6[[Site Name]:[Pcode]],3,FALSE)</f>
        <v>MMR001CMP007</v>
      </c>
      <c r="EG268" s="799" t="str">
        <f t="shared" si="5"/>
        <v>Covered</v>
      </c>
      <c r="EH268" s="799" t="str">
        <f>VLOOKUP(WWWW[[#This Row],[Site Name]],Site_DB!$C$389:$D$1120,2,FALSE)</f>
        <v>cccm_2019OCT</v>
      </c>
    </row>
    <row r="269" spans="1:138" hidden="1">
      <c r="A269" s="792" t="s">
        <v>3262</v>
      </c>
      <c r="B269" s="792" t="s">
        <v>144</v>
      </c>
      <c r="C269" s="793" t="s">
        <v>144</v>
      </c>
      <c r="D269" s="793" t="s">
        <v>3277</v>
      </c>
      <c r="E269" s="793" t="s">
        <v>39</v>
      </c>
      <c r="F269" s="793" t="s">
        <v>151</v>
      </c>
      <c r="G269" s="721" t="str">
        <f>VLOOKUP(WWWW[[#This Row],[Site Name]],SiteDB6[[Site Name]:[Location Type]],8,FALSE)</f>
        <v>Camp</v>
      </c>
      <c r="H269" s="793" t="s">
        <v>152</v>
      </c>
      <c r="I269" s="795">
        <v>31</v>
      </c>
      <c r="J269" s="795">
        <v>132</v>
      </c>
      <c r="K269" s="796" t="s">
        <v>3278</v>
      </c>
      <c r="L269" s="797" t="s">
        <v>3279</v>
      </c>
      <c r="M269" s="795"/>
      <c r="N269" s="795"/>
      <c r="O269" s="795"/>
      <c r="P269" s="795"/>
      <c r="Q269" s="798" t="s">
        <v>43</v>
      </c>
      <c r="R269" s="795"/>
      <c r="S269" s="795">
        <v>1</v>
      </c>
      <c r="T269" s="523">
        <v>0</v>
      </c>
      <c r="U269" s="795"/>
      <c r="V269" s="795"/>
      <c r="W269" s="795">
        <v>1</v>
      </c>
      <c r="X269" s="795"/>
      <c r="Y269" s="795"/>
      <c r="Z269" s="795"/>
      <c r="AA269" s="795"/>
      <c r="AB269" s="795"/>
      <c r="AC269" s="795"/>
      <c r="AD269" s="795"/>
      <c r="AE269" s="795"/>
      <c r="AF269" s="795"/>
      <c r="AG269" s="795"/>
      <c r="AH269" s="795">
        <v>0</v>
      </c>
      <c r="AI269" s="795"/>
      <c r="AJ269" s="795"/>
      <c r="AK269" s="795"/>
      <c r="AL269" s="795"/>
      <c r="AM269" s="795"/>
      <c r="AN269" s="795"/>
      <c r="AO269" s="799"/>
      <c r="AP269" s="795">
        <v>9</v>
      </c>
      <c r="AQ269" s="795"/>
      <c r="AR269" s="800"/>
      <c r="AS269" s="795"/>
      <c r="AT269" s="795"/>
      <c r="AU269" s="795"/>
      <c r="AV269" s="795"/>
      <c r="AW269" s="795">
        <v>4</v>
      </c>
      <c r="AX269" s="794" t="s">
        <v>43</v>
      </c>
      <c r="AY269" s="799" t="s">
        <v>140</v>
      </c>
      <c r="AZ269" s="795"/>
      <c r="BA269" s="795"/>
      <c r="BB269" s="795"/>
      <c r="BC269" s="523"/>
      <c r="BD269" s="523"/>
      <c r="BE269" s="794"/>
      <c r="BF269" s="795">
        <v>1</v>
      </c>
      <c r="BG269" s="795"/>
      <c r="BH269" s="795"/>
      <c r="BI269" s="795">
        <v>2</v>
      </c>
      <c r="BJ269" s="795"/>
      <c r="BK269" s="795"/>
      <c r="BL269" s="795">
        <v>1</v>
      </c>
      <c r="BM269" s="795"/>
      <c r="BN269" s="795"/>
      <c r="BO269" s="794"/>
      <c r="BP269" s="801"/>
      <c r="BQ269" s="800"/>
      <c r="BR269" s="794"/>
      <c r="BS269" s="472"/>
      <c r="BT269" s="472"/>
      <c r="BU269" s="474"/>
      <c r="BV269" s="472"/>
      <c r="BW269" s="523"/>
      <c r="BX269" s="523"/>
      <c r="BY269" s="523"/>
      <c r="BZ269" s="802" t="str">
        <f>IFERROR(WWWW[[#This Row],['#_Water sources passed]]/WWWW[[#This Row],['#_Water sources tested for fecal coliform ]],"no test")</f>
        <v>no test</v>
      </c>
      <c r="CA269" s="800" t="str">
        <f>IFERROR(WWWW[[#This Row],['#_Household passed]]/WWWW[[#This Row],['#_Household water samples tested for fecal coliform]],"no test")</f>
        <v>no test</v>
      </c>
      <c r="CB269" s="801" t="str">
        <f>IF(AND(WWWW[[#This Row],[% of water sources passed]]="no test",WWWW[[#This Row],[% Household passed]]="no test"),"No Test","Tested")</f>
        <v>No Test</v>
      </c>
      <c r="CC269" s="801">
        <f>WWWW[[#This Row],['#_Constructed/existing protected hand dug well]]-WWWW[[#This Row],['#_Non-functional protected hand dug well]]</f>
        <v>0</v>
      </c>
      <c r="CD269" s="801">
        <f>(WWWW[[#This Row],['#_Constructed/Existing tube wells/boreholes/handpumps_WASH_agency]]+WWWW[[#This Row],['#_Non-Cluster partner water tube-wells/boreholes/handpumps]])-WWWW[[#This Row],['#_Non-functional tube wells/boreholes/handpumps]]</f>
        <v>1</v>
      </c>
      <c r="CE269" s="801">
        <f>WWWW[[#This Row],['#_Constructed/Existingwater storage tank with gravity fed reticulation system]]-WWWW[[#This Row],['#_Non-functional storage tank gravity fed reticulation system]]</f>
        <v>0</v>
      </c>
      <c r="CF269" s="801">
        <f>(WWWW[[#This Row],['#_Water_Liters_supplied_by_Water boating or water trucking]]/90)/15</f>
        <v>0</v>
      </c>
      <c r="CG269" s="801">
        <f>WWWW[[#This Row],['#_Water_Liters_from_Constructed/Existing water distribution system from river or natural spring]]/90/15</f>
        <v>0</v>
      </c>
      <c r="CH269" s="473">
        <f>WWWW[[#This Row],['#_of water points in TLS/CFS /THF]]*500</f>
        <v>0</v>
      </c>
      <c r="CI26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6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69" s="800">
        <f>IF(WWWW[[#This Row],[Location Type 1]]="Village",WWWW[[#This Row],[Access to safe drinking water for Village]],WWWW[[#This Row],[Access to safe drinking water for Camp]])</f>
        <v>1</v>
      </c>
      <c r="CL269" s="798">
        <f>WWWW[[#This Row],[%Equitable and continuous access to sufficient quantity of safe drinking water]]*WWWW[[#This Row],[Total PoP ]]</f>
        <v>132</v>
      </c>
      <c r="CM269" s="800">
        <f>IF((WWWW[[#This Row],['#_Constructed/Existing protected/fenced ponds]]*250)/WWWW[[#This Row],[Total PoP ]]&gt;1,1,(WWWW[[#This Row],['#_Constructed/Existing protected/fenced ponds]]*250)/WWWW[[#This Row],[Total PoP ]])</f>
        <v>0</v>
      </c>
      <c r="CN269" s="798">
        <f>WWWW[[#This Row],[% Access to unimproved water points]]*WWWW[[#This Row],[Total PoP ]]</f>
        <v>0</v>
      </c>
      <c r="CO26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6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Q269" s="798">
        <f>WWWW[[#This Row],[HRP1]]/500</f>
        <v>0.26400000000000001</v>
      </c>
      <c r="CR269" s="803">
        <f>1-WWWW[[#This Row],[% Equitable and continuous access to sufficient quantity of domestic water]]</f>
        <v>0</v>
      </c>
      <c r="CS269" s="798">
        <f>WWWW[[#This Row],[%equitable and continuous access to sufficient quantity of safe drinking and domestic water''s GAP]]*WWWW[[#This Row],[Total PoP ]]</f>
        <v>0</v>
      </c>
      <c r="CT269" s="801">
        <f>IF(WWWW[[#This Row],[Total required water points]]-WWWW[[#This Row],['#Water points coverage]]&lt;0,0,WWWW[[#This Row],[Total required water points]]-WWWW[[#This Row],['#Water points coverage]])</f>
        <v>0.73599999999999999</v>
      </c>
      <c r="CU269" s="801">
        <f>ROUND(IF(WWWW[[#This Row],[Total PoP ]]&lt;500,1,WWWW[[#This Row],[Total PoP ]]/500),0)</f>
        <v>1</v>
      </c>
      <c r="CV269" s="801">
        <f>(WWWW[[#This Row],['#_Constructed latrines_by_WASHAgencies]]+WWWW[[#This Row],['#_Non Cluster partner latrines]])-WWWW[[#This Row],['#_Non-functional latrines]]</f>
        <v>9</v>
      </c>
      <c r="CW269" s="804">
        <f>WWWW[[#This Row],[HRP2]]/WWWW[[#This Row],[Total PoP ]]</f>
        <v>1</v>
      </c>
      <c r="CX26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CY26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6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69" s="473">
        <f>IF(WWWW[[#This Row],['# of functional latrines in THF supported by WASH partners during the reporting period2]]="",0,WWWW[[#This Row],['# of functional latrines in THF supported by WASH partners during the reporting period2]]*50)</f>
        <v>0</v>
      </c>
      <c r="DB269" s="473">
        <f>WWWW[[#This Row],['# students access to functioning school latrines_HRP5]]+WWWW[[#This Row],['# People access to functioning latrines in THF_HRP5]]</f>
        <v>0</v>
      </c>
      <c r="DC269" s="801">
        <f>ROUND(IF(WWWW[[#This Row],[Location Type 1]]="camp",WWWW[[#This Row],[Total PoP ]]/20,IF(WWWW[[#This Row],[Location Type 1]]="Temporary Location",WWWW[[#This Row],[Total PoP ]]/50,(WWWW[[#This Row],[Total PoP ]]/6))),0)</f>
        <v>7</v>
      </c>
      <c r="DD269" s="801">
        <f>IF(WWWW[[#This Row],[Total required Latrines]]-(WWWW[[#This Row],['#_Constructed latrines_by_WASHAgencies]]+WWWW[[#This Row],['#_Non Cluster partner latrines]])&lt;0,0,WWWW[[#This Row],[Total required Latrines]]-(WWWW[[#This Row],['#_Constructed latrines_by_WASHAgencies]]+WWWW[[#This Row],['#_Non Cluster partner latrines]]))</f>
        <v>0</v>
      </c>
      <c r="DE269" s="803">
        <f>1-WWWW[[#This Row],[% people access to functioning Latrine]]</f>
        <v>0</v>
      </c>
      <c r="DF269" s="802">
        <f>IF(OR(WWWW[[#This Row],['#_Non-functional latrines]]="",WWWW[[#This Row],['#_Non-functional latrines]]=0),0,WWWW[[#This Row],['#_Non-functional latrines]]/(WWWW[[#This Row],['#_Constructed latrines_by_WASHAgencies]]+WWWW[[#This Row],['#_Non Cluster partner latrines]]))</f>
        <v>0</v>
      </c>
      <c r="DG269" s="798">
        <f>IF(500*(WWWW[[#This Row],['#_male hygiene promoters]]+WWWW[[#This Row],['#_female hygiene promoters]])&gt;WWWW[[#This Row],[Total PoP ]],WWWW[[#This Row],[Total PoP ]],500*(WWWW[[#This Row],['#_male hygiene promoters]]+WWWW[[#This Row],['#_female hygiene promoters]]))</f>
        <v>132</v>
      </c>
      <c r="DH26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6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69" s="801">
        <f>IF(WWWW[[#This Row],['# People with access to soap]]&gt;WWWW[[#This Row],['# People with access to Sanity Pads]],WWWW[[#This Row],['# People with access to soap]],WWWW[[#This Row],['# People with access to Sanity Pads]])</f>
        <v>0</v>
      </c>
      <c r="DK269" s="80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L269" s="803">
        <f>IF(WWWW[[#This Row],[HRP3]]/WWWW[[#This Row],[Total PoP ]]&gt;1,1,WWWW[[#This Row],[HRP3]]/WWWW[[#This Row],[Total PoP ]])</f>
        <v>1</v>
      </c>
      <c r="DM269" s="802">
        <f>1-WWWW[[#This Row],[Hygiene Coverage%]]</f>
        <v>0</v>
      </c>
      <c r="DN269" s="800">
        <f>WWWW[[#This Row],['# people reached by regular dedicated hygiene promotion_5]]/WWWW[[#This Row],[Total PoP ]]</f>
        <v>1</v>
      </c>
      <c r="DO26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6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69" s="801">
        <f>WWWW[[#This Row],['#_Constructed/Existing hand washing stations]]-WWWW[[#This Row],['#_Non-Functional_hand_washing_stations]]</f>
        <v>1</v>
      </c>
      <c r="DR269" s="798">
        <f>IF(WWWW[[#This Row],['# Functional hand washing stations during reporting period]]*20&gt;WWWW[[#This Row],[Total HH]],WWWW[[#This Row],[Total HH]],WWWW[[#This Row],['# Functional hand washing stations during reporting period]]*20)</f>
        <v>20</v>
      </c>
      <c r="DS269" s="798">
        <f>IF(WWWW[[#This Row],[Is sufficient soap available for TLS? (Yes/No)]]="yes",WWWW[[#This Row],['#_Constructed/Existing hand washing stations at TLS]],0)</f>
        <v>0</v>
      </c>
      <c r="DT269" s="479">
        <f>IF(WWWW[[#This Row],['# Functional hand washing stations during reporting period]]*100&gt;WWWW[[#This Row],[Total PoP ]],WWWW[[#This Row],[Total PoP ]],WWWW[[#This Row],['# Functional hand washing stations during reporting period]]*100)</f>
        <v>100</v>
      </c>
      <c r="DU269" s="479" t="str">
        <f>IF(OR(WWWW[[#This Row],['#_students at TLS_CFS]]="",WWWW[[#This Row],['#_students at TLS_CFS]]=0),"No","Yes")</f>
        <v>No</v>
      </c>
      <c r="DV26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69" s="794" t="str">
        <f>VLOOKUP(WWWW[[#This Row],[Site Name]],SiteDB6[[Site Name]:[CCCM Management]],6,FALSE)</f>
        <v>Yes</v>
      </c>
      <c r="DZ269" s="794" t="str">
        <f>VLOOKUP(WWWW[[#This Row],[Site Name]],SiteDB6[[Site Name]:[CCCM Focal Agency]],7,FALSE)</f>
        <v>KBC-MYT</v>
      </c>
      <c r="EA269" s="794" t="str">
        <f>VLOOKUP(WWWW[[#This Row],[Site Name]],SiteDB6[[Site Name]:[Location Type 1]],9,FALSE)</f>
        <v>Camp</v>
      </c>
      <c r="EB269" s="794" t="str">
        <f>VLOOKUP(WWWW[[#This Row],[Site Name]],SiteDB6[[Site Name]:[Type of Accommodation]],10,FALSE)</f>
        <v>Camp</v>
      </c>
      <c r="EC269" s="794" t="str">
        <f>VLOOKUP(WWWW[[#This Row],[Site Name]],SiteDB6[[Site Name]:[Ethnic or GCA/NGCA]],11,FALSE)</f>
        <v>GCA</v>
      </c>
      <c r="ED269" s="794">
        <f>VLOOKUP(WWWW[[#This Row],[Site Name]],SiteDB6[[Site Name]:[Lat]],12,FALSE)</f>
        <v>25.51352</v>
      </c>
      <c r="EE269" s="794">
        <f>VLOOKUP(WWWW[[#This Row],[Site Name]],SiteDB6[[Site Name]:[Long]],13,FALSE)</f>
        <v>96.705960000000005</v>
      </c>
      <c r="EF269" s="794" t="str">
        <f>VLOOKUP(WWWW[[#This Row],[Site Name]],SiteDB6[[Site Name]:[Pcode]],3,FALSE)</f>
        <v>MMR001CMP148</v>
      </c>
      <c r="EG269" s="799" t="str">
        <f t="shared" si="5"/>
        <v>Covered</v>
      </c>
      <c r="EH269" s="799" t="str">
        <f>VLOOKUP(WWWW[[#This Row],[Site Name]],Site_DB!$C$389:$D$1120,2,FALSE)</f>
        <v>cccm_2019OCT</v>
      </c>
    </row>
    <row r="270" spans="1:138" hidden="1">
      <c r="A270" s="792" t="s">
        <v>3262</v>
      </c>
      <c r="B270" s="792" t="s">
        <v>144</v>
      </c>
      <c r="C270" s="793" t="s">
        <v>144</v>
      </c>
      <c r="D270" s="793" t="s">
        <v>3277</v>
      </c>
      <c r="E270" s="793" t="s">
        <v>39</v>
      </c>
      <c r="F270" s="793" t="s">
        <v>162</v>
      </c>
      <c r="G270" s="721" t="str">
        <f>VLOOKUP(WWWW[[#This Row],[Site Name]],SiteDB6[[Site Name]:[Location Type]],8,FALSE)</f>
        <v>Camp</v>
      </c>
      <c r="H270" s="404" t="s">
        <v>172</v>
      </c>
      <c r="I270" s="795">
        <v>93</v>
      </c>
      <c r="J270" s="795">
        <v>499</v>
      </c>
      <c r="K270" s="796" t="s">
        <v>3278</v>
      </c>
      <c r="L270" s="797" t="s">
        <v>3279</v>
      </c>
      <c r="M270" s="795"/>
      <c r="N270" s="795"/>
      <c r="O270" s="795"/>
      <c r="P270" s="795"/>
      <c r="Q270" s="798" t="s">
        <v>43</v>
      </c>
      <c r="R270" s="795"/>
      <c r="S270" s="795">
        <v>5</v>
      </c>
      <c r="T270" s="523">
        <v>2</v>
      </c>
      <c r="U270" s="795"/>
      <c r="V270" s="795"/>
      <c r="W270" s="795">
        <v>2</v>
      </c>
      <c r="X270" s="795"/>
      <c r="Y270" s="795"/>
      <c r="Z270" s="795"/>
      <c r="AA270" s="795"/>
      <c r="AB270" s="795"/>
      <c r="AC270" s="795"/>
      <c r="AD270" s="795"/>
      <c r="AE270" s="795"/>
      <c r="AF270" s="795"/>
      <c r="AG270" s="795"/>
      <c r="AH270" s="795">
        <v>2</v>
      </c>
      <c r="AI270" s="795"/>
      <c r="AJ270" s="795"/>
      <c r="AK270" s="795"/>
      <c r="AL270" s="795"/>
      <c r="AM270" s="795"/>
      <c r="AN270" s="795"/>
      <c r="AO270" s="799"/>
      <c r="AP270" s="795">
        <v>17</v>
      </c>
      <c r="AQ270" s="795"/>
      <c r="AR270" s="800"/>
      <c r="AS270" s="795"/>
      <c r="AT270" s="795"/>
      <c r="AU270" s="795"/>
      <c r="AV270" s="795"/>
      <c r="AW270" s="795">
        <v>17</v>
      </c>
      <c r="AX270" s="794" t="s">
        <v>43</v>
      </c>
      <c r="AY270" s="799" t="s">
        <v>140</v>
      </c>
      <c r="AZ270" s="795"/>
      <c r="BA270" s="795"/>
      <c r="BB270" s="795"/>
      <c r="BC270" s="523"/>
      <c r="BD270" s="523"/>
      <c r="BE270" s="794"/>
      <c r="BF270" s="795">
        <v>4</v>
      </c>
      <c r="BG270" s="795"/>
      <c r="BH270" s="795"/>
      <c r="BI270" s="795">
        <v>2</v>
      </c>
      <c r="BJ270" s="795"/>
      <c r="BK270" s="795"/>
      <c r="BL270" s="795">
        <v>2</v>
      </c>
      <c r="BM270" s="795"/>
      <c r="BN270" s="795"/>
      <c r="BO270" s="794"/>
      <c r="BP270" s="801"/>
      <c r="BQ270" s="800"/>
      <c r="BR270" s="794"/>
      <c r="BS270" s="472"/>
      <c r="BT270" s="472"/>
      <c r="BU270" s="523"/>
      <c r="BV270" s="472"/>
      <c r="BW270" s="523"/>
      <c r="BX270" s="523"/>
      <c r="BY270" s="523"/>
      <c r="BZ270" s="802" t="str">
        <f>IFERROR(WWWW[[#This Row],['#_Water sources passed]]/WWWW[[#This Row],['#_Water sources tested for fecal coliform ]],"no test")</f>
        <v>no test</v>
      </c>
      <c r="CA270" s="800" t="str">
        <f>IFERROR(WWWW[[#This Row],['#_Household passed]]/WWWW[[#This Row],['#_Household water samples tested for fecal coliform]],"no test")</f>
        <v>no test</v>
      </c>
      <c r="CB270" s="801" t="str">
        <f>IF(AND(WWWW[[#This Row],[% of water sources passed]]="no test",WWWW[[#This Row],[% Household passed]]="no test"),"No Test","Tested")</f>
        <v>No Test</v>
      </c>
      <c r="CC270" s="801">
        <f>WWWW[[#This Row],['#_Constructed/existing protected hand dug well]]-WWWW[[#This Row],['#_Non-functional protected hand dug well]]</f>
        <v>2</v>
      </c>
      <c r="CD270" s="801">
        <f>(WWWW[[#This Row],['#_Constructed/Existing tube wells/boreholes/handpumps_WASH_agency]]+WWWW[[#This Row],['#_Non-Cluster partner water tube-wells/boreholes/handpumps]])-WWWW[[#This Row],['#_Non-functional tube wells/boreholes/handpumps]]</f>
        <v>2</v>
      </c>
      <c r="CE270" s="801">
        <f>WWWW[[#This Row],['#_Constructed/Existingwater storage tank with gravity fed reticulation system]]-WWWW[[#This Row],['#_Non-functional storage tank gravity fed reticulation system]]</f>
        <v>0</v>
      </c>
      <c r="CF270" s="801">
        <f>(WWWW[[#This Row],['#_Water_Liters_supplied_by_Water boating or water trucking]]/90)/15</f>
        <v>0</v>
      </c>
      <c r="CG270" s="801">
        <f>WWWW[[#This Row],['#_Water_Liters_from_Constructed/Existing water distribution system from river or natural spring]]/90/15</f>
        <v>0</v>
      </c>
      <c r="CH270" s="473">
        <f>WWWW[[#This Row],['#_of water points in TLS/CFS /THF]]*500</f>
        <v>0</v>
      </c>
      <c r="CI27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0" s="800">
        <f>IF(WWWW[[#This Row],[Location Type 1]]="Village",WWWW[[#This Row],[Access to safe drinking water for Village]],WWWW[[#This Row],[Access to safe drinking water for Camp]])</f>
        <v>1</v>
      </c>
      <c r="CL270" s="798">
        <f>WWWW[[#This Row],[%Equitable and continuous access to sufficient quantity of safe drinking water]]*WWWW[[#This Row],[Total PoP ]]</f>
        <v>499</v>
      </c>
      <c r="CM270" s="800">
        <f>IF((WWWW[[#This Row],['#_Constructed/Existing protected/fenced ponds]]*250)/WWWW[[#This Row],[Total PoP ]]&gt;1,1,(WWWW[[#This Row],['#_Constructed/Existing protected/fenced ponds]]*250)/WWWW[[#This Row],[Total PoP ]])</f>
        <v>0</v>
      </c>
      <c r="CN270" s="798">
        <f>WWWW[[#This Row],[% Access to unimproved water points]]*WWWW[[#This Row],[Total PoP ]]</f>
        <v>0</v>
      </c>
      <c r="CO27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Q270" s="798">
        <f>WWWW[[#This Row],[HRP1]]/500</f>
        <v>0.998</v>
      </c>
      <c r="CR270" s="803">
        <f>1-WWWW[[#This Row],[% Equitable and continuous access to sufficient quantity of domestic water]]</f>
        <v>0</v>
      </c>
      <c r="CS270" s="798">
        <f>WWWW[[#This Row],[%equitable and continuous access to sufficient quantity of safe drinking and domestic water''s GAP]]*WWWW[[#This Row],[Total PoP ]]</f>
        <v>0</v>
      </c>
      <c r="CT270" s="801">
        <f>IF(WWWW[[#This Row],[Total required water points]]-WWWW[[#This Row],['#Water points coverage]]&lt;0,0,WWWW[[#This Row],[Total required water points]]-WWWW[[#This Row],['#Water points coverage]])</f>
        <v>2.0000000000000018E-3</v>
      </c>
      <c r="CU270" s="801">
        <f>ROUND(IF(WWWW[[#This Row],[Total PoP ]]&lt;500,1,WWWW[[#This Row],[Total PoP ]]/500),0)</f>
        <v>1</v>
      </c>
      <c r="CV270" s="801">
        <f>(WWWW[[#This Row],['#_Constructed latrines_by_WASHAgencies]]+WWWW[[#This Row],['#_Non Cluster partner latrines]])-WWWW[[#This Row],['#_Non-functional latrines]]</f>
        <v>17</v>
      </c>
      <c r="CW270" s="804">
        <f>WWWW[[#This Row],[HRP2]]/WWWW[[#This Row],[Total PoP ]]</f>
        <v>0.68136272545090182</v>
      </c>
      <c r="CX27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CY27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0" s="473">
        <f>IF(WWWW[[#This Row],['# of functional latrines in THF supported by WASH partners during the reporting period2]]="",0,WWWW[[#This Row],['# of functional latrines in THF supported by WASH partners during the reporting period2]]*50)</f>
        <v>0</v>
      </c>
      <c r="DB270" s="473">
        <f>WWWW[[#This Row],['# students access to functioning school latrines_HRP5]]+WWWW[[#This Row],['# People access to functioning latrines in THF_HRP5]]</f>
        <v>0</v>
      </c>
      <c r="DC270" s="801">
        <f>ROUND(IF(WWWW[[#This Row],[Location Type 1]]="camp",WWWW[[#This Row],[Total PoP ]]/20,IF(WWWW[[#This Row],[Location Type 1]]="Temporary Location",WWWW[[#This Row],[Total PoP ]]/50,(WWWW[[#This Row],[Total PoP ]]/6))),0)</f>
        <v>25</v>
      </c>
      <c r="DD270" s="801">
        <f>IF(WWWW[[#This Row],[Total required Latrines]]-(WWWW[[#This Row],['#_Constructed latrines_by_WASHAgencies]]+WWWW[[#This Row],['#_Non Cluster partner latrines]])&lt;0,0,WWWW[[#This Row],[Total required Latrines]]-(WWWW[[#This Row],['#_Constructed latrines_by_WASHAgencies]]+WWWW[[#This Row],['#_Non Cluster partner latrines]]))</f>
        <v>8</v>
      </c>
      <c r="DE270" s="803">
        <f>1-WWWW[[#This Row],[% people access to functioning Latrine]]</f>
        <v>0.31863727454909818</v>
      </c>
      <c r="DF270" s="802">
        <f>IF(OR(WWWW[[#This Row],['#_Non-functional latrines]]="",WWWW[[#This Row],['#_Non-functional latrines]]=0),0,WWWW[[#This Row],['#_Non-functional latrines]]/(WWWW[[#This Row],['#_Constructed latrines_by_WASHAgencies]]+WWWW[[#This Row],['#_Non Cluster partner latrines]]))</f>
        <v>0</v>
      </c>
      <c r="DG270" s="798">
        <f>IF(500*(WWWW[[#This Row],['#_male hygiene promoters]]+WWWW[[#This Row],['#_female hygiene promoters]])&gt;WWWW[[#This Row],[Total PoP ]],WWWW[[#This Row],[Total PoP ]],500*(WWWW[[#This Row],['#_male hygiene promoters]]+WWWW[[#This Row],['#_female hygiene promoters]]))</f>
        <v>499</v>
      </c>
      <c r="DH27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0" s="801">
        <f>IF(WWWW[[#This Row],['# People with access to soap]]&gt;WWWW[[#This Row],['# People with access to Sanity Pads]],WWWW[[#This Row],['# People with access to soap]],WWWW[[#This Row],['# People with access to Sanity Pads]])</f>
        <v>0</v>
      </c>
      <c r="DK270" s="801">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L270" s="803">
        <f>IF(WWWW[[#This Row],[HRP3]]/WWWW[[#This Row],[Total PoP ]]&gt;1,1,WWWW[[#This Row],[HRP3]]/WWWW[[#This Row],[Total PoP ]])</f>
        <v>1</v>
      </c>
      <c r="DM270" s="802">
        <f>1-WWWW[[#This Row],[Hygiene Coverage%]]</f>
        <v>0</v>
      </c>
      <c r="DN270" s="800">
        <f>WWWW[[#This Row],['# people reached by regular dedicated hygiene promotion_5]]/WWWW[[#This Row],[Total PoP ]]</f>
        <v>1</v>
      </c>
      <c r="DO27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0" s="801">
        <f>WWWW[[#This Row],['#_Constructed/Existing hand washing stations]]-WWWW[[#This Row],['#_Non-Functional_hand_washing_stations]]</f>
        <v>4</v>
      </c>
      <c r="DR270" s="798">
        <f>IF(WWWW[[#This Row],['# Functional hand washing stations during reporting period]]*20&gt;WWWW[[#This Row],[Total HH]],WWWW[[#This Row],[Total HH]],WWWW[[#This Row],['# Functional hand washing stations during reporting period]]*20)</f>
        <v>80</v>
      </c>
      <c r="DS270" s="798">
        <f>IF(WWWW[[#This Row],[Is sufficient soap available for TLS? (Yes/No)]]="yes",WWWW[[#This Row],['#_Constructed/Existing hand washing stations at TLS]],0)</f>
        <v>0</v>
      </c>
      <c r="DT270" s="479">
        <f>IF(WWWW[[#This Row],['# Functional hand washing stations during reporting period]]*100&gt;WWWW[[#This Row],[Total PoP ]],WWWW[[#This Row],[Total PoP ]],WWWW[[#This Row],['# Functional hand washing stations during reporting period]]*100)</f>
        <v>400</v>
      </c>
      <c r="DU270" s="479" t="str">
        <f>IF(OR(WWWW[[#This Row],['#_students at TLS_CFS]]="",WWWW[[#This Row],['#_students at TLS_CFS]]=0),"No","Yes")</f>
        <v>No</v>
      </c>
      <c r="DV27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0" s="794" t="str">
        <f>VLOOKUP(WWWW[[#This Row],[Site Name]],SiteDB6[[Site Name]:[CCCM Management]],6,FALSE)</f>
        <v>Yes</v>
      </c>
      <c r="DZ270" s="794" t="str">
        <f>VLOOKUP(WWWW[[#This Row],[Site Name]],SiteDB6[[Site Name]:[CCCM Focal Agency]],7,FALSE)</f>
        <v>KBC-MYT</v>
      </c>
      <c r="EA270" s="794" t="str">
        <f>VLOOKUP(WWWW[[#This Row],[Site Name]],SiteDB6[[Site Name]:[Location Type 1]],9,FALSE)</f>
        <v>Camp</v>
      </c>
      <c r="EB270" s="794" t="str">
        <f>VLOOKUP(WWWW[[#This Row],[Site Name]],SiteDB6[[Site Name]:[Type of Accommodation]],10,FALSE)</f>
        <v>Camp</v>
      </c>
      <c r="EC270" s="794" t="str">
        <f>VLOOKUP(WWWW[[#This Row],[Site Name]],SiteDB6[[Site Name]:[Ethnic or GCA/NGCA]],11,FALSE)</f>
        <v>GCA</v>
      </c>
      <c r="ED270" s="794">
        <f>VLOOKUP(WWWW[[#This Row],[Site Name]],SiteDB6[[Site Name]:[Lat]],12,FALSE)</f>
        <v>25.440928</v>
      </c>
      <c r="EE270" s="794">
        <f>VLOOKUP(WWWW[[#This Row],[Site Name]],SiteDB6[[Site Name]:[Long]],13,FALSE)</f>
        <v>97.419403000000003</v>
      </c>
      <c r="EF270" s="794" t="str">
        <f>VLOOKUP(WWWW[[#This Row],[Site Name]],SiteDB6[[Site Name]:[Pcode]],3,FALSE)</f>
        <v>MMR001CMP009</v>
      </c>
      <c r="EG270" s="799" t="str">
        <f t="shared" si="5"/>
        <v>Covered</v>
      </c>
      <c r="EH270" s="799" t="str">
        <f>VLOOKUP(WWWW[[#This Row],[Site Name]],Site_DB!$C$389:$D$1120,2,FALSE)</f>
        <v>cccm_2019OCT</v>
      </c>
    </row>
    <row r="271" spans="1:138" hidden="1">
      <c r="A271" s="792" t="s">
        <v>3262</v>
      </c>
      <c r="B271" s="792" t="s">
        <v>144</v>
      </c>
      <c r="C271" s="793" t="s">
        <v>144</v>
      </c>
      <c r="D271" s="793" t="s">
        <v>3277</v>
      </c>
      <c r="E271" s="793" t="s">
        <v>39</v>
      </c>
      <c r="F271" s="793" t="s">
        <v>162</v>
      </c>
      <c r="G271" s="721" t="str">
        <f>VLOOKUP(WWWW[[#This Row],[Site Name]],SiteDB6[[Site Name]:[Location Type]],8,FALSE)</f>
        <v>Camp</v>
      </c>
      <c r="H271" s="793" t="s">
        <v>173</v>
      </c>
      <c r="I271" s="795">
        <v>69</v>
      </c>
      <c r="J271" s="795">
        <v>351</v>
      </c>
      <c r="K271" s="796" t="s">
        <v>3278</v>
      </c>
      <c r="L271" s="797" t="s">
        <v>3279</v>
      </c>
      <c r="M271" s="795"/>
      <c r="N271" s="795"/>
      <c r="O271" s="795"/>
      <c r="P271" s="795"/>
      <c r="Q271" s="798" t="s">
        <v>43</v>
      </c>
      <c r="R271" s="795"/>
      <c r="S271" s="795">
        <v>4</v>
      </c>
      <c r="T271" s="523">
        <v>0</v>
      </c>
      <c r="U271" s="795"/>
      <c r="V271" s="795"/>
      <c r="W271" s="795">
        <v>2</v>
      </c>
      <c r="X271" s="795"/>
      <c r="Y271" s="795"/>
      <c r="Z271" s="795"/>
      <c r="AA271" s="795"/>
      <c r="AB271" s="795"/>
      <c r="AC271" s="795"/>
      <c r="AD271" s="795"/>
      <c r="AE271" s="795"/>
      <c r="AF271" s="795"/>
      <c r="AG271" s="795"/>
      <c r="AH271" s="795">
        <v>2</v>
      </c>
      <c r="AI271" s="795"/>
      <c r="AJ271" s="795"/>
      <c r="AK271" s="795"/>
      <c r="AL271" s="795"/>
      <c r="AM271" s="795"/>
      <c r="AN271" s="795"/>
      <c r="AO271" s="799"/>
      <c r="AP271" s="795">
        <v>11</v>
      </c>
      <c r="AQ271" s="795"/>
      <c r="AR271" s="800"/>
      <c r="AS271" s="795"/>
      <c r="AT271" s="795"/>
      <c r="AU271" s="795"/>
      <c r="AV271" s="795"/>
      <c r="AW271" s="795">
        <v>11</v>
      </c>
      <c r="AX271" s="794" t="s">
        <v>43</v>
      </c>
      <c r="AY271" s="799" t="s">
        <v>140</v>
      </c>
      <c r="AZ271" s="795"/>
      <c r="BA271" s="795"/>
      <c r="BB271" s="795"/>
      <c r="BC271" s="523"/>
      <c r="BD271" s="523"/>
      <c r="BE271" s="794"/>
      <c r="BF271" s="795">
        <v>2</v>
      </c>
      <c r="BG271" s="795"/>
      <c r="BH271" s="795"/>
      <c r="BI271" s="795">
        <v>2</v>
      </c>
      <c r="BJ271" s="795"/>
      <c r="BK271" s="795"/>
      <c r="BL271" s="795">
        <v>1</v>
      </c>
      <c r="BM271" s="795"/>
      <c r="BN271" s="795"/>
      <c r="BO271" s="794"/>
      <c r="BP271" s="801"/>
      <c r="BQ271" s="800"/>
      <c r="BR271" s="794"/>
      <c r="BS271" s="472"/>
      <c r="BT271" s="472"/>
      <c r="BU271" s="523"/>
      <c r="BV271" s="472"/>
      <c r="BW271" s="523"/>
      <c r="BX271" s="523"/>
      <c r="BY271" s="523"/>
      <c r="BZ271" s="802" t="str">
        <f>IFERROR(WWWW[[#This Row],['#_Water sources passed]]/WWWW[[#This Row],['#_Water sources tested for fecal coliform ]],"no test")</f>
        <v>no test</v>
      </c>
      <c r="CA271" s="800" t="str">
        <f>IFERROR(WWWW[[#This Row],['#_Household passed]]/WWWW[[#This Row],['#_Household water samples tested for fecal coliform]],"no test")</f>
        <v>no test</v>
      </c>
      <c r="CB271" s="801" t="str">
        <f>IF(AND(WWWW[[#This Row],[% of water sources passed]]="no test",WWWW[[#This Row],[% Household passed]]="no test"),"No Test","Tested")</f>
        <v>No Test</v>
      </c>
      <c r="CC271" s="801">
        <f>WWWW[[#This Row],['#_Constructed/existing protected hand dug well]]-WWWW[[#This Row],['#_Non-functional protected hand dug well]]</f>
        <v>0</v>
      </c>
      <c r="CD271" s="801">
        <f>(WWWW[[#This Row],['#_Constructed/Existing tube wells/boreholes/handpumps_WASH_agency]]+WWWW[[#This Row],['#_Non-Cluster partner water tube-wells/boreholes/handpumps]])-WWWW[[#This Row],['#_Non-functional tube wells/boreholes/handpumps]]</f>
        <v>2</v>
      </c>
      <c r="CE271" s="801">
        <f>WWWW[[#This Row],['#_Constructed/Existingwater storage tank with gravity fed reticulation system]]-WWWW[[#This Row],['#_Non-functional storage tank gravity fed reticulation system]]</f>
        <v>0</v>
      </c>
      <c r="CF271" s="801">
        <f>(WWWW[[#This Row],['#_Water_Liters_supplied_by_Water boating or water trucking]]/90)/15</f>
        <v>0</v>
      </c>
      <c r="CG271" s="801">
        <f>WWWW[[#This Row],['#_Water_Liters_from_Constructed/Existing water distribution system from river or natural spring]]/90/15</f>
        <v>0</v>
      </c>
      <c r="CH271" s="473">
        <f>WWWW[[#This Row],['#_of water points in TLS/CFS /THF]]*500</f>
        <v>0</v>
      </c>
      <c r="CI27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1" s="800">
        <f>IF(WWWW[[#This Row],[Location Type 1]]="Village",WWWW[[#This Row],[Access to safe drinking water for Village]],WWWW[[#This Row],[Access to safe drinking water for Camp]])</f>
        <v>1</v>
      </c>
      <c r="CL271" s="798">
        <f>WWWW[[#This Row],[%Equitable and continuous access to sufficient quantity of safe drinking water]]*WWWW[[#This Row],[Total PoP ]]</f>
        <v>351</v>
      </c>
      <c r="CM271" s="800">
        <f>IF((WWWW[[#This Row],['#_Constructed/Existing protected/fenced ponds]]*250)/WWWW[[#This Row],[Total PoP ]]&gt;1,1,(WWWW[[#This Row],['#_Constructed/Existing protected/fenced ponds]]*250)/WWWW[[#This Row],[Total PoP ]])</f>
        <v>0</v>
      </c>
      <c r="CN271" s="798">
        <f>WWWW[[#This Row],[% Access to unimproved water points]]*WWWW[[#This Row],[Total PoP ]]</f>
        <v>0</v>
      </c>
      <c r="CO27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Q271" s="798">
        <f>WWWW[[#This Row],[HRP1]]/500</f>
        <v>0.70199999999999996</v>
      </c>
      <c r="CR271" s="803">
        <f>1-WWWW[[#This Row],[% Equitable and continuous access to sufficient quantity of domestic water]]</f>
        <v>0</v>
      </c>
      <c r="CS271" s="798">
        <f>WWWW[[#This Row],[%equitable and continuous access to sufficient quantity of safe drinking and domestic water''s GAP]]*WWWW[[#This Row],[Total PoP ]]</f>
        <v>0</v>
      </c>
      <c r="CT271" s="801">
        <f>IF(WWWW[[#This Row],[Total required water points]]-WWWW[[#This Row],['#Water points coverage]]&lt;0,0,WWWW[[#This Row],[Total required water points]]-WWWW[[#This Row],['#Water points coverage]])</f>
        <v>0.29800000000000004</v>
      </c>
      <c r="CU271" s="801">
        <f>ROUND(IF(WWWW[[#This Row],[Total PoP ]]&lt;500,1,WWWW[[#This Row],[Total PoP ]]/500),0)</f>
        <v>1</v>
      </c>
      <c r="CV271" s="801">
        <f>(WWWW[[#This Row],['#_Constructed latrines_by_WASHAgencies]]+WWWW[[#This Row],['#_Non Cluster partner latrines]])-WWWW[[#This Row],['#_Non-functional latrines]]</f>
        <v>11</v>
      </c>
      <c r="CW271" s="804">
        <f>WWWW[[#This Row],[HRP2]]/WWWW[[#This Row],[Total PoP ]]</f>
        <v>0.62678062678062674</v>
      </c>
      <c r="CX27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CY27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1" s="473">
        <f>IF(WWWW[[#This Row],['# of functional latrines in THF supported by WASH partners during the reporting period2]]="",0,WWWW[[#This Row],['# of functional latrines in THF supported by WASH partners during the reporting period2]]*50)</f>
        <v>0</v>
      </c>
      <c r="DB271" s="473">
        <f>WWWW[[#This Row],['# students access to functioning school latrines_HRP5]]+WWWW[[#This Row],['# People access to functioning latrines in THF_HRP5]]</f>
        <v>0</v>
      </c>
      <c r="DC271" s="801">
        <f>ROUND(IF(WWWW[[#This Row],[Location Type 1]]="camp",WWWW[[#This Row],[Total PoP ]]/20,IF(WWWW[[#This Row],[Location Type 1]]="Temporary Location",WWWW[[#This Row],[Total PoP ]]/50,(WWWW[[#This Row],[Total PoP ]]/6))),0)</f>
        <v>18</v>
      </c>
      <c r="DD271" s="801">
        <f>IF(WWWW[[#This Row],[Total required Latrines]]-(WWWW[[#This Row],['#_Constructed latrines_by_WASHAgencies]]+WWWW[[#This Row],['#_Non Cluster partner latrines]])&lt;0,0,WWWW[[#This Row],[Total required Latrines]]-(WWWW[[#This Row],['#_Constructed latrines_by_WASHAgencies]]+WWWW[[#This Row],['#_Non Cluster partner latrines]]))</f>
        <v>7</v>
      </c>
      <c r="DE271" s="803">
        <f>1-WWWW[[#This Row],[% people access to functioning Latrine]]</f>
        <v>0.37321937321937326</v>
      </c>
      <c r="DF271" s="802">
        <f>IF(OR(WWWW[[#This Row],['#_Non-functional latrines]]="",WWWW[[#This Row],['#_Non-functional latrines]]=0),0,WWWW[[#This Row],['#_Non-functional latrines]]/(WWWW[[#This Row],['#_Constructed latrines_by_WASHAgencies]]+WWWW[[#This Row],['#_Non Cluster partner latrines]]))</f>
        <v>0</v>
      </c>
      <c r="DG271" s="798">
        <f>IF(500*(WWWW[[#This Row],['#_male hygiene promoters]]+WWWW[[#This Row],['#_female hygiene promoters]])&gt;WWWW[[#This Row],[Total PoP ]],WWWW[[#This Row],[Total PoP ]],500*(WWWW[[#This Row],['#_male hygiene promoters]]+WWWW[[#This Row],['#_female hygiene promoters]]))</f>
        <v>351</v>
      </c>
      <c r="DH27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1" s="801">
        <f>IF(WWWW[[#This Row],['# People with access to soap]]&gt;WWWW[[#This Row],['# People with access to Sanity Pads]],WWWW[[#This Row],['# People with access to soap]],WWWW[[#This Row],['# People with access to Sanity Pads]])</f>
        <v>0</v>
      </c>
      <c r="DK271" s="801">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L271" s="803">
        <f>IF(WWWW[[#This Row],[HRP3]]/WWWW[[#This Row],[Total PoP ]]&gt;1,1,WWWW[[#This Row],[HRP3]]/WWWW[[#This Row],[Total PoP ]])</f>
        <v>1</v>
      </c>
      <c r="DM271" s="802">
        <f>1-WWWW[[#This Row],[Hygiene Coverage%]]</f>
        <v>0</v>
      </c>
      <c r="DN271" s="800">
        <f>WWWW[[#This Row],['# people reached by regular dedicated hygiene promotion_5]]/WWWW[[#This Row],[Total PoP ]]</f>
        <v>1</v>
      </c>
      <c r="DO27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1" s="801">
        <f>WWWW[[#This Row],['#_Constructed/Existing hand washing stations]]-WWWW[[#This Row],['#_Non-Functional_hand_washing_stations]]</f>
        <v>2</v>
      </c>
      <c r="DR271" s="798">
        <f>IF(WWWW[[#This Row],['# Functional hand washing stations during reporting period]]*20&gt;WWWW[[#This Row],[Total HH]],WWWW[[#This Row],[Total HH]],WWWW[[#This Row],['# Functional hand washing stations during reporting period]]*20)</f>
        <v>40</v>
      </c>
      <c r="DS271" s="798">
        <f>IF(WWWW[[#This Row],[Is sufficient soap available for TLS? (Yes/No)]]="yes",WWWW[[#This Row],['#_Constructed/Existing hand washing stations at TLS]],0)</f>
        <v>0</v>
      </c>
      <c r="DT271" s="479">
        <f>IF(WWWW[[#This Row],['# Functional hand washing stations during reporting period]]*100&gt;WWWW[[#This Row],[Total PoP ]],WWWW[[#This Row],[Total PoP ]],WWWW[[#This Row],['# Functional hand washing stations during reporting period]]*100)</f>
        <v>200</v>
      </c>
      <c r="DU271" s="479" t="str">
        <f>IF(OR(WWWW[[#This Row],['#_students at TLS_CFS]]="",WWWW[[#This Row],['#_students at TLS_CFS]]=0),"No","Yes")</f>
        <v>No</v>
      </c>
      <c r="DV27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1" s="794" t="str">
        <f>VLOOKUP(WWWW[[#This Row],[Site Name]],SiteDB6[[Site Name]:[CCCM Management]],6,FALSE)</f>
        <v>Yes</v>
      </c>
      <c r="DZ271" s="794" t="str">
        <f>VLOOKUP(WWWW[[#This Row],[Site Name]],SiteDB6[[Site Name]:[CCCM Focal Agency]],7,FALSE)</f>
        <v>KBC-MYT</v>
      </c>
      <c r="EA271" s="794" t="str">
        <f>VLOOKUP(WWWW[[#This Row],[Site Name]],SiteDB6[[Site Name]:[Location Type 1]],9,FALSE)</f>
        <v>Camp</v>
      </c>
      <c r="EB271" s="794" t="str">
        <f>VLOOKUP(WWWW[[#This Row],[Site Name]],SiteDB6[[Site Name]:[Type of Accommodation]],10,FALSE)</f>
        <v>Camp</v>
      </c>
      <c r="EC271" s="794" t="str">
        <f>VLOOKUP(WWWW[[#This Row],[Site Name]],SiteDB6[[Site Name]:[Ethnic or GCA/NGCA]],11,FALSE)</f>
        <v>GCA</v>
      </c>
      <c r="ED271" s="794">
        <f>VLOOKUP(WWWW[[#This Row],[Site Name]],SiteDB6[[Site Name]:[Lat]],12,FALSE)</f>
        <v>25.415482000000001</v>
      </c>
      <c r="EE271" s="794">
        <f>VLOOKUP(WWWW[[#This Row],[Site Name]],SiteDB6[[Site Name]:[Long]],13,FALSE)</f>
        <v>97.386718999999999</v>
      </c>
      <c r="EF271" s="794" t="str">
        <f>VLOOKUP(WWWW[[#This Row],[Site Name]],SiteDB6[[Site Name]:[Pcode]],3,FALSE)</f>
        <v>MMR001CMP001</v>
      </c>
      <c r="EG271" s="799" t="str">
        <f t="shared" ref="EG271:EG302" si="6">IF(C271="none","Notcovered","Covered")</f>
        <v>Covered</v>
      </c>
      <c r="EH271" s="799" t="str">
        <f>VLOOKUP(WWWW[[#This Row],[Site Name]],Site_DB!$C$389:$D$1120,2,FALSE)</f>
        <v>cccm_2019OCT</v>
      </c>
    </row>
    <row r="272" spans="1:138" hidden="1">
      <c r="A272" s="792" t="s">
        <v>3262</v>
      </c>
      <c r="B272" s="792" t="s">
        <v>38</v>
      </c>
      <c r="C272" s="793" t="s">
        <v>38</v>
      </c>
      <c r="D272" s="793" t="s">
        <v>3372</v>
      </c>
      <c r="E272" s="793" t="s">
        <v>39</v>
      </c>
      <c r="F272" s="793" t="s">
        <v>149</v>
      </c>
      <c r="G272" s="721" t="str">
        <f>VLOOKUP(WWWW[[#This Row],[Site Name]],SiteDB6[[Site Name]:[Location Type]],8,FALSE)</f>
        <v>Camp</v>
      </c>
      <c r="H272" s="793" t="s">
        <v>228</v>
      </c>
      <c r="I272" s="523">
        <v>57</v>
      </c>
      <c r="J272" s="523">
        <v>264</v>
      </c>
      <c r="K272" s="407" t="s">
        <v>3619</v>
      </c>
      <c r="L272" s="56" t="s">
        <v>3620</v>
      </c>
      <c r="M272" s="523">
        <v>148</v>
      </c>
      <c r="N272" s="795"/>
      <c r="O272" s="795"/>
      <c r="P272" s="795"/>
      <c r="Q272" s="798" t="s">
        <v>43</v>
      </c>
      <c r="R272" s="795"/>
      <c r="S272" s="795"/>
      <c r="T272" s="523"/>
      <c r="U272" s="795"/>
      <c r="V272" s="795"/>
      <c r="W272" s="795"/>
      <c r="X272" s="795"/>
      <c r="Y272" s="795"/>
      <c r="Z272" s="795"/>
      <c r="AA272" s="795">
        <v>1</v>
      </c>
      <c r="AB272" s="795"/>
      <c r="AC272" s="795"/>
      <c r="AD272" s="795"/>
      <c r="AE272" s="795"/>
      <c r="AF272" s="795"/>
      <c r="AG272" s="795"/>
      <c r="AH272" s="795"/>
      <c r="AI272" s="795"/>
      <c r="AJ272" s="795"/>
      <c r="AK272" s="795"/>
      <c r="AL272" s="795"/>
      <c r="AM272" s="795"/>
      <c r="AN272" s="795"/>
      <c r="AO272" s="799"/>
      <c r="AP272" s="795">
        <v>28</v>
      </c>
      <c r="AQ272" s="795"/>
      <c r="AR272" s="800"/>
      <c r="AS272" s="795"/>
      <c r="AT272" s="795"/>
      <c r="AU272" s="795"/>
      <c r="AV272" s="795"/>
      <c r="AW272" s="795"/>
      <c r="AX272" s="794" t="s">
        <v>43</v>
      </c>
      <c r="AY272" s="799" t="s">
        <v>140</v>
      </c>
      <c r="AZ272" s="795">
        <v>2</v>
      </c>
      <c r="BA272" s="795"/>
      <c r="BB272" s="795"/>
      <c r="BC272" s="523"/>
      <c r="BD272" s="523"/>
      <c r="BE272" s="794"/>
      <c r="BF272" s="795"/>
      <c r="BG272" s="795"/>
      <c r="BH272" s="795"/>
      <c r="BI272" s="795">
        <v>2</v>
      </c>
      <c r="BJ272" s="795"/>
      <c r="BK272" s="795"/>
      <c r="BL272" s="795"/>
      <c r="BM272" s="795"/>
      <c r="BN272" s="795"/>
      <c r="BO272" s="794"/>
      <c r="BP272" s="801"/>
      <c r="BQ272" s="800"/>
      <c r="BR272" s="794"/>
      <c r="BS272" s="472"/>
      <c r="BT272" s="472"/>
      <c r="BU272" s="523"/>
      <c r="BV272" s="472"/>
      <c r="BW272" s="523"/>
      <c r="BX272" s="523"/>
      <c r="BY272" s="523"/>
      <c r="BZ272" s="802" t="str">
        <f>IFERROR(WWWW[[#This Row],['#_Water sources passed]]/WWWW[[#This Row],['#_Water sources tested for fecal coliform ]],"no test")</f>
        <v>no test</v>
      </c>
      <c r="CA272" s="800" t="str">
        <f>IFERROR(WWWW[[#This Row],['#_Household passed]]/WWWW[[#This Row],['#_Household water samples tested for fecal coliform]],"no test")</f>
        <v>no test</v>
      </c>
      <c r="CB272" s="801" t="str">
        <f>IF(AND(WWWW[[#This Row],[% of water sources passed]]="no test",WWWW[[#This Row],[% Household passed]]="no test"),"No Test","Tested")</f>
        <v>No Test</v>
      </c>
      <c r="CC272" s="801">
        <f>WWWW[[#This Row],['#_Constructed/existing protected hand dug well]]-WWWW[[#This Row],['#_Non-functional protected hand dug well]]</f>
        <v>0</v>
      </c>
      <c r="CD272" s="801">
        <f>(WWWW[[#This Row],['#_Constructed/Existing tube wells/boreholes/handpumps_WASH_agency]]+WWWW[[#This Row],['#_Non-Cluster partner water tube-wells/boreholes/handpumps]])-WWWW[[#This Row],['#_Non-functional tube wells/boreholes/handpumps]]</f>
        <v>0</v>
      </c>
      <c r="CE272" s="801">
        <f>WWWW[[#This Row],['#_Constructed/Existingwater storage tank with gravity fed reticulation system]]-WWWW[[#This Row],['#_Non-functional storage tank gravity fed reticulation system]]</f>
        <v>1</v>
      </c>
      <c r="CF272" s="801">
        <f>(WWWW[[#This Row],['#_Water_Liters_supplied_by_Water boating or water trucking]]/90)/15</f>
        <v>0</v>
      </c>
      <c r="CG272" s="801">
        <f>WWWW[[#This Row],['#_Water_Liters_from_Constructed/Existing water distribution system from river or natural spring]]/90/15</f>
        <v>0</v>
      </c>
      <c r="CH272" s="473">
        <f>WWWW[[#This Row],['#_of water points in TLS/CFS /THF]]*500</f>
        <v>0</v>
      </c>
      <c r="CI27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27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272" s="800">
        <f>IF(WWWW[[#This Row],[Location Type 1]]="Village",WWWW[[#This Row],[Access to safe drinking water for Village]],WWWW[[#This Row],[Access to safe drinking water for Camp]])</f>
        <v>0.25252525252525254</v>
      </c>
      <c r="CL272" s="798">
        <f>WWWW[[#This Row],[%Equitable and continuous access to sufficient quantity of safe drinking water]]*WWWW[[#This Row],[Total PoP ]]</f>
        <v>66.666666666666671</v>
      </c>
      <c r="CM272" s="800">
        <f>IF((WWWW[[#This Row],['#_Constructed/Existing protected/fenced ponds]]*250)/WWWW[[#This Row],[Total PoP ]]&gt;1,1,(WWWW[[#This Row],['#_Constructed/Existing protected/fenced ponds]]*250)/WWWW[[#This Row],[Total PoP ]])</f>
        <v>0</v>
      </c>
      <c r="CN272" s="798">
        <f>WWWW[[#This Row],[% Access to unimproved water points]]*WWWW[[#This Row],[Total PoP ]]</f>
        <v>0</v>
      </c>
      <c r="CO27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27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272" s="798">
        <f>WWWW[[#This Row],[HRP1]]/500</f>
        <v>0.13333333333333333</v>
      </c>
      <c r="CR272" s="803">
        <f>1-WWWW[[#This Row],[% Equitable and continuous access to sufficient quantity of domestic water]]</f>
        <v>0.7474747474747474</v>
      </c>
      <c r="CS272" s="798">
        <f>WWWW[[#This Row],[%equitable and continuous access to sufficient quantity of safe drinking and domestic water''s GAP]]*WWWW[[#This Row],[Total PoP ]]</f>
        <v>197.33333333333331</v>
      </c>
      <c r="CT272" s="801">
        <f>IF(WWWW[[#This Row],[Total required water points]]-WWWW[[#This Row],['#Water points coverage]]&lt;0,0,WWWW[[#This Row],[Total required water points]]-WWWW[[#This Row],['#Water points coverage]])</f>
        <v>0.8666666666666667</v>
      </c>
      <c r="CU272" s="801">
        <f>ROUND(IF(WWWW[[#This Row],[Total PoP ]]&lt;500,1,WWWW[[#This Row],[Total PoP ]]/500),0)</f>
        <v>1</v>
      </c>
      <c r="CV272" s="801">
        <f>(WWWW[[#This Row],['#_Constructed latrines_by_WASHAgencies]]+WWWW[[#This Row],['#_Non Cluster partner latrines]])-WWWW[[#This Row],['#_Non-functional latrines]]</f>
        <v>28</v>
      </c>
      <c r="CW272" s="804">
        <f>WWWW[[#This Row],[HRP2]]/WWWW[[#This Row],[Total PoP ]]</f>
        <v>1</v>
      </c>
      <c r="CX27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CY27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2" s="473">
        <f>IF(WWWW[[#This Row],['# of functional latrines in THF supported by WASH partners during the reporting period2]]="",0,WWWW[[#This Row],['# of functional latrines in THF supported by WASH partners during the reporting period2]]*50)</f>
        <v>0</v>
      </c>
      <c r="DB272" s="473">
        <f>WWWW[[#This Row],['# students access to functioning school latrines_HRP5]]+WWWW[[#This Row],['# People access to functioning latrines in THF_HRP5]]</f>
        <v>0</v>
      </c>
      <c r="DC272" s="801">
        <f>ROUND(IF(WWWW[[#This Row],[Location Type 1]]="camp",WWWW[[#This Row],[Total PoP ]]/20,IF(WWWW[[#This Row],[Location Type 1]]="Temporary Location",WWWW[[#This Row],[Total PoP ]]/50,(WWWW[[#This Row],[Total PoP ]]/6))),0)</f>
        <v>13</v>
      </c>
      <c r="DD272" s="801">
        <f>IF(WWWW[[#This Row],[Total required Latrines]]-(WWWW[[#This Row],['#_Constructed latrines_by_WASHAgencies]]+WWWW[[#This Row],['#_Non Cluster partner latrines]])&lt;0,0,WWWW[[#This Row],[Total required Latrines]]-(WWWW[[#This Row],['#_Constructed latrines_by_WASHAgencies]]+WWWW[[#This Row],['#_Non Cluster partner latrines]]))</f>
        <v>0</v>
      </c>
      <c r="DE272" s="803">
        <f>1-WWWW[[#This Row],[% people access to functioning Latrine]]</f>
        <v>0</v>
      </c>
      <c r="DF272" s="802">
        <f>IF(OR(WWWW[[#This Row],['#_Non-functional latrines]]="",WWWW[[#This Row],['#_Non-functional latrines]]=0),0,WWWW[[#This Row],['#_Non-functional latrines]]/(WWWW[[#This Row],['#_Constructed latrines_by_WASHAgencies]]+WWWW[[#This Row],['#_Non Cluster partner latrines]]))</f>
        <v>0</v>
      </c>
      <c r="DG272" s="798">
        <f>IF(500*(WWWW[[#This Row],['#_male hygiene promoters]]+WWWW[[#This Row],['#_female hygiene promoters]])&gt;WWWW[[#This Row],[Total PoP ]],WWWW[[#This Row],[Total PoP ]],500*(WWWW[[#This Row],['#_male hygiene promoters]]+WWWW[[#This Row],['#_female hygiene promoters]]))</f>
        <v>0</v>
      </c>
      <c r="DH27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2" s="801">
        <f>IF(WWWW[[#This Row],['# People with access to soap]]&gt;WWWW[[#This Row],['# People with access to Sanity Pads]],WWWW[[#This Row],['# People with access to soap]],WWWW[[#This Row],['# People with access to Sanity Pads]])</f>
        <v>0</v>
      </c>
      <c r="DK27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72" s="803">
        <f>IF(WWWW[[#This Row],[HRP3]]/WWWW[[#This Row],[Total PoP ]]&gt;1,1,WWWW[[#This Row],[HRP3]]/WWWW[[#This Row],[Total PoP ]])</f>
        <v>0</v>
      </c>
      <c r="DM272" s="802">
        <f>1-WWWW[[#This Row],[Hygiene Coverage%]]</f>
        <v>1</v>
      </c>
      <c r="DN272" s="800">
        <f>WWWW[[#This Row],['# people reached by regular dedicated hygiene promotion_5]]/WWWW[[#This Row],[Total PoP ]]</f>
        <v>0</v>
      </c>
      <c r="DO27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2" s="801">
        <f>WWWW[[#This Row],['#_Constructed/Existing hand washing stations]]-WWWW[[#This Row],['#_Non-Functional_hand_washing_stations]]</f>
        <v>0</v>
      </c>
      <c r="DR272" s="798">
        <f>IF(WWWW[[#This Row],['# Functional hand washing stations during reporting period]]*20&gt;WWWW[[#This Row],[Total HH]],WWWW[[#This Row],[Total HH]],WWWW[[#This Row],['# Functional hand washing stations during reporting period]]*20)</f>
        <v>0</v>
      </c>
      <c r="DS272" s="798">
        <f>IF(WWWW[[#This Row],[Is sufficient soap available for TLS? (Yes/No)]]="yes",WWWW[[#This Row],['#_Constructed/Existing hand washing stations at TLS]],0)</f>
        <v>0</v>
      </c>
      <c r="DT272" s="479">
        <f>IF(WWWW[[#This Row],['# Functional hand washing stations during reporting period]]*100&gt;WWWW[[#This Row],[Total PoP ]],WWWW[[#This Row],[Total PoP ]],WWWW[[#This Row],['# Functional hand washing stations during reporting period]]*100)</f>
        <v>0</v>
      </c>
      <c r="DU272" s="479" t="str">
        <f>IF(OR(WWWW[[#This Row],['#_students at TLS_CFS]]="",WWWW[[#This Row],['#_students at TLS_CFS]]=0),"No","Yes")</f>
        <v>Yes</v>
      </c>
      <c r="DV27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2" s="794" t="str">
        <f>VLOOKUP(WWWW[[#This Row],[Site Name]],SiteDB6[[Site Name]:[CCCM Management]],6,FALSE)</f>
        <v>Yes</v>
      </c>
      <c r="DZ272" s="794" t="str">
        <f>VLOOKUP(WWWW[[#This Row],[Site Name]],SiteDB6[[Site Name]:[CCCM Focal Agency]],7,FALSE)</f>
        <v>KMSS-MYT</v>
      </c>
      <c r="EA272" s="794" t="str">
        <f>VLOOKUP(WWWW[[#This Row],[Site Name]],SiteDB6[[Site Name]:[Location Type 1]],9,FALSE)</f>
        <v>Camp</v>
      </c>
      <c r="EB272" s="794" t="str">
        <f>VLOOKUP(WWWW[[#This Row],[Site Name]],SiteDB6[[Site Name]:[Type of Accommodation]],10,FALSE)</f>
        <v>Camp</v>
      </c>
      <c r="EC272" s="794" t="str">
        <f>VLOOKUP(WWWW[[#This Row],[Site Name]],SiteDB6[[Site Name]:[Ethnic or GCA/NGCA]],11,FALSE)</f>
        <v>GCA</v>
      </c>
      <c r="ED272" s="794">
        <f>VLOOKUP(WWWW[[#This Row],[Site Name]],SiteDB6[[Site Name]:[Lat]],12,FALSE)</f>
        <v>25.60867</v>
      </c>
      <c r="EE272" s="794">
        <f>VLOOKUP(WWWW[[#This Row],[Site Name]],SiteDB6[[Site Name]:[Long]],13,FALSE)</f>
        <v>98.377780000000001</v>
      </c>
      <c r="EF272" s="794" t="str">
        <f>VLOOKUP(WWWW[[#This Row],[Site Name]],SiteDB6[[Site Name]:[Pcode]],3,FALSE)</f>
        <v>MMR001CMP210</v>
      </c>
      <c r="EG272" s="799" t="str">
        <f t="shared" si="6"/>
        <v>Covered</v>
      </c>
      <c r="EH272" s="799" t="str">
        <f>VLOOKUP(WWWW[[#This Row],[Site Name]],Site_DB!$C$389:$D$1120,2,FALSE)</f>
        <v>cccm_2019OCT</v>
      </c>
    </row>
    <row r="273" spans="1:138" hidden="1">
      <c r="A273" s="792" t="s">
        <v>3262</v>
      </c>
      <c r="B273" s="792" t="s">
        <v>245</v>
      </c>
      <c r="C273" s="793" t="s">
        <v>245</v>
      </c>
      <c r="D273" s="793" t="s">
        <v>310</v>
      </c>
      <c r="E273" s="793" t="s">
        <v>39</v>
      </c>
      <c r="F273" s="793" t="s">
        <v>145</v>
      </c>
      <c r="G273" s="721" t="str">
        <f>VLOOKUP(WWWW[[#This Row],[Site Name]],SiteDB6[[Site Name]:[Location Type]],8,FALSE)</f>
        <v>Camp</v>
      </c>
      <c r="H273" s="793" t="s">
        <v>273</v>
      </c>
      <c r="I273" s="795">
        <v>19</v>
      </c>
      <c r="J273" s="795">
        <v>82</v>
      </c>
      <c r="K273" s="796">
        <v>43313</v>
      </c>
      <c r="L273" s="797">
        <v>44043</v>
      </c>
      <c r="M273" s="795"/>
      <c r="N273" s="795">
        <v>1</v>
      </c>
      <c r="O273" s="795"/>
      <c r="P273" s="795"/>
      <c r="Q273" s="798" t="s">
        <v>43</v>
      </c>
      <c r="R273" s="795">
        <v>0</v>
      </c>
      <c r="S273" s="795">
        <v>4</v>
      </c>
      <c r="T273" s="523">
        <v>1</v>
      </c>
      <c r="U273" s="795"/>
      <c r="V273" s="795"/>
      <c r="W273" s="795">
        <v>1</v>
      </c>
      <c r="X273" s="795">
        <v>0</v>
      </c>
      <c r="Y273" s="795"/>
      <c r="Z273" s="795"/>
      <c r="AA273" s="795">
        <v>0</v>
      </c>
      <c r="AB273" s="795"/>
      <c r="AC273" s="795"/>
      <c r="AD273" s="795">
        <v>0</v>
      </c>
      <c r="AE273" s="795">
        <v>0</v>
      </c>
      <c r="AF273" s="795">
        <v>0</v>
      </c>
      <c r="AG273" s="795">
        <v>0</v>
      </c>
      <c r="AH273" s="795">
        <v>0</v>
      </c>
      <c r="AI273" s="795"/>
      <c r="AJ273" s="795"/>
      <c r="AK273" s="795"/>
      <c r="AL273" s="795"/>
      <c r="AM273" s="795">
        <v>0</v>
      </c>
      <c r="AN273" s="795"/>
      <c r="AO273" s="799"/>
      <c r="AP273" s="795">
        <v>6</v>
      </c>
      <c r="AQ273" s="795">
        <v>0</v>
      </c>
      <c r="AR273" s="800"/>
      <c r="AS273" s="795"/>
      <c r="AT273" s="795"/>
      <c r="AU273" s="795"/>
      <c r="AV273" s="795"/>
      <c r="AW273" s="795">
        <v>0</v>
      </c>
      <c r="AX273" s="794" t="s">
        <v>43</v>
      </c>
      <c r="AY273" s="799" t="s">
        <v>140</v>
      </c>
      <c r="AZ273" s="795">
        <v>0</v>
      </c>
      <c r="BA273" s="795">
        <v>0</v>
      </c>
      <c r="BB273" s="795">
        <v>0</v>
      </c>
      <c r="BC273" s="523"/>
      <c r="BD273" s="523"/>
      <c r="BE273" s="794"/>
      <c r="BF273" s="795">
        <v>4</v>
      </c>
      <c r="BG273" s="795"/>
      <c r="BH273" s="795">
        <v>0</v>
      </c>
      <c r="BI273" s="795">
        <v>2</v>
      </c>
      <c r="BJ273" s="795"/>
      <c r="BK273" s="795">
        <v>0</v>
      </c>
      <c r="BL273" s="795">
        <v>0</v>
      </c>
      <c r="BM273" s="795"/>
      <c r="BN273" s="795"/>
      <c r="BO273" s="474" t="s">
        <v>139</v>
      </c>
      <c r="BP273" s="801"/>
      <c r="BQ273" s="800"/>
      <c r="BR273" s="794"/>
      <c r="BS273" s="472"/>
      <c r="BT273" s="472"/>
      <c r="BU273" s="720"/>
      <c r="BV273" s="472"/>
      <c r="BW273" s="523"/>
      <c r="BX273" s="523"/>
      <c r="BY273" s="523"/>
      <c r="BZ273" s="802" t="str">
        <f>IFERROR(WWWW[[#This Row],['#_Water sources passed]]/WWWW[[#This Row],['#_Water sources tested for fecal coliform ]],"no test")</f>
        <v>no test</v>
      </c>
      <c r="CA273" s="800" t="str">
        <f>IFERROR(WWWW[[#This Row],['#_Household passed]]/WWWW[[#This Row],['#_Household water samples tested for fecal coliform]],"no test")</f>
        <v>no test</v>
      </c>
      <c r="CB273" s="801" t="str">
        <f>IF(AND(WWWW[[#This Row],[% of water sources passed]]="no test",WWWW[[#This Row],[% Household passed]]="no test"),"No Test","Tested")</f>
        <v>No Test</v>
      </c>
      <c r="CC273" s="801">
        <f>WWWW[[#This Row],['#_Constructed/existing protected hand dug well]]-WWWW[[#This Row],['#_Non-functional protected hand dug well]]</f>
        <v>1</v>
      </c>
      <c r="CD273" s="801">
        <f>(WWWW[[#This Row],['#_Constructed/Existing tube wells/boreholes/handpumps_WASH_agency]]+WWWW[[#This Row],['#_Non-Cluster partner water tube-wells/boreholes/handpumps]])-WWWW[[#This Row],['#_Non-functional tube wells/boreholes/handpumps]]</f>
        <v>1</v>
      </c>
      <c r="CE273" s="801">
        <f>WWWW[[#This Row],['#_Constructed/Existingwater storage tank with gravity fed reticulation system]]-WWWW[[#This Row],['#_Non-functional storage tank gravity fed reticulation system]]</f>
        <v>0</v>
      </c>
      <c r="CF273" s="801">
        <f>(WWWW[[#This Row],['#_Water_Liters_supplied_by_Water boating or water trucking]]/90)/15</f>
        <v>0</v>
      </c>
      <c r="CG273" s="801">
        <f>WWWW[[#This Row],['#_Water_Liters_from_Constructed/Existing water distribution system from river or natural spring]]/90/15</f>
        <v>0</v>
      </c>
      <c r="CH273" s="473">
        <f>WWWW[[#This Row],['#_of water points in TLS/CFS /THF]]*500</f>
        <v>0</v>
      </c>
      <c r="CI27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3" s="800">
        <f>IF(WWWW[[#This Row],[Location Type 1]]="Village",WWWW[[#This Row],[Access to safe drinking water for Village]],WWWW[[#This Row],[Access to safe drinking water for Camp]])</f>
        <v>1</v>
      </c>
      <c r="CL273" s="798">
        <f>WWWW[[#This Row],[%Equitable and continuous access to sufficient quantity of safe drinking water]]*WWWW[[#This Row],[Total PoP ]]</f>
        <v>82</v>
      </c>
      <c r="CM273" s="800">
        <f>IF((WWWW[[#This Row],['#_Constructed/Existing protected/fenced ponds]]*250)/WWWW[[#This Row],[Total PoP ]]&gt;1,1,(WWWW[[#This Row],['#_Constructed/Existing protected/fenced ponds]]*250)/WWWW[[#This Row],[Total PoP ]])</f>
        <v>0</v>
      </c>
      <c r="CN273" s="798">
        <f>WWWW[[#This Row],[% Access to unimproved water points]]*WWWW[[#This Row],[Total PoP ]]</f>
        <v>0</v>
      </c>
      <c r="CO27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Q273" s="798">
        <f>WWWW[[#This Row],[HRP1]]/500</f>
        <v>0.16400000000000001</v>
      </c>
      <c r="CR273" s="803">
        <f>1-WWWW[[#This Row],[% Equitable and continuous access to sufficient quantity of domestic water]]</f>
        <v>0</v>
      </c>
      <c r="CS273" s="798">
        <f>WWWW[[#This Row],[%equitable and continuous access to sufficient quantity of safe drinking and domestic water''s GAP]]*WWWW[[#This Row],[Total PoP ]]</f>
        <v>0</v>
      </c>
      <c r="CT273" s="801">
        <f>IF(WWWW[[#This Row],[Total required water points]]-WWWW[[#This Row],['#Water points coverage]]&lt;0,0,WWWW[[#This Row],[Total required water points]]-WWWW[[#This Row],['#Water points coverage]])</f>
        <v>0.83599999999999997</v>
      </c>
      <c r="CU273" s="801">
        <f>ROUND(IF(WWWW[[#This Row],[Total PoP ]]&lt;500,1,WWWW[[#This Row],[Total PoP ]]/500),0)</f>
        <v>1</v>
      </c>
      <c r="CV273" s="801">
        <f>(WWWW[[#This Row],['#_Constructed latrines_by_WASHAgencies]]+WWWW[[#This Row],['#_Non Cluster partner latrines]])-WWWW[[#This Row],['#_Non-functional latrines]]</f>
        <v>6</v>
      </c>
      <c r="CW273" s="804">
        <f>WWWW[[#This Row],[HRP2]]/WWWW[[#This Row],[Total PoP ]]</f>
        <v>1</v>
      </c>
      <c r="CX27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82</v>
      </c>
      <c r="CY27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3" s="473">
        <f>IF(WWWW[[#This Row],['# of functional latrines in THF supported by WASH partners during the reporting period2]]="",0,WWWW[[#This Row],['# of functional latrines in THF supported by WASH partners during the reporting period2]]*50)</f>
        <v>0</v>
      </c>
      <c r="DB273" s="473">
        <f>WWWW[[#This Row],['# students access to functioning school latrines_HRP5]]+WWWW[[#This Row],['# People access to functioning latrines in THF_HRP5]]</f>
        <v>0</v>
      </c>
      <c r="DC273" s="801">
        <f>ROUND(IF(WWWW[[#This Row],[Location Type 1]]="camp",WWWW[[#This Row],[Total PoP ]]/20,IF(WWWW[[#This Row],[Location Type 1]]="Temporary Location",WWWW[[#This Row],[Total PoP ]]/50,(WWWW[[#This Row],[Total PoP ]]/6))),0)</f>
        <v>4</v>
      </c>
      <c r="DD273" s="801">
        <f>IF(WWWW[[#This Row],[Total required Latrines]]-(WWWW[[#This Row],['#_Constructed latrines_by_WASHAgencies]]+WWWW[[#This Row],['#_Non Cluster partner latrines]])&lt;0,0,WWWW[[#This Row],[Total required Latrines]]-(WWWW[[#This Row],['#_Constructed latrines_by_WASHAgencies]]+WWWW[[#This Row],['#_Non Cluster partner latrines]]))</f>
        <v>0</v>
      </c>
      <c r="DE273" s="803">
        <f>1-WWWW[[#This Row],[% people access to functioning Latrine]]</f>
        <v>0</v>
      </c>
      <c r="DF273" s="802">
        <f>IF(OR(WWWW[[#This Row],['#_Non-functional latrines]]="",WWWW[[#This Row],['#_Non-functional latrines]]=0),0,WWWW[[#This Row],['#_Non-functional latrines]]/(WWWW[[#This Row],['#_Constructed latrines_by_WASHAgencies]]+WWWW[[#This Row],['#_Non Cluster partner latrines]]))</f>
        <v>0</v>
      </c>
      <c r="DG273" s="798">
        <f>IF(500*(WWWW[[#This Row],['#_male hygiene promoters]]+WWWW[[#This Row],['#_female hygiene promoters]])&gt;WWWW[[#This Row],[Total PoP ]],WWWW[[#This Row],[Total PoP ]],500*(WWWW[[#This Row],['#_male hygiene promoters]]+WWWW[[#This Row],['#_female hygiene promoters]]))</f>
        <v>0</v>
      </c>
      <c r="DH27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3" s="801">
        <f>IF(WWWW[[#This Row],['# People with access to soap]]&gt;WWWW[[#This Row],['# People with access to Sanity Pads]],WWWW[[#This Row],['# People with access to soap]],WWWW[[#This Row],['# People with access to Sanity Pads]])</f>
        <v>0</v>
      </c>
      <c r="DK27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73" s="803">
        <f>IF(WWWW[[#This Row],[HRP3]]/WWWW[[#This Row],[Total PoP ]]&gt;1,1,WWWW[[#This Row],[HRP3]]/WWWW[[#This Row],[Total PoP ]])</f>
        <v>0</v>
      </c>
      <c r="DM273" s="802">
        <f>1-WWWW[[#This Row],[Hygiene Coverage%]]</f>
        <v>1</v>
      </c>
      <c r="DN273" s="800">
        <f>WWWW[[#This Row],['# people reached by regular dedicated hygiene promotion_5]]/WWWW[[#This Row],[Total PoP ]]</f>
        <v>0</v>
      </c>
      <c r="DO27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3" s="801">
        <f>WWWW[[#This Row],['#_Constructed/Existing hand washing stations]]-WWWW[[#This Row],['#_Non-Functional_hand_washing_stations]]</f>
        <v>4</v>
      </c>
      <c r="DR273" s="798">
        <f>IF(WWWW[[#This Row],['# Functional hand washing stations during reporting period]]*20&gt;WWWW[[#This Row],[Total HH]],WWWW[[#This Row],[Total HH]],WWWW[[#This Row],['# Functional hand washing stations during reporting period]]*20)</f>
        <v>19</v>
      </c>
      <c r="DS273" s="798">
        <f>IF(WWWW[[#This Row],[Is sufficient soap available for TLS? (Yes/No)]]="yes",WWWW[[#This Row],['#_Constructed/Existing hand washing stations at TLS]],0)</f>
        <v>0</v>
      </c>
      <c r="DT273" s="479">
        <f>IF(WWWW[[#This Row],['# Functional hand washing stations during reporting period]]*100&gt;WWWW[[#This Row],[Total PoP ]],WWWW[[#This Row],[Total PoP ]],WWWW[[#This Row],['# Functional hand washing stations during reporting period]]*100)</f>
        <v>82</v>
      </c>
      <c r="DU273" s="479" t="str">
        <f>IF(OR(WWWW[[#This Row],['#_students at TLS_CFS]]="",WWWW[[#This Row],['#_students at TLS_CFS]]=0),"No","Yes")</f>
        <v>No</v>
      </c>
      <c r="DV27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3" s="794" t="str">
        <f>VLOOKUP(WWWW[[#This Row],[Site Name]],SiteDB6[[Site Name]:[CCCM Management]],6,FALSE)</f>
        <v>Yes</v>
      </c>
      <c r="DZ273" s="794" t="str">
        <f>VLOOKUP(WWWW[[#This Row],[Site Name]],SiteDB6[[Site Name]:[CCCM Focal Agency]],7,FALSE)</f>
        <v>Shalom</v>
      </c>
      <c r="EA273" s="794" t="str">
        <f>VLOOKUP(WWWW[[#This Row],[Site Name]],SiteDB6[[Site Name]:[Location Type 1]],9,FALSE)</f>
        <v>Camp</v>
      </c>
      <c r="EB273" s="794" t="str">
        <f>VLOOKUP(WWWW[[#This Row],[Site Name]],SiteDB6[[Site Name]:[Type of Accommodation]],10,FALSE)</f>
        <v>Camp</v>
      </c>
      <c r="EC273" s="794" t="str">
        <f>VLOOKUP(WWWW[[#This Row],[Site Name]],SiteDB6[[Site Name]:[Ethnic or GCA/NGCA]],11,FALSE)</f>
        <v>GCA</v>
      </c>
      <c r="ED273" s="794">
        <f>VLOOKUP(WWWW[[#This Row],[Site Name]],SiteDB6[[Site Name]:[Lat]],12,FALSE)</f>
        <v>25.351965</v>
      </c>
      <c r="EE273" s="794">
        <f>VLOOKUP(WWWW[[#This Row],[Site Name]],SiteDB6[[Site Name]:[Long]],13,FALSE)</f>
        <v>97.345039</v>
      </c>
      <c r="EF273" s="794" t="str">
        <f>VLOOKUP(WWWW[[#This Row],[Site Name]],SiteDB6[[Site Name]:[Pcode]],3,FALSE)</f>
        <v>MMR001CMP033</v>
      </c>
      <c r="EG273" s="799" t="str">
        <f t="shared" si="6"/>
        <v>Covered</v>
      </c>
      <c r="EH273" s="799" t="str">
        <f>VLOOKUP(WWWW[[#This Row],[Site Name]],Site_DB!$C$389:$D$1120,2,FALSE)</f>
        <v>cccm_2019OCT</v>
      </c>
    </row>
    <row r="274" spans="1:138" hidden="1">
      <c r="A274" s="792" t="s">
        <v>3262</v>
      </c>
      <c r="B274" s="792" t="s">
        <v>38</v>
      </c>
      <c r="C274" s="793" t="s">
        <v>38</v>
      </c>
      <c r="D274" s="793" t="s">
        <v>3372</v>
      </c>
      <c r="E274" s="793" t="s">
        <v>39</v>
      </c>
      <c r="F274" s="793" t="s">
        <v>149</v>
      </c>
      <c r="G274" s="721" t="str">
        <f>VLOOKUP(WWWW[[#This Row],[Site Name]],SiteDB6[[Site Name]:[Location Type]],8,FALSE)</f>
        <v>Camp</v>
      </c>
      <c r="H274" s="793" t="s">
        <v>230</v>
      </c>
      <c r="I274" s="523">
        <v>31</v>
      </c>
      <c r="J274" s="523">
        <v>173</v>
      </c>
      <c r="K274" s="407" t="s">
        <v>3619</v>
      </c>
      <c r="L274" s="56" t="s">
        <v>3620</v>
      </c>
      <c r="M274" s="523"/>
      <c r="N274" s="795"/>
      <c r="O274" s="795"/>
      <c r="P274" s="795"/>
      <c r="Q274" s="798" t="s">
        <v>43</v>
      </c>
      <c r="R274" s="795"/>
      <c r="S274" s="795"/>
      <c r="T274" s="523"/>
      <c r="U274" s="795"/>
      <c r="V274" s="795"/>
      <c r="W274" s="795"/>
      <c r="X274" s="795"/>
      <c r="Y274" s="795"/>
      <c r="Z274" s="795"/>
      <c r="AA274" s="795"/>
      <c r="AB274" s="795"/>
      <c r="AC274" s="795"/>
      <c r="AD274" s="795"/>
      <c r="AE274" s="795"/>
      <c r="AF274" s="795"/>
      <c r="AG274" s="795"/>
      <c r="AH274" s="795"/>
      <c r="AI274" s="795"/>
      <c r="AJ274" s="795"/>
      <c r="AK274" s="795"/>
      <c r="AL274" s="795"/>
      <c r="AM274" s="795"/>
      <c r="AN274" s="795"/>
      <c r="AO274" s="799"/>
      <c r="AP274" s="795">
        <v>10</v>
      </c>
      <c r="AQ274" s="795"/>
      <c r="AR274" s="800"/>
      <c r="AS274" s="795"/>
      <c r="AT274" s="795"/>
      <c r="AU274" s="795"/>
      <c r="AV274" s="795"/>
      <c r="AW274" s="795"/>
      <c r="AX274" s="794" t="s">
        <v>43</v>
      </c>
      <c r="AY274" s="799" t="s">
        <v>140</v>
      </c>
      <c r="AZ274" s="795">
        <v>2</v>
      </c>
      <c r="BA274" s="795"/>
      <c r="BB274" s="795"/>
      <c r="BC274" s="523"/>
      <c r="BD274" s="523"/>
      <c r="BE274" s="794"/>
      <c r="BF274" s="795"/>
      <c r="BG274" s="795"/>
      <c r="BH274" s="795"/>
      <c r="BI274" s="795"/>
      <c r="BJ274" s="795"/>
      <c r="BK274" s="795">
        <v>1</v>
      </c>
      <c r="BL274" s="795"/>
      <c r="BM274" s="795"/>
      <c r="BN274" s="795"/>
      <c r="BO274" s="794"/>
      <c r="BP274" s="801"/>
      <c r="BQ274" s="800"/>
      <c r="BR274" s="794"/>
      <c r="BS274" s="472"/>
      <c r="BT274" s="472"/>
      <c r="BU274" s="523"/>
      <c r="BV274" s="472"/>
      <c r="BW274" s="523"/>
      <c r="BX274" s="523"/>
      <c r="BY274" s="523"/>
      <c r="BZ274" s="802" t="str">
        <f>IFERROR(WWWW[[#This Row],['#_Water sources passed]]/WWWW[[#This Row],['#_Water sources tested for fecal coliform ]],"no test")</f>
        <v>no test</v>
      </c>
      <c r="CA274" s="800" t="str">
        <f>IFERROR(WWWW[[#This Row],['#_Household passed]]/WWWW[[#This Row],['#_Household water samples tested for fecal coliform]],"no test")</f>
        <v>no test</v>
      </c>
      <c r="CB274" s="801" t="str">
        <f>IF(AND(WWWW[[#This Row],[% of water sources passed]]="no test",WWWW[[#This Row],[% Household passed]]="no test"),"No Test","Tested")</f>
        <v>No Test</v>
      </c>
      <c r="CC274" s="801">
        <f>WWWW[[#This Row],['#_Constructed/existing protected hand dug well]]-WWWW[[#This Row],['#_Non-functional protected hand dug well]]</f>
        <v>0</v>
      </c>
      <c r="CD274" s="801">
        <f>(WWWW[[#This Row],['#_Constructed/Existing tube wells/boreholes/handpumps_WASH_agency]]+WWWW[[#This Row],['#_Non-Cluster partner water tube-wells/boreholes/handpumps]])-WWWW[[#This Row],['#_Non-functional tube wells/boreholes/handpumps]]</f>
        <v>0</v>
      </c>
      <c r="CE274" s="801">
        <f>WWWW[[#This Row],['#_Constructed/Existingwater storage tank with gravity fed reticulation system]]-WWWW[[#This Row],['#_Non-functional storage tank gravity fed reticulation system]]</f>
        <v>0</v>
      </c>
      <c r="CF274" s="801">
        <f>(WWWW[[#This Row],['#_Water_Liters_supplied_by_Water boating or water trucking]]/90)/15</f>
        <v>0</v>
      </c>
      <c r="CG274" s="801">
        <f>WWWW[[#This Row],['#_Water_Liters_from_Constructed/Existing water distribution system from river or natural spring]]/90/15</f>
        <v>0</v>
      </c>
      <c r="CH274" s="473">
        <f>WWWW[[#This Row],['#_of water points in TLS/CFS /THF]]*500</f>
        <v>0</v>
      </c>
      <c r="CI27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4" s="800">
        <f>IF(WWWW[[#This Row],[Location Type 1]]="Village",WWWW[[#This Row],[Access to safe drinking water for Village]],WWWW[[#This Row],[Access to safe drinking water for Camp]])</f>
        <v>0</v>
      </c>
      <c r="CL274" s="798">
        <f>WWWW[[#This Row],[%Equitable and continuous access to sufficient quantity of safe drinking water]]*WWWW[[#This Row],[Total PoP ]]</f>
        <v>0</v>
      </c>
      <c r="CM274" s="800">
        <f>IF((WWWW[[#This Row],['#_Constructed/Existing protected/fenced ponds]]*250)/WWWW[[#This Row],[Total PoP ]]&gt;1,1,(WWWW[[#This Row],['#_Constructed/Existing protected/fenced ponds]]*250)/WWWW[[#This Row],[Total PoP ]])</f>
        <v>0</v>
      </c>
      <c r="CN274" s="798">
        <f>WWWW[[#This Row],[% Access to unimproved water points]]*WWWW[[#This Row],[Total PoP ]]</f>
        <v>0</v>
      </c>
      <c r="CO27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4" s="798">
        <f>WWWW[[#This Row],[HRP1]]/500</f>
        <v>0</v>
      </c>
      <c r="CR274" s="803">
        <f>1-WWWW[[#This Row],[% Equitable and continuous access to sufficient quantity of domestic water]]</f>
        <v>1</v>
      </c>
      <c r="CS274" s="798">
        <f>WWWW[[#This Row],[%equitable and continuous access to sufficient quantity of safe drinking and domestic water''s GAP]]*WWWW[[#This Row],[Total PoP ]]</f>
        <v>173</v>
      </c>
      <c r="CT274" s="801">
        <f>IF(WWWW[[#This Row],[Total required water points]]-WWWW[[#This Row],['#Water points coverage]]&lt;0,0,WWWW[[#This Row],[Total required water points]]-WWWW[[#This Row],['#Water points coverage]])</f>
        <v>1</v>
      </c>
      <c r="CU274" s="801">
        <f>ROUND(IF(WWWW[[#This Row],[Total PoP ]]&lt;500,1,WWWW[[#This Row],[Total PoP ]]/500),0)</f>
        <v>1</v>
      </c>
      <c r="CV274" s="801">
        <f>(WWWW[[#This Row],['#_Constructed latrines_by_WASHAgencies]]+WWWW[[#This Row],['#_Non Cluster partner latrines]])-WWWW[[#This Row],['#_Non-functional latrines]]</f>
        <v>10</v>
      </c>
      <c r="CW274" s="804">
        <f>WWWW[[#This Row],[HRP2]]/WWWW[[#This Row],[Total PoP ]]</f>
        <v>1</v>
      </c>
      <c r="CX27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v>
      </c>
      <c r="CY27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4" s="473">
        <f>IF(WWWW[[#This Row],['# of functional latrines in THF supported by WASH partners during the reporting period2]]="",0,WWWW[[#This Row],['# of functional latrines in THF supported by WASH partners during the reporting period2]]*50)</f>
        <v>0</v>
      </c>
      <c r="DB274" s="473">
        <f>WWWW[[#This Row],['# students access to functioning school latrines_HRP5]]+WWWW[[#This Row],['# People access to functioning latrines in THF_HRP5]]</f>
        <v>0</v>
      </c>
      <c r="DC274" s="801">
        <f>ROUND(IF(WWWW[[#This Row],[Location Type 1]]="camp",WWWW[[#This Row],[Total PoP ]]/20,IF(WWWW[[#This Row],[Location Type 1]]="Temporary Location",WWWW[[#This Row],[Total PoP ]]/50,(WWWW[[#This Row],[Total PoP ]]/6))),0)</f>
        <v>9</v>
      </c>
      <c r="DD274" s="801">
        <f>IF(WWWW[[#This Row],[Total required Latrines]]-(WWWW[[#This Row],['#_Constructed latrines_by_WASHAgencies]]+WWWW[[#This Row],['#_Non Cluster partner latrines]])&lt;0,0,WWWW[[#This Row],[Total required Latrines]]-(WWWW[[#This Row],['#_Constructed latrines_by_WASHAgencies]]+WWWW[[#This Row],['#_Non Cluster partner latrines]]))</f>
        <v>0</v>
      </c>
      <c r="DE274" s="803">
        <f>1-WWWW[[#This Row],[% people access to functioning Latrine]]</f>
        <v>0</v>
      </c>
      <c r="DF274" s="802">
        <f>IF(OR(WWWW[[#This Row],['#_Non-functional latrines]]="",WWWW[[#This Row],['#_Non-functional latrines]]=0),0,WWWW[[#This Row],['#_Non-functional latrines]]/(WWWW[[#This Row],['#_Constructed latrines_by_WASHAgencies]]+WWWW[[#This Row],['#_Non Cluster partner latrines]]))</f>
        <v>0</v>
      </c>
      <c r="DG274" s="798">
        <f>IF(500*(WWWW[[#This Row],['#_male hygiene promoters]]+WWWW[[#This Row],['#_female hygiene promoters]])&gt;WWWW[[#This Row],[Total PoP ]],WWWW[[#This Row],[Total PoP ]],500*(WWWW[[#This Row],['#_male hygiene promoters]]+WWWW[[#This Row],['#_female hygiene promoters]]))</f>
        <v>173</v>
      </c>
      <c r="DH27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4" s="801">
        <f>IF(WWWW[[#This Row],['# People with access to soap]]&gt;WWWW[[#This Row],['# People with access to Sanity Pads]],WWWW[[#This Row],['# People with access to soap]],WWWW[[#This Row],['# People with access to Sanity Pads]])</f>
        <v>0</v>
      </c>
      <c r="DK274" s="801">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L274" s="803">
        <f>IF(WWWW[[#This Row],[HRP3]]/WWWW[[#This Row],[Total PoP ]]&gt;1,1,WWWW[[#This Row],[HRP3]]/WWWW[[#This Row],[Total PoP ]])</f>
        <v>1</v>
      </c>
      <c r="DM274" s="802">
        <f>1-WWWW[[#This Row],[Hygiene Coverage%]]</f>
        <v>0</v>
      </c>
      <c r="DN274" s="800">
        <f>WWWW[[#This Row],['# people reached by regular dedicated hygiene promotion_5]]/WWWW[[#This Row],[Total PoP ]]</f>
        <v>1</v>
      </c>
      <c r="DO27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4" s="801">
        <f>WWWW[[#This Row],['#_Constructed/Existing hand washing stations]]-WWWW[[#This Row],['#_Non-Functional_hand_washing_stations]]</f>
        <v>0</v>
      </c>
      <c r="DR274" s="798">
        <f>IF(WWWW[[#This Row],['# Functional hand washing stations during reporting period]]*20&gt;WWWW[[#This Row],[Total HH]],WWWW[[#This Row],[Total HH]],WWWW[[#This Row],['# Functional hand washing stations during reporting period]]*20)</f>
        <v>0</v>
      </c>
      <c r="DS274" s="798">
        <f>IF(WWWW[[#This Row],[Is sufficient soap available for TLS? (Yes/No)]]="yes",WWWW[[#This Row],['#_Constructed/Existing hand washing stations at TLS]],0)</f>
        <v>0</v>
      </c>
      <c r="DT274" s="479">
        <f>IF(WWWW[[#This Row],['# Functional hand washing stations during reporting period]]*100&gt;WWWW[[#This Row],[Total PoP ]],WWWW[[#This Row],[Total PoP ]],WWWW[[#This Row],['# Functional hand washing stations during reporting period]]*100)</f>
        <v>0</v>
      </c>
      <c r="DU274" s="479" t="str">
        <f>IF(OR(WWWW[[#This Row],['#_students at TLS_CFS]]="",WWWW[[#This Row],['#_students at TLS_CFS]]=0),"No","Yes")</f>
        <v>No</v>
      </c>
      <c r="DV27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4" s="794" t="str">
        <f>VLOOKUP(WWWW[[#This Row],[Site Name]],SiteDB6[[Site Name]:[CCCM Management]],6,FALSE)</f>
        <v>Yes</v>
      </c>
      <c r="DZ274" s="794" t="str">
        <f>VLOOKUP(WWWW[[#This Row],[Site Name]],SiteDB6[[Site Name]:[CCCM Focal Agency]],7,FALSE)</f>
        <v>KMSS-MYT</v>
      </c>
      <c r="EA274" s="794" t="str">
        <f>VLOOKUP(WWWW[[#This Row],[Site Name]],SiteDB6[[Site Name]:[Location Type 1]],9,FALSE)</f>
        <v>Camp</v>
      </c>
      <c r="EB274" s="794" t="str">
        <f>VLOOKUP(WWWW[[#This Row],[Site Name]],SiteDB6[[Site Name]:[Type of Accommodation]],10,FALSE)</f>
        <v>Camp</v>
      </c>
      <c r="EC274" s="794" t="str">
        <f>VLOOKUP(WWWW[[#This Row],[Site Name]],SiteDB6[[Site Name]:[Ethnic or GCA/NGCA]],11,FALSE)</f>
        <v>GCA</v>
      </c>
      <c r="ED274" s="794">
        <f>VLOOKUP(WWWW[[#This Row],[Site Name]],SiteDB6[[Site Name]:[Lat]],12,FALSE)</f>
        <v>25.645959999999999</v>
      </c>
      <c r="EE274" s="794">
        <f>VLOOKUP(WWWW[[#This Row],[Site Name]],SiteDB6[[Site Name]:[Long]],13,FALSE)</f>
        <v>98.356260000000006</v>
      </c>
      <c r="EF274" s="794" t="str">
        <f>VLOOKUP(WWWW[[#This Row],[Site Name]],SiteDB6[[Site Name]:[Pcode]],3,FALSE)</f>
        <v>MMR001CMP225</v>
      </c>
      <c r="EG274" s="799" t="str">
        <f t="shared" si="6"/>
        <v>Covered</v>
      </c>
      <c r="EH274" s="799" t="str">
        <f>VLOOKUP(WWWW[[#This Row],[Site Name]],Site_DB!$C$389:$D$1120,2,FALSE)</f>
        <v>cccm_2019OCT</v>
      </c>
    </row>
    <row r="275" spans="1:138" hidden="1">
      <c r="A275" s="792" t="s">
        <v>3262</v>
      </c>
      <c r="B275" s="792" t="s">
        <v>38</v>
      </c>
      <c r="C275" s="793" t="s">
        <v>38</v>
      </c>
      <c r="D275" s="793" t="s">
        <v>3049</v>
      </c>
      <c r="E275" s="793" t="s">
        <v>39</v>
      </c>
      <c r="F275" s="793" t="s">
        <v>160</v>
      </c>
      <c r="G275" s="721" t="str">
        <f>VLOOKUP(WWWW[[#This Row],[Site Name]],SiteDB6[[Site Name]:[Location Type]],8,FALSE)</f>
        <v>Camp</v>
      </c>
      <c r="H275" s="793" t="s">
        <v>242</v>
      </c>
      <c r="I275" s="795">
        <v>11</v>
      </c>
      <c r="J275" s="795">
        <v>52</v>
      </c>
      <c r="K275" s="407" t="s">
        <v>3619</v>
      </c>
      <c r="L275" s="56" t="s">
        <v>3620</v>
      </c>
      <c r="M275" s="523">
        <v>32</v>
      </c>
      <c r="N275" s="523"/>
      <c r="O275" s="523"/>
      <c r="P275" s="523"/>
      <c r="Q275" s="479" t="s">
        <v>43</v>
      </c>
      <c r="R275" s="795"/>
      <c r="S275" s="795"/>
      <c r="T275" s="523">
        <v>1</v>
      </c>
      <c r="U275" s="795"/>
      <c r="V275" s="795"/>
      <c r="W275" s="795"/>
      <c r="X275" s="795"/>
      <c r="Y275" s="795"/>
      <c r="Z275" s="795"/>
      <c r="AA275" s="795"/>
      <c r="AB275" s="795"/>
      <c r="AC275" s="795"/>
      <c r="AD275" s="795"/>
      <c r="AE275" s="795"/>
      <c r="AF275" s="795"/>
      <c r="AG275" s="795"/>
      <c r="AH275" s="795"/>
      <c r="AI275" s="795"/>
      <c r="AJ275" s="795"/>
      <c r="AK275" s="795"/>
      <c r="AL275" s="795"/>
      <c r="AM275" s="795"/>
      <c r="AN275" s="795"/>
      <c r="AO275" s="799"/>
      <c r="AP275" s="795">
        <v>7</v>
      </c>
      <c r="AQ275" s="795"/>
      <c r="AR275" s="800"/>
      <c r="AS275" s="795"/>
      <c r="AT275" s="795"/>
      <c r="AU275" s="795"/>
      <c r="AV275" s="795"/>
      <c r="AW275" s="795"/>
      <c r="AX275" s="794" t="s">
        <v>43</v>
      </c>
      <c r="AY275" s="799" t="s">
        <v>140</v>
      </c>
      <c r="AZ275" s="795">
        <v>1</v>
      </c>
      <c r="BA275" s="795"/>
      <c r="BB275" s="795"/>
      <c r="BC275" s="523"/>
      <c r="BD275" s="523"/>
      <c r="BE275" s="794"/>
      <c r="BF275" s="795"/>
      <c r="BG275" s="795"/>
      <c r="BH275" s="795"/>
      <c r="BI275" s="795">
        <v>2</v>
      </c>
      <c r="BJ275" s="795"/>
      <c r="BK275" s="795"/>
      <c r="BL275" s="795">
        <v>1</v>
      </c>
      <c r="BM275" s="795"/>
      <c r="BN275" s="795"/>
      <c r="BO275" s="794"/>
      <c r="BP275" s="801"/>
      <c r="BQ275" s="800"/>
      <c r="BR275" s="794"/>
      <c r="BS275" s="472"/>
      <c r="BT275" s="472"/>
      <c r="BU275" s="523"/>
      <c r="BV275" s="472"/>
      <c r="BW275" s="523"/>
      <c r="BX275" s="523"/>
      <c r="BY275" s="523"/>
      <c r="BZ275" s="802" t="str">
        <f>IFERROR(WWWW[[#This Row],['#_Water sources passed]]/WWWW[[#This Row],['#_Water sources tested for fecal coliform ]],"no test")</f>
        <v>no test</v>
      </c>
      <c r="CA275" s="800" t="str">
        <f>IFERROR(WWWW[[#This Row],['#_Household passed]]/WWWW[[#This Row],['#_Household water samples tested for fecal coliform]],"no test")</f>
        <v>no test</v>
      </c>
      <c r="CB275" s="801" t="str">
        <f>IF(AND(WWWW[[#This Row],[% of water sources passed]]="no test",WWWW[[#This Row],[% Household passed]]="no test"),"No Test","Tested")</f>
        <v>No Test</v>
      </c>
      <c r="CC275" s="801">
        <f>WWWW[[#This Row],['#_Constructed/existing protected hand dug well]]-WWWW[[#This Row],['#_Non-functional protected hand dug well]]</f>
        <v>1</v>
      </c>
      <c r="CD275" s="801">
        <f>(WWWW[[#This Row],['#_Constructed/Existing tube wells/boreholes/handpumps_WASH_agency]]+WWWW[[#This Row],['#_Non-Cluster partner water tube-wells/boreholes/handpumps]])-WWWW[[#This Row],['#_Non-functional tube wells/boreholes/handpumps]]</f>
        <v>0</v>
      </c>
      <c r="CE275" s="801">
        <f>WWWW[[#This Row],['#_Constructed/Existingwater storage tank with gravity fed reticulation system]]-WWWW[[#This Row],['#_Non-functional storage tank gravity fed reticulation system]]</f>
        <v>0</v>
      </c>
      <c r="CF275" s="801">
        <f>(WWWW[[#This Row],['#_Water_Liters_supplied_by_Water boating or water trucking]]/90)/15</f>
        <v>0</v>
      </c>
      <c r="CG275" s="801">
        <f>WWWW[[#This Row],['#_Water_Liters_from_Constructed/Existing water distribution system from river or natural spring]]/90/15</f>
        <v>0</v>
      </c>
      <c r="CH275" s="473">
        <f>WWWW[[#This Row],['#_of water points in TLS/CFS /THF]]*500</f>
        <v>0</v>
      </c>
      <c r="CI27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5" s="800">
        <f>IF(WWWW[[#This Row],[Location Type 1]]="Village",WWWW[[#This Row],[Access to safe drinking water for Village]],WWWW[[#This Row],[Access to safe drinking water for Camp]])</f>
        <v>1</v>
      </c>
      <c r="CL275" s="798">
        <f>WWWW[[#This Row],[%Equitable and continuous access to sufficient quantity of safe drinking water]]*WWWW[[#This Row],[Total PoP ]]</f>
        <v>52</v>
      </c>
      <c r="CM275" s="800">
        <f>IF((WWWW[[#This Row],['#_Constructed/Existing protected/fenced ponds]]*250)/WWWW[[#This Row],[Total PoP ]]&gt;1,1,(WWWW[[#This Row],['#_Constructed/Existing protected/fenced ponds]]*250)/WWWW[[#This Row],[Total PoP ]])</f>
        <v>0</v>
      </c>
      <c r="CN275" s="798">
        <f>WWWW[[#This Row],[% Access to unimproved water points]]*WWWW[[#This Row],[Total PoP ]]</f>
        <v>0</v>
      </c>
      <c r="CO27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Q275" s="798">
        <f>WWWW[[#This Row],[HRP1]]/500</f>
        <v>0.104</v>
      </c>
      <c r="CR275" s="803">
        <f>1-WWWW[[#This Row],[% Equitable and continuous access to sufficient quantity of domestic water]]</f>
        <v>0</v>
      </c>
      <c r="CS275" s="798">
        <f>WWWW[[#This Row],[%equitable and continuous access to sufficient quantity of safe drinking and domestic water''s GAP]]*WWWW[[#This Row],[Total PoP ]]</f>
        <v>0</v>
      </c>
      <c r="CT275" s="801">
        <f>IF(WWWW[[#This Row],[Total required water points]]-WWWW[[#This Row],['#Water points coverage]]&lt;0,0,WWWW[[#This Row],[Total required water points]]-WWWW[[#This Row],['#Water points coverage]])</f>
        <v>0.89600000000000002</v>
      </c>
      <c r="CU275" s="801">
        <f>ROUND(IF(WWWW[[#This Row],[Total PoP ]]&lt;500,1,WWWW[[#This Row],[Total PoP ]]/500),0)</f>
        <v>1</v>
      </c>
      <c r="CV275" s="801">
        <f>(WWWW[[#This Row],['#_Constructed latrines_by_WASHAgencies]]+WWWW[[#This Row],['#_Non Cluster partner latrines]])-WWWW[[#This Row],['#_Non-functional latrines]]</f>
        <v>7</v>
      </c>
      <c r="CW275" s="804">
        <f>WWWW[[#This Row],[HRP2]]/WWWW[[#This Row],[Total PoP ]]</f>
        <v>1</v>
      </c>
      <c r="CX27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CY27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5" s="473">
        <f>IF(WWWW[[#This Row],['# of functional latrines in THF supported by WASH partners during the reporting period2]]="",0,WWWW[[#This Row],['# of functional latrines in THF supported by WASH partners during the reporting period2]]*50)</f>
        <v>0</v>
      </c>
      <c r="DB275" s="473">
        <f>WWWW[[#This Row],['# students access to functioning school latrines_HRP5]]+WWWW[[#This Row],['# People access to functioning latrines in THF_HRP5]]</f>
        <v>0</v>
      </c>
      <c r="DC275" s="801">
        <f>ROUND(IF(WWWW[[#This Row],[Location Type 1]]="camp",WWWW[[#This Row],[Total PoP ]]/20,IF(WWWW[[#This Row],[Location Type 1]]="Temporary Location",WWWW[[#This Row],[Total PoP ]]/50,(WWWW[[#This Row],[Total PoP ]]/6))),0)</f>
        <v>3</v>
      </c>
      <c r="DD275" s="801">
        <f>IF(WWWW[[#This Row],[Total required Latrines]]-(WWWW[[#This Row],['#_Constructed latrines_by_WASHAgencies]]+WWWW[[#This Row],['#_Non Cluster partner latrines]])&lt;0,0,WWWW[[#This Row],[Total required Latrines]]-(WWWW[[#This Row],['#_Constructed latrines_by_WASHAgencies]]+WWWW[[#This Row],['#_Non Cluster partner latrines]]))</f>
        <v>0</v>
      </c>
      <c r="DE275" s="803">
        <f>1-WWWW[[#This Row],[% people access to functioning Latrine]]</f>
        <v>0</v>
      </c>
      <c r="DF275" s="802">
        <f>IF(OR(WWWW[[#This Row],['#_Non-functional latrines]]="",WWWW[[#This Row],['#_Non-functional latrines]]=0),0,WWWW[[#This Row],['#_Non-functional latrines]]/(WWWW[[#This Row],['#_Constructed latrines_by_WASHAgencies]]+WWWW[[#This Row],['#_Non Cluster partner latrines]]))</f>
        <v>0</v>
      </c>
      <c r="DG275" s="798">
        <f>IF(500*(WWWW[[#This Row],['#_male hygiene promoters]]+WWWW[[#This Row],['#_female hygiene promoters]])&gt;WWWW[[#This Row],[Total PoP ]],WWWW[[#This Row],[Total PoP ]],500*(WWWW[[#This Row],['#_male hygiene promoters]]+WWWW[[#This Row],['#_female hygiene promoters]]))</f>
        <v>52</v>
      </c>
      <c r="DH27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7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5" s="801">
        <f>IF(WWWW[[#This Row],['# People with access to soap]]&gt;WWWW[[#This Row],['# People with access to Sanity Pads]],WWWW[[#This Row],['# People with access to soap]],WWWW[[#This Row],['# People with access to Sanity Pads]])</f>
        <v>0</v>
      </c>
      <c r="DK275" s="801">
        <f>IF(WWWW[[#This Row],['# people reached by regular dedicated hygiene promotion_5]]&gt;WWWW[[#This Row],['# People received regular supply of hygiene items_6]],WWWW[[#This Row],['# people reached by regular dedicated hygiene promotion_5]],WWWW[[#This Row],['# People received regular supply of hygiene items_6]])</f>
        <v>52</v>
      </c>
      <c r="DL275" s="803">
        <f>IF(WWWW[[#This Row],[HRP3]]/WWWW[[#This Row],[Total PoP ]]&gt;1,1,WWWW[[#This Row],[HRP3]]/WWWW[[#This Row],[Total PoP ]])</f>
        <v>1</v>
      </c>
      <c r="DM275" s="802">
        <f>1-WWWW[[#This Row],[Hygiene Coverage%]]</f>
        <v>0</v>
      </c>
      <c r="DN275" s="800">
        <f>WWWW[[#This Row],['# people reached by regular dedicated hygiene promotion_5]]/WWWW[[#This Row],[Total PoP ]]</f>
        <v>1</v>
      </c>
      <c r="DO27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7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5" s="801">
        <f>WWWW[[#This Row],['#_Constructed/Existing hand washing stations]]-WWWW[[#This Row],['#_Non-Functional_hand_washing_stations]]</f>
        <v>0</v>
      </c>
      <c r="DR275" s="798">
        <f>IF(WWWW[[#This Row],['# Functional hand washing stations during reporting period]]*20&gt;WWWW[[#This Row],[Total HH]],WWWW[[#This Row],[Total HH]],WWWW[[#This Row],['# Functional hand washing stations during reporting period]]*20)</f>
        <v>0</v>
      </c>
      <c r="DS275" s="798">
        <f>IF(WWWW[[#This Row],[Is sufficient soap available for TLS? (Yes/No)]]="yes",WWWW[[#This Row],['#_Constructed/Existing hand washing stations at TLS]],0)</f>
        <v>0</v>
      </c>
      <c r="DT275" s="479">
        <f>IF(WWWW[[#This Row],['# Functional hand washing stations during reporting period]]*100&gt;WWWW[[#This Row],[Total PoP ]],WWWW[[#This Row],[Total PoP ]],WWWW[[#This Row],['# Functional hand washing stations during reporting period]]*100)</f>
        <v>0</v>
      </c>
      <c r="DU275" s="479" t="str">
        <f>IF(OR(WWWW[[#This Row],['#_students at TLS_CFS]]="",WWWW[[#This Row],['#_students at TLS_CFS]]=0),"No","Yes")</f>
        <v>Yes</v>
      </c>
      <c r="DV27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5" s="794" t="str">
        <f>VLOOKUP(WWWW[[#This Row],[Site Name]],SiteDB6[[Site Name]:[CCCM Management]],6,FALSE)</f>
        <v>Yes</v>
      </c>
      <c r="DZ275" s="794" t="str">
        <f>VLOOKUP(WWWW[[#This Row],[Site Name]],SiteDB6[[Site Name]:[CCCM Focal Agency]],7,FALSE)</f>
        <v>KMSS-MYT</v>
      </c>
      <c r="EA275" s="794" t="str">
        <f>VLOOKUP(WWWW[[#This Row],[Site Name]],SiteDB6[[Site Name]:[Location Type 1]],9,FALSE)</f>
        <v>Camp</v>
      </c>
      <c r="EB275" s="794" t="str">
        <f>VLOOKUP(WWWW[[#This Row],[Site Name]],SiteDB6[[Site Name]:[Type of Accommodation]],10,FALSE)</f>
        <v>Camp</v>
      </c>
      <c r="EC275" s="794" t="str">
        <f>VLOOKUP(WWWW[[#This Row],[Site Name]],SiteDB6[[Site Name]:[Ethnic or GCA/NGCA]],11,FALSE)</f>
        <v>GCA</v>
      </c>
      <c r="ED275" s="794">
        <f>VLOOKUP(WWWW[[#This Row],[Site Name]],SiteDB6[[Site Name]:[Lat]],12,FALSE)</f>
        <v>24.764800000000001</v>
      </c>
      <c r="EE275" s="794">
        <f>VLOOKUP(WWWW[[#This Row],[Site Name]],SiteDB6[[Site Name]:[Long]],13,FALSE)</f>
        <v>96.367059999999995</v>
      </c>
      <c r="EF275" s="794" t="str">
        <f>VLOOKUP(WWWW[[#This Row],[Site Name]],SiteDB6[[Site Name]:[Pcode]],3,FALSE)</f>
        <v>MMR001CMP080</v>
      </c>
      <c r="EG275" s="799" t="str">
        <f t="shared" si="6"/>
        <v>Covered</v>
      </c>
      <c r="EH275" s="799" t="str">
        <f>VLOOKUP(WWWW[[#This Row],[Site Name]],Site_DB!$C$389:$D$1120,2,FALSE)</f>
        <v>cccm_2019OCT</v>
      </c>
    </row>
    <row r="276" spans="1:138" ht="52" hidden="1">
      <c r="A276" s="792" t="s">
        <v>3262</v>
      </c>
      <c r="B276" s="793" t="s">
        <v>1231</v>
      </c>
      <c r="C276" s="793" t="s">
        <v>1231</v>
      </c>
      <c r="D276" s="793" t="s">
        <v>3385</v>
      </c>
      <c r="E276" s="793" t="s">
        <v>39</v>
      </c>
      <c r="F276" s="793" t="s">
        <v>208</v>
      </c>
      <c r="G276" s="721" t="str">
        <f>VLOOKUP(WWWW[[#This Row],[Site Name]],SiteDB6[[Site Name]:[Location Type]],8,FALSE)</f>
        <v>Camp</v>
      </c>
      <c r="H276" s="793" t="s">
        <v>293</v>
      </c>
      <c r="I276" s="720">
        <v>1538</v>
      </c>
      <c r="J276" s="720">
        <v>8786</v>
      </c>
      <c r="K276" s="407" t="s">
        <v>3617</v>
      </c>
      <c r="L276" s="56" t="s">
        <v>3618</v>
      </c>
      <c r="M276" s="523">
        <v>2174</v>
      </c>
      <c r="N276" s="523">
        <v>30</v>
      </c>
      <c r="O276" s="523">
        <v>149</v>
      </c>
      <c r="P276" s="523"/>
      <c r="Q276" s="479" t="s">
        <v>43</v>
      </c>
      <c r="R276" s="720">
        <v>28</v>
      </c>
      <c r="S276" s="720">
        <v>151</v>
      </c>
      <c r="T276" s="523">
        <v>4</v>
      </c>
      <c r="U276" s="795"/>
      <c r="V276" s="795"/>
      <c r="W276" s="795"/>
      <c r="X276" s="795"/>
      <c r="Y276" s="795"/>
      <c r="Z276" s="795"/>
      <c r="AA276" s="795">
        <v>1</v>
      </c>
      <c r="AB276" s="795"/>
      <c r="AC276" s="795"/>
      <c r="AD276" s="795"/>
      <c r="AE276" s="795"/>
      <c r="AF276" s="795"/>
      <c r="AG276" s="795">
        <v>11</v>
      </c>
      <c r="AH276" s="795"/>
      <c r="AI276" s="720">
        <v>7</v>
      </c>
      <c r="AJ276" s="720"/>
      <c r="AK276" s="720">
        <f>27*3</f>
        <v>81</v>
      </c>
      <c r="AL276" s="795"/>
      <c r="AM276" s="795">
        <v>3</v>
      </c>
      <c r="AN276" s="795"/>
      <c r="AO276" s="835" t="s">
        <v>3380</v>
      </c>
      <c r="AP276" s="795">
        <v>26</v>
      </c>
      <c r="AQ276" s="795"/>
      <c r="AR276" s="800"/>
      <c r="AS276" s="795"/>
      <c r="AT276" s="795">
        <v>15</v>
      </c>
      <c r="AU276" s="795"/>
      <c r="AV276" s="720">
        <v>171.70627999999999</v>
      </c>
      <c r="AW276" s="795"/>
      <c r="AX276" s="794" t="s">
        <v>43</v>
      </c>
      <c r="AY276" s="799" t="s">
        <v>140</v>
      </c>
      <c r="AZ276" s="795">
        <v>6</v>
      </c>
      <c r="BA276" s="795"/>
      <c r="BB276" s="795">
        <v>49</v>
      </c>
      <c r="BC276" s="523"/>
      <c r="BD276" s="523"/>
      <c r="BE276" s="794"/>
      <c r="BF276" s="795"/>
      <c r="BG276" s="795"/>
      <c r="BH276" s="795"/>
      <c r="BI276" s="795">
        <v>3</v>
      </c>
      <c r="BJ276" s="795"/>
      <c r="BK276" s="795"/>
      <c r="BL276" s="795">
        <v>9</v>
      </c>
      <c r="BM276" s="795">
        <v>1538</v>
      </c>
      <c r="BN276" s="795">
        <v>606</v>
      </c>
      <c r="BO276" s="794" t="s">
        <v>139</v>
      </c>
      <c r="BP276" s="801"/>
      <c r="BQ276" s="800"/>
      <c r="BR276" s="836" t="s">
        <v>3382</v>
      </c>
      <c r="BS276" s="472">
        <v>1</v>
      </c>
      <c r="BT276" s="472">
        <v>1</v>
      </c>
      <c r="BU276" s="523">
        <v>8786</v>
      </c>
      <c r="BV276" s="808">
        <v>1</v>
      </c>
      <c r="BW276" s="523"/>
      <c r="BX276" s="523"/>
      <c r="BY276" s="523"/>
      <c r="BZ276" s="802">
        <f>IFERROR(WWWW[[#This Row],['#_Water sources passed]]/WWWW[[#This Row],['#_Water sources tested for fecal coliform ]],"no test")</f>
        <v>0</v>
      </c>
      <c r="CA276" s="800">
        <f>IFERROR(WWWW[[#This Row],['#_Household passed]]/WWWW[[#This Row],['#_Household water samples tested for fecal coliform]],"no test")</f>
        <v>0</v>
      </c>
      <c r="CB276" s="801" t="str">
        <f>IF(AND(WWWW[[#This Row],[% of water sources passed]]="no test",WWWW[[#This Row],[% Household passed]]="no test"),"No Test","Tested")</f>
        <v>Tested</v>
      </c>
      <c r="CC276" s="801">
        <f>WWWW[[#This Row],['#_Constructed/existing protected hand dug well]]-WWWW[[#This Row],['#_Non-functional protected hand dug well]]</f>
        <v>4</v>
      </c>
      <c r="CD276" s="801">
        <f>(WWWW[[#This Row],['#_Constructed/Existing tube wells/boreholes/handpumps_WASH_agency]]+WWWW[[#This Row],['#_Non-Cluster partner water tube-wells/boreholes/handpumps]])-WWWW[[#This Row],['#_Non-functional tube wells/boreholes/handpumps]]</f>
        <v>0</v>
      </c>
      <c r="CE276" s="801">
        <f>WWWW[[#This Row],['#_Constructed/Existingwater storage tank with gravity fed reticulation system]]-WWWW[[#This Row],['#_Non-functional storage tank gravity fed reticulation system]]</f>
        <v>1</v>
      </c>
      <c r="CF276" s="801">
        <f>(WWWW[[#This Row],['#_Water_Liters_supplied_by_Water boating or water trucking]]/90)/15</f>
        <v>0</v>
      </c>
      <c r="CG276" s="801">
        <f>WWWW[[#This Row],['#_Water_Liters_from_Constructed/Existing water distribution system from river or natural spring]]/90/15</f>
        <v>0</v>
      </c>
      <c r="CH276" s="473">
        <f>WWWW[[#This Row],['#_of water points in TLS/CFS /THF]]*500</f>
        <v>0</v>
      </c>
      <c r="CI27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0.18969572805220428</v>
      </c>
      <c r="CJ27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0.12140526595341074</v>
      </c>
      <c r="CK276" s="800">
        <f>IF(WWWW[[#This Row],[Location Type 1]]="Village",WWWW[[#This Row],[Access to safe drinking water for Village]],WWWW[[#This Row],[Access to safe drinking water for Camp]])</f>
        <v>0.18969572805220428</v>
      </c>
      <c r="CL276" s="798">
        <f>WWWW[[#This Row],[%Equitable and continuous access to sufficient quantity of safe drinking water]]*WWWW[[#This Row],[Total PoP ]]</f>
        <v>1666.6666666666667</v>
      </c>
      <c r="CM276" s="800">
        <f>IF((WWWW[[#This Row],['#_Constructed/Existing protected/fenced ponds]]*250)/WWWW[[#This Row],[Total PoP ]]&gt;1,1,(WWWW[[#This Row],['#_Constructed/Existing protected/fenced ponds]]*250)/WWWW[[#This Row],[Total PoP ]])</f>
        <v>0</v>
      </c>
      <c r="CN276" s="798">
        <f>WWWW[[#This Row],[% Access to unimproved water points]]*WWWW[[#This Row],[Total PoP ]]</f>
        <v>0</v>
      </c>
      <c r="CO27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0.18969572805220428</v>
      </c>
      <c r="CP27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1666.6666666666667</v>
      </c>
      <c r="CQ276" s="798">
        <f>WWWW[[#This Row],[HRP1]]/500</f>
        <v>3.3333333333333335</v>
      </c>
      <c r="CR276" s="803">
        <f>1-WWWW[[#This Row],[% Equitable and continuous access to sufficient quantity of domestic water]]</f>
        <v>0.81030427194779575</v>
      </c>
      <c r="CS276" s="798">
        <f>WWWW[[#This Row],[%equitable and continuous access to sufficient quantity of safe drinking and domestic water''s GAP]]*WWWW[[#This Row],[Total PoP ]]</f>
        <v>7119.333333333333</v>
      </c>
      <c r="CT276" s="801">
        <f>IF(WWWW[[#This Row],[Total required water points]]-WWWW[[#This Row],['#Water points coverage]]&lt;0,0,WWWW[[#This Row],[Total required water points]]-WWWW[[#This Row],['#Water points coverage]])</f>
        <v>14.666666666666666</v>
      </c>
      <c r="CU276" s="801">
        <f>ROUND(IF(WWWW[[#This Row],[Total PoP ]]&lt;500,1,WWWW[[#This Row],[Total PoP ]]/500),0)</f>
        <v>18</v>
      </c>
      <c r="CV276" s="801">
        <f>(WWWW[[#This Row],['#_Constructed latrines_by_WASHAgencies]]+WWWW[[#This Row],['#_Non Cluster partner latrines]])-WWWW[[#This Row],['#_Non-functional latrines]]</f>
        <v>26</v>
      </c>
      <c r="CW276" s="804">
        <f>WWWW[[#This Row],[HRP2]]/WWWW[[#This Row],[Total PoP ]]</f>
        <v>7.2843159572046443E-2</v>
      </c>
      <c r="CX27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27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2174</v>
      </c>
      <c r="DA276" s="473">
        <f>IF(WWWW[[#This Row],['# of functional latrines in THF supported by WASH partners during the reporting period2]]="",0,WWWW[[#This Row],['# of functional latrines in THF supported by WASH partners during the reporting period2]]*50)</f>
        <v>0</v>
      </c>
      <c r="DB276" s="473">
        <f>WWWW[[#This Row],['# students access to functioning school latrines_HRP5]]+WWWW[[#This Row],['# People access to functioning latrines in THF_HRP5]]</f>
        <v>2174</v>
      </c>
      <c r="DC276" s="801">
        <f>ROUND(IF(WWWW[[#This Row],[Location Type 1]]="camp",WWWW[[#This Row],[Total PoP ]]/20,IF(WWWW[[#This Row],[Location Type 1]]="Temporary Location",WWWW[[#This Row],[Total PoP ]]/50,(WWWW[[#This Row],[Total PoP ]]/6))),0)</f>
        <v>439</v>
      </c>
      <c r="DD276" s="801">
        <f>IF(WWWW[[#This Row],[Total required Latrines]]-(WWWW[[#This Row],['#_Constructed latrines_by_WASHAgencies]]+WWWW[[#This Row],['#_Non Cluster partner latrines]])&lt;0,0,WWWW[[#This Row],[Total required Latrines]]-(WWWW[[#This Row],['#_Constructed latrines_by_WASHAgencies]]+WWWW[[#This Row],['#_Non Cluster partner latrines]]))</f>
        <v>413</v>
      </c>
      <c r="DE276" s="803">
        <f>1-WWWW[[#This Row],[% people access to functioning Latrine]]</f>
        <v>0.92715684042795354</v>
      </c>
      <c r="DF276" s="802">
        <f>IF(OR(WWWW[[#This Row],['#_Non-functional latrines]]="",WWWW[[#This Row],['#_Non-functional latrines]]=0),0,WWWW[[#This Row],['#_Non-functional latrines]]/(WWWW[[#This Row],['#_Constructed latrines_by_WASHAgencies]]+WWWW[[#This Row],['#_Non Cluster partner latrines]]))</f>
        <v>0</v>
      </c>
      <c r="DG276" s="798">
        <f>IF(500*(WWWW[[#This Row],['#_male hygiene promoters]]+WWWW[[#This Row],['#_female hygiene promoters]])&gt;WWWW[[#This Row],[Total PoP ]],WWWW[[#This Row],[Total PoP ]],500*(WWWW[[#This Row],['#_male hygiene promoters]]+WWWW[[#This Row],['#_female hygiene promoters]]))</f>
        <v>4500</v>
      </c>
      <c r="DH27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8786</v>
      </c>
      <c r="DI27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606</v>
      </c>
      <c r="DJ276" s="801">
        <f>IF(WWWW[[#This Row],['# People with access to soap]]&gt;WWWW[[#This Row],['# People with access to Sanity Pads]],WWWW[[#This Row],['# People with access to soap]],WWWW[[#This Row],['# People with access to Sanity Pads]])</f>
        <v>8786</v>
      </c>
      <c r="DK276" s="801">
        <f>IF(WWWW[[#This Row],['# people reached by regular dedicated hygiene promotion_5]]&gt;WWWW[[#This Row],['# People received regular supply of hygiene items_6]],WWWW[[#This Row],['# people reached by regular dedicated hygiene promotion_5]],WWWW[[#This Row],['# People received regular supply of hygiene items_6]])</f>
        <v>8786</v>
      </c>
      <c r="DL276" s="803">
        <f>IF(WWWW[[#This Row],[HRP3]]/WWWW[[#This Row],[Total PoP ]]&gt;1,1,WWWW[[#This Row],[HRP3]]/WWWW[[#This Row],[Total PoP ]])</f>
        <v>1</v>
      </c>
      <c r="DM276" s="802">
        <f>1-WWWW[[#This Row],[Hygiene Coverage%]]</f>
        <v>0</v>
      </c>
      <c r="DN276" s="800">
        <f>WWWW[[#This Row],['# people reached by regular dedicated hygiene promotion_5]]/WWWW[[#This Row],[Total PoP ]]</f>
        <v>0.51217846574095149</v>
      </c>
      <c r="DO27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0.39401820546163852</v>
      </c>
      <c r="DQ276" s="801">
        <f>WWWW[[#This Row],['#_Constructed/Existing hand washing stations]]-WWWW[[#This Row],['#_Non-Functional_hand_washing_stations]]</f>
        <v>0</v>
      </c>
      <c r="DR276" s="798">
        <f>IF(WWWW[[#This Row],['# Functional hand washing stations during reporting period]]*20&gt;WWWW[[#This Row],[Total HH]],WWWW[[#This Row],[Total HH]],WWWW[[#This Row],['# Functional hand washing stations during reporting period]]*20)</f>
        <v>0</v>
      </c>
      <c r="DS276" s="798">
        <f>IF(WWWW[[#This Row],[Is sufficient soap available for TLS? (Yes/No)]]="yes",WWWW[[#This Row],['#_Constructed/Existing hand washing stations at TLS]],0)</f>
        <v>0</v>
      </c>
      <c r="DT276" s="479">
        <f>IF(WWWW[[#This Row],['# Functional hand washing stations during reporting period]]*100&gt;WWWW[[#This Row],[Total PoP ]],WWWW[[#This Row],[Total PoP ]],WWWW[[#This Row],['# Functional hand washing stations during reporting period]]*100)</f>
        <v>0</v>
      </c>
      <c r="DU276" s="479" t="str">
        <f>IF(OR(WWWW[[#This Row],['#_students at TLS_CFS]]="",WWWW[[#This Row],['#_students at TLS_CFS]]=0),"No","Yes")</f>
        <v>Yes</v>
      </c>
      <c r="DV276"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2174</v>
      </c>
      <c r="DY276" s="794" t="str">
        <f>VLOOKUP(WWWW[[#This Row],[Site Name]],SiteDB6[[Site Name]:[CCCM Management]],6,FALSE)</f>
        <v>Yes</v>
      </c>
      <c r="DZ276" s="794" t="str">
        <f>VLOOKUP(WWWW[[#This Row],[Site Name]],SiteDB6[[Site Name]:[CCCM Focal Agency]],7,FALSE)</f>
        <v>KMSS-MYT</v>
      </c>
      <c r="EA276" s="794" t="str">
        <f>VLOOKUP(WWWW[[#This Row],[Site Name]],SiteDB6[[Site Name]:[Location Type 1]],9,FALSE)</f>
        <v>Camp</v>
      </c>
      <c r="EB276" s="794" t="str">
        <f>VLOOKUP(WWWW[[#This Row],[Site Name]],SiteDB6[[Site Name]:[Type of Accommodation]],10,FALSE)</f>
        <v>Camp</v>
      </c>
      <c r="EC276" s="794" t="str">
        <f>VLOOKUP(WWWW[[#This Row],[Site Name]],SiteDB6[[Site Name]:[Ethnic or GCA/NGCA]],11,FALSE)</f>
        <v>NGCA</v>
      </c>
      <c r="ED276" s="794">
        <f>VLOOKUP(WWWW[[#This Row],[Site Name]],SiteDB6[[Site Name]:[Lat]],12,FALSE)</f>
        <v>24.688338999999999</v>
      </c>
      <c r="EE276" s="794">
        <f>VLOOKUP(WWWW[[#This Row],[Site Name]],SiteDB6[[Site Name]:[Long]],13,FALSE)</f>
        <v>97.568331999999998</v>
      </c>
      <c r="EF276" s="794" t="str">
        <f>VLOOKUP(WWWW[[#This Row],[Site Name]],SiteDB6[[Site Name]:[Pcode]],3,FALSE)</f>
        <v>MMR001CMP121</v>
      </c>
      <c r="EG276" s="799" t="str">
        <f t="shared" si="6"/>
        <v>Covered</v>
      </c>
      <c r="EH276" s="799" t="str">
        <f>VLOOKUP(WWWW[[#This Row],[Site Name]],Site_DB!$C$389:$D$1120,2,FALSE)</f>
        <v>cccm_2019OCT</v>
      </c>
    </row>
    <row r="277" spans="1:138" hidden="1">
      <c r="A277" s="792" t="s">
        <v>3262</v>
      </c>
      <c r="B277" s="792" t="s">
        <v>195</v>
      </c>
      <c r="C277" s="793" t="s">
        <v>195</v>
      </c>
      <c r="D277" s="404" t="s">
        <v>3366</v>
      </c>
      <c r="E277" s="793" t="s">
        <v>39</v>
      </c>
      <c r="F277" s="793" t="s">
        <v>198</v>
      </c>
      <c r="G277" s="721" t="str">
        <f>VLOOKUP(WWWW[[#This Row],[Site Name]],SiteDB6[[Site Name]:[Location Type]],8,FALSE)</f>
        <v>Camp</v>
      </c>
      <c r="H277" s="793" t="s">
        <v>199</v>
      </c>
      <c r="I277" s="720">
        <v>11</v>
      </c>
      <c r="J277" s="720">
        <v>55</v>
      </c>
      <c r="K277" s="407" t="s">
        <v>3611</v>
      </c>
      <c r="L277" s="56" t="s">
        <v>3612</v>
      </c>
      <c r="M277" s="795"/>
      <c r="N277" s="795"/>
      <c r="O277" s="795"/>
      <c r="P277" s="795"/>
      <c r="Q277" s="798" t="s">
        <v>139</v>
      </c>
      <c r="R277" s="795"/>
      <c r="S277" s="795">
        <v>1</v>
      </c>
      <c r="T277" s="523"/>
      <c r="U277" s="795"/>
      <c r="V277" s="795"/>
      <c r="W277" s="795"/>
      <c r="X277" s="795">
        <v>1</v>
      </c>
      <c r="Y277" s="795"/>
      <c r="Z277" s="795"/>
      <c r="AA277" s="795"/>
      <c r="AB277" s="795"/>
      <c r="AC277" s="795"/>
      <c r="AD277" s="795"/>
      <c r="AE277" s="795"/>
      <c r="AF277" s="795"/>
      <c r="AG277" s="795"/>
      <c r="AH277" s="795"/>
      <c r="AI277" s="795"/>
      <c r="AJ277" s="795"/>
      <c r="AK277" s="795"/>
      <c r="AL277" s="795"/>
      <c r="AM277" s="795"/>
      <c r="AN277" s="795"/>
      <c r="AO277" s="799"/>
      <c r="AP277" s="795">
        <v>2</v>
      </c>
      <c r="AQ277" s="795"/>
      <c r="AR277" s="800"/>
      <c r="AS277" s="795"/>
      <c r="AT277" s="795"/>
      <c r="AU277" s="795"/>
      <c r="AV277" s="795"/>
      <c r="AW277" s="795"/>
      <c r="AX277" s="794" t="s">
        <v>43</v>
      </c>
      <c r="AY277" s="799" t="s">
        <v>143</v>
      </c>
      <c r="AZ277" s="795"/>
      <c r="BA277" s="795"/>
      <c r="BB277" s="795"/>
      <c r="BC277" s="523"/>
      <c r="BD277" s="523"/>
      <c r="BE277" s="794"/>
      <c r="BF277" s="795">
        <v>1</v>
      </c>
      <c r="BG277" s="795"/>
      <c r="BH277" s="795"/>
      <c r="BI277" s="795">
        <v>1</v>
      </c>
      <c r="BJ277" s="795"/>
      <c r="BK277" s="795"/>
      <c r="BL277" s="720">
        <v>1</v>
      </c>
      <c r="BM277" s="720">
        <v>11</v>
      </c>
      <c r="BN277" s="720">
        <v>18</v>
      </c>
      <c r="BO277" s="794"/>
      <c r="BP277" s="801"/>
      <c r="BQ277" s="800"/>
      <c r="BR277" s="794"/>
      <c r="BS277" s="808">
        <v>1</v>
      </c>
      <c r="BT277" s="808">
        <v>1</v>
      </c>
      <c r="BU277" s="523"/>
      <c r="BV277" s="472">
        <v>0</v>
      </c>
      <c r="BW277" s="523"/>
      <c r="BX277" s="523"/>
      <c r="BY277" s="523"/>
      <c r="BZ277" s="802" t="str">
        <f>IFERROR(WWWW[[#This Row],['#_Water sources passed]]/WWWW[[#This Row],['#_Water sources tested for fecal coliform ]],"no test")</f>
        <v>no test</v>
      </c>
      <c r="CA277" s="800" t="str">
        <f>IFERROR(WWWW[[#This Row],['#_Household passed]]/WWWW[[#This Row],['#_Household water samples tested for fecal coliform]],"no test")</f>
        <v>no test</v>
      </c>
      <c r="CB277" s="801" t="str">
        <f>IF(AND(WWWW[[#This Row],[% of water sources passed]]="no test",WWWW[[#This Row],[% Household passed]]="no test"),"No Test","Tested")</f>
        <v>No Test</v>
      </c>
      <c r="CC277" s="801">
        <f>WWWW[[#This Row],['#_Constructed/existing protected hand dug well]]-WWWW[[#This Row],['#_Non-functional protected hand dug well]]</f>
        <v>0</v>
      </c>
      <c r="CD277" s="801">
        <f>(WWWW[[#This Row],['#_Constructed/Existing tube wells/boreholes/handpumps_WASH_agency]]+WWWW[[#This Row],['#_Non-Cluster partner water tube-wells/boreholes/handpumps]])-WWWW[[#This Row],['#_Non-functional tube wells/boreholes/handpumps]]</f>
        <v>1</v>
      </c>
      <c r="CE277" s="801">
        <f>WWWW[[#This Row],['#_Constructed/Existingwater storage tank with gravity fed reticulation system]]-WWWW[[#This Row],['#_Non-functional storage tank gravity fed reticulation system]]</f>
        <v>0</v>
      </c>
      <c r="CF277" s="801">
        <f>(WWWW[[#This Row],['#_Water_Liters_supplied_by_Water boating or water trucking]]/90)/15</f>
        <v>0</v>
      </c>
      <c r="CG277" s="801">
        <f>WWWW[[#This Row],['#_Water_Liters_from_Constructed/Existing water distribution system from river or natural spring]]/90/15</f>
        <v>0</v>
      </c>
      <c r="CH277" s="473">
        <f>WWWW[[#This Row],['#_of water points in TLS/CFS /THF]]*500</f>
        <v>0</v>
      </c>
      <c r="CI27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7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77" s="800">
        <f>IF(WWWW[[#This Row],[Location Type 1]]="Village",WWWW[[#This Row],[Access to safe drinking water for Village]],WWWW[[#This Row],[Access to safe drinking water for Camp]])</f>
        <v>1</v>
      </c>
      <c r="CL277" s="798">
        <f>WWWW[[#This Row],[%Equitable and continuous access to sufficient quantity of safe drinking water]]*WWWW[[#This Row],[Total PoP ]]</f>
        <v>55</v>
      </c>
      <c r="CM277" s="800">
        <f>IF((WWWW[[#This Row],['#_Constructed/Existing protected/fenced ponds]]*250)/WWWW[[#This Row],[Total PoP ]]&gt;1,1,(WWWW[[#This Row],['#_Constructed/Existing protected/fenced ponds]]*250)/WWWW[[#This Row],[Total PoP ]])</f>
        <v>0</v>
      </c>
      <c r="CN277" s="798">
        <f>WWWW[[#This Row],[% Access to unimproved water points]]*WWWW[[#This Row],[Total PoP ]]</f>
        <v>0</v>
      </c>
      <c r="CO27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7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v>
      </c>
      <c r="CQ277" s="798">
        <f>WWWW[[#This Row],[HRP1]]/500</f>
        <v>0.11</v>
      </c>
      <c r="CR277" s="803">
        <f>1-WWWW[[#This Row],[% Equitable and continuous access to sufficient quantity of domestic water]]</f>
        <v>0</v>
      </c>
      <c r="CS277" s="798">
        <f>WWWW[[#This Row],[%equitable and continuous access to sufficient quantity of safe drinking and domestic water''s GAP]]*WWWW[[#This Row],[Total PoP ]]</f>
        <v>0</v>
      </c>
      <c r="CT277" s="801">
        <f>IF(WWWW[[#This Row],[Total required water points]]-WWWW[[#This Row],['#Water points coverage]]&lt;0,0,WWWW[[#This Row],[Total required water points]]-WWWW[[#This Row],['#Water points coverage]])</f>
        <v>0.89</v>
      </c>
      <c r="CU277" s="801">
        <f>ROUND(IF(WWWW[[#This Row],[Total PoP ]]&lt;500,1,WWWW[[#This Row],[Total PoP ]]/500),0)</f>
        <v>1</v>
      </c>
      <c r="CV277" s="801">
        <f>(WWWW[[#This Row],['#_Constructed latrines_by_WASHAgencies]]+WWWW[[#This Row],['#_Non Cluster partner latrines]])-WWWW[[#This Row],['#_Non-functional latrines]]</f>
        <v>2</v>
      </c>
      <c r="CW277" s="804">
        <f>WWWW[[#This Row],[HRP2]]/WWWW[[#This Row],[Total PoP ]]</f>
        <v>0.72727272727272729</v>
      </c>
      <c r="CX27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27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7" s="473">
        <f>IF(WWWW[[#This Row],['# of functional latrines in THF supported by WASH partners during the reporting period2]]="",0,WWWW[[#This Row],['# of functional latrines in THF supported by WASH partners during the reporting period2]]*50)</f>
        <v>0</v>
      </c>
      <c r="DB277" s="473">
        <f>WWWW[[#This Row],['# students access to functioning school latrines_HRP5]]+WWWW[[#This Row],['# People access to functioning latrines in THF_HRP5]]</f>
        <v>0</v>
      </c>
      <c r="DC277" s="801">
        <f>ROUND(IF(WWWW[[#This Row],[Location Type 1]]="camp",WWWW[[#This Row],[Total PoP ]]/20,IF(WWWW[[#This Row],[Location Type 1]]="Temporary Location",WWWW[[#This Row],[Total PoP ]]/50,(WWWW[[#This Row],[Total PoP ]]/6))),0)</f>
        <v>3</v>
      </c>
      <c r="DD277" s="801">
        <f>IF(WWWW[[#This Row],[Total required Latrines]]-(WWWW[[#This Row],['#_Constructed latrines_by_WASHAgencies]]+WWWW[[#This Row],['#_Non Cluster partner latrines]])&lt;0,0,WWWW[[#This Row],[Total required Latrines]]-(WWWW[[#This Row],['#_Constructed latrines_by_WASHAgencies]]+WWWW[[#This Row],['#_Non Cluster partner latrines]]))</f>
        <v>1</v>
      </c>
      <c r="DE277" s="803">
        <f>1-WWWW[[#This Row],[% people access to functioning Latrine]]</f>
        <v>0.27272727272727271</v>
      </c>
      <c r="DF277" s="802">
        <f>IF(OR(WWWW[[#This Row],['#_Non-functional latrines]]="",WWWW[[#This Row],['#_Non-functional latrines]]=0),0,WWWW[[#This Row],['#_Non-functional latrines]]/(WWWW[[#This Row],['#_Constructed latrines_by_WASHAgencies]]+WWWW[[#This Row],['#_Non Cluster partner latrines]]))</f>
        <v>0</v>
      </c>
      <c r="DG277" s="798">
        <f>IF(500*(WWWW[[#This Row],['#_male hygiene promoters]]+WWWW[[#This Row],['#_female hygiene promoters]])&gt;WWWW[[#This Row],[Total PoP ]],WWWW[[#This Row],[Total PoP ]],500*(WWWW[[#This Row],['#_male hygiene promoters]]+WWWW[[#This Row],['#_female hygiene promoters]]))</f>
        <v>55</v>
      </c>
      <c r="DH27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55</v>
      </c>
      <c r="DI27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J277" s="801">
        <f>IF(WWWW[[#This Row],['# People with access to soap]]&gt;WWWW[[#This Row],['# People with access to Sanity Pads]],WWWW[[#This Row],['# People with access to soap]],WWWW[[#This Row],['# People with access to Sanity Pads]])</f>
        <v>55</v>
      </c>
      <c r="DK277" s="801">
        <f>IF(WWWW[[#This Row],['# people reached by regular dedicated hygiene promotion_5]]&gt;WWWW[[#This Row],['# People received regular supply of hygiene items_6]],WWWW[[#This Row],['# people reached by regular dedicated hygiene promotion_5]],WWWW[[#This Row],['# People received regular supply of hygiene items_6]])</f>
        <v>55</v>
      </c>
      <c r="DL277" s="803">
        <f>IF(WWWW[[#This Row],[HRP3]]/WWWW[[#This Row],[Total PoP ]]&gt;1,1,WWWW[[#This Row],[HRP3]]/WWWW[[#This Row],[Total PoP ]])</f>
        <v>1</v>
      </c>
      <c r="DM277" s="802">
        <f>1-WWWW[[#This Row],[Hygiene Coverage%]]</f>
        <v>0</v>
      </c>
      <c r="DN277" s="800">
        <f>WWWW[[#This Row],['# people reached by regular dedicated hygiene promotion_5]]/WWWW[[#This Row],[Total PoP ]]</f>
        <v>1</v>
      </c>
      <c r="DO27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77" s="801">
        <f>WWWW[[#This Row],['#_Constructed/Existing hand washing stations]]-WWWW[[#This Row],['#_Non-Functional_hand_washing_stations]]</f>
        <v>1</v>
      </c>
      <c r="DR277" s="798">
        <f>IF(WWWW[[#This Row],['# Functional hand washing stations during reporting period]]*20&gt;WWWW[[#This Row],[Total HH]],WWWW[[#This Row],[Total HH]],WWWW[[#This Row],['# Functional hand washing stations during reporting period]]*20)</f>
        <v>11</v>
      </c>
      <c r="DS277" s="798">
        <f>IF(WWWW[[#This Row],[Is sufficient soap available for TLS? (Yes/No)]]="yes",WWWW[[#This Row],['#_Constructed/Existing hand washing stations at TLS]],0)</f>
        <v>0</v>
      </c>
      <c r="DT277" s="479">
        <f>IF(WWWW[[#This Row],['# Functional hand washing stations during reporting period]]*100&gt;WWWW[[#This Row],[Total PoP ]],WWWW[[#This Row],[Total PoP ]],WWWW[[#This Row],['# Functional hand washing stations during reporting period]]*100)</f>
        <v>55</v>
      </c>
      <c r="DU277" s="479" t="str">
        <f>IF(OR(WWWW[[#This Row],['#_students at TLS_CFS]]="",WWWW[[#This Row],['#_students at TLS_CFS]]=0),"No","Yes")</f>
        <v>No</v>
      </c>
      <c r="DV27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7" s="794" t="str">
        <f>VLOOKUP(WWWW[[#This Row],[Site Name]],SiteDB6[[Site Name]:[CCCM Management]],6,FALSE)</f>
        <v>Yes</v>
      </c>
      <c r="DZ277" s="794" t="str">
        <f>VLOOKUP(WWWW[[#This Row],[Site Name]],SiteDB6[[Site Name]:[CCCM Focal Agency]],7,FALSE)</f>
        <v>KBC-BMO</v>
      </c>
      <c r="EA277" s="794" t="str">
        <f>VLOOKUP(WWWW[[#This Row],[Site Name]],SiteDB6[[Site Name]:[Location Type 1]],9,FALSE)</f>
        <v>Camp</v>
      </c>
      <c r="EB277" s="794" t="str">
        <f>VLOOKUP(WWWW[[#This Row],[Site Name]],SiteDB6[[Site Name]:[Type of Accommodation]],10,FALSE)</f>
        <v>Camp</v>
      </c>
      <c r="EC277" s="794" t="str">
        <f>VLOOKUP(WWWW[[#This Row],[Site Name]],SiteDB6[[Site Name]:[Ethnic or GCA/NGCA]],11,FALSE)</f>
        <v>GCA</v>
      </c>
      <c r="ED277" s="794">
        <f>VLOOKUP(WWWW[[#This Row],[Site Name]],SiteDB6[[Site Name]:[Lat]],12,FALSE)</f>
        <v>24.260466999999998</v>
      </c>
      <c r="EE277" s="794">
        <f>VLOOKUP(WWWW[[#This Row],[Site Name]],SiteDB6[[Site Name]:[Long]],13,FALSE)</f>
        <v>97.252650000000003</v>
      </c>
      <c r="EF277" s="794" t="str">
        <f>VLOOKUP(WWWW[[#This Row],[Site Name]],SiteDB6[[Site Name]:[Pcode]],3,FALSE)</f>
        <v>MMR001CMP194</v>
      </c>
      <c r="EG277" s="799" t="str">
        <f t="shared" si="6"/>
        <v>Covered</v>
      </c>
      <c r="EH277" s="799" t="str">
        <f>VLOOKUP(WWWW[[#This Row],[Site Name]],Site_DB!$C$389:$D$1120,2,FALSE)</f>
        <v>cccm_2019OCT</v>
      </c>
    </row>
    <row r="278" spans="1:138" hidden="1">
      <c r="A278" s="792" t="s">
        <v>3262</v>
      </c>
      <c r="B278" s="792" t="s">
        <v>195</v>
      </c>
      <c r="C278" s="793" t="s">
        <v>195</v>
      </c>
      <c r="D278" s="793" t="s">
        <v>3364</v>
      </c>
      <c r="E278" s="793" t="s">
        <v>711</v>
      </c>
      <c r="F278" s="793" t="s">
        <v>1267</v>
      </c>
      <c r="G278" s="721" t="str">
        <f>VLOOKUP(WWWW[[#This Row],[Site Name]],SiteDB6[[Site Name]:[Location Type]],8,FALSE)</f>
        <v>Camp_not registered</v>
      </c>
      <c r="H278" s="793" t="s">
        <v>3034</v>
      </c>
      <c r="I278" s="795">
        <v>23</v>
      </c>
      <c r="J278" s="795">
        <v>95</v>
      </c>
      <c r="K278" s="407" t="s">
        <v>3607</v>
      </c>
      <c r="L278" s="56" t="s">
        <v>3608</v>
      </c>
      <c r="M278" s="795"/>
      <c r="N278" s="795"/>
      <c r="O278" s="795"/>
      <c r="P278" s="795"/>
      <c r="Q278" s="798" t="s">
        <v>43</v>
      </c>
      <c r="R278" s="720">
        <v>5</v>
      </c>
      <c r="S278" s="720">
        <v>1</v>
      </c>
      <c r="T278" s="523"/>
      <c r="U278" s="795"/>
      <c r="V278" s="795"/>
      <c r="W278" s="795"/>
      <c r="X278" s="795"/>
      <c r="Y278" s="795"/>
      <c r="Z278" s="795"/>
      <c r="AA278" s="795"/>
      <c r="AB278" s="795"/>
      <c r="AC278" s="795"/>
      <c r="AD278" s="795"/>
      <c r="AE278" s="795"/>
      <c r="AF278" s="795"/>
      <c r="AG278" s="795"/>
      <c r="AH278" s="795"/>
      <c r="AI278" s="795"/>
      <c r="AJ278" s="795"/>
      <c r="AK278" s="795"/>
      <c r="AL278" s="795"/>
      <c r="AM278" s="795"/>
      <c r="AN278" s="795"/>
      <c r="AO278" s="799"/>
      <c r="AP278" s="795">
        <v>23</v>
      </c>
      <c r="AQ278" s="795"/>
      <c r="AR278" s="800"/>
      <c r="AS278" s="795"/>
      <c r="AT278" s="795"/>
      <c r="AU278" s="795"/>
      <c r="AV278" s="795"/>
      <c r="AW278" s="795"/>
      <c r="AX278" s="794" t="s">
        <v>143</v>
      </c>
      <c r="AY278" s="799" t="s">
        <v>143</v>
      </c>
      <c r="AZ278" s="795"/>
      <c r="BA278" s="795"/>
      <c r="BB278" s="795"/>
      <c r="BC278" s="523"/>
      <c r="BD278" s="523"/>
      <c r="BE278" s="794"/>
      <c r="BF278" s="795"/>
      <c r="BG278" s="795"/>
      <c r="BH278" s="795"/>
      <c r="BI278" s="795"/>
      <c r="BJ278" s="795"/>
      <c r="BK278" s="795"/>
      <c r="BL278" s="795"/>
      <c r="BM278" s="720">
        <v>60</v>
      </c>
      <c r="BN278" s="795"/>
      <c r="BO278" s="806"/>
      <c r="BP278" s="801"/>
      <c r="BQ278" s="800"/>
      <c r="BR278" s="794"/>
      <c r="BS278" s="472"/>
      <c r="BT278" s="472"/>
      <c r="BU278" s="523"/>
      <c r="BV278" s="472"/>
      <c r="BW278" s="523"/>
      <c r="BX278" s="523"/>
      <c r="BY278" s="523"/>
      <c r="BZ278" s="802" t="str">
        <f>IFERROR(WWWW[[#This Row],['#_Water sources passed]]/WWWW[[#This Row],['#_Water sources tested for fecal coliform ]],"no test")</f>
        <v>no test</v>
      </c>
      <c r="CA278" s="800" t="str">
        <f>IFERROR(WWWW[[#This Row],['#_Household passed]]/WWWW[[#This Row],['#_Household water samples tested for fecal coliform]],"no test")</f>
        <v>no test</v>
      </c>
      <c r="CB278" s="801" t="str">
        <f>IF(AND(WWWW[[#This Row],[% of water sources passed]]="no test",WWWW[[#This Row],[% Household passed]]="no test"),"No Test","Tested")</f>
        <v>No Test</v>
      </c>
      <c r="CC278" s="801">
        <f>WWWW[[#This Row],['#_Constructed/existing protected hand dug well]]-WWWW[[#This Row],['#_Non-functional protected hand dug well]]</f>
        <v>0</v>
      </c>
      <c r="CD278" s="801">
        <f>(WWWW[[#This Row],['#_Constructed/Existing tube wells/boreholes/handpumps_WASH_agency]]+WWWW[[#This Row],['#_Non-Cluster partner water tube-wells/boreholes/handpumps]])-WWWW[[#This Row],['#_Non-functional tube wells/boreholes/handpumps]]</f>
        <v>0</v>
      </c>
      <c r="CE278" s="801">
        <f>WWWW[[#This Row],['#_Constructed/Existingwater storage tank with gravity fed reticulation system]]-WWWW[[#This Row],['#_Non-functional storage tank gravity fed reticulation system]]</f>
        <v>0</v>
      </c>
      <c r="CF278" s="801">
        <f>(WWWW[[#This Row],['#_Water_Liters_supplied_by_Water boating or water trucking]]/90)/15</f>
        <v>0</v>
      </c>
      <c r="CG278" s="801">
        <f>WWWW[[#This Row],['#_Water_Liters_from_Constructed/Existing water distribution system from river or natural spring]]/90/15</f>
        <v>0</v>
      </c>
      <c r="CH278" s="473">
        <f>WWWW[[#This Row],['#_of water points in TLS/CFS /THF]]*500</f>
        <v>0</v>
      </c>
      <c r="CI27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8" s="800">
        <f>IF(WWWW[[#This Row],[Location Type 1]]="Village",WWWW[[#This Row],[Access to safe drinking water for Village]],WWWW[[#This Row],[Access to safe drinking water for Camp]])</f>
        <v>0</v>
      </c>
      <c r="CL278" s="798">
        <f>WWWW[[#This Row],[%Equitable and continuous access to sufficient quantity of safe drinking water]]*WWWW[[#This Row],[Total PoP ]]</f>
        <v>0</v>
      </c>
      <c r="CM278" s="800">
        <f>IF((WWWW[[#This Row],['#_Constructed/Existing protected/fenced ponds]]*250)/WWWW[[#This Row],[Total PoP ]]&gt;1,1,(WWWW[[#This Row],['#_Constructed/Existing protected/fenced ponds]]*250)/WWWW[[#This Row],[Total PoP ]])</f>
        <v>0</v>
      </c>
      <c r="CN278" s="798">
        <f>WWWW[[#This Row],[% Access to unimproved water points]]*WWWW[[#This Row],[Total PoP ]]</f>
        <v>0</v>
      </c>
      <c r="CO27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8" s="798">
        <f>WWWW[[#This Row],[HRP1]]/500</f>
        <v>0</v>
      </c>
      <c r="CR278" s="803">
        <f>1-WWWW[[#This Row],[% Equitable and continuous access to sufficient quantity of domestic water]]</f>
        <v>1</v>
      </c>
      <c r="CS278" s="798">
        <f>WWWW[[#This Row],[%equitable and continuous access to sufficient quantity of safe drinking and domestic water''s GAP]]*WWWW[[#This Row],[Total PoP ]]</f>
        <v>95</v>
      </c>
      <c r="CT278" s="801">
        <f>IF(WWWW[[#This Row],[Total required water points]]-WWWW[[#This Row],['#Water points coverage]]&lt;0,0,WWWW[[#This Row],[Total required water points]]-WWWW[[#This Row],['#Water points coverage]])</f>
        <v>1</v>
      </c>
      <c r="CU278" s="801">
        <f>ROUND(IF(WWWW[[#This Row],[Total PoP ]]&lt;500,1,WWWW[[#This Row],[Total PoP ]]/500),0)</f>
        <v>1</v>
      </c>
      <c r="CV278" s="801">
        <f>(WWWW[[#This Row],['#_Constructed latrines_by_WASHAgencies]]+WWWW[[#This Row],['#_Non Cluster partner latrines]])-WWWW[[#This Row],['#_Non-functional latrines]]</f>
        <v>23</v>
      </c>
      <c r="CW278" s="804">
        <f>WWWW[[#This Row],[HRP2]]/WWWW[[#This Row],[Total PoP ]]</f>
        <v>1</v>
      </c>
      <c r="CX27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v>
      </c>
      <c r="CY27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8" s="473">
        <f>IF(WWWW[[#This Row],['# of functional latrines in THF supported by WASH partners during the reporting period2]]="",0,WWWW[[#This Row],['# of functional latrines in THF supported by WASH partners during the reporting period2]]*50)</f>
        <v>0</v>
      </c>
      <c r="DB278" s="473">
        <f>WWWW[[#This Row],['# students access to functioning school latrines_HRP5]]+WWWW[[#This Row],['# People access to functioning latrines in THF_HRP5]]</f>
        <v>0</v>
      </c>
      <c r="DC278" s="801">
        <f>ROUND(IF(WWWW[[#This Row],[Location Type 1]]="camp",WWWW[[#This Row],[Total PoP ]]/20,IF(WWWW[[#This Row],[Location Type 1]]="Temporary Location",WWWW[[#This Row],[Total PoP ]]/50,(WWWW[[#This Row],[Total PoP ]]/6))),0)</f>
        <v>5</v>
      </c>
      <c r="DD278" s="801">
        <f>IF(WWWW[[#This Row],[Total required Latrines]]-(WWWW[[#This Row],['#_Constructed latrines_by_WASHAgencies]]+WWWW[[#This Row],['#_Non Cluster partner latrines]])&lt;0,0,WWWW[[#This Row],[Total required Latrines]]-(WWWW[[#This Row],['#_Constructed latrines_by_WASHAgencies]]+WWWW[[#This Row],['#_Non Cluster partner latrines]]))</f>
        <v>0</v>
      </c>
      <c r="DE278" s="803">
        <f>1-WWWW[[#This Row],[% people access to functioning Latrine]]</f>
        <v>0</v>
      </c>
      <c r="DF278" s="802">
        <f>IF(OR(WWWW[[#This Row],['#_Non-functional latrines]]="",WWWW[[#This Row],['#_Non-functional latrines]]=0),0,WWWW[[#This Row],['#_Non-functional latrines]]/(WWWW[[#This Row],['#_Constructed latrines_by_WASHAgencies]]+WWWW[[#This Row],['#_Non Cluster partner latrines]]))</f>
        <v>0</v>
      </c>
      <c r="DG278" s="798">
        <f>IF(500*(WWWW[[#This Row],['#_male hygiene promoters]]+WWWW[[#This Row],['#_female hygiene promoters]])&gt;WWWW[[#This Row],[Total PoP ]],WWWW[[#This Row],[Total PoP ]],500*(WWWW[[#This Row],['#_male hygiene promoters]]+WWWW[[#This Row],['#_female hygiene promoters]]))</f>
        <v>0</v>
      </c>
      <c r="DH27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I27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8" s="801">
        <f>IF(WWWW[[#This Row],['# People with access to soap]]&gt;WWWW[[#This Row],['# People with access to Sanity Pads]],WWWW[[#This Row],['# People with access to soap]],WWWW[[#This Row],['# People with access to Sanity Pads]])</f>
        <v>95</v>
      </c>
      <c r="DK278" s="801">
        <f>IF(WWWW[[#This Row],['# people reached by regular dedicated hygiene promotion_5]]&gt;WWWW[[#This Row],['# People received regular supply of hygiene items_6]],WWWW[[#This Row],['# people reached by regular dedicated hygiene promotion_5]],WWWW[[#This Row],['# People received regular supply of hygiene items_6]])</f>
        <v>95</v>
      </c>
      <c r="DL278" s="803">
        <f>IF(WWWW[[#This Row],[HRP3]]/WWWW[[#This Row],[Total PoP ]]&gt;1,1,WWWW[[#This Row],[HRP3]]/WWWW[[#This Row],[Total PoP ]])</f>
        <v>1</v>
      </c>
      <c r="DM278" s="802">
        <f>1-WWWW[[#This Row],[Hygiene Coverage%]]</f>
        <v>0</v>
      </c>
      <c r="DN278" s="800">
        <f>WWWW[[#This Row],['# people reached by regular dedicated hygiene promotion_5]]/WWWW[[#This Row],[Total PoP ]]</f>
        <v>0</v>
      </c>
      <c r="DO27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8" s="801">
        <f>WWWW[[#This Row],['#_Constructed/Existing hand washing stations]]-WWWW[[#This Row],['#_Non-Functional_hand_washing_stations]]</f>
        <v>0</v>
      </c>
      <c r="DR278" s="798">
        <f>IF(WWWW[[#This Row],['# Functional hand washing stations during reporting period]]*20&gt;WWWW[[#This Row],[Total HH]],WWWW[[#This Row],[Total HH]],WWWW[[#This Row],['# Functional hand washing stations during reporting period]]*20)</f>
        <v>0</v>
      </c>
      <c r="DS278" s="798">
        <f>IF(WWWW[[#This Row],[Is sufficient soap available for TLS? (Yes/No)]]="yes",WWWW[[#This Row],['#_Constructed/Existing hand washing stations at TLS]],0)</f>
        <v>0</v>
      </c>
      <c r="DT278" s="479">
        <f>IF(WWWW[[#This Row],['# Functional hand washing stations during reporting period]]*100&gt;WWWW[[#This Row],[Total PoP ]],WWWW[[#This Row],[Total PoP ]],WWWW[[#This Row],['# Functional hand washing stations during reporting period]]*100)</f>
        <v>0</v>
      </c>
      <c r="DU278" s="479" t="str">
        <f>IF(OR(WWWW[[#This Row],['#_students at TLS_CFS]]="",WWWW[[#This Row],['#_students at TLS_CFS]]=0),"No","Yes")</f>
        <v>No</v>
      </c>
      <c r="DV27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8" s="794">
        <f>VLOOKUP(WWWW[[#This Row],[Site Name]],SiteDB6[[Site Name]:[CCCM Management]],6,FALSE)</f>
        <v>0</v>
      </c>
      <c r="DZ278" s="794">
        <f>VLOOKUP(WWWW[[#This Row],[Site Name]],SiteDB6[[Site Name]:[CCCM Focal Agency]],7,FALSE)</f>
        <v>0</v>
      </c>
      <c r="EA278" s="794" t="str">
        <f>VLOOKUP(WWWW[[#This Row],[Site Name]],SiteDB6[[Site Name]:[Location Type 1]],9,FALSE)</f>
        <v>Camp</v>
      </c>
      <c r="EB278" s="794" t="str">
        <f>VLOOKUP(WWWW[[#This Row],[Site Name]],SiteDB6[[Site Name]:[Type of Accommodation]],10,FALSE)</f>
        <v>Camp like setting</v>
      </c>
      <c r="EC278" s="794" t="str">
        <f>VLOOKUP(WWWW[[#This Row],[Site Name]],SiteDB6[[Site Name]:[Ethnic or GCA/NGCA]],11,FALSE)</f>
        <v>GCA</v>
      </c>
      <c r="ED278" s="794">
        <f>VLOOKUP(WWWW[[#This Row],[Site Name]],SiteDB6[[Site Name]:[Lat]],12,FALSE)</f>
        <v>0</v>
      </c>
      <c r="EE278" s="794">
        <f>VLOOKUP(WWWW[[#This Row],[Site Name]],SiteDB6[[Site Name]:[Long]],13,FALSE)</f>
        <v>0</v>
      </c>
      <c r="EF278" s="794">
        <f>VLOOKUP(WWWW[[#This Row],[Site Name]],SiteDB6[[Site Name]:[Pcode]],3,FALSE)</f>
        <v>0</v>
      </c>
      <c r="EG278" s="799" t="str">
        <f t="shared" si="6"/>
        <v>Covered</v>
      </c>
      <c r="EH278" s="799">
        <f>VLOOKUP(WWWW[[#This Row],[Site Name]],Site_DB!$C$389:$D$1120,2,FALSE)</f>
        <v>0</v>
      </c>
    </row>
    <row r="279" spans="1:138" hidden="1">
      <c r="A279" s="792" t="s">
        <v>3262</v>
      </c>
      <c r="B279" s="792" t="s">
        <v>195</v>
      </c>
      <c r="C279" s="793" t="s">
        <v>195</v>
      </c>
      <c r="D279" s="404" t="s">
        <v>3364</v>
      </c>
      <c r="E279" s="793" t="s">
        <v>711</v>
      </c>
      <c r="F279" s="793" t="s">
        <v>715</v>
      </c>
      <c r="G279" s="721" t="str">
        <f>VLOOKUP(WWWW[[#This Row],[Site Name]],SiteDB6[[Site Name]:[Location Type]],8,FALSE)</f>
        <v>Camp</v>
      </c>
      <c r="H279" s="793" t="s">
        <v>2299</v>
      </c>
      <c r="I279" s="795">
        <v>71</v>
      </c>
      <c r="J279" s="795">
        <v>496</v>
      </c>
      <c r="K279" s="407" t="s">
        <v>3607</v>
      </c>
      <c r="L279" s="56" t="s">
        <v>3608</v>
      </c>
      <c r="M279" s="795"/>
      <c r="N279" s="795">
        <v>1</v>
      </c>
      <c r="O279" s="795"/>
      <c r="P279" s="795"/>
      <c r="Q279" s="798" t="s">
        <v>43</v>
      </c>
      <c r="R279" s="795">
        <v>5</v>
      </c>
      <c r="S279" s="795">
        <v>1</v>
      </c>
      <c r="T279" s="523"/>
      <c r="U279" s="795"/>
      <c r="V279" s="795"/>
      <c r="W279" s="720"/>
      <c r="X279" s="720"/>
      <c r="Y279" s="795"/>
      <c r="Z279" s="795"/>
      <c r="AA279" s="720"/>
      <c r="AB279" s="795"/>
      <c r="AC279" s="795"/>
      <c r="AD279" s="795"/>
      <c r="AE279" s="795"/>
      <c r="AF279" s="795"/>
      <c r="AG279" s="720"/>
      <c r="AH279" s="720"/>
      <c r="AI279" s="795"/>
      <c r="AJ279" s="795"/>
      <c r="AK279" s="795"/>
      <c r="AL279" s="795"/>
      <c r="AM279" s="720"/>
      <c r="AN279" s="720"/>
      <c r="AO279" s="719"/>
      <c r="AP279" s="720"/>
      <c r="AQ279" s="720"/>
      <c r="AR279" s="800"/>
      <c r="AS279" s="795"/>
      <c r="AT279" s="795"/>
      <c r="AU279" s="795"/>
      <c r="AV279" s="795"/>
      <c r="AW279" s="795"/>
      <c r="AX279" s="794" t="s">
        <v>143</v>
      </c>
      <c r="AY279" s="799" t="s">
        <v>143</v>
      </c>
      <c r="AZ279" s="795"/>
      <c r="BA279" s="795"/>
      <c r="BB279" s="720"/>
      <c r="BC279" s="720"/>
      <c r="BD279" s="523"/>
      <c r="BE279" s="794"/>
      <c r="BF279" s="720"/>
      <c r="BG279" s="720"/>
      <c r="BH279" s="720"/>
      <c r="BI279" s="720"/>
      <c r="BJ279" s="720"/>
      <c r="BK279" s="720"/>
      <c r="BL279" s="720">
        <v>1</v>
      </c>
      <c r="BM279" s="720">
        <v>67</v>
      </c>
      <c r="BN279" s="720"/>
      <c r="BO279" s="794" t="s">
        <v>139</v>
      </c>
      <c r="BP279" s="801"/>
      <c r="BQ279" s="800"/>
      <c r="BR279" s="794"/>
      <c r="BS279" s="472"/>
      <c r="BT279" s="472"/>
      <c r="BU279" s="523"/>
      <c r="BV279" s="472"/>
      <c r="BW279" s="523"/>
      <c r="BX279" s="523"/>
      <c r="BY279" s="523"/>
      <c r="BZ279" s="802" t="str">
        <f>IFERROR(WWWW[[#This Row],['#_Water sources passed]]/WWWW[[#This Row],['#_Water sources tested for fecal coliform ]],"no test")</f>
        <v>no test</v>
      </c>
      <c r="CA279" s="800" t="str">
        <f>IFERROR(WWWW[[#This Row],['#_Household passed]]/WWWW[[#This Row],['#_Household water samples tested for fecal coliform]],"no test")</f>
        <v>no test</v>
      </c>
      <c r="CB279" s="801" t="str">
        <f>IF(AND(WWWW[[#This Row],[% of water sources passed]]="no test",WWWW[[#This Row],[% Household passed]]="no test"),"No Test","Tested")</f>
        <v>No Test</v>
      </c>
      <c r="CC279" s="801">
        <f>WWWW[[#This Row],['#_Constructed/existing protected hand dug well]]-WWWW[[#This Row],['#_Non-functional protected hand dug well]]</f>
        <v>0</v>
      </c>
      <c r="CD279" s="801">
        <f>(WWWW[[#This Row],['#_Constructed/Existing tube wells/boreholes/handpumps_WASH_agency]]+WWWW[[#This Row],['#_Non-Cluster partner water tube-wells/boreholes/handpumps]])-WWWW[[#This Row],['#_Non-functional tube wells/boreholes/handpumps]]</f>
        <v>0</v>
      </c>
      <c r="CE279" s="801">
        <f>WWWW[[#This Row],['#_Constructed/Existingwater storage tank with gravity fed reticulation system]]-WWWW[[#This Row],['#_Non-functional storage tank gravity fed reticulation system]]</f>
        <v>0</v>
      </c>
      <c r="CF279" s="801">
        <f>(WWWW[[#This Row],['#_Water_Liters_supplied_by_Water boating or water trucking]]/90)/15</f>
        <v>0</v>
      </c>
      <c r="CG279" s="801">
        <f>WWWW[[#This Row],['#_Water_Liters_from_Constructed/Existing water distribution system from river or natural spring]]/90/15</f>
        <v>0</v>
      </c>
      <c r="CH279" s="473">
        <f>WWWW[[#This Row],['#_of water points in TLS/CFS /THF]]*500</f>
        <v>0</v>
      </c>
      <c r="CI27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7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79" s="800">
        <f>IF(WWWW[[#This Row],[Location Type 1]]="Village",WWWW[[#This Row],[Access to safe drinking water for Village]],WWWW[[#This Row],[Access to safe drinking water for Camp]])</f>
        <v>0</v>
      </c>
      <c r="CL279" s="798">
        <f>WWWW[[#This Row],[%Equitable and continuous access to sufficient quantity of safe drinking water]]*WWWW[[#This Row],[Total PoP ]]</f>
        <v>0</v>
      </c>
      <c r="CM279" s="800">
        <f>IF((WWWW[[#This Row],['#_Constructed/Existing protected/fenced ponds]]*250)/WWWW[[#This Row],[Total PoP ]]&gt;1,1,(WWWW[[#This Row],['#_Constructed/Existing protected/fenced ponds]]*250)/WWWW[[#This Row],[Total PoP ]])</f>
        <v>0</v>
      </c>
      <c r="CN279" s="798">
        <f>WWWW[[#This Row],[% Access to unimproved water points]]*WWWW[[#This Row],[Total PoP ]]</f>
        <v>0</v>
      </c>
      <c r="CO27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7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79" s="798">
        <f>WWWW[[#This Row],[HRP1]]/500</f>
        <v>0</v>
      </c>
      <c r="CR279" s="803">
        <f>1-WWWW[[#This Row],[% Equitable and continuous access to sufficient quantity of domestic water]]</f>
        <v>1</v>
      </c>
      <c r="CS279" s="798">
        <f>WWWW[[#This Row],[%equitable and continuous access to sufficient quantity of safe drinking and domestic water''s GAP]]*WWWW[[#This Row],[Total PoP ]]</f>
        <v>496</v>
      </c>
      <c r="CT279" s="801">
        <f>IF(WWWW[[#This Row],[Total required water points]]-WWWW[[#This Row],['#Water points coverage]]&lt;0,0,WWWW[[#This Row],[Total required water points]]-WWWW[[#This Row],['#Water points coverage]])</f>
        <v>1</v>
      </c>
      <c r="CU279" s="801">
        <f>ROUND(IF(WWWW[[#This Row],[Total PoP ]]&lt;500,1,WWWW[[#This Row],[Total PoP ]]/500),0)</f>
        <v>1</v>
      </c>
      <c r="CV279" s="801">
        <f>(WWWW[[#This Row],['#_Constructed latrines_by_WASHAgencies]]+WWWW[[#This Row],['#_Non Cluster partner latrines]])-WWWW[[#This Row],['#_Non-functional latrines]]</f>
        <v>0</v>
      </c>
      <c r="CW279" s="804">
        <f>WWWW[[#This Row],[HRP2]]/WWWW[[#This Row],[Total PoP ]]</f>
        <v>0</v>
      </c>
      <c r="CX27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7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7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79" s="473">
        <f>IF(WWWW[[#This Row],['# of functional latrines in THF supported by WASH partners during the reporting period2]]="",0,WWWW[[#This Row],['# of functional latrines in THF supported by WASH partners during the reporting period2]]*50)</f>
        <v>0</v>
      </c>
      <c r="DB279" s="473">
        <f>WWWW[[#This Row],['# students access to functioning school latrines_HRP5]]+WWWW[[#This Row],['# People access to functioning latrines in THF_HRP5]]</f>
        <v>0</v>
      </c>
      <c r="DC279" s="801">
        <f>ROUND(IF(WWWW[[#This Row],[Location Type 1]]="camp",WWWW[[#This Row],[Total PoP ]]/20,IF(WWWW[[#This Row],[Location Type 1]]="Temporary Location",WWWW[[#This Row],[Total PoP ]]/50,(WWWW[[#This Row],[Total PoP ]]/6))),0)</f>
        <v>25</v>
      </c>
      <c r="DD279" s="801">
        <f>IF(WWWW[[#This Row],[Total required Latrines]]-(WWWW[[#This Row],['#_Constructed latrines_by_WASHAgencies]]+WWWW[[#This Row],['#_Non Cluster partner latrines]])&lt;0,0,WWWW[[#This Row],[Total required Latrines]]-(WWWW[[#This Row],['#_Constructed latrines_by_WASHAgencies]]+WWWW[[#This Row],['#_Non Cluster partner latrines]]))</f>
        <v>25</v>
      </c>
      <c r="DE279" s="803">
        <f>1-WWWW[[#This Row],[% people access to functioning Latrine]]</f>
        <v>1</v>
      </c>
      <c r="DF279" s="802">
        <f>IF(OR(WWWW[[#This Row],['#_Non-functional latrines]]="",WWWW[[#This Row],['#_Non-functional latrines]]=0),0,WWWW[[#This Row],['#_Non-functional latrines]]/(WWWW[[#This Row],['#_Constructed latrines_by_WASHAgencies]]+WWWW[[#This Row],['#_Non Cluster partner latrines]]))</f>
        <v>0</v>
      </c>
      <c r="DG279" s="798">
        <f>IF(500*(WWWW[[#This Row],['#_male hygiene promoters]]+WWWW[[#This Row],['#_female hygiene promoters]])&gt;WWWW[[#This Row],[Total PoP ]],WWWW[[#This Row],[Total PoP ]],500*(WWWW[[#This Row],['#_male hygiene promoters]]+WWWW[[#This Row],['#_female hygiene promoters]]))</f>
        <v>496</v>
      </c>
      <c r="DH27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335</v>
      </c>
      <c r="DI27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79" s="801">
        <f>IF(WWWW[[#This Row],['# People with access to soap]]&gt;WWWW[[#This Row],['# People with access to Sanity Pads]],WWWW[[#This Row],['# People with access to soap]],WWWW[[#This Row],['# People with access to Sanity Pads]])</f>
        <v>335</v>
      </c>
      <c r="DK279" s="801">
        <f>IF(WWWW[[#This Row],['# people reached by regular dedicated hygiene promotion_5]]&gt;WWWW[[#This Row],['# People received regular supply of hygiene items_6]],WWWW[[#This Row],['# people reached by regular dedicated hygiene promotion_5]],WWWW[[#This Row],['# People received regular supply of hygiene items_6]])</f>
        <v>496</v>
      </c>
      <c r="DL279" s="803">
        <f>IF(WWWW[[#This Row],[HRP3]]/WWWW[[#This Row],[Total PoP ]]&gt;1,1,WWWW[[#This Row],[HRP3]]/WWWW[[#This Row],[Total PoP ]])</f>
        <v>1</v>
      </c>
      <c r="DM279" s="802">
        <f>1-WWWW[[#This Row],[Hygiene Coverage%]]</f>
        <v>0</v>
      </c>
      <c r="DN279" s="800">
        <f>WWWW[[#This Row],['# people reached by regular dedicated hygiene promotion_5]]/WWWW[[#This Row],[Total PoP ]]</f>
        <v>1</v>
      </c>
      <c r="DO27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7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79" s="801">
        <f>WWWW[[#This Row],['#_Constructed/Existing hand washing stations]]-WWWW[[#This Row],['#_Non-Functional_hand_washing_stations]]</f>
        <v>0</v>
      </c>
      <c r="DR279" s="798">
        <f>IF(WWWW[[#This Row],['# Functional hand washing stations during reporting period]]*20&gt;WWWW[[#This Row],[Total HH]],WWWW[[#This Row],[Total HH]],WWWW[[#This Row],['# Functional hand washing stations during reporting period]]*20)</f>
        <v>0</v>
      </c>
      <c r="DS279" s="798">
        <f>IF(WWWW[[#This Row],[Is sufficient soap available for TLS? (Yes/No)]]="yes",WWWW[[#This Row],['#_Constructed/Existing hand washing stations at TLS]],0)</f>
        <v>0</v>
      </c>
      <c r="DT279" s="479">
        <f>IF(WWWW[[#This Row],['# Functional hand washing stations during reporting period]]*100&gt;WWWW[[#This Row],[Total PoP ]],WWWW[[#This Row],[Total PoP ]],WWWW[[#This Row],['# Functional hand washing stations during reporting period]]*100)</f>
        <v>0</v>
      </c>
      <c r="DU279" s="479" t="str">
        <f>IF(OR(WWWW[[#This Row],['#_students at TLS_CFS]]="",WWWW[[#This Row],['#_students at TLS_CFS]]=0),"No","Yes")</f>
        <v>No</v>
      </c>
      <c r="DV27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79" s="794">
        <f>VLOOKUP(WWWW[[#This Row],[Site Name]],SiteDB6[[Site Name]:[CCCM Management]],6,FALSE)</f>
        <v>0</v>
      </c>
      <c r="DZ279" s="794" t="str">
        <f>VLOOKUP(WWWW[[#This Row],[Site Name]],SiteDB6[[Site Name]:[CCCM Focal Agency]],7,FALSE)</f>
        <v>uncovered</v>
      </c>
      <c r="EA279" s="794" t="str">
        <f>VLOOKUP(WWWW[[#This Row],[Site Name]],SiteDB6[[Site Name]:[Location Type 1]],9,FALSE)</f>
        <v>Camp</v>
      </c>
      <c r="EB279" s="794" t="str">
        <f>VLOOKUP(WWWW[[#This Row],[Site Name]],SiteDB6[[Site Name]:[Type of Accommodation]],10,FALSE)</f>
        <v>Camp like setting</v>
      </c>
      <c r="EC279" s="794" t="str">
        <f>VLOOKUP(WWWW[[#This Row],[Site Name]],SiteDB6[[Site Name]:[Ethnic or GCA/NGCA]],11,FALSE)</f>
        <v>GCA</v>
      </c>
      <c r="ED279" s="794">
        <f>VLOOKUP(WWWW[[#This Row],[Site Name]],SiteDB6[[Site Name]:[Lat]],12,FALSE)</f>
        <v>0</v>
      </c>
      <c r="EE279" s="794">
        <f>VLOOKUP(WWWW[[#This Row],[Site Name]],SiteDB6[[Site Name]:[Long]],13,FALSE)</f>
        <v>0</v>
      </c>
      <c r="EF279" s="794" t="str">
        <f>VLOOKUP(WWWW[[#This Row],[Site Name]],SiteDB6[[Site Name]:[Pcode]],3,FALSE)</f>
        <v>MMR015CMP212</v>
      </c>
      <c r="EG279" s="799" t="str">
        <f t="shared" si="6"/>
        <v>Covered</v>
      </c>
      <c r="EH279" s="799" t="str">
        <f>VLOOKUP(WWWW[[#This Row],[Site Name]],Site_DB!$C$389:$D$1120,2,FALSE)</f>
        <v>cccm_2019OCT</v>
      </c>
    </row>
    <row r="280" spans="1:138" hidden="1">
      <c r="A280" s="792" t="s">
        <v>3262</v>
      </c>
      <c r="B280" s="792" t="s">
        <v>195</v>
      </c>
      <c r="C280" s="793" t="s">
        <v>195</v>
      </c>
      <c r="D280" s="793" t="s">
        <v>3364</v>
      </c>
      <c r="E280" s="793" t="s">
        <v>711</v>
      </c>
      <c r="F280" s="793" t="s">
        <v>721</v>
      </c>
      <c r="G280" s="721" t="str">
        <f>VLOOKUP(WWWW[[#This Row],[Site Name]],SiteDB6[[Site Name]:[Location Type]],8,FALSE)</f>
        <v>Camp</v>
      </c>
      <c r="H280" s="793" t="s">
        <v>751</v>
      </c>
      <c r="I280" s="795">
        <v>136</v>
      </c>
      <c r="J280" s="795">
        <v>553</v>
      </c>
      <c r="K280" s="407" t="s">
        <v>3607</v>
      </c>
      <c r="L280" s="56" t="s">
        <v>3608</v>
      </c>
      <c r="M280" s="795"/>
      <c r="N280" s="795"/>
      <c r="O280" s="795"/>
      <c r="P280" s="795"/>
      <c r="Q280" s="798"/>
      <c r="R280" s="720">
        <v>5</v>
      </c>
      <c r="S280" s="720">
        <v>1</v>
      </c>
      <c r="T280" s="523">
        <v>0</v>
      </c>
      <c r="U280" s="795"/>
      <c r="V280" s="795"/>
      <c r="W280" s="795">
        <v>0</v>
      </c>
      <c r="X280" s="795">
        <v>0</v>
      </c>
      <c r="Y280" s="795"/>
      <c r="Z280" s="795"/>
      <c r="AA280" s="795">
        <v>41</v>
      </c>
      <c r="AB280" s="795"/>
      <c r="AC280" s="795"/>
      <c r="AD280" s="795">
        <v>0</v>
      </c>
      <c r="AE280" s="795"/>
      <c r="AF280" s="795">
        <v>0</v>
      </c>
      <c r="AG280" s="795"/>
      <c r="AH280" s="795">
        <v>1</v>
      </c>
      <c r="AI280" s="795"/>
      <c r="AJ280" s="795"/>
      <c r="AK280" s="795"/>
      <c r="AL280" s="795"/>
      <c r="AM280" s="795"/>
      <c r="AN280" s="795"/>
      <c r="AO280" s="799"/>
      <c r="AP280" s="795">
        <v>40</v>
      </c>
      <c r="AQ280" s="795">
        <v>0</v>
      </c>
      <c r="AR280" s="800"/>
      <c r="AS280" s="795"/>
      <c r="AT280" s="795"/>
      <c r="AU280" s="795"/>
      <c r="AV280" s="795"/>
      <c r="AW280" s="795"/>
      <c r="AX280" s="794" t="s">
        <v>139</v>
      </c>
      <c r="AY280" s="799" t="s">
        <v>1195</v>
      </c>
      <c r="AZ280" s="795">
        <v>0</v>
      </c>
      <c r="BA280" s="795">
        <v>0</v>
      </c>
      <c r="BB280" s="795"/>
      <c r="BC280" s="523"/>
      <c r="BD280" s="523"/>
      <c r="BE280" s="794"/>
      <c r="BF280" s="795">
        <v>2</v>
      </c>
      <c r="BG280" s="795"/>
      <c r="BH280" s="795">
        <v>0</v>
      </c>
      <c r="BI280" s="795">
        <v>6</v>
      </c>
      <c r="BJ280" s="795"/>
      <c r="BK280" s="795">
        <v>0</v>
      </c>
      <c r="BL280" s="795">
        <v>2</v>
      </c>
      <c r="BM280" s="795"/>
      <c r="BN280" s="795"/>
      <c r="BO280" s="794"/>
      <c r="BP280" s="801"/>
      <c r="BQ280" s="800"/>
      <c r="BR280" s="794"/>
      <c r="BS280" s="472"/>
      <c r="BT280" s="472"/>
      <c r="BU280" s="523"/>
      <c r="BV280" s="472"/>
      <c r="BW280" s="523"/>
      <c r="BX280" s="523"/>
      <c r="BY280" s="523"/>
      <c r="BZ280" s="802" t="str">
        <f>IFERROR(WWWW[[#This Row],['#_Water sources passed]]/WWWW[[#This Row],['#_Water sources tested for fecal coliform ]],"no test")</f>
        <v>no test</v>
      </c>
      <c r="CA280" s="800" t="str">
        <f>IFERROR(WWWW[[#This Row],['#_Household passed]]/WWWW[[#This Row],['#_Household water samples tested for fecal coliform]],"no test")</f>
        <v>no test</v>
      </c>
      <c r="CB280" s="801" t="str">
        <f>IF(AND(WWWW[[#This Row],[% of water sources passed]]="no test",WWWW[[#This Row],[% Household passed]]="no test"),"No Test","Tested")</f>
        <v>No Test</v>
      </c>
      <c r="CC280" s="801">
        <f>WWWW[[#This Row],['#_Constructed/existing protected hand dug well]]-WWWW[[#This Row],['#_Non-functional protected hand dug well]]</f>
        <v>0</v>
      </c>
      <c r="CD280" s="801">
        <f>(WWWW[[#This Row],['#_Constructed/Existing tube wells/boreholes/handpumps_WASH_agency]]+WWWW[[#This Row],['#_Non-Cluster partner water tube-wells/boreholes/handpumps]])-WWWW[[#This Row],['#_Non-functional tube wells/boreholes/handpumps]]</f>
        <v>0</v>
      </c>
      <c r="CE280" s="801">
        <f>WWWW[[#This Row],['#_Constructed/Existingwater storage tank with gravity fed reticulation system]]-WWWW[[#This Row],['#_Non-functional storage tank gravity fed reticulation system]]</f>
        <v>41</v>
      </c>
      <c r="CF280" s="801">
        <f>(WWWW[[#This Row],['#_Water_Liters_supplied_by_Water boating or water trucking]]/90)/15</f>
        <v>0</v>
      </c>
      <c r="CG280" s="801">
        <f>WWWW[[#This Row],['#_Water_Liters_from_Constructed/Existing water distribution system from river or natural spring]]/90/15</f>
        <v>0</v>
      </c>
      <c r="CH280" s="473">
        <f>WWWW[[#This Row],['#_of water points in TLS/CFS /THF]]*500</f>
        <v>0</v>
      </c>
      <c r="CI28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0" s="800">
        <f>IF(WWWW[[#This Row],[Location Type 1]]="Village",WWWW[[#This Row],[Access to safe drinking water for Village]],WWWW[[#This Row],[Access to safe drinking water for Camp]])</f>
        <v>1</v>
      </c>
      <c r="CL280" s="798">
        <f>WWWW[[#This Row],[%Equitable and continuous access to sufficient quantity of safe drinking water]]*WWWW[[#This Row],[Total PoP ]]</f>
        <v>553</v>
      </c>
      <c r="CM280" s="800">
        <f>IF((WWWW[[#This Row],['#_Constructed/Existing protected/fenced ponds]]*250)/WWWW[[#This Row],[Total PoP ]]&gt;1,1,(WWWW[[#This Row],['#_Constructed/Existing protected/fenced ponds]]*250)/WWWW[[#This Row],[Total PoP ]])</f>
        <v>0</v>
      </c>
      <c r="CN280" s="798">
        <f>WWWW[[#This Row],[% Access to unimproved water points]]*WWWW[[#This Row],[Total PoP ]]</f>
        <v>0</v>
      </c>
      <c r="CO28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553</v>
      </c>
      <c r="CQ280" s="798">
        <f>WWWW[[#This Row],[HRP1]]/500</f>
        <v>1.1060000000000001</v>
      </c>
      <c r="CR280" s="803">
        <f>1-WWWW[[#This Row],[% Equitable and continuous access to sufficient quantity of domestic water]]</f>
        <v>0</v>
      </c>
      <c r="CS280" s="798">
        <f>WWWW[[#This Row],[%equitable and continuous access to sufficient quantity of safe drinking and domestic water''s GAP]]*WWWW[[#This Row],[Total PoP ]]</f>
        <v>0</v>
      </c>
      <c r="CT280" s="801">
        <f>IF(WWWW[[#This Row],[Total required water points]]-WWWW[[#This Row],['#Water points coverage]]&lt;0,0,WWWW[[#This Row],[Total required water points]]-WWWW[[#This Row],['#Water points coverage]])</f>
        <v>0</v>
      </c>
      <c r="CU280" s="801">
        <f>ROUND(IF(WWWW[[#This Row],[Total PoP ]]&lt;500,1,WWWW[[#This Row],[Total PoP ]]/500),0)</f>
        <v>1</v>
      </c>
      <c r="CV280" s="801">
        <f>(WWWW[[#This Row],['#_Constructed latrines_by_WASHAgencies]]+WWWW[[#This Row],['#_Non Cluster partner latrines]])-WWWW[[#This Row],['#_Non-functional latrines]]</f>
        <v>40</v>
      </c>
      <c r="CW280" s="804">
        <f>WWWW[[#This Row],[HRP2]]/WWWW[[#This Row],[Total PoP ]]</f>
        <v>1</v>
      </c>
      <c r="CX28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553</v>
      </c>
      <c r="CY28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0" s="473">
        <f>IF(WWWW[[#This Row],['# of functional latrines in THF supported by WASH partners during the reporting period2]]="",0,WWWW[[#This Row],['# of functional latrines in THF supported by WASH partners during the reporting period2]]*50)</f>
        <v>0</v>
      </c>
      <c r="DB280" s="473">
        <f>WWWW[[#This Row],['# students access to functioning school latrines_HRP5]]+WWWW[[#This Row],['# People access to functioning latrines in THF_HRP5]]</f>
        <v>0</v>
      </c>
      <c r="DC280" s="801">
        <f>ROUND(IF(WWWW[[#This Row],[Location Type 1]]="camp",WWWW[[#This Row],[Total PoP ]]/20,IF(WWWW[[#This Row],[Location Type 1]]="Temporary Location",WWWW[[#This Row],[Total PoP ]]/50,(WWWW[[#This Row],[Total PoP ]]/6))),0)</f>
        <v>28</v>
      </c>
      <c r="DD280" s="801">
        <f>IF(WWWW[[#This Row],[Total required Latrines]]-(WWWW[[#This Row],['#_Constructed latrines_by_WASHAgencies]]+WWWW[[#This Row],['#_Non Cluster partner latrines]])&lt;0,0,WWWW[[#This Row],[Total required Latrines]]-(WWWW[[#This Row],['#_Constructed latrines_by_WASHAgencies]]+WWWW[[#This Row],['#_Non Cluster partner latrines]]))</f>
        <v>0</v>
      </c>
      <c r="DE280" s="803">
        <f>1-WWWW[[#This Row],[% people access to functioning Latrine]]</f>
        <v>0</v>
      </c>
      <c r="DF280" s="802">
        <f>IF(OR(WWWW[[#This Row],['#_Non-functional latrines]]="",WWWW[[#This Row],['#_Non-functional latrines]]=0),0,WWWW[[#This Row],['#_Non-functional latrines]]/(WWWW[[#This Row],['#_Constructed latrines_by_WASHAgencies]]+WWWW[[#This Row],['#_Non Cluster partner latrines]]))</f>
        <v>0</v>
      </c>
      <c r="DG280" s="798">
        <f>IF(500*(WWWW[[#This Row],['#_male hygiene promoters]]+WWWW[[#This Row],['#_female hygiene promoters]])&gt;WWWW[[#This Row],[Total PoP ]],WWWW[[#This Row],[Total PoP ]],500*(WWWW[[#This Row],['#_male hygiene promoters]]+WWWW[[#This Row],['#_female hygiene promoters]]))</f>
        <v>553</v>
      </c>
      <c r="DH28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0" s="801">
        <f>IF(WWWW[[#This Row],['# People with access to soap]]&gt;WWWW[[#This Row],['# People with access to Sanity Pads]],WWWW[[#This Row],['# People with access to soap]],WWWW[[#This Row],['# People with access to Sanity Pads]])</f>
        <v>0</v>
      </c>
      <c r="DK280" s="801">
        <f>IF(WWWW[[#This Row],['# people reached by regular dedicated hygiene promotion_5]]&gt;WWWW[[#This Row],['# People received regular supply of hygiene items_6]],WWWW[[#This Row],['# people reached by regular dedicated hygiene promotion_5]],WWWW[[#This Row],['# People received regular supply of hygiene items_6]])</f>
        <v>553</v>
      </c>
      <c r="DL280" s="803">
        <f>IF(WWWW[[#This Row],[HRP3]]/WWWW[[#This Row],[Total PoP ]]&gt;1,1,WWWW[[#This Row],[HRP3]]/WWWW[[#This Row],[Total PoP ]])</f>
        <v>1</v>
      </c>
      <c r="DM280" s="802">
        <f>1-WWWW[[#This Row],[Hygiene Coverage%]]</f>
        <v>0</v>
      </c>
      <c r="DN280" s="800">
        <f>WWWW[[#This Row],['# people reached by regular dedicated hygiene promotion_5]]/WWWW[[#This Row],[Total PoP ]]</f>
        <v>1</v>
      </c>
      <c r="DO28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0" s="801">
        <f>WWWW[[#This Row],['#_Constructed/Existing hand washing stations]]-WWWW[[#This Row],['#_Non-Functional_hand_washing_stations]]</f>
        <v>2</v>
      </c>
      <c r="DR280" s="798">
        <f>IF(WWWW[[#This Row],['# Functional hand washing stations during reporting period]]*20&gt;WWWW[[#This Row],[Total HH]],WWWW[[#This Row],[Total HH]],WWWW[[#This Row],['# Functional hand washing stations during reporting period]]*20)</f>
        <v>40</v>
      </c>
      <c r="DS280" s="798">
        <f>IF(WWWW[[#This Row],[Is sufficient soap available for TLS? (Yes/No)]]="yes",WWWW[[#This Row],['#_Constructed/Existing hand washing stations at TLS]],0)</f>
        <v>0</v>
      </c>
      <c r="DT280" s="479">
        <f>IF(WWWW[[#This Row],['# Functional hand washing stations during reporting period]]*100&gt;WWWW[[#This Row],[Total PoP ]],WWWW[[#This Row],[Total PoP ]],WWWW[[#This Row],['# Functional hand washing stations during reporting period]]*100)</f>
        <v>200</v>
      </c>
      <c r="DU280" s="479" t="str">
        <f>IF(OR(WWWW[[#This Row],['#_students at TLS_CFS]]="",WWWW[[#This Row],['#_students at TLS_CFS]]=0),"No","Yes")</f>
        <v>No</v>
      </c>
      <c r="DV28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0" s="794" t="str">
        <f>VLOOKUP(WWWW[[#This Row],[Site Name]],SiteDB6[[Site Name]:[CCCM Management]],6,FALSE)</f>
        <v>Yes</v>
      </c>
      <c r="DZ280" s="794" t="str">
        <f>VLOOKUP(WWWW[[#This Row],[Site Name]],SiteDB6[[Site Name]:[CCCM Focal Agency]],7,FALSE)</f>
        <v>KBC-NSS</v>
      </c>
      <c r="EA280" s="794" t="str">
        <f>VLOOKUP(WWWW[[#This Row],[Site Name]],SiteDB6[[Site Name]:[Location Type 1]],9,FALSE)</f>
        <v>Camp</v>
      </c>
      <c r="EB280" s="794" t="str">
        <f>VLOOKUP(WWWW[[#This Row],[Site Name]],SiteDB6[[Site Name]:[Type of Accommodation]],10,FALSE)</f>
        <v>Camp</v>
      </c>
      <c r="EC280" s="794" t="str">
        <f>VLOOKUP(WWWW[[#This Row],[Site Name]],SiteDB6[[Site Name]:[Ethnic or GCA/NGCA]],11,FALSE)</f>
        <v>GCA</v>
      </c>
      <c r="ED280" s="794">
        <f>VLOOKUP(WWWW[[#This Row],[Site Name]],SiteDB6[[Site Name]:[Lat]],12,FALSE)</f>
        <v>24.08738</v>
      </c>
      <c r="EE280" s="794">
        <f>VLOOKUP(WWWW[[#This Row],[Site Name]],SiteDB6[[Site Name]:[Long]],13,FALSE)</f>
        <v>98.115809999999996</v>
      </c>
      <c r="EF280" s="794" t="str">
        <f>VLOOKUP(WWWW[[#This Row],[Site Name]],SiteDB6[[Site Name]:[Pcode]],3,FALSE)</f>
        <v>MMR015CMP247</v>
      </c>
      <c r="EG280" s="799" t="str">
        <f t="shared" si="6"/>
        <v>Covered</v>
      </c>
      <c r="EH280" s="799" t="str">
        <f>VLOOKUP(WWWW[[#This Row],[Site Name]],Site_DB!$C$389:$D$1120,2,FALSE)</f>
        <v>cccm_2019OCT</v>
      </c>
    </row>
    <row r="281" spans="1:138" hidden="1">
      <c r="A281" s="792" t="s">
        <v>3262</v>
      </c>
      <c r="B281" s="792" t="s">
        <v>195</v>
      </c>
      <c r="C281" s="793" t="s">
        <v>195</v>
      </c>
      <c r="D281" s="404" t="s">
        <v>3367</v>
      </c>
      <c r="E281" s="793" t="s">
        <v>39</v>
      </c>
      <c r="F281" s="793" t="s">
        <v>208</v>
      </c>
      <c r="G281" s="721" t="str">
        <f>VLOOKUP(WWWW[[#This Row],[Site Name]],SiteDB6[[Site Name]:[Location Type]],8,FALSE)</f>
        <v>Camp</v>
      </c>
      <c r="H281" s="793" t="s">
        <v>220</v>
      </c>
      <c r="I281" s="720">
        <v>714</v>
      </c>
      <c r="J281" s="720">
        <v>3659</v>
      </c>
      <c r="K281" s="407" t="s">
        <v>3609</v>
      </c>
      <c r="L281" s="56" t="s">
        <v>3610</v>
      </c>
      <c r="M281" s="795"/>
      <c r="N281" s="795">
        <v>0</v>
      </c>
      <c r="O281" s="795">
        <v>0</v>
      </c>
      <c r="P281" s="795"/>
      <c r="Q281" s="798" t="s">
        <v>43</v>
      </c>
      <c r="R281" s="795">
        <v>7</v>
      </c>
      <c r="S281" s="795">
        <v>3</v>
      </c>
      <c r="T281" s="523">
        <v>3</v>
      </c>
      <c r="U281" s="795"/>
      <c r="V281" s="795"/>
      <c r="W281" s="795"/>
      <c r="X281" s="795"/>
      <c r="Y281" s="795"/>
      <c r="Z281" s="795"/>
      <c r="AA281" s="795">
        <v>3</v>
      </c>
      <c r="AB281" s="795"/>
      <c r="AC281" s="795"/>
      <c r="AD281" s="795"/>
      <c r="AE281" s="795"/>
      <c r="AF281" s="720">
        <v>293760</v>
      </c>
      <c r="AG281" s="795"/>
      <c r="AH281" s="795"/>
      <c r="AI281" s="795"/>
      <c r="AJ281" s="795"/>
      <c r="AK281" s="795"/>
      <c r="AL281" s="795"/>
      <c r="AM281" s="795">
        <v>3</v>
      </c>
      <c r="AN281" s="795">
        <v>3</v>
      </c>
      <c r="AO281" s="799"/>
      <c r="AP281" s="795">
        <v>306</v>
      </c>
      <c r="AQ281" s="795"/>
      <c r="AR281" s="800"/>
      <c r="AS281" s="795"/>
      <c r="AT281" s="795"/>
      <c r="AU281" s="720">
        <v>7</v>
      </c>
      <c r="AV281" s="720">
        <v>19000</v>
      </c>
      <c r="AW281" s="795"/>
      <c r="AX281" s="794" t="s">
        <v>43</v>
      </c>
      <c r="AY281" s="799" t="s">
        <v>140</v>
      </c>
      <c r="AZ281" s="720">
        <v>13</v>
      </c>
      <c r="BA281" s="795"/>
      <c r="BB281" s="795">
        <v>46</v>
      </c>
      <c r="BC281" s="523"/>
      <c r="BD281" s="523"/>
      <c r="BE281" s="794"/>
      <c r="BF281" s="795">
        <v>77</v>
      </c>
      <c r="BG281" s="795"/>
      <c r="BH281" s="795"/>
      <c r="BI281" s="795">
        <v>22</v>
      </c>
      <c r="BJ281" s="795"/>
      <c r="BK281" s="795"/>
      <c r="BL281" s="720">
        <v>3</v>
      </c>
      <c r="BM281" s="720">
        <v>685</v>
      </c>
      <c r="BN281" s="720">
        <v>667</v>
      </c>
      <c r="BO281" s="806" t="s">
        <v>139</v>
      </c>
      <c r="BP281" s="720"/>
      <c r="BQ281" s="800"/>
      <c r="BR281" s="794"/>
      <c r="BS281" s="472">
        <v>1</v>
      </c>
      <c r="BT281" s="472">
        <v>1</v>
      </c>
      <c r="BU281" s="523"/>
      <c r="BV281" s="472">
        <v>0</v>
      </c>
      <c r="BW281" s="523"/>
      <c r="BX281" s="523"/>
      <c r="BY281" s="523"/>
      <c r="BZ281" s="802" t="str">
        <f>IFERROR(WWWW[[#This Row],['#_Water sources passed]]/WWWW[[#This Row],['#_Water sources tested for fecal coliform ]],"no test")</f>
        <v>no test</v>
      </c>
      <c r="CA281" s="800" t="str">
        <f>IFERROR(WWWW[[#This Row],['#_Household passed]]/WWWW[[#This Row],['#_Household water samples tested for fecal coliform]],"no test")</f>
        <v>no test</v>
      </c>
      <c r="CB281" s="801" t="str">
        <f>IF(AND(WWWW[[#This Row],[% of water sources passed]]="no test",WWWW[[#This Row],[% Household passed]]="no test"),"No Test","Tested")</f>
        <v>No Test</v>
      </c>
      <c r="CC281" s="801">
        <f>WWWW[[#This Row],['#_Constructed/existing protected hand dug well]]-WWWW[[#This Row],['#_Non-functional protected hand dug well]]</f>
        <v>3</v>
      </c>
      <c r="CD281" s="801">
        <f>(WWWW[[#This Row],['#_Constructed/Existing tube wells/boreholes/handpumps_WASH_agency]]+WWWW[[#This Row],['#_Non-Cluster partner water tube-wells/boreholes/handpumps]])-WWWW[[#This Row],['#_Non-functional tube wells/boreholes/handpumps]]</f>
        <v>0</v>
      </c>
      <c r="CE281" s="801">
        <f>WWWW[[#This Row],['#_Constructed/Existingwater storage tank with gravity fed reticulation system]]-WWWW[[#This Row],['#_Non-functional storage tank gravity fed reticulation system]]</f>
        <v>3</v>
      </c>
      <c r="CF281" s="801">
        <f>(WWWW[[#This Row],['#_Water_Liters_supplied_by_Water boating or water trucking]]/90)/15</f>
        <v>0</v>
      </c>
      <c r="CG281" s="801">
        <f>WWWW[[#This Row],['#_Water_Liters_from_Constructed/Existing water distribution system from river or natural spring]]/90/15</f>
        <v>217.6</v>
      </c>
      <c r="CH281" s="473">
        <f>WWWW[[#This Row],['#_of water points in TLS/CFS /THF]]*500</f>
        <v>1500</v>
      </c>
      <c r="CI28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0.44208800218638972</v>
      </c>
      <c r="CJ28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0.31910358021317298</v>
      </c>
      <c r="CK281" s="800">
        <f>IF(WWWW[[#This Row],[Location Type 1]]="Village",WWWW[[#This Row],[Access to safe drinking water for Village]],WWWW[[#This Row],[Access to safe drinking water for Camp]])</f>
        <v>0.44208800218638972</v>
      </c>
      <c r="CL281" s="798">
        <f>WWWW[[#This Row],[%Equitable and continuous access to sufficient quantity of safe drinking water]]*WWWW[[#This Row],[Total PoP ]]</f>
        <v>1617.6</v>
      </c>
      <c r="CM281" s="800">
        <f>IF((WWWW[[#This Row],['#_Constructed/Existing protected/fenced ponds]]*250)/WWWW[[#This Row],[Total PoP ]]&gt;1,1,(WWWW[[#This Row],['#_Constructed/Existing protected/fenced ponds]]*250)/WWWW[[#This Row],[Total PoP ]])</f>
        <v>0</v>
      </c>
      <c r="CN281" s="798">
        <f>WWWW[[#This Row],[% Access to unimproved water points]]*WWWW[[#This Row],[Total PoP ]]</f>
        <v>0</v>
      </c>
      <c r="CO28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0.44208800218638972</v>
      </c>
      <c r="CP28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1617.6</v>
      </c>
      <c r="CQ281" s="798">
        <f>WWWW[[#This Row],[HRP1]]/500</f>
        <v>3.2351999999999999</v>
      </c>
      <c r="CR281" s="803">
        <f>1-WWWW[[#This Row],[% Equitable and continuous access to sufficient quantity of domestic water]]</f>
        <v>0.55791199781361023</v>
      </c>
      <c r="CS281" s="798">
        <f>WWWW[[#This Row],[%equitable and continuous access to sufficient quantity of safe drinking and domestic water''s GAP]]*WWWW[[#This Row],[Total PoP ]]</f>
        <v>2041.3999999999999</v>
      </c>
      <c r="CT281" s="801">
        <f>IF(WWWW[[#This Row],[Total required water points]]-WWWW[[#This Row],['#Water points coverage]]&lt;0,0,WWWW[[#This Row],[Total required water points]]-WWWW[[#This Row],['#Water points coverage]])</f>
        <v>3.7648000000000001</v>
      </c>
      <c r="CU281" s="801">
        <f>ROUND(IF(WWWW[[#This Row],[Total PoP ]]&lt;500,1,WWWW[[#This Row],[Total PoP ]]/500),0)</f>
        <v>7</v>
      </c>
      <c r="CV281" s="801">
        <f>(WWWW[[#This Row],['#_Constructed latrines_by_WASHAgencies]]+WWWW[[#This Row],['#_Non Cluster partner latrines]])-WWWW[[#This Row],['#_Non-functional latrines]]</f>
        <v>306</v>
      </c>
      <c r="CW281" s="804">
        <f>WWWW[[#This Row],[HRP2]]/WWWW[[#This Row],[Total PoP ]]</f>
        <v>1</v>
      </c>
      <c r="CX28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3659</v>
      </c>
      <c r="CY28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Z28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1" s="473">
        <f>IF(WWWW[[#This Row],['# of functional latrines in THF supported by WASH partners during the reporting period2]]="",0,WWWW[[#This Row],['# of functional latrines in THF supported by WASH partners during the reporting period2]]*50)</f>
        <v>0</v>
      </c>
      <c r="DB281" s="473">
        <f>WWWW[[#This Row],['# students access to functioning school latrines_HRP5]]+WWWW[[#This Row],['# People access to functioning latrines in THF_HRP5]]</f>
        <v>0</v>
      </c>
      <c r="DC281" s="801">
        <f>ROUND(IF(WWWW[[#This Row],[Location Type 1]]="camp",WWWW[[#This Row],[Total PoP ]]/20,IF(WWWW[[#This Row],[Location Type 1]]="Temporary Location",WWWW[[#This Row],[Total PoP ]]/50,(WWWW[[#This Row],[Total PoP ]]/6))),0)</f>
        <v>183</v>
      </c>
      <c r="DD281" s="801">
        <f>IF(WWWW[[#This Row],[Total required Latrines]]-(WWWW[[#This Row],['#_Constructed latrines_by_WASHAgencies]]+WWWW[[#This Row],['#_Non Cluster partner latrines]])&lt;0,0,WWWW[[#This Row],[Total required Latrines]]-(WWWW[[#This Row],['#_Constructed latrines_by_WASHAgencies]]+WWWW[[#This Row],['#_Non Cluster partner latrines]]))</f>
        <v>0</v>
      </c>
      <c r="DE281" s="803">
        <f>1-WWWW[[#This Row],[% people access to functioning Latrine]]</f>
        <v>0</v>
      </c>
      <c r="DF281" s="802">
        <f>IF(OR(WWWW[[#This Row],['#_Non-functional latrines]]="",WWWW[[#This Row],['#_Non-functional latrines]]=0),0,WWWW[[#This Row],['#_Non-functional latrines]]/(WWWW[[#This Row],['#_Constructed latrines_by_WASHAgencies]]+WWWW[[#This Row],['#_Non Cluster partner latrines]]))</f>
        <v>0</v>
      </c>
      <c r="DG281" s="798">
        <f>IF(500*(WWWW[[#This Row],['#_male hygiene promoters]]+WWWW[[#This Row],['#_female hygiene promoters]])&gt;WWWW[[#This Row],[Total PoP ]],WWWW[[#This Row],[Total PoP ]],500*(WWWW[[#This Row],['#_male hygiene promoters]]+WWWW[[#This Row],['#_female hygiene promoters]]))</f>
        <v>1500</v>
      </c>
      <c r="DH28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3425</v>
      </c>
      <c r="DI28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667</v>
      </c>
      <c r="DJ281" s="801">
        <f>IF(WWWW[[#This Row],['# People with access to soap]]&gt;WWWW[[#This Row],['# People with access to Sanity Pads]],WWWW[[#This Row],['# People with access to soap]],WWWW[[#This Row],['# People with access to Sanity Pads]])</f>
        <v>3425</v>
      </c>
      <c r="DK281" s="801">
        <f>IF(WWWW[[#This Row],['# people reached by regular dedicated hygiene promotion_5]]&gt;WWWW[[#This Row],['# People received regular supply of hygiene items_6]],WWWW[[#This Row],['# people reached by regular dedicated hygiene promotion_5]],WWWW[[#This Row],['# People received regular supply of hygiene items_6]])</f>
        <v>3425</v>
      </c>
      <c r="DL281" s="803">
        <f>IF(WWWW[[#This Row],[HRP3]]/WWWW[[#This Row],[Total PoP ]]&gt;1,1,WWWW[[#This Row],[HRP3]]/WWWW[[#This Row],[Total PoP ]])</f>
        <v>0.93604810057392729</v>
      </c>
      <c r="DM281" s="802">
        <f>1-WWWW[[#This Row],[Hygiene Coverage%]]</f>
        <v>6.3951899426072711E-2</v>
      </c>
      <c r="DN281" s="800">
        <f>WWWW[[#This Row],['# people reached by regular dedicated hygiene promotion_5]]/WWWW[[#This Row],[Total PoP ]]</f>
        <v>0.40994807324405574</v>
      </c>
      <c r="DO28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0.95938375350140059</v>
      </c>
      <c r="DP28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0.93417366946778713</v>
      </c>
      <c r="DQ281" s="801">
        <f>WWWW[[#This Row],['#_Constructed/Existing hand washing stations]]-WWWW[[#This Row],['#_Non-Functional_hand_washing_stations]]</f>
        <v>77</v>
      </c>
      <c r="DR281" s="798">
        <f>IF(WWWW[[#This Row],['# Functional hand washing stations during reporting period]]*20&gt;WWWW[[#This Row],[Total HH]],WWWW[[#This Row],[Total HH]],WWWW[[#This Row],['# Functional hand washing stations during reporting period]]*20)</f>
        <v>714</v>
      </c>
      <c r="DS281" s="798">
        <f>IF(WWWW[[#This Row],[Is sufficient soap available for TLS? (Yes/No)]]="yes",WWWW[[#This Row],['#_Constructed/Existing hand washing stations at TLS]],0)</f>
        <v>0</v>
      </c>
      <c r="DT281" s="479">
        <f>IF(WWWW[[#This Row],['# Functional hand washing stations during reporting period]]*100&gt;WWWW[[#This Row],[Total PoP ]],WWWW[[#This Row],[Total PoP ]],WWWW[[#This Row],['# Functional hand washing stations during reporting period]]*100)</f>
        <v>3659</v>
      </c>
      <c r="DU281" s="479" t="str">
        <f>IF(OR(WWWW[[#This Row],['#_students at TLS_CFS]]="",WWWW[[#This Row],['#_students at TLS_CFS]]=0),"No","Yes")</f>
        <v>No</v>
      </c>
      <c r="DV28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281" s="794" t="str">
        <f>VLOOKUP(WWWW[[#This Row],[Site Name]],SiteDB6[[Site Name]:[CCCM Management]],6,FALSE)</f>
        <v>Yes</v>
      </c>
      <c r="DZ281" s="794" t="str">
        <f>VLOOKUP(WWWW[[#This Row],[Site Name]],SiteDB6[[Site Name]:[CCCM Focal Agency]],7,FALSE)</f>
        <v>KMSS-MYT</v>
      </c>
      <c r="EA281" s="794" t="str">
        <f>VLOOKUP(WWWW[[#This Row],[Site Name]],SiteDB6[[Site Name]:[Location Type 1]],9,FALSE)</f>
        <v>Camp</v>
      </c>
      <c r="EB281" s="794" t="str">
        <f>VLOOKUP(WWWW[[#This Row],[Site Name]],SiteDB6[[Site Name]:[Type of Accommodation]],10,FALSE)</f>
        <v>Camp</v>
      </c>
      <c r="EC281" s="794" t="str">
        <f>VLOOKUP(WWWW[[#This Row],[Site Name]],SiteDB6[[Site Name]:[Ethnic or GCA/NGCA]],11,FALSE)</f>
        <v>NGCA</v>
      </c>
      <c r="ED281" s="794">
        <f>VLOOKUP(WWWW[[#This Row],[Site Name]],SiteDB6[[Site Name]:[Lat]],12,FALSE)</f>
        <v>24.661905999999998</v>
      </c>
      <c r="EE281" s="794">
        <f>VLOOKUP(WWWW[[#This Row],[Site Name]],SiteDB6[[Site Name]:[Long]],13,FALSE)</f>
        <v>97.573126000000002</v>
      </c>
      <c r="EF281" s="794" t="str">
        <f>VLOOKUP(WWWW[[#This Row],[Site Name]],SiteDB6[[Site Name]:[Pcode]],3,FALSE)</f>
        <v>MMR001CMP122</v>
      </c>
      <c r="EG281" s="799" t="str">
        <f t="shared" si="6"/>
        <v>Covered</v>
      </c>
      <c r="EH281" s="799" t="str">
        <f>VLOOKUP(WWWW[[#This Row],[Site Name]],Site_DB!$C$389:$D$1120,2,FALSE)</f>
        <v>cccm_2019OCT</v>
      </c>
    </row>
    <row r="282" spans="1:138" hidden="1">
      <c r="A282" s="792" t="s">
        <v>3262</v>
      </c>
      <c r="B282" s="792" t="s">
        <v>195</v>
      </c>
      <c r="C282" s="793" t="s">
        <v>195</v>
      </c>
      <c r="D282" s="404" t="s">
        <v>3366</v>
      </c>
      <c r="E282" s="793" t="s">
        <v>39</v>
      </c>
      <c r="F282" s="793" t="s">
        <v>198</v>
      </c>
      <c r="G282" s="721" t="str">
        <f>VLOOKUP(WWWW[[#This Row],[Site Name]],SiteDB6[[Site Name]:[Location Type]],8,FALSE)</f>
        <v>Camp</v>
      </c>
      <c r="H282" s="793" t="s">
        <v>201</v>
      </c>
      <c r="I282" s="720">
        <v>37</v>
      </c>
      <c r="J282" s="720">
        <v>291</v>
      </c>
      <c r="K282" s="407" t="s">
        <v>3611</v>
      </c>
      <c r="L282" s="56" t="s">
        <v>3612</v>
      </c>
      <c r="M282" s="795"/>
      <c r="N282" s="795"/>
      <c r="O282" s="795"/>
      <c r="P282" s="795"/>
      <c r="Q282" s="798" t="s">
        <v>43</v>
      </c>
      <c r="R282" s="795">
        <v>1</v>
      </c>
      <c r="S282" s="795">
        <v>2</v>
      </c>
      <c r="T282" s="523">
        <v>1</v>
      </c>
      <c r="U282" s="795"/>
      <c r="V282" s="795"/>
      <c r="W282" s="795"/>
      <c r="X282" s="795">
        <v>2</v>
      </c>
      <c r="Y282" s="795"/>
      <c r="Z282" s="795"/>
      <c r="AA282" s="795"/>
      <c r="AB282" s="795"/>
      <c r="AC282" s="795"/>
      <c r="AD282" s="795"/>
      <c r="AE282" s="795"/>
      <c r="AF282" s="795"/>
      <c r="AG282" s="795"/>
      <c r="AH282" s="795"/>
      <c r="AI282" s="795"/>
      <c r="AJ282" s="795"/>
      <c r="AK282" s="795"/>
      <c r="AL282" s="795"/>
      <c r="AM282" s="795"/>
      <c r="AN282" s="795"/>
      <c r="AO282" s="799"/>
      <c r="AP282" s="795">
        <v>7</v>
      </c>
      <c r="AQ282" s="795"/>
      <c r="AR282" s="800"/>
      <c r="AS282" s="795"/>
      <c r="AT282" s="795"/>
      <c r="AU282" s="795"/>
      <c r="AV282" s="795"/>
      <c r="AW282" s="795"/>
      <c r="AX282" s="794" t="s">
        <v>43</v>
      </c>
      <c r="AY282" s="799" t="s">
        <v>140</v>
      </c>
      <c r="AZ282" s="795"/>
      <c r="BA282" s="795"/>
      <c r="BB282" s="795"/>
      <c r="BC282" s="523"/>
      <c r="BD282" s="523"/>
      <c r="BE282" s="794"/>
      <c r="BF282" s="795">
        <v>4</v>
      </c>
      <c r="BG282" s="795"/>
      <c r="BH282" s="795"/>
      <c r="BI282" s="795">
        <v>2</v>
      </c>
      <c r="BJ282" s="795"/>
      <c r="BK282" s="795"/>
      <c r="BL282" s="720">
        <v>1</v>
      </c>
      <c r="BM282" s="720">
        <v>37</v>
      </c>
      <c r="BN282" s="720">
        <v>76</v>
      </c>
      <c r="BO282" s="794"/>
      <c r="BP282" s="801"/>
      <c r="BQ282" s="800"/>
      <c r="BR282" s="794"/>
      <c r="BS282" s="808">
        <v>1</v>
      </c>
      <c r="BT282" s="808">
        <v>1</v>
      </c>
      <c r="BU282" s="523"/>
      <c r="BV282" s="472">
        <v>0</v>
      </c>
      <c r="BW282" s="523"/>
      <c r="BX282" s="523"/>
      <c r="BY282" s="523"/>
      <c r="BZ282" s="802" t="str">
        <f>IFERROR(WWWW[[#This Row],['#_Water sources passed]]/WWWW[[#This Row],['#_Water sources tested for fecal coliform ]],"no test")</f>
        <v>no test</v>
      </c>
      <c r="CA282" s="800" t="str">
        <f>IFERROR(WWWW[[#This Row],['#_Household passed]]/WWWW[[#This Row],['#_Household water samples tested for fecal coliform]],"no test")</f>
        <v>no test</v>
      </c>
      <c r="CB282" s="801" t="str">
        <f>IF(AND(WWWW[[#This Row],[% of water sources passed]]="no test",WWWW[[#This Row],[% Household passed]]="no test"),"No Test","Tested")</f>
        <v>No Test</v>
      </c>
      <c r="CC282" s="801">
        <f>WWWW[[#This Row],['#_Constructed/existing protected hand dug well]]-WWWW[[#This Row],['#_Non-functional protected hand dug well]]</f>
        <v>1</v>
      </c>
      <c r="CD282" s="801">
        <f>(WWWW[[#This Row],['#_Constructed/Existing tube wells/boreholes/handpumps_WASH_agency]]+WWWW[[#This Row],['#_Non-Cluster partner water tube-wells/boreholes/handpumps]])-WWWW[[#This Row],['#_Non-functional tube wells/boreholes/handpumps]]</f>
        <v>2</v>
      </c>
      <c r="CE282" s="801">
        <f>WWWW[[#This Row],['#_Constructed/Existingwater storage tank with gravity fed reticulation system]]-WWWW[[#This Row],['#_Non-functional storage tank gravity fed reticulation system]]</f>
        <v>0</v>
      </c>
      <c r="CF282" s="801">
        <f>(WWWW[[#This Row],['#_Water_Liters_supplied_by_Water boating or water trucking]]/90)/15</f>
        <v>0</v>
      </c>
      <c r="CG282" s="801">
        <f>WWWW[[#This Row],['#_Water_Liters_from_Constructed/Existing water distribution system from river or natural spring]]/90/15</f>
        <v>0</v>
      </c>
      <c r="CH282" s="473">
        <f>WWWW[[#This Row],['#_of water points in TLS/CFS /THF]]*500</f>
        <v>0</v>
      </c>
      <c r="CI28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2" s="800">
        <f>IF(WWWW[[#This Row],[Location Type 1]]="Village",WWWW[[#This Row],[Access to safe drinking water for Village]],WWWW[[#This Row],[Access to safe drinking water for Camp]])</f>
        <v>1</v>
      </c>
      <c r="CL282" s="798">
        <f>WWWW[[#This Row],[%Equitable and continuous access to sufficient quantity of safe drinking water]]*WWWW[[#This Row],[Total PoP ]]</f>
        <v>291</v>
      </c>
      <c r="CM282" s="800">
        <f>IF((WWWW[[#This Row],['#_Constructed/Existing protected/fenced ponds]]*250)/WWWW[[#This Row],[Total PoP ]]&gt;1,1,(WWWW[[#This Row],['#_Constructed/Existing protected/fenced ponds]]*250)/WWWW[[#This Row],[Total PoP ]])</f>
        <v>0</v>
      </c>
      <c r="CN282" s="798">
        <f>WWWW[[#This Row],[% Access to unimproved water points]]*WWWW[[#This Row],[Total PoP ]]</f>
        <v>0</v>
      </c>
      <c r="CO28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Q282" s="798">
        <f>WWWW[[#This Row],[HRP1]]/500</f>
        <v>0.58199999999999996</v>
      </c>
      <c r="CR282" s="803">
        <f>1-WWWW[[#This Row],[% Equitable and continuous access to sufficient quantity of domestic water]]</f>
        <v>0</v>
      </c>
      <c r="CS282" s="798">
        <f>WWWW[[#This Row],[%equitable and continuous access to sufficient quantity of safe drinking and domestic water''s GAP]]*WWWW[[#This Row],[Total PoP ]]</f>
        <v>0</v>
      </c>
      <c r="CT282" s="801">
        <f>IF(WWWW[[#This Row],[Total required water points]]-WWWW[[#This Row],['#Water points coverage]]&lt;0,0,WWWW[[#This Row],[Total required water points]]-WWWW[[#This Row],['#Water points coverage]])</f>
        <v>0.41800000000000004</v>
      </c>
      <c r="CU282" s="801">
        <f>ROUND(IF(WWWW[[#This Row],[Total PoP ]]&lt;500,1,WWWW[[#This Row],[Total PoP ]]/500),0)</f>
        <v>1</v>
      </c>
      <c r="CV282" s="801">
        <f>(WWWW[[#This Row],['#_Constructed latrines_by_WASHAgencies]]+WWWW[[#This Row],['#_Non Cluster partner latrines]])-WWWW[[#This Row],['#_Non-functional latrines]]</f>
        <v>7</v>
      </c>
      <c r="CW282" s="804">
        <f>WWWW[[#This Row],[HRP2]]/WWWW[[#This Row],[Total PoP ]]</f>
        <v>0.48109965635738833</v>
      </c>
      <c r="CX28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28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2" s="473">
        <f>IF(WWWW[[#This Row],['# of functional latrines in THF supported by WASH partners during the reporting period2]]="",0,WWWW[[#This Row],['# of functional latrines in THF supported by WASH partners during the reporting period2]]*50)</f>
        <v>0</v>
      </c>
      <c r="DB282" s="473">
        <f>WWWW[[#This Row],['# students access to functioning school latrines_HRP5]]+WWWW[[#This Row],['# People access to functioning latrines in THF_HRP5]]</f>
        <v>0</v>
      </c>
      <c r="DC282" s="801">
        <f>ROUND(IF(WWWW[[#This Row],[Location Type 1]]="camp",WWWW[[#This Row],[Total PoP ]]/20,IF(WWWW[[#This Row],[Location Type 1]]="Temporary Location",WWWW[[#This Row],[Total PoP ]]/50,(WWWW[[#This Row],[Total PoP ]]/6))),0)</f>
        <v>15</v>
      </c>
      <c r="DD282" s="801">
        <f>IF(WWWW[[#This Row],[Total required Latrines]]-(WWWW[[#This Row],['#_Constructed latrines_by_WASHAgencies]]+WWWW[[#This Row],['#_Non Cluster partner latrines]])&lt;0,0,WWWW[[#This Row],[Total required Latrines]]-(WWWW[[#This Row],['#_Constructed latrines_by_WASHAgencies]]+WWWW[[#This Row],['#_Non Cluster partner latrines]]))</f>
        <v>8</v>
      </c>
      <c r="DE282" s="803">
        <f>1-WWWW[[#This Row],[% people access to functioning Latrine]]</f>
        <v>0.51890034364261162</v>
      </c>
      <c r="DF282" s="802">
        <f>IF(OR(WWWW[[#This Row],['#_Non-functional latrines]]="",WWWW[[#This Row],['#_Non-functional latrines]]=0),0,WWWW[[#This Row],['#_Non-functional latrines]]/(WWWW[[#This Row],['#_Constructed latrines_by_WASHAgencies]]+WWWW[[#This Row],['#_Non Cluster partner latrines]]))</f>
        <v>0</v>
      </c>
      <c r="DG282" s="798">
        <f>IF(500*(WWWW[[#This Row],['#_male hygiene promoters]]+WWWW[[#This Row],['#_female hygiene promoters]])&gt;WWWW[[#This Row],[Total PoP ]],WWWW[[#This Row],[Total PoP ]],500*(WWWW[[#This Row],['#_male hygiene promoters]]+WWWW[[#This Row],['#_female hygiene promoters]]))</f>
        <v>291</v>
      </c>
      <c r="DH28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291</v>
      </c>
      <c r="DI28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76</v>
      </c>
      <c r="DJ282" s="801">
        <f>IF(WWWW[[#This Row],['# People with access to soap]]&gt;WWWW[[#This Row],['# People with access to Sanity Pads]],WWWW[[#This Row],['# People with access to soap]],WWWW[[#This Row],['# People with access to Sanity Pads]])</f>
        <v>291</v>
      </c>
      <c r="DK282" s="801">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L282" s="803">
        <f>IF(WWWW[[#This Row],[HRP3]]/WWWW[[#This Row],[Total PoP ]]&gt;1,1,WWWW[[#This Row],[HRP3]]/WWWW[[#This Row],[Total PoP ]])</f>
        <v>1</v>
      </c>
      <c r="DM282" s="802">
        <f>1-WWWW[[#This Row],[Hygiene Coverage%]]</f>
        <v>0</v>
      </c>
      <c r="DN282" s="800">
        <f>WWWW[[#This Row],['# people reached by regular dedicated hygiene promotion_5]]/WWWW[[#This Row],[Total PoP ]]</f>
        <v>1</v>
      </c>
      <c r="DO28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2" s="801">
        <f>WWWW[[#This Row],['#_Constructed/Existing hand washing stations]]-WWWW[[#This Row],['#_Non-Functional_hand_washing_stations]]</f>
        <v>4</v>
      </c>
      <c r="DR282" s="798">
        <f>IF(WWWW[[#This Row],['# Functional hand washing stations during reporting period]]*20&gt;WWWW[[#This Row],[Total HH]],WWWW[[#This Row],[Total HH]],WWWW[[#This Row],['# Functional hand washing stations during reporting period]]*20)</f>
        <v>37</v>
      </c>
      <c r="DS282" s="798">
        <f>IF(WWWW[[#This Row],[Is sufficient soap available for TLS? (Yes/No)]]="yes",WWWW[[#This Row],['#_Constructed/Existing hand washing stations at TLS]],0)</f>
        <v>0</v>
      </c>
      <c r="DT282" s="479">
        <f>IF(WWWW[[#This Row],['# Functional hand washing stations during reporting period]]*100&gt;WWWW[[#This Row],[Total PoP ]],WWWW[[#This Row],[Total PoP ]],WWWW[[#This Row],['# Functional hand washing stations during reporting period]]*100)</f>
        <v>291</v>
      </c>
      <c r="DU282" s="479" t="str">
        <f>IF(OR(WWWW[[#This Row],['#_students at TLS_CFS]]="",WWWW[[#This Row],['#_students at TLS_CFS]]=0),"No","Yes")</f>
        <v>No</v>
      </c>
      <c r="DV28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2" s="794" t="str">
        <f>VLOOKUP(WWWW[[#This Row],[Site Name]],SiteDB6[[Site Name]:[CCCM Management]],6,FALSE)</f>
        <v>Yes</v>
      </c>
      <c r="DZ282" s="794" t="str">
        <f>VLOOKUP(WWWW[[#This Row],[Site Name]],SiteDB6[[Site Name]:[CCCM Focal Agency]],7,FALSE)</f>
        <v>KBC-BMO</v>
      </c>
      <c r="EA282" s="794" t="str">
        <f>VLOOKUP(WWWW[[#This Row],[Site Name]],SiteDB6[[Site Name]:[Location Type 1]],9,FALSE)</f>
        <v>Camp</v>
      </c>
      <c r="EB282" s="794" t="str">
        <f>VLOOKUP(WWWW[[#This Row],[Site Name]],SiteDB6[[Site Name]:[Type of Accommodation]],10,FALSE)</f>
        <v>Camp</v>
      </c>
      <c r="EC282" s="794" t="str">
        <f>VLOOKUP(WWWW[[#This Row],[Site Name]],SiteDB6[[Site Name]:[Ethnic or GCA/NGCA]],11,FALSE)</f>
        <v>GCA</v>
      </c>
      <c r="ED282" s="794">
        <f>VLOOKUP(WWWW[[#This Row],[Site Name]],SiteDB6[[Site Name]:[Lat]],12,FALSE)</f>
        <v>24.24766</v>
      </c>
      <c r="EE282" s="794">
        <f>VLOOKUP(WWWW[[#This Row],[Site Name]],SiteDB6[[Site Name]:[Long]],13,FALSE)</f>
        <v>97.236919999999998</v>
      </c>
      <c r="EF282" s="794" t="str">
        <f>VLOOKUP(WWWW[[#This Row],[Site Name]],SiteDB6[[Site Name]:[Pcode]],3,FALSE)</f>
        <v>MMR001CMP052</v>
      </c>
      <c r="EG282" s="799" t="str">
        <f t="shared" si="6"/>
        <v>Covered</v>
      </c>
      <c r="EH282" s="799" t="str">
        <f>VLOOKUP(WWWW[[#This Row],[Site Name]],Site_DB!$C$389:$D$1120,2,FALSE)</f>
        <v>cccm_2019OCT</v>
      </c>
    </row>
    <row r="283" spans="1:138" hidden="1">
      <c r="A283" s="792" t="s">
        <v>3262</v>
      </c>
      <c r="B283" s="792" t="s">
        <v>195</v>
      </c>
      <c r="C283" s="793" t="s">
        <v>195</v>
      </c>
      <c r="D283" s="404" t="s">
        <v>3364</v>
      </c>
      <c r="E283" s="793" t="s">
        <v>711</v>
      </c>
      <c r="F283" s="793" t="s">
        <v>715</v>
      </c>
      <c r="G283" s="721" t="str">
        <f>VLOOKUP(WWWW[[#This Row],[Site Name]],SiteDB6[[Site Name]:[Location Type]],8,FALSE)</f>
        <v>Camp</v>
      </c>
      <c r="H283" s="793" t="s">
        <v>2305</v>
      </c>
      <c r="I283" s="795">
        <v>32</v>
      </c>
      <c r="J283" s="795">
        <v>154</v>
      </c>
      <c r="K283" s="407" t="s">
        <v>3607</v>
      </c>
      <c r="L283" s="56" t="s">
        <v>3608</v>
      </c>
      <c r="M283" s="795"/>
      <c r="N283" s="795">
        <v>1</v>
      </c>
      <c r="O283" s="795"/>
      <c r="P283" s="795"/>
      <c r="Q283" s="798" t="s">
        <v>43</v>
      </c>
      <c r="R283" s="795">
        <v>4</v>
      </c>
      <c r="S283" s="795">
        <v>5</v>
      </c>
      <c r="T283" s="523">
        <v>0</v>
      </c>
      <c r="U283" s="795"/>
      <c r="V283" s="795"/>
      <c r="W283" s="720">
        <v>0</v>
      </c>
      <c r="X283" s="720">
        <v>0</v>
      </c>
      <c r="Y283" s="795"/>
      <c r="Z283" s="795"/>
      <c r="AA283" s="720">
        <v>37</v>
      </c>
      <c r="AB283" s="795"/>
      <c r="AC283" s="795"/>
      <c r="AD283" s="795">
        <v>0</v>
      </c>
      <c r="AE283" s="795"/>
      <c r="AF283" s="795">
        <v>0</v>
      </c>
      <c r="AG283" s="720">
        <v>3</v>
      </c>
      <c r="AH283" s="720"/>
      <c r="AI283" s="795"/>
      <c r="AJ283" s="795"/>
      <c r="AK283" s="795"/>
      <c r="AL283" s="795"/>
      <c r="AM283" s="720"/>
      <c r="AN283" s="720"/>
      <c r="AO283" s="719"/>
      <c r="AP283" s="720">
        <v>30</v>
      </c>
      <c r="AQ283" s="720">
        <v>0</v>
      </c>
      <c r="AR283" s="800"/>
      <c r="AS283" s="795"/>
      <c r="AT283" s="795"/>
      <c r="AU283" s="795"/>
      <c r="AV283" s="795"/>
      <c r="AW283" s="795"/>
      <c r="AX283" s="794" t="s">
        <v>43</v>
      </c>
      <c r="AY283" s="799" t="s">
        <v>140</v>
      </c>
      <c r="AZ283" s="795">
        <v>0</v>
      </c>
      <c r="BA283" s="795">
        <v>0</v>
      </c>
      <c r="BB283" s="720"/>
      <c r="BC283" s="720"/>
      <c r="BD283" s="523"/>
      <c r="BE283" s="794"/>
      <c r="BF283" s="720">
        <v>0</v>
      </c>
      <c r="BG283" s="720"/>
      <c r="BH283" s="720">
        <v>0</v>
      </c>
      <c r="BI283" s="720">
        <v>1</v>
      </c>
      <c r="BJ283" s="720"/>
      <c r="BK283" s="720">
        <v>0</v>
      </c>
      <c r="BL283" s="720">
        <v>1</v>
      </c>
      <c r="BM283" s="720">
        <v>30</v>
      </c>
      <c r="BN283" s="720"/>
      <c r="BO283" s="794"/>
      <c r="BP283" s="801"/>
      <c r="BQ283" s="800"/>
      <c r="BR283" s="794"/>
      <c r="BS283" s="472"/>
      <c r="BT283" s="472"/>
      <c r="BU283" s="523"/>
      <c r="BV283" s="472"/>
      <c r="BW283" s="523"/>
      <c r="BX283" s="523"/>
      <c r="BY283" s="523"/>
      <c r="BZ283" s="802" t="str">
        <f>IFERROR(WWWW[[#This Row],['#_Water sources passed]]/WWWW[[#This Row],['#_Water sources tested for fecal coliform ]],"no test")</f>
        <v>no test</v>
      </c>
      <c r="CA283" s="800" t="str">
        <f>IFERROR(WWWW[[#This Row],['#_Household passed]]/WWWW[[#This Row],['#_Household water samples tested for fecal coliform]],"no test")</f>
        <v>no test</v>
      </c>
      <c r="CB283" s="801" t="str">
        <f>IF(AND(WWWW[[#This Row],[% of water sources passed]]="no test",WWWW[[#This Row],[% Household passed]]="no test"),"No Test","Tested")</f>
        <v>No Test</v>
      </c>
      <c r="CC283" s="801">
        <f>WWWW[[#This Row],['#_Constructed/existing protected hand dug well]]-WWWW[[#This Row],['#_Non-functional protected hand dug well]]</f>
        <v>0</v>
      </c>
      <c r="CD283" s="801">
        <f>(WWWW[[#This Row],['#_Constructed/Existing tube wells/boreholes/handpumps_WASH_agency]]+WWWW[[#This Row],['#_Non-Cluster partner water tube-wells/boreholes/handpumps]])-WWWW[[#This Row],['#_Non-functional tube wells/boreholes/handpumps]]</f>
        <v>0</v>
      </c>
      <c r="CE283" s="801">
        <f>WWWW[[#This Row],['#_Constructed/Existingwater storage tank with gravity fed reticulation system]]-WWWW[[#This Row],['#_Non-functional storage tank gravity fed reticulation system]]</f>
        <v>37</v>
      </c>
      <c r="CF283" s="801">
        <f>(WWWW[[#This Row],['#_Water_Liters_supplied_by_Water boating or water trucking]]/90)/15</f>
        <v>0</v>
      </c>
      <c r="CG283" s="801">
        <f>WWWW[[#This Row],['#_Water_Liters_from_Constructed/Existing water distribution system from river or natural spring]]/90/15</f>
        <v>0</v>
      </c>
      <c r="CH283" s="473">
        <f>WWWW[[#This Row],['#_of water points in TLS/CFS /THF]]*500</f>
        <v>0</v>
      </c>
      <c r="CI28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3" s="800">
        <f>IF(WWWW[[#This Row],[Location Type 1]]="Village",WWWW[[#This Row],[Access to safe drinking water for Village]],WWWW[[#This Row],[Access to safe drinking water for Camp]])</f>
        <v>1</v>
      </c>
      <c r="CL283" s="798">
        <f>WWWW[[#This Row],[%Equitable and continuous access to sufficient quantity of safe drinking water]]*WWWW[[#This Row],[Total PoP ]]</f>
        <v>154</v>
      </c>
      <c r="CM283" s="800">
        <f>IF((WWWW[[#This Row],['#_Constructed/Existing protected/fenced ponds]]*250)/WWWW[[#This Row],[Total PoP ]]&gt;1,1,(WWWW[[#This Row],['#_Constructed/Existing protected/fenced ponds]]*250)/WWWW[[#This Row],[Total PoP ]])</f>
        <v>0</v>
      </c>
      <c r="CN283" s="798">
        <f>WWWW[[#This Row],[% Access to unimproved water points]]*WWWW[[#This Row],[Total PoP ]]</f>
        <v>0</v>
      </c>
      <c r="CO28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Q283" s="798">
        <f>WWWW[[#This Row],[HRP1]]/500</f>
        <v>0.308</v>
      </c>
      <c r="CR283" s="803">
        <f>1-WWWW[[#This Row],[% Equitable and continuous access to sufficient quantity of domestic water]]</f>
        <v>0</v>
      </c>
      <c r="CS283" s="798">
        <f>WWWW[[#This Row],[%equitable and continuous access to sufficient quantity of safe drinking and domestic water''s GAP]]*WWWW[[#This Row],[Total PoP ]]</f>
        <v>0</v>
      </c>
      <c r="CT283" s="801">
        <f>IF(WWWW[[#This Row],[Total required water points]]-WWWW[[#This Row],['#Water points coverage]]&lt;0,0,WWWW[[#This Row],[Total required water points]]-WWWW[[#This Row],['#Water points coverage]])</f>
        <v>0.69199999999999995</v>
      </c>
      <c r="CU283" s="801">
        <f>ROUND(IF(WWWW[[#This Row],[Total PoP ]]&lt;500,1,WWWW[[#This Row],[Total PoP ]]/500),0)</f>
        <v>1</v>
      </c>
      <c r="CV283" s="801">
        <f>(WWWW[[#This Row],['#_Constructed latrines_by_WASHAgencies]]+WWWW[[#This Row],['#_Non Cluster partner latrines]])-WWWW[[#This Row],['#_Non-functional latrines]]</f>
        <v>30</v>
      </c>
      <c r="CW283" s="804">
        <f>WWWW[[#This Row],[HRP2]]/WWWW[[#This Row],[Total PoP ]]</f>
        <v>1</v>
      </c>
      <c r="CX28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154</v>
      </c>
      <c r="CY28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3" s="473">
        <f>IF(WWWW[[#This Row],['# of functional latrines in THF supported by WASH partners during the reporting period2]]="",0,WWWW[[#This Row],['# of functional latrines in THF supported by WASH partners during the reporting period2]]*50)</f>
        <v>0</v>
      </c>
      <c r="DB283" s="473">
        <f>WWWW[[#This Row],['# students access to functioning school latrines_HRP5]]+WWWW[[#This Row],['# People access to functioning latrines in THF_HRP5]]</f>
        <v>0</v>
      </c>
      <c r="DC283" s="801">
        <f>ROUND(IF(WWWW[[#This Row],[Location Type 1]]="camp",WWWW[[#This Row],[Total PoP ]]/20,IF(WWWW[[#This Row],[Location Type 1]]="Temporary Location",WWWW[[#This Row],[Total PoP ]]/50,(WWWW[[#This Row],[Total PoP ]]/6))),0)</f>
        <v>8</v>
      </c>
      <c r="DD283" s="801">
        <f>IF(WWWW[[#This Row],[Total required Latrines]]-(WWWW[[#This Row],['#_Constructed latrines_by_WASHAgencies]]+WWWW[[#This Row],['#_Non Cluster partner latrines]])&lt;0,0,WWWW[[#This Row],[Total required Latrines]]-(WWWW[[#This Row],['#_Constructed latrines_by_WASHAgencies]]+WWWW[[#This Row],['#_Non Cluster partner latrines]]))</f>
        <v>0</v>
      </c>
      <c r="DE283" s="803">
        <f>1-WWWW[[#This Row],[% people access to functioning Latrine]]</f>
        <v>0</v>
      </c>
      <c r="DF283" s="802">
        <f>IF(OR(WWWW[[#This Row],['#_Non-functional latrines]]="",WWWW[[#This Row],['#_Non-functional latrines]]=0),0,WWWW[[#This Row],['#_Non-functional latrines]]/(WWWW[[#This Row],['#_Constructed latrines_by_WASHAgencies]]+WWWW[[#This Row],['#_Non Cluster partner latrines]]))</f>
        <v>0</v>
      </c>
      <c r="DG283" s="798">
        <f>IF(500*(WWWW[[#This Row],['#_male hygiene promoters]]+WWWW[[#This Row],['#_female hygiene promoters]])&gt;WWWW[[#This Row],[Total PoP ]],WWWW[[#This Row],[Total PoP ]],500*(WWWW[[#This Row],['#_male hygiene promoters]]+WWWW[[#This Row],['#_female hygiene promoters]]))</f>
        <v>154</v>
      </c>
      <c r="DH28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28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3" s="801">
        <f>IF(WWWW[[#This Row],['# People with access to soap]]&gt;WWWW[[#This Row],['# People with access to Sanity Pads]],WWWW[[#This Row],['# People with access to soap]],WWWW[[#This Row],['# People with access to Sanity Pads]])</f>
        <v>150</v>
      </c>
      <c r="DK283" s="801">
        <f>IF(WWWW[[#This Row],['# people reached by regular dedicated hygiene promotion_5]]&gt;WWWW[[#This Row],['# People received regular supply of hygiene items_6]],WWWW[[#This Row],['# people reached by regular dedicated hygiene promotion_5]],WWWW[[#This Row],['# People received regular supply of hygiene items_6]])</f>
        <v>154</v>
      </c>
      <c r="DL283" s="803">
        <f>IF(WWWW[[#This Row],[HRP3]]/WWWW[[#This Row],[Total PoP ]]&gt;1,1,WWWW[[#This Row],[HRP3]]/WWWW[[#This Row],[Total PoP ]])</f>
        <v>1</v>
      </c>
      <c r="DM283" s="802">
        <f>1-WWWW[[#This Row],[Hygiene Coverage%]]</f>
        <v>0</v>
      </c>
      <c r="DN283" s="800">
        <f>WWWW[[#This Row],['# people reached by regular dedicated hygiene promotion_5]]/WWWW[[#This Row],[Total PoP ]]</f>
        <v>1</v>
      </c>
      <c r="DO28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3" s="801">
        <f>WWWW[[#This Row],['#_Constructed/Existing hand washing stations]]-WWWW[[#This Row],['#_Non-Functional_hand_washing_stations]]</f>
        <v>0</v>
      </c>
      <c r="DR283" s="798">
        <f>IF(WWWW[[#This Row],['# Functional hand washing stations during reporting period]]*20&gt;WWWW[[#This Row],[Total HH]],WWWW[[#This Row],[Total HH]],WWWW[[#This Row],['# Functional hand washing stations during reporting period]]*20)</f>
        <v>0</v>
      </c>
      <c r="DS283" s="798">
        <f>IF(WWWW[[#This Row],[Is sufficient soap available for TLS? (Yes/No)]]="yes",WWWW[[#This Row],['#_Constructed/Existing hand washing stations at TLS]],0)</f>
        <v>0</v>
      </c>
      <c r="DT283" s="479">
        <f>IF(WWWW[[#This Row],['# Functional hand washing stations during reporting period]]*100&gt;WWWW[[#This Row],[Total PoP ]],WWWW[[#This Row],[Total PoP ]],WWWW[[#This Row],['# Functional hand washing stations during reporting period]]*100)</f>
        <v>0</v>
      </c>
      <c r="DU283" s="479" t="str">
        <f>IF(OR(WWWW[[#This Row],['#_students at TLS_CFS]]="",WWWW[[#This Row],['#_students at TLS_CFS]]=0),"No","Yes")</f>
        <v>No</v>
      </c>
      <c r="DV28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3" s="794" t="str">
        <f>VLOOKUP(WWWW[[#This Row],[Site Name]],SiteDB6[[Site Name]:[CCCM Management]],6,FALSE)</f>
        <v>Yes</v>
      </c>
      <c r="DZ283" s="794" t="str">
        <f>VLOOKUP(WWWW[[#This Row],[Site Name]],SiteDB6[[Site Name]:[CCCM Focal Agency]],7,FALSE)</f>
        <v>KMSS-LSO</v>
      </c>
      <c r="EA283" s="794" t="str">
        <f>VLOOKUP(WWWW[[#This Row],[Site Name]],SiteDB6[[Site Name]:[Location Type 1]],9,FALSE)</f>
        <v>Camp</v>
      </c>
      <c r="EB283" s="794" t="str">
        <f>VLOOKUP(WWWW[[#This Row],[Site Name]],SiteDB6[[Site Name]:[Type of Accommodation]],10,FALSE)</f>
        <v>Camp</v>
      </c>
      <c r="EC283" s="794" t="str">
        <f>VLOOKUP(WWWW[[#This Row],[Site Name]],SiteDB6[[Site Name]:[Ethnic or GCA/NGCA]],11,FALSE)</f>
        <v>GCA</v>
      </c>
      <c r="ED283" s="794">
        <f>VLOOKUP(WWWW[[#This Row],[Site Name]],SiteDB6[[Site Name]:[Lat]],12,FALSE)</f>
        <v>0</v>
      </c>
      <c r="EE283" s="794">
        <f>VLOOKUP(WWWW[[#This Row],[Site Name]],SiteDB6[[Site Name]:[Long]],13,FALSE)</f>
        <v>0</v>
      </c>
      <c r="EF283" s="794" t="str">
        <f>VLOOKUP(WWWW[[#This Row],[Site Name]],SiteDB6[[Site Name]:[Pcode]],3,FALSE)</f>
        <v>MMR015CMP250</v>
      </c>
      <c r="EG283" s="799" t="str">
        <f t="shared" si="6"/>
        <v>Covered</v>
      </c>
      <c r="EH283" s="799" t="str">
        <f>VLOOKUP(WWWW[[#This Row],[Site Name]],Site_DB!$C$389:$D$1120,2,FALSE)</f>
        <v>cccm_2019OCT</v>
      </c>
    </row>
    <row r="284" spans="1:138" hidden="1">
      <c r="A284" s="792" t="s">
        <v>3262</v>
      </c>
      <c r="B284" s="792" t="s">
        <v>144</v>
      </c>
      <c r="C284" s="793" t="s">
        <v>144</v>
      </c>
      <c r="D284" s="793" t="s">
        <v>3280</v>
      </c>
      <c r="E284" s="793" t="s">
        <v>39</v>
      </c>
      <c r="F284" s="793" t="s">
        <v>145</v>
      </c>
      <c r="G284" s="721" t="str">
        <f>VLOOKUP(WWWW[[#This Row],[Site Name]],SiteDB6[[Site Name]:[Location Type]],8,FALSE)</f>
        <v>Camp</v>
      </c>
      <c r="H284" s="793" t="s">
        <v>183</v>
      </c>
      <c r="I284" s="795">
        <v>178</v>
      </c>
      <c r="J284" s="795">
        <v>846</v>
      </c>
      <c r="K284" s="796">
        <v>43475</v>
      </c>
      <c r="L284" s="797" t="s">
        <v>3281</v>
      </c>
      <c r="M284" s="795"/>
      <c r="N284" s="795"/>
      <c r="O284" s="795"/>
      <c r="P284" s="795"/>
      <c r="Q284" s="798" t="s">
        <v>43</v>
      </c>
      <c r="R284" s="795"/>
      <c r="S284" s="795">
        <v>4</v>
      </c>
      <c r="T284" s="523">
        <v>0</v>
      </c>
      <c r="U284" s="795"/>
      <c r="V284" s="795"/>
      <c r="W284" s="795">
        <v>0</v>
      </c>
      <c r="X284" s="795"/>
      <c r="Y284" s="795"/>
      <c r="Z284" s="795"/>
      <c r="AA284" s="795">
        <v>3</v>
      </c>
      <c r="AB284" s="795"/>
      <c r="AC284" s="795"/>
      <c r="AD284" s="795"/>
      <c r="AE284" s="795"/>
      <c r="AF284" s="795"/>
      <c r="AG284" s="795"/>
      <c r="AH284" s="795">
        <v>0</v>
      </c>
      <c r="AI284" s="795"/>
      <c r="AJ284" s="795"/>
      <c r="AK284" s="795"/>
      <c r="AL284" s="795"/>
      <c r="AM284" s="795"/>
      <c r="AN284" s="795"/>
      <c r="AO284" s="799"/>
      <c r="AP284" s="795">
        <v>150</v>
      </c>
      <c r="AQ284" s="795"/>
      <c r="AR284" s="800"/>
      <c r="AS284" s="795"/>
      <c r="AT284" s="795"/>
      <c r="AU284" s="795"/>
      <c r="AV284" s="795"/>
      <c r="AW284" s="795">
        <v>150</v>
      </c>
      <c r="AX284" s="794" t="s">
        <v>43</v>
      </c>
      <c r="AY284" s="799" t="s">
        <v>140</v>
      </c>
      <c r="AZ284" s="795"/>
      <c r="BA284" s="795"/>
      <c r="BB284" s="795"/>
      <c r="BC284" s="523"/>
      <c r="BD284" s="523"/>
      <c r="BE284" s="794"/>
      <c r="BF284" s="795">
        <v>150</v>
      </c>
      <c r="BG284" s="795"/>
      <c r="BH284" s="795"/>
      <c r="BI284" s="795">
        <v>4</v>
      </c>
      <c r="BJ284" s="795"/>
      <c r="BK284" s="795"/>
      <c r="BL284" s="795">
        <v>3</v>
      </c>
      <c r="BM284" s="795"/>
      <c r="BN284" s="795"/>
      <c r="BO284" s="794"/>
      <c r="BP284" s="801"/>
      <c r="BQ284" s="800"/>
      <c r="BR284" s="794"/>
      <c r="BS284" s="472"/>
      <c r="BT284" s="472"/>
      <c r="BU284" s="474"/>
      <c r="BV284" s="472"/>
      <c r="BW284" s="523"/>
      <c r="BX284" s="523"/>
      <c r="BY284" s="523"/>
      <c r="BZ284" s="802" t="str">
        <f>IFERROR(WWWW[[#This Row],['#_Water sources passed]]/WWWW[[#This Row],['#_Water sources tested for fecal coliform ]],"no test")</f>
        <v>no test</v>
      </c>
      <c r="CA284" s="800" t="str">
        <f>IFERROR(WWWW[[#This Row],['#_Household passed]]/WWWW[[#This Row],['#_Household water samples tested for fecal coliform]],"no test")</f>
        <v>no test</v>
      </c>
      <c r="CB284" s="801" t="str">
        <f>IF(AND(WWWW[[#This Row],[% of water sources passed]]="no test",WWWW[[#This Row],[% Household passed]]="no test"),"No Test","Tested")</f>
        <v>No Test</v>
      </c>
      <c r="CC284" s="801">
        <f>WWWW[[#This Row],['#_Constructed/existing protected hand dug well]]-WWWW[[#This Row],['#_Non-functional protected hand dug well]]</f>
        <v>0</v>
      </c>
      <c r="CD284" s="801">
        <f>(WWWW[[#This Row],['#_Constructed/Existing tube wells/boreholes/handpumps_WASH_agency]]+WWWW[[#This Row],['#_Non-Cluster partner water tube-wells/boreholes/handpumps]])-WWWW[[#This Row],['#_Non-functional tube wells/boreholes/handpumps]]</f>
        <v>0</v>
      </c>
      <c r="CE284" s="801">
        <f>WWWW[[#This Row],['#_Constructed/Existingwater storage tank with gravity fed reticulation system]]-WWWW[[#This Row],['#_Non-functional storage tank gravity fed reticulation system]]</f>
        <v>3</v>
      </c>
      <c r="CF284" s="801">
        <f>(WWWW[[#This Row],['#_Water_Liters_supplied_by_Water boating or water trucking]]/90)/15</f>
        <v>0</v>
      </c>
      <c r="CG284" s="801">
        <f>WWWW[[#This Row],['#_Water_Liters_from_Constructed/Existing water distribution system from river or natural spring]]/90/15</f>
        <v>0</v>
      </c>
      <c r="CH284" s="473">
        <f>WWWW[[#This Row],['#_of water points in TLS/CFS /THF]]*500</f>
        <v>0</v>
      </c>
      <c r="CI28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0.2364066193853428</v>
      </c>
      <c r="CJ28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0.2364066193853428</v>
      </c>
      <c r="CK284" s="800">
        <f>IF(WWWW[[#This Row],[Location Type 1]]="Village",WWWW[[#This Row],[Access to safe drinking water for Village]],WWWW[[#This Row],[Access to safe drinking water for Camp]])</f>
        <v>0.2364066193853428</v>
      </c>
      <c r="CL284" s="798">
        <f>WWWW[[#This Row],[%Equitable and continuous access to sufficient quantity of safe drinking water]]*WWWW[[#This Row],[Total PoP ]]</f>
        <v>200</v>
      </c>
      <c r="CM284" s="800">
        <f>IF((WWWW[[#This Row],['#_Constructed/Existing protected/fenced ponds]]*250)/WWWW[[#This Row],[Total PoP ]]&gt;1,1,(WWWW[[#This Row],['#_Constructed/Existing protected/fenced ponds]]*250)/WWWW[[#This Row],[Total PoP ]])</f>
        <v>0</v>
      </c>
      <c r="CN284" s="798">
        <f>WWWW[[#This Row],[% Access to unimproved water points]]*WWWW[[#This Row],[Total PoP ]]</f>
        <v>0</v>
      </c>
      <c r="CO28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P28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Q284" s="798">
        <f>WWWW[[#This Row],[HRP1]]/500</f>
        <v>0.4</v>
      </c>
      <c r="CR284" s="803">
        <f>1-WWWW[[#This Row],[% Equitable and continuous access to sufficient quantity of domestic water]]</f>
        <v>0.7635933806146572</v>
      </c>
      <c r="CS284" s="798">
        <f>WWWW[[#This Row],[%equitable and continuous access to sufficient quantity of safe drinking and domestic water''s GAP]]*WWWW[[#This Row],[Total PoP ]]</f>
        <v>646</v>
      </c>
      <c r="CT284" s="801">
        <f>IF(WWWW[[#This Row],[Total required water points]]-WWWW[[#This Row],['#Water points coverage]]&lt;0,0,WWWW[[#This Row],[Total required water points]]-WWWW[[#This Row],['#Water points coverage]])</f>
        <v>1.6</v>
      </c>
      <c r="CU284" s="801">
        <f>ROUND(IF(WWWW[[#This Row],[Total PoP ]]&lt;500,1,WWWW[[#This Row],[Total PoP ]]/500),0)</f>
        <v>2</v>
      </c>
      <c r="CV284" s="801">
        <f>(WWWW[[#This Row],['#_Constructed latrines_by_WASHAgencies]]+WWWW[[#This Row],['#_Non Cluster partner latrines]])-WWWW[[#This Row],['#_Non-functional latrines]]</f>
        <v>150</v>
      </c>
      <c r="CW284" s="804">
        <f>WWWW[[#This Row],[HRP2]]/WWWW[[#This Row],[Total PoP ]]</f>
        <v>0.88652482269503541</v>
      </c>
      <c r="CX28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CY28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4" s="473">
        <f>IF(WWWW[[#This Row],['# of functional latrines in THF supported by WASH partners during the reporting period2]]="",0,WWWW[[#This Row],['# of functional latrines in THF supported by WASH partners during the reporting period2]]*50)</f>
        <v>0</v>
      </c>
      <c r="DB284" s="473">
        <f>WWWW[[#This Row],['# students access to functioning school latrines_HRP5]]+WWWW[[#This Row],['# People access to functioning latrines in THF_HRP5]]</f>
        <v>0</v>
      </c>
      <c r="DC284" s="801">
        <f>ROUND(IF(WWWW[[#This Row],[Location Type 1]]="camp",WWWW[[#This Row],[Total PoP ]]/20,IF(WWWW[[#This Row],[Location Type 1]]="Temporary Location",WWWW[[#This Row],[Total PoP ]]/50,(WWWW[[#This Row],[Total PoP ]]/6))),0)</f>
        <v>141</v>
      </c>
      <c r="DD284" s="801">
        <f>IF(WWWW[[#This Row],[Total required Latrines]]-(WWWW[[#This Row],['#_Constructed latrines_by_WASHAgencies]]+WWWW[[#This Row],['#_Non Cluster partner latrines]])&lt;0,0,WWWW[[#This Row],[Total required Latrines]]-(WWWW[[#This Row],['#_Constructed latrines_by_WASHAgencies]]+WWWW[[#This Row],['#_Non Cluster partner latrines]]))</f>
        <v>0</v>
      </c>
      <c r="DE284" s="803">
        <f>1-WWWW[[#This Row],[% people access to functioning Latrine]]</f>
        <v>0.11347517730496459</v>
      </c>
      <c r="DF284" s="802">
        <f>IF(OR(WWWW[[#This Row],['#_Non-functional latrines]]="",WWWW[[#This Row],['#_Non-functional latrines]]=0),0,WWWW[[#This Row],['#_Non-functional latrines]]/(WWWW[[#This Row],['#_Constructed latrines_by_WASHAgencies]]+WWWW[[#This Row],['#_Non Cluster partner latrines]]))</f>
        <v>0</v>
      </c>
      <c r="DG284" s="798">
        <f>IF(500*(WWWW[[#This Row],['#_male hygiene promoters]]+WWWW[[#This Row],['#_female hygiene promoters]])&gt;WWWW[[#This Row],[Total PoP ]],WWWW[[#This Row],[Total PoP ]],500*(WWWW[[#This Row],['#_male hygiene promoters]]+WWWW[[#This Row],['#_female hygiene promoters]]))</f>
        <v>846</v>
      </c>
      <c r="DH28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8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4" s="801">
        <f>IF(WWWW[[#This Row],['# People with access to soap]]&gt;WWWW[[#This Row],['# People with access to Sanity Pads]],WWWW[[#This Row],['# People with access to soap]],WWWW[[#This Row],['# People with access to Sanity Pads]])</f>
        <v>0</v>
      </c>
      <c r="DK284" s="801">
        <f>IF(WWWW[[#This Row],['# people reached by regular dedicated hygiene promotion_5]]&gt;WWWW[[#This Row],['# People received regular supply of hygiene items_6]],WWWW[[#This Row],['# people reached by regular dedicated hygiene promotion_5]],WWWW[[#This Row],['# People received regular supply of hygiene items_6]])</f>
        <v>846</v>
      </c>
      <c r="DL284" s="803">
        <f>IF(WWWW[[#This Row],[HRP3]]/WWWW[[#This Row],[Total PoP ]]&gt;1,1,WWWW[[#This Row],[HRP3]]/WWWW[[#This Row],[Total PoP ]])</f>
        <v>1</v>
      </c>
      <c r="DM284" s="802">
        <f>1-WWWW[[#This Row],[Hygiene Coverage%]]</f>
        <v>0</v>
      </c>
      <c r="DN284" s="800">
        <f>WWWW[[#This Row],['# people reached by regular dedicated hygiene promotion_5]]/WWWW[[#This Row],[Total PoP ]]</f>
        <v>1</v>
      </c>
      <c r="DO28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8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4" s="801">
        <f>WWWW[[#This Row],['#_Constructed/Existing hand washing stations]]-WWWW[[#This Row],['#_Non-Functional_hand_washing_stations]]</f>
        <v>150</v>
      </c>
      <c r="DR284" s="798">
        <f>IF(WWWW[[#This Row],['# Functional hand washing stations during reporting period]]*20&gt;WWWW[[#This Row],[Total HH]],WWWW[[#This Row],[Total HH]],WWWW[[#This Row],['# Functional hand washing stations during reporting period]]*20)</f>
        <v>178</v>
      </c>
      <c r="DS284" s="798">
        <f>IF(WWWW[[#This Row],[Is sufficient soap available for TLS? (Yes/No)]]="yes",WWWW[[#This Row],['#_Constructed/Existing hand washing stations at TLS]],0)</f>
        <v>0</v>
      </c>
      <c r="DT284" s="479">
        <f>IF(WWWW[[#This Row],['# Functional hand washing stations during reporting period]]*100&gt;WWWW[[#This Row],[Total PoP ]],WWWW[[#This Row],[Total PoP ]],WWWW[[#This Row],['# Functional hand washing stations during reporting period]]*100)</f>
        <v>846</v>
      </c>
      <c r="DU284" s="479" t="str">
        <f>IF(OR(WWWW[[#This Row],['#_students at TLS_CFS]]="",WWWW[[#This Row],['#_students at TLS_CFS]]=0),"No","Yes")</f>
        <v>No</v>
      </c>
      <c r="DV28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4" s="794" t="str">
        <f>VLOOKUP(WWWW[[#This Row],[Site Name]],SiteDB6[[Site Name]:[CCCM Management]],6,FALSE)</f>
        <v>Yes</v>
      </c>
      <c r="DZ284" s="794" t="str">
        <f>VLOOKUP(WWWW[[#This Row],[Site Name]],SiteDB6[[Site Name]:[CCCM Focal Agency]],7,FALSE)</f>
        <v>KBC-MYT</v>
      </c>
      <c r="EA284" s="794" t="str">
        <f>VLOOKUP(WWWW[[#This Row],[Site Name]],SiteDB6[[Site Name]:[Location Type 1]],9,FALSE)</f>
        <v>Village Type Camp</v>
      </c>
      <c r="EB284" s="794" t="str">
        <f>VLOOKUP(WWWW[[#This Row],[Site Name]],SiteDB6[[Site Name]:[Type of Accommodation]],10,FALSE)</f>
        <v>Camp</v>
      </c>
      <c r="EC284" s="794" t="str">
        <f>VLOOKUP(WWWW[[#This Row],[Site Name]],SiteDB6[[Site Name]:[Ethnic or GCA/NGCA]],11,FALSE)</f>
        <v>NGCA</v>
      </c>
      <c r="ED284" s="794">
        <f>VLOOKUP(WWWW[[#This Row],[Site Name]],SiteDB6[[Site Name]:[Lat]],12,FALSE)</f>
        <v>24.831944</v>
      </c>
      <c r="EE284" s="794">
        <f>VLOOKUP(WWWW[[#This Row],[Site Name]],SiteDB6[[Site Name]:[Long]],13,FALSE)</f>
        <v>97.751389000000003</v>
      </c>
      <c r="EF284" s="794" t="str">
        <f>VLOOKUP(WWWW[[#This Row],[Site Name]],SiteDB6[[Site Name]:[Pcode]],3,FALSE)</f>
        <v>MMR001CMP120</v>
      </c>
      <c r="EG284" s="799" t="str">
        <f t="shared" si="6"/>
        <v>Covered</v>
      </c>
      <c r="EH284" s="799" t="str">
        <f>VLOOKUP(WWWW[[#This Row],[Site Name]],Site_DB!$C$389:$D$1120,2,FALSE)</f>
        <v>cccm_2019OCT</v>
      </c>
    </row>
    <row r="285" spans="1:138" hidden="1">
      <c r="A285" s="792" t="s">
        <v>3262</v>
      </c>
      <c r="B285" s="792" t="s">
        <v>195</v>
      </c>
      <c r="C285" s="793" t="s">
        <v>195</v>
      </c>
      <c r="D285" s="404" t="s">
        <v>3368</v>
      </c>
      <c r="E285" s="793" t="s">
        <v>39</v>
      </c>
      <c r="F285" s="793" t="s">
        <v>208</v>
      </c>
      <c r="G285" s="721" t="str">
        <f>VLOOKUP(WWWW[[#This Row],[Site Name]],SiteDB6[[Site Name]:[Location Type]],8,FALSE)</f>
        <v>Camp_not registered</v>
      </c>
      <c r="H285" s="793" t="s">
        <v>210</v>
      </c>
      <c r="I285" s="720">
        <v>17</v>
      </c>
      <c r="J285" s="720">
        <v>106</v>
      </c>
      <c r="K285" s="407" t="s">
        <v>3611</v>
      </c>
      <c r="L285" s="56" t="s">
        <v>3612</v>
      </c>
      <c r="M285" s="795"/>
      <c r="N285" s="795"/>
      <c r="O285" s="795"/>
      <c r="P285" s="795"/>
      <c r="Q285" s="798" t="s">
        <v>139</v>
      </c>
      <c r="R285" s="795"/>
      <c r="S285" s="795"/>
      <c r="T285" s="523">
        <v>1</v>
      </c>
      <c r="U285" s="795"/>
      <c r="V285" s="795"/>
      <c r="W285" s="795"/>
      <c r="X285" s="795"/>
      <c r="Y285" s="795"/>
      <c r="Z285" s="795"/>
      <c r="AA285" s="795"/>
      <c r="AB285" s="795"/>
      <c r="AC285" s="795"/>
      <c r="AD285" s="795"/>
      <c r="AE285" s="795"/>
      <c r="AF285" s="795"/>
      <c r="AG285" s="795"/>
      <c r="AH285" s="795"/>
      <c r="AI285" s="795"/>
      <c r="AJ285" s="795"/>
      <c r="AK285" s="795"/>
      <c r="AL285" s="795"/>
      <c r="AM285" s="795"/>
      <c r="AN285" s="795"/>
      <c r="AO285" s="799"/>
      <c r="AP285" s="795">
        <v>4</v>
      </c>
      <c r="AQ285" s="795"/>
      <c r="AR285" s="800"/>
      <c r="AS285" s="795"/>
      <c r="AT285" s="795"/>
      <c r="AU285" s="795"/>
      <c r="AV285" s="795"/>
      <c r="AW285" s="795"/>
      <c r="AX285" s="794" t="s">
        <v>43</v>
      </c>
      <c r="AY285" s="799" t="s">
        <v>140</v>
      </c>
      <c r="AZ285" s="795"/>
      <c r="BA285" s="795"/>
      <c r="BB285" s="795"/>
      <c r="BC285" s="523"/>
      <c r="BD285" s="523"/>
      <c r="BE285" s="794"/>
      <c r="BF285" s="795">
        <v>3</v>
      </c>
      <c r="BG285" s="795"/>
      <c r="BH285" s="795"/>
      <c r="BI285" s="795">
        <v>2</v>
      </c>
      <c r="BJ285" s="795"/>
      <c r="BK285" s="795"/>
      <c r="BL285" s="720">
        <v>1</v>
      </c>
      <c r="BM285" s="720">
        <v>15</v>
      </c>
      <c r="BN285" s="720">
        <v>29</v>
      </c>
      <c r="BO285" s="794"/>
      <c r="BP285" s="801"/>
      <c r="BQ285" s="800"/>
      <c r="BR285" s="794"/>
      <c r="BS285" s="472">
        <v>1</v>
      </c>
      <c r="BT285" s="472">
        <v>1</v>
      </c>
      <c r="BU285" s="523"/>
      <c r="BV285" s="472">
        <v>0</v>
      </c>
      <c r="BW285" s="523"/>
      <c r="BX285" s="523"/>
      <c r="BY285" s="523"/>
      <c r="BZ285" s="802" t="str">
        <f>IFERROR(WWWW[[#This Row],['#_Water sources passed]]/WWWW[[#This Row],['#_Water sources tested for fecal coliform ]],"no test")</f>
        <v>no test</v>
      </c>
      <c r="CA285" s="800" t="str">
        <f>IFERROR(WWWW[[#This Row],['#_Household passed]]/WWWW[[#This Row],['#_Household water samples tested for fecal coliform]],"no test")</f>
        <v>no test</v>
      </c>
      <c r="CB285" s="801" t="str">
        <f>IF(AND(WWWW[[#This Row],[% of water sources passed]]="no test",WWWW[[#This Row],[% Household passed]]="no test"),"No Test","Tested")</f>
        <v>No Test</v>
      </c>
      <c r="CC285" s="801">
        <f>WWWW[[#This Row],['#_Constructed/existing protected hand dug well]]-WWWW[[#This Row],['#_Non-functional protected hand dug well]]</f>
        <v>1</v>
      </c>
      <c r="CD285" s="801">
        <f>(WWWW[[#This Row],['#_Constructed/Existing tube wells/boreholes/handpumps_WASH_agency]]+WWWW[[#This Row],['#_Non-Cluster partner water tube-wells/boreholes/handpumps]])-WWWW[[#This Row],['#_Non-functional tube wells/boreholes/handpumps]]</f>
        <v>0</v>
      </c>
      <c r="CE285" s="801">
        <f>WWWW[[#This Row],['#_Constructed/Existingwater storage tank with gravity fed reticulation system]]-WWWW[[#This Row],['#_Non-functional storage tank gravity fed reticulation system]]</f>
        <v>0</v>
      </c>
      <c r="CF285" s="801">
        <f>(WWWW[[#This Row],['#_Water_Liters_supplied_by_Water boating or water trucking]]/90)/15</f>
        <v>0</v>
      </c>
      <c r="CG285" s="801">
        <f>WWWW[[#This Row],['#_Water_Liters_from_Constructed/Existing water distribution system from river or natural spring]]/90/15</f>
        <v>0</v>
      </c>
      <c r="CH285" s="473">
        <f>WWWW[[#This Row],['#_of water points in TLS/CFS /THF]]*500</f>
        <v>0</v>
      </c>
      <c r="CI28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5" s="800">
        <f>IF(WWWW[[#This Row],[Location Type 1]]="Village",WWWW[[#This Row],[Access to safe drinking water for Village]],WWWW[[#This Row],[Access to safe drinking water for Camp]])</f>
        <v>1</v>
      </c>
      <c r="CL285" s="798">
        <f>WWWW[[#This Row],[%Equitable and continuous access to sufficient quantity of safe drinking water]]*WWWW[[#This Row],[Total PoP ]]</f>
        <v>106</v>
      </c>
      <c r="CM285" s="800">
        <f>IF((WWWW[[#This Row],['#_Constructed/Existing protected/fenced ponds]]*250)/WWWW[[#This Row],[Total PoP ]]&gt;1,1,(WWWW[[#This Row],['#_Constructed/Existing protected/fenced ponds]]*250)/WWWW[[#This Row],[Total PoP ]])</f>
        <v>0</v>
      </c>
      <c r="CN285" s="798">
        <f>WWWW[[#This Row],[% Access to unimproved water points]]*WWWW[[#This Row],[Total PoP ]]</f>
        <v>0</v>
      </c>
      <c r="CO28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Q285" s="798">
        <f>WWWW[[#This Row],[HRP1]]/500</f>
        <v>0.21199999999999999</v>
      </c>
      <c r="CR285" s="803">
        <f>1-WWWW[[#This Row],[% Equitable and continuous access to sufficient quantity of domestic water]]</f>
        <v>0</v>
      </c>
      <c r="CS285" s="798">
        <f>WWWW[[#This Row],[%equitable and continuous access to sufficient quantity of safe drinking and domestic water''s GAP]]*WWWW[[#This Row],[Total PoP ]]</f>
        <v>0</v>
      </c>
      <c r="CT285" s="801">
        <f>IF(WWWW[[#This Row],[Total required water points]]-WWWW[[#This Row],['#Water points coverage]]&lt;0,0,WWWW[[#This Row],[Total required water points]]-WWWW[[#This Row],['#Water points coverage]])</f>
        <v>0.78800000000000003</v>
      </c>
      <c r="CU285" s="801">
        <f>ROUND(IF(WWWW[[#This Row],[Total PoP ]]&lt;500,1,WWWW[[#This Row],[Total PoP ]]/500),0)</f>
        <v>1</v>
      </c>
      <c r="CV285" s="801">
        <f>(WWWW[[#This Row],['#_Constructed latrines_by_WASHAgencies]]+WWWW[[#This Row],['#_Non Cluster partner latrines]])-WWWW[[#This Row],['#_Non-functional latrines]]</f>
        <v>4</v>
      </c>
      <c r="CW285" s="804">
        <f>WWWW[[#This Row],[HRP2]]/WWWW[[#This Row],[Total PoP ]]</f>
        <v>0.75471698113207553</v>
      </c>
      <c r="CX28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8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5" s="473">
        <f>IF(WWWW[[#This Row],['# of functional latrines in THF supported by WASH partners during the reporting period2]]="",0,WWWW[[#This Row],['# of functional latrines in THF supported by WASH partners during the reporting period2]]*50)</f>
        <v>0</v>
      </c>
      <c r="DB285" s="473">
        <f>WWWW[[#This Row],['# students access to functioning school latrines_HRP5]]+WWWW[[#This Row],['# People access to functioning latrines in THF_HRP5]]</f>
        <v>0</v>
      </c>
      <c r="DC285" s="801">
        <f>ROUND(IF(WWWW[[#This Row],[Location Type 1]]="camp",WWWW[[#This Row],[Total PoP ]]/20,IF(WWWW[[#This Row],[Location Type 1]]="Temporary Location",WWWW[[#This Row],[Total PoP ]]/50,(WWWW[[#This Row],[Total PoP ]]/6))),0)</f>
        <v>5</v>
      </c>
      <c r="DD285" s="801">
        <f>IF(WWWW[[#This Row],[Total required Latrines]]-(WWWW[[#This Row],['#_Constructed latrines_by_WASHAgencies]]+WWWW[[#This Row],['#_Non Cluster partner latrines]])&lt;0,0,WWWW[[#This Row],[Total required Latrines]]-(WWWW[[#This Row],['#_Constructed latrines_by_WASHAgencies]]+WWWW[[#This Row],['#_Non Cluster partner latrines]]))</f>
        <v>1</v>
      </c>
      <c r="DE285" s="803">
        <f>1-WWWW[[#This Row],[% people access to functioning Latrine]]</f>
        <v>0.24528301886792447</v>
      </c>
      <c r="DF285" s="802">
        <f>IF(OR(WWWW[[#This Row],['#_Non-functional latrines]]="",WWWW[[#This Row],['#_Non-functional latrines]]=0),0,WWWW[[#This Row],['#_Non-functional latrines]]/(WWWW[[#This Row],['#_Constructed latrines_by_WASHAgencies]]+WWWW[[#This Row],['#_Non Cluster partner latrines]]))</f>
        <v>0</v>
      </c>
      <c r="DG285" s="798">
        <f>IF(500*(WWWW[[#This Row],['#_male hygiene promoters]]+WWWW[[#This Row],['#_female hygiene promoters]])&gt;WWWW[[#This Row],[Total PoP ]],WWWW[[#This Row],[Total PoP ]],500*(WWWW[[#This Row],['#_male hygiene promoters]]+WWWW[[#This Row],['#_female hygiene promoters]]))</f>
        <v>106</v>
      </c>
      <c r="DH28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v>
      </c>
      <c r="DI28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J285" s="801">
        <f>IF(WWWW[[#This Row],['# People with access to soap]]&gt;WWWW[[#This Row],['# People with access to Sanity Pads]],WWWW[[#This Row],['# People with access to soap]],WWWW[[#This Row],['# People with access to Sanity Pads]])</f>
        <v>75</v>
      </c>
      <c r="DK285" s="801">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L285" s="803">
        <f>IF(WWWW[[#This Row],[HRP3]]/WWWW[[#This Row],[Total PoP ]]&gt;1,1,WWWW[[#This Row],[HRP3]]/WWWW[[#This Row],[Total PoP ]])</f>
        <v>1</v>
      </c>
      <c r="DM285" s="802">
        <f>1-WWWW[[#This Row],[Hygiene Coverage%]]</f>
        <v>0</v>
      </c>
      <c r="DN285" s="800">
        <f>WWWW[[#This Row],['# people reached by regular dedicated hygiene promotion_5]]/WWWW[[#This Row],[Total PoP ]]</f>
        <v>1</v>
      </c>
      <c r="DO28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5" s="801">
        <f>WWWW[[#This Row],['#_Constructed/Existing hand washing stations]]-WWWW[[#This Row],['#_Non-Functional_hand_washing_stations]]</f>
        <v>3</v>
      </c>
      <c r="DR285" s="798">
        <f>IF(WWWW[[#This Row],['# Functional hand washing stations during reporting period]]*20&gt;WWWW[[#This Row],[Total HH]],WWWW[[#This Row],[Total HH]],WWWW[[#This Row],['# Functional hand washing stations during reporting period]]*20)</f>
        <v>17</v>
      </c>
      <c r="DS285" s="798">
        <f>IF(WWWW[[#This Row],[Is sufficient soap available for TLS? (Yes/No)]]="yes",WWWW[[#This Row],['#_Constructed/Existing hand washing stations at TLS]],0)</f>
        <v>0</v>
      </c>
      <c r="DT285" s="479">
        <f>IF(WWWW[[#This Row],['# Functional hand washing stations during reporting period]]*100&gt;WWWW[[#This Row],[Total PoP ]],WWWW[[#This Row],[Total PoP ]],WWWW[[#This Row],['# Functional hand washing stations during reporting period]]*100)</f>
        <v>106</v>
      </c>
      <c r="DU285" s="479" t="str">
        <f>IF(OR(WWWW[[#This Row],['#_students at TLS_CFS]]="",WWWW[[#This Row],['#_students at TLS_CFS]]=0),"No","Yes")</f>
        <v>No</v>
      </c>
      <c r="DV28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5" s="794">
        <f>VLOOKUP(WWWW[[#This Row],[Site Name]],SiteDB6[[Site Name]:[CCCM Management]],6,FALSE)</f>
        <v>0</v>
      </c>
      <c r="DZ285" s="794">
        <f>VLOOKUP(WWWW[[#This Row],[Site Name]],SiteDB6[[Site Name]:[CCCM Focal Agency]],7,FALSE)</f>
        <v>0</v>
      </c>
      <c r="EA285" s="794" t="str">
        <f>VLOOKUP(WWWW[[#This Row],[Site Name]],SiteDB6[[Site Name]:[Location Type 1]],9,FALSE)</f>
        <v>Camp</v>
      </c>
      <c r="EB285" s="794" t="str">
        <f>VLOOKUP(WWWW[[#This Row],[Site Name]],SiteDB6[[Site Name]:[Type of Accommodation]],10,FALSE)</f>
        <v>Camp</v>
      </c>
      <c r="EC285" s="794" t="str">
        <f>VLOOKUP(WWWW[[#This Row],[Site Name]],SiteDB6[[Site Name]:[Ethnic or GCA/NGCA]],11,FALSE)</f>
        <v>GCA</v>
      </c>
      <c r="ED285" s="794">
        <f>VLOOKUP(WWWW[[#This Row],[Site Name]],SiteDB6[[Site Name]:[Lat]],12,FALSE)</f>
        <v>0</v>
      </c>
      <c r="EE285" s="794">
        <f>VLOOKUP(WWWW[[#This Row],[Site Name]],SiteDB6[[Site Name]:[Long]],13,FALSE)</f>
        <v>0</v>
      </c>
      <c r="EF285" s="794">
        <f>VLOOKUP(WWWW[[#This Row],[Site Name]],SiteDB6[[Site Name]:[Pcode]],3,FALSE)</f>
        <v>0</v>
      </c>
      <c r="EG285" s="799" t="str">
        <f t="shared" si="6"/>
        <v>Covered</v>
      </c>
      <c r="EH285" s="799">
        <f>VLOOKUP(WWWW[[#This Row],[Site Name]],Site_DB!$C$389:$D$1120,2,FALSE)</f>
        <v>0</v>
      </c>
    </row>
    <row r="286" spans="1:138" hidden="1">
      <c r="A286" s="792" t="s">
        <v>3262</v>
      </c>
      <c r="B286" s="792" t="s">
        <v>195</v>
      </c>
      <c r="C286" s="793" t="s">
        <v>195</v>
      </c>
      <c r="D286" s="404" t="s">
        <v>3366</v>
      </c>
      <c r="E286" s="793" t="s">
        <v>39</v>
      </c>
      <c r="F286" s="793" t="s">
        <v>208</v>
      </c>
      <c r="G286" s="721" t="str">
        <f>VLOOKUP(WWWW[[#This Row],[Site Name]],SiteDB6[[Site Name]:[Location Type]],8,FALSE)</f>
        <v>Camp_not registered</v>
      </c>
      <c r="H286" s="793" t="s">
        <v>212</v>
      </c>
      <c r="I286" s="720">
        <v>19</v>
      </c>
      <c r="J286" s="720">
        <v>94</v>
      </c>
      <c r="K286" s="407" t="s">
        <v>3611</v>
      </c>
      <c r="L286" s="56" t="s">
        <v>3612</v>
      </c>
      <c r="M286" s="795"/>
      <c r="N286" s="795"/>
      <c r="O286" s="795"/>
      <c r="P286" s="795"/>
      <c r="Q286" s="798" t="s">
        <v>139</v>
      </c>
      <c r="R286" s="795"/>
      <c r="S286" s="795"/>
      <c r="T286" s="523"/>
      <c r="U286" s="795"/>
      <c r="V286" s="795"/>
      <c r="W286" s="795"/>
      <c r="X286" s="795">
        <v>1</v>
      </c>
      <c r="Y286" s="795"/>
      <c r="Z286" s="795"/>
      <c r="AA286" s="795"/>
      <c r="AB286" s="795"/>
      <c r="AC286" s="795"/>
      <c r="AD286" s="795"/>
      <c r="AE286" s="795"/>
      <c r="AF286" s="795"/>
      <c r="AG286" s="795"/>
      <c r="AH286" s="795"/>
      <c r="AI286" s="795"/>
      <c r="AJ286" s="795"/>
      <c r="AK286" s="795"/>
      <c r="AL286" s="795"/>
      <c r="AM286" s="795"/>
      <c r="AN286" s="795"/>
      <c r="AO286" s="799"/>
      <c r="AP286" s="795">
        <v>5</v>
      </c>
      <c r="AQ286" s="795"/>
      <c r="AR286" s="800"/>
      <c r="AS286" s="795"/>
      <c r="AT286" s="795"/>
      <c r="AU286" s="795"/>
      <c r="AV286" s="795"/>
      <c r="AW286" s="795"/>
      <c r="AX286" s="794" t="s">
        <v>43</v>
      </c>
      <c r="AY286" s="799" t="s">
        <v>140</v>
      </c>
      <c r="AZ286" s="795"/>
      <c r="BA286" s="795"/>
      <c r="BB286" s="795"/>
      <c r="BC286" s="523"/>
      <c r="BD286" s="523"/>
      <c r="BE286" s="794"/>
      <c r="BF286" s="795">
        <v>2</v>
      </c>
      <c r="BG286" s="795"/>
      <c r="BH286" s="795"/>
      <c r="BI286" s="795">
        <v>1</v>
      </c>
      <c r="BJ286" s="795"/>
      <c r="BK286" s="795"/>
      <c r="BL286" s="720">
        <v>1</v>
      </c>
      <c r="BM286" s="720">
        <v>19</v>
      </c>
      <c r="BN286" s="720">
        <v>20</v>
      </c>
      <c r="BO286" s="794"/>
      <c r="BP286" s="801"/>
      <c r="BQ286" s="800"/>
      <c r="BR286" s="794"/>
      <c r="BS286" s="472">
        <v>1</v>
      </c>
      <c r="BT286" s="472">
        <v>1</v>
      </c>
      <c r="BU286" s="523"/>
      <c r="BV286" s="472">
        <v>0</v>
      </c>
      <c r="BW286" s="523"/>
      <c r="BX286" s="523"/>
      <c r="BY286" s="523"/>
      <c r="BZ286" s="802" t="str">
        <f>IFERROR(WWWW[[#This Row],['#_Water sources passed]]/WWWW[[#This Row],['#_Water sources tested for fecal coliform ]],"no test")</f>
        <v>no test</v>
      </c>
      <c r="CA286" s="800" t="str">
        <f>IFERROR(WWWW[[#This Row],['#_Household passed]]/WWWW[[#This Row],['#_Household water samples tested for fecal coliform]],"no test")</f>
        <v>no test</v>
      </c>
      <c r="CB286" s="801" t="str">
        <f>IF(AND(WWWW[[#This Row],[% of water sources passed]]="no test",WWWW[[#This Row],[% Household passed]]="no test"),"No Test","Tested")</f>
        <v>No Test</v>
      </c>
      <c r="CC286" s="801">
        <f>WWWW[[#This Row],['#_Constructed/existing protected hand dug well]]-WWWW[[#This Row],['#_Non-functional protected hand dug well]]</f>
        <v>0</v>
      </c>
      <c r="CD286" s="801">
        <f>(WWWW[[#This Row],['#_Constructed/Existing tube wells/boreholes/handpumps_WASH_agency]]+WWWW[[#This Row],['#_Non-Cluster partner water tube-wells/boreholes/handpumps]])-WWWW[[#This Row],['#_Non-functional tube wells/boreholes/handpumps]]</f>
        <v>1</v>
      </c>
      <c r="CE286" s="801">
        <f>WWWW[[#This Row],['#_Constructed/Existingwater storage tank with gravity fed reticulation system]]-WWWW[[#This Row],['#_Non-functional storage tank gravity fed reticulation system]]</f>
        <v>0</v>
      </c>
      <c r="CF286" s="801">
        <f>(WWWW[[#This Row],['#_Water_Liters_supplied_by_Water boating or water trucking]]/90)/15</f>
        <v>0</v>
      </c>
      <c r="CG286" s="801">
        <f>WWWW[[#This Row],['#_Water_Liters_from_Constructed/Existing water distribution system from river or natural spring]]/90/15</f>
        <v>0</v>
      </c>
      <c r="CH286" s="473">
        <f>WWWW[[#This Row],['#_of water points in TLS/CFS /THF]]*500</f>
        <v>0</v>
      </c>
      <c r="CI28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6" s="800">
        <f>IF(WWWW[[#This Row],[Location Type 1]]="Village",WWWW[[#This Row],[Access to safe drinking water for Village]],WWWW[[#This Row],[Access to safe drinking water for Camp]])</f>
        <v>1</v>
      </c>
      <c r="CL286" s="798">
        <f>WWWW[[#This Row],[%Equitable and continuous access to sufficient quantity of safe drinking water]]*WWWW[[#This Row],[Total PoP ]]</f>
        <v>94</v>
      </c>
      <c r="CM286" s="800">
        <f>IF((WWWW[[#This Row],['#_Constructed/Existing protected/fenced ponds]]*250)/WWWW[[#This Row],[Total PoP ]]&gt;1,1,(WWWW[[#This Row],['#_Constructed/Existing protected/fenced ponds]]*250)/WWWW[[#This Row],[Total PoP ]])</f>
        <v>0</v>
      </c>
      <c r="CN286" s="798">
        <f>WWWW[[#This Row],[% Access to unimproved water points]]*WWWW[[#This Row],[Total PoP ]]</f>
        <v>0</v>
      </c>
      <c r="CO28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Q286" s="798">
        <f>WWWW[[#This Row],[HRP1]]/500</f>
        <v>0.188</v>
      </c>
      <c r="CR286" s="803">
        <f>1-WWWW[[#This Row],[% Equitable and continuous access to sufficient quantity of domestic water]]</f>
        <v>0</v>
      </c>
      <c r="CS286" s="798">
        <f>WWWW[[#This Row],[%equitable and continuous access to sufficient quantity of safe drinking and domestic water''s GAP]]*WWWW[[#This Row],[Total PoP ]]</f>
        <v>0</v>
      </c>
      <c r="CT286" s="801">
        <f>IF(WWWW[[#This Row],[Total required water points]]-WWWW[[#This Row],['#Water points coverage]]&lt;0,0,WWWW[[#This Row],[Total required water points]]-WWWW[[#This Row],['#Water points coverage]])</f>
        <v>0.81200000000000006</v>
      </c>
      <c r="CU286" s="801">
        <f>ROUND(IF(WWWW[[#This Row],[Total PoP ]]&lt;500,1,WWWW[[#This Row],[Total PoP ]]/500),0)</f>
        <v>1</v>
      </c>
      <c r="CV286" s="801">
        <f>(WWWW[[#This Row],['#_Constructed latrines_by_WASHAgencies]]+WWWW[[#This Row],['#_Non Cluster partner latrines]])-WWWW[[#This Row],['#_Non-functional latrines]]</f>
        <v>5</v>
      </c>
      <c r="CW286" s="804">
        <f>WWWW[[#This Row],[HRP2]]/WWWW[[#This Row],[Total PoP ]]</f>
        <v>1</v>
      </c>
      <c r="CX28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v>
      </c>
      <c r="CY28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6" s="473">
        <f>IF(WWWW[[#This Row],['# of functional latrines in THF supported by WASH partners during the reporting period2]]="",0,WWWW[[#This Row],['# of functional latrines in THF supported by WASH partners during the reporting period2]]*50)</f>
        <v>0</v>
      </c>
      <c r="DB286" s="473">
        <f>WWWW[[#This Row],['# students access to functioning school latrines_HRP5]]+WWWW[[#This Row],['# People access to functioning latrines in THF_HRP5]]</f>
        <v>0</v>
      </c>
      <c r="DC286" s="801">
        <f>ROUND(IF(WWWW[[#This Row],[Location Type 1]]="camp",WWWW[[#This Row],[Total PoP ]]/20,IF(WWWW[[#This Row],[Location Type 1]]="Temporary Location",WWWW[[#This Row],[Total PoP ]]/50,(WWWW[[#This Row],[Total PoP ]]/6))),0)</f>
        <v>5</v>
      </c>
      <c r="DD286" s="801">
        <f>IF(WWWW[[#This Row],[Total required Latrines]]-(WWWW[[#This Row],['#_Constructed latrines_by_WASHAgencies]]+WWWW[[#This Row],['#_Non Cluster partner latrines]])&lt;0,0,WWWW[[#This Row],[Total required Latrines]]-(WWWW[[#This Row],['#_Constructed latrines_by_WASHAgencies]]+WWWW[[#This Row],['#_Non Cluster partner latrines]]))</f>
        <v>0</v>
      </c>
      <c r="DE286" s="803">
        <f>1-WWWW[[#This Row],[% people access to functioning Latrine]]</f>
        <v>0</v>
      </c>
      <c r="DF286" s="802">
        <f>IF(OR(WWWW[[#This Row],['#_Non-functional latrines]]="",WWWW[[#This Row],['#_Non-functional latrines]]=0),0,WWWW[[#This Row],['#_Non-functional latrines]]/(WWWW[[#This Row],['#_Constructed latrines_by_WASHAgencies]]+WWWW[[#This Row],['#_Non Cluster partner latrines]]))</f>
        <v>0</v>
      </c>
      <c r="DG286" s="798">
        <f>IF(500*(WWWW[[#This Row],['#_male hygiene promoters]]+WWWW[[#This Row],['#_female hygiene promoters]])&gt;WWWW[[#This Row],[Total PoP ]],WWWW[[#This Row],[Total PoP ]],500*(WWWW[[#This Row],['#_male hygiene promoters]]+WWWW[[#This Row],['#_female hygiene promoters]]))</f>
        <v>94</v>
      </c>
      <c r="DH28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I28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v>
      </c>
      <c r="DJ286" s="801">
        <f>IF(WWWW[[#This Row],['# People with access to soap]]&gt;WWWW[[#This Row],['# People with access to Sanity Pads]],WWWW[[#This Row],['# People with access to soap]],WWWW[[#This Row],['# People with access to Sanity Pads]])</f>
        <v>94</v>
      </c>
      <c r="DK286" s="801">
        <f>IF(WWWW[[#This Row],['# people reached by regular dedicated hygiene promotion_5]]&gt;WWWW[[#This Row],['# People received regular supply of hygiene items_6]],WWWW[[#This Row],['# people reached by regular dedicated hygiene promotion_5]],WWWW[[#This Row],['# People received regular supply of hygiene items_6]])</f>
        <v>94</v>
      </c>
      <c r="DL286" s="803">
        <f>IF(WWWW[[#This Row],[HRP3]]/WWWW[[#This Row],[Total PoP ]]&gt;1,1,WWWW[[#This Row],[HRP3]]/WWWW[[#This Row],[Total PoP ]])</f>
        <v>1</v>
      </c>
      <c r="DM286" s="802">
        <f>1-WWWW[[#This Row],[Hygiene Coverage%]]</f>
        <v>0</v>
      </c>
      <c r="DN286" s="800">
        <f>WWWW[[#This Row],['# people reached by regular dedicated hygiene promotion_5]]/WWWW[[#This Row],[Total PoP ]]</f>
        <v>1</v>
      </c>
      <c r="DO28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86" s="801">
        <f>WWWW[[#This Row],['#_Constructed/Existing hand washing stations]]-WWWW[[#This Row],['#_Non-Functional_hand_washing_stations]]</f>
        <v>2</v>
      </c>
      <c r="DR286" s="798">
        <f>IF(WWWW[[#This Row],['# Functional hand washing stations during reporting period]]*20&gt;WWWW[[#This Row],[Total HH]],WWWW[[#This Row],[Total HH]],WWWW[[#This Row],['# Functional hand washing stations during reporting period]]*20)</f>
        <v>19</v>
      </c>
      <c r="DS286" s="798">
        <f>IF(WWWW[[#This Row],[Is sufficient soap available for TLS? (Yes/No)]]="yes",WWWW[[#This Row],['#_Constructed/Existing hand washing stations at TLS]],0)</f>
        <v>0</v>
      </c>
      <c r="DT286" s="479">
        <f>IF(WWWW[[#This Row],['# Functional hand washing stations during reporting period]]*100&gt;WWWW[[#This Row],[Total PoP ]],WWWW[[#This Row],[Total PoP ]],WWWW[[#This Row],['# Functional hand washing stations during reporting period]]*100)</f>
        <v>94</v>
      </c>
      <c r="DU286" s="479" t="str">
        <f>IF(OR(WWWW[[#This Row],['#_students at TLS_CFS]]="",WWWW[[#This Row],['#_students at TLS_CFS]]=0),"No","Yes")</f>
        <v>No</v>
      </c>
      <c r="DV28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6" s="794">
        <f>VLOOKUP(WWWW[[#This Row],[Site Name]],SiteDB6[[Site Name]:[CCCM Management]],6,FALSE)</f>
        <v>0</v>
      </c>
      <c r="DZ286" s="794">
        <f>VLOOKUP(WWWW[[#This Row],[Site Name]],SiteDB6[[Site Name]:[CCCM Focal Agency]],7,FALSE)</f>
        <v>0</v>
      </c>
      <c r="EA286" s="794" t="str">
        <f>VLOOKUP(WWWW[[#This Row],[Site Name]],SiteDB6[[Site Name]:[Location Type 1]],9,FALSE)</f>
        <v>Camp</v>
      </c>
      <c r="EB286" s="794" t="str">
        <f>VLOOKUP(WWWW[[#This Row],[Site Name]],SiteDB6[[Site Name]:[Type of Accommodation]],10,FALSE)</f>
        <v>Camp</v>
      </c>
      <c r="EC286" s="794" t="str">
        <f>VLOOKUP(WWWW[[#This Row],[Site Name]],SiteDB6[[Site Name]:[Ethnic or GCA/NGCA]],11,FALSE)</f>
        <v>GCA</v>
      </c>
      <c r="ED286" s="794">
        <f>VLOOKUP(WWWW[[#This Row],[Site Name]],SiteDB6[[Site Name]:[Lat]],12,FALSE)</f>
        <v>0</v>
      </c>
      <c r="EE286" s="794">
        <f>VLOOKUP(WWWW[[#This Row],[Site Name]],SiteDB6[[Site Name]:[Long]],13,FALSE)</f>
        <v>0</v>
      </c>
      <c r="EF286" s="794">
        <f>VLOOKUP(WWWW[[#This Row],[Site Name]],SiteDB6[[Site Name]:[Pcode]],3,FALSE)</f>
        <v>0</v>
      </c>
      <c r="EG286" s="799" t="str">
        <f t="shared" si="6"/>
        <v>Covered</v>
      </c>
      <c r="EH286" s="799">
        <f>VLOOKUP(WWWW[[#This Row],[Site Name]],Site_DB!$C$389:$D$1120,2,FALSE)</f>
        <v>0</v>
      </c>
    </row>
    <row r="287" spans="1:138" hidden="1">
      <c r="A287" s="792" t="s">
        <v>3262</v>
      </c>
      <c r="B287" s="792" t="s">
        <v>195</v>
      </c>
      <c r="C287" s="793" t="s">
        <v>195</v>
      </c>
      <c r="D287" s="404" t="s">
        <v>3364</v>
      </c>
      <c r="E287" s="793" t="s">
        <v>711</v>
      </c>
      <c r="F287" s="793" t="s">
        <v>715</v>
      </c>
      <c r="G287" s="721" t="str">
        <f>VLOOKUP(WWWW[[#This Row],[Site Name]],SiteDB6[[Site Name]:[Location Type]],8,FALSE)</f>
        <v>Camp</v>
      </c>
      <c r="H287" s="793" t="s">
        <v>737</v>
      </c>
      <c r="I287" s="795">
        <v>52</v>
      </c>
      <c r="J287" s="795">
        <v>259</v>
      </c>
      <c r="K287" s="407" t="s">
        <v>3607</v>
      </c>
      <c r="L287" s="56" t="s">
        <v>3608</v>
      </c>
      <c r="M287" s="795"/>
      <c r="N287" s="795">
        <v>1</v>
      </c>
      <c r="O287" s="795"/>
      <c r="P287" s="795"/>
      <c r="Q287" s="798" t="s">
        <v>43</v>
      </c>
      <c r="R287" s="795">
        <v>3</v>
      </c>
      <c r="S287" s="795">
        <v>3</v>
      </c>
      <c r="T287" s="523">
        <v>1</v>
      </c>
      <c r="U287" s="795"/>
      <c r="V287" s="795"/>
      <c r="W287" s="720">
        <v>1</v>
      </c>
      <c r="X287" s="720">
        <v>2</v>
      </c>
      <c r="Y287" s="795"/>
      <c r="Z287" s="795"/>
      <c r="AA287" s="720">
        <v>24</v>
      </c>
      <c r="AB287" s="795"/>
      <c r="AC287" s="795"/>
      <c r="AD287" s="795"/>
      <c r="AE287" s="795"/>
      <c r="AF287" s="795"/>
      <c r="AG287" s="720">
        <v>3</v>
      </c>
      <c r="AH287" s="720"/>
      <c r="AI287" s="795"/>
      <c r="AJ287" s="795"/>
      <c r="AK287" s="795"/>
      <c r="AL287" s="795"/>
      <c r="AM287" s="720"/>
      <c r="AN287" s="720"/>
      <c r="AO287" s="719"/>
      <c r="AP287" s="720">
        <v>12</v>
      </c>
      <c r="AQ287" s="720"/>
      <c r="AR287" s="800"/>
      <c r="AS287" s="795"/>
      <c r="AT287" s="795"/>
      <c r="AU287" s="795"/>
      <c r="AV287" s="795"/>
      <c r="AW287" s="795"/>
      <c r="AX287" s="794" t="s">
        <v>43</v>
      </c>
      <c r="AY287" s="799" t="s">
        <v>139</v>
      </c>
      <c r="AZ287" s="795"/>
      <c r="BA287" s="795"/>
      <c r="BB287" s="720">
        <v>1</v>
      </c>
      <c r="BC287" s="720"/>
      <c r="BD287" s="523"/>
      <c r="BE287" s="794"/>
      <c r="BF287" s="720">
        <v>7</v>
      </c>
      <c r="BG287" s="720"/>
      <c r="BH287" s="720"/>
      <c r="BI287" s="720">
        <v>1</v>
      </c>
      <c r="BJ287" s="720"/>
      <c r="BK287" s="720"/>
      <c r="BL287" s="720">
        <v>1</v>
      </c>
      <c r="BM287" s="720">
        <v>53</v>
      </c>
      <c r="BN287" s="720"/>
      <c r="BO287" s="794"/>
      <c r="BP287" s="801"/>
      <c r="BQ287" s="800"/>
      <c r="BR287" s="794"/>
      <c r="BS287" s="472"/>
      <c r="BT287" s="472"/>
      <c r="BU287" s="523"/>
      <c r="BV287" s="472"/>
      <c r="BW287" s="523"/>
      <c r="BX287" s="523"/>
      <c r="BY287" s="523"/>
      <c r="BZ287" s="802" t="str">
        <f>IFERROR(WWWW[[#This Row],['#_Water sources passed]]/WWWW[[#This Row],['#_Water sources tested for fecal coliform ]],"no test")</f>
        <v>no test</v>
      </c>
      <c r="CA287" s="800" t="str">
        <f>IFERROR(WWWW[[#This Row],['#_Household passed]]/WWWW[[#This Row],['#_Household water samples tested for fecal coliform]],"no test")</f>
        <v>no test</v>
      </c>
      <c r="CB287" s="801" t="str">
        <f>IF(AND(WWWW[[#This Row],[% of water sources passed]]="no test",WWWW[[#This Row],[% Household passed]]="no test"),"No Test","Tested")</f>
        <v>No Test</v>
      </c>
      <c r="CC287" s="801">
        <f>WWWW[[#This Row],['#_Constructed/existing protected hand dug well]]-WWWW[[#This Row],['#_Non-functional protected hand dug well]]</f>
        <v>1</v>
      </c>
      <c r="CD287" s="801">
        <f>(WWWW[[#This Row],['#_Constructed/Existing tube wells/boreholes/handpumps_WASH_agency]]+WWWW[[#This Row],['#_Non-Cluster partner water tube-wells/boreholes/handpumps]])-WWWW[[#This Row],['#_Non-functional tube wells/boreholes/handpumps]]</f>
        <v>3</v>
      </c>
      <c r="CE287" s="801">
        <f>WWWW[[#This Row],['#_Constructed/Existingwater storage tank with gravity fed reticulation system]]-WWWW[[#This Row],['#_Non-functional storage tank gravity fed reticulation system]]</f>
        <v>24</v>
      </c>
      <c r="CF287" s="801">
        <f>(WWWW[[#This Row],['#_Water_Liters_supplied_by_Water boating or water trucking]]/90)/15</f>
        <v>0</v>
      </c>
      <c r="CG287" s="801">
        <f>WWWW[[#This Row],['#_Water_Liters_from_Constructed/Existing water distribution system from river or natural spring]]/90/15</f>
        <v>0</v>
      </c>
      <c r="CH287" s="473">
        <f>WWWW[[#This Row],['#_of water points in TLS/CFS /THF]]*500</f>
        <v>0</v>
      </c>
      <c r="CI28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7" s="800">
        <f>IF(WWWW[[#This Row],[Location Type 1]]="Village",WWWW[[#This Row],[Access to safe drinking water for Village]],WWWW[[#This Row],[Access to safe drinking water for Camp]])</f>
        <v>1</v>
      </c>
      <c r="CL287" s="798">
        <f>WWWW[[#This Row],[%Equitable and continuous access to sufficient quantity of safe drinking water]]*WWWW[[#This Row],[Total PoP ]]</f>
        <v>259</v>
      </c>
      <c r="CM287" s="800">
        <f>IF((WWWW[[#This Row],['#_Constructed/Existing protected/fenced ponds]]*250)/WWWW[[#This Row],[Total PoP ]]&gt;1,1,(WWWW[[#This Row],['#_Constructed/Existing protected/fenced ponds]]*250)/WWWW[[#This Row],[Total PoP ]])</f>
        <v>0</v>
      </c>
      <c r="CN287" s="798">
        <f>WWWW[[#This Row],[% Access to unimproved water points]]*WWWW[[#This Row],[Total PoP ]]</f>
        <v>0</v>
      </c>
      <c r="CO28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Q287" s="798">
        <f>WWWW[[#This Row],[HRP1]]/500</f>
        <v>0.51800000000000002</v>
      </c>
      <c r="CR287" s="803">
        <f>1-WWWW[[#This Row],[% Equitable and continuous access to sufficient quantity of domestic water]]</f>
        <v>0</v>
      </c>
      <c r="CS287" s="798">
        <f>WWWW[[#This Row],[%equitable and continuous access to sufficient quantity of safe drinking and domestic water''s GAP]]*WWWW[[#This Row],[Total PoP ]]</f>
        <v>0</v>
      </c>
      <c r="CT287" s="801">
        <f>IF(WWWW[[#This Row],[Total required water points]]-WWWW[[#This Row],['#Water points coverage]]&lt;0,0,WWWW[[#This Row],[Total required water points]]-WWWW[[#This Row],['#Water points coverage]])</f>
        <v>0.48199999999999998</v>
      </c>
      <c r="CU287" s="801">
        <f>ROUND(IF(WWWW[[#This Row],[Total PoP ]]&lt;500,1,WWWW[[#This Row],[Total PoP ]]/500),0)</f>
        <v>1</v>
      </c>
      <c r="CV287" s="801">
        <f>(WWWW[[#This Row],['#_Constructed latrines_by_WASHAgencies]]+WWWW[[#This Row],['#_Non Cluster partner latrines]])-WWWW[[#This Row],['#_Non-functional latrines]]</f>
        <v>12</v>
      </c>
      <c r="CW287" s="804">
        <f>WWWW[[#This Row],[HRP2]]/WWWW[[#This Row],[Total PoP ]]</f>
        <v>0.92664092664092668</v>
      </c>
      <c r="CX28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8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7" s="473">
        <f>IF(WWWW[[#This Row],['# of functional latrines in THF supported by WASH partners during the reporting period2]]="",0,WWWW[[#This Row],['# of functional latrines in THF supported by WASH partners during the reporting period2]]*50)</f>
        <v>0</v>
      </c>
      <c r="DB287" s="473">
        <f>WWWW[[#This Row],['# students access to functioning school latrines_HRP5]]+WWWW[[#This Row],['# People access to functioning latrines in THF_HRP5]]</f>
        <v>0</v>
      </c>
      <c r="DC287" s="801">
        <f>ROUND(IF(WWWW[[#This Row],[Location Type 1]]="camp",WWWW[[#This Row],[Total PoP ]]/20,IF(WWWW[[#This Row],[Location Type 1]]="Temporary Location",WWWW[[#This Row],[Total PoP ]]/50,(WWWW[[#This Row],[Total PoP ]]/6))),0)</f>
        <v>13</v>
      </c>
      <c r="DD287" s="801">
        <f>IF(WWWW[[#This Row],[Total required Latrines]]-(WWWW[[#This Row],['#_Constructed latrines_by_WASHAgencies]]+WWWW[[#This Row],['#_Non Cluster partner latrines]])&lt;0,0,WWWW[[#This Row],[Total required Latrines]]-(WWWW[[#This Row],['#_Constructed latrines_by_WASHAgencies]]+WWWW[[#This Row],['#_Non Cluster partner latrines]]))</f>
        <v>1</v>
      </c>
      <c r="DE287" s="803">
        <f>1-WWWW[[#This Row],[% people access to functioning Latrine]]</f>
        <v>7.3359073359073323E-2</v>
      </c>
      <c r="DF287" s="802">
        <f>IF(OR(WWWW[[#This Row],['#_Non-functional latrines]]="",WWWW[[#This Row],['#_Non-functional latrines]]=0),0,WWWW[[#This Row],['#_Non-functional latrines]]/(WWWW[[#This Row],['#_Constructed latrines_by_WASHAgencies]]+WWWW[[#This Row],['#_Non Cluster partner latrines]]))</f>
        <v>0</v>
      </c>
      <c r="DG287" s="798">
        <f>IF(500*(WWWW[[#This Row],['#_male hygiene promoters]]+WWWW[[#This Row],['#_female hygiene promoters]])&gt;WWWW[[#This Row],[Total PoP ]],WWWW[[#This Row],[Total PoP ]],500*(WWWW[[#This Row],['#_male hygiene promoters]]+WWWW[[#This Row],['#_female hygiene promoters]]))</f>
        <v>259</v>
      </c>
      <c r="DH28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259</v>
      </c>
      <c r="DI28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7" s="801">
        <f>IF(WWWW[[#This Row],['# People with access to soap]]&gt;WWWW[[#This Row],['# People with access to Sanity Pads]],WWWW[[#This Row],['# People with access to soap]],WWWW[[#This Row],['# People with access to Sanity Pads]])</f>
        <v>259</v>
      </c>
      <c r="DK287" s="801">
        <f>IF(WWWW[[#This Row],['# people reached by regular dedicated hygiene promotion_5]]&gt;WWWW[[#This Row],['# People received regular supply of hygiene items_6]],WWWW[[#This Row],['# people reached by regular dedicated hygiene promotion_5]],WWWW[[#This Row],['# People received regular supply of hygiene items_6]])</f>
        <v>259</v>
      </c>
      <c r="DL287" s="803">
        <f>IF(WWWW[[#This Row],[HRP3]]/WWWW[[#This Row],[Total PoP ]]&gt;1,1,WWWW[[#This Row],[HRP3]]/WWWW[[#This Row],[Total PoP ]])</f>
        <v>1</v>
      </c>
      <c r="DM287" s="802">
        <f>1-WWWW[[#This Row],[Hygiene Coverage%]]</f>
        <v>0</v>
      </c>
      <c r="DN287" s="800">
        <f>WWWW[[#This Row],['# people reached by regular dedicated hygiene promotion_5]]/WWWW[[#This Row],[Total PoP ]]</f>
        <v>1</v>
      </c>
      <c r="DO28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7" s="801">
        <f>WWWW[[#This Row],['#_Constructed/Existing hand washing stations]]-WWWW[[#This Row],['#_Non-Functional_hand_washing_stations]]</f>
        <v>7</v>
      </c>
      <c r="DR287" s="798">
        <f>IF(WWWW[[#This Row],['# Functional hand washing stations during reporting period]]*20&gt;WWWW[[#This Row],[Total HH]],WWWW[[#This Row],[Total HH]],WWWW[[#This Row],['# Functional hand washing stations during reporting period]]*20)</f>
        <v>52</v>
      </c>
      <c r="DS287" s="798">
        <f>IF(WWWW[[#This Row],[Is sufficient soap available for TLS? (Yes/No)]]="yes",WWWW[[#This Row],['#_Constructed/Existing hand washing stations at TLS]],0)</f>
        <v>0</v>
      </c>
      <c r="DT287" s="479">
        <f>IF(WWWW[[#This Row],['# Functional hand washing stations during reporting period]]*100&gt;WWWW[[#This Row],[Total PoP ]],WWWW[[#This Row],[Total PoP ]],WWWW[[#This Row],['# Functional hand washing stations during reporting period]]*100)</f>
        <v>259</v>
      </c>
      <c r="DU287" s="479" t="str">
        <f>IF(OR(WWWW[[#This Row],['#_students at TLS_CFS]]="",WWWW[[#This Row],['#_students at TLS_CFS]]=0),"No","Yes")</f>
        <v>No</v>
      </c>
      <c r="DV28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7" s="794" t="str">
        <f>VLOOKUP(WWWW[[#This Row],[Site Name]],SiteDB6[[Site Name]:[CCCM Management]],6,FALSE)</f>
        <v>Yes</v>
      </c>
      <c r="DZ287" s="794" t="str">
        <f>VLOOKUP(WWWW[[#This Row],[Site Name]],SiteDB6[[Site Name]:[CCCM Focal Agency]],7,FALSE)</f>
        <v>KBC-NSS</v>
      </c>
      <c r="EA287" s="794" t="str">
        <f>VLOOKUP(WWWW[[#This Row],[Site Name]],SiteDB6[[Site Name]:[Location Type 1]],9,FALSE)</f>
        <v>Camp</v>
      </c>
      <c r="EB287" s="794" t="str">
        <f>VLOOKUP(WWWW[[#This Row],[Site Name]],SiteDB6[[Site Name]:[Type of Accommodation]],10,FALSE)</f>
        <v>Camp</v>
      </c>
      <c r="EC287" s="794" t="str">
        <f>VLOOKUP(WWWW[[#This Row],[Site Name]],SiteDB6[[Site Name]:[Ethnic or GCA/NGCA]],11,FALSE)</f>
        <v>GCA</v>
      </c>
      <c r="ED287" s="794">
        <f>VLOOKUP(WWWW[[#This Row],[Site Name]],SiteDB6[[Site Name]:[Lat]],12,FALSE)</f>
        <v>23.450914000000001</v>
      </c>
      <c r="EE287" s="794">
        <f>VLOOKUP(WWWW[[#This Row],[Site Name]],SiteDB6[[Site Name]:[Long]],13,FALSE)</f>
        <v>97.926813999999993</v>
      </c>
      <c r="EF287" s="794" t="str">
        <f>VLOOKUP(WWWW[[#This Row],[Site Name]],SiteDB6[[Site Name]:[Pcode]],3,FALSE)</f>
        <v>MMR015CMP016</v>
      </c>
      <c r="EG287" s="799" t="str">
        <f t="shared" si="6"/>
        <v>Covered</v>
      </c>
      <c r="EH287" s="799" t="str">
        <f>VLOOKUP(WWWW[[#This Row],[Site Name]],Site_DB!$C$389:$D$1120,2,FALSE)</f>
        <v>cccm_2019OCT</v>
      </c>
    </row>
    <row r="288" spans="1:138" hidden="1">
      <c r="A288" s="792" t="s">
        <v>3262</v>
      </c>
      <c r="B288" s="792" t="s">
        <v>195</v>
      </c>
      <c r="C288" s="793" t="s">
        <v>195</v>
      </c>
      <c r="D288" s="404" t="s">
        <v>3364</v>
      </c>
      <c r="E288" s="793" t="s">
        <v>711</v>
      </c>
      <c r="F288" s="793" t="s">
        <v>715</v>
      </c>
      <c r="G288" s="721" t="str">
        <f>VLOOKUP(WWWW[[#This Row],[Site Name]],SiteDB6[[Site Name]:[Location Type]],8,FALSE)</f>
        <v>Camp</v>
      </c>
      <c r="H288" s="404" t="s">
        <v>742</v>
      </c>
      <c r="I288" s="795">
        <v>35</v>
      </c>
      <c r="J288" s="795">
        <v>156</v>
      </c>
      <c r="K288" s="407" t="s">
        <v>3607</v>
      </c>
      <c r="L288" s="56" t="s">
        <v>3608</v>
      </c>
      <c r="M288" s="795"/>
      <c r="N288" s="795"/>
      <c r="O288" s="795"/>
      <c r="P288" s="795"/>
      <c r="Q288" s="798"/>
      <c r="R288" s="795">
        <v>4</v>
      </c>
      <c r="S288" s="795">
        <v>5</v>
      </c>
      <c r="T288" s="523">
        <v>1</v>
      </c>
      <c r="U288" s="795"/>
      <c r="V288" s="795"/>
      <c r="W288" s="720">
        <v>1</v>
      </c>
      <c r="X288" s="720"/>
      <c r="Y288" s="795"/>
      <c r="Z288" s="795"/>
      <c r="AA288" s="720">
        <v>7</v>
      </c>
      <c r="AB288" s="795"/>
      <c r="AC288" s="795"/>
      <c r="AD288" s="795"/>
      <c r="AE288" s="795"/>
      <c r="AF288" s="795"/>
      <c r="AG288" s="720"/>
      <c r="AH288" s="720"/>
      <c r="AI288" s="795"/>
      <c r="AJ288" s="795"/>
      <c r="AK288" s="795"/>
      <c r="AL288" s="795"/>
      <c r="AM288" s="720"/>
      <c r="AN288" s="720"/>
      <c r="AO288" s="719"/>
      <c r="AP288" s="720">
        <v>9</v>
      </c>
      <c r="AQ288" s="720"/>
      <c r="AR288" s="800"/>
      <c r="AS288" s="795"/>
      <c r="AT288" s="795"/>
      <c r="AU288" s="795"/>
      <c r="AV288" s="795"/>
      <c r="AW288" s="795"/>
      <c r="AX288" s="794" t="s">
        <v>43</v>
      </c>
      <c r="AY288" s="799" t="s">
        <v>140</v>
      </c>
      <c r="AZ288" s="795"/>
      <c r="BA288" s="795"/>
      <c r="BB288" s="720"/>
      <c r="BC288" s="720"/>
      <c r="BD288" s="523"/>
      <c r="BE288" s="794"/>
      <c r="BF288" s="720">
        <v>4</v>
      </c>
      <c r="BG288" s="720"/>
      <c r="BH288" s="720"/>
      <c r="BI288" s="720">
        <v>2</v>
      </c>
      <c r="BJ288" s="720"/>
      <c r="BK288" s="720"/>
      <c r="BL288" s="720">
        <v>1</v>
      </c>
      <c r="BM288" s="720">
        <v>34</v>
      </c>
      <c r="BN288" s="720"/>
      <c r="BO288" s="794" t="s">
        <v>139</v>
      </c>
      <c r="BP288" s="801"/>
      <c r="BQ288" s="800"/>
      <c r="BR288" s="794"/>
      <c r="BS288" s="472"/>
      <c r="BT288" s="472"/>
      <c r="BU288" s="523"/>
      <c r="BV288" s="472"/>
      <c r="BW288" s="523"/>
      <c r="BX288" s="523"/>
      <c r="BY288" s="523"/>
      <c r="BZ288" s="802" t="str">
        <f>IFERROR(WWWW[[#This Row],['#_Water sources passed]]/WWWW[[#This Row],['#_Water sources tested for fecal coliform ]],"no test")</f>
        <v>no test</v>
      </c>
      <c r="CA288" s="800" t="str">
        <f>IFERROR(WWWW[[#This Row],['#_Household passed]]/WWWW[[#This Row],['#_Household water samples tested for fecal coliform]],"no test")</f>
        <v>no test</v>
      </c>
      <c r="CB288" s="801" t="str">
        <f>IF(AND(WWWW[[#This Row],[% of water sources passed]]="no test",WWWW[[#This Row],[% Household passed]]="no test"),"No Test","Tested")</f>
        <v>No Test</v>
      </c>
      <c r="CC288" s="801">
        <f>WWWW[[#This Row],['#_Constructed/existing protected hand dug well]]-WWWW[[#This Row],['#_Non-functional protected hand dug well]]</f>
        <v>1</v>
      </c>
      <c r="CD288" s="801">
        <f>(WWWW[[#This Row],['#_Constructed/Existing tube wells/boreholes/handpumps_WASH_agency]]+WWWW[[#This Row],['#_Non-Cluster partner water tube-wells/boreholes/handpumps]])-WWWW[[#This Row],['#_Non-functional tube wells/boreholes/handpumps]]</f>
        <v>1</v>
      </c>
      <c r="CE288" s="801">
        <f>WWWW[[#This Row],['#_Constructed/Existingwater storage tank with gravity fed reticulation system]]-WWWW[[#This Row],['#_Non-functional storage tank gravity fed reticulation system]]</f>
        <v>7</v>
      </c>
      <c r="CF288" s="801">
        <f>(WWWW[[#This Row],['#_Water_Liters_supplied_by_Water boating or water trucking]]/90)/15</f>
        <v>0</v>
      </c>
      <c r="CG288" s="801">
        <f>WWWW[[#This Row],['#_Water_Liters_from_Constructed/Existing water distribution system from river or natural spring]]/90/15</f>
        <v>0</v>
      </c>
      <c r="CH288" s="473">
        <f>WWWW[[#This Row],['#_of water points in TLS/CFS /THF]]*500</f>
        <v>0</v>
      </c>
      <c r="CI28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8" s="800">
        <f>IF(WWWW[[#This Row],[Location Type 1]]="Village",WWWW[[#This Row],[Access to safe drinking water for Village]],WWWW[[#This Row],[Access to safe drinking water for Camp]])</f>
        <v>1</v>
      </c>
      <c r="CL288" s="798">
        <f>WWWW[[#This Row],[%Equitable and continuous access to sufficient quantity of safe drinking water]]*WWWW[[#This Row],[Total PoP ]]</f>
        <v>156</v>
      </c>
      <c r="CM288" s="800">
        <f>IF((WWWW[[#This Row],['#_Constructed/Existing protected/fenced ponds]]*250)/WWWW[[#This Row],[Total PoP ]]&gt;1,1,(WWWW[[#This Row],['#_Constructed/Existing protected/fenced ponds]]*250)/WWWW[[#This Row],[Total PoP ]])</f>
        <v>0</v>
      </c>
      <c r="CN288" s="798">
        <f>WWWW[[#This Row],[% Access to unimproved water points]]*WWWW[[#This Row],[Total PoP ]]</f>
        <v>0</v>
      </c>
      <c r="CO28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288" s="798">
        <f>WWWW[[#This Row],[HRP1]]/500</f>
        <v>0.312</v>
      </c>
      <c r="CR288" s="803">
        <f>1-WWWW[[#This Row],[% Equitable and continuous access to sufficient quantity of domestic water]]</f>
        <v>0</v>
      </c>
      <c r="CS288" s="798">
        <f>WWWW[[#This Row],[%equitable and continuous access to sufficient quantity of safe drinking and domestic water''s GAP]]*WWWW[[#This Row],[Total PoP ]]</f>
        <v>0</v>
      </c>
      <c r="CT288" s="801">
        <f>IF(WWWW[[#This Row],[Total required water points]]-WWWW[[#This Row],['#Water points coverage]]&lt;0,0,WWWW[[#This Row],[Total required water points]]-WWWW[[#This Row],['#Water points coverage]])</f>
        <v>0.68799999999999994</v>
      </c>
      <c r="CU288" s="801">
        <f>ROUND(IF(WWWW[[#This Row],[Total PoP ]]&lt;500,1,WWWW[[#This Row],[Total PoP ]]/500),0)</f>
        <v>1</v>
      </c>
      <c r="CV288" s="801">
        <f>(WWWW[[#This Row],['#_Constructed latrines_by_WASHAgencies]]+WWWW[[#This Row],['#_Non Cluster partner latrines]])-WWWW[[#This Row],['#_Non-functional latrines]]</f>
        <v>9</v>
      </c>
      <c r="CW288" s="804">
        <f>WWWW[[#This Row],[HRP2]]/WWWW[[#This Row],[Total PoP ]]</f>
        <v>1</v>
      </c>
      <c r="CX28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28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8" s="473">
        <f>IF(WWWW[[#This Row],['# of functional latrines in THF supported by WASH partners during the reporting period2]]="",0,WWWW[[#This Row],['# of functional latrines in THF supported by WASH partners during the reporting period2]]*50)</f>
        <v>0</v>
      </c>
      <c r="DB288" s="473">
        <f>WWWW[[#This Row],['# students access to functioning school latrines_HRP5]]+WWWW[[#This Row],['# People access to functioning latrines in THF_HRP5]]</f>
        <v>0</v>
      </c>
      <c r="DC288" s="801">
        <f>ROUND(IF(WWWW[[#This Row],[Location Type 1]]="camp",WWWW[[#This Row],[Total PoP ]]/20,IF(WWWW[[#This Row],[Location Type 1]]="Temporary Location",WWWW[[#This Row],[Total PoP ]]/50,(WWWW[[#This Row],[Total PoP ]]/6))),0)</f>
        <v>8</v>
      </c>
      <c r="DD288" s="801">
        <f>IF(WWWW[[#This Row],[Total required Latrines]]-(WWWW[[#This Row],['#_Constructed latrines_by_WASHAgencies]]+WWWW[[#This Row],['#_Non Cluster partner latrines]])&lt;0,0,WWWW[[#This Row],[Total required Latrines]]-(WWWW[[#This Row],['#_Constructed latrines_by_WASHAgencies]]+WWWW[[#This Row],['#_Non Cluster partner latrines]]))</f>
        <v>0</v>
      </c>
      <c r="DE288" s="803">
        <f>1-WWWW[[#This Row],[% people access to functioning Latrine]]</f>
        <v>0</v>
      </c>
      <c r="DF288" s="802">
        <f>IF(OR(WWWW[[#This Row],['#_Non-functional latrines]]="",WWWW[[#This Row],['#_Non-functional latrines]]=0),0,WWWW[[#This Row],['#_Non-functional latrines]]/(WWWW[[#This Row],['#_Constructed latrines_by_WASHAgencies]]+WWWW[[#This Row],['#_Non Cluster partner latrines]]))</f>
        <v>0</v>
      </c>
      <c r="DG288" s="798">
        <f>IF(500*(WWWW[[#This Row],['#_male hygiene promoters]]+WWWW[[#This Row],['#_female hygiene promoters]])&gt;WWWW[[#This Row],[Total PoP ]],WWWW[[#This Row],[Total PoP ]],500*(WWWW[[#This Row],['#_male hygiene promoters]]+WWWW[[#This Row],['#_female hygiene promoters]]))</f>
        <v>156</v>
      </c>
      <c r="DH28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DI28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8" s="801">
        <f>IF(WWWW[[#This Row],['# People with access to soap]]&gt;WWWW[[#This Row],['# People with access to Sanity Pads]],WWWW[[#This Row],['# People with access to soap]],WWWW[[#This Row],['# People with access to Sanity Pads]])</f>
        <v>156</v>
      </c>
      <c r="DK288" s="801">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288" s="803">
        <f>IF(WWWW[[#This Row],[HRP3]]/WWWW[[#This Row],[Total PoP ]]&gt;1,1,WWWW[[#This Row],[HRP3]]/WWWW[[#This Row],[Total PoP ]])</f>
        <v>1</v>
      </c>
      <c r="DM288" s="802">
        <f>1-WWWW[[#This Row],[Hygiene Coverage%]]</f>
        <v>0</v>
      </c>
      <c r="DN288" s="800">
        <f>WWWW[[#This Row],['# people reached by regular dedicated hygiene promotion_5]]/WWWW[[#This Row],[Total PoP ]]</f>
        <v>1</v>
      </c>
      <c r="DO28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8" s="801">
        <f>WWWW[[#This Row],['#_Constructed/Existing hand washing stations]]-WWWW[[#This Row],['#_Non-Functional_hand_washing_stations]]</f>
        <v>4</v>
      </c>
      <c r="DR288" s="798">
        <f>IF(WWWW[[#This Row],['# Functional hand washing stations during reporting period]]*20&gt;WWWW[[#This Row],[Total HH]],WWWW[[#This Row],[Total HH]],WWWW[[#This Row],['# Functional hand washing stations during reporting period]]*20)</f>
        <v>35</v>
      </c>
      <c r="DS288" s="798">
        <f>IF(WWWW[[#This Row],[Is sufficient soap available for TLS? (Yes/No)]]="yes",WWWW[[#This Row],['#_Constructed/Existing hand washing stations at TLS]],0)</f>
        <v>0</v>
      </c>
      <c r="DT288" s="479">
        <f>IF(WWWW[[#This Row],['# Functional hand washing stations during reporting period]]*100&gt;WWWW[[#This Row],[Total PoP ]],WWWW[[#This Row],[Total PoP ]],WWWW[[#This Row],['# Functional hand washing stations during reporting period]]*100)</f>
        <v>156</v>
      </c>
      <c r="DU288" s="479" t="str">
        <f>IF(OR(WWWW[[#This Row],['#_students at TLS_CFS]]="",WWWW[[#This Row],['#_students at TLS_CFS]]=0),"No","Yes")</f>
        <v>No</v>
      </c>
      <c r="DV28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8" s="794" t="str">
        <f>VLOOKUP(WWWW[[#This Row],[Site Name]],SiteDB6[[Site Name]:[CCCM Management]],6,FALSE)</f>
        <v>Yes</v>
      </c>
      <c r="DZ288" s="794" t="str">
        <f>VLOOKUP(WWWW[[#This Row],[Site Name]],SiteDB6[[Site Name]:[CCCM Focal Agency]],7,FALSE)</f>
        <v>KBC-NSS</v>
      </c>
      <c r="EA288" s="794" t="str">
        <f>VLOOKUP(WWWW[[#This Row],[Site Name]],SiteDB6[[Site Name]:[Location Type 1]],9,FALSE)</f>
        <v>Camp</v>
      </c>
      <c r="EB288" s="794" t="str">
        <f>VLOOKUP(WWWW[[#This Row],[Site Name]],SiteDB6[[Site Name]:[Type of Accommodation]],10,FALSE)</f>
        <v>Camp</v>
      </c>
      <c r="EC288" s="794" t="str">
        <f>VLOOKUP(WWWW[[#This Row],[Site Name]],SiteDB6[[Site Name]:[Ethnic or GCA/NGCA]],11,FALSE)</f>
        <v>GCA</v>
      </c>
      <c r="ED288" s="794">
        <f>VLOOKUP(WWWW[[#This Row],[Site Name]],SiteDB6[[Site Name]:[Lat]],12,FALSE)</f>
        <v>23.460349999999998</v>
      </c>
      <c r="EE288" s="794">
        <f>VLOOKUP(WWWW[[#This Row],[Site Name]],SiteDB6[[Site Name]:[Long]],13,FALSE)</f>
        <v>97.947360000000003</v>
      </c>
      <c r="EF288" s="794" t="str">
        <f>VLOOKUP(WWWW[[#This Row],[Site Name]],SiteDB6[[Site Name]:[Pcode]],3,FALSE)</f>
        <v>MMR015CMP245</v>
      </c>
      <c r="EG288" s="799" t="str">
        <f t="shared" si="6"/>
        <v>Covered</v>
      </c>
      <c r="EH288" s="799" t="str">
        <f>VLOOKUP(WWWW[[#This Row],[Site Name]],Site_DB!$C$389:$D$1120,2,FALSE)</f>
        <v>cccm_2019OCT</v>
      </c>
    </row>
    <row r="289" spans="1:138" hidden="1">
      <c r="A289" s="792" t="s">
        <v>3262</v>
      </c>
      <c r="B289" s="792" t="s">
        <v>195</v>
      </c>
      <c r="C289" s="793" t="s">
        <v>195</v>
      </c>
      <c r="D289" s="404" t="s">
        <v>3364</v>
      </c>
      <c r="E289" s="793" t="s">
        <v>711</v>
      </c>
      <c r="F289" s="793" t="s">
        <v>715</v>
      </c>
      <c r="G289" s="721" t="str">
        <f>VLOOKUP(WWWW[[#This Row],[Site Name]],SiteDB6[[Site Name]:[Location Type]],8,FALSE)</f>
        <v>Camp</v>
      </c>
      <c r="H289" s="793" t="s">
        <v>716</v>
      </c>
      <c r="I289" s="795">
        <v>30</v>
      </c>
      <c r="J289" s="795">
        <v>138</v>
      </c>
      <c r="K289" s="407" t="s">
        <v>3607</v>
      </c>
      <c r="L289" s="56" t="s">
        <v>3608</v>
      </c>
      <c r="M289" s="795"/>
      <c r="N289" s="795"/>
      <c r="O289" s="795"/>
      <c r="P289" s="795"/>
      <c r="Q289" s="798"/>
      <c r="R289" s="795">
        <v>3</v>
      </c>
      <c r="S289" s="795">
        <v>2</v>
      </c>
      <c r="T289" s="523"/>
      <c r="U289" s="795"/>
      <c r="V289" s="795"/>
      <c r="W289" s="720"/>
      <c r="X289" s="720"/>
      <c r="Y289" s="795"/>
      <c r="Z289" s="795"/>
      <c r="AA289" s="720">
        <v>38</v>
      </c>
      <c r="AB289" s="795"/>
      <c r="AC289" s="795"/>
      <c r="AD289" s="795"/>
      <c r="AE289" s="795"/>
      <c r="AF289" s="795"/>
      <c r="AG289" s="720">
        <v>3</v>
      </c>
      <c r="AH289" s="720"/>
      <c r="AI289" s="795"/>
      <c r="AJ289" s="795"/>
      <c r="AK289" s="795"/>
      <c r="AL289" s="795"/>
      <c r="AM289" s="720"/>
      <c r="AN289" s="720"/>
      <c r="AO289" s="719" t="s">
        <v>3137</v>
      </c>
      <c r="AP289" s="720">
        <v>27</v>
      </c>
      <c r="AQ289" s="720"/>
      <c r="AR289" s="800"/>
      <c r="AS289" s="795"/>
      <c r="AT289" s="795"/>
      <c r="AU289" s="795"/>
      <c r="AV289" s="795"/>
      <c r="AW289" s="795">
        <v>2</v>
      </c>
      <c r="AX289" s="794" t="s">
        <v>43</v>
      </c>
      <c r="AY289" s="799" t="s">
        <v>139</v>
      </c>
      <c r="AZ289" s="795"/>
      <c r="BA289" s="795"/>
      <c r="BB289" s="720"/>
      <c r="BC289" s="720"/>
      <c r="BD289" s="523"/>
      <c r="BE289" s="794"/>
      <c r="BF289" s="720">
        <v>4</v>
      </c>
      <c r="BG289" s="720"/>
      <c r="BH289" s="720"/>
      <c r="BI289" s="720">
        <v>2</v>
      </c>
      <c r="BJ289" s="720"/>
      <c r="BK289" s="720"/>
      <c r="BL289" s="720">
        <v>1</v>
      </c>
      <c r="BM289" s="720">
        <v>27</v>
      </c>
      <c r="BN289" s="720"/>
      <c r="BO289" s="794"/>
      <c r="BP289" s="801"/>
      <c r="BQ289" s="800"/>
      <c r="BR289" s="794"/>
      <c r="BS289" s="472"/>
      <c r="BT289" s="472"/>
      <c r="BU289" s="523"/>
      <c r="BV289" s="472"/>
      <c r="BW289" s="523"/>
      <c r="BX289" s="523"/>
      <c r="BY289" s="523"/>
      <c r="BZ289" s="802" t="str">
        <f>IFERROR(WWWW[[#This Row],['#_Water sources passed]]/WWWW[[#This Row],['#_Water sources tested for fecal coliform ]],"no test")</f>
        <v>no test</v>
      </c>
      <c r="CA289" s="800" t="str">
        <f>IFERROR(WWWW[[#This Row],['#_Household passed]]/WWWW[[#This Row],['#_Household water samples tested for fecal coliform]],"no test")</f>
        <v>no test</v>
      </c>
      <c r="CB289" s="801" t="str">
        <f>IF(AND(WWWW[[#This Row],[% of water sources passed]]="no test",WWWW[[#This Row],[% Household passed]]="no test"),"No Test","Tested")</f>
        <v>No Test</v>
      </c>
      <c r="CC289" s="801">
        <f>WWWW[[#This Row],['#_Constructed/existing protected hand dug well]]-WWWW[[#This Row],['#_Non-functional protected hand dug well]]</f>
        <v>0</v>
      </c>
      <c r="CD289" s="801">
        <f>(WWWW[[#This Row],['#_Constructed/Existing tube wells/boreholes/handpumps_WASH_agency]]+WWWW[[#This Row],['#_Non-Cluster partner water tube-wells/boreholes/handpumps]])-WWWW[[#This Row],['#_Non-functional tube wells/boreholes/handpumps]]</f>
        <v>0</v>
      </c>
      <c r="CE289" s="801">
        <f>WWWW[[#This Row],['#_Constructed/Existingwater storage tank with gravity fed reticulation system]]-WWWW[[#This Row],['#_Non-functional storage tank gravity fed reticulation system]]</f>
        <v>38</v>
      </c>
      <c r="CF289" s="801">
        <f>(WWWW[[#This Row],['#_Water_Liters_supplied_by_Water boating or water trucking]]/90)/15</f>
        <v>0</v>
      </c>
      <c r="CG289" s="801">
        <f>WWWW[[#This Row],['#_Water_Liters_from_Constructed/Existing water distribution system from river or natural spring]]/90/15</f>
        <v>0</v>
      </c>
      <c r="CH289" s="473">
        <f>WWWW[[#This Row],['#_of water points in TLS/CFS /THF]]*500</f>
        <v>0</v>
      </c>
      <c r="CI28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8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89" s="800">
        <f>IF(WWWW[[#This Row],[Location Type 1]]="Village",WWWW[[#This Row],[Access to safe drinking water for Village]],WWWW[[#This Row],[Access to safe drinking water for Camp]])</f>
        <v>1</v>
      </c>
      <c r="CL289" s="798">
        <f>WWWW[[#This Row],[%Equitable and continuous access to sufficient quantity of safe drinking water]]*WWWW[[#This Row],[Total PoP ]]</f>
        <v>138</v>
      </c>
      <c r="CM289" s="800">
        <f>IF((WWWW[[#This Row],['#_Constructed/Existing protected/fenced ponds]]*250)/WWWW[[#This Row],[Total PoP ]]&gt;1,1,(WWWW[[#This Row],['#_Constructed/Existing protected/fenced ponds]]*250)/WWWW[[#This Row],[Total PoP ]])</f>
        <v>0</v>
      </c>
      <c r="CN289" s="798">
        <f>WWWW[[#This Row],[% Access to unimproved water points]]*WWWW[[#This Row],[Total PoP ]]</f>
        <v>0</v>
      </c>
      <c r="CO28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8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Q289" s="798">
        <f>WWWW[[#This Row],[HRP1]]/500</f>
        <v>0.27600000000000002</v>
      </c>
      <c r="CR289" s="803">
        <f>1-WWWW[[#This Row],[% Equitable and continuous access to sufficient quantity of domestic water]]</f>
        <v>0</v>
      </c>
      <c r="CS289" s="798">
        <f>WWWW[[#This Row],[%equitable and continuous access to sufficient quantity of safe drinking and domestic water''s GAP]]*WWWW[[#This Row],[Total PoP ]]</f>
        <v>0</v>
      </c>
      <c r="CT289" s="801">
        <f>IF(WWWW[[#This Row],[Total required water points]]-WWWW[[#This Row],['#Water points coverage]]&lt;0,0,WWWW[[#This Row],[Total required water points]]-WWWW[[#This Row],['#Water points coverage]])</f>
        <v>0.72399999999999998</v>
      </c>
      <c r="CU289" s="801">
        <f>ROUND(IF(WWWW[[#This Row],[Total PoP ]]&lt;500,1,WWWW[[#This Row],[Total PoP ]]/500),0)</f>
        <v>1</v>
      </c>
      <c r="CV289" s="801">
        <f>(WWWW[[#This Row],['#_Constructed latrines_by_WASHAgencies]]+WWWW[[#This Row],['#_Non Cluster partner latrines]])-WWWW[[#This Row],['#_Non-functional latrines]]</f>
        <v>27</v>
      </c>
      <c r="CW289" s="804">
        <f>WWWW[[#This Row],[HRP2]]/WWWW[[#This Row],[Total PoP ]]</f>
        <v>1</v>
      </c>
      <c r="CX28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138</v>
      </c>
      <c r="CY28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8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89" s="473">
        <f>IF(WWWW[[#This Row],['# of functional latrines in THF supported by WASH partners during the reporting period2]]="",0,WWWW[[#This Row],['# of functional latrines in THF supported by WASH partners during the reporting period2]]*50)</f>
        <v>0</v>
      </c>
      <c r="DB289" s="473">
        <f>WWWW[[#This Row],['# students access to functioning school latrines_HRP5]]+WWWW[[#This Row],['# People access to functioning latrines in THF_HRP5]]</f>
        <v>0</v>
      </c>
      <c r="DC289" s="801">
        <f>ROUND(IF(WWWW[[#This Row],[Location Type 1]]="camp",WWWW[[#This Row],[Total PoP ]]/20,IF(WWWW[[#This Row],[Location Type 1]]="Temporary Location",WWWW[[#This Row],[Total PoP ]]/50,(WWWW[[#This Row],[Total PoP ]]/6))),0)</f>
        <v>7</v>
      </c>
      <c r="DD289" s="801">
        <f>IF(WWWW[[#This Row],[Total required Latrines]]-(WWWW[[#This Row],['#_Constructed latrines_by_WASHAgencies]]+WWWW[[#This Row],['#_Non Cluster partner latrines]])&lt;0,0,WWWW[[#This Row],[Total required Latrines]]-(WWWW[[#This Row],['#_Constructed latrines_by_WASHAgencies]]+WWWW[[#This Row],['#_Non Cluster partner latrines]]))</f>
        <v>0</v>
      </c>
      <c r="DE289" s="803">
        <f>1-WWWW[[#This Row],[% people access to functioning Latrine]]</f>
        <v>0</v>
      </c>
      <c r="DF289" s="802">
        <f>IF(OR(WWWW[[#This Row],['#_Non-functional latrines]]="",WWWW[[#This Row],['#_Non-functional latrines]]=0),0,WWWW[[#This Row],['#_Non-functional latrines]]/(WWWW[[#This Row],['#_Constructed latrines_by_WASHAgencies]]+WWWW[[#This Row],['#_Non Cluster partner latrines]]))</f>
        <v>0</v>
      </c>
      <c r="DG289" s="798">
        <f>IF(500*(WWWW[[#This Row],['#_male hygiene promoters]]+WWWW[[#This Row],['#_female hygiene promoters]])&gt;WWWW[[#This Row],[Total PoP ]],WWWW[[#This Row],[Total PoP ]],500*(WWWW[[#This Row],['#_male hygiene promoters]]+WWWW[[#This Row],['#_female hygiene promoters]]))</f>
        <v>138</v>
      </c>
      <c r="DH28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DI28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89" s="801">
        <f>IF(WWWW[[#This Row],['# People with access to soap]]&gt;WWWW[[#This Row],['# People with access to Sanity Pads]],WWWW[[#This Row],['# People with access to soap]],WWWW[[#This Row],['# People with access to Sanity Pads]])</f>
        <v>135</v>
      </c>
      <c r="DK289" s="801">
        <f>IF(WWWW[[#This Row],['# people reached by regular dedicated hygiene promotion_5]]&gt;WWWW[[#This Row],['# People received regular supply of hygiene items_6]],WWWW[[#This Row],['# people reached by regular dedicated hygiene promotion_5]],WWWW[[#This Row],['# People received regular supply of hygiene items_6]])</f>
        <v>138</v>
      </c>
      <c r="DL289" s="803">
        <f>IF(WWWW[[#This Row],[HRP3]]/WWWW[[#This Row],[Total PoP ]]&gt;1,1,WWWW[[#This Row],[HRP3]]/WWWW[[#This Row],[Total PoP ]])</f>
        <v>1</v>
      </c>
      <c r="DM289" s="802">
        <f>1-WWWW[[#This Row],[Hygiene Coverage%]]</f>
        <v>0</v>
      </c>
      <c r="DN289" s="800">
        <f>WWWW[[#This Row],['# people reached by regular dedicated hygiene promotion_5]]/WWWW[[#This Row],[Total PoP ]]</f>
        <v>1</v>
      </c>
      <c r="DO28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8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89" s="801">
        <f>WWWW[[#This Row],['#_Constructed/Existing hand washing stations]]-WWWW[[#This Row],['#_Non-Functional_hand_washing_stations]]</f>
        <v>4</v>
      </c>
      <c r="DR289" s="798">
        <f>IF(WWWW[[#This Row],['# Functional hand washing stations during reporting period]]*20&gt;WWWW[[#This Row],[Total HH]],WWWW[[#This Row],[Total HH]],WWWW[[#This Row],['# Functional hand washing stations during reporting period]]*20)</f>
        <v>30</v>
      </c>
      <c r="DS289" s="798">
        <f>IF(WWWW[[#This Row],[Is sufficient soap available for TLS? (Yes/No)]]="yes",WWWW[[#This Row],['#_Constructed/Existing hand washing stations at TLS]],0)</f>
        <v>0</v>
      </c>
      <c r="DT289" s="479">
        <f>IF(WWWW[[#This Row],['# Functional hand washing stations during reporting period]]*100&gt;WWWW[[#This Row],[Total PoP ]],WWWW[[#This Row],[Total PoP ]],WWWW[[#This Row],['# Functional hand washing stations during reporting period]]*100)</f>
        <v>138</v>
      </c>
      <c r="DU289" s="479" t="str">
        <f>IF(OR(WWWW[[#This Row],['#_students at TLS_CFS]]="",WWWW[[#This Row],['#_students at TLS_CFS]]=0),"No","Yes")</f>
        <v>No</v>
      </c>
      <c r="DV28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89" s="794" t="str">
        <f>VLOOKUP(WWWW[[#This Row],[Site Name]],SiteDB6[[Site Name]:[CCCM Management]],6,FALSE)</f>
        <v>Yes</v>
      </c>
      <c r="DZ289" s="794" t="str">
        <f>VLOOKUP(WWWW[[#This Row],[Site Name]],SiteDB6[[Site Name]:[CCCM Focal Agency]],7,FALSE)</f>
        <v>KMSS-LSO</v>
      </c>
      <c r="EA289" s="794" t="str">
        <f>VLOOKUP(WWWW[[#This Row],[Site Name]],SiteDB6[[Site Name]:[Location Type 1]],9,FALSE)</f>
        <v>Camp</v>
      </c>
      <c r="EB289" s="794" t="str">
        <f>VLOOKUP(WWWW[[#This Row],[Site Name]],SiteDB6[[Site Name]:[Type of Accommodation]],10,FALSE)</f>
        <v>Camp</v>
      </c>
      <c r="EC289" s="794" t="str">
        <f>VLOOKUP(WWWW[[#This Row],[Site Name]],SiteDB6[[Site Name]:[Ethnic or GCA/NGCA]],11,FALSE)</f>
        <v>GCA</v>
      </c>
      <c r="ED289" s="794">
        <f>VLOOKUP(WWWW[[#This Row],[Site Name]],SiteDB6[[Site Name]:[Lat]],12,FALSE)</f>
        <v>23.460349999999998</v>
      </c>
      <c r="EE289" s="794">
        <f>VLOOKUP(WWWW[[#This Row],[Site Name]],SiteDB6[[Site Name]:[Long]],13,FALSE)</f>
        <v>97.947360000000003</v>
      </c>
      <c r="EF289" s="794" t="str">
        <f>VLOOKUP(WWWW[[#This Row],[Site Name]],SiteDB6[[Site Name]:[Pcode]],3,FALSE)</f>
        <v>MMR015CMP017</v>
      </c>
      <c r="EG289" s="799" t="str">
        <f t="shared" si="6"/>
        <v>Covered</v>
      </c>
      <c r="EH289" s="799" t="str">
        <f>VLOOKUP(WWWW[[#This Row],[Site Name]],Site_DB!$C$389:$D$1120,2,FALSE)</f>
        <v>cccm_2019OCT</v>
      </c>
    </row>
    <row r="290" spans="1:138" hidden="1">
      <c r="A290" s="792" t="s">
        <v>3262</v>
      </c>
      <c r="B290" s="792" t="s">
        <v>195</v>
      </c>
      <c r="C290" s="793" t="s">
        <v>195</v>
      </c>
      <c r="D290" s="793" t="s">
        <v>3364</v>
      </c>
      <c r="E290" s="793" t="s">
        <v>711</v>
      </c>
      <c r="F290" s="793" t="s">
        <v>732</v>
      </c>
      <c r="G290" s="721" t="str">
        <f>VLOOKUP(WWWW[[#This Row],[Site Name]],SiteDB6[[Site Name]:[Location Type]],8,FALSE)</f>
        <v>Camp</v>
      </c>
      <c r="H290" s="793" t="s">
        <v>739</v>
      </c>
      <c r="I290" s="795">
        <v>38</v>
      </c>
      <c r="J290" s="795">
        <v>267</v>
      </c>
      <c r="K290" s="407" t="s">
        <v>3607</v>
      </c>
      <c r="L290" s="56" t="s">
        <v>3608</v>
      </c>
      <c r="M290" s="795"/>
      <c r="N290" s="795"/>
      <c r="O290" s="720">
        <v>1</v>
      </c>
      <c r="P290" s="720"/>
      <c r="Q290" s="807" t="s">
        <v>43</v>
      </c>
      <c r="R290" s="720">
        <v>4</v>
      </c>
      <c r="S290" s="720">
        <v>3</v>
      </c>
      <c r="T290" s="720">
        <v>1</v>
      </c>
      <c r="U290" s="720"/>
      <c r="V290" s="720"/>
      <c r="W290" s="720">
        <v>1</v>
      </c>
      <c r="X290" s="720"/>
      <c r="Y290" s="795"/>
      <c r="Z290" s="795"/>
      <c r="AA290" s="795">
        <v>32</v>
      </c>
      <c r="AB290" s="795"/>
      <c r="AC290" s="795"/>
      <c r="AD290" s="795"/>
      <c r="AE290" s="795"/>
      <c r="AF290" s="795"/>
      <c r="AG290" s="795">
        <v>3</v>
      </c>
      <c r="AH290" s="795"/>
      <c r="AI290" s="795"/>
      <c r="AJ290" s="795"/>
      <c r="AK290" s="795"/>
      <c r="AL290" s="795"/>
      <c r="AM290" s="795">
        <v>2</v>
      </c>
      <c r="AN290" s="795"/>
      <c r="AO290" s="799"/>
      <c r="AP290" s="795">
        <v>16</v>
      </c>
      <c r="AQ290" s="795"/>
      <c r="AR290" s="800"/>
      <c r="AS290" s="795"/>
      <c r="AT290" s="795"/>
      <c r="AU290" s="795"/>
      <c r="AV290" s="795"/>
      <c r="AW290" s="795"/>
      <c r="AX290" s="794" t="s">
        <v>43</v>
      </c>
      <c r="AY290" s="799" t="s">
        <v>140</v>
      </c>
      <c r="AZ290" s="795"/>
      <c r="BA290" s="795"/>
      <c r="BB290" s="795"/>
      <c r="BC290" s="523"/>
      <c r="BD290" s="523"/>
      <c r="BE290" s="794"/>
      <c r="BF290" s="795">
        <v>11</v>
      </c>
      <c r="BG290" s="795"/>
      <c r="BH290" s="795"/>
      <c r="BI290" s="795">
        <v>2</v>
      </c>
      <c r="BJ290" s="795"/>
      <c r="BK290" s="795"/>
      <c r="BL290" s="795">
        <v>1</v>
      </c>
      <c r="BM290" s="720">
        <v>60</v>
      </c>
      <c r="BN290" s="795"/>
      <c r="BO290" s="806"/>
      <c r="BP290" s="801"/>
      <c r="BQ290" s="800"/>
      <c r="BR290" s="794"/>
      <c r="BS290" s="472"/>
      <c r="BT290" s="472"/>
      <c r="BU290" s="523"/>
      <c r="BV290" s="472"/>
      <c r="BW290" s="523"/>
      <c r="BX290" s="523"/>
      <c r="BY290" s="523"/>
      <c r="BZ290" s="802" t="str">
        <f>IFERROR(WWWW[[#This Row],['#_Water sources passed]]/WWWW[[#This Row],['#_Water sources tested for fecal coliform ]],"no test")</f>
        <v>no test</v>
      </c>
      <c r="CA290" s="800" t="str">
        <f>IFERROR(WWWW[[#This Row],['#_Household passed]]/WWWW[[#This Row],['#_Household water samples tested for fecal coliform]],"no test")</f>
        <v>no test</v>
      </c>
      <c r="CB290" s="801" t="str">
        <f>IF(AND(WWWW[[#This Row],[% of water sources passed]]="no test",WWWW[[#This Row],[% Household passed]]="no test"),"No Test","Tested")</f>
        <v>No Test</v>
      </c>
      <c r="CC290" s="801">
        <f>WWWW[[#This Row],['#_Constructed/existing protected hand dug well]]-WWWW[[#This Row],['#_Non-functional protected hand dug well]]</f>
        <v>1</v>
      </c>
      <c r="CD290" s="801">
        <f>(WWWW[[#This Row],['#_Constructed/Existing tube wells/boreholes/handpumps_WASH_agency]]+WWWW[[#This Row],['#_Non-Cluster partner water tube-wells/boreholes/handpumps]])-WWWW[[#This Row],['#_Non-functional tube wells/boreholes/handpumps]]</f>
        <v>1</v>
      </c>
      <c r="CE290" s="801">
        <f>WWWW[[#This Row],['#_Constructed/Existingwater storage tank with gravity fed reticulation system]]-WWWW[[#This Row],['#_Non-functional storage tank gravity fed reticulation system]]</f>
        <v>32</v>
      </c>
      <c r="CF290" s="801">
        <f>(WWWW[[#This Row],['#_Water_Liters_supplied_by_Water boating or water trucking]]/90)/15</f>
        <v>0</v>
      </c>
      <c r="CG290" s="801">
        <f>WWWW[[#This Row],['#_Water_Liters_from_Constructed/Existing water distribution system from river or natural spring]]/90/15</f>
        <v>0</v>
      </c>
      <c r="CH290" s="473">
        <f>WWWW[[#This Row],['#_of water points in TLS/CFS /THF]]*500</f>
        <v>0</v>
      </c>
      <c r="CI29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0" s="800">
        <f>IF(WWWW[[#This Row],[Location Type 1]]="Village",WWWW[[#This Row],[Access to safe drinking water for Village]],WWWW[[#This Row],[Access to safe drinking water for Camp]])</f>
        <v>1</v>
      </c>
      <c r="CL290" s="798">
        <f>WWWW[[#This Row],[%Equitable and continuous access to sufficient quantity of safe drinking water]]*WWWW[[#This Row],[Total PoP ]]</f>
        <v>267</v>
      </c>
      <c r="CM290" s="800">
        <f>IF((WWWW[[#This Row],['#_Constructed/Existing protected/fenced ponds]]*250)/WWWW[[#This Row],[Total PoP ]]&gt;1,1,(WWWW[[#This Row],['#_Constructed/Existing protected/fenced ponds]]*250)/WWWW[[#This Row],[Total PoP ]])</f>
        <v>0</v>
      </c>
      <c r="CN290" s="798">
        <f>WWWW[[#This Row],[% Access to unimproved water points]]*WWWW[[#This Row],[Total PoP ]]</f>
        <v>0</v>
      </c>
      <c r="CO29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Q290" s="798">
        <f>WWWW[[#This Row],[HRP1]]/500</f>
        <v>0.53400000000000003</v>
      </c>
      <c r="CR290" s="803">
        <f>1-WWWW[[#This Row],[% Equitable and continuous access to sufficient quantity of domestic water]]</f>
        <v>0</v>
      </c>
      <c r="CS290" s="798">
        <f>WWWW[[#This Row],[%equitable and continuous access to sufficient quantity of safe drinking and domestic water''s GAP]]*WWWW[[#This Row],[Total PoP ]]</f>
        <v>0</v>
      </c>
      <c r="CT290" s="801">
        <f>IF(WWWW[[#This Row],[Total required water points]]-WWWW[[#This Row],['#Water points coverage]]&lt;0,0,WWWW[[#This Row],[Total required water points]]-WWWW[[#This Row],['#Water points coverage]])</f>
        <v>0.46599999999999997</v>
      </c>
      <c r="CU290" s="801">
        <f>ROUND(IF(WWWW[[#This Row],[Total PoP ]]&lt;500,1,WWWW[[#This Row],[Total PoP ]]/500),0)</f>
        <v>1</v>
      </c>
      <c r="CV290" s="801">
        <f>(WWWW[[#This Row],['#_Constructed latrines_by_WASHAgencies]]+WWWW[[#This Row],['#_Non Cluster partner latrines]])-WWWW[[#This Row],['#_Non-functional latrines]]</f>
        <v>16</v>
      </c>
      <c r="CW290" s="804">
        <f>WWWW[[#This Row],[HRP2]]/WWWW[[#This Row],[Total PoP ]]</f>
        <v>1</v>
      </c>
      <c r="CX29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CY29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0" s="473">
        <f>IF(WWWW[[#This Row],['# of functional latrines in THF supported by WASH partners during the reporting period2]]="",0,WWWW[[#This Row],['# of functional latrines in THF supported by WASH partners during the reporting period2]]*50)</f>
        <v>0</v>
      </c>
      <c r="DB290" s="473">
        <f>WWWW[[#This Row],['# students access to functioning school latrines_HRP5]]+WWWW[[#This Row],['# People access to functioning latrines in THF_HRP5]]</f>
        <v>0</v>
      </c>
      <c r="DC290" s="801">
        <f>ROUND(IF(WWWW[[#This Row],[Location Type 1]]="camp",WWWW[[#This Row],[Total PoP ]]/20,IF(WWWW[[#This Row],[Location Type 1]]="Temporary Location",WWWW[[#This Row],[Total PoP ]]/50,(WWWW[[#This Row],[Total PoP ]]/6))),0)</f>
        <v>13</v>
      </c>
      <c r="DD290" s="801">
        <f>IF(WWWW[[#This Row],[Total required Latrines]]-(WWWW[[#This Row],['#_Constructed latrines_by_WASHAgencies]]+WWWW[[#This Row],['#_Non Cluster partner latrines]])&lt;0,0,WWWW[[#This Row],[Total required Latrines]]-(WWWW[[#This Row],['#_Constructed latrines_by_WASHAgencies]]+WWWW[[#This Row],['#_Non Cluster partner latrines]]))</f>
        <v>0</v>
      </c>
      <c r="DE290" s="803">
        <f>1-WWWW[[#This Row],[% people access to functioning Latrine]]</f>
        <v>0</v>
      </c>
      <c r="DF290" s="802">
        <f>IF(OR(WWWW[[#This Row],['#_Non-functional latrines]]="",WWWW[[#This Row],['#_Non-functional latrines]]=0),0,WWWW[[#This Row],['#_Non-functional latrines]]/(WWWW[[#This Row],['#_Constructed latrines_by_WASHAgencies]]+WWWW[[#This Row],['#_Non Cluster partner latrines]]))</f>
        <v>0</v>
      </c>
      <c r="DG290" s="798">
        <f>IF(500*(WWWW[[#This Row],['#_male hygiene promoters]]+WWWW[[#This Row],['#_female hygiene promoters]])&gt;WWWW[[#This Row],[Total PoP ]],WWWW[[#This Row],[Total PoP ]],500*(WWWW[[#This Row],['#_male hygiene promoters]]+WWWW[[#This Row],['#_female hygiene promoters]]))</f>
        <v>267</v>
      </c>
      <c r="DH29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DI29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0" s="801">
        <f>IF(WWWW[[#This Row],['# People with access to soap]]&gt;WWWW[[#This Row],['# People with access to Sanity Pads]],WWWW[[#This Row],['# People with access to soap]],WWWW[[#This Row],['# People with access to Sanity Pads]])</f>
        <v>267</v>
      </c>
      <c r="DK290" s="801">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L290" s="803">
        <f>IF(WWWW[[#This Row],[HRP3]]/WWWW[[#This Row],[Total PoP ]]&gt;1,1,WWWW[[#This Row],[HRP3]]/WWWW[[#This Row],[Total PoP ]])</f>
        <v>1</v>
      </c>
      <c r="DM290" s="802">
        <f>1-WWWW[[#This Row],[Hygiene Coverage%]]</f>
        <v>0</v>
      </c>
      <c r="DN290" s="800">
        <f>WWWW[[#This Row],['# people reached by regular dedicated hygiene promotion_5]]/WWWW[[#This Row],[Total PoP ]]</f>
        <v>1</v>
      </c>
      <c r="DO29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0" s="801">
        <f>WWWW[[#This Row],['#_Constructed/Existing hand washing stations]]-WWWW[[#This Row],['#_Non-Functional_hand_washing_stations]]</f>
        <v>11</v>
      </c>
      <c r="DR290" s="798">
        <f>IF(WWWW[[#This Row],['# Functional hand washing stations during reporting period]]*20&gt;WWWW[[#This Row],[Total HH]],WWWW[[#This Row],[Total HH]],WWWW[[#This Row],['# Functional hand washing stations during reporting period]]*20)</f>
        <v>38</v>
      </c>
      <c r="DS290" s="798">
        <f>IF(WWWW[[#This Row],[Is sufficient soap available for TLS? (Yes/No)]]="yes",WWWW[[#This Row],['#_Constructed/Existing hand washing stations at TLS]],0)</f>
        <v>0</v>
      </c>
      <c r="DT290" s="479">
        <f>IF(WWWW[[#This Row],['# Functional hand washing stations during reporting period]]*100&gt;WWWW[[#This Row],[Total PoP ]],WWWW[[#This Row],[Total PoP ]],WWWW[[#This Row],['# Functional hand washing stations during reporting period]]*100)</f>
        <v>267</v>
      </c>
      <c r="DU290" s="479" t="str">
        <f>IF(OR(WWWW[[#This Row],['#_students at TLS_CFS]]="",WWWW[[#This Row],['#_students at TLS_CFS]]=0),"No","Yes")</f>
        <v>No</v>
      </c>
      <c r="DV29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0" s="794" t="str">
        <f>VLOOKUP(WWWW[[#This Row],[Site Name]],SiteDB6[[Site Name]:[CCCM Management]],6,FALSE)</f>
        <v>Yes</v>
      </c>
      <c r="DZ290" s="794" t="str">
        <f>VLOOKUP(WWWW[[#This Row],[Site Name]],SiteDB6[[Site Name]:[CCCM Focal Agency]],7,FALSE)</f>
        <v>KMSS-LSO</v>
      </c>
      <c r="EA290" s="794" t="str">
        <f>VLOOKUP(WWWW[[#This Row],[Site Name]],SiteDB6[[Site Name]:[Location Type 1]],9,FALSE)</f>
        <v>Camp</v>
      </c>
      <c r="EB290" s="794" t="str">
        <f>VLOOKUP(WWWW[[#This Row],[Site Name]],SiteDB6[[Site Name]:[Type of Accommodation]],10,FALSE)</f>
        <v>Camp</v>
      </c>
      <c r="EC290" s="794" t="str">
        <f>VLOOKUP(WWWW[[#This Row],[Site Name]],SiteDB6[[Site Name]:[Ethnic or GCA/NGCA]],11,FALSE)</f>
        <v>GCA</v>
      </c>
      <c r="ED290" s="794">
        <f>VLOOKUP(WWWW[[#This Row],[Site Name]],SiteDB6[[Site Name]:[Lat]],12,FALSE)</f>
        <v>23.099304</v>
      </c>
      <c r="EE290" s="794">
        <f>VLOOKUP(WWWW[[#This Row],[Site Name]],SiteDB6[[Site Name]:[Long]],13,FALSE)</f>
        <v>97.400671000000003</v>
      </c>
      <c r="EF290" s="794" t="str">
        <f>VLOOKUP(WWWW[[#This Row],[Site Name]],SiteDB6[[Site Name]:[Pcode]],3,FALSE)</f>
        <v>MMR015CMP248</v>
      </c>
      <c r="EG290" s="799" t="str">
        <f t="shared" si="6"/>
        <v>Covered</v>
      </c>
      <c r="EH290" s="799" t="e">
        <f>VLOOKUP(WWWW[[#This Row],[Site Name]],Site_DB!$C$389:$D$1120,2,FALSE)</f>
        <v>#N/A</v>
      </c>
    </row>
    <row r="291" spans="1:138" ht="52" hidden="1">
      <c r="A291" s="792" t="s">
        <v>3262</v>
      </c>
      <c r="B291" s="792" t="s">
        <v>144</v>
      </c>
      <c r="C291" s="793" t="s">
        <v>144</v>
      </c>
      <c r="D291" s="793" t="s">
        <v>3277</v>
      </c>
      <c r="E291" s="793" t="s">
        <v>39</v>
      </c>
      <c r="F291" s="793" t="s">
        <v>198</v>
      </c>
      <c r="G291" s="721" t="str">
        <f>VLOOKUP(WWWW[[#This Row],[Site Name]],SiteDB6[[Site Name]:[Location Type]],8,FALSE)</f>
        <v>Camp_not registered</v>
      </c>
      <c r="H291" s="793" t="s">
        <v>3128</v>
      </c>
      <c r="I291" s="795">
        <v>42</v>
      </c>
      <c r="J291" s="795">
        <v>197</v>
      </c>
      <c r="K291" s="796" t="s">
        <v>3278</v>
      </c>
      <c r="L291" s="797" t="s">
        <v>3279</v>
      </c>
      <c r="M291" s="795"/>
      <c r="N291" s="795">
        <v>4</v>
      </c>
      <c r="O291" s="795"/>
      <c r="P291" s="795"/>
      <c r="Q291" s="798" t="s">
        <v>43</v>
      </c>
      <c r="R291" s="795">
        <v>2</v>
      </c>
      <c r="S291" s="795">
        <v>2</v>
      </c>
      <c r="T291" s="523"/>
      <c r="U291" s="795"/>
      <c r="V291" s="795"/>
      <c r="W291" s="795">
        <v>2</v>
      </c>
      <c r="X291" s="795"/>
      <c r="Y291" s="795"/>
      <c r="Z291" s="795"/>
      <c r="AA291" s="795"/>
      <c r="AB291" s="795"/>
      <c r="AC291" s="795"/>
      <c r="AD291" s="795"/>
      <c r="AE291" s="795"/>
      <c r="AF291" s="795"/>
      <c r="AG291" s="795"/>
      <c r="AH291" s="795">
        <v>2</v>
      </c>
      <c r="AI291" s="720">
        <v>3</v>
      </c>
      <c r="AJ291" s="720">
        <v>2</v>
      </c>
      <c r="AK291" s="720">
        <v>5</v>
      </c>
      <c r="AL291" s="720">
        <v>5</v>
      </c>
      <c r="AM291" s="795">
        <v>1</v>
      </c>
      <c r="AN291" s="795"/>
      <c r="AO291" s="835" t="s">
        <v>3380</v>
      </c>
      <c r="AP291" s="795">
        <v>7</v>
      </c>
      <c r="AQ291" s="795"/>
      <c r="AR291" s="800"/>
      <c r="AS291" s="795"/>
      <c r="AT291" s="795">
        <v>7</v>
      </c>
      <c r="AU291" s="795"/>
      <c r="AV291" s="795"/>
      <c r="AW291" s="795">
        <v>6</v>
      </c>
      <c r="AX291" s="794" t="s">
        <v>43</v>
      </c>
      <c r="AY291" s="799" t="s">
        <v>140</v>
      </c>
      <c r="AZ291" s="795"/>
      <c r="BA291" s="795"/>
      <c r="BB291" s="795"/>
      <c r="BC291" s="523"/>
      <c r="BD291" s="523">
        <v>4</v>
      </c>
      <c r="BE291" s="806" t="s">
        <v>3381</v>
      </c>
      <c r="BF291" s="795">
        <v>3</v>
      </c>
      <c r="BG291" s="795"/>
      <c r="BH291" s="795"/>
      <c r="BI291" s="795">
        <v>2</v>
      </c>
      <c r="BJ291" s="795"/>
      <c r="BK291" s="795"/>
      <c r="BL291" s="795">
        <v>2</v>
      </c>
      <c r="BM291" s="795">
        <v>42</v>
      </c>
      <c r="BN291" s="795">
        <v>74</v>
      </c>
      <c r="BO291" s="794" t="s">
        <v>139</v>
      </c>
      <c r="BP291" s="801"/>
      <c r="BQ291" s="800"/>
      <c r="BR291" s="836" t="s">
        <v>3382</v>
      </c>
      <c r="BS291" s="808">
        <v>1</v>
      </c>
      <c r="BT291" s="808">
        <v>1</v>
      </c>
      <c r="BU291" s="523">
        <v>197</v>
      </c>
      <c r="BV291" s="808">
        <v>1</v>
      </c>
      <c r="BW291" s="523"/>
      <c r="BX291" s="523"/>
      <c r="BY291" s="523"/>
      <c r="BZ291" s="802">
        <f>IFERROR(WWWW[[#This Row],['#_Water sources passed]]/WWWW[[#This Row],['#_Water sources tested for fecal coliform ]],"no test")</f>
        <v>0.66666666666666663</v>
      </c>
      <c r="CA291" s="800">
        <f>IFERROR(WWWW[[#This Row],['#_Household passed]]/WWWW[[#This Row],['#_Household water samples tested for fecal coliform]],"no test")</f>
        <v>1</v>
      </c>
      <c r="CB291" s="801" t="str">
        <f>IF(AND(WWWW[[#This Row],[% of water sources passed]]="no test",WWWW[[#This Row],[% Household passed]]="no test"),"No Test","Tested")</f>
        <v>Tested</v>
      </c>
      <c r="CC291" s="801">
        <f>WWWW[[#This Row],['#_Constructed/existing protected hand dug well]]-WWWW[[#This Row],['#_Non-functional protected hand dug well]]</f>
        <v>0</v>
      </c>
      <c r="CD291" s="801">
        <f>(WWWW[[#This Row],['#_Constructed/Existing tube wells/boreholes/handpumps_WASH_agency]]+WWWW[[#This Row],['#_Non-Cluster partner water tube-wells/boreholes/handpumps]])-WWWW[[#This Row],['#_Non-functional tube wells/boreholes/handpumps]]</f>
        <v>2</v>
      </c>
      <c r="CE291" s="801">
        <f>WWWW[[#This Row],['#_Constructed/Existingwater storage tank with gravity fed reticulation system]]-WWWW[[#This Row],['#_Non-functional storage tank gravity fed reticulation system]]</f>
        <v>0</v>
      </c>
      <c r="CF291" s="801">
        <f>(WWWW[[#This Row],['#_Water_Liters_supplied_by_Water boating or water trucking]]/90)/15</f>
        <v>0</v>
      </c>
      <c r="CG291" s="801">
        <f>WWWW[[#This Row],['#_Water_Liters_from_Constructed/Existing water distribution system from river or natural spring]]/90/15</f>
        <v>0</v>
      </c>
      <c r="CH291" s="473">
        <f>WWWW[[#This Row],['#_of water points in TLS/CFS /THF]]*500</f>
        <v>0</v>
      </c>
      <c r="CI29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1" s="800">
        <f>IF(WWWW[[#This Row],[Location Type 1]]="Village",WWWW[[#This Row],[Access to safe drinking water for Village]],WWWW[[#This Row],[Access to safe drinking water for Camp]])</f>
        <v>1</v>
      </c>
      <c r="CL291" s="798">
        <f>WWWW[[#This Row],[%Equitable and continuous access to sufficient quantity of safe drinking water]]*WWWW[[#This Row],[Total PoP ]]</f>
        <v>197</v>
      </c>
      <c r="CM291" s="800">
        <f>IF((WWWW[[#This Row],['#_Constructed/Existing protected/fenced ponds]]*250)/WWWW[[#This Row],[Total PoP ]]&gt;1,1,(WWWW[[#This Row],['#_Constructed/Existing protected/fenced ponds]]*250)/WWWW[[#This Row],[Total PoP ]])</f>
        <v>0</v>
      </c>
      <c r="CN291" s="798">
        <f>WWWW[[#This Row],[% Access to unimproved water points]]*WWWW[[#This Row],[Total PoP ]]</f>
        <v>0</v>
      </c>
      <c r="CO29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291" s="798">
        <f>WWWW[[#This Row],[HRP1]]/500</f>
        <v>0.39400000000000002</v>
      </c>
      <c r="CR291" s="803">
        <f>1-WWWW[[#This Row],[% Equitable and continuous access to sufficient quantity of domestic water]]</f>
        <v>0</v>
      </c>
      <c r="CS291" s="798">
        <f>WWWW[[#This Row],[%equitable and continuous access to sufficient quantity of safe drinking and domestic water''s GAP]]*WWWW[[#This Row],[Total PoP ]]</f>
        <v>0</v>
      </c>
      <c r="CT291" s="801">
        <f>IF(WWWW[[#This Row],[Total required water points]]-WWWW[[#This Row],['#Water points coverage]]&lt;0,0,WWWW[[#This Row],[Total required water points]]-WWWW[[#This Row],['#Water points coverage]])</f>
        <v>0.60599999999999998</v>
      </c>
      <c r="CU291" s="801">
        <f>ROUND(IF(WWWW[[#This Row],[Total PoP ]]&lt;500,1,WWWW[[#This Row],[Total PoP ]]/500),0)</f>
        <v>1</v>
      </c>
      <c r="CV291" s="801">
        <f>(WWWW[[#This Row],['#_Constructed latrines_by_WASHAgencies]]+WWWW[[#This Row],['#_Non Cluster partner latrines]])-WWWW[[#This Row],['#_Non-functional latrines]]</f>
        <v>7</v>
      </c>
      <c r="CW291" s="804">
        <f>WWWW[[#This Row],[HRP2]]/WWWW[[#This Row],[Total PoP ]]</f>
        <v>0.73096446700507611</v>
      </c>
      <c r="CX29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CY29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1" s="473">
        <f>IF(WWWW[[#This Row],['# of functional latrines in THF supported by WASH partners during the reporting period2]]="",0,WWWW[[#This Row],['# of functional latrines in THF supported by WASH partners during the reporting period2]]*50)</f>
        <v>0</v>
      </c>
      <c r="DB291" s="473">
        <f>WWWW[[#This Row],['# students access to functioning school latrines_HRP5]]+WWWW[[#This Row],['# People access to functioning latrines in THF_HRP5]]</f>
        <v>0</v>
      </c>
      <c r="DC291" s="801">
        <f>ROUND(IF(WWWW[[#This Row],[Location Type 1]]="camp",WWWW[[#This Row],[Total PoP ]]/20,IF(WWWW[[#This Row],[Location Type 1]]="Temporary Location",WWWW[[#This Row],[Total PoP ]]/50,(WWWW[[#This Row],[Total PoP ]]/6))),0)</f>
        <v>10</v>
      </c>
      <c r="DD291" s="801">
        <f>IF(WWWW[[#This Row],[Total required Latrines]]-(WWWW[[#This Row],['#_Constructed latrines_by_WASHAgencies]]+WWWW[[#This Row],['#_Non Cluster partner latrines]])&lt;0,0,WWWW[[#This Row],[Total required Latrines]]-(WWWW[[#This Row],['#_Constructed latrines_by_WASHAgencies]]+WWWW[[#This Row],['#_Non Cluster partner latrines]]))</f>
        <v>3</v>
      </c>
      <c r="DE291" s="803">
        <f>1-WWWW[[#This Row],[% people access to functioning Latrine]]</f>
        <v>0.26903553299492389</v>
      </c>
      <c r="DF291" s="802">
        <f>IF(OR(WWWW[[#This Row],['#_Non-functional latrines]]="",WWWW[[#This Row],['#_Non-functional latrines]]=0),0,WWWW[[#This Row],['#_Non-functional latrines]]/(WWWW[[#This Row],['#_Constructed latrines_by_WASHAgencies]]+WWWW[[#This Row],['#_Non Cluster partner latrines]]))</f>
        <v>0</v>
      </c>
      <c r="DG291" s="798">
        <f>IF(500*(WWWW[[#This Row],['#_male hygiene promoters]]+WWWW[[#This Row],['#_female hygiene promoters]])&gt;WWWW[[#This Row],[Total PoP ]],WWWW[[#This Row],[Total PoP ]],500*(WWWW[[#This Row],['#_male hygiene promoters]]+WWWW[[#This Row],['#_female hygiene promoters]]))</f>
        <v>197</v>
      </c>
      <c r="DH29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v>
      </c>
      <c r="DI29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74</v>
      </c>
      <c r="DJ291" s="801">
        <f>IF(WWWW[[#This Row],['# People with access to soap]]&gt;WWWW[[#This Row],['# People with access to Sanity Pads]],WWWW[[#This Row],['# People with access to soap]],WWWW[[#This Row],['# People with access to Sanity Pads]])</f>
        <v>197</v>
      </c>
      <c r="DK291" s="80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291" s="803">
        <f>IF(WWWW[[#This Row],[HRP3]]/WWWW[[#This Row],[Total PoP ]]&gt;1,1,WWWW[[#This Row],[HRP3]]/WWWW[[#This Row],[Total PoP ]])</f>
        <v>1</v>
      </c>
      <c r="DM291" s="802">
        <f>1-WWWW[[#This Row],[Hygiene Coverage%]]</f>
        <v>0</v>
      </c>
      <c r="DN291" s="800">
        <f>WWWW[[#This Row],['# people reached by regular dedicated hygiene promotion_5]]/WWWW[[#This Row],[Total PoP ]]</f>
        <v>1</v>
      </c>
      <c r="DO29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291" s="801">
        <f>WWWW[[#This Row],['#_Constructed/Existing hand washing stations]]-WWWW[[#This Row],['#_Non-Functional_hand_washing_stations]]</f>
        <v>3</v>
      </c>
      <c r="DR291" s="798">
        <f>IF(WWWW[[#This Row],['# Functional hand washing stations during reporting period]]*20&gt;WWWW[[#This Row],[Total HH]],WWWW[[#This Row],[Total HH]],WWWW[[#This Row],['# Functional hand washing stations during reporting period]]*20)</f>
        <v>42</v>
      </c>
      <c r="DS291" s="798">
        <f>IF(WWWW[[#This Row],[Is sufficient soap available for TLS? (Yes/No)]]="yes",WWWW[[#This Row],['#_Constructed/Existing hand washing stations at TLS]],0)</f>
        <v>0</v>
      </c>
      <c r="DT291" s="479">
        <f>IF(WWWW[[#This Row],['# Functional hand washing stations during reporting period]]*100&gt;WWWW[[#This Row],[Total PoP ]],WWWW[[#This Row],[Total PoP ]],WWWW[[#This Row],['# Functional hand washing stations during reporting period]]*100)</f>
        <v>197</v>
      </c>
      <c r="DU291" s="479" t="str">
        <f>IF(OR(WWWW[[#This Row],['#_students at TLS_CFS]]="",WWWW[[#This Row],['#_students at TLS_CFS]]=0),"No","Yes")</f>
        <v>No</v>
      </c>
      <c r="DV291"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2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1" s="794">
        <f>VLOOKUP(WWWW[[#This Row],[Site Name]],SiteDB6[[Site Name]:[CCCM Management]],6,FALSE)</f>
        <v>0</v>
      </c>
      <c r="DZ291" s="794">
        <f>VLOOKUP(WWWW[[#This Row],[Site Name]],SiteDB6[[Site Name]:[CCCM Focal Agency]],7,FALSE)</f>
        <v>0</v>
      </c>
      <c r="EA291" s="794" t="str">
        <f>VLOOKUP(WWWW[[#This Row],[Site Name]],SiteDB6[[Site Name]:[Location Type 1]],9,FALSE)</f>
        <v>Camp</v>
      </c>
      <c r="EB291" s="794" t="str">
        <f>VLOOKUP(WWWW[[#This Row],[Site Name]],SiteDB6[[Site Name]:[Type of Accommodation]],10,FALSE)</f>
        <v>Camp like setting</v>
      </c>
      <c r="EC291" s="794" t="str">
        <f>VLOOKUP(WWWW[[#This Row],[Site Name]],SiteDB6[[Site Name]:[Ethnic or GCA/NGCA]],11,FALSE)</f>
        <v>GCA</v>
      </c>
      <c r="ED291" s="794">
        <f>VLOOKUP(WWWW[[#This Row],[Site Name]],SiteDB6[[Site Name]:[Lat]],12,FALSE)</f>
        <v>0</v>
      </c>
      <c r="EE291" s="794">
        <f>VLOOKUP(WWWW[[#This Row],[Site Name]],SiteDB6[[Site Name]:[Long]],13,FALSE)</f>
        <v>0</v>
      </c>
      <c r="EF291" s="794">
        <f>VLOOKUP(WWWW[[#This Row],[Site Name]],SiteDB6[[Site Name]:[Pcode]],3,FALSE)</f>
        <v>0</v>
      </c>
      <c r="EG291" s="799" t="str">
        <f t="shared" si="6"/>
        <v>Covered</v>
      </c>
      <c r="EH291" s="799">
        <f>VLOOKUP(WWWW[[#This Row],[Site Name]],Site_DB!$C$389:$D$1120,2,FALSE)</f>
        <v>0</v>
      </c>
    </row>
    <row r="292" spans="1:138" hidden="1">
      <c r="A292" s="792" t="s">
        <v>3262</v>
      </c>
      <c r="B292" s="792" t="s">
        <v>195</v>
      </c>
      <c r="C292" s="793" t="s">
        <v>195</v>
      </c>
      <c r="D292" s="793" t="s">
        <v>3364</v>
      </c>
      <c r="E292" s="793" t="s">
        <v>711</v>
      </c>
      <c r="F292" s="793" t="s">
        <v>732</v>
      </c>
      <c r="G292" s="721" t="str">
        <f>VLOOKUP(WWWW[[#This Row],[Site Name]],SiteDB6[[Site Name]:[Location Type]],8,FALSE)</f>
        <v>Camp</v>
      </c>
      <c r="H292" s="793" t="s">
        <v>740</v>
      </c>
      <c r="I292" s="795">
        <v>28</v>
      </c>
      <c r="J292" s="795">
        <v>146</v>
      </c>
      <c r="K292" s="407" t="s">
        <v>3607</v>
      </c>
      <c r="L292" s="56" t="s">
        <v>3608</v>
      </c>
      <c r="M292" s="795"/>
      <c r="N292" s="795"/>
      <c r="O292" s="720">
        <v>1</v>
      </c>
      <c r="P292" s="720"/>
      <c r="Q292" s="807" t="s">
        <v>43</v>
      </c>
      <c r="R292" s="720">
        <v>3</v>
      </c>
      <c r="S292" s="720">
        <v>3</v>
      </c>
      <c r="T292" s="720"/>
      <c r="U292" s="720"/>
      <c r="V292" s="720"/>
      <c r="W292" s="720">
        <v>2</v>
      </c>
      <c r="X292" s="720"/>
      <c r="Y292" s="795"/>
      <c r="Z292" s="795"/>
      <c r="AA292" s="795">
        <v>60</v>
      </c>
      <c r="AB292" s="795"/>
      <c r="AC292" s="795"/>
      <c r="AD292" s="795"/>
      <c r="AE292" s="795"/>
      <c r="AF292" s="795"/>
      <c r="AG292" s="795">
        <v>3</v>
      </c>
      <c r="AH292" s="795"/>
      <c r="AI292" s="795"/>
      <c r="AJ292" s="795"/>
      <c r="AK292" s="795"/>
      <c r="AL292" s="795"/>
      <c r="AM292" s="795"/>
      <c r="AN292" s="795"/>
      <c r="AO292" s="799"/>
      <c r="AP292" s="795">
        <v>10</v>
      </c>
      <c r="AQ292" s="795">
        <v>2</v>
      </c>
      <c r="AR292" s="800"/>
      <c r="AS292" s="795"/>
      <c r="AT292" s="795"/>
      <c r="AU292" s="795"/>
      <c r="AV292" s="795"/>
      <c r="AW292" s="795">
        <v>2</v>
      </c>
      <c r="AX292" s="794" t="s">
        <v>43</v>
      </c>
      <c r="AY292" s="799" t="s">
        <v>140</v>
      </c>
      <c r="AZ292" s="795"/>
      <c r="BA292" s="795"/>
      <c r="BB292" s="795"/>
      <c r="BC292" s="523"/>
      <c r="BD292" s="523"/>
      <c r="BE292" s="794"/>
      <c r="BF292" s="795">
        <v>11</v>
      </c>
      <c r="BG292" s="795"/>
      <c r="BH292" s="795"/>
      <c r="BI292" s="795">
        <v>3</v>
      </c>
      <c r="BJ292" s="795"/>
      <c r="BK292" s="795"/>
      <c r="BL292" s="795">
        <v>1</v>
      </c>
      <c r="BM292" s="720">
        <v>30</v>
      </c>
      <c r="BN292" s="795"/>
      <c r="BO292" s="806"/>
      <c r="BP292" s="801"/>
      <c r="BQ292" s="800"/>
      <c r="BR292" s="794"/>
      <c r="BS292" s="472"/>
      <c r="BT292" s="472"/>
      <c r="BU292" s="523"/>
      <c r="BV292" s="472"/>
      <c r="BW292" s="523"/>
      <c r="BX292" s="523"/>
      <c r="BY292" s="523"/>
      <c r="BZ292" s="802" t="str">
        <f>IFERROR(WWWW[[#This Row],['#_Water sources passed]]/WWWW[[#This Row],['#_Water sources tested for fecal coliform ]],"no test")</f>
        <v>no test</v>
      </c>
      <c r="CA292" s="800" t="str">
        <f>IFERROR(WWWW[[#This Row],['#_Household passed]]/WWWW[[#This Row],['#_Household water samples tested for fecal coliform]],"no test")</f>
        <v>no test</v>
      </c>
      <c r="CB292" s="801" t="str">
        <f>IF(AND(WWWW[[#This Row],[% of water sources passed]]="no test",WWWW[[#This Row],[% Household passed]]="no test"),"No Test","Tested")</f>
        <v>No Test</v>
      </c>
      <c r="CC292" s="801">
        <f>WWWW[[#This Row],['#_Constructed/existing protected hand dug well]]-WWWW[[#This Row],['#_Non-functional protected hand dug well]]</f>
        <v>0</v>
      </c>
      <c r="CD292" s="801">
        <f>(WWWW[[#This Row],['#_Constructed/Existing tube wells/boreholes/handpumps_WASH_agency]]+WWWW[[#This Row],['#_Non-Cluster partner water tube-wells/boreholes/handpumps]])-WWWW[[#This Row],['#_Non-functional tube wells/boreholes/handpumps]]</f>
        <v>2</v>
      </c>
      <c r="CE292" s="801">
        <f>WWWW[[#This Row],['#_Constructed/Existingwater storage tank with gravity fed reticulation system]]-WWWW[[#This Row],['#_Non-functional storage tank gravity fed reticulation system]]</f>
        <v>60</v>
      </c>
      <c r="CF292" s="801">
        <f>(WWWW[[#This Row],['#_Water_Liters_supplied_by_Water boating or water trucking]]/90)/15</f>
        <v>0</v>
      </c>
      <c r="CG292" s="801">
        <f>WWWW[[#This Row],['#_Water_Liters_from_Constructed/Existing water distribution system from river or natural spring]]/90/15</f>
        <v>0</v>
      </c>
      <c r="CH292" s="473">
        <f>WWWW[[#This Row],['#_of water points in TLS/CFS /THF]]*500</f>
        <v>0</v>
      </c>
      <c r="CI29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2" s="800">
        <f>IF(WWWW[[#This Row],[Location Type 1]]="Village",WWWW[[#This Row],[Access to safe drinking water for Village]],WWWW[[#This Row],[Access to safe drinking water for Camp]])</f>
        <v>1</v>
      </c>
      <c r="CL292" s="798">
        <f>WWWW[[#This Row],[%Equitable and continuous access to sufficient quantity of safe drinking water]]*WWWW[[#This Row],[Total PoP ]]</f>
        <v>146</v>
      </c>
      <c r="CM292" s="800">
        <f>IF((WWWW[[#This Row],['#_Constructed/Existing protected/fenced ponds]]*250)/WWWW[[#This Row],[Total PoP ]]&gt;1,1,(WWWW[[#This Row],['#_Constructed/Existing protected/fenced ponds]]*250)/WWWW[[#This Row],[Total PoP ]])</f>
        <v>0</v>
      </c>
      <c r="CN292" s="798">
        <f>WWWW[[#This Row],[% Access to unimproved water points]]*WWWW[[#This Row],[Total PoP ]]</f>
        <v>0</v>
      </c>
      <c r="CO29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Q292" s="798">
        <f>WWWW[[#This Row],[HRP1]]/500</f>
        <v>0.29199999999999998</v>
      </c>
      <c r="CR292" s="803">
        <f>1-WWWW[[#This Row],[% Equitable and continuous access to sufficient quantity of domestic water]]</f>
        <v>0</v>
      </c>
      <c r="CS292" s="798">
        <f>WWWW[[#This Row],[%equitable and continuous access to sufficient quantity of safe drinking and domestic water''s GAP]]*WWWW[[#This Row],[Total PoP ]]</f>
        <v>0</v>
      </c>
      <c r="CT292" s="801">
        <f>IF(WWWW[[#This Row],[Total required water points]]-WWWW[[#This Row],['#Water points coverage]]&lt;0,0,WWWW[[#This Row],[Total required water points]]-WWWW[[#This Row],['#Water points coverage]])</f>
        <v>0.70799999999999996</v>
      </c>
      <c r="CU292" s="801">
        <f>ROUND(IF(WWWW[[#This Row],[Total PoP ]]&lt;500,1,WWWW[[#This Row],[Total PoP ]]/500),0)</f>
        <v>1</v>
      </c>
      <c r="CV292" s="801">
        <f>(WWWW[[#This Row],['#_Constructed latrines_by_WASHAgencies]]+WWWW[[#This Row],['#_Non Cluster partner latrines]])-WWWW[[#This Row],['#_Non-functional latrines]]</f>
        <v>12</v>
      </c>
      <c r="CW292" s="804">
        <f>WWWW[[#This Row],[HRP2]]/WWWW[[#This Row],[Total PoP ]]</f>
        <v>1</v>
      </c>
      <c r="CX29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v>
      </c>
      <c r="CY29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2" s="473">
        <f>IF(WWWW[[#This Row],['# of functional latrines in THF supported by WASH partners during the reporting period2]]="",0,WWWW[[#This Row],['# of functional latrines in THF supported by WASH partners during the reporting period2]]*50)</f>
        <v>0</v>
      </c>
      <c r="DB292" s="473">
        <f>WWWW[[#This Row],['# students access to functioning school latrines_HRP5]]+WWWW[[#This Row],['# People access to functioning latrines in THF_HRP5]]</f>
        <v>0</v>
      </c>
      <c r="DC292" s="801">
        <f>ROUND(IF(WWWW[[#This Row],[Location Type 1]]="camp",WWWW[[#This Row],[Total PoP ]]/20,IF(WWWW[[#This Row],[Location Type 1]]="Temporary Location",WWWW[[#This Row],[Total PoP ]]/50,(WWWW[[#This Row],[Total PoP ]]/6))),0)</f>
        <v>7</v>
      </c>
      <c r="DD292" s="801">
        <f>IF(WWWW[[#This Row],[Total required Latrines]]-(WWWW[[#This Row],['#_Constructed latrines_by_WASHAgencies]]+WWWW[[#This Row],['#_Non Cluster partner latrines]])&lt;0,0,WWWW[[#This Row],[Total required Latrines]]-(WWWW[[#This Row],['#_Constructed latrines_by_WASHAgencies]]+WWWW[[#This Row],['#_Non Cluster partner latrines]]))</f>
        <v>0</v>
      </c>
      <c r="DE292" s="803">
        <f>1-WWWW[[#This Row],[% people access to functioning Latrine]]</f>
        <v>0</v>
      </c>
      <c r="DF292" s="802">
        <f>IF(OR(WWWW[[#This Row],['#_Non-functional latrines]]="",WWWW[[#This Row],['#_Non-functional latrines]]=0),0,WWWW[[#This Row],['#_Non-functional latrines]]/(WWWW[[#This Row],['#_Constructed latrines_by_WASHAgencies]]+WWWW[[#This Row],['#_Non Cluster partner latrines]]))</f>
        <v>0</v>
      </c>
      <c r="DG292" s="798">
        <f>IF(500*(WWWW[[#This Row],['#_male hygiene promoters]]+WWWW[[#This Row],['#_female hygiene promoters]])&gt;WWWW[[#This Row],[Total PoP ]],WWWW[[#This Row],[Total PoP ]],500*(WWWW[[#This Row],['#_male hygiene promoters]]+WWWW[[#This Row],['#_female hygiene promoters]]))</f>
        <v>146</v>
      </c>
      <c r="DH29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146</v>
      </c>
      <c r="DI29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2" s="801">
        <f>IF(WWWW[[#This Row],['# People with access to soap]]&gt;WWWW[[#This Row],['# People with access to Sanity Pads]],WWWW[[#This Row],['# People with access to soap]],WWWW[[#This Row],['# People with access to Sanity Pads]])</f>
        <v>146</v>
      </c>
      <c r="DK292" s="801">
        <f>IF(WWWW[[#This Row],['# people reached by regular dedicated hygiene promotion_5]]&gt;WWWW[[#This Row],['# People received regular supply of hygiene items_6]],WWWW[[#This Row],['# people reached by regular dedicated hygiene promotion_5]],WWWW[[#This Row],['# People received regular supply of hygiene items_6]])</f>
        <v>146</v>
      </c>
      <c r="DL292" s="803">
        <f>IF(WWWW[[#This Row],[HRP3]]/WWWW[[#This Row],[Total PoP ]]&gt;1,1,WWWW[[#This Row],[HRP3]]/WWWW[[#This Row],[Total PoP ]])</f>
        <v>1</v>
      </c>
      <c r="DM292" s="802">
        <f>1-WWWW[[#This Row],[Hygiene Coverage%]]</f>
        <v>0</v>
      </c>
      <c r="DN292" s="800">
        <f>WWWW[[#This Row],['# people reached by regular dedicated hygiene promotion_5]]/WWWW[[#This Row],[Total PoP ]]</f>
        <v>1</v>
      </c>
      <c r="DO29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2" s="801">
        <f>WWWW[[#This Row],['#_Constructed/Existing hand washing stations]]-WWWW[[#This Row],['#_Non-Functional_hand_washing_stations]]</f>
        <v>11</v>
      </c>
      <c r="DR292" s="798">
        <f>IF(WWWW[[#This Row],['# Functional hand washing stations during reporting period]]*20&gt;WWWW[[#This Row],[Total HH]],WWWW[[#This Row],[Total HH]],WWWW[[#This Row],['# Functional hand washing stations during reporting period]]*20)</f>
        <v>28</v>
      </c>
      <c r="DS292" s="798">
        <f>IF(WWWW[[#This Row],[Is sufficient soap available for TLS? (Yes/No)]]="yes",WWWW[[#This Row],['#_Constructed/Existing hand washing stations at TLS]],0)</f>
        <v>0</v>
      </c>
      <c r="DT292" s="479">
        <f>IF(WWWW[[#This Row],['# Functional hand washing stations during reporting period]]*100&gt;WWWW[[#This Row],[Total PoP ]],WWWW[[#This Row],[Total PoP ]],WWWW[[#This Row],['# Functional hand washing stations during reporting period]]*100)</f>
        <v>146</v>
      </c>
      <c r="DU292" s="479" t="str">
        <f>IF(OR(WWWW[[#This Row],['#_students at TLS_CFS]]="",WWWW[[#This Row],['#_students at TLS_CFS]]=0),"No","Yes")</f>
        <v>No</v>
      </c>
      <c r="DV29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2" s="794" t="str">
        <f>VLOOKUP(WWWW[[#This Row],[Site Name]],SiteDB6[[Site Name]:[CCCM Management]],6,FALSE)</f>
        <v>Yes</v>
      </c>
      <c r="DZ292" s="794" t="str">
        <f>VLOOKUP(WWWW[[#This Row],[Site Name]],SiteDB6[[Site Name]:[CCCM Focal Agency]],7,FALSE)</f>
        <v>KMSS-LSO</v>
      </c>
      <c r="EA292" s="794" t="str">
        <f>VLOOKUP(WWWW[[#This Row],[Site Name]],SiteDB6[[Site Name]:[Location Type 1]],9,FALSE)</f>
        <v>Camp</v>
      </c>
      <c r="EB292" s="794" t="str">
        <f>VLOOKUP(WWWW[[#This Row],[Site Name]],SiteDB6[[Site Name]:[Type of Accommodation]],10,FALSE)</f>
        <v>Camp</v>
      </c>
      <c r="EC292" s="794" t="str">
        <f>VLOOKUP(WWWW[[#This Row],[Site Name]],SiteDB6[[Site Name]:[Ethnic or GCA/NGCA]],11,FALSE)</f>
        <v>GCA</v>
      </c>
      <c r="ED292" s="794">
        <f>VLOOKUP(WWWW[[#This Row],[Site Name]],SiteDB6[[Site Name]:[Lat]],12,FALSE)</f>
        <v>0</v>
      </c>
      <c r="EE292" s="794">
        <f>VLOOKUP(WWWW[[#This Row],[Site Name]],SiteDB6[[Site Name]:[Long]],13,FALSE)</f>
        <v>0</v>
      </c>
      <c r="EF292" s="794" t="str">
        <f>VLOOKUP(WWWW[[#This Row],[Site Name]],SiteDB6[[Site Name]:[Pcode]],3,FALSE)</f>
        <v>MMR015CMP232</v>
      </c>
      <c r="EG292" s="799" t="str">
        <f t="shared" si="6"/>
        <v>Covered</v>
      </c>
      <c r="EH292" s="799" t="e">
        <f>VLOOKUP(WWWW[[#This Row],[Site Name]],Site_DB!$C$389:$D$1120,2,FALSE)</f>
        <v>#N/A</v>
      </c>
    </row>
    <row r="293" spans="1:138" hidden="1">
      <c r="A293" s="792" t="s">
        <v>3262</v>
      </c>
      <c r="B293" s="792" t="s">
        <v>195</v>
      </c>
      <c r="C293" s="793" t="s">
        <v>195</v>
      </c>
      <c r="D293" s="404" t="s">
        <v>3364</v>
      </c>
      <c r="E293" s="793" t="s">
        <v>711</v>
      </c>
      <c r="F293" s="793" t="s">
        <v>715</v>
      </c>
      <c r="G293" s="721" t="str">
        <f>VLOOKUP(WWWW[[#This Row],[Site Name]],SiteDB6[[Site Name]:[Location Type]],8,FALSE)</f>
        <v>Camp</v>
      </c>
      <c r="H293" s="793" t="s">
        <v>2178</v>
      </c>
      <c r="I293" s="795">
        <v>69</v>
      </c>
      <c r="J293" s="795">
        <v>721</v>
      </c>
      <c r="K293" s="407" t="s">
        <v>3607</v>
      </c>
      <c r="L293" s="56" t="s">
        <v>3608</v>
      </c>
      <c r="M293" s="795"/>
      <c r="N293" s="795"/>
      <c r="O293" s="795"/>
      <c r="P293" s="795"/>
      <c r="Q293" s="798"/>
      <c r="R293" s="795">
        <v>6</v>
      </c>
      <c r="S293" s="795">
        <v>3</v>
      </c>
      <c r="T293" s="523"/>
      <c r="U293" s="795"/>
      <c r="V293" s="795"/>
      <c r="W293" s="720"/>
      <c r="X293" s="720"/>
      <c r="Y293" s="795"/>
      <c r="Z293" s="795"/>
      <c r="AA293" s="720">
        <v>47</v>
      </c>
      <c r="AB293" s="795"/>
      <c r="AC293" s="795"/>
      <c r="AD293" s="795"/>
      <c r="AE293" s="795"/>
      <c r="AF293" s="795"/>
      <c r="AG293" s="720">
        <v>3</v>
      </c>
      <c r="AH293" s="720"/>
      <c r="AI293" s="795"/>
      <c r="AJ293" s="795"/>
      <c r="AK293" s="795"/>
      <c r="AL293" s="795"/>
      <c r="AM293" s="720">
        <v>1</v>
      </c>
      <c r="AN293" s="720">
        <v>2</v>
      </c>
      <c r="AO293" s="719"/>
      <c r="AP293" s="720">
        <v>85</v>
      </c>
      <c r="AQ293" s="720"/>
      <c r="AR293" s="800"/>
      <c r="AS293" s="795"/>
      <c r="AT293" s="795"/>
      <c r="AU293" s="795"/>
      <c r="AV293" s="795"/>
      <c r="AW293" s="795">
        <v>5</v>
      </c>
      <c r="AX293" s="794" t="s">
        <v>43</v>
      </c>
      <c r="AY293" s="799" t="s">
        <v>1195</v>
      </c>
      <c r="AZ293" s="795"/>
      <c r="BA293" s="795"/>
      <c r="BB293" s="720"/>
      <c r="BC293" s="720"/>
      <c r="BD293" s="523"/>
      <c r="BE293" s="794"/>
      <c r="BF293" s="720">
        <v>2</v>
      </c>
      <c r="BG293" s="720"/>
      <c r="BH293" s="720"/>
      <c r="BI293" s="720">
        <v>1</v>
      </c>
      <c r="BJ293" s="720"/>
      <c r="BK293" s="720">
        <v>1</v>
      </c>
      <c r="BL293" s="720"/>
      <c r="BM293" s="720">
        <v>70</v>
      </c>
      <c r="BN293" s="720"/>
      <c r="BO293" s="794"/>
      <c r="BP293" s="801"/>
      <c r="BQ293" s="800"/>
      <c r="BR293" s="794"/>
      <c r="BS293" s="472"/>
      <c r="BT293" s="472"/>
      <c r="BU293" s="523"/>
      <c r="BV293" s="472"/>
      <c r="BW293" s="523"/>
      <c r="BX293" s="523"/>
      <c r="BY293" s="523"/>
      <c r="BZ293" s="802" t="str">
        <f>IFERROR(WWWW[[#This Row],['#_Water sources passed]]/WWWW[[#This Row],['#_Water sources tested for fecal coliform ]],"no test")</f>
        <v>no test</v>
      </c>
      <c r="CA293" s="800" t="str">
        <f>IFERROR(WWWW[[#This Row],['#_Household passed]]/WWWW[[#This Row],['#_Household water samples tested for fecal coliform]],"no test")</f>
        <v>no test</v>
      </c>
      <c r="CB293" s="801" t="str">
        <f>IF(AND(WWWW[[#This Row],[% of water sources passed]]="no test",WWWW[[#This Row],[% Household passed]]="no test"),"No Test","Tested")</f>
        <v>No Test</v>
      </c>
      <c r="CC293" s="801">
        <f>WWWW[[#This Row],['#_Constructed/existing protected hand dug well]]-WWWW[[#This Row],['#_Non-functional protected hand dug well]]</f>
        <v>0</v>
      </c>
      <c r="CD293" s="801">
        <f>(WWWW[[#This Row],['#_Constructed/Existing tube wells/boreholes/handpumps_WASH_agency]]+WWWW[[#This Row],['#_Non-Cluster partner water tube-wells/boreholes/handpumps]])-WWWW[[#This Row],['#_Non-functional tube wells/boreholes/handpumps]]</f>
        <v>0</v>
      </c>
      <c r="CE293" s="801">
        <f>WWWW[[#This Row],['#_Constructed/Existingwater storage tank with gravity fed reticulation system]]-WWWW[[#This Row],['#_Non-functional storage tank gravity fed reticulation system]]</f>
        <v>47</v>
      </c>
      <c r="CF293" s="801">
        <f>(WWWW[[#This Row],['#_Water_Liters_supplied_by_Water boating or water trucking]]/90)/15</f>
        <v>0</v>
      </c>
      <c r="CG293" s="801">
        <f>WWWW[[#This Row],['#_Water_Liters_from_Constructed/Existing water distribution system from river or natural spring]]/90/15</f>
        <v>0</v>
      </c>
      <c r="CH293" s="473">
        <f>WWWW[[#This Row],['#_of water points in TLS/CFS /THF]]*500</f>
        <v>1000</v>
      </c>
      <c r="CI29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3" s="800">
        <f>IF(WWWW[[#This Row],[Location Type 1]]="Village",WWWW[[#This Row],[Access to safe drinking water for Village]],WWWW[[#This Row],[Access to safe drinking water for Camp]])</f>
        <v>1</v>
      </c>
      <c r="CL293" s="798">
        <f>WWWW[[#This Row],[%Equitable and continuous access to sufficient quantity of safe drinking water]]*WWWW[[#This Row],[Total PoP ]]</f>
        <v>721</v>
      </c>
      <c r="CM293" s="800">
        <f>IF((WWWW[[#This Row],['#_Constructed/Existing protected/fenced ponds]]*250)/WWWW[[#This Row],[Total PoP ]]&gt;1,1,(WWWW[[#This Row],['#_Constructed/Existing protected/fenced ponds]]*250)/WWWW[[#This Row],[Total PoP ]])</f>
        <v>0</v>
      </c>
      <c r="CN293" s="798">
        <f>WWWW[[#This Row],[% Access to unimproved water points]]*WWWW[[#This Row],[Total PoP ]]</f>
        <v>0</v>
      </c>
      <c r="CO29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721</v>
      </c>
      <c r="CQ293" s="798">
        <f>WWWW[[#This Row],[HRP1]]/500</f>
        <v>1.4419999999999999</v>
      </c>
      <c r="CR293" s="803">
        <f>1-WWWW[[#This Row],[% Equitable and continuous access to sufficient quantity of domestic water]]</f>
        <v>0</v>
      </c>
      <c r="CS293" s="798">
        <f>WWWW[[#This Row],[%equitable and continuous access to sufficient quantity of safe drinking and domestic water''s GAP]]*WWWW[[#This Row],[Total PoP ]]</f>
        <v>0</v>
      </c>
      <c r="CT293" s="801">
        <f>IF(WWWW[[#This Row],[Total required water points]]-WWWW[[#This Row],['#Water points coverage]]&lt;0,0,WWWW[[#This Row],[Total required water points]]-WWWW[[#This Row],['#Water points coverage]])</f>
        <v>0</v>
      </c>
      <c r="CU293" s="801">
        <f>ROUND(IF(WWWW[[#This Row],[Total PoP ]]&lt;500,1,WWWW[[#This Row],[Total PoP ]]/500),0)</f>
        <v>1</v>
      </c>
      <c r="CV293" s="801">
        <f>(WWWW[[#This Row],['#_Constructed latrines_by_WASHAgencies]]+WWWW[[#This Row],['#_Non Cluster partner latrines]])-WWWW[[#This Row],['#_Non-functional latrines]]</f>
        <v>85</v>
      </c>
      <c r="CW293" s="804">
        <f>WWWW[[#This Row],[HRP2]]/WWWW[[#This Row],[Total PoP ]]</f>
        <v>1</v>
      </c>
      <c r="CX29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721</v>
      </c>
      <c r="CY29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3" s="473">
        <f>IF(WWWW[[#This Row],['# of functional latrines in THF supported by WASH partners during the reporting period2]]="",0,WWWW[[#This Row],['# of functional latrines in THF supported by WASH partners during the reporting period2]]*50)</f>
        <v>0</v>
      </c>
      <c r="DB293" s="473">
        <f>WWWW[[#This Row],['# students access to functioning school latrines_HRP5]]+WWWW[[#This Row],['# People access to functioning latrines in THF_HRP5]]</f>
        <v>0</v>
      </c>
      <c r="DC293" s="801">
        <f>ROUND(IF(WWWW[[#This Row],[Location Type 1]]="camp",WWWW[[#This Row],[Total PoP ]]/20,IF(WWWW[[#This Row],[Location Type 1]]="Temporary Location",WWWW[[#This Row],[Total PoP ]]/50,(WWWW[[#This Row],[Total PoP ]]/6))),0)</f>
        <v>36</v>
      </c>
      <c r="DD293" s="801">
        <f>IF(WWWW[[#This Row],[Total required Latrines]]-(WWWW[[#This Row],['#_Constructed latrines_by_WASHAgencies]]+WWWW[[#This Row],['#_Non Cluster partner latrines]])&lt;0,0,WWWW[[#This Row],[Total required Latrines]]-(WWWW[[#This Row],['#_Constructed latrines_by_WASHAgencies]]+WWWW[[#This Row],['#_Non Cluster partner latrines]]))</f>
        <v>0</v>
      </c>
      <c r="DE293" s="803">
        <f>1-WWWW[[#This Row],[% people access to functioning Latrine]]</f>
        <v>0</v>
      </c>
      <c r="DF293" s="802">
        <f>IF(OR(WWWW[[#This Row],['#_Non-functional latrines]]="",WWWW[[#This Row],['#_Non-functional latrines]]=0),0,WWWW[[#This Row],['#_Non-functional latrines]]/(WWWW[[#This Row],['#_Constructed latrines_by_WASHAgencies]]+WWWW[[#This Row],['#_Non Cluster partner latrines]]))</f>
        <v>0</v>
      </c>
      <c r="DG293" s="798">
        <f>IF(500*(WWWW[[#This Row],['#_male hygiene promoters]]+WWWW[[#This Row],['#_female hygiene promoters]])&gt;WWWW[[#This Row],[Total PoP ]],WWWW[[#This Row],[Total PoP ]],500*(WWWW[[#This Row],['#_male hygiene promoters]]+WWWW[[#This Row],['#_female hygiene promoters]]))</f>
        <v>500</v>
      </c>
      <c r="DH29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350</v>
      </c>
      <c r="DI29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3" s="801">
        <f>IF(WWWW[[#This Row],['# People with access to soap]]&gt;WWWW[[#This Row],['# People with access to Sanity Pads]],WWWW[[#This Row],['# People with access to soap]],WWWW[[#This Row],['# People with access to Sanity Pads]])</f>
        <v>350</v>
      </c>
      <c r="DK293"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3" s="803">
        <f>IF(WWWW[[#This Row],[HRP3]]/WWWW[[#This Row],[Total PoP ]]&gt;1,1,WWWW[[#This Row],[HRP3]]/WWWW[[#This Row],[Total PoP ]])</f>
        <v>0.69348127600554788</v>
      </c>
      <c r="DM293" s="802">
        <f>1-WWWW[[#This Row],[Hygiene Coverage%]]</f>
        <v>0.30651872399445212</v>
      </c>
      <c r="DN293" s="800">
        <f>WWWW[[#This Row],['# people reached by regular dedicated hygiene promotion_5]]/WWWW[[#This Row],[Total PoP ]]</f>
        <v>0.69348127600554788</v>
      </c>
      <c r="DO29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3" s="801">
        <f>WWWW[[#This Row],['#_Constructed/Existing hand washing stations]]-WWWW[[#This Row],['#_Non-Functional_hand_washing_stations]]</f>
        <v>2</v>
      </c>
      <c r="DR293" s="798">
        <f>IF(WWWW[[#This Row],['# Functional hand washing stations during reporting period]]*20&gt;WWWW[[#This Row],[Total HH]],WWWW[[#This Row],[Total HH]],WWWW[[#This Row],['# Functional hand washing stations during reporting period]]*20)</f>
        <v>40</v>
      </c>
      <c r="DS293" s="798">
        <f>IF(WWWW[[#This Row],[Is sufficient soap available for TLS? (Yes/No)]]="yes",WWWW[[#This Row],['#_Constructed/Existing hand washing stations at TLS]],0)</f>
        <v>0</v>
      </c>
      <c r="DT293" s="479">
        <f>IF(WWWW[[#This Row],['# Functional hand washing stations during reporting period]]*100&gt;WWWW[[#This Row],[Total PoP ]],WWWW[[#This Row],[Total PoP ]],WWWW[[#This Row],['# Functional hand washing stations during reporting period]]*100)</f>
        <v>200</v>
      </c>
      <c r="DU293" s="479" t="str">
        <f>IF(OR(WWWW[[#This Row],['#_students at TLS_CFS]]="",WWWW[[#This Row],['#_students at TLS_CFS]]=0),"No","Yes")</f>
        <v>No</v>
      </c>
      <c r="DV29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293" s="794" t="str">
        <f>VLOOKUP(WWWW[[#This Row],[Site Name]],SiteDB6[[Site Name]:[CCCM Management]],6,FALSE)</f>
        <v>Yes</v>
      </c>
      <c r="DZ293" s="794" t="str">
        <f>VLOOKUP(WWWW[[#This Row],[Site Name]],SiteDB6[[Site Name]:[CCCM Focal Agency]],7,FALSE)</f>
        <v>KMSS-LSO</v>
      </c>
      <c r="EA293" s="794" t="str">
        <f>VLOOKUP(WWWW[[#This Row],[Site Name]],SiteDB6[[Site Name]:[Location Type 1]],9,FALSE)</f>
        <v>Camp</v>
      </c>
      <c r="EB293" s="794" t="str">
        <f>VLOOKUP(WWWW[[#This Row],[Site Name]],SiteDB6[[Site Name]:[Type of Accommodation]],10,FALSE)</f>
        <v>Camp</v>
      </c>
      <c r="EC293" s="794" t="str">
        <f>VLOOKUP(WWWW[[#This Row],[Site Name]],SiteDB6[[Site Name]:[Ethnic or GCA/NGCA]],11,FALSE)</f>
        <v>GCA</v>
      </c>
      <c r="ED293" s="794">
        <f>VLOOKUP(WWWW[[#This Row],[Site Name]],SiteDB6[[Site Name]:[Lat]],12,FALSE)</f>
        <v>23.591999999999999</v>
      </c>
      <c r="EE293" s="794">
        <f>VLOOKUP(WWWW[[#This Row],[Site Name]],SiteDB6[[Site Name]:[Long]],13,FALSE)</f>
        <v>97.796999999999997</v>
      </c>
      <c r="EF293" s="794" t="str">
        <f>VLOOKUP(WWWW[[#This Row],[Site Name]],SiteDB6[[Site Name]:[Pcode]],3,FALSE)</f>
        <v>MMR015CMP220</v>
      </c>
      <c r="EG293" s="799" t="str">
        <f t="shared" si="6"/>
        <v>Covered</v>
      </c>
      <c r="EH293" s="799" t="str">
        <f>VLOOKUP(WWWW[[#This Row],[Site Name]],Site_DB!$C$389:$D$1120,2,FALSE)</f>
        <v>cccm_2019OCT</v>
      </c>
    </row>
    <row r="294" spans="1:138" hidden="1">
      <c r="A294" s="792" t="s">
        <v>3262</v>
      </c>
      <c r="B294" s="792" t="s">
        <v>195</v>
      </c>
      <c r="C294" s="793" t="s">
        <v>195</v>
      </c>
      <c r="D294" s="404" t="s">
        <v>3366</v>
      </c>
      <c r="E294" s="793" t="s">
        <v>39</v>
      </c>
      <c r="F294" s="793" t="s">
        <v>208</v>
      </c>
      <c r="G294" s="721" t="str">
        <f>VLOOKUP(WWWW[[#This Row],[Site Name]],SiteDB6[[Site Name]:[Location Type]],8,FALSE)</f>
        <v>Camp</v>
      </c>
      <c r="H294" s="793" t="s">
        <v>213</v>
      </c>
      <c r="I294" s="720">
        <v>127</v>
      </c>
      <c r="J294" s="720">
        <v>741</v>
      </c>
      <c r="K294" s="407" t="s">
        <v>3611</v>
      </c>
      <c r="L294" s="56" t="s">
        <v>3612</v>
      </c>
      <c r="M294" s="795"/>
      <c r="N294" s="795"/>
      <c r="O294" s="795"/>
      <c r="P294" s="795"/>
      <c r="Q294" s="798" t="s">
        <v>139</v>
      </c>
      <c r="R294" s="795"/>
      <c r="S294" s="795"/>
      <c r="T294" s="523"/>
      <c r="U294" s="795"/>
      <c r="V294" s="795"/>
      <c r="W294" s="795">
        <v>2</v>
      </c>
      <c r="X294" s="795">
        <v>1</v>
      </c>
      <c r="Y294" s="795"/>
      <c r="Z294" s="795"/>
      <c r="AA294" s="795"/>
      <c r="AB294" s="795"/>
      <c r="AC294" s="795"/>
      <c r="AD294" s="795"/>
      <c r="AE294" s="795"/>
      <c r="AF294" s="795"/>
      <c r="AG294" s="795"/>
      <c r="AH294" s="795"/>
      <c r="AI294" s="795"/>
      <c r="AJ294" s="795"/>
      <c r="AK294" s="795"/>
      <c r="AL294" s="795"/>
      <c r="AM294" s="795"/>
      <c r="AN294" s="795"/>
      <c r="AO294" s="799"/>
      <c r="AP294" s="795">
        <v>40</v>
      </c>
      <c r="AQ294" s="795"/>
      <c r="AR294" s="800"/>
      <c r="AS294" s="795"/>
      <c r="AT294" s="795"/>
      <c r="AU294" s="795"/>
      <c r="AV294" s="795"/>
      <c r="AW294" s="795"/>
      <c r="AX294" s="794" t="s">
        <v>43</v>
      </c>
      <c r="AY294" s="799" t="s">
        <v>140</v>
      </c>
      <c r="AZ294" s="795"/>
      <c r="BA294" s="795"/>
      <c r="BB294" s="795"/>
      <c r="BC294" s="523"/>
      <c r="BD294" s="523"/>
      <c r="BE294" s="794"/>
      <c r="BF294" s="795">
        <v>17</v>
      </c>
      <c r="BG294" s="795"/>
      <c r="BH294" s="795"/>
      <c r="BI294" s="795">
        <v>5</v>
      </c>
      <c r="BJ294" s="795"/>
      <c r="BK294" s="795"/>
      <c r="BL294" s="720">
        <v>1</v>
      </c>
      <c r="BM294" s="720">
        <v>97</v>
      </c>
      <c r="BN294" s="720">
        <v>126</v>
      </c>
      <c r="BO294" s="794"/>
      <c r="BP294" s="801"/>
      <c r="BQ294" s="800"/>
      <c r="BR294" s="794"/>
      <c r="BS294" s="472">
        <v>1</v>
      </c>
      <c r="BT294" s="472">
        <v>1</v>
      </c>
      <c r="BU294" s="523"/>
      <c r="BV294" s="472">
        <v>0</v>
      </c>
      <c r="BW294" s="523"/>
      <c r="BX294" s="523"/>
      <c r="BY294" s="523"/>
      <c r="BZ294" s="802" t="str">
        <f>IFERROR(WWWW[[#This Row],['#_Water sources passed]]/WWWW[[#This Row],['#_Water sources tested for fecal coliform ]],"no test")</f>
        <v>no test</v>
      </c>
      <c r="CA294" s="800" t="str">
        <f>IFERROR(WWWW[[#This Row],['#_Household passed]]/WWWW[[#This Row],['#_Household water samples tested for fecal coliform]],"no test")</f>
        <v>no test</v>
      </c>
      <c r="CB294" s="801" t="str">
        <f>IF(AND(WWWW[[#This Row],[% of water sources passed]]="no test",WWWW[[#This Row],[% Household passed]]="no test"),"No Test","Tested")</f>
        <v>No Test</v>
      </c>
      <c r="CC294" s="801">
        <f>WWWW[[#This Row],['#_Constructed/existing protected hand dug well]]-WWWW[[#This Row],['#_Non-functional protected hand dug well]]</f>
        <v>0</v>
      </c>
      <c r="CD294" s="801">
        <f>(WWWW[[#This Row],['#_Constructed/Existing tube wells/boreholes/handpumps_WASH_agency]]+WWWW[[#This Row],['#_Non-Cluster partner water tube-wells/boreholes/handpumps]])-WWWW[[#This Row],['#_Non-functional tube wells/boreholes/handpumps]]</f>
        <v>3</v>
      </c>
      <c r="CE294" s="801">
        <f>WWWW[[#This Row],['#_Constructed/Existingwater storage tank with gravity fed reticulation system]]-WWWW[[#This Row],['#_Non-functional storage tank gravity fed reticulation system]]</f>
        <v>0</v>
      </c>
      <c r="CF294" s="801">
        <f>(WWWW[[#This Row],['#_Water_Liters_supplied_by_Water boating or water trucking]]/90)/15</f>
        <v>0</v>
      </c>
      <c r="CG294" s="801">
        <f>WWWW[[#This Row],['#_Water_Liters_from_Constructed/Existing water distribution system from river or natural spring]]/90/15</f>
        <v>0</v>
      </c>
      <c r="CH294" s="473">
        <f>WWWW[[#This Row],['#_of water points in TLS/CFS /THF]]*500</f>
        <v>0</v>
      </c>
      <c r="CI29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29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294" s="800">
        <f>IF(WWWW[[#This Row],[Location Type 1]]="Village",WWWW[[#This Row],[Access to safe drinking water for Village]],WWWW[[#This Row],[Access to safe drinking water for Camp]])</f>
        <v>1</v>
      </c>
      <c r="CL294" s="798">
        <f>WWWW[[#This Row],[%Equitable and continuous access to sufficient quantity of safe drinking water]]*WWWW[[#This Row],[Total PoP ]]</f>
        <v>741</v>
      </c>
      <c r="CM294" s="800">
        <f>IF((WWWW[[#This Row],['#_Constructed/Existing protected/fenced ponds]]*250)/WWWW[[#This Row],[Total PoP ]]&gt;1,1,(WWWW[[#This Row],['#_Constructed/Existing protected/fenced ponds]]*250)/WWWW[[#This Row],[Total PoP ]])</f>
        <v>0</v>
      </c>
      <c r="CN294" s="798">
        <f>WWWW[[#This Row],[% Access to unimproved water points]]*WWWW[[#This Row],[Total PoP ]]</f>
        <v>0</v>
      </c>
      <c r="CO29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29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Q294" s="798">
        <f>WWWW[[#This Row],[HRP1]]/500</f>
        <v>1.482</v>
      </c>
      <c r="CR294" s="803">
        <f>1-WWWW[[#This Row],[% Equitable and continuous access to sufficient quantity of domestic water]]</f>
        <v>0</v>
      </c>
      <c r="CS294" s="798">
        <f>WWWW[[#This Row],[%equitable and continuous access to sufficient quantity of safe drinking and domestic water''s GAP]]*WWWW[[#This Row],[Total PoP ]]</f>
        <v>0</v>
      </c>
      <c r="CT294" s="801">
        <f>IF(WWWW[[#This Row],[Total required water points]]-WWWW[[#This Row],['#Water points coverage]]&lt;0,0,WWWW[[#This Row],[Total required water points]]-WWWW[[#This Row],['#Water points coverage]])</f>
        <v>0</v>
      </c>
      <c r="CU294" s="801">
        <f>ROUND(IF(WWWW[[#This Row],[Total PoP ]]&lt;500,1,WWWW[[#This Row],[Total PoP ]]/500),0)</f>
        <v>1</v>
      </c>
      <c r="CV294" s="801">
        <f>(WWWW[[#This Row],['#_Constructed latrines_by_WASHAgencies]]+WWWW[[#This Row],['#_Non Cluster partner latrines]])-WWWW[[#This Row],['#_Non-functional latrines]]</f>
        <v>40</v>
      </c>
      <c r="CW294" s="804">
        <f>WWWW[[#This Row],[HRP2]]/WWWW[[#This Row],[Total PoP ]]</f>
        <v>1</v>
      </c>
      <c r="CX29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CY29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4" s="473">
        <f>IF(WWWW[[#This Row],['# of functional latrines in THF supported by WASH partners during the reporting period2]]="",0,WWWW[[#This Row],['# of functional latrines in THF supported by WASH partners during the reporting period2]]*50)</f>
        <v>0</v>
      </c>
      <c r="DB294" s="473">
        <f>WWWW[[#This Row],['# students access to functioning school latrines_HRP5]]+WWWW[[#This Row],['# People access to functioning latrines in THF_HRP5]]</f>
        <v>0</v>
      </c>
      <c r="DC294" s="801">
        <f>ROUND(IF(WWWW[[#This Row],[Location Type 1]]="camp",WWWW[[#This Row],[Total PoP ]]/20,IF(WWWW[[#This Row],[Location Type 1]]="Temporary Location",WWWW[[#This Row],[Total PoP ]]/50,(WWWW[[#This Row],[Total PoP ]]/6))),0)</f>
        <v>37</v>
      </c>
      <c r="DD294" s="801">
        <f>IF(WWWW[[#This Row],[Total required Latrines]]-(WWWW[[#This Row],['#_Constructed latrines_by_WASHAgencies]]+WWWW[[#This Row],['#_Non Cluster partner latrines]])&lt;0,0,WWWW[[#This Row],[Total required Latrines]]-(WWWW[[#This Row],['#_Constructed latrines_by_WASHAgencies]]+WWWW[[#This Row],['#_Non Cluster partner latrines]]))</f>
        <v>0</v>
      </c>
      <c r="DE294" s="803">
        <f>1-WWWW[[#This Row],[% people access to functioning Latrine]]</f>
        <v>0</v>
      </c>
      <c r="DF294" s="802">
        <f>IF(OR(WWWW[[#This Row],['#_Non-functional latrines]]="",WWWW[[#This Row],['#_Non-functional latrines]]=0),0,WWWW[[#This Row],['#_Non-functional latrines]]/(WWWW[[#This Row],['#_Constructed latrines_by_WASHAgencies]]+WWWW[[#This Row],['#_Non Cluster partner latrines]]))</f>
        <v>0</v>
      </c>
      <c r="DG294" s="798">
        <f>IF(500*(WWWW[[#This Row],['#_male hygiene promoters]]+WWWW[[#This Row],['#_female hygiene promoters]])&gt;WWWW[[#This Row],[Total PoP ]],WWWW[[#This Row],[Total PoP ]],500*(WWWW[[#This Row],['#_male hygiene promoters]]+WWWW[[#This Row],['#_female hygiene promoters]]))</f>
        <v>500</v>
      </c>
      <c r="DH29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485</v>
      </c>
      <c r="DI29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126</v>
      </c>
      <c r="DJ294" s="801">
        <f>IF(WWWW[[#This Row],['# People with access to soap]]&gt;WWWW[[#This Row],['# People with access to Sanity Pads]],WWWW[[#This Row],['# People with access to soap]],WWWW[[#This Row],['# People with access to Sanity Pads]])</f>
        <v>485</v>
      </c>
      <c r="DK294"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4" s="803">
        <f>IF(WWWW[[#This Row],[HRP3]]/WWWW[[#This Row],[Total PoP ]]&gt;1,1,WWWW[[#This Row],[HRP3]]/WWWW[[#This Row],[Total PoP ]])</f>
        <v>0.67476383265856954</v>
      </c>
      <c r="DM294" s="802">
        <f>1-WWWW[[#This Row],[Hygiene Coverage%]]</f>
        <v>0.32523616734143046</v>
      </c>
      <c r="DN294" s="800">
        <f>WWWW[[#This Row],['# people reached by regular dedicated hygiene promotion_5]]/WWWW[[#This Row],[Total PoP ]]</f>
        <v>0.67476383265856954</v>
      </c>
      <c r="DO29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0.99212598425196852</v>
      </c>
      <c r="DQ294" s="801">
        <f>WWWW[[#This Row],['#_Constructed/Existing hand washing stations]]-WWWW[[#This Row],['#_Non-Functional_hand_washing_stations]]</f>
        <v>17</v>
      </c>
      <c r="DR294" s="798">
        <f>IF(WWWW[[#This Row],['# Functional hand washing stations during reporting period]]*20&gt;WWWW[[#This Row],[Total HH]],WWWW[[#This Row],[Total HH]],WWWW[[#This Row],['# Functional hand washing stations during reporting period]]*20)</f>
        <v>127</v>
      </c>
      <c r="DS294" s="798">
        <f>IF(WWWW[[#This Row],[Is sufficient soap available for TLS? (Yes/No)]]="yes",WWWW[[#This Row],['#_Constructed/Existing hand washing stations at TLS]],0)</f>
        <v>0</v>
      </c>
      <c r="DT294" s="479">
        <f>IF(WWWW[[#This Row],['# Functional hand washing stations during reporting period]]*100&gt;WWWW[[#This Row],[Total PoP ]],WWWW[[#This Row],[Total PoP ]],WWWW[[#This Row],['# Functional hand washing stations during reporting period]]*100)</f>
        <v>741</v>
      </c>
      <c r="DU294" s="479" t="str">
        <f>IF(OR(WWWW[[#This Row],['#_students at TLS_CFS]]="",WWWW[[#This Row],['#_students at TLS_CFS]]=0),"No","Yes")</f>
        <v>No</v>
      </c>
      <c r="DV29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4" s="794" t="str">
        <f>VLOOKUP(WWWW[[#This Row],[Site Name]],SiteDB6[[Site Name]:[CCCM Management]],6,FALSE)</f>
        <v>Yes</v>
      </c>
      <c r="DZ294" s="794" t="str">
        <f>VLOOKUP(WWWW[[#This Row],[Site Name]],SiteDB6[[Site Name]:[CCCM Focal Agency]],7,FALSE)</f>
        <v>KMSS-BMO</v>
      </c>
      <c r="EA294" s="794" t="str">
        <f>VLOOKUP(WWWW[[#This Row],[Site Name]],SiteDB6[[Site Name]:[Location Type 1]],9,FALSE)</f>
        <v>Camp</v>
      </c>
      <c r="EB294" s="794" t="str">
        <f>VLOOKUP(WWWW[[#This Row],[Site Name]],SiteDB6[[Site Name]:[Type of Accommodation]],10,FALSE)</f>
        <v>Camp</v>
      </c>
      <c r="EC294" s="794" t="str">
        <f>VLOOKUP(WWWW[[#This Row],[Site Name]],SiteDB6[[Site Name]:[Ethnic or GCA/NGCA]],11,FALSE)</f>
        <v>GCA</v>
      </c>
      <c r="ED294" s="794">
        <f>VLOOKUP(WWWW[[#This Row],[Site Name]],SiteDB6[[Site Name]:[Lat]],12,FALSE)</f>
        <v>24.245100000000001</v>
      </c>
      <c r="EE294" s="794">
        <f>VLOOKUP(WWWW[[#This Row],[Site Name]],SiteDB6[[Site Name]:[Long]],13,FALSE)</f>
        <v>97.325019999999995</v>
      </c>
      <c r="EF294" s="794" t="str">
        <f>VLOOKUP(WWWW[[#This Row],[Site Name]],SiteDB6[[Site Name]:[Pcode]],3,FALSE)</f>
        <v>MMR001CMP062</v>
      </c>
      <c r="EG294" s="799" t="str">
        <f t="shared" si="6"/>
        <v>Covered</v>
      </c>
      <c r="EH294" s="799" t="str">
        <f>VLOOKUP(WWWW[[#This Row],[Site Name]],Site_DB!$C$389:$D$1120,2,FALSE)</f>
        <v>cccm_2019OCT</v>
      </c>
    </row>
    <row r="295" spans="1:138" hidden="1">
      <c r="A295" s="792" t="s">
        <v>3262</v>
      </c>
      <c r="B295" s="792" t="s">
        <v>195</v>
      </c>
      <c r="C295" s="793" t="s">
        <v>195</v>
      </c>
      <c r="D295" s="404" t="s">
        <v>3364</v>
      </c>
      <c r="E295" s="793" t="s">
        <v>711</v>
      </c>
      <c r="F295" s="793" t="s">
        <v>715</v>
      </c>
      <c r="G295" s="721" t="str">
        <f>VLOOKUP(WWWW[[#This Row],[Site Name]],SiteDB6[[Site Name]:[Location Type]],8,FALSE)</f>
        <v>Camp</v>
      </c>
      <c r="H295" s="793" t="s">
        <v>750</v>
      </c>
      <c r="I295" s="795">
        <v>24</v>
      </c>
      <c r="J295" s="795">
        <v>85</v>
      </c>
      <c r="K295" s="407" t="s">
        <v>3607</v>
      </c>
      <c r="L295" s="56" t="s">
        <v>3608</v>
      </c>
      <c r="M295" s="795"/>
      <c r="N295" s="795"/>
      <c r="O295" s="795"/>
      <c r="P295" s="795"/>
      <c r="Q295" s="798"/>
      <c r="R295" s="795"/>
      <c r="S295" s="795"/>
      <c r="T295" s="523"/>
      <c r="U295" s="795"/>
      <c r="V295" s="795"/>
      <c r="W295" s="720"/>
      <c r="X295" s="720"/>
      <c r="Y295" s="795"/>
      <c r="Z295" s="795"/>
      <c r="AA295" s="720"/>
      <c r="AB295" s="795"/>
      <c r="AC295" s="795"/>
      <c r="AD295" s="795"/>
      <c r="AE295" s="795"/>
      <c r="AF295" s="795"/>
      <c r="AG295" s="720"/>
      <c r="AH295" s="720"/>
      <c r="AI295" s="795"/>
      <c r="AJ295" s="795"/>
      <c r="AK295" s="795"/>
      <c r="AL295" s="795"/>
      <c r="AM295" s="720"/>
      <c r="AN295" s="720"/>
      <c r="AO295" s="719"/>
      <c r="AP295" s="720">
        <v>4</v>
      </c>
      <c r="AQ295" s="720"/>
      <c r="AR295" s="800"/>
      <c r="AS295" s="795"/>
      <c r="AT295" s="795"/>
      <c r="AU295" s="795"/>
      <c r="AV295" s="795"/>
      <c r="AW295" s="795"/>
      <c r="AX295" s="794" t="s">
        <v>143</v>
      </c>
      <c r="AY295" s="799" t="s">
        <v>143</v>
      </c>
      <c r="AZ295" s="795"/>
      <c r="BA295" s="795"/>
      <c r="BB295" s="720"/>
      <c r="BC295" s="720"/>
      <c r="BD295" s="523"/>
      <c r="BE295" s="794"/>
      <c r="BF295" s="720"/>
      <c r="BG295" s="720"/>
      <c r="BH295" s="720"/>
      <c r="BI295" s="720"/>
      <c r="BJ295" s="720"/>
      <c r="BK295" s="720"/>
      <c r="BL295" s="720"/>
      <c r="BM295" s="720">
        <v>25</v>
      </c>
      <c r="BN295" s="720"/>
      <c r="BO295" s="794" t="s">
        <v>139</v>
      </c>
      <c r="BP295" s="801"/>
      <c r="BQ295" s="800"/>
      <c r="BR295" s="794"/>
      <c r="BS295" s="472"/>
      <c r="BT295" s="472"/>
      <c r="BU295" s="523"/>
      <c r="BV295" s="472"/>
      <c r="BW295" s="523"/>
      <c r="BX295" s="523"/>
      <c r="BY295" s="523"/>
      <c r="BZ295" s="802" t="str">
        <f>IFERROR(WWWW[[#This Row],['#_Water sources passed]]/WWWW[[#This Row],['#_Water sources tested for fecal coliform ]],"no test")</f>
        <v>no test</v>
      </c>
      <c r="CA295" s="800" t="str">
        <f>IFERROR(WWWW[[#This Row],['#_Household passed]]/WWWW[[#This Row],['#_Household water samples tested for fecal coliform]],"no test")</f>
        <v>no test</v>
      </c>
      <c r="CB295" s="801" t="str">
        <f>IF(AND(WWWW[[#This Row],[% of water sources passed]]="no test",WWWW[[#This Row],[% Household passed]]="no test"),"No Test","Tested")</f>
        <v>No Test</v>
      </c>
      <c r="CC295" s="801">
        <f>WWWW[[#This Row],['#_Constructed/existing protected hand dug well]]-WWWW[[#This Row],['#_Non-functional protected hand dug well]]</f>
        <v>0</v>
      </c>
      <c r="CD295" s="801">
        <f>(WWWW[[#This Row],['#_Constructed/Existing tube wells/boreholes/handpumps_WASH_agency]]+WWWW[[#This Row],['#_Non-Cluster partner water tube-wells/boreholes/handpumps]])-WWWW[[#This Row],['#_Non-functional tube wells/boreholes/handpumps]]</f>
        <v>0</v>
      </c>
      <c r="CE295" s="801">
        <f>WWWW[[#This Row],['#_Constructed/Existingwater storage tank with gravity fed reticulation system]]-WWWW[[#This Row],['#_Non-functional storage tank gravity fed reticulation system]]</f>
        <v>0</v>
      </c>
      <c r="CF295" s="801">
        <f>(WWWW[[#This Row],['#_Water_Liters_supplied_by_Water boating or water trucking]]/90)/15</f>
        <v>0</v>
      </c>
      <c r="CG295" s="801">
        <f>WWWW[[#This Row],['#_Water_Liters_from_Constructed/Existing water distribution system from river or natural spring]]/90/15</f>
        <v>0</v>
      </c>
      <c r="CH295" s="473">
        <f>WWWW[[#This Row],['#_of water points in TLS/CFS /THF]]*500</f>
        <v>0</v>
      </c>
      <c r="CI29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5" s="800">
        <f>IF(WWWW[[#This Row],[Location Type 1]]="Village",WWWW[[#This Row],[Access to safe drinking water for Village]],WWWW[[#This Row],[Access to safe drinking water for Camp]])</f>
        <v>0</v>
      </c>
      <c r="CL295" s="798">
        <f>WWWW[[#This Row],[%Equitable and continuous access to sufficient quantity of safe drinking water]]*WWWW[[#This Row],[Total PoP ]]</f>
        <v>0</v>
      </c>
      <c r="CM295" s="800">
        <f>IF((WWWW[[#This Row],['#_Constructed/Existing protected/fenced ponds]]*250)/WWWW[[#This Row],[Total PoP ]]&gt;1,1,(WWWW[[#This Row],['#_Constructed/Existing protected/fenced ponds]]*250)/WWWW[[#This Row],[Total PoP ]])</f>
        <v>0</v>
      </c>
      <c r="CN295" s="798">
        <f>WWWW[[#This Row],[% Access to unimproved water points]]*WWWW[[#This Row],[Total PoP ]]</f>
        <v>0</v>
      </c>
      <c r="CO29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5" s="798">
        <f>WWWW[[#This Row],[HRP1]]/500</f>
        <v>0</v>
      </c>
      <c r="CR295" s="803">
        <f>1-WWWW[[#This Row],[% Equitable and continuous access to sufficient quantity of domestic water]]</f>
        <v>1</v>
      </c>
      <c r="CS295" s="798">
        <f>WWWW[[#This Row],[%equitable and continuous access to sufficient quantity of safe drinking and domestic water''s GAP]]*WWWW[[#This Row],[Total PoP ]]</f>
        <v>85</v>
      </c>
      <c r="CT295" s="801">
        <f>IF(WWWW[[#This Row],[Total required water points]]-WWWW[[#This Row],['#Water points coverage]]&lt;0,0,WWWW[[#This Row],[Total required water points]]-WWWW[[#This Row],['#Water points coverage]])</f>
        <v>1</v>
      </c>
      <c r="CU295" s="801">
        <f>ROUND(IF(WWWW[[#This Row],[Total PoP ]]&lt;500,1,WWWW[[#This Row],[Total PoP ]]/500),0)</f>
        <v>1</v>
      </c>
      <c r="CV295" s="801">
        <f>(WWWW[[#This Row],['#_Constructed latrines_by_WASHAgencies]]+WWWW[[#This Row],['#_Non Cluster partner latrines]])-WWWW[[#This Row],['#_Non-functional latrines]]</f>
        <v>4</v>
      </c>
      <c r="CW295" s="804">
        <f>WWWW[[#This Row],[HRP2]]/WWWW[[#This Row],[Total PoP ]]</f>
        <v>0.94117647058823528</v>
      </c>
      <c r="CX29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29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5" s="473">
        <f>IF(WWWW[[#This Row],['# of functional latrines in THF supported by WASH partners during the reporting period2]]="",0,WWWW[[#This Row],['# of functional latrines in THF supported by WASH partners during the reporting period2]]*50)</f>
        <v>0</v>
      </c>
      <c r="DB295" s="473">
        <f>WWWW[[#This Row],['# students access to functioning school latrines_HRP5]]+WWWW[[#This Row],['# People access to functioning latrines in THF_HRP5]]</f>
        <v>0</v>
      </c>
      <c r="DC295" s="801">
        <f>ROUND(IF(WWWW[[#This Row],[Location Type 1]]="camp",WWWW[[#This Row],[Total PoP ]]/20,IF(WWWW[[#This Row],[Location Type 1]]="Temporary Location",WWWW[[#This Row],[Total PoP ]]/50,(WWWW[[#This Row],[Total PoP ]]/6))),0)</f>
        <v>4</v>
      </c>
      <c r="DD295" s="801">
        <f>IF(WWWW[[#This Row],[Total required Latrines]]-(WWWW[[#This Row],['#_Constructed latrines_by_WASHAgencies]]+WWWW[[#This Row],['#_Non Cluster partner latrines]])&lt;0,0,WWWW[[#This Row],[Total required Latrines]]-(WWWW[[#This Row],['#_Constructed latrines_by_WASHAgencies]]+WWWW[[#This Row],['#_Non Cluster partner latrines]]))</f>
        <v>0</v>
      </c>
      <c r="DE295" s="803">
        <f>1-WWWW[[#This Row],[% people access to functioning Latrine]]</f>
        <v>5.8823529411764719E-2</v>
      </c>
      <c r="DF295" s="802">
        <f>IF(OR(WWWW[[#This Row],['#_Non-functional latrines]]="",WWWW[[#This Row],['#_Non-functional latrines]]=0),0,WWWW[[#This Row],['#_Non-functional latrines]]/(WWWW[[#This Row],['#_Constructed latrines_by_WASHAgencies]]+WWWW[[#This Row],['#_Non Cluster partner latrines]]))</f>
        <v>0</v>
      </c>
      <c r="DG295" s="798">
        <f>IF(500*(WWWW[[#This Row],['#_male hygiene promoters]]+WWWW[[#This Row],['#_female hygiene promoters]])&gt;WWWW[[#This Row],[Total PoP ]],WWWW[[#This Row],[Total PoP ]],500*(WWWW[[#This Row],['#_male hygiene promoters]]+WWWW[[#This Row],['#_female hygiene promoters]]))</f>
        <v>0</v>
      </c>
      <c r="DH29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I29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5" s="801">
        <f>IF(WWWW[[#This Row],['# People with access to soap]]&gt;WWWW[[#This Row],['# People with access to Sanity Pads]],WWWW[[#This Row],['# People with access to soap]],WWWW[[#This Row],['# People with access to Sanity Pads]])</f>
        <v>85</v>
      </c>
      <c r="DK295" s="801">
        <f>IF(WWWW[[#This Row],['# people reached by regular dedicated hygiene promotion_5]]&gt;WWWW[[#This Row],['# People received regular supply of hygiene items_6]],WWWW[[#This Row],['# people reached by regular dedicated hygiene promotion_5]],WWWW[[#This Row],['# People received regular supply of hygiene items_6]])</f>
        <v>85</v>
      </c>
      <c r="DL295" s="803">
        <f>IF(WWWW[[#This Row],[HRP3]]/WWWW[[#This Row],[Total PoP ]]&gt;1,1,WWWW[[#This Row],[HRP3]]/WWWW[[#This Row],[Total PoP ]])</f>
        <v>1</v>
      </c>
      <c r="DM295" s="802">
        <f>1-WWWW[[#This Row],[Hygiene Coverage%]]</f>
        <v>0</v>
      </c>
      <c r="DN295" s="800">
        <f>WWWW[[#This Row],['# people reached by regular dedicated hygiene promotion_5]]/WWWW[[#This Row],[Total PoP ]]</f>
        <v>0</v>
      </c>
      <c r="DO29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29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5" s="801">
        <f>WWWW[[#This Row],['#_Constructed/Existing hand washing stations]]-WWWW[[#This Row],['#_Non-Functional_hand_washing_stations]]</f>
        <v>0</v>
      </c>
      <c r="DR295" s="798">
        <f>IF(WWWW[[#This Row],['# Functional hand washing stations during reporting period]]*20&gt;WWWW[[#This Row],[Total HH]],WWWW[[#This Row],[Total HH]],WWWW[[#This Row],['# Functional hand washing stations during reporting period]]*20)</f>
        <v>0</v>
      </c>
      <c r="DS295" s="798">
        <f>IF(WWWW[[#This Row],[Is sufficient soap available for TLS? (Yes/No)]]="yes",WWWW[[#This Row],['#_Constructed/Existing hand washing stations at TLS]],0)</f>
        <v>0</v>
      </c>
      <c r="DT295" s="479">
        <f>IF(WWWW[[#This Row],['# Functional hand washing stations during reporting period]]*100&gt;WWWW[[#This Row],[Total PoP ]],WWWW[[#This Row],[Total PoP ]],WWWW[[#This Row],['# Functional hand washing stations during reporting period]]*100)</f>
        <v>0</v>
      </c>
      <c r="DU295" s="479" t="str">
        <f>IF(OR(WWWW[[#This Row],['#_students at TLS_CFS]]="",WWWW[[#This Row],['#_students at TLS_CFS]]=0),"No","Yes")</f>
        <v>No</v>
      </c>
      <c r="DV29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5" s="794">
        <f>VLOOKUP(WWWW[[#This Row],[Site Name]],SiteDB6[[Site Name]:[CCCM Management]],6,FALSE)</f>
        <v>0</v>
      </c>
      <c r="DZ295" s="794" t="str">
        <f>VLOOKUP(WWWW[[#This Row],[Site Name]],SiteDB6[[Site Name]:[CCCM Focal Agency]],7,FALSE)</f>
        <v>uncovered</v>
      </c>
      <c r="EA295" s="794" t="str">
        <f>VLOOKUP(WWWW[[#This Row],[Site Name]],SiteDB6[[Site Name]:[Location Type 1]],9,FALSE)</f>
        <v>Camp</v>
      </c>
      <c r="EB295" s="794" t="str">
        <f>VLOOKUP(WWWW[[#This Row],[Site Name]],SiteDB6[[Site Name]:[Type of Accommodation]],10,FALSE)</f>
        <v>Camp like setting</v>
      </c>
      <c r="EC295" s="794" t="str">
        <f>VLOOKUP(WWWW[[#This Row],[Site Name]],SiteDB6[[Site Name]:[Ethnic or GCA/NGCA]],11,FALSE)</f>
        <v>GCA</v>
      </c>
      <c r="ED295" s="794">
        <f>VLOOKUP(WWWW[[#This Row],[Site Name]],SiteDB6[[Site Name]:[Lat]],12,FALSE)</f>
        <v>0</v>
      </c>
      <c r="EE295" s="794">
        <f>VLOOKUP(WWWW[[#This Row],[Site Name]],SiteDB6[[Site Name]:[Long]],13,FALSE)</f>
        <v>0</v>
      </c>
      <c r="EF295" s="794" t="str">
        <f>VLOOKUP(WWWW[[#This Row],[Site Name]],SiteDB6[[Site Name]:[Pcode]],3,FALSE)</f>
        <v>MMR015CMP246</v>
      </c>
      <c r="EG295" s="799" t="str">
        <f t="shared" si="6"/>
        <v>Covered</v>
      </c>
      <c r="EH295" s="799" t="str">
        <f>VLOOKUP(WWWW[[#This Row],[Site Name]],Site_DB!$C$389:$D$1120,2,FALSE)</f>
        <v>cccm_2019OCT</v>
      </c>
    </row>
    <row r="296" spans="1:138" hidden="1">
      <c r="A296" s="792" t="s">
        <v>3262</v>
      </c>
      <c r="B296" s="792" t="s">
        <v>195</v>
      </c>
      <c r="C296" s="793" t="s">
        <v>195</v>
      </c>
      <c r="D296" s="404" t="s">
        <v>3364</v>
      </c>
      <c r="E296" s="793" t="s">
        <v>39</v>
      </c>
      <c r="F296" s="793" t="s">
        <v>40</v>
      </c>
      <c r="G296" s="721" t="str">
        <f>VLOOKUP(WWWW[[#This Row],[Site Name]],SiteDB6[[Site Name]:[Location Type]],8,FALSE)</f>
        <v>Camp</v>
      </c>
      <c r="H296" s="404" t="s">
        <v>301</v>
      </c>
      <c r="I296" s="720">
        <v>98</v>
      </c>
      <c r="J296" s="720">
        <v>529</v>
      </c>
      <c r="K296" s="407" t="s">
        <v>3607</v>
      </c>
      <c r="L296" s="56" t="s">
        <v>3608</v>
      </c>
      <c r="M296" s="795"/>
      <c r="N296" s="795">
        <v>1</v>
      </c>
      <c r="O296" s="795"/>
      <c r="P296" s="795"/>
      <c r="Q296" s="798" t="s">
        <v>43</v>
      </c>
      <c r="R296" s="795"/>
      <c r="S296" s="795"/>
      <c r="T296" s="523"/>
      <c r="U296" s="795"/>
      <c r="V296" s="795"/>
      <c r="W296" s="795"/>
      <c r="X296" s="795"/>
      <c r="Y296" s="795"/>
      <c r="Z296" s="795"/>
      <c r="AA296" s="795"/>
      <c r="AB296" s="795"/>
      <c r="AC296" s="795"/>
      <c r="AD296" s="795"/>
      <c r="AE296" s="795"/>
      <c r="AF296" s="795"/>
      <c r="AG296" s="795"/>
      <c r="AH296" s="795"/>
      <c r="AI296" s="795"/>
      <c r="AJ296" s="795"/>
      <c r="AK296" s="795"/>
      <c r="AL296" s="795"/>
      <c r="AM296" s="795"/>
      <c r="AN296" s="795"/>
      <c r="AO296" s="799"/>
      <c r="AP296" s="795">
        <v>8</v>
      </c>
      <c r="AQ296" s="795"/>
      <c r="AR296" s="800"/>
      <c r="AS296" s="795"/>
      <c r="AT296" s="795"/>
      <c r="AU296" s="795"/>
      <c r="AV296" s="795"/>
      <c r="AW296" s="795"/>
      <c r="AX296" s="794" t="s">
        <v>143</v>
      </c>
      <c r="AY296" s="799" t="s">
        <v>143</v>
      </c>
      <c r="AZ296" s="795"/>
      <c r="BA296" s="795"/>
      <c r="BB296" s="795"/>
      <c r="BC296" s="523"/>
      <c r="BD296" s="523"/>
      <c r="BE296" s="794"/>
      <c r="BF296" s="795"/>
      <c r="BG296" s="795"/>
      <c r="BH296" s="795"/>
      <c r="BI296" s="795"/>
      <c r="BJ296" s="795"/>
      <c r="BK296" s="795"/>
      <c r="BL296" s="795">
        <v>1</v>
      </c>
      <c r="BM296" s="795"/>
      <c r="BN296" s="795"/>
      <c r="BO296" s="794"/>
      <c r="BP296" s="801"/>
      <c r="BQ296" s="800"/>
      <c r="BR296" s="794"/>
      <c r="BS296" s="472"/>
      <c r="BT296" s="472"/>
      <c r="BU296" s="523"/>
      <c r="BV296" s="472"/>
      <c r="BW296" s="523"/>
      <c r="BX296" s="523"/>
      <c r="BY296" s="523"/>
      <c r="BZ296" s="802" t="str">
        <f>IFERROR(WWWW[[#This Row],['#_Water sources passed]]/WWWW[[#This Row],['#_Water sources tested for fecal coliform ]],"no test")</f>
        <v>no test</v>
      </c>
      <c r="CA296" s="800" t="str">
        <f>IFERROR(WWWW[[#This Row],['#_Household passed]]/WWWW[[#This Row],['#_Household water samples tested for fecal coliform]],"no test")</f>
        <v>no test</v>
      </c>
      <c r="CB296" s="801" t="str">
        <f>IF(AND(WWWW[[#This Row],[% of water sources passed]]="no test",WWWW[[#This Row],[% Household passed]]="no test"),"No Test","Tested")</f>
        <v>No Test</v>
      </c>
      <c r="CC296" s="801">
        <f>WWWW[[#This Row],['#_Constructed/existing protected hand dug well]]-WWWW[[#This Row],['#_Non-functional protected hand dug well]]</f>
        <v>0</v>
      </c>
      <c r="CD296" s="801">
        <f>(WWWW[[#This Row],['#_Constructed/Existing tube wells/boreholes/handpumps_WASH_agency]]+WWWW[[#This Row],['#_Non-Cluster partner water tube-wells/boreholes/handpumps]])-WWWW[[#This Row],['#_Non-functional tube wells/boreholes/handpumps]]</f>
        <v>0</v>
      </c>
      <c r="CE296" s="801">
        <f>WWWW[[#This Row],['#_Constructed/Existingwater storage tank with gravity fed reticulation system]]-WWWW[[#This Row],['#_Non-functional storage tank gravity fed reticulation system]]</f>
        <v>0</v>
      </c>
      <c r="CF296" s="801">
        <f>(WWWW[[#This Row],['#_Water_Liters_supplied_by_Water boating or water trucking]]/90)/15</f>
        <v>0</v>
      </c>
      <c r="CG296" s="801">
        <f>WWWW[[#This Row],['#_Water_Liters_from_Constructed/Existing water distribution system from river or natural spring]]/90/15</f>
        <v>0</v>
      </c>
      <c r="CH296" s="473">
        <f>WWWW[[#This Row],['#_of water points in TLS/CFS /THF]]*500</f>
        <v>0</v>
      </c>
      <c r="CI29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6" s="800">
        <f>IF(WWWW[[#This Row],[Location Type 1]]="Village",WWWW[[#This Row],[Access to safe drinking water for Village]],WWWW[[#This Row],[Access to safe drinking water for Camp]])</f>
        <v>0</v>
      </c>
      <c r="CL296" s="798">
        <f>WWWW[[#This Row],[%Equitable and continuous access to sufficient quantity of safe drinking water]]*WWWW[[#This Row],[Total PoP ]]</f>
        <v>0</v>
      </c>
      <c r="CM296" s="800">
        <f>IF((WWWW[[#This Row],['#_Constructed/Existing protected/fenced ponds]]*250)/WWWW[[#This Row],[Total PoP ]]&gt;1,1,(WWWW[[#This Row],['#_Constructed/Existing protected/fenced ponds]]*250)/WWWW[[#This Row],[Total PoP ]])</f>
        <v>0</v>
      </c>
      <c r="CN296" s="798">
        <f>WWWW[[#This Row],[% Access to unimproved water points]]*WWWW[[#This Row],[Total PoP ]]</f>
        <v>0</v>
      </c>
      <c r="CO29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6" s="798">
        <f>WWWW[[#This Row],[HRP1]]/500</f>
        <v>0</v>
      </c>
      <c r="CR296" s="803">
        <f>1-WWWW[[#This Row],[% Equitable and continuous access to sufficient quantity of domestic water]]</f>
        <v>1</v>
      </c>
      <c r="CS296" s="798">
        <f>WWWW[[#This Row],[%equitable and continuous access to sufficient quantity of safe drinking and domestic water''s GAP]]*WWWW[[#This Row],[Total PoP ]]</f>
        <v>529</v>
      </c>
      <c r="CT296" s="801">
        <f>IF(WWWW[[#This Row],[Total required water points]]-WWWW[[#This Row],['#Water points coverage]]&lt;0,0,WWWW[[#This Row],[Total required water points]]-WWWW[[#This Row],['#Water points coverage]])</f>
        <v>1</v>
      </c>
      <c r="CU296" s="801">
        <f>ROUND(IF(WWWW[[#This Row],[Total PoP ]]&lt;500,1,WWWW[[#This Row],[Total PoP ]]/500),0)</f>
        <v>1</v>
      </c>
      <c r="CV296" s="801">
        <f>(WWWW[[#This Row],['#_Constructed latrines_by_WASHAgencies]]+WWWW[[#This Row],['#_Non Cluster partner latrines]])-WWWW[[#This Row],['#_Non-functional latrines]]</f>
        <v>8</v>
      </c>
      <c r="CW296" s="804">
        <f>WWWW[[#This Row],[HRP2]]/WWWW[[#This Row],[Total PoP ]]</f>
        <v>0.30245746691871456</v>
      </c>
      <c r="CX29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29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6" s="473">
        <f>IF(WWWW[[#This Row],['# of functional latrines in THF supported by WASH partners during the reporting period2]]="",0,WWWW[[#This Row],['# of functional latrines in THF supported by WASH partners during the reporting period2]]*50)</f>
        <v>0</v>
      </c>
      <c r="DB296" s="473">
        <f>WWWW[[#This Row],['# students access to functioning school latrines_HRP5]]+WWWW[[#This Row],['# People access to functioning latrines in THF_HRP5]]</f>
        <v>0</v>
      </c>
      <c r="DC296" s="801">
        <f>ROUND(IF(WWWW[[#This Row],[Location Type 1]]="camp",WWWW[[#This Row],[Total PoP ]]/20,IF(WWWW[[#This Row],[Location Type 1]]="Temporary Location",WWWW[[#This Row],[Total PoP ]]/50,(WWWW[[#This Row],[Total PoP ]]/6))),0)</f>
        <v>26</v>
      </c>
      <c r="DD296" s="801">
        <f>IF(WWWW[[#This Row],[Total required Latrines]]-(WWWW[[#This Row],['#_Constructed latrines_by_WASHAgencies]]+WWWW[[#This Row],['#_Non Cluster partner latrines]])&lt;0,0,WWWW[[#This Row],[Total required Latrines]]-(WWWW[[#This Row],['#_Constructed latrines_by_WASHAgencies]]+WWWW[[#This Row],['#_Non Cluster partner latrines]]))</f>
        <v>18</v>
      </c>
      <c r="DE296" s="803">
        <f>1-WWWW[[#This Row],[% people access to functioning Latrine]]</f>
        <v>0.69754253308128544</v>
      </c>
      <c r="DF296" s="802">
        <f>IF(OR(WWWW[[#This Row],['#_Non-functional latrines]]="",WWWW[[#This Row],['#_Non-functional latrines]]=0),0,WWWW[[#This Row],['#_Non-functional latrines]]/(WWWW[[#This Row],['#_Constructed latrines_by_WASHAgencies]]+WWWW[[#This Row],['#_Non Cluster partner latrines]]))</f>
        <v>0</v>
      </c>
      <c r="DG296" s="798">
        <f>IF(500*(WWWW[[#This Row],['#_male hygiene promoters]]+WWWW[[#This Row],['#_female hygiene promoters]])&gt;WWWW[[#This Row],[Total PoP ]],WWWW[[#This Row],[Total PoP ]],500*(WWWW[[#This Row],['#_male hygiene promoters]]+WWWW[[#This Row],['#_female hygiene promoters]]))</f>
        <v>500</v>
      </c>
      <c r="DH29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6" s="801">
        <f>IF(WWWW[[#This Row],['# People with access to soap]]&gt;WWWW[[#This Row],['# People with access to Sanity Pads]],WWWW[[#This Row],['# People with access to soap]],WWWW[[#This Row],['# People with access to Sanity Pads]])</f>
        <v>0</v>
      </c>
      <c r="DK296"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6" s="803">
        <f>IF(WWWW[[#This Row],[HRP3]]/WWWW[[#This Row],[Total PoP ]]&gt;1,1,WWWW[[#This Row],[HRP3]]/WWWW[[#This Row],[Total PoP ]])</f>
        <v>0.94517958412098302</v>
      </c>
      <c r="DM296" s="802">
        <f>1-WWWW[[#This Row],[Hygiene Coverage%]]</f>
        <v>5.4820415879016982E-2</v>
      </c>
      <c r="DN296" s="800">
        <f>WWWW[[#This Row],['# people reached by regular dedicated hygiene promotion_5]]/WWWW[[#This Row],[Total PoP ]]</f>
        <v>0.94517958412098302</v>
      </c>
      <c r="DO29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6" s="801">
        <f>WWWW[[#This Row],['#_Constructed/Existing hand washing stations]]-WWWW[[#This Row],['#_Non-Functional_hand_washing_stations]]</f>
        <v>0</v>
      </c>
      <c r="DR296" s="798">
        <f>IF(WWWW[[#This Row],['# Functional hand washing stations during reporting period]]*20&gt;WWWW[[#This Row],[Total HH]],WWWW[[#This Row],[Total HH]],WWWW[[#This Row],['# Functional hand washing stations during reporting period]]*20)</f>
        <v>0</v>
      </c>
      <c r="DS296" s="798">
        <f>IF(WWWW[[#This Row],[Is sufficient soap available for TLS? (Yes/No)]]="yes",WWWW[[#This Row],['#_Constructed/Existing hand washing stations at TLS]],0)</f>
        <v>0</v>
      </c>
      <c r="DT296" s="479">
        <f>IF(WWWW[[#This Row],['# Functional hand washing stations during reporting period]]*100&gt;WWWW[[#This Row],[Total PoP ]],WWWW[[#This Row],[Total PoP ]],WWWW[[#This Row],['# Functional hand washing stations during reporting period]]*100)</f>
        <v>0</v>
      </c>
      <c r="DU296" s="479" t="str">
        <f>IF(OR(WWWW[[#This Row],['#_students at TLS_CFS]]="",WWWW[[#This Row],['#_students at TLS_CFS]]=0),"No","Yes")</f>
        <v>No</v>
      </c>
      <c r="DV29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6" s="794" t="str">
        <f>VLOOKUP(WWWW[[#This Row],[Site Name]],SiteDB6[[Site Name]:[CCCM Management]],6,FALSE)</f>
        <v>Yes</v>
      </c>
      <c r="DZ296" s="794" t="str">
        <f>VLOOKUP(WWWW[[#This Row],[Site Name]],SiteDB6[[Site Name]:[CCCM Focal Agency]],7,FALSE)</f>
        <v>KBC-NSS</v>
      </c>
      <c r="EA296" s="794" t="str">
        <f>VLOOKUP(WWWW[[#This Row],[Site Name]],SiteDB6[[Site Name]:[Location Type 1]],9,FALSE)</f>
        <v>Camp</v>
      </c>
      <c r="EB296" s="794" t="str">
        <f>VLOOKUP(WWWW[[#This Row],[Site Name]],SiteDB6[[Site Name]:[Type of Accommodation]],10,FALSE)</f>
        <v>Camp</v>
      </c>
      <c r="EC296" s="794" t="str">
        <f>VLOOKUP(WWWW[[#This Row],[Site Name]],SiteDB6[[Site Name]:[Ethnic or GCA/NGCA]],11,FALSE)</f>
        <v>GCA</v>
      </c>
      <c r="ED296" s="794">
        <f>VLOOKUP(WWWW[[#This Row],[Site Name]],SiteDB6[[Site Name]:[Lat]],12,FALSE)</f>
        <v>23.83013</v>
      </c>
      <c r="EE296" s="794">
        <f>VLOOKUP(WWWW[[#This Row],[Site Name]],SiteDB6[[Site Name]:[Long]],13,FALSE)</f>
        <v>97.589979999999997</v>
      </c>
      <c r="EF296" s="794" t="str">
        <f>VLOOKUP(WWWW[[#This Row],[Site Name]],SiteDB6[[Site Name]:[Pcode]],3,FALSE)</f>
        <v>MMR001CMP133</v>
      </c>
      <c r="EG296" s="799" t="str">
        <f t="shared" si="6"/>
        <v>Covered</v>
      </c>
      <c r="EH296" s="799" t="str">
        <f>VLOOKUP(WWWW[[#This Row],[Site Name]],Site_DB!$C$389:$D$1120,2,FALSE)</f>
        <v>cccm_2019OCT</v>
      </c>
    </row>
    <row r="297" spans="1:138" hidden="1">
      <c r="A297" s="792" t="s">
        <v>3262</v>
      </c>
      <c r="B297" s="792" t="s">
        <v>195</v>
      </c>
      <c r="C297" s="793" t="s">
        <v>195</v>
      </c>
      <c r="D297" s="404" t="s">
        <v>3364</v>
      </c>
      <c r="E297" s="793" t="s">
        <v>39</v>
      </c>
      <c r="F297" s="793" t="s">
        <v>40</v>
      </c>
      <c r="G297" s="721" t="str">
        <f>VLOOKUP(WWWW[[#This Row],[Site Name]],SiteDB6[[Site Name]:[Location Type]],8,FALSE)</f>
        <v>Camp</v>
      </c>
      <c r="H297" s="404" t="s">
        <v>303</v>
      </c>
      <c r="I297" s="720">
        <v>120</v>
      </c>
      <c r="J297" s="720">
        <v>535</v>
      </c>
      <c r="K297" s="407" t="s">
        <v>3607</v>
      </c>
      <c r="L297" s="56" t="s">
        <v>3608</v>
      </c>
      <c r="M297" s="795"/>
      <c r="N297" s="795"/>
      <c r="O297" s="795"/>
      <c r="P297" s="795"/>
      <c r="Q297" s="798"/>
      <c r="R297" s="795"/>
      <c r="S297" s="795"/>
      <c r="T297" s="523"/>
      <c r="U297" s="795"/>
      <c r="V297" s="795"/>
      <c r="W297" s="795"/>
      <c r="X297" s="795"/>
      <c r="Y297" s="795"/>
      <c r="Z297" s="795"/>
      <c r="AA297" s="795"/>
      <c r="AB297" s="795"/>
      <c r="AC297" s="795"/>
      <c r="AD297" s="795"/>
      <c r="AE297" s="795"/>
      <c r="AF297" s="795"/>
      <c r="AG297" s="795"/>
      <c r="AH297" s="795"/>
      <c r="AI297" s="795"/>
      <c r="AJ297" s="795"/>
      <c r="AK297" s="795"/>
      <c r="AL297" s="795"/>
      <c r="AM297" s="795"/>
      <c r="AN297" s="795"/>
      <c r="AO297" s="799"/>
      <c r="AP297" s="795">
        <v>12</v>
      </c>
      <c r="AQ297" s="795"/>
      <c r="AR297" s="800"/>
      <c r="AS297" s="795"/>
      <c r="AT297" s="795"/>
      <c r="AU297" s="795"/>
      <c r="AV297" s="795"/>
      <c r="AW297" s="795"/>
      <c r="AX297" s="794" t="s">
        <v>143</v>
      </c>
      <c r="AY297" s="799" t="s">
        <v>143</v>
      </c>
      <c r="AZ297" s="795"/>
      <c r="BA297" s="795"/>
      <c r="BB297" s="795"/>
      <c r="BC297" s="523"/>
      <c r="BD297" s="523"/>
      <c r="BE297" s="794"/>
      <c r="BF297" s="795"/>
      <c r="BG297" s="795"/>
      <c r="BH297" s="795"/>
      <c r="BI297" s="795"/>
      <c r="BJ297" s="795"/>
      <c r="BK297" s="795"/>
      <c r="BL297" s="795"/>
      <c r="BM297" s="795"/>
      <c r="BN297" s="795"/>
      <c r="BO297" s="794"/>
      <c r="BP297" s="801"/>
      <c r="BQ297" s="800"/>
      <c r="BR297" s="794"/>
      <c r="BS297" s="472"/>
      <c r="BT297" s="472"/>
      <c r="BU297" s="523"/>
      <c r="BV297" s="472"/>
      <c r="BW297" s="523"/>
      <c r="BX297" s="523"/>
      <c r="BY297" s="523"/>
      <c r="BZ297" s="802" t="str">
        <f>IFERROR(WWWW[[#This Row],['#_Water sources passed]]/WWWW[[#This Row],['#_Water sources tested for fecal coliform ]],"no test")</f>
        <v>no test</v>
      </c>
      <c r="CA297" s="800" t="str">
        <f>IFERROR(WWWW[[#This Row],['#_Household passed]]/WWWW[[#This Row],['#_Household water samples tested for fecal coliform]],"no test")</f>
        <v>no test</v>
      </c>
      <c r="CB297" s="801" t="str">
        <f>IF(AND(WWWW[[#This Row],[% of water sources passed]]="no test",WWWW[[#This Row],[% Household passed]]="no test"),"No Test","Tested")</f>
        <v>No Test</v>
      </c>
      <c r="CC297" s="801">
        <f>WWWW[[#This Row],['#_Constructed/existing protected hand dug well]]-WWWW[[#This Row],['#_Non-functional protected hand dug well]]</f>
        <v>0</v>
      </c>
      <c r="CD297" s="801">
        <f>(WWWW[[#This Row],['#_Constructed/Existing tube wells/boreholes/handpumps_WASH_agency]]+WWWW[[#This Row],['#_Non-Cluster partner water tube-wells/boreholes/handpumps]])-WWWW[[#This Row],['#_Non-functional tube wells/boreholes/handpumps]]</f>
        <v>0</v>
      </c>
      <c r="CE297" s="801">
        <f>WWWW[[#This Row],['#_Constructed/Existingwater storage tank with gravity fed reticulation system]]-WWWW[[#This Row],['#_Non-functional storage tank gravity fed reticulation system]]</f>
        <v>0</v>
      </c>
      <c r="CF297" s="801">
        <f>(WWWW[[#This Row],['#_Water_Liters_supplied_by_Water boating or water trucking]]/90)/15</f>
        <v>0</v>
      </c>
      <c r="CG297" s="801">
        <f>WWWW[[#This Row],['#_Water_Liters_from_Constructed/Existing water distribution system from river or natural spring]]/90/15</f>
        <v>0</v>
      </c>
      <c r="CH297" s="473">
        <f>WWWW[[#This Row],['#_of water points in TLS/CFS /THF]]*500</f>
        <v>0</v>
      </c>
      <c r="CI29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7" s="800">
        <f>IF(WWWW[[#This Row],[Location Type 1]]="Village",WWWW[[#This Row],[Access to safe drinking water for Village]],WWWW[[#This Row],[Access to safe drinking water for Camp]])</f>
        <v>0</v>
      </c>
      <c r="CL297" s="798">
        <f>WWWW[[#This Row],[%Equitable and continuous access to sufficient quantity of safe drinking water]]*WWWW[[#This Row],[Total PoP ]]</f>
        <v>0</v>
      </c>
      <c r="CM297" s="800">
        <f>IF((WWWW[[#This Row],['#_Constructed/Existing protected/fenced ponds]]*250)/WWWW[[#This Row],[Total PoP ]]&gt;1,1,(WWWW[[#This Row],['#_Constructed/Existing protected/fenced ponds]]*250)/WWWW[[#This Row],[Total PoP ]])</f>
        <v>0</v>
      </c>
      <c r="CN297" s="798">
        <f>WWWW[[#This Row],[% Access to unimproved water points]]*WWWW[[#This Row],[Total PoP ]]</f>
        <v>0</v>
      </c>
      <c r="CO29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7" s="798">
        <f>WWWW[[#This Row],[HRP1]]/500</f>
        <v>0</v>
      </c>
      <c r="CR297" s="803">
        <f>1-WWWW[[#This Row],[% Equitable and continuous access to sufficient quantity of domestic water]]</f>
        <v>1</v>
      </c>
      <c r="CS297" s="798">
        <f>WWWW[[#This Row],[%equitable and continuous access to sufficient quantity of safe drinking and domestic water''s GAP]]*WWWW[[#This Row],[Total PoP ]]</f>
        <v>535</v>
      </c>
      <c r="CT297" s="801">
        <f>IF(WWWW[[#This Row],[Total required water points]]-WWWW[[#This Row],['#Water points coverage]]&lt;0,0,WWWW[[#This Row],[Total required water points]]-WWWW[[#This Row],['#Water points coverage]])</f>
        <v>1</v>
      </c>
      <c r="CU297" s="801">
        <f>ROUND(IF(WWWW[[#This Row],[Total PoP ]]&lt;500,1,WWWW[[#This Row],[Total PoP ]]/500),0)</f>
        <v>1</v>
      </c>
      <c r="CV297" s="801">
        <f>(WWWW[[#This Row],['#_Constructed latrines_by_WASHAgencies]]+WWWW[[#This Row],['#_Non Cluster partner latrines]])-WWWW[[#This Row],['#_Non-functional latrines]]</f>
        <v>12</v>
      </c>
      <c r="CW297" s="804">
        <f>WWWW[[#This Row],[HRP2]]/WWWW[[#This Row],[Total PoP ]]</f>
        <v>0.44859813084112149</v>
      </c>
      <c r="CX29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29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7" s="473">
        <f>IF(WWWW[[#This Row],['# of functional latrines in THF supported by WASH partners during the reporting period2]]="",0,WWWW[[#This Row],['# of functional latrines in THF supported by WASH partners during the reporting period2]]*50)</f>
        <v>0</v>
      </c>
      <c r="DB297" s="473">
        <f>WWWW[[#This Row],['# students access to functioning school latrines_HRP5]]+WWWW[[#This Row],['# People access to functioning latrines in THF_HRP5]]</f>
        <v>0</v>
      </c>
      <c r="DC297" s="801">
        <f>ROUND(IF(WWWW[[#This Row],[Location Type 1]]="camp",WWWW[[#This Row],[Total PoP ]]/20,IF(WWWW[[#This Row],[Location Type 1]]="Temporary Location",WWWW[[#This Row],[Total PoP ]]/50,(WWWW[[#This Row],[Total PoP ]]/6))),0)</f>
        <v>27</v>
      </c>
      <c r="DD297" s="801">
        <f>IF(WWWW[[#This Row],[Total required Latrines]]-(WWWW[[#This Row],['#_Constructed latrines_by_WASHAgencies]]+WWWW[[#This Row],['#_Non Cluster partner latrines]])&lt;0,0,WWWW[[#This Row],[Total required Latrines]]-(WWWW[[#This Row],['#_Constructed latrines_by_WASHAgencies]]+WWWW[[#This Row],['#_Non Cluster partner latrines]]))</f>
        <v>15</v>
      </c>
      <c r="DE297" s="803">
        <f>1-WWWW[[#This Row],[% people access to functioning Latrine]]</f>
        <v>0.55140186915887845</v>
      </c>
      <c r="DF297" s="802">
        <f>IF(OR(WWWW[[#This Row],['#_Non-functional latrines]]="",WWWW[[#This Row],['#_Non-functional latrines]]=0),0,WWWW[[#This Row],['#_Non-functional latrines]]/(WWWW[[#This Row],['#_Constructed latrines_by_WASHAgencies]]+WWWW[[#This Row],['#_Non Cluster partner latrines]]))</f>
        <v>0</v>
      </c>
      <c r="DG297" s="798">
        <f>IF(500*(WWWW[[#This Row],['#_male hygiene promoters]]+WWWW[[#This Row],['#_female hygiene promoters]])&gt;WWWW[[#This Row],[Total PoP ]],WWWW[[#This Row],[Total PoP ]],500*(WWWW[[#This Row],['#_male hygiene promoters]]+WWWW[[#This Row],['#_female hygiene promoters]]))</f>
        <v>0</v>
      </c>
      <c r="DH29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7" s="801">
        <f>IF(WWWW[[#This Row],['# People with access to soap]]&gt;WWWW[[#This Row],['# People with access to Sanity Pads]],WWWW[[#This Row],['# People with access to soap]],WWWW[[#This Row],['# People with access to Sanity Pads]])</f>
        <v>0</v>
      </c>
      <c r="DK29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97" s="803">
        <f>IF(WWWW[[#This Row],[HRP3]]/WWWW[[#This Row],[Total PoP ]]&gt;1,1,WWWW[[#This Row],[HRP3]]/WWWW[[#This Row],[Total PoP ]])</f>
        <v>0</v>
      </c>
      <c r="DM297" s="802">
        <f>1-WWWW[[#This Row],[Hygiene Coverage%]]</f>
        <v>1</v>
      </c>
      <c r="DN297" s="800">
        <f>WWWW[[#This Row],['# people reached by regular dedicated hygiene promotion_5]]/WWWW[[#This Row],[Total PoP ]]</f>
        <v>0</v>
      </c>
      <c r="DO29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7" s="801">
        <f>WWWW[[#This Row],['#_Constructed/Existing hand washing stations]]-WWWW[[#This Row],['#_Non-Functional_hand_washing_stations]]</f>
        <v>0</v>
      </c>
      <c r="DR297" s="798">
        <f>IF(WWWW[[#This Row],['# Functional hand washing stations during reporting period]]*20&gt;WWWW[[#This Row],[Total HH]],WWWW[[#This Row],[Total HH]],WWWW[[#This Row],['# Functional hand washing stations during reporting period]]*20)</f>
        <v>0</v>
      </c>
      <c r="DS297" s="798">
        <f>IF(WWWW[[#This Row],[Is sufficient soap available for TLS? (Yes/No)]]="yes",WWWW[[#This Row],['#_Constructed/Existing hand washing stations at TLS]],0)</f>
        <v>0</v>
      </c>
      <c r="DT297" s="479">
        <f>IF(WWWW[[#This Row],['# Functional hand washing stations during reporting period]]*100&gt;WWWW[[#This Row],[Total PoP ]],WWWW[[#This Row],[Total PoP ]],WWWW[[#This Row],['# Functional hand washing stations during reporting period]]*100)</f>
        <v>0</v>
      </c>
      <c r="DU297" s="479" t="str">
        <f>IF(OR(WWWW[[#This Row],['#_students at TLS_CFS]]="",WWWW[[#This Row],['#_students at TLS_CFS]]=0),"No","Yes")</f>
        <v>No</v>
      </c>
      <c r="DV29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7" s="794" t="str">
        <f>VLOOKUP(WWWW[[#This Row],[Site Name]],SiteDB6[[Site Name]:[CCCM Management]],6,FALSE)</f>
        <v>Yes</v>
      </c>
      <c r="DZ297" s="794" t="str">
        <f>VLOOKUP(WWWW[[#This Row],[Site Name]],SiteDB6[[Site Name]:[CCCM Focal Agency]],7,FALSE)</f>
        <v>KBC-NSS</v>
      </c>
      <c r="EA297" s="794" t="str">
        <f>VLOOKUP(WWWW[[#This Row],[Site Name]],SiteDB6[[Site Name]:[Location Type 1]],9,FALSE)</f>
        <v>Camp</v>
      </c>
      <c r="EB297" s="794" t="str">
        <f>VLOOKUP(WWWW[[#This Row],[Site Name]],SiteDB6[[Site Name]:[Type of Accommodation]],10,FALSE)</f>
        <v>Camp</v>
      </c>
      <c r="EC297" s="794" t="str">
        <f>VLOOKUP(WWWW[[#This Row],[Site Name]],SiteDB6[[Site Name]:[Ethnic or GCA/NGCA]],11,FALSE)</f>
        <v>GCA</v>
      </c>
      <c r="ED297" s="794">
        <f>VLOOKUP(WWWW[[#This Row],[Site Name]],SiteDB6[[Site Name]:[Lat]],12,FALSE)</f>
        <v>23.829599000000002</v>
      </c>
      <c r="EE297" s="794">
        <f>VLOOKUP(WWWW[[#This Row],[Site Name]],SiteDB6[[Site Name]:[Long]],13,FALSE)</f>
        <v>97.590767</v>
      </c>
      <c r="EF297" s="794" t="str">
        <f>VLOOKUP(WWWW[[#This Row],[Site Name]],SiteDB6[[Site Name]:[Pcode]],3,FALSE)</f>
        <v>MMR001CMP230</v>
      </c>
      <c r="EG297" s="799" t="str">
        <f t="shared" si="6"/>
        <v>Covered</v>
      </c>
      <c r="EH297" s="799" t="str">
        <f>VLOOKUP(WWWW[[#This Row],[Site Name]],Site_DB!$C$389:$D$1120,2,FALSE)</f>
        <v>cccm_2019OCT</v>
      </c>
    </row>
    <row r="298" spans="1:138" hidden="1">
      <c r="A298" s="792" t="s">
        <v>3262</v>
      </c>
      <c r="B298" s="792" t="s">
        <v>195</v>
      </c>
      <c r="C298" s="793" t="s">
        <v>195</v>
      </c>
      <c r="D298" s="404" t="s">
        <v>3364</v>
      </c>
      <c r="E298" s="793" t="s">
        <v>39</v>
      </c>
      <c r="F298" s="793" t="s">
        <v>40</v>
      </c>
      <c r="G298" s="721" t="str">
        <f>VLOOKUP(WWWW[[#This Row],[Site Name]],SiteDB6[[Site Name]:[Location Type]],8,FALSE)</f>
        <v>Camp</v>
      </c>
      <c r="H298" s="793" t="s">
        <v>304</v>
      </c>
      <c r="I298" s="720">
        <v>471</v>
      </c>
      <c r="J298" s="720">
        <v>2306</v>
      </c>
      <c r="K298" s="407" t="s">
        <v>3607</v>
      </c>
      <c r="L298" s="56" t="s">
        <v>3608</v>
      </c>
      <c r="M298" s="795"/>
      <c r="N298" s="795"/>
      <c r="O298" s="795"/>
      <c r="P298" s="795"/>
      <c r="Q298" s="798"/>
      <c r="R298" s="795"/>
      <c r="S298" s="795"/>
      <c r="T298" s="523"/>
      <c r="U298" s="795"/>
      <c r="V298" s="795"/>
      <c r="W298" s="795"/>
      <c r="X298" s="795"/>
      <c r="Y298" s="795"/>
      <c r="Z298" s="795"/>
      <c r="AA298" s="795"/>
      <c r="AB298" s="795"/>
      <c r="AC298" s="795"/>
      <c r="AD298" s="795"/>
      <c r="AE298" s="795"/>
      <c r="AF298" s="795"/>
      <c r="AG298" s="795"/>
      <c r="AH298" s="795"/>
      <c r="AI298" s="795"/>
      <c r="AJ298" s="795"/>
      <c r="AK298" s="795"/>
      <c r="AL298" s="795"/>
      <c r="AM298" s="795"/>
      <c r="AN298" s="795"/>
      <c r="AO298" s="799"/>
      <c r="AP298" s="795"/>
      <c r="AQ298" s="795"/>
      <c r="AR298" s="800"/>
      <c r="AS298" s="795"/>
      <c r="AT298" s="795"/>
      <c r="AU298" s="795"/>
      <c r="AV298" s="795"/>
      <c r="AW298" s="795"/>
      <c r="AX298" s="794" t="s">
        <v>143</v>
      </c>
      <c r="AY298" s="799" t="s">
        <v>143</v>
      </c>
      <c r="AZ298" s="795"/>
      <c r="BA298" s="795"/>
      <c r="BB298" s="795"/>
      <c r="BC298" s="523"/>
      <c r="BD298" s="523"/>
      <c r="BE298" s="794"/>
      <c r="BF298" s="795"/>
      <c r="BG298" s="795"/>
      <c r="BH298" s="795"/>
      <c r="BI298" s="795"/>
      <c r="BJ298" s="795"/>
      <c r="BK298" s="795"/>
      <c r="BL298" s="795">
        <v>1</v>
      </c>
      <c r="BM298" s="795"/>
      <c r="BN298" s="795"/>
      <c r="BO298" s="794"/>
      <c r="BP298" s="801"/>
      <c r="BQ298" s="800"/>
      <c r="BR298" s="794"/>
      <c r="BS298" s="472"/>
      <c r="BT298" s="472"/>
      <c r="BU298" s="523"/>
      <c r="BV298" s="472"/>
      <c r="BW298" s="523"/>
      <c r="BX298" s="523"/>
      <c r="BY298" s="523"/>
      <c r="BZ298" s="802" t="str">
        <f>IFERROR(WWWW[[#This Row],['#_Water sources passed]]/WWWW[[#This Row],['#_Water sources tested for fecal coliform ]],"no test")</f>
        <v>no test</v>
      </c>
      <c r="CA298" s="800" t="str">
        <f>IFERROR(WWWW[[#This Row],['#_Household passed]]/WWWW[[#This Row],['#_Household water samples tested for fecal coliform]],"no test")</f>
        <v>no test</v>
      </c>
      <c r="CB298" s="801" t="str">
        <f>IF(AND(WWWW[[#This Row],[% of water sources passed]]="no test",WWWW[[#This Row],[% Household passed]]="no test"),"No Test","Tested")</f>
        <v>No Test</v>
      </c>
      <c r="CC298" s="801">
        <f>WWWW[[#This Row],['#_Constructed/existing protected hand dug well]]-WWWW[[#This Row],['#_Non-functional protected hand dug well]]</f>
        <v>0</v>
      </c>
      <c r="CD298" s="801">
        <f>(WWWW[[#This Row],['#_Constructed/Existing tube wells/boreholes/handpumps_WASH_agency]]+WWWW[[#This Row],['#_Non-Cluster partner water tube-wells/boreholes/handpumps]])-WWWW[[#This Row],['#_Non-functional tube wells/boreholes/handpumps]]</f>
        <v>0</v>
      </c>
      <c r="CE298" s="801">
        <f>WWWW[[#This Row],['#_Constructed/Existingwater storage tank with gravity fed reticulation system]]-WWWW[[#This Row],['#_Non-functional storage tank gravity fed reticulation system]]</f>
        <v>0</v>
      </c>
      <c r="CF298" s="801">
        <f>(WWWW[[#This Row],['#_Water_Liters_supplied_by_Water boating or water trucking]]/90)/15</f>
        <v>0</v>
      </c>
      <c r="CG298" s="801">
        <f>WWWW[[#This Row],['#_Water_Liters_from_Constructed/Existing water distribution system from river or natural spring]]/90/15</f>
        <v>0</v>
      </c>
      <c r="CH298" s="473">
        <f>WWWW[[#This Row],['#_of water points in TLS/CFS /THF]]*500</f>
        <v>0</v>
      </c>
      <c r="CI29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8" s="800">
        <f>IF(WWWW[[#This Row],[Location Type 1]]="Village",WWWW[[#This Row],[Access to safe drinking water for Village]],WWWW[[#This Row],[Access to safe drinking water for Camp]])</f>
        <v>0</v>
      </c>
      <c r="CL298" s="798">
        <f>WWWW[[#This Row],[%Equitable and continuous access to sufficient quantity of safe drinking water]]*WWWW[[#This Row],[Total PoP ]]</f>
        <v>0</v>
      </c>
      <c r="CM298" s="800">
        <f>IF((WWWW[[#This Row],['#_Constructed/Existing protected/fenced ponds]]*250)/WWWW[[#This Row],[Total PoP ]]&gt;1,1,(WWWW[[#This Row],['#_Constructed/Existing protected/fenced ponds]]*250)/WWWW[[#This Row],[Total PoP ]])</f>
        <v>0</v>
      </c>
      <c r="CN298" s="798">
        <f>WWWW[[#This Row],[% Access to unimproved water points]]*WWWW[[#This Row],[Total PoP ]]</f>
        <v>0</v>
      </c>
      <c r="CO29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8" s="798">
        <f>WWWW[[#This Row],[HRP1]]/500</f>
        <v>0</v>
      </c>
      <c r="CR298" s="803">
        <f>1-WWWW[[#This Row],[% Equitable and continuous access to sufficient quantity of domestic water]]</f>
        <v>1</v>
      </c>
      <c r="CS298" s="798">
        <f>WWWW[[#This Row],[%equitable and continuous access to sufficient quantity of safe drinking and domestic water''s GAP]]*WWWW[[#This Row],[Total PoP ]]</f>
        <v>2306</v>
      </c>
      <c r="CT298" s="801">
        <f>IF(WWWW[[#This Row],[Total required water points]]-WWWW[[#This Row],['#Water points coverage]]&lt;0,0,WWWW[[#This Row],[Total required water points]]-WWWW[[#This Row],['#Water points coverage]])</f>
        <v>5</v>
      </c>
      <c r="CU298" s="801">
        <f>ROUND(IF(WWWW[[#This Row],[Total PoP ]]&lt;500,1,WWWW[[#This Row],[Total PoP ]]/500),0)</f>
        <v>5</v>
      </c>
      <c r="CV298" s="801">
        <f>(WWWW[[#This Row],['#_Constructed latrines_by_WASHAgencies]]+WWWW[[#This Row],['#_Non Cluster partner latrines]])-WWWW[[#This Row],['#_Non-functional latrines]]</f>
        <v>0</v>
      </c>
      <c r="CW298" s="804">
        <f>WWWW[[#This Row],[HRP2]]/WWWW[[#This Row],[Total PoP ]]</f>
        <v>0</v>
      </c>
      <c r="CX29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9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8" s="473">
        <f>IF(WWWW[[#This Row],['# of functional latrines in THF supported by WASH partners during the reporting period2]]="",0,WWWW[[#This Row],['# of functional latrines in THF supported by WASH partners during the reporting period2]]*50)</f>
        <v>0</v>
      </c>
      <c r="DB298" s="473">
        <f>WWWW[[#This Row],['# students access to functioning school latrines_HRP5]]+WWWW[[#This Row],['# People access to functioning latrines in THF_HRP5]]</f>
        <v>0</v>
      </c>
      <c r="DC298" s="801">
        <f>ROUND(IF(WWWW[[#This Row],[Location Type 1]]="camp",WWWW[[#This Row],[Total PoP ]]/20,IF(WWWW[[#This Row],[Location Type 1]]="Temporary Location",WWWW[[#This Row],[Total PoP ]]/50,(WWWW[[#This Row],[Total PoP ]]/6))),0)</f>
        <v>115</v>
      </c>
      <c r="DD298" s="801">
        <f>IF(WWWW[[#This Row],[Total required Latrines]]-(WWWW[[#This Row],['#_Constructed latrines_by_WASHAgencies]]+WWWW[[#This Row],['#_Non Cluster partner latrines]])&lt;0,0,WWWW[[#This Row],[Total required Latrines]]-(WWWW[[#This Row],['#_Constructed latrines_by_WASHAgencies]]+WWWW[[#This Row],['#_Non Cluster partner latrines]]))</f>
        <v>115</v>
      </c>
      <c r="DE298" s="803">
        <f>1-WWWW[[#This Row],[% people access to functioning Latrine]]</f>
        <v>1</v>
      </c>
      <c r="DF298" s="802">
        <f>IF(OR(WWWW[[#This Row],['#_Non-functional latrines]]="",WWWW[[#This Row],['#_Non-functional latrines]]=0),0,WWWW[[#This Row],['#_Non-functional latrines]]/(WWWW[[#This Row],['#_Constructed latrines_by_WASHAgencies]]+WWWW[[#This Row],['#_Non Cluster partner latrines]]))</f>
        <v>0</v>
      </c>
      <c r="DG298" s="798">
        <f>IF(500*(WWWW[[#This Row],['#_male hygiene promoters]]+WWWW[[#This Row],['#_female hygiene promoters]])&gt;WWWW[[#This Row],[Total PoP ]],WWWW[[#This Row],[Total PoP ]],500*(WWWW[[#This Row],['#_male hygiene promoters]]+WWWW[[#This Row],['#_female hygiene promoters]]))</f>
        <v>500</v>
      </c>
      <c r="DH29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8" s="801">
        <f>IF(WWWW[[#This Row],['# People with access to soap]]&gt;WWWW[[#This Row],['# People with access to Sanity Pads]],WWWW[[#This Row],['# People with access to soap]],WWWW[[#This Row],['# People with access to Sanity Pads]])</f>
        <v>0</v>
      </c>
      <c r="DK298" s="80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298" s="803">
        <f>IF(WWWW[[#This Row],[HRP3]]/WWWW[[#This Row],[Total PoP ]]&gt;1,1,WWWW[[#This Row],[HRP3]]/WWWW[[#This Row],[Total PoP ]])</f>
        <v>0.2168256721595837</v>
      </c>
      <c r="DM298" s="802">
        <f>1-WWWW[[#This Row],[Hygiene Coverage%]]</f>
        <v>0.7831743278404163</v>
      </c>
      <c r="DN298" s="800">
        <f>WWWW[[#This Row],['# people reached by regular dedicated hygiene promotion_5]]/WWWW[[#This Row],[Total PoP ]]</f>
        <v>0.2168256721595837</v>
      </c>
      <c r="DO29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8" s="801">
        <f>WWWW[[#This Row],['#_Constructed/Existing hand washing stations]]-WWWW[[#This Row],['#_Non-Functional_hand_washing_stations]]</f>
        <v>0</v>
      </c>
      <c r="DR298" s="798">
        <f>IF(WWWW[[#This Row],['# Functional hand washing stations during reporting period]]*20&gt;WWWW[[#This Row],[Total HH]],WWWW[[#This Row],[Total HH]],WWWW[[#This Row],['# Functional hand washing stations during reporting period]]*20)</f>
        <v>0</v>
      </c>
      <c r="DS298" s="798">
        <f>IF(WWWW[[#This Row],[Is sufficient soap available for TLS? (Yes/No)]]="yes",WWWW[[#This Row],['#_Constructed/Existing hand washing stations at TLS]],0)</f>
        <v>0</v>
      </c>
      <c r="DT298" s="479">
        <f>IF(WWWW[[#This Row],['# Functional hand washing stations during reporting period]]*100&gt;WWWW[[#This Row],[Total PoP ]],WWWW[[#This Row],[Total PoP ]],WWWW[[#This Row],['# Functional hand washing stations during reporting period]]*100)</f>
        <v>0</v>
      </c>
      <c r="DU298" s="479" t="str">
        <f>IF(OR(WWWW[[#This Row],['#_students at TLS_CFS]]="",WWWW[[#This Row],['#_students at TLS_CFS]]=0),"No","Yes")</f>
        <v>No</v>
      </c>
      <c r="DV29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8" s="794" t="str">
        <f>VLOOKUP(WWWW[[#This Row],[Site Name]],SiteDB6[[Site Name]:[CCCM Management]],6,FALSE)</f>
        <v>Yes</v>
      </c>
      <c r="DZ298" s="794" t="str">
        <f>VLOOKUP(WWWW[[#This Row],[Site Name]],SiteDB6[[Site Name]:[CCCM Focal Agency]],7,FALSE)</f>
        <v>KMSS-BMO</v>
      </c>
      <c r="EA298" s="794" t="str">
        <f>VLOOKUP(WWWW[[#This Row],[Site Name]],SiteDB6[[Site Name]:[Location Type 1]],9,FALSE)</f>
        <v>Camp</v>
      </c>
      <c r="EB298" s="794" t="str">
        <f>VLOOKUP(WWWW[[#This Row],[Site Name]],SiteDB6[[Site Name]:[Type of Accommodation]],10,FALSE)</f>
        <v>Camp</v>
      </c>
      <c r="EC298" s="794" t="str">
        <f>VLOOKUP(WWWW[[#This Row],[Site Name]],SiteDB6[[Site Name]:[Ethnic or GCA/NGCA]],11,FALSE)</f>
        <v>GCA</v>
      </c>
      <c r="ED298" s="794">
        <f>VLOOKUP(WWWW[[#This Row],[Site Name]],SiteDB6[[Site Name]:[Lat]],12,FALSE)</f>
        <v>23.835319999999999</v>
      </c>
      <c r="EE298" s="794">
        <f>VLOOKUP(WWWW[[#This Row],[Site Name]],SiteDB6[[Site Name]:[Long]],13,FALSE)</f>
        <v>97.578490000000002</v>
      </c>
      <c r="EF298" s="794" t="str">
        <f>VLOOKUP(WWWW[[#This Row],[Site Name]],SiteDB6[[Site Name]:[Pcode]],3,FALSE)</f>
        <v>MMR001CMP132</v>
      </c>
      <c r="EG298" s="799" t="str">
        <f t="shared" si="6"/>
        <v>Covered</v>
      </c>
      <c r="EH298" s="799" t="str">
        <f>VLOOKUP(WWWW[[#This Row],[Site Name]],Site_DB!$C$389:$D$1120,2,FALSE)</f>
        <v>cccm_2019OCT</v>
      </c>
    </row>
    <row r="299" spans="1:138" hidden="1">
      <c r="A299" s="792" t="s">
        <v>3262</v>
      </c>
      <c r="B299" s="792" t="s">
        <v>195</v>
      </c>
      <c r="C299" s="793" t="s">
        <v>195</v>
      </c>
      <c r="D299" s="404" t="s">
        <v>3364</v>
      </c>
      <c r="E299" s="793" t="s">
        <v>39</v>
      </c>
      <c r="F299" s="793" t="s">
        <v>40</v>
      </c>
      <c r="G299" s="721" t="str">
        <f>VLOOKUP(WWWW[[#This Row],[Site Name]],SiteDB6[[Site Name]:[Location Type]],8,FALSE)</f>
        <v>Camp</v>
      </c>
      <c r="H299" s="404" t="s">
        <v>305</v>
      </c>
      <c r="I299" s="720">
        <v>144</v>
      </c>
      <c r="J299" s="720">
        <v>631</v>
      </c>
      <c r="K299" s="407" t="s">
        <v>3607</v>
      </c>
      <c r="L299" s="56" t="s">
        <v>3608</v>
      </c>
      <c r="M299" s="795"/>
      <c r="N299" s="795"/>
      <c r="O299" s="795"/>
      <c r="P299" s="795"/>
      <c r="Q299" s="798"/>
      <c r="R299" s="795"/>
      <c r="S299" s="795"/>
      <c r="T299" s="523"/>
      <c r="U299" s="795"/>
      <c r="V299" s="795"/>
      <c r="W299" s="795"/>
      <c r="X299" s="795"/>
      <c r="Y299" s="795"/>
      <c r="Z299" s="795"/>
      <c r="AA299" s="795"/>
      <c r="AB299" s="795"/>
      <c r="AC299" s="795"/>
      <c r="AD299" s="795"/>
      <c r="AE299" s="795"/>
      <c r="AF299" s="795"/>
      <c r="AG299" s="795"/>
      <c r="AH299" s="795"/>
      <c r="AI299" s="795"/>
      <c r="AJ299" s="795"/>
      <c r="AK299" s="795"/>
      <c r="AL299" s="795"/>
      <c r="AM299" s="795"/>
      <c r="AN299" s="795"/>
      <c r="AO299" s="799"/>
      <c r="AP299" s="795"/>
      <c r="AQ299" s="795"/>
      <c r="AR299" s="800"/>
      <c r="AS299" s="795"/>
      <c r="AT299" s="795"/>
      <c r="AU299" s="795"/>
      <c r="AV299" s="795"/>
      <c r="AW299" s="795"/>
      <c r="AX299" s="794" t="s">
        <v>143</v>
      </c>
      <c r="AY299" s="799" t="s">
        <v>143</v>
      </c>
      <c r="AZ299" s="795"/>
      <c r="BA299" s="795"/>
      <c r="BB299" s="795"/>
      <c r="BC299" s="523"/>
      <c r="BD299" s="523"/>
      <c r="BE299" s="794"/>
      <c r="BF299" s="795"/>
      <c r="BG299" s="795"/>
      <c r="BH299" s="795"/>
      <c r="BI299" s="795"/>
      <c r="BJ299" s="795"/>
      <c r="BK299" s="795"/>
      <c r="BL299" s="795"/>
      <c r="BM299" s="795"/>
      <c r="BN299" s="795"/>
      <c r="BO299" s="794"/>
      <c r="BP299" s="801"/>
      <c r="BQ299" s="800"/>
      <c r="BR299" s="794"/>
      <c r="BS299" s="472"/>
      <c r="BT299" s="472"/>
      <c r="BU299" s="523"/>
      <c r="BV299" s="472"/>
      <c r="BW299" s="523"/>
      <c r="BX299" s="523"/>
      <c r="BY299" s="523"/>
      <c r="BZ299" s="802" t="str">
        <f>IFERROR(WWWW[[#This Row],['#_Water sources passed]]/WWWW[[#This Row],['#_Water sources tested for fecal coliform ]],"no test")</f>
        <v>no test</v>
      </c>
      <c r="CA299" s="800" t="str">
        <f>IFERROR(WWWW[[#This Row],['#_Household passed]]/WWWW[[#This Row],['#_Household water samples tested for fecal coliform]],"no test")</f>
        <v>no test</v>
      </c>
      <c r="CB299" s="801" t="str">
        <f>IF(AND(WWWW[[#This Row],[% of water sources passed]]="no test",WWWW[[#This Row],[% Household passed]]="no test"),"No Test","Tested")</f>
        <v>No Test</v>
      </c>
      <c r="CC299" s="801">
        <f>WWWW[[#This Row],['#_Constructed/existing protected hand dug well]]-WWWW[[#This Row],['#_Non-functional protected hand dug well]]</f>
        <v>0</v>
      </c>
      <c r="CD299" s="801">
        <f>(WWWW[[#This Row],['#_Constructed/Existing tube wells/boreholes/handpumps_WASH_agency]]+WWWW[[#This Row],['#_Non-Cluster partner water tube-wells/boreholes/handpumps]])-WWWW[[#This Row],['#_Non-functional tube wells/boreholes/handpumps]]</f>
        <v>0</v>
      </c>
      <c r="CE299" s="801">
        <f>WWWW[[#This Row],['#_Constructed/Existingwater storage tank with gravity fed reticulation system]]-WWWW[[#This Row],['#_Non-functional storage tank gravity fed reticulation system]]</f>
        <v>0</v>
      </c>
      <c r="CF299" s="801">
        <f>(WWWW[[#This Row],['#_Water_Liters_supplied_by_Water boating or water trucking]]/90)/15</f>
        <v>0</v>
      </c>
      <c r="CG299" s="801">
        <f>WWWW[[#This Row],['#_Water_Liters_from_Constructed/Existing water distribution system from river or natural spring]]/90/15</f>
        <v>0</v>
      </c>
      <c r="CH299" s="473">
        <f>WWWW[[#This Row],['#_of water points in TLS/CFS /THF]]*500</f>
        <v>0</v>
      </c>
      <c r="CI29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29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299" s="800">
        <f>IF(WWWW[[#This Row],[Location Type 1]]="Village",WWWW[[#This Row],[Access to safe drinking water for Village]],WWWW[[#This Row],[Access to safe drinking water for Camp]])</f>
        <v>0</v>
      </c>
      <c r="CL299" s="798">
        <f>WWWW[[#This Row],[%Equitable and continuous access to sufficient quantity of safe drinking water]]*WWWW[[#This Row],[Total PoP ]]</f>
        <v>0</v>
      </c>
      <c r="CM299" s="800">
        <f>IF((WWWW[[#This Row],['#_Constructed/Existing protected/fenced ponds]]*250)/WWWW[[#This Row],[Total PoP ]]&gt;1,1,(WWWW[[#This Row],['#_Constructed/Existing protected/fenced ponds]]*250)/WWWW[[#This Row],[Total PoP ]])</f>
        <v>0</v>
      </c>
      <c r="CN299" s="798">
        <f>WWWW[[#This Row],[% Access to unimproved water points]]*WWWW[[#This Row],[Total PoP ]]</f>
        <v>0</v>
      </c>
      <c r="CO29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29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299" s="798">
        <f>WWWW[[#This Row],[HRP1]]/500</f>
        <v>0</v>
      </c>
      <c r="CR299" s="803">
        <f>1-WWWW[[#This Row],[% Equitable and continuous access to sufficient quantity of domestic water]]</f>
        <v>1</v>
      </c>
      <c r="CS299" s="798">
        <f>WWWW[[#This Row],[%equitable and continuous access to sufficient quantity of safe drinking and domestic water''s GAP]]*WWWW[[#This Row],[Total PoP ]]</f>
        <v>631</v>
      </c>
      <c r="CT299" s="801">
        <f>IF(WWWW[[#This Row],[Total required water points]]-WWWW[[#This Row],['#Water points coverage]]&lt;0,0,WWWW[[#This Row],[Total required water points]]-WWWW[[#This Row],['#Water points coverage]])</f>
        <v>1</v>
      </c>
      <c r="CU299" s="801">
        <f>ROUND(IF(WWWW[[#This Row],[Total PoP ]]&lt;500,1,WWWW[[#This Row],[Total PoP ]]/500),0)</f>
        <v>1</v>
      </c>
      <c r="CV299" s="801">
        <f>(WWWW[[#This Row],['#_Constructed latrines_by_WASHAgencies]]+WWWW[[#This Row],['#_Non Cluster partner latrines]])-WWWW[[#This Row],['#_Non-functional latrines]]</f>
        <v>0</v>
      </c>
      <c r="CW299" s="804">
        <f>WWWW[[#This Row],[HRP2]]/WWWW[[#This Row],[Total PoP ]]</f>
        <v>0</v>
      </c>
      <c r="CX29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29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29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299" s="473">
        <f>IF(WWWW[[#This Row],['# of functional latrines in THF supported by WASH partners during the reporting period2]]="",0,WWWW[[#This Row],['# of functional latrines in THF supported by WASH partners during the reporting period2]]*50)</f>
        <v>0</v>
      </c>
      <c r="DB299" s="473">
        <f>WWWW[[#This Row],['# students access to functioning school latrines_HRP5]]+WWWW[[#This Row],['# People access to functioning latrines in THF_HRP5]]</f>
        <v>0</v>
      </c>
      <c r="DC299" s="801">
        <f>ROUND(IF(WWWW[[#This Row],[Location Type 1]]="camp",WWWW[[#This Row],[Total PoP ]]/20,IF(WWWW[[#This Row],[Location Type 1]]="Temporary Location",WWWW[[#This Row],[Total PoP ]]/50,(WWWW[[#This Row],[Total PoP ]]/6))),0)</f>
        <v>32</v>
      </c>
      <c r="DD299" s="801">
        <f>IF(WWWW[[#This Row],[Total required Latrines]]-(WWWW[[#This Row],['#_Constructed latrines_by_WASHAgencies]]+WWWW[[#This Row],['#_Non Cluster partner latrines]])&lt;0,0,WWWW[[#This Row],[Total required Latrines]]-(WWWW[[#This Row],['#_Constructed latrines_by_WASHAgencies]]+WWWW[[#This Row],['#_Non Cluster partner latrines]]))</f>
        <v>32</v>
      </c>
      <c r="DE299" s="803">
        <f>1-WWWW[[#This Row],[% people access to functioning Latrine]]</f>
        <v>1</v>
      </c>
      <c r="DF299" s="802">
        <f>IF(OR(WWWW[[#This Row],['#_Non-functional latrines]]="",WWWW[[#This Row],['#_Non-functional latrines]]=0),0,WWWW[[#This Row],['#_Non-functional latrines]]/(WWWW[[#This Row],['#_Constructed latrines_by_WASHAgencies]]+WWWW[[#This Row],['#_Non Cluster partner latrines]]))</f>
        <v>0</v>
      </c>
      <c r="DG299" s="798">
        <f>IF(500*(WWWW[[#This Row],['#_male hygiene promoters]]+WWWW[[#This Row],['#_female hygiene promoters]])&gt;WWWW[[#This Row],[Total PoP ]],WWWW[[#This Row],[Total PoP ]],500*(WWWW[[#This Row],['#_male hygiene promoters]]+WWWW[[#This Row],['#_female hygiene promoters]]))</f>
        <v>0</v>
      </c>
      <c r="DH29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29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299" s="801">
        <f>IF(WWWW[[#This Row],['# People with access to soap]]&gt;WWWW[[#This Row],['# People with access to Sanity Pads]],WWWW[[#This Row],['# People with access to soap]],WWWW[[#This Row],['# People with access to Sanity Pads]])</f>
        <v>0</v>
      </c>
      <c r="DK299"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299" s="803">
        <f>IF(WWWW[[#This Row],[HRP3]]/WWWW[[#This Row],[Total PoP ]]&gt;1,1,WWWW[[#This Row],[HRP3]]/WWWW[[#This Row],[Total PoP ]])</f>
        <v>0</v>
      </c>
      <c r="DM299" s="802">
        <f>1-WWWW[[#This Row],[Hygiene Coverage%]]</f>
        <v>1</v>
      </c>
      <c r="DN299" s="800">
        <f>WWWW[[#This Row],['# people reached by regular dedicated hygiene promotion_5]]/WWWW[[#This Row],[Total PoP ]]</f>
        <v>0</v>
      </c>
      <c r="DO29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29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299" s="801">
        <f>WWWW[[#This Row],['#_Constructed/Existing hand washing stations]]-WWWW[[#This Row],['#_Non-Functional_hand_washing_stations]]</f>
        <v>0</v>
      </c>
      <c r="DR299" s="798">
        <f>IF(WWWW[[#This Row],['# Functional hand washing stations during reporting period]]*20&gt;WWWW[[#This Row],[Total HH]],WWWW[[#This Row],[Total HH]],WWWW[[#This Row],['# Functional hand washing stations during reporting period]]*20)</f>
        <v>0</v>
      </c>
      <c r="DS299" s="798">
        <f>IF(WWWW[[#This Row],[Is sufficient soap available for TLS? (Yes/No)]]="yes",WWWW[[#This Row],['#_Constructed/Existing hand washing stations at TLS]],0)</f>
        <v>0</v>
      </c>
      <c r="DT299" s="479">
        <f>IF(WWWW[[#This Row],['# Functional hand washing stations during reporting period]]*100&gt;WWWW[[#This Row],[Total PoP ]],WWWW[[#This Row],[Total PoP ]],WWWW[[#This Row],['# Functional hand washing stations during reporting period]]*100)</f>
        <v>0</v>
      </c>
      <c r="DU299" s="479" t="str">
        <f>IF(OR(WWWW[[#This Row],['#_students at TLS_CFS]]="",WWWW[[#This Row],['#_students at TLS_CFS]]=0),"No","Yes")</f>
        <v>No</v>
      </c>
      <c r="DV29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2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2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299" s="794" t="str">
        <f>VLOOKUP(WWWW[[#This Row],[Site Name]],SiteDB6[[Site Name]:[CCCM Management]],6,FALSE)</f>
        <v>Yes</v>
      </c>
      <c r="DZ299" s="794" t="str">
        <f>VLOOKUP(WWWW[[#This Row],[Site Name]],SiteDB6[[Site Name]:[CCCM Focal Agency]],7,FALSE)</f>
        <v>KMSS-BMO</v>
      </c>
      <c r="EA299" s="794" t="str">
        <f>VLOOKUP(WWWW[[#This Row],[Site Name]],SiteDB6[[Site Name]:[Location Type 1]],9,FALSE)</f>
        <v>Camp</v>
      </c>
      <c r="EB299" s="794" t="str">
        <f>VLOOKUP(WWWW[[#This Row],[Site Name]],SiteDB6[[Site Name]:[Type of Accommodation]],10,FALSE)</f>
        <v>Camp</v>
      </c>
      <c r="EC299" s="794" t="str">
        <f>VLOOKUP(WWWW[[#This Row],[Site Name]],SiteDB6[[Site Name]:[Ethnic or GCA/NGCA]],11,FALSE)</f>
        <v>GCA</v>
      </c>
      <c r="ED299" s="794">
        <f>VLOOKUP(WWWW[[#This Row],[Site Name]],SiteDB6[[Site Name]:[Lat]],12,FALSE)</f>
        <v>23.833477999999999</v>
      </c>
      <c r="EE299" s="794">
        <f>VLOOKUP(WWWW[[#This Row],[Site Name]],SiteDB6[[Site Name]:[Long]],13,FALSE)</f>
        <v>97.578367</v>
      </c>
      <c r="EF299" s="794" t="str">
        <f>VLOOKUP(WWWW[[#This Row],[Site Name]],SiteDB6[[Site Name]:[Pcode]],3,FALSE)</f>
        <v>MMR001CMP228</v>
      </c>
      <c r="EG299" s="799" t="str">
        <f t="shared" si="6"/>
        <v>Covered</v>
      </c>
      <c r="EH299" s="799" t="str">
        <f>VLOOKUP(WWWW[[#This Row],[Site Name]],Site_DB!$C$389:$D$1120,2,FALSE)</f>
        <v>cccm_2019OCT</v>
      </c>
    </row>
    <row r="300" spans="1:138" hidden="1">
      <c r="A300" s="792" t="s">
        <v>3262</v>
      </c>
      <c r="B300" s="792" t="s">
        <v>195</v>
      </c>
      <c r="C300" s="793" t="s">
        <v>195</v>
      </c>
      <c r="D300" s="793" t="s">
        <v>3291</v>
      </c>
      <c r="E300" s="793" t="s">
        <v>39</v>
      </c>
      <c r="F300" s="793" t="s">
        <v>40</v>
      </c>
      <c r="G300" s="721" t="str">
        <f>VLOOKUP(WWWW[[#This Row],[Site Name]],SiteDB6[[Site Name]:[Location Type]],8,FALSE)</f>
        <v>Camp</v>
      </c>
      <c r="H300" s="404" t="s">
        <v>986</v>
      </c>
      <c r="I300" s="795">
        <v>204</v>
      </c>
      <c r="J300" s="795">
        <v>1105</v>
      </c>
      <c r="K300" s="407" t="s">
        <v>3615</v>
      </c>
      <c r="L300" s="56" t="s">
        <v>3616</v>
      </c>
      <c r="M300" s="795"/>
      <c r="N300" s="795"/>
      <c r="O300" s="795"/>
      <c r="P300" s="795"/>
      <c r="Q300" s="798"/>
      <c r="R300" s="795"/>
      <c r="S300" s="795"/>
      <c r="T300" s="523"/>
      <c r="U300" s="795"/>
      <c r="V300" s="795"/>
      <c r="W300" s="795"/>
      <c r="X300" s="795"/>
      <c r="Y300" s="795"/>
      <c r="Z300" s="795"/>
      <c r="AA300" s="795"/>
      <c r="AB300" s="795"/>
      <c r="AC300" s="795"/>
      <c r="AD300" s="795"/>
      <c r="AE300" s="795"/>
      <c r="AF300" s="795"/>
      <c r="AG300" s="795"/>
      <c r="AH300" s="795"/>
      <c r="AI300" s="795"/>
      <c r="AJ300" s="795"/>
      <c r="AK300" s="795"/>
      <c r="AL300" s="795"/>
      <c r="AM300" s="795"/>
      <c r="AN300" s="795"/>
      <c r="AO300" s="799"/>
      <c r="AP300" s="795"/>
      <c r="AQ300" s="795"/>
      <c r="AR300" s="800"/>
      <c r="AS300" s="795"/>
      <c r="AT300" s="795"/>
      <c r="AU300" s="795"/>
      <c r="AV300" s="795"/>
      <c r="AW300" s="795"/>
      <c r="AX300" s="794" t="s">
        <v>143</v>
      </c>
      <c r="AY300" s="799" t="s">
        <v>143</v>
      </c>
      <c r="AZ300" s="795"/>
      <c r="BA300" s="795"/>
      <c r="BB300" s="795"/>
      <c r="BC300" s="523"/>
      <c r="BD300" s="523"/>
      <c r="BE300" s="794"/>
      <c r="BF300" s="795"/>
      <c r="BG300" s="795"/>
      <c r="BH300" s="795"/>
      <c r="BI300" s="795"/>
      <c r="BJ300" s="795"/>
      <c r="BK300" s="795"/>
      <c r="BL300" s="795"/>
      <c r="BM300" s="795"/>
      <c r="BN300" s="795"/>
      <c r="BO300" s="794"/>
      <c r="BP300" s="801"/>
      <c r="BQ300" s="800"/>
      <c r="BR300" s="794"/>
      <c r="BS300" s="472"/>
      <c r="BT300" s="472"/>
      <c r="BU300" s="523"/>
      <c r="BV300" s="472"/>
      <c r="BW300" s="523"/>
      <c r="BX300" s="523"/>
      <c r="BY300" s="523"/>
      <c r="BZ300" s="802" t="str">
        <f>IFERROR(WWWW[[#This Row],['#_Water sources passed]]/WWWW[[#This Row],['#_Water sources tested for fecal coliform ]],"no test")</f>
        <v>no test</v>
      </c>
      <c r="CA300" s="800" t="str">
        <f>IFERROR(WWWW[[#This Row],['#_Household passed]]/WWWW[[#This Row],['#_Household water samples tested for fecal coliform]],"no test")</f>
        <v>no test</v>
      </c>
      <c r="CB300" s="801" t="str">
        <f>IF(AND(WWWW[[#This Row],[% of water sources passed]]="no test",WWWW[[#This Row],[% Household passed]]="no test"),"No Test","Tested")</f>
        <v>No Test</v>
      </c>
      <c r="CC300" s="801">
        <f>WWWW[[#This Row],['#_Constructed/existing protected hand dug well]]-WWWW[[#This Row],['#_Non-functional protected hand dug well]]</f>
        <v>0</v>
      </c>
      <c r="CD300" s="801">
        <f>(WWWW[[#This Row],['#_Constructed/Existing tube wells/boreholes/handpumps_WASH_agency]]+WWWW[[#This Row],['#_Non-Cluster partner water tube-wells/boreholes/handpumps]])-WWWW[[#This Row],['#_Non-functional tube wells/boreholes/handpumps]]</f>
        <v>0</v>
      </c>
      <c r="CE300" s="801">
        <f>WWWW[[#This Row],['#_Constructed/Existingwater storage tank with gravity fed reticulation system]]-WWWW[[#This Row],['#_Non-functional storage tank gravity fed reticulation system]]</f>
        <v>0</v>
      </c>
      <c r="CF300" s="801">
        <f>(WWWW[[#This Row],['#_Water_Liters_supplied_by_Water boating or water trucking]]/90)/15</f>
        <v>0</v>
      </c>
      <c r="CG300" s="801">
        <f>WWWW[[#This Row],['#_Water_Liters_from_Constructed/Existing water distribution system from river or natural spring]]/90/15</f>
        <v>0</v>
      </c>
      <c r="CH300" s="473">
        <f>WWWW[[#This Row],['#_of water points in TLS/CFS /THF]]*500</f>
        <v>0</v>
      </c>
      <c r="CI30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0" s="800">
        <f>IF(WWWW[[#This Row],[Location Type 1]]="Village",WWWW[[#This Row],[Access to safe drinking water for Village]],WWWW[[#This Row],[Access to safe drinking water for Camp]])</f>
        <v>0</v>
      </c>
      <c r="CL300" s="798">
        <f>WWWW[[#This Row],[%Equitable and continuous access to sufficient quantity of safe drinking water]]*WWWW[[#This Row],[Total PoP ]]</f>
        <v>0</v>
      </c>
      <c r="CM300" s="800">
        <f>IF((WWWW[[#This Row],['#_Constructed/Existing protected/fenced ponds]]*250)/WWWW[[#This Row],[Total PoP ]]&gt;1,1,(WWWW[[#This Row],['#_Constructed/Existing protected/fenced ponds]]*250)/WWWW[[#This Row],[Total PoP ]])</f>
        <v>0</v>
      </c>
      <c r="CN300" s="798">
        <f>WWWW[[#This Row],[% Access to unimproved water points]]*WWWW[[#This Row],[Total PoP ]]</f>
        <v>0</v>
      </c>
      <c r="CO30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0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00" s="798">
        <f>WWWW[[#This Row],[HRP1]]/500</f>
        <v>0</v>
      </c>
      <c r="CR300" s="803">
        <f>1-WWWW[[#This Row],[% Equitable and continuous access to sufficient quantity of domestic water]]</f>
        <v>1</v>
      </c>
      <c r="CS300" s="798">
        <f>WWWW[[#This Row],[%equitable and continuous access to sufficient quantity of safe drinking and domestic water''s GAP]]*WWWW[[#This Row],[Total PoP ]]</f>
        <v>1105</v>
      </c>
      <c r="CT300" s="801">
        <f>IF(WWWW[[#This Row],[Total required water points]]-WWWW[[#This Row],['#Water points coverage]]&lt;0,0,WWWW[[#This Row],[Total required water points]]-WWWW[[#This Row],['#Water points coverage]])</f>
        <v>2</v>
      </c>
      <c r="CU300" s="801">
        <f>ROUND(IF(WWWW[[#This Row],[Total PoP ]]&lt;500,1,WWWW[[#This Row],[Total PoP ]]/500),0)</f>
        <v>2</v>
      </c>
      <c r="CV300" s="801">
        <f>(WWWW[[#This Row],['#_Constructed latrines_by_WASHAgencies]]+WWWW[[#This Row],['#_Non Cluster partner latrines]])-WWWW[[#This Row],['#_Non-functional latrines]]</f>
        <v>0</v>
      </c>
      <c r="CW300" s="804">
        <f>WWWW[[#This Row],[HRP2]]/WWWW[[#This Row],[Total PoP ]]</f>
        <v>0</v>
      </c>
      <c r="CX30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0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0" s="473">
        <f>IF(WWWW[[#This Row],['# of functional latrines in THF supported by WASH partners during the reporting period2]]="",0,WWWW[[#This Row],['# of functional latrines in THF supported by WASH partners during the reporting period2]]*50)</f>
        <v>0</v>
      </c>
      <c r="DB300" s="473">
        <f>WWWW[[#This Row],['# students access to functioning school latrines_HRP5]]+WWWW[[#This Row],['# People access to functioning latrines in THF_HRP5]]</f>
        <v>0</v>
      </c>
      <c r="DC300" s="801">
        <f>ROUND(IF(WWWW[[#This Row],[Location Type 1]]="camp",WWWW[[#This Row],[Total PoP ]]/20,IF(WWWW[[#This Row],[Location Type 1]]="Temporary Location",WWWW[[#This Row],[Total PoP ]]/50,(WWWW[[#This Row],[Total PoP ]]/6))),0)</f>
        <v>55</v>
      </c>
      <c r="DD300" s="801">
        <f>IF(WWWW[[#This Row],[Total required Latrines]]-(WWWW[[#This Row],['#_Constructed latrines_by_WASHAgencies]]+WWWW[[#This Row],['#_Non Cluster partner latrines]])&lt;0,0,WWWW[[#This Row],[Total required Latrines]]-(WWWW[[#This Row],['#_Constructed latrines_by_WASHAgencies]]+WWWW[[#This Row],['#_Non Cluster partner latrines]]))</f>
        <v>55</v>
      </c>
      <c r="DE300" s="803">
        <f>1-WWWW[[#This Row],[% people access to functioning Latrine]]</f>
        <v>1</v>
      </c>
      <c r="DF300" s="802">
        <f>IF(OR(WWWW[[#This Row],['#_Non-functional latrines]]="",WWWW[[#This Row],['#_Non-functional latrines]]=0),0,WWWW[[#This Row],['#_Non-functional latrines]]/(WWWW[[#This Row],['#_Constructed latrines_by_WASHAgencies]]+WWWW[[#This Row],['#_Non Cluster partner latrines]]))</f>
        <v>0</v>
      </c>
      <c r="DG300" s="798">
        <f>IF(500*(WWWW[[#This Row],['#_male hygiene promoters]]+WWWW[[#This Row],['#_female hygiene promoters]])&gt;WWWW[[#This Row],[Total PoP ]],WWWW[[#This Row],[Total PoP ]],500*(WWWW[[#This Row],['#_male hygiene promoters]]+WWWW[[#This Row],['#_female hygiene promoters]]))</f>
        <v>0</v>
      </c>
      <c r="DH30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0" s="801">
        <f>IF(WWWW[[#This Row],['# People with access to soap]]&gt;WWWW[[#This Row],['# People with access to Sanity Pads]],WWWW[[#This Row],['# People with access to soap]],WWWW[[#This Row],['# People with access to Sanity Pads]])</f>
        <v>0</v>
      </c>
      <c r="DK300"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00" s="803">
        <f>IF(WWWW[[#This Row],[HRP3]]/WWWW[[#This Row],[Total PoP ]]&gt;1,1,WWWW[[#This Row],[HRP3]]/WWWW[[#This Row],[Total PoP ]])</f>
        <v>0</v>
      </c>
      <c r="DM300" s="802">
        <f>1-WWWW[[#This Row],[Hygiene Coverage%]]</f>
        <v>1</v>
      </c>
      <c r="DN300" s="800">
        <f>WWWW[[#This Row],['# people reached by regular dedicated hygiene promotion_5]]/WWWW[[#This Row],[Total PoP ]]</f>
        <v>0</v>
      </c>
      <c r="DO30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0" s="801">
        <f>WWWW[[#This Row],['#_Constructed/Existing hand washing stations]]-WWWW[[#This Row],['#_Non-Functional_hand_washing_stations]]</f>
        <v>0</v>
      </c>
      <c r="DR300" s="798">
        <f>IF(WWWW[[#This Row],['# Functional hand washing stations during reporting period]]*20&gt;WWWW[[#This Row],[Total HH]],WWWW[[#This Row],[Total HH]],WWWW[[#This Row],['# Functional hand washing stations during reporting period]]*20)</f>
        <v>0</v>
      </c>
      <c r="DS300" s="798">
        <f>IF(WWWW[[#This Row],[Is sufficient soap available for TLS? (Yes/No)]]="yes",WWWW[[#This Row],['#_Constructed/Existing hand washing stations at TLS]],0)</f>
        <v>0</v>
      </c>
      <c r="DT300" s="479">
        <f>IF(WWWW[[#This Row],['# Functional hand washing stations during reporting period]]*100&gt;WWWW[[#This Row],[Total PoP ]],WWWW[[#This Row],[Total PoP ]],WWWW[[#This Row],['# Functional hand washing stations during reporting period]]*100)</f>
        <v>0</v>
      </c>
      <c r="DU300" s="479" t="str">
        <f>IF(OR(WWWW[[#This Row],['#_students at TLS_CFS]]="",WWWW[[#This Row],['#_students at TLS_CFS]]=0),"No","Yes")</f>
        <v>No</v>
      </c>
      <c r="DV30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0" s="794">
        <f>VLOOKUP(WWWW[[#This Row],[Site Name]],SiteDB6[[Site Name]:[CCCM Management]],6,FALSE)</f>
        <v>0</v>
      </c>
      <c r="DZ300" s="794" t="str">
        <f>VLOOKUP(WWWW[[#This Row],[Site Name]],SiteDB6[[Site Name]:[CCCM Focal Agency]],7,FALSE)</f>
        <v>uncovered</v>
      </c>
      <c r="EA300" s="794" t="str">
        <f>VLOOKUP(WWWW[[#This Row],[Site Name]],SiteDB6[[Site Name]:[Location Type 1]],9,FALSE)</f>
        <v>Camp</v>
      </c>
      <c r="EB300" s="794" t="str">
        <f>VLOOKUP(WWWW[[#This Row],[Site Name]],SiteDB6[[Site Name]:[Type of Accommodation]],10,FALSE)</f>
        <v>Host Families</v>
      </c>
      <c r="EC300" s="794" t="str">
        <f>VLOOKUP(WWWW[[#This Row],[Site Name]],SiteDB6[[Site Name]:[Ethnic or GCA/NGCA]],11,FALSE)</f>
        <v>GCA</v>
      </c>
      <c r="ED300" s="794">
        <f>VLOOKUP(WWWW[[#This Row],[Site Name]],SiteDB6[[Site Name]:[Lat]],12,FALSE)</f>
        <v>23.827870999999998</v>
      </c>
      <c r="EE300" s="794">
        <f>VLOOKUP(WWWW[[#This Row],[Site Name]],SiteDB6[[Site Name]:[Long]],13,FALSE)</f>
        <v>97.588291999999996</v>
      </c>
      <c r="EF300" s="794" t="str">
        <f>VLOOKUP(WWWW[[#This Row],[Site Name]],SiteDB6[[Site Name]:[Pcode]],3,FALSE)</f>
        <v>MMR001CMP134</v>
      </c>
      <c r="EG300" s="799" t="str">
        <f t="shared" si="6"/>
        <v>Covered</v>
      </c>
      <c r="EH300" s="799" t="str">
        <f>VLOOKUP(WWWW[[#This Row],[Site Name]],Site_DB!$C$389:$D$1120,2,FALSE)</f>
        <v>cccm_2019OCT</v>
      </c>
    </row>
    <row r="301" spans="1:138" hidden="1">
      <c r="A301" s="792" t="s">
        <v>3262</v>
      </c>
      <c r="B301" s="792" t="s">
        <v>195</v>
      </c>
      <c r="C301" s="793" t="s">
        <v>195</v>
      </c>
      <c r="D301" s="793" t="s">
        <v>3364</v>
      </c>
      <c r="E301" s="793" t="s">
        <v>711</v>
      </c>
      <c r="F301" s="793" t="s">
        <v>718</v>
      </c>
      <c r="G301" s="721" t="str">
        <f>VLOOKUP(WWWW[[#This Row],[Site Name]],SiteDB6[[Site Name]:[Location Type]],8,FALSE)</f>
        <v>Camp</v>
      </c>
      <c r="H301" s="404" t="s">
        <v>744</v>
      </c>
      <c r="I301" s="795">
        <v>29</v>
      </c>
      <c r="J301" s="795">
        <v>135</v>
      </c>
      <c r="K301" s="407" t="s">
        <v>3607</v>
      </c>
      <c r="L301" s="56" t="s">
        <v>3608</v>
      </c>
      <c r="M301" s="795"/>
      <c r="N301" s="795"/>
      <c r="O301" s="795">
        <v>1</v>
      </c>
      <c r="P301" s="795"/>
      <c r="Q301" s="798" t="s">
        <v>43</v>
      </c>
      <c r="R301" s="720"/>
      <c r="S301" s="720"/>
      <c r="T301" s="523"/>
      <c r="U301" s="795"/>
      <c r="V301" s="795"/>
      <c r="W301" s="795">
        <v>1</v>
      </c>
      <c r="X301" s="795">
        <v>1</v>
      </c>
      <c r="Y301" s="795"/>
      <c r="Z301" s="795"/>
      <c r="AA301" s="795"/>
      <c r="AB301" s="795"/>
      <c r="AC301" s="795"/>
      <c r="AD301" s="795"/>
      <c r="AE301" s="795"/>
      <c r="AF301" s="795"/>
      <c r="AG301" s="795"/>
      <c r="AH301" s="795"/>
      <c r="AI301" s="795"/>
      <c r="AJ301" s="795"/>
      <c r="AK301" s="795"/>
      <c r="AL301" s="795"/>
      <c r="AM301" s="795"/>
      <c r="AN301" s="795"/>
      <c r="AO301" s="799"/>
      <c r="AP301" s="795">
        <v>18</v>
      </c>
      <c r="AQ301" s="795"/>
      <c r="AR301" s="800"/>
      <c r="AS301" s="795"/>
      <c r="AT301" s="795"/>
      <c r="AU301" s="795"/>
      <c r="AV301" s="795"/>
      <c r="AW301" s="795"/>
      <c r="AX301" s="794" t="s">
        <v>43</v>
      </c>
      <c r="AY301" s="799" t="s">
        <v>140</v>
      </c>
      <c r="AZ301" s="795"/>
      <c r="BA301" s="795"/>
      <c r="BB301" s="795"/>
      <c r="BC301" s="523"/>
      <c r="BD301" s="523"/>
      <c r="BE301" s="794"/>
      <c r="BF301" s="795"/>
      <c r="BG301" s="795"/>
      <c r="BH301" s="795"/>
      <c r="BI301" s="795">
        <v>5</v>
      </c>
      <c r="BJ301" s="795"/>
      <c r="BK301" s="795"/>
      <c r="BL301" s="795">
        <v>1</v>
      </c>
      <c r="BM301" s="720">
        <v>28</v>
      </c>
      <c r="BN301" s="795"/>
      <c r="BO301" s="806" t="s">
        <v>139</v>
      </c>
      <c r="BP301" s="801"/>
      <c r="BQ301" s="800"/>
      <c r="BR301" s="794"/>
      <c r="BS301" s="472"/>
      <c r="BT301" s="472"/>
      <c r="BU301" s="523"/>
      <c r="BV301" s="472"/>
      <c r="BW301" s="523"/>
      <c r="BX301" s="523"/>
      <c r="BY301" s="523"/>
      <c r="BZ301" s="802" t="str">
        <f>IFERROR(WWWW[[#This Row],['#_Water sources passed]]/WWWW[[#This Row],['#_Water sources tested for fecal coliform ]],"no test")</f>
        <v>no test</v>
      </c>
      <c r="CA301" s="800" t="str">
        <f>IFERROR(WWWW[[#This Row],['#_Household passed]]/WWWW[[#This Row],['#_Household water samples tested for fecal coliform]],"no test")</f>
        <v>no test</v>
      </c>
      <c r="CB301" s="801" t="str">
        <f>IF(AND(WWWW[[#This Row],[% of water sources passed]]="no test",WWWW[[#This Row],[% Household passed]]="no test"),"No Test","Tested")</f>
        <v>No Test</v>
      </c>
      <c r="CC301" s="801">
        <f>WWWW[[#This Row],['#_Constructed/existing protected hand dug well]]-WWWW[[#This Row],['#_Non-functional protected hand dug well]]</f>
        <v>0</v>
      </c>
      <c r="CD301" s="801">
        <f>(WWWW[[#This Row],['#_Constructed/Existing tube wells/boreholes/handpumps_WASH_agency]]+WWWW[[#This Row],['#_Non-Cluster partner water tube-wells/boreholes/handpumps]])-WWWW[[#This Row],['#_Non-functional tube wells/boreholes/handpumps]]</f>
        <v>2</v>
      </c>
      <c r="CE301" s="801">
        <f>WWWW[[#This Row],['#_Constructed/Existingwater storage tank with gravity fed reticulation system]]-WWWW[[#This Row],['#_Non-functional storage tank gravity fed reticulation system]]</f>
        <v>0</v>
      </c>
      <c r="CF301" s="801">
        <f>(WWWW[[#This Row],['#_Water_Liters_supplied_by_Water boating or water trucking]]/90)/15</f>
        <v>0</v>
      </c>
      <c r="CG301" s="801">
        <f>WWWW[[#This Row],['#_Water_Liters_from_Constructed/Existing water distribution system from river or natural spring]]/90/15</f>
        <v>0</v>
      </c>
      <c r="CH301" s="473">
        <f>WWWW[[#This Row],['#_of water points in TLS/CFS /THF]]*500</f>
        <v>0</v>
      </c>
      <c r="CI30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1" s="800">
        <f>IF(WWWW[[#This Row],[Location Type 1]]="Village",WWWW[[#This Row],[Access to safe drinking water for Village]],WWWW[[#This Row],[Access to safe drinking water for Camp]])</f>
        <v>1</v>
      </c>
      <c r="CL301" s="798">
        <f>WWWW[[#This Row],[%Equitable and continuous access to sufficient quantity of safe drinking water]]*WWWW[[#This Row],[Total PoP ]]</f>
        <v>135</v>
      </c>
      <c r="CM301" s="800">
        <f>IF((WWWW[[#This Row],['#_Constructed/Existing protected/fenced ponds]]*250)/WWWW[[#This Row],[Total PoP ]]&gt;1,1,(WWWW[[#This Row],['#_Constructed/Existing protected/fenced ponds]]*250)/WWWW[[#This Row],[Total PoP ]])</f>
        <v>0</v>
      </c>
      <c r="CN301" s="798">
        <f>WWWW[[#This Row],[% Access to unimproved water points]]*WWWW[[#This Row],[Total PoP ]]</f>
        <v>0</v>
      </c>
      <c r="CO30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CQ301" s="798">
        <f>WWWW[[#This Row],[HRP1]]/500</f>
        <v>0.27</v>
      </c>
      <c r="CR301" s="803">
        <f>1-WWWW[[#This Row],[% Equitable and continuous access to sufficient quantity of domestic water]]</f>
        <v>0</v>
      </c>
      <c r="CS301" s="798">
        <f>WWWW[[#This Row],[%equitable and continuous access to sufficient quantity of safe drinking and domestic water''s GAP]]*WWWW[[#This Row],[Total PoP ]]</f>
        <v>0</v>
      </c>
      <c r="CT301" s="801">
        <f>IF(WWWW[[#This Row],[Total required water points]]-WWWW[[#This Row],['#Water points coverage]]&lt;0,0,WWWW[[#This Row],[Total required water points]]-WWWW[[#This Row],['#Water points coverage]])</f>
        <v>0.73</v>
      </c>
      <c r="CU301" s="801">
        <f>ROUND(IF(WWWW[[#This Row],[Total PoP ]]&lt;500,1,WWWW[[#This Row],[Total PoP ]]/500),0)</f>
        <v>1</v>
      </c>
      <c r="CV301" s="801">
        <f>(WWWW[[#This Row],['#_Constructed latrines_by_WASHAgencies]]+WWWW[[#This Row],['#_Non Cluster partner latrines]])-WWWW[[#This Row],['#_Non-functional latrines]]</f>
        <v>18</v>
      </c>
      <c r="CW301" s="804">
        <f>WWWW[[#This Row],[HRP2]]/WWWW[[#This Row],[Total PoP ]]</f>
        <v>1</v>
      </c>
      <c r="CX30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135</v>
      </c>
      <c r="CY30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1" s="473">
        <f>IF(WWWW[[#This Row],['# of functional latrines in THF supported by WASH partners during the reporting period2]]="",0,WWWW[[#This Row],['# of functional latrines in THF supported by WASH partners during the reporting period2]]*50)</f>
        <v>0</v>
      </c>
      <c r="DB301" s="473">
        <f>WWWW[[#This Row],['# students access to functioning school latrines_HRP5]]+WWWW[[#This Row],['# People access to functioning latrines in THF_HRP5]]</f>
        <v>0</v>
      </c>
      <c r="DC301" s="801">
        <f>ROUND(IF(WWWW[[#This Row],[Location Type 1]]="camp",WWWW[[#This Row],[Total PoP ]]/20,IF(WWWW[[#This Row],[Location Type 1]]="Temporary Location",WWWW[[#This Row],[Total PoP ]]/50,(WWWW[[#This Row],[Total PoP ]]/6))),0)</f>
        <v>7</v>
      </c>
      <c r="DD301" s="801">
        <f>IF(WWWW[[#This Row],[Total required Latrines]]-(WWWW[[#This Row],['#_Constructed latrines_by_WASHAgencies]]+WWWW[[#This Row],['#_Non Cluster partner latrines]])&lt;0,0,WWWW[[#This Row],[Total required Latrines]]-(WWWW[[#This Row],['#_Constructed latrines_by_WASHAgencies]]+WWWW[[#This Row],['#_Non Cluster partner latrines]]))</f>
        <v>0</v>
      </c>
      <c r="DE301" s="803">
        <f>1-WWWW[[#This Row],[% people access to functioning Latrine]]</f>
        <v>0</v>
      </c>
      <c r="DF301" s="802">
        <f>IF(OR(WWWW[[#This Row],['#_Non-functional latrines]]="",WWWW[[#This Row],['#_Non-functional latrines]]=0),0,WWWW[[#This Row],['#_Non-functional latrines]]/(WWWW[[#This Row],['#_Constructed latrines_by_WASHAgencies]]+WWWW[[#This Row],['#_Non Cluster partner latrines]]))</f>
        <v>0</v>
      </c>
      <c r="DG301" s="798">
        <f>IF(500*(WWWW[[#This Row],['#_male hygiene promoters]]+WWWW[[#This Row],['#_female hygiene promoters]])&gt;WWWW[[#This Row],[Total PoP ]],WWWW[[#This Row],[Total PoP ]],500*(WWWW[[#This Row],['#_male hygiene promoters]]+WWWW[[#This Row],['#_female hygiene promoters]]))</f>
        <v>135</v>
      </c>
      <c r="DH30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DI30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1" s="801">
        <f>IF(WWWW[[#This Row],['# People with access to soap]]&gt;WWWW[[#This Row],['# People with access to Sanity Pads]],WWWW[[#This Row],['# People with access to soap]],WWWW[[#This Row],['# People with access to Sanity Pads]])</f>
        <v>135</v>
      </c>
      <c r="DK301" s="801">
        <f>IF(WWWW[[#This Row],['# people reached by regular dedicated hygiene promotion_5]]&gt;WWWW[[#This Row],['# People received regular supply of hygiene items_6]],WWWW[[#This Row],['# people reached by regular dedicated hygiene promotion_5]],WWWW[[#This Row],['# People received regular supply of hygiene items_6]])</f>
        <v>135</v>
      </c>
      <c r="DL301" s="803">
        <f>IF(WWWW[[#This Row],[HRP3]]/WWWW[[#This Row],[Total PoP ]]&gt;1,1,WWWW[[#This Row],[HRP3]]/WWWW[[#This Row],[Total PoP ]])</f>
        <v>1</v>
      </c>
      <c r="DM301" s="802">
        <f>1-WWWW[[#This Row],[Hygiene Coverage%]]</f>
        <v>0</v>
      </c>
      <c r="DN301" s="800">
        <f>WWWW[[#This Row],['# people reached by regular dedicated hygiene promotion_5]]/WWWW[[#This Row],[Total PoP ]]</f>
        <v>1</v>
      </c>
      <c r="DO30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1" s="801">
        <f>WWWW[[#This Row],['#_Constructed/Existing hand washing stations]]-WWWW[[#This Row],['#_Non-Functional_hand_washing_stations]]</f>
        <v>0</v>
      </c>
      <c r="DR301" s="798">
        <f>IF(WWWW[[#This Row],['# Functional hand washing stations during reporting period]]*20&gt;WWWW[[#This Row],[Total HH]],WWWW[[#This Row],[Total HH]],WWWW[[#This Row],['# Functional hand washing stations during reporting period]]*20)</f>
        <v>0</v>
      </c>
      <c r="DS301" s="798">
        <f>IF(WWWW[[#This Row],[Is sufficient soap available for TLS? (Yes/No)]]="yes",WWWW[[#This Row],['#_Constructed/Existing hand washing stations at TLS]],0)</f>
        <v>0</v>
      </c>
      <c r="DT301" s="479">
        <f>IF(WWWW[[#This Row],['# Functional hand washing stations during reporting period]]*100&gt;WWWW[[#This Row],[Total PoP ]],WWWW[[#This Row],[Total PoP ]],WWWW[[#This Row],['# Functional hand washing stations during reporting period]]*100)</f>
        <v>0</v>
      </c>
      <c r="DU301" s="479" t="str">
        <f>IF(OR(WWWW[[#This Row],['#_students at TLS_CFS]]="",WWWW[[#This Row],['#_students at TLS_CFS]]=0),"No","Yes")</f>
        <v>No</v>
      </c>
      <c r="DV30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1" s="794" t="str">
        <f>VLOOKUP(WWWW[[#This Row],[Site Name]],SiteDB6[[Site Name]:[CCCM Management]],6,FALSE)</f>
        <v>Yes</v>
      </c>
      <c r="DZ301" s="794" t="str">
        <f>VLOOKUP(WWWW[[#This Row],[Site Name]],SiteDB6[[Site Name]:[CCCM Focal Agency]],7,FALSE)</f>
        <v>KBC-NSS</v>
      </c>
      <c r="EA301" s="794" t="str">
        <f>VLOOKUP(WWWW[[#This Row],[Site Name]],SiteDB6[[Site Name]:[Location Type 1]],9,FALSE)</f>
        <v>Camp</v>
      </c>
      <c r="EB301" s="794" t="str">
        <f>VLOOKUP(WWWW[[#This Row],[Site Name]],SiteDB6[[Site Name]:[Type of Accommodation]],10,FALSE)</f>
        <v>Camp</v>
      </c>
      <c r="EC301" s="794" t="str">
        <f>VLOOKUP(WWWW[[#This Row],[Site Name]],SiteDB6[[Site Name]:[Ethnic or GCA/NGCA]],11,FALSE)</f>
        <v>GCA</v>
      </c>
      <c r="ED301" s="794">
        <f>VLOOKUP(WWWW[[#This Row],[Site Name]],SiteDB6[[Site Name]:[Lat]],12,FALSE)</f>
        <v>23.250678000000001</v>
      </c>
      <c r="EE301" s="794">
        <f>VLOOKUP(WWWW[[#This Row],[Site Name]],SiteDB6[[Site Name]:[Long]],13,FALSE)</f>
        <v>97.124403000000001</v>
      </c>
      <c r="EF301" s="794" t="str">
        <f>VLOOKUP(WWWW[[#This Row],[Site Name]],SiteDB6[[Site Name]:[Pcode]],3,FALSE)</f>
        <v>MMR015CMP009</v>
      </c>
      <c r="EG301" s="799" t="str">
        <f t="shared" si="6"/>
        <v>Covered</v>
      </c>
      <c r="EH301" s="799" t="str">
        <f>VLOOKUP(WWWW[[#This Row],[Site Name]],Site_DB!$C$389:$D$1120,2,FALSE)</f>
        <v>cccm_2019OCT</v>
      </c>
    </row>
    <row r="302" spans="1:138" ht="52" hidden="1">
      <c r="A302" s="792" t="s">
        <v>3262</v>
      </c>
      <c r="B302" s="792" t="s">
        <v>3376</v>
      </c>
      <c r="C302" s="793" t="s">
        <v>3376</v>
      </c>
      <c r="D302" s="404" t="s">
        <v>3383</v>
      </c>
      <c r="E302" s="793" t="s">
        <v>39</v>
      </c>
      <c r="F302" s="793" t="s">
        <v>40</v>
      </c>
      <c r="G302" s="721" t="str">
        <f>VLOOKUP(WWWW[[#This Row],[Site Name]],SiteDB6[[Site Name]:[Location Type]],8,FALSE)</f>
        <v>Camp</v>
      </c>
      <c r="H302" s="793" t="s">
        <v>196</v>
      </c>
      <c r="I302" s="720">
        <v>172</v>
      </c>
      <c r="J302" s="720">
        <v>789</v>
      </c>
      <c r="K302" s="407" t="s">
        <v>3611</v>
      </c>
      <c r="L302" s="56" t="s">
        <v>3612</v>
      </c>
      <c r="M302" s="720">
        <v>148</v>
      </c>
      <c r="N302" s="720"/>
      <c r="O302" s="720">
        <v>7</v>
      </c>
      <c r="P302" s="720"/>
      <c r="Q302" s="807" t="s">
        <v>43</v>
      </c>
      <c r="R302" s="720"/>
      <c r="S302" s="720">
        <v>7</v>
      </c>
      <c r="T302" s="523">
        <v>2</v>
      </c>
      <c r="U302" s="795"/>
      <c r="V302" s="795"/>
      <c r="W302" s="795">
        <v>2</v>
      </c>
      <c r="X302" s="795">
        <v>3</v>
      </c>
      <c r="Y302" s="795"/>
      <c r="Z302" s="795"/>
      <c r="AA302" s="795"/>
      <c r="AB302" s="795"/>
      <c r="AC302" s="795"/>
      <c r="AD302" s="795"/>
      <c r="AE302" s="795"/>
      <c r="AF302" s="795"/>
      <c r="AG302" s="795"/>
      <c r="AH302" s="795"/>
      <c r="AI302" s="720">
        <v>4</v>
      </c>
      <c r="AJ302" s="720">
        <v>3</v>
      </c>
      <c r="AK302" s="720">
        <v>1</v>
      </c>
      <c r="AL302" s="720">
        <v>1</v>
      </c>
      <c r="AM302" s="720">
        <v>1</v>
      </c>
      <c r="AN302" s="720"/>
      <c r="AO302" s="835" t="s">
        <v>3380</v>
      </c>
      <c r="AP302" s="795">
        <v>40</v>
      </c>
      <c r="AQ302" s="795"/>
      <c r="AR302" s="800"/>
      <c r="AS302" s="795"/>
      <c r="AT302" s="795"/>
      <c r="AU302" s="795"/>
      <c r="AV302" s="795"/>
      <c r="AW302" s="795"/>
      <c r="AX302" s="794" t="s">
        <v>43</v>
      </c>
      <c r="AY302" s="799" t="s">
        <v>140</v>
      </c>
      <c r="AZ302" s="795"/>
      <c r="BA302" s="795">
        <v>1</v>
      </c>
      <c r="BB302" s="795">
        <v>3</v>
      </c>
      <c r="BC302" s="523"/>
      <c r="BD302" s="523"/>
      <c r="BE302" s="794"/>
      <c r="BF302" s="795">
        <v>22</v>
      </c>
      <c r="BG302" s="795"/>
      <c r="BH302" s="795"/>
      <c r="BI302" s="795">
        <v>7</v>
      </c>
      <c r="BJ302" s="795"/>
      <c r="BK302" s="795"/>
      <c r="BL302" s="720">
        <v>3</v>
      </c>
      <c r="BM302" s="720">
        <v>172</v>
      </c>
      <c r="BN302" s="720">
        <v>209</v>
      </c>
      <c r="BO302" s="794"/>
      <c r="BP302" s="801"/>
      <c r="BQ302" s="800"/>
      <c r="BR302" s="836" t="s">
        <v>3382</v>
      </c>
      <c r="BS302" s="472">
        <v>1</v>
      </c>
      <c r="BT302" s="472">
        <v>1</v>
      </c>
      <c r="BU302" s="523">
        <v>789</v>
      </c>
      <c r="BV302" s="808">
        <v>1</v>
      </c>
      <c r="BW302" s="523"/>
      <c r="BX302" s="523"/>
      <c r="BY302" s="523"/>
      <c r="BZ302" s="802">
        <f>IFERROR(WWWW[[#This Row],['#_Water sources passed]]/WWWW[[#This Row],['#_Water sources tested for fecal coliform ]],"no test")</f>
        <v>0.75</v>
      </c>
      <c r="CA302" s="800">
        <f>IFERROR(WWWW[[#This Row],['#_Household passed]]/WWWW[[#This Row],['#_Household water samples tested for fecal coliform]],"no test")</f>
        <v>1</v>
      </c>
      <c r="CB302" s="801" t="str">
        <f>IF(AND(WWWW[[#This Row],[% of water sources passed]]="no test",WWWW[[#This Row],[% Household passed]]="no test"),"No Test","Tested")</f>
        <v>Tested</v>
      </c>
      <c r="CC302" s="801">
        <f>WWWW[[#This Row],['#_Constructed/existing protected hand dug well]]-WWWW[[#This Row],['#_Non-functional protected hand dug well]]</f>
        <v>2</v>
      </c>
      <c r="CD302" s="801">
        <f>(WWWW[[#This Row],['#_Constructed/Existing tube wells/boreholes/handpumps_WASH_agency]]+WWWW[[#This Row],['#_Non-Cluster partner water tube-wells/boreholes/handpumps]])-WWWW[[#This Row],['#_Non-functional tube wells/boreholes/handpumps]]</f>
        <v>5</v>
      </c>
      <c r="CE302" s="801">
        <f>WWWW[[#This Row],['#_Constructed/Existingwater storage tank with gravity fed reticulation system]]-WWWW[[#This Row],['#_Non-functional storage tank gravity fed reticulation system]]</f>
        <v>0</v>
      </c>
      <c r="CF302" s="801">
        <f>(WWWW[[#This Row],['#_Water_Liters_supplied_by_Water boating or water trucking]]/90)/15</f>
        <v>0</v>
      </c>
      <c r="CG302" s="801">
        <f>WWWW[[#This Row],['#_Water_Liters_from_Constructed/Existing water distribution system from river or natural spring]]/90/15</f>
        <v>0</v>
      </c>
      <c r="CH302" s="473">
        <f>WWWW[[#This Row],['#_of water points in TLS/CFS /THF]]*500</f>
        <v>0</v>
      </c>
      <c r="CI30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2" s="800">
        <f>IF(WWWW[[#This Row],[Location Type 1]]="Village",WWWW[[#This Row],[Access to safe drinking water for Village]],WWWW[[#This Row],[Access to safe drinking water for Camp]])</f>
        <v>1</v>
      </c>
      <c r="CL302" s="798">
        <f>WWWW[[#This Row],[%Equitable and continuous access to sufficient quantity of safe drinking water]]*WWWW[[#This Row],[Total PoP ]]</f>
        <v>789</v>
      </c>
      <c r="CM302" s="800">
        <f>IF((WWWW[[#This Row],['#_Constructed/Existing protected/fenced ponds]]*250)/WWWW[[#This Row],[Total PoP ]]&gt;1,1,(WWWW[[#This Row],['#_Constructed/Existing protected/fenced ponds]]*250)/WWWW[[#This Row],[Total PoP ]])</f>
        <v>0</v>
      </c>
      <c r="CN302" s="798">
        <f>WWWW[[#This Row],[% Access to unimproved water points]]*WWWW[[#This Row],[Total PoP ]]</f>
        <v>0</v>
      </c>
      <c r="CO30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Q302" s="798">
        <f>WWWW[[#This Row],[HRP1]]/500</f>
        <v>1.5780000000000001</v>
      </c>
      <c r="CR302" s="803">
        <f>1-WWWW[[#This Row],[% Equitable and continuous access to sufficient quantity of domestic water]]</f>
        <v>0</v>
      </c>
      <c r="CS302" s="798">
        <f>WWWW[[#This Row],[%equitable and continuous access to sufficient quantity of safe drinking and domestic water''s GAP]]*WWWW[[#This Row],[Total PoP ]]</f>
        <v>0</v>
      </c>
      <c r="CT302" s="801">
        <f>IF(WWWW[[#This Row],[Total required water points]]-WWWW[[#This Row],['#Water points coverage]]&lt;0,0,WWWW[[#This Row],[Total required water points]]-WWWW[[#This Row],['#Water points coverage]])</f>
        <v>0.42199999999999993</v>
      </c>
      <c r="CU302" s="801">
        <f>ROUND(IF(WWWW[[#This Row],[Total PoP ]]&lt;500,1,WWWW[[#This Row],[Total PoP ]]/500),0)</f>
        <v>2</v>
      </c>
      <c r="CV302" s="801">
        <f>(WWWW[[#This Row],['#_Constructed latrines_by_WASHAgencies]]+WWWW[[#This Row],['#_Non Cluster partner latrines]])-WWWW[[#This Row],['#_Non-functional latrines]]</f>
        <v>40</v>
      </c>
      <c r="CW302" s="804">
        <f>WWWW[[#This Row],[HRP2]]/WWWW[[#This Row],[Total PoP ]]</f>
        <v>1</v>
      </c>
      <c r="CX30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CY30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148</v>
      </c>
      <c r="DA302" s="473">
        <f>IF(WWWW[[#This Row],['# of functional latrines in THF supported by WASH partners during the reporting period2]]="",0,WWWW[[#This Row],['# of functional latrines in THF supported by WASH partners during the reporting period2]]*50)</f>
        <v>0</v>
      </c>
      <c r="DB302" s="473">
        <f>WWWW[[#This Row],['# students access to functioning school latrines_HRP5]]+WWWW[[#This Row],['# People access to functioning latrines in THF_HRP5]]</f>
        <v>148</v>
      </c>
      <c r="DC302" s="801">
        <f>ROUND(IF(WWWW[[#This Row],[Location Type 1]]="camp",WWWW[[#This Row],[Total PoP ]]/20,IF(WWWW[[#This Row],[Location Type 1]]="Temporary Location",WWWW[[#This Row],[Total PoP ]]/50,(WWWW[[#This Row],[Total PoP ]]/6))),0)</f>
        <v>39</v>
      </c>
      <c r="DD302" s="801">
        <f>IF(WWWW[[#This Row],[Total required Latrines]]-(WWWW[[#This Row],['#_Constructed latrines_by_WASHAgencies]]+WWWW[[#This Row],['#_Non Cluster partner latrines]])&lt;0,0,WWWW[[#This Row],[Total required Latrines]]-(WWWW[[#This Row],['#_Constructed latrines_by_WASHAgencies]]+WWWW[[#This Row],['#_Non Cluster partner latrines]]))</f>
        <v>0</v>
      </c>
      <c r="DE302" s="803">
        <f>1-WWWW[[#This Row],[% people access to functioning Latrine]]</f>
        <v>0</v>
      </c>
      <c r="DF302" s="802">
        <f>IF(OR(WWWW[[#This Row],['#_Non-functional latrines]]="",WWWW[[#This Row],['#_Non-functional latrines]]=0),0,WWWW[[#This Row],['#_Non-functional latrines]]/(WWWW[[#This Row],['#_Constructed latrines_by_WASHAgencies]]+WWWW[[#This Row],['#_Non Cluster partner latrines]]))</f>
        <v>0</v>
      </c>
      <c r="DG302" s="798">
        <f>IF(500*(WWWW[[#This Row],['#_male hygiene promoters]]+WWWW[[#This Row],['#_female hygiene promoters]])&gt;WWWW[[#This Row],[Total PoP ]],WWWW[[#This Row],[Total PoP ]],500*(WWWW[[#This Row],['#_male hygiene promoters]]+WWWW[[#This Row],['#_female hygiene promoters]]))</f>
        <v>789</v>
      </c>
      <c r="DH30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789</v>
      </c>
      <c r="DI30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209</v>
      </c>
      <c r="DJ302" s="801">
        <f>IF(WWWW[[#This Row],['# People with access to soap]]&gt;WWWW[[#This Row],['# People with access to Sanity Pads]],WWWW[[#This Row],['# People with access to soap]],WWWW[[#This Row],['# People with access to Sanity Pads]])</f>
        <v>789</v>
      </c>
      <c r="DK302" s="801">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L302" s="803">
        <f>IF(WWWW[[#This Row],[HRP3]]/WWWW[[#This Row],[Total PoP ]]&gt;1,1,WWWW[[#This Row],[HRP3]]/WWWW[[#This Row],[Total PoP ]])</f>
        <v>1</v>
      </c>
      <c r="DM302" s="802">
        <f>1-WWWW[[#This Row],[Hygiene Coverage%]]</f>
        <v>0</v>
      </c>
      <c r="DN302" s="800">
        <f>WWWW[[#This Row],['# people reached by regular dedicated hygiene promotion_5]]/WWWW[[#This Row],[Total PoP ]]</f>
        <v>1</v>
      </c>
      <c r="DO30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02" s="801">
        <f>WWWW[[#This Row],['#_Constructed/Existing hand washing stations]]-WWWW[[#This Row],['#_Non-Functional_hand_washing_stations]]</f>
        <v>22</v>
      </c>
      <c r="DR302" s="798">
        <f>IF(WWWW[[#This Row],['# Functional hand washing stations during reporting period]]*20&gt;WWWW[[#This Row],[Total HH]],WWWW[[#This Row],[Total HH]],WWWW[[#This Row],['# Functional hand washing stations during reporting period]]*20)</f>
        <v>172</v>
      </c>
      <c r="DS302" s="798">
        <f>IF(WWWW[[#This Row],[Is sufficient soap available for TLS? (Yes/No)]]="yes",WWWW[[#This Row],['#_Constructed/Existing hand washing stations at TLS]],0)</f>
        <v>0</v>
      </c>
      <c r="DT302" s="479">
        <f>IF(WWWW[[#This Row],['# Functional hand washing stations during reporting period]]*100&gt;WWWW[[#This Row],[Total PoP ]],WWWW[[#This Row],[Total PoP ]],WWWW[[#This Row],['# Functional hand washing stations during reporting period]]*100)</f>
        <v>789</v>
      </c>
      <c r="DU302" s="479" t="str">
        <f>IF(OR(WWWW[[#This Row],['#_students at TLS_CFS]]="",WWWW[[#This Row],['#_students at TLS_CFS]]=0),"No","Yes")</f>
        <v>Yes</v>
      </c>
      <c r="DV302"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148</v>
      </c>
      <c r="DY302" s="794" t="str">
        <f>VLOOKUP(WWWW[[#This Row],[Site Name]],SiteDB6[[Site Name]:[CCCM Management]],6,FALSE)</f>
        <v>Yes</v>
      </c>
      <c r="DZ302" s="794" t="str">
        <f>VLOOKUP(WWWW[[#This Row],[Site Name]],SiteDB6[[Site Name]:[CCCM Focal Agency]],7,FALSE)</f>
        <v>KBC-BMO</v>
      </c>
      <c r="EA302" s="794" t="str">
        <f>VLOOKUP(WWWW[[#This Row],[Site Name]],SiteDB6[[Site Name]:[Location Type 1]],9,FALSE)</f>
        <v>Camp</v>
      </c>
      <c r="EB302" s="794" t="str">
        <f>VLOOKUP(WWWW[[#This Row],[Site Name]],SiteDB6[[Site Name]:[Type of Accommodation]],10,FALSE)</f>
        <v>Camp</v>
      </c>
      <c r="EC302" s="794" t="str">
        <f>VLOOKUP(WWWW[[#This Row],[Site Name]],SiteDB6[[Site Name]:[Ethnic or GCA/NGCA]],11,FALSE)</f>
        <v>GCA</v>
      </c>
      <c r="ED302" s="794">
        <f>VLOOKUP(WWWW[[#This Row],[Site Name]],SiteDB6[[Site Name]:[Lat]],12,FALSE)</f>
        <v>24.129059999999999</v>
      </c>
      <c r="EE302" s="794">
        <f>VLOOKUP(WWWW[[#This Row],[Site Name]],SiteDB6[[Site Name]:[Long]],13,FALSE)</f>
        <v>97.291820000000001</v>
      </c>
      <c r="EF302" s="794" t="str">
        <f>VLOOKUP(WWWW[[#This Row],[Site Name]],SiteDB6[[Site Name]:[Pcode]],3,FALSE)</f>
        <v>MMR001CMP066</v>
      </c>
      <c r="EG302" s="799" t="str">
        <f t="shared" si="6"/>
        <v>Covered</v>
      </c>
      <c r="EH302" s="799" t="str">
        <f>VLOOKUP(WWWW[[#This Row],[Site Name]],Site_DB!$C$389:$D$1120,2,FALSE)</f>
        <v>cccm_2019OCT</v>
      </c>
    </row>
    <row r="303" spans="1:138" hidden="1">
      <c r="A303" s="792" t="s">
        <v>3262</v>
      </c>
      <c r="B303" s="792" t="s">
        <v>195</v>
      </c>
      <c r="C303" s="793" t="s">
        <v>195</v>
      </c>
      <c r="D303" s="793" t="s">
        <v>3364</v>
      </c>
      <c r="E303" s="793" t="s">
        <v>711</v>
      </c>
      <c r="F303" s="793" t="s">
        <v>1285</v>
      </c>
      <c r="G303" s="721" t="str">
        <f>VLOOKUP(WWWW[[#This Row],[Site Name]],SiteDB6[[Site Name]:[Location Type]],8,FALSE)</f>
        <v>Camp_not registered</v>
      </c>
      <c r="H303" s="793" t="s">
        <v>2294</v>
      </c>
      <c r="I303" s="795">
        <v>11</v>
      </c>
      <c r="J303" s="795">
        <v>53</v>
      </c>
      <c r="K303" s="407" t="s">
        <v>3607</v>
      </c>
      <c r="L303" s="56" t="s">
        <v>3608</v>
      </c>
      <c r="M303" s="795"/>
      <c r="N303" s="795"/>
      <c r="O303" s="795"/>
      <c r="P303" s="795"/>
      <c r="Q303" s="798"/>
      <c r="R303" s="795"/>
      <c r="S303" s="795"/>
      <c r="T303" s="523"/>
      <c r="U303" s="795"/>
      <c r="V303" s="795"/>
      <c r="W303" s="795"/>
      <c r="X303" s="795"/>
      <c r="Y303" s="795"/>
      <c r="Z303" s="795"/>
      <c r="AA303" s="795"/>
      <c r="AB303" s="795"/>
      <c r="AC303" s="795"/>
      <c r="AD303" s="795"/>
      <c r="AE303" s="795"/>
      <c r="AF303" s="795"/>
      <c r="AG303" s="795"/>
      <c r="AH303" s="795"/>
      <c r="AI303" s="795"/>
      <c r="AJ303" s="795"/>
      <c r="AK303" s="795"/>
      <c r="AL303" s="795"/>
      <c r="AM303" s="795"/>
      <c r="AN303" s="795"/>
      <c r="AO303" s="799"/>
      <c r="AP303" s="795"/>
      <c r="AQ303" s="795"/>
      <c r="AR303" s="800"/>
      <c r="AS303" s="795"/>
      <c r="AT303" s="795"/>
      <c r="AU303" s="795"/>
      <c r="AV303" s="795"/>
      <c r="AW303" s="795"/>
      <c r="AX303" s="794" t="s">
        <v>143</v>
      </c>
      <c r="AY303" s="799" t="s">
        <v>143</v>
      </c>
      <c r="AZ303" s="795"/>
      <c r="BA303" s="795"/>
      <c r="BB303" s="795"/>
      <c r="BC303" s="523"/>
      <c r="BD303" s="523"/>
      <c r="BE303" s="794"/>
      <c r="BF303" s="795"/>
      <c r="BG303" s="795"/>
      <c r="BH303" s="795"/>
      <c r="BI303" s="795"/>
      <c r="BJ303" s="795"/>
      <c r="BK303" s="795"/>
      <c r="BL303" s="795"/>
      <c r="BM303" s="795"/>
      <c r="BN303" s="795"/>
      <c r="BO303" s="806" t="s">
        <v>139</v>
      </c>
      <c r="BP303" s="801"/>
      <c r="BQ303" s="800"/>
      <c r="BR303" s="794"/>
      <c r="BS303" s="472"/>
      <c r="BT303" s="472"/>
      <c r="BU303" s="523"/>
      <c r="BV303" s="472"/>
      <c r="BW303" s="523"/>
      <c r="BX303" s="523"/>
      <c r="BY303" s="523"/>
      <c r="BZ303" s="802" t="str">
        <f>IFERROR(WWWW[[#This Row],['#_Water sources passed]]/WWWW[[#This Row],['#_Water sources tested for fecal coliform ]],"no test")</f>
        <v>no test</v>
      </c>
      <c r="CA303" s="800" t="str">
        <f>IFERROR(WWWW[[#This Row],['#_Household passed]]/WWWW[[#This Row],['#_Household water samples tested for fecal coliform]],"no test")</f>
        <v>no test</v>
      </c>
      <c r="CB303" s="801" t="str">
        <f>IF(AND(WWWW[[#This Row],[% of water sources passed]]="no test",WWWW[[#This Row],[% Household passed]]="no test"),"No Test","Tested")</f>
        <v>No Test</v>
      </c>
      <c r="CC303" s="801">
        <f>WWWW[[#This Row],['#_Constructed/existing protected hand dug well]]-WWWW[[#This Row],['#_Non-functional protected hand dug well]]</f>
        <v>0</v>
      </c>
      <c r="CD303" s="801">
        <f>(WWWW[[#This Row],['#_Constructed/Existing tube wells/boreholes/handpumps_WASH_agency]]+WWWW[[#This Row],['#_Non-Cluster partner water tube-wells/boreholes/handpumps]])-WWWW[[#This Row],['#_Non-functional tube wells/boreholes/handpumps]]</f>
        <v>0</v>
      </c>
      <c r="CE303" s="801">
        <f>WWWW[[#This Row],['#_Constructed/Existingwater storage tank with gravity fed reticulation system]]-WWWW[[#This Row],['#_Non-functional storage tank gravity fed reticulation system]]</f>
        <v>0</v>
      </c>
      <c r="CF303" s="801">
        <f>(WWWW[[#This Row],['#_Water_Liters_supplied_by_Water boating or water trucking]]/90)/15</f>
        <v>0</v>
      </c>
      <c r="CG303" s="801">
        <f>WWWW[[#This Row],['#_Water_Liters_from_Constructed/Existing water distribution system from river or natural spring]]/90/15</f>
        <v>0</v>
      </c>
      <c r="CH303" s="473">
        <f>WWWW[[#This Row],['#_of water points in TLS/CFS /THF]]*500</f>
        <v>0</v>
      </c>
      <c r="CI30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3" s="800">
        <f>IF(WWWW[[#This Row],[Location Type 1]]="Village",WWWW[[#This Row],[Access to safe drinking water for Village]],WWWW[[#This Row],[Access to safe drinking water for Camp]])</f>
        <v>0</v>
      </c>
      <c r="CL303" s="798">
        <f>WWWW[[#This Row],[%Equitable and continuous access to sufficient quantity of safe drinking water]]*WWWW[[#This Row],[Total PoP ]]</f>
        <v>0</v>
      </c>
      <c r="CM303" s="800">
        <f>IF((WWWW[[#This Row],['#_Constructed/Existing protected/fenced ponds]]*250)/WWWW[[#This Row],[Total PoP ]]&gt;1,1,(WWWW[[#This Row],['#_Constructed/Existing protected/fenced ponds]]*250)/WWWW[[#This Row],[Total PoP ]])</f>
        <v>0</v>
      </c>
      <c r="CN303" s="798">
        <f>WWWW[[#This Row],[% Access to unimproved water points]]*WWWW[[#This Row],[Total PoP ]]</f>
        <v>0</v>
      </c>
      <c r="CO30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0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03" s="798">
        <f>WWWW[[#This Row],[HRP1]]/500</f>
        <v>0</v>
      </c>
      <c r="CR303" s="803">
        <f>1-WWWW[[#This Row],[% Equitable and continuous access to sufficient quantity of domestic water]]</f>
        <v>1</v>
      </c>
      <c r="CS303" s="798">
        <f>WWWW[[#This Row],[%equitable and continuous access to sufficient quantity of safe drinking and domestic water''s GAP]]*WWWW[[#This Row],[Total PoP ]]</f>
        <v>53</v>
      </c>
      <c r="CT303" s="801">
        <f>IF(WWWW[[#This Row],[Total required water points]]-WWWW[[#This Row],['#Water points coverage]]&lt;0,0,WWWW[[#This Row],[Total required water points]]-WWWW[[#This Row],['#Water points coverage]])</f>
        <v>1</v>
      </c>
      <c r="CU303" s="801">
        <f>ROUND(IF(WWWW[[#This Row],[Total PoP ]]&lt;500,1,WWWW[[#This Row],[Total PoP ]]/500),0)</f>
        <v>1</v>
      </c>
      <c r="CV303" s="801">
        <f>(WWWW[[#This Row],['#_Constructed latrines_by_WASHAgencies]]+WWWW[[#This Row],['#_Non Cluster partner latrines]])-WWWW[[#This Row],['#_Non-functional latrines]]</f>
        <v>0</v>
      </c>
      <c r="CW303" s="804">
        <f>WWWW[[#This Row],[HRP2]]/WWWW[[#This Row],[Total PoP ]]</f>
        <v>0</v>
      </c>
      <c r="CX30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0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3" s="473">
        <f>IF(WWWW[[#This Row],['# of functional latrines in THF supported by WASH partners during the reporting period2]]="",0,WWWW[[#This Row],['# of functional latrines in THF supported by WASH partners during the reporting period2]]*50)</f>
        <v>0</v>
      </c>
      <c r="DB303" s="473">
        <f>WWWW[[#This Row],['# students access to functioning school latrines_HRP5]]+WWWW[[#This Row],['# People access to functioning latrines in THF_HRP5]]</f>
        <v>0</v>
      </c>
      <c r="DC303" s="801">
        <f>ROUND(IF(WWWW[[#This Row],[Location Type 1]]="camp",WWWW[[#This Row],[Total PoP ]]/20,IF(WWWW[[#This Row],[Location Type 1]]="Temporary Location",WWWW[[#This Row],[Total PoP ]]/50,(WWWW[[#This Row],[Total PoP ]]/6))),0)</f>
        <v>3</v>
      </c>
      <c r="DD303" s="801">
        <f>IF(WWWW[[#This Row],[Total required Latrines]]-(WWWW[[#This Row],['#_Constructed latrines_by_WASHAgencies]]+WWWW[[#This Row],['#_Non Cluster partner latrines]])&lt;0,0,WWWW[[#This Row],[Total required Latrines]]-(WWWW[[#This Row],['#_Constructed latrines_by_WASHAgencies]]+WWWW[[#This Row],['#_Non Cluster partner latrines]]))</f>
        <v>3</v>
      </c>
      <c r="DE303" s="803">
        <f>1-WWWW[[#This Row],[% people access to functioning Latrine]]</f>
        <v>1</v>
      </c>
      <c r="DF303" s="802">
        <f>IF(OR(WWWW[[#This Row],['#_Non-functional latrines]]="",WWWW[[#This Row],['#_Non-functional latrines]]=0),0,WWWW[[#This Row],['#_Non-functional latrines]]/(WWWW[[#This Row],['#_Constructed latrines_by_WASHAgencies]]+WWWW[[#This Row],['#_Non Cluster partner latrines]]))</f>
        <v>0</v>
      </c>
      <c r="DG303" s="798">
        <f>IF(500*(WWWW[[#This Row],['#_male hygiene promoters]]+WWWW[[#This Row],['#_female hygiene promoters]])&gt;WWWW[[#This Row],[Total PoP ]],WWWW[[#This Row],[Total PoP ]],500*(WWWW[[#This Row],['#_male hygiene promoters]]+WWWW[[#This Row],['#_female hygiene promoters]]))</f>
        <v>0</v>
      </c>
      <c r="DH30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3" s="801">
        <f>IF(WWWW[[#This Row],['# People with access to soap]]&gt;WWWW[[#This Row],['# People with access to Sanity Pads]],WWWW[[#This Row],['# People with access to soap]],WWWW[[#This Row],['# People with access to Sanity Pads]])</f>
        <v>0</v>
      </c>
      <c r="DK30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03" s="803">
        <f>IF(WWWW[[#This Row],[HRP3]]/WWWW[[#This Row],[Total PoP ]]&gt;1,1,WWWW[[#This Row],[HRP3]]/WWWW[[#This Row],[Total PoP ]])</f>
        <v>0</v>
      </c>
      <c r="DM303" s="802">
        <f>1-WWWW[[#This Row],[Hygiene Coverage%]]</f>
        <v>1</v>
      </c>
      <c r="DN303" s="800">
        <f>WWWW[[#This Row],['# people reached by regular dedicated hygiene promotion_5]]/WWWW[[#This Row],[Total PoP ]]</f>
        <v>0</v>
      </c>
      <c r="DO30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3" s="801">
        <f>WWWW[[#This Row],['#_Constructed/Existing hand washing stations]]-WWWW[[#This Row],['#_Non-Functional_hand_washing_stations]]</f>
        <v>0</v>
      </c>
      <c r="DR303" s="798">
        <f>IF(WWWW[[#This Row],['# Functional hand washing stations during reporting period]]*20&gt;WWWW[[#This Row],[Total HH]],WWWW[[#This Row],[Total HH]],WWWW[[#This Row],['# Functional hand washing stations during reporting period]]*20)</f>
        <v>0</v>
      </c>
      <c r="DS303" s="798">
        <f>IF(WWWW[[#This Row],[Is sufficient soap available for TLS? (Yes/No)]]="yes",WWWW[[#This Row],['#_Constructed/Existing hand washing stations at TLS]],0)</f>
        <v>0</v>
      </c>
      <c r="DT303" s="479">
        <f>IF(WWWW[[#This Row],['# Functional hand washing stations during reporting period]]*100&gt;WWWW[[#This Row],[Total PoP ]],WWWW[[#This Row],[Total PoP ]],WWWW[[#This Row],['# Functional hand washing stations during reporting period]]*100)</f>
        <v>0</v>
      </c>
      <c r="DU303" s="479" t="str">
        <f>IF(OR(WWWW[[#This Row],['#_students at TLS_CFS]]="",WWWW[[#This Row],['#_students at TLS_CFS]]=0),"No","Yes")</f>
        <v>No</v>
      </c>
      <c r="DV30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3" s="794">
        <f>VLOOKUP(WWWW[[#This Row],[Site Name]],SiteDB6[[Site Name]:[CCCM Management]],6,FALSE)</f>
        <v>0</v>
      </c>
      <c r="DZ303" s="794">
        <f>VLOOKUP(WWWW[[#This Row],[Site Name]],SiteDB6[[Site Name]:[CCCM Focal Agency]],7,FALSE)</f>
        <v>0</v>
      </c>
      <c r="EA303" s="794" t="str">
        <f>VLOOKUP(WWWW[[#This Row],[Site Name]],SiteDB6[[Site Name]:[Location Type 1]],9,FALSE)</f>
        <v>Camp</v>
      </c>
      <c r="EB303" s="794" t="str">
        <f>VLOOKUP(WWWW[[#This Row],[Site Name]],SiteDB6[[Site Name]:[Type of Accommodation]],10,FALSE)</f>
        <v>Camp</v>
      </c>
      <c r="EC303" s="794" t="str">
        <f>VLOOKUP(WWWW[[#This Row],[Site Name]],SiteDB6[[Site Name]:[Ethnic or GCA/NGCA]],11,FALSE)</f>
        <v>GCA</v>
      </c>
      <c r="ED303" s="794">
        <f>VLOOKUP(WWWW[[#This Row],[Site Name]],SiteDB6[[Site Name]:[Lat]],12,FALSE)</f>
        <v>0</v>
      </c>
      <c r="EE303" s="794">
        <f>VLOOKUP(WWWW[[#This Row],[Site Name]],SiteDB6[[Site Name]:[Long]],13,FALSE)</f>
        <v>0</v>
      </c>
      <c r="EF303" s="794">
        <f>VLOOKUP(WWWW[[#This Row],[Site Name]],SiteDB6[[Site Name]:[Pcode]],3,FALSE)</f>
        <v>0</v>
      </c>
      <c r="EG303" s="799" t="str">
        <f t="shared" ref="EG303:EG334" si="7">IF(C303="none","Notcovered","Covered")</f>
        <v>Covered</v>
      </c>
      <c r="EH303" s="799" t="e">
        <f>VLOOKUP(WWWW[[#This Row],[Site Name]],Site_DB!$C$389:$D$1120,2,FALSE)</f>
        <v>#N/A</v>
      </c>
    </row>
    <row r="304" spans="1:138" hidden="1">
      <c r="A304" s="792" t="s">
        <v>3262</v>
      </c>
      <c r="B304" s="792" t="s">
        <v>195</v>
      </c>
      <c r="C304" s="793" t="s">
        <v>195</v>
      </c>
      <c r="D304" s="404" t="s">
        <v>3364</v>
      </c>
      <c r="E304" s="793" t="s">
        <v>711</v>
      </c>
      <c r="F304" s="793" t="s">
        <v>715</v>
      </c>
      <c r="G304" s="721" t="str">
        <f>VLOOKUP(WWWW[[#This Row],[Site Name]],SiteDB6[[Site Name]:[Location Type]],8,FALSE)</f>
        <v>Camp</v>
      </c>
      <c r="H304" s="793" t="s">
        <v>2179</v>
      </c>
      <c r="I304" s="795">
        <v>145</v>
      </c>
      <c r="J304" s="795">
        <v>305</v>
      </c>
      <c r="K304" s="407" t="s">
        <v>3607</v>
      </c>
      <c r="L304" s="56" t="s">
        <v>3608</v>
      </c>
      <c r="M304" s="795"/>
      <c r="N304" s="795">
        <v>1</v>
      </c>
      <c r="O304" s="795"/>
      <c r="P304" s="795"/>
      <c r="Q304" s="798" t="s">
        <v>43</v>
      </c>
      <c r="R304" s="795">
        <v>4</v>
      </c>
      <c r="S304" s="795">
        <v>5</v>
      </c>
      <c r="T304" s="523"/>
      <c r="U304" s="795"/>
      <c r="V304" s="795"/>
      <c r="W304" s="720"/>
      <c r="X304" s="720"/>
      <c r="Y304" s="795"/>
      <c r="Z304" s="795"/>
      <c r="AA304" s="720">
        <v>75</v>
      </c>
      <c r="AB304" s="795"/>
      <c r="AC304" s="795"/>
      <c r="AD304" s="795"/>
      <c r="AE304" s="795"/>
      <c r="AF304" s="795"/>
      <c r="AG304" s="720">
        <v>3</v>
      </c>
      <c r="AH304" s="720">
        <v>1</v>
      </c>
      <c r="AI304" s="795"/>
      <c r="AJ304" s="795"/>
      <c r="AK304" s="795"/>
      <c r="AL304" s="795"/>
      <c r="AM304" s="720">
        <v>3</v>
      </c>
      <c r="AN304" s="720"/>
      <c r="AO304" s="719" t="s">
        <v>3138</v>
      </c>
      <c r="AP304" s="720">
        <v>71</v>
      </c>
      <c r="AQ304" s="720"/>
      <c r="AR304" s="800"/>
      <c r="AS304" s="795"/>
      <c r="AT304" s="795"/>
      <c r="AU304" s="795"/>
      <c r="AV304" s="795"/>
      <c r="AW304" s="795"/>
      <c r="AX304" s="794" t="s">
        <v>139</v>
      </c>
      <c r="AY304" s="799" t="s">
        <v>1195</v>
      </c>
      <c r="AZ304" s="795"/>
      <c r="BA304" s="795"/>
      <c r="BB304" s="720">
        <v>4</v>
      </c>
      <c r="BC304" s="720"/>
      <c r="BD304" s="523"/>
      <c r="BE304" s="794"/>
      <c r="BF304" s="720">
        <v>5</v>
      </c>
      <c r="BG304" s="720"/>
      <c r="BH304" s="720"/>
      <c r="BI304" s="720">
        <v>3</v>
      </c>
      <c r="BJ304" s="720"/>
      <c r="BK304" s="720">
        <v>1</v>
      </c>
      <c r="BL304" s="720"/>
      <c r="BM304" s="720">
        <v>67</v>
      </c>
      <c r="BN304" s="720"/>
      <c r="BO304" s="794" t="s">
        <v>43</v>
      </c>
      <c r="BP304" s="801"/>
      <c r="BQ304" s="800"/>
      <c r="BR304" s="794"/>
      <c r="BS304" s="472"/>
      <c r="BT304" s="472"/>
      <c r="BU304" s="523"/>
      <c r="BV304" s="472"/>
      <c r="BW304" s="523"/>
      <c r="BX304" s="523"/>
      <c r="BY304" s="523"/>
      <c r="BZ304" s="802" t="str">
        <f>IFERROR(WWWW[[#This Row],['#_Water sources passed]]/WWWW[[#This Row],['#_Water sources tested for fecal coliform ]],"no test")</f>
        <v>no test</v>
      </c>
      <c r="CA304" s="800" t="str">
        <f>IFERROR(WWWW[[#This Row],['#_Household passed]]/WWWW[[#This Row],['#_Household water samples tested for fecal coliform]],"no test")</f>
        <v>no test</v>
      </c>
      <c r="CB304" s="801" t="str">
        <f>IF(AND(WWWW[[#This Row],[% of water sources passed]]="no test",WWWW[[#This Row],[% Household passed]]="no test"),"No Test","Tested")</f>
        <v>No Test</v>
      </c>
      <c r="CC304" s="801">
        <f>WWWW[[#This Row],['#_Constructed/existing protected hand dug well]]-WWWW[[#This Row],['#_Non-functional protected hand dug well]]</f>
        <v>0</v>
      </c>
      <c r="CD304" s="801">
        <f>(WWWW[[#This Row],['#_Constructed/Existing tube wells/boreholes/handpumps_WASH_agency]]+WWWW[[#This Row],['#_Non-Cluster partner water tube-wells/boreholes/handpumps]])-WWWW[[#This Row],['#_Non-functional tube wells/boreholes/handpumps]]</f>
        <v>0</v>
      </c>
      <c r="CE304" s="801">
        <f>WWWW[[#This Row],['#_Constructed/Existingwater storage tank with gravity fed reticulation system]]-WWWW[[#This Row],['#_Non-functional storage tank gravity fed reticulation system]]</f>
        <v>75</v>
      </c>
      <c r="CF304" s="801">
        <f>(WWWW[[#This Row],['#_Water_Liters_supplied_by_Water boating or water trucking]]/90)/15</f>
        <v>0</v>
      </c>
      <c r="CG304" s="801">
        <f>WWWW[[#This Row],['#_Water_Liters_from_Constructed/Existing water distribution system from river or natural spring]]/90/15</f>
        <v>0</v>
      </c>
      <c r="CH304" s="473">
        <f>WWWW[[#This Row],['#_of water points in TLS/CFS /THF]]*500</f>
        <v>0</v>
      </c>
      <c r="CI30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4" s="800">
        <f>IF(WWWW[[#This Row],[Location Type 1]]="Village",WWWW[[#This Row],[Access to safe drinking water for Village]],WWWW[[#This Row],[Access to safe drinking water for Camp]])</f>
        <v>1</v>
      </c>
      <c r="CL304" s="798">
        <f>WWWW[[#This Row],[%Equitable and continuous access to sufficient quantity of safe drinking water]]*WWWW[[#This Row],[Total PoP ]]</f>
        <v>305</v>
      </c>
      <c r="CM304" s="800">
        <f>IF((WWWW[[#This Row],['#_Constructed/Existing protected/fenced ponds]]*250)/WWWW[[#This Row],[Total PoP ]]&gt;1,1,(WWWW[[#This Row],['#_Constructed/Existing protected/fenced ponds]]*250)/WWWW[[#This Row],[Total PoP ]])</f>
        <v>0</v>
      </c>
      <c r="CN304" s="798">
        <f>WWWW[[#This Row],[% Access to unimproved water points]]*WWWW[[#This Row],[Total PoP ]]</f>
        <v>0</v>
      </c>
      <c r="CO30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CQ304" s="798">
        <f>WWWW[[#This Row],[HRP1]]/500</f>
        <v>0.61</v>
      </c>
      <c r="CR304" s="803">
        <f>1-WWWW[[#This Row],[% Equitable and continuous access to sufficient quantity of domestic water]]</f>
        <v>0</v>
      </c>
      <c r="CS304" s="798">
        <f>WWWW[[#This Row],[%equitable and continuous access to sufficient quantity of safe drinking and domestic water''s GAP]]*WWWW[[#This Row],[Total PoP ]]</f>
        <v>0</v>
      </c>
      <c r="CT304" s="801">
        <f>IF(WWWW[[#This Row],[Total required water points]]-WWWW[[#This Row],['#Water points coverage]]&lt;0,0,WWWW[[#This Row],[Total required water points]]-WWWW[[#This Row],['#Water points coverage]])</f>
        <v>0.39</v>
      </c>
      <c r="CU304" s="801">
        <f>ROUND(IF(WWWW[[#This Row],[Total PoP ]]&lt;500,1,WWWW[[#This Row],[Total PoP ]]/500),0)</f>
        <v>1</v>
      </c>
      <c r="CV304" s="801">
        <f>(WWWW[[#This Row],['#_Constructed latrines_by_WASHAgencies]]+WWWW[[#This Row],['#_Non Cluster partner latrines]])-WWWW[[#This Row],['#_Non-functional latrines]]</f>
        <v>71</v>
      </c>
      <c r="CW304" s="804">
        <f>WWWW[[#This Row],[HRP2]]/WWWW[[#This Row],[Total PoP ]]</f>
        <v>1</v>
      </c>
      <c r="CX30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v>
      </c>
      <c r="CY30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4" s="473">
        <f>IF(WWWW[[#This Row],['# of functional latrines in THF supported by WASH partners during the reporting period2]]="",0,WWWW[[#This Row],['# of functional latrines in THF supported by WASH partners during the reporting period2]]*50)</f>
        <v>0</v>
      </c>
      <c r="DB304" s="473">
        <f>WWWW[[#This Row],['# students access to functioning school latrines_HRP5]]+WWWW[[#This Row],['# People access to functioning latrines in THF_HRP5]]</f>
        <v>0</v>
      </c>
      <c r="DC304" s="801">
        <f>ROUND(IF(WWWW[[#This Row],[Location Type 1]]="camp",WWWW[[#This Row],[Total PoP ]]/20,IF(WWWW[[#This Row],[Location Type 1]]="Temporary Location",WWWW[[#This Row],[Total PoP ]]/50,(WWWW[[#This Row],[Total PoP ]]/6))),0)</f>
        <v>51</v>
      </c>
      <c r="DD304" s="801">
        <f>IF(WWWW[[#This Row],[Total required Latrines]]-(WWWW[[#This Row],['#_Constructed latrines_by_WASHAgencies]]+WWWW[[#This Row],['#_Non Cluster partner latrines]])&lt;0,0,WWWW[[#This Row],[Total required Latrines]]-(WWWW[[#This Row],['#_Constructed latrines_by_WASHAgencies]]+WWWW[[#This Row],['#_Non Cluster partner latrines]]))</f>
        <v>0</v>
      </c>
      <c r="DE304" s="803">
        <f>1-WWWW[[#This Row],[% people access to functioning Latrine]]</f>
        <v>0</v>
      </c>
      <c r="DF304" s="802">
        <f>IF(OR(WWWW[[#This Row],['#_Non-functional latrines]]="",WWWW[[#This Row],['#_Non-functional latrines]]=0),0,WWWW[[#This Row],['#_Non-functional latrines]]/(WWWW[[#This Row],['#_Constructed latrines_by_WASHAgencies]]+WWWW[[#This Row],['#_Non Cluster partner latrines]]))</f>
        <v>0</v>
      </c>
      <c r="DG304" s="798">
        <f>IF(500*(WWWW[[#This Row],['#_male hygiene promoters]]+WWWW[[#This Row],['#_female hygiene promoters]])&gt;WWWW[[#This Row],[Total PoP ]],WWWW[[#This Row],[Total PoP ]],500*(WWWW[[#This Row],['#_male hygiene promoters]]+WWWW[[#This Row],['#_female hygiene promoters]]))</f>
        <v>305</v>
      </c>
      <c r="DH30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305</v>
      </c>
      <c r="DI30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4" s="801">
        <f>IF(WWWW[[#This Row],['# People with access to soap]]&gt;WWWW[[#This Row],['# People with access to Sanity Pads]],WWWW[[#This Row],['# People with access to soap]],WWWW[[#This Row],['# People with access to Sanity Pads]])</f>
        <v>305</v>
      </c>
      <c r="DK304" s="801">
        <f>IF(WWWW[[#This Row],['# people reached by regular dedicated hygiene promotion_5]]&gt;WWWW[[#This Row],['# People received regular supply of hygiene items_6]],WWWW[[#This Row],['# people reached by regular dedicated hygiene promotion_5]],WWWW[[#This Row],['# People received regular supply of hygiene items_6]])</f>
        <v>305</v>
      </c>
      <c r="DL304" s="803">
        <f>IF(WWWW[[#This Row],[HRP3]]/WWWW[[#This Row],[Total PoP ]]&gt;1,1,WWWW[[#This Row],[HRP3]]/WWWW[[#This Row],[Total PoP ]])</f>
        <v>1</v>
      </c>
      <c r="DM304" s="802">
        <f>1-WWWW[[#This Row],[Hygiene Coverage%]]</f>
        <v>0</v>
      </c>
      <c r="DN304" s="800">
        <f>WWWW[[#This Row],['# people reached by regular dedicated hygiene promotion_5]]/WWWW[[#This Row],[Total PoP ]]</f>
        <v>1</v>
      </c>
      <c r="DO30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4" s="801">
        <f>WWWW[[#This Row],['#_Constructed/Existing hand washing stations]]-WWWW[[#This Row],['#_Non-Functional_hand_washing_stations]]</f>
        <v>5</v>
      </c>
      <c r="DR304" s="798">
        <f>IF(WWWW[[#This Row],['# Functional hand washing stations during reporting period]]*20&gt;WWWW[[#This Row],[Total HH]],WWWW[[#This Row],[Total HH]],WWWW[[#This Row],['# Functional hand washing stations during reporting period]]*20)</f>
        <v>100</v>
      </c>
      <c r="DS304" s="798">
        <f>IF(WWWW[[#This Row],[Is sufficient soap available for TLS? (Yes/No)]]="yes",WWWW[[#This Row],['#_Constructed/Existing hand washing stations at TLS]],0)</f>
        <v>3</v>
      </c>
      <c r="DT304" s="479">
        <f>IF(WWWW[[#This Row],['# Functional hand washing stations during reporting period]]*100&gt;WWWW[[#This Row],[Total PoP ]],WWWW[[#This Row],[Total PoP ]],WWWW[[#This Row],['# Functional hand washing stations during reporting period]]*100)</f>
        <v>305</v>
      </c>
      <c r="DU304" s="479" t="str">
        <f>IF(OR(WWWW[[#This Row],['#_students at TLS_CFS]]="",WWWW[[#This Row],['#_students at TLS_CFS]]=0),"No","Yes")</f>
        <v>No</v>
      </c>
      <c r="DV30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4" s="794" t="str">
        <f>VLOOKUP(WWWW[[#This Row],[Site Name]],SiteDB6[[Site Name]:[CCCM Management]],6,FALSE)</f>
        <v>Yes</v>
      </c>
      <c r="DZ304" s="794" t="str">
        <f>VLOOKUP(WWWW[[#This Row],[Site Name]],SiteDB6[[Site Name]:[CCCM Focal Agency]],7,FALSE)</f>
        <v>KMSS-LSO</v>
      </c>
      <c r="EA304" s="794" t="str">
        <f>VLOOKUP(WWWW[[#This Row],[Site Name]],SiteDB6[[Site Name]:[Location Type 1]],9,FALSE)</f>
        <v>Village Type Camp</v>
      </c>
      <c r="EB304" s="794" t="str">
        <f>VLOOKUP(WWWW[[#This Row],[Site Name]],SiteDB6[[Site Name]:[Type of Accommodation]],10,FALSE)</f>
        <v>Camp</v>
      </c>
      <c r="EC304" s="794" t="str">
        <f>VLOOKUP(WWWW[[#This Row],[Site Name]],SiteDB6[[Site Name]:[Ethnic or GCA/NGCA]],11,FALSE)</f>
        <v>GCA</v>
      </c>
      <c r="ED304" s="794">
        <f>VLOOKUP(WWWW[[#This Row],[Site Name]],SiteDB6[[Site Name]:[Lat]],12,FALSE)</f>
        <v>23.588920000000002</v>
      </c>
      <c r="EE304" s="794">
        <f>VLOOKUP(WWWW[[#This Row],[Site Name]],SiteDB6[[Site Name]:[Long]],13,FALSE)</f>
        <v>97.793019999999999</v>
      </c>
      <c r="EF304" s="794" t="str">
        <f>VLOOKUP(WWWW[[#This Row],[Site Name]],SiteDB6[[Site Name]:[Pcode]],3,FALSE)</f>
        <v>MMR015CMP018</v>
      </c>
      <c r="EG304" s="799" t="str">
        <f t="shared" si="7"/>
        <v>Covered</v>
      </c>
      <c r="EH304" s="799" t="str">
        <f>VLOOKUP(WWWW[[#This Row],[Site Name]],Site_DB!$C$389:$D$1120,2,FALSE)</f>
        <v>cccm_2019OCT</v>
      </c>
    </row>
    <row r="305" spans="1:138" ht="52" hidden="1">
      <c r="A305" s="792" t="s">
        <v>3262</v>
      </c>
      <c r="B305" s="793" t="s">
        <v>3378</v>
      </c>
      <c r="C305" s="793" t="s">
        <v>3378</v>
      </c>
      <c r="D305" s="793" t="s">
        <v>3386</v>
      </c>
      <c r="E305" s="793" t="s">
        <v>39</v>
      </c>
      <c r="F305" s="793" t="s">
        <v>208</v>
      </c>
      <c r="G305" s="721" t="str">
        <f>VLOOKUP(WWWW[[#This Row],[Site Name]],SiteDB6[[Site Name]:[Location Type]],8,FALSE)</f>
        <v>Camp_not registered</v>
      </c>
      <c r="H305" s="793" t="s">
        <v>290</v>
      </c>
      <c r="I305" s="720">
        <v>117</v>
      </c>
      <c r="J305" s="720">
        <v>618</v>
      </c>
      <c r="K305" s="407" t="s">
        <v>3613</v>
      </c>
      <c r="L305" s="56" t="s">
        <v>3614</v>
      </c>
      <c r="M305" s="795">
        <v>113</v>
      </c>
      <c r="N305" s="795">
        <v>0</v>
      </c>
      <c r="O305" s="795">
        <v>5</v>
      </c>
      <c r="P305" s="795">
        <v>30</v>
      </c>
      <c r="Q305" s="798" t="s">
        <v>43</v>
      </c>
      <c r="R305" s="795">
        <v>7</v>
      </c>
      <c r="S305" s="795">
        <v>7</v>
      </c>
      <c r="T305" s="523">
        <v>1</v>
      </c>
      <c r="U305" s="795"/>
      <c r="V305" s="795"/>
      <c r="W305" s="795">
        <v>1</v>
      </c>
      <c r="X305" s="795">
        <v>0</v>
      </c>
      <c r="Y305" s="795"/>
      <c r="Z305" s="795"/>
      <c r="AA305" s="795"/>
      <c r="AB305" s="795"/>
      <c r="AC305" s="795"/>
      <c r="AD305" s="795"/>
      <c r="AE305" s="795"/>
      <c r="AF305" s="795"/>
      <c r="AG305" s="795">
        <v>2</v>
      </c>
      <c r="AH305" s="795"/>
      <c r="AI305" s="795">
        <v>1</v>
      </c>
      <c r="AJ305" s="795">
        <v>1</v>
      </c>
      <c r="AK305" s="795">
        <v>12</v>
      </c>
      <c r="AL305" s="795">
        <v>10</v>
      </c>
      <c r="AM305" s="795">
        <v>9</v>
      </c>
      <c r="AN305" s="795"/>
      <c r="AO305" s="835" t="s">
        <v>3380</v>
      </c>
      <c r="AP305" s="795">
        <v>28</v>
      </c>
      <c r="AQ305" s="795"/>
      <c r="AR305" s="800"/>
      <c r="AS305" s="795"/>
      <c r="AT305" s="795"/>
      <c r="AU305" s="795">
        <v>10</v>
      </c>
      <c r="AV305" s="795">
        <v>4400</v>
      </c>
      <c r="AW305" s="795"/>
      <c r="AX305" s="794" t="s">
        <v>43</v>
      </c>
      <c r="AY305" s="799" t="s">
        <v>140</v>
      </c>
      <c r="AZ305" s="795">
        <v>0</v>
      </c>
      <c r="BA305" s="795">
        <v>0</v>
      </c>
      <c r="BB305" s="795">
        <v>2</v>
      </c>
      <c r="BC305" s="523"/>
      <c r="BD305" s="523"/>
      <c r="BE305" s="794" t="s">
        <v>3371</v>
      </c>
      <c r="BF305" s="795">
        <v>9</v>
      </c>
      <c r="BG305" s="795"/>
      <c r="BH305" s="795"/>
      <c r="BI305" s="795">
        <v>4</v>
      </c>
      <c r="BJ305" s="795"/>
      <c r="BK305" s="795">
        <v>0</v>
      </c>
      <c r="BL305" s="795">
        <v>9</v>
      </c>
      <c r="BM305" s="795"/>
      <c r="BN305" s="795"/>
      <c r="BO305" s="794" t="s">
        <v>139</v>
      </c>
      <c r="BP305" s="801"/>
      <c r="BQ305" s="800"/>
      <c r="BR305" s="836" t="s">
        <v>3382</v>
      </c>
      <c r="BS305" s="472">
        <v>1</v>
      </c>
      <c r="BT305" s="472">
        <v>1</v>
      </c>
      <c r="BU305" s="523">
        <v>618</v>
      </c>
      <c r="BV305" s="808">
        <v>1</v>
      </c>
      <c r="BW305" s="523"/>
      <c r="BX305" s="523"/>
      <c r="BY305" s="523"/>
      <c r="BZ305" s="802">
        <f>IFERROR(WWWW[[#This Row],['#_Water sources passed]]/WWWW[[#This Row],['#_Water sources tested for fecal coliform ]],"no test")</f>
        <v>1</v>
      </c>
      <c r="CA305" s="800">
        <f>IFERROR(WWWW[[#This Row],['#_Household passed]]/WWWW[[#This Row],['#_Household water samples tested for fecal coliform]],"no test")</f>
        <v>0.83333333333333337</v>
      </c>
      <c r="CB305" s="801" t="str">
        <f>IF(AND(WWWW[[#This Row],[% of water sources passed]]="no test",WWWW[[#This Row],[% Household passed]]="no test"),"No Test","Tested")</f>
        <v>Tested</v>
      </c>
      <c r="CC305" s="801">
        <f>WWWW[[#This Row],['#_Constructed/existing protected hand dug well]]-WWWW[[#This Row],['#_Non-functional protected hand dug well]]</f>
        <v>1</v>
      </c>
      <c r="CD305" s="801">
        <f>(WWWW[[#This Row],['#_Constructed/Existing tube wells/boreholes/handpumps_WASH_agency]]+WWWW[[#This Row],['#_Non-Cluster partner water tube-wells/boreholes/handpumps]])-WWWW[[#This Row],['#_Non-functional tube wells/boreholes/handpumps]]</f>
        <v>1</v>
      </c>
      <c r="CE305" s="801">
        <f>WWWW[[#This Row],['#_Constructed/Existingwater storage tank with gravity fed reticulation system]]-WWWW[[#This Row],['#_Non-functional storage tank gravity fed reticulation system]]</f>
        <v>0</v>
      </c>
      <c r="CF305" s="801">
        <f>(WWWW[[#This Row],['#_Water_Liters_supplied_by_Water boating or water trucking]]/90)/15</f>
        <v>0</v>
      </c>
      <c r="CG305" s="801">
        <f>WWWW[[#This Row],['#_Water_Liters_from_Constructed/Existing water distribution system from river or natural spring]]/90/15</f>
        <v>0</v>
      </c>
      <c r="CH305" s="473">
        <f>WWWW[[#This Row],['#_of water points in TLS/CFS /THF]]*500</f>
        <v>0</v>
      </c>
      <c r="CI30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0.80906148867313921</v>
      </c>
      <c r="CK305" s="800">
        <f>IF(WWWW[[#This Row],[Location Type 1]]="Village",WWWW[[#This Row],[Access to safe drinking water for Village]],WWWW[[#This Row],[Access to safe drinking water for Camp]])</f>
        <v>1</v>
      </c>
      <c r="CL305" s="798">
        <f>WWWW[[#This Row],[%Equitable and continuous access to sufficient quantity of safe drinking water]]*WWWW[[#This Row],[Total PoP ]]</f>
        <v>618</v>
      </c>
      <c r="CM305" s="800">
        <f>IF((WWWW[[#This Row],['#_Constructed/Existing protected/fenced ponds]]*250)/WWWW[[#This Row],[Total PoP ]]&gt;1,1,(WWWW[[#This Row],['#_Constructed/Existing protected/fenced ponds]]*250)/WWWW[[#This Row],[Total PoP ]])</f>
        <v>0</v>
      </c>
      <c r="CN305" s="798">
        <f>WWWW[[#This Row],[% Access to unimproved water points]]*WWWW[[#This Row],[Total PoP ]]</f>
        <v>0</v>
      </c>
      <c r="CO30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Q305" s="798">
        <f>WWWW[[#This Row],[HRP1]]/500</f>
        <v>1.236</v>
      </c>
      <c r="CR305" s="803">
        <f>1-WWWW[[#This Row],[% Equitable and continuous access to sufficient quantity of domestic water]]</f>
        <v>0</v>
      </c>
      <c r="CS305" s="798">
        <f>WWWW[[#This Row],[%equitable and continuous access to sufficient quantity of safe drinking and domestic water''s GAP]]*WWWW[[#This Row],[Total PoP ]]</f>
        <v>0</v>
      </c>
      <c r="CT305" s="801">
        <f>IF(WWWW[[#This Row],[Total required water points]]-WWWW[[#This Row],['#Water points coverage]]&lt;0,0,WWWW[[#This Row],[Total required water points]]-WWWW[[#This Row],['#Water points coverage]])</f>
        <v>0</v>
      </c>
      <c r="CU305" s="801">
        <f>ROUND(IF(WWWW[[#This Row],[Total PoP ]]&lt;500,1,WWWW[[#This Row],[Total PoP ]]/500),0)</f>
        <v>1</v>
      </c>
      <c r="CV305" s="801">
        <f>(WWWW[[#This Row],['#_Constructed latrines_by_WASHAgencies]]+WWWW[[#This Row],['#_Non Cluster partner latrines]])-WWWW[[#This Row],['#_Non-functional latrines]]</f>
        <v>28</v>
      </c>
      <c r="CW305" s="804">
        <f>WWWW[[#This Row],[HRP2]]/WWWW[[#This Row],[Total PoP ]]</f>
        <v>0.90614886731391586</v>
      </c>
      <c r="CX30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30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Z30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305" s="473">
        <f>IF(WWWW[[#This Row],['# of functional latrines in THF supported by WASH partners during the reporting period2]]="",0,WWWW[[#This Row],['# of functional latrines in THF supported by WASH partners during the reporting period2]]*50)</f>
        <v>0</v>
      </c>
      <c r="DB305" s="473">
        <f>WWWW[[#This Row],['# students access to functioning school latrines_HRP5]]+WWWW[[#This Row],['# People access to functioning latrines in THF_HRP5]]</f>
        <v>100</v>
      </c>
      <c r="DC305" s="801">
        <f>ROUND(IF(WWWW[[#This Row],[Location Type 1]]="camp",WWWW[[#This Row],[Total PoP ]]/20,IF(WWWW[[#This Row],[Location Type 1]]="Temporary Location",WWWW[[#This Row],[Total PoP ]]/50,(WWWW[[#This Row],[Total PoP ]]/6))),0)</f>
        <v>31</v>
      </c>
      <c r="DD305" s="801">
        <f>IF(WWWW[[#This Row],[Total required Latrines]]-(WWWW[[#This Row],['#_Constructed latrines_by_WASHAgencies]]+WWWW[[#This Row],['#_Non Cluster partner latrines]])&lt;0,0,WWWW[[#This Row],[Total required Latrines]]-(WWWW[[#This Row],['#_Constructed latrines_by_WASHAgencies]]+WWWW[[#This Row],['#_Non Cluster partner latrines]]))</f>
        <v>3</v>
      </c>
      <c r="DE305" s="803">
        <f>1-WWWW[[#This Row],[% people access to functioning Latrine]]</f>
        <v>9.3851132686084138E-2</v>
      </c>
      <c r="DF305" s="802">
        <f>IF(OR(WWWW[[#This Row],['#_Non-functional latrines]]="",WWWW[[#This Row],['#_Non-functional latrines]]=0),0,WWWW[[#This Row],['#_Non-functional latrines]]/(WWWW[[#This Row],['#_Constructed latrines_by_WASHAgencies]]+WWWW[[#This Row],['#_Non Cluster partner latrines]]))</f>
        <v>0</v>
      </c>
      <c r="DG305" s="798">
        <f>IF(500*(WWWW[[#This Row],['#_male hygiene promoters]]+WWWW[[#This Row],['#_female hygiene promoters]])&gt;WWWW[[#This Row],[Total PoP ]],WWWW[[#This Row],[Total PoP ]],500*(WWWW[[#This Row],['#_male hygiene promoters]]+WWWW[[#This Row],['#_female hygiene promoters]]))</f>
        <v>618</v>
      </c>
      <c r="DH30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5" s="801">
        <f>IF(WWWW[[#This Row],['# People with access to soap]]&gt;WWWW[[#This Row],['# People with access to Sanity Pads]],WWWW[[#This Row],['# People with access to soap]],WWWW[[#This Row],['# People with access to Sanity Pads]])</f>
        <v>0</v>
      </c>
      <c r="DK305" s="801">
        <f>IF(WWWW[[#This Row],['# people reached by regular dedicated hygiene promotion_5]]&gt;WWWW[[#This Row],['# People received regular supply of hygiene items_6]],WWWW[[#This Row],['# people reached by regular dedicated hygiene promotion_5]],WWWW[[#This Row],['# People received regular supply of hygiene items_6]])</f>
        <v>618</v>
      </c>
      <c r="DL305" s="803">
        <f>IF(WWWW[[#This Row],[HRP3]]/WWWW[[#This Row],[Total PoP ]]&gt;1,1,WWWW[[#This Row],[HRP3]]/WWWW[[#This Row],[Total PoP ]])</f>
        <v>1</v>
      </c>
      <c r="DM305" s="802">
        <f>1-WWWW[[#This Row],[Hygiene Coverage%]]</f>
        <v>0</v>
      </c>
      <c r="DN305" s="800">
        <f>WWWW[[#This Row],['# people reached by regular dedicated hygiene promotion_5]]/WWWW[[#This Row],[Total PoP ]]</f>
        <v>1</v>
      </c>
      <c r="DO30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5" s="801">
        <f>WWWW[[#This Row],['#_Constructed/Existing hand washing stations]]-WWWW[[#This Row],['#_Non-Functional_hand_washing_stations]]</f>
        <v>9</v>
      </c>
      <c r="DR305" s="798">
        <f>IF(WWWW[[#This Row],['# Functional hand washing stations during reporting period]]*20&gt;WWWW[[#This Row],[Total HH]],WWWW[[#This Row],[Total HH]],WWWW[[#This Row],['# Functional hand washing stations during reporting period]]*20)</f>
        <v>117</v>
      </c>
      <c r="DS305" s="798">
        <f>IF(WWWW[[#This Row],[Is sufficient soap available for TLS? (Yes/No)]]="yes",WWWW[[#This Row],['#_Constructed/Existing hand washing stations at TLS]],0)</f>
        <v>0</v>
      </c>
      <c r="DT305" s="479">
        <f>IF(WWWW[[#This Row],['# Functional hand washing stations during reporting period]]*100&gt;WWWW[[#This Row],[Total PoP ]],WWWW[[#This Row],[Total PoP ]],WWWW[[#This Row],['# Functional hand washing stations during reporting period]]*100)</f>
        <v>618</v>
      </c>
      <c r="DU305" s="479" t="str">
        <f>IF(OR(WWWW[[#This Row],['#_students at TLS_CFS]]="",WWWW[[#This Row],['#_students at TLS_CFS]]=0),"No","Yes")</f>
        <v>Yes</v>
      </c>
      <c r="DV305"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0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v>
      </c>
      <c r="DY305" s="794">
        <f>VLOOKUP(WWWW[[#This Row],[Site Name]],SiteDB6[[Site Name]:[CCCM Management]],6,FALSE)</f>
        <v>0</v>
      </c>
      <c r="DZ305" s="794">
        <f>VLOOKUP(WWWW[[#This Row],[Site Name]],SiteDB6[[Site Name]:[CCCM Focal Agency]],7,FALSE)</f>
        <v>0</v>
      </c>
      <c r="EA305" s="794" t="str">
        <f>VLOOKUP(WWWW[[#This Row],[Site Name]],SiteDB6[[Site Name]:[Location Type 1]],9,FALSE)</f>
        <v>Camp</v>
      </c>
      <c r="EB305" s="794" t="str">
        <f>VLOOKUP(WWWW[[#This Row],[Site Name]],SiteDB6[[Site Name]:[Type of Accommodation]],10,FALSE)</f>
        <v>Camp</v>
      </c>
      <c r="EC305" s="794" t="str">
        <f>VLOOKUP(WWWW[[#This Row],[Site Name]],SiteDB6[[Site Name]:[Ethnic or GCA/NGCA]],11,FALSE)</f>
        <v>GCA</v>
      </c>
      <c r="ED305" s="794">
        <f>VLOOKUP(WWWW[[#This Row],[Site Name]],SiteDB6[[Site Name]:[Lat]],12,FALSE)</f>
        <v>0</v>
      </c>
      <c r="EE305" s="794">
        <f>VLOOKUP(WWWW[[#This Row],[Site Name]],SiteDB6[[Site Name]:[Long]],13,FALSE)</f>
        <v>0</v>
      </c>
      <c r="EF305" s="794">
        <f>VLOOKUP(WWWW[[#This Row],[Site Name]],SiteDB6[[Site Name]:[Pcode]],3,FALSE)</f>
        <v>0</v>
      </c>
      <c r="EG305" s="799" t="str">
        <f t="shared" si="7"/>
        <v>Covered</v>
      </c>
      <c r="EH305" s="799">
        <f>VLOOKUP(WWWW[[#This Row],[Site Name]],Site_DB!$C$389:$D$1120,2,FALSE)</f>
        <v>0</v>
      </c>
    </row>
    <row r="306" spans="1:138" hidden="1">
      <c r="A306" s="792" t="s">
        <v>3262</v>
      </c>
      <c r="B306" s="792" t="s">
        <v>195</v>
      </c>
      <c r="C306" s="793" t="s">
        <v>195</v>
      </c>
      <c r="D306" s="793" t="s">
        <v>3364</v>
      </c>
      <c r="E306" s="793" t="s">
        <v>711</v>
      </c>
      <c r="F306" s="793" t="s">
        <v>712</v>
      </c>
      <c r="G306" s="721" t="str">
        <f>VLOOKUP(WWWW[[#This Row],[Site Name]],SiteDB6[[Site Name]:[Location Type]],8,FALSE)</f>
        <v>Camp</v>
      </c>
      <c r="H306" s="793" t="s">
        <v>757</v>
      </c>
      <c r="I306" s="795">
        <v>60</v>
      </c>
      <c r="J306" s="795">
        <v>276</v>
      </c>
      <c r="K306" s="407" t="s">
        <v>3607</v>
      </c>
      <c r="L306" s="56" t="s">
        <v>3608</v>
      </c>
      <c r="M306" s="795"/>
      <c r="N306" s="795"/>
      <c r="O306" s="795"/>
      <c r="P306" s="795"/>
      <c r="Q306" s="807"/>
      <c r="R306" s="720">
        <v>4</v>
      </c>
      <c r="S306" s="720">
        <v>5</v>
      </c>
      <c r="T306" s="720">
        <v>0</v>
      </c>
      <c r="U306" s="720"/>
      <c r="V306" s="720"/>
      <c r="W306" s="720"/>
      <c r="X306" s="720">
        <v>0</v>
      </c>
      <c r="Y306" s="720"/>
      <c r="Z306" s="720"/>
      <c r="AA306" s="720">
        <v>30</v>
      </c>
      <c r="AB306" s="720"/>
      <c r="AC306" s="795"/>
      <c r="AD306" s="795">
        <v>0</v>
      </c>
      <c r="AE306" s="795"/>
      <c r="AF306" s="795">
        <v>0</v>
      </c>
      <c r="AG306" s="795"/>
      <c r="AH306" s="795"/>
      <c r="AI306" s="795"/>
      <c r="AJ306" s="795"/>
      <c r="AK306" s="795"/>
      <c r="AL306" s="795"/>
      <c r="AM306" s="795"/>
      <c r="AN306" s="795"/>
      <c r="AO306" s="799"/>
      <c r="AP306" s="795">
        <v>10</v>
      </c>
      <c r="AQ306" s="795">
        <v>0</v>
      </c>
      <c r="AR306" s="800"/>
      <c r="AS306" s="795"/>
      <c r="AT306" s="795"/>
      <c r="AU306" s="795"/>
      <c r="AV306" s="795"/>
      <c r="AW306" s="795"/>
      <c r="AX306" s="794" t="s">
        <v>43</v>
      </c>
      <c r="AY306" s="799" t="s">
        <v>140</v>
      </c>
      <c r="AZ306" s="795">
        <v>0</v>
      </c>
      <c r="BA306" s="795">
        <v>0</v>
      </c>
      <c r="BB306" s="795"/>
      <c r="BC306" s="523"/>
      <c r="BD306" s="523"/>
      <c r="BE306" s="794"/>
      <c r="BF306" s="795">
        <v>2</v>
      </c>
      <c r="BG306" s="795"/>
      <c r="BH306" s="795">
        <v>0</v>
      </c>
      <c r="BI306" s="795">
        <v>2</v>
      </c>
      <c r="BJ306" s="795"/>
      <c r="BK306" s="795">
        <v>0</v>
      </c>
      <c r="BL306" s="795">
        <v>1</v>
      </c>
      <c r="BM306" s="795"/>
      <c r="BN306" s="795"/>
      <c r="BO306" s="794" t="s">
        <v>139</v>
      </c>
      <c r="BP306" s="801"/>
      <c r="BQ306" s="800"/>
      <c r="BR306" s="794"/>
      <c r="BS306" s="472"/>
      <c r="BT306" s="472"/>
      <c r="BU306" s="523"/>
      <c r="BV306" s="472"/>
      <c r="BW306" s="523"/>
      <c r="BX306" s="523"/>
      <c r="BY306" s="523"/>
      <c r="BZ306" s="802" t="str">
        <f>IFERROR(WWWW[[#This Row],['#_Water sources passed]]/WWWW[[#This Row],['#_Water sources tested for fecal coliform ]],"no test")</f>
        <v>no test</v>
      </c>
      <c r="CA306" s="800" t="str">
        <f>IFERROR(WWWW[[#This Row],['#_Household passed]]/WWWW[[#This Row],['#_Household water samples tested for fecal coliform]],"no test")</f>
        <v>no test</v>
      </c>
      <c r="CB306" s="801" t="str">
        <f>IF(AND(WWWW[[#This Row],[% of water sources passed]]="no test",WWWW[[#This Row],[% Household passed]]="no test"),"No Test","Tested")</f>
        <v>No Test</v>
      </c>
      <c r="CC306" s="801">
        <f>WWWW[[#This Row],['#_Constructed/existing protected hand dug well]]-WWWW[[#This Row],['#_Non-functional protected hand dug well]]</f>
        <v>0</v>
      </c>
      <c r="CD306" s="801">
        <f>(WWWW[[#This Row],['#_Constructed/Existing tube wells/boreholes/handpumps_WASH_agency]]+WWWW[[#This Row],['#_Non-Cluster partner water tube-wells/boreholes/handpumps]])-WWWW[[#This Row],['#_Non-functional tube wells/boreholes/handpumps]]</f>
        <v>0</v>
      </c>
      <c r="CE306" s="801">
        <f>WWWW[[#This Row],['#_Constructed/Existingwater storage tank with gravity fed reticulation system]]-WWWW[[#This Row],['#_Non-functional storage tank gravity fed reticulation system]]</f>
        <v>30</v>
      </c>
      <c r="CF306" s="801">
        <f>(WWWW[[#This Row],['#_Water_Liters_supplied_by_Water boating or water trucking]]/90)/15</f>
        <v>0</v>
      </c>
      <c r="CG306" s="801">
        <f>WWWW[[#This Row],['#_Water_Liters_from_Constructed/Existing water distribution system from river or natural spring]]/90/15</f>
        <v>0</v>
      </c>
      <c r="CH306" s="473">
        <f>WWWW[[#This Row],['#_of water points in TLS/CFS /THF]]*500</f>
        <v>0</v>
      </c>
      <c r="CI30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6" s="800">
        <f>IF(WWWW[[#This Row],[Location Type 1]]="Village",WWWW[[#This Row],[Access to safe drinking water for Village]],WWWW[[#This Row],[Access to safe drinking water for Camp]])</f>
        <v>1</v>
      </c>
      <c r="CL306" s="798">
        <f>WWWW[[#This Row],[%Equitable and continuous access to sufficient quantity of safe drinking water]]*WWWW[[#This Row],[Total PoP ]]</f>
        <v>276</v>
      </c>
      <c r="CM306" s="800">
        <f>IF((WWWW[[#This Row],['#_Constructed/Existing protected/fenced ponds]]*250)/WWWW[[#This Row],[Total PoP ]]&gt;1,1,(WWWW[[#This Row],['#_Constructed/Existing protected/fenced ponds]]*250)/WWWW[[#This Row],[Total PoP ]])</f>
        <v>0</v>
      </c>
      <c r="CN306" s="798">
        <f>WWWW[[#This Row],[% Access to unimproved water points]]*WWWW[[#This Row],[Total PoP ]]</f>
        <v>0</v>
      </c>
      <c r="CO30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Q306" s="798">
        <f>WWWW[[#This Row],[HRP1]]/500</f>
        <v>0.55200000000000005</v>
      </c>
      <c r="CR306" s="803">
        <f>1-WWWW[[#This Row],[% Equitable and continuous access to sufficient quantity of domestic water]]</f>
        <v>0</v>
      </c>
      <c r="CS306" s="798">
        <f>WWWW[[#This Row],[%equitable and continuous access to sufficient quantity of safe drinking and domestic water''s GAP]]*WWWW[[#This Row],[Total PoP ]]</f>
        <v>0</v>
      </c>
      <c r="CT306" s="801">
        <f>IF(WWWW[[#This Row],[Total required water points]]-WWWW[[#This Row],['#Water points coverage]]&lt;0,0,WWWW[[#This Row],[Total required water points]]-WWWW[[#This Row],['#Water points coverage]])</f>
        <v>0.44799999999999995</v>
      </c>
      <c r="CU306" s="801">
        <f>ROUND(IF(WWWW[[#This Row],[Total PoP ]]&lt;500,1,WWWW[[#This Row],[Total PoP ]]/500),0)</f>
        <v>1</v>
      </c>
      <c r="CV306" s="801">
        <f>(WWWW[[#This Row],['#_Constructed latrines_by_WASHAgencies]]+WWWW[[#This Row],['#_Non Cluster partner latrines]])-WWWW[[#This Row],['#_Non-functional latrines]]</f>
        <v>10</v>
      </c>
      <c r="CW306" s="804">
        <f>WWWW[[#This Row],[HRP2]]/WWWW[[#This Row],[Total PoP ]]</f>
        <v>0.72463768115942029</v>
      </c>
      <c r="CX30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0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6" s="473">
        <f>IF(WWWW[[#This Row],['# of functional latrines in THF supported by WASH partners during the reporting period2]]="",0,WWWW[[#This Row],['# of functional latrines in THF supported by WASH partners during the reporting period2]]*50)</f>
        <v>0</v>
      </c>
      <c r="DB306" s="473">
        <f>WWWW[[#This Row],['# students access to functioning school latrines_HRP5]]+WWWW[[#This Row],['# People access to functioning latrines in THF_HRP5]]</f>
        <v>0</v>
      </c>
      <c r="DC306" s="801">
        <f>ROUND(IF(WWWW[[#This Row],[Location Type 1]]="camp",WWWW[[#This Row],[Total PoP ]]/20,IF(WWWW[[#This Row],[Location Type 1]]="Temporary Location",WWWW[[#This Row],[Total PoP ]]/50,(WWWW[[#This Row],[Total PoP ]]/6))),0)</f>
        <v>14</v>
      </c>
      <c r="DD306" s="801">
        <f>IF(WWWW[[#This Row],[Total required Latrines]]-(WWWW[[#This Row],['#_Constructed latrines_by_WASHAgencies]]+WWWW[[#This Row],['#_Non Cluster partner latrines]])&lt;0,0,WWWW[[#This Row],[Total required Latrines]]-(WWWW[[#This Row],['#_Constructed latrines_by_WASHAgencies]]+WWWW[[#This Row],['#_Non Cluster partner latrines]]))</f>
        <v>4</v>
      </c>
      <c r="DE306" s="803">
        <f>1-WWWW[[#This Row],[% people access to functioning Latrine]]</f>
        <v>0.27536231884057971</v>
      </c>
      <c r="DF306" s="802">
        <f>IF(OR(WWWW[[#This Row],['#_Non-functional latrines]]="",WWWW[[#This Row],['#_Non-functional latrines]]=0),0,WWWW[[#This Row],['#_Non-functional latrines]]/(WWWW[[#This Row],['#_Constructed latrines_by_WASHAgencies]]+WWWW[[#This Row],['#_Non Cluster partner latrines]]))</f>
        <v>0</v>
      </c>
      <c r="DG306" s="798">
        <f>IF(500*(WWWW[[#This Row],['#_male hygiene promoters]]+WWWW[[#This Row],['#_female hygiene promoters]])&gt;WWWW[[#This Row],[Total PoP ]],WWWW[[#This Row],[Total PoP ]],500*(WWWW[[#This Row],['#_male hygiene promoters]]+WWWW[[#This Row],['#_female hygiene promoters]]))</f>
        <v>276</v>
      </c>
      <c r="DH30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0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6" s="801">
        <f>IF(WWWW[[#This Row],['# People with access to soap]]&gt;WWWW[[#This Row],['# People with access to Sanity Pads]],WWWW[[#This Row],['# People with access to soap]],WWWW[[#This Row],['# People with access to Sanity Pads]])</f>
        <v>0</v>
      </c>
      <c r="DK306" s="801">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L306" s="803">
        <f>IF(WWWW[[#This Row],[HRP3]]/WWWW[[#This Row],[Total PoP ]]&gt;1,1,WWWW[[#This Row],[HRP3]]/WWWW[[#This Row],[Total PoP ]])</f>
        <v>1</v>
      </c>
      <c r="DM306" s="802">
        <f>1-WWWW[[#This Row],[Hygiene Coverage%]]</f>
        <v>0</v>
      </c>
      <c r="DN306" s="800">
        <f>WWWW[[#This Row],['# people reached by regular dedicated hygiene promotion_5]]/WWWW[[#This Row],[Total PoP ]]</f>
        <v>1</v>
      </c>
      <c r="DO30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0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6" s="801">
        <f>WWWW[[#This Row],['#_Constructed/Existing hand washing stations]]-WWWW[[#This Row],['#_Non-Functional_hand_washing_stations]]</f>
        <v>2</v>
      </c>
      <c r="DR306" s="798">
        <f>IF(WWWW[[#This Row],['# Functional hand washing stations during reporting period]]*20&gt;WWWW[[#This Row],[Total HH]],WWWW[[#This Row],[Total HH]],WWWW[[#This Row],['# Functional hand washing stations during reporting period]]*20)</f>
        <v>40</v>
      </c>
      <c r="DS306" s="798">
        <f>IF(WWWW[[#This Row],[Is sufficient soap available for TLS? (Yes/No)]]="yes",WWWW[[#This Row],['#_Constructed/Existing hand washing stations at TLS]],0)</f>
        <v>0</v>
      </c>
      <c r="DT306" s="479">
        <f>IF(WWWW[[#This Row],['# Functional hand washing stations during reporting period]]*100&gt;WWWW[[#This Row],[Total PoP ]],WWWW[[#This Row],[Total PoP ]],WWWW[[#This Row],['# Functional hand washing stations during reporting period]]*100)</f>
        <v>200</v>
      </c>
      <c r="DU306" s="479" t="str">
        <f>IF(OR(WWWW[[#This Row],['#_students at TLS_CFS]]="",WWWW[[#This Row],['#_students at TLS_CFS]]=0),"No","Yes")</f>
        <v>No</v>
      </c>
      <c r="DV30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6" s="794">
        <f>VLOOKUP(WWWW[[#This Row],[Site Name]],SiteDB6[[Site Name]:[CCCM Management]],6,FALSE)</f>
        <v>0</v>
      </c>
      <c r="DZ306" s="794" t="str">
        <f>VLOOKUP(WWWW[[#This Row],[Site Name]],SiteDB6[[Site Name]:[CCCM Focal Agency]],7,FALSE)</f>
        <v>uncovered</v>
      </c>
      <c r="EA306" s="794" t="str">
        <f>VLOOKUP(WWWW[[#This Row],[Site Name]],SiteDB6[[Site Name]:[Location Type 1]],9,FALSE)</f>
        <v>Camp</v>
      </c>
      <c r="EB306" s="794" t="str">
        <f>VLOOKUP(WWWW[[#This Row],[Site Name]],SiteDB6[[Site Name]:[Type of Accommodation]],10,FALSE)</f>
        <v>Camp like setting</v>
      </c>
      <c r="EC306" s="794" t="str">
        <f>VLOOKUP(WWWW[[#This Row],[Site Name]],SiteDB6[[Site Name]:[Ethnic or GCA/NGCA]],11,FALSE)</f>
        <v>GCA</v>
      </c>
      <c r="ED306" s="794">
        <f>VLOOKUP(WWWW[[#This Row],[Site Name]],SiteDB6[[Site Name]:[Lat]],12,FALSE)</f>
        <v>23.611999999999998</v>
      </c>
      <c r="EE306" s="794">
        <f>VLOOKUP(WWWW[[#This Row],[Site Name]],SiteDB6[[Site Name]:[Long]],13,FALSE)</f>
        <v>97.506</v>
      </c>
      <c r="EF306" s="794" t="str">
        <f>VLOOKUP(WWWW[[#This Row],[Site Name]],SiteDB6[[Site Name]:[Pcode]],3,FALSE)</f>
        <v>MMR015CMP224</v>
      </c>
      <c r="EG306" s="799" t="str">
        <f t="shared" si="7"/>
        <v>Covered</v>
      </c>
      <c r="EH306" s="799" t="str">
        <f>VLOOKUP(WWWW[[#This Row],[Site Name]],Site_DB!$C$389:$D$1120,2,FALSE)</f>
        <v>cccm_2019OCT</v>
      </c>
    </row>
    <row r="307" spans="1:138" hidden="1">
      <c r="A307" s="792" t="s">
        <v>3262</v>
      </c>
      <c r="B307" s="792" t="s">
        <v>195</v>
      </c>
      <c r="C307" s="793" t="s">
        <v>195</v>
      </c>
      <c r="D307" s="404" t="s">
        <v>3364</v>
      </c>
      <c r="E307" s="793" t="s">
        <v>711</v>
      </c>
      <c r="F307" s="793" t="s">
        <v>715</v>
      </c>
      <c r="G307" s="721" t="str">
        <f>VLOOKUP(WWWW[[#This Row],[Site Name]],SiteDB6[[Site Name]:[Location Type]],8,FALSE)</f>
        <v>Camp</v>
      </c>
      <c r="H307" s="793" t="s">
        <v>741</v>
      </c>
      <c r="I307" s="795">
        <v>34</v>
      </c>
      <c r="J307" s="795">
        <v>180</v>
      </c>
      <c r="K307" s="407" t="s">
        <v>3607</v>
      </c>
      <c r="L307" s="56" t="s">
        <v>3608</v>
      </c>
      <c r="M307" s="795"/>
      <c r="N307" s="795"/>
      <c r="O307" s="795"/>
      <c r="P307" s="795"/>
      <c r="Q307" s="798"/>
      <c r="R307" s="795">
        <v>5</v>
      </c>
      <c r="S307" s="795">
        <v>4</v>
      </c>
      <c r="T307" s="523">
        <v>0</v>
      </c>
      <c r="U307" s="795"/>
      <c r="V307" s="795"/>
      <c r="W307" s="720">
        <v>0</v>
      </c>
      <c r="X307" s="720">
        <v>0</v>
      </c>
      <c r="Y307" s="795"/>
      <c r="Z307" s="795"/>
      <c r="AA307" s="720">
        <v>25</v>
      </c>
      <c r="AB307" s="795"/>
      <c r="AC307" s="795"/>
      <c r="AD307" s="795">
        <v>0</v>
      </c>
      <c r="AE307" s="795"/>
      <c r="AF307" s="795">
        <v>0</v>
      </c>
      <c r="AG307" s="720"/>
      <c r="AH307" s="720"/>
      <c r="AI307" s="795"/>
      <c r="AJ307" s="795"/>
      <c r="AK307" s="795"/>
      <c r="AL307" s="795"/>
      <c r="AM307" s="720"/>
      <c r="AN307" s="720"/>
      <c r="AO307" s="719"/>
      <c r="AP307" s="720">
        <v>34</v>
      </c>
      <c r="AQ307" s="720">
        <v>0</v>
      </c>
      <c r="AR307" s="800"/>
      <c r="AS307" s="795"/>
      <c r="AT307" s="795"/>
      <c r="AU307" s="795"/>
      <c r="AV307" s="795"/>
      <c r="AW307" s="795"/>
      <c r="AX307" s="794" t="s">
        <v>43</v>
      </c>
      <c r="AY307" s="799" t="s">
        <v>140</v>
      </c>
      <c r="AZ307" s="795">
        <v>0</v>
      </c>
      <c r="BA307" s="795">
        <v>0</v>
      </c>
      <c r="BB307" s="720">
        <v>2</v>
      </c>
      <c r="BC307" s="720"/>
      <c r="BD307" s="523"/>
      <c r="BE307" s="794"/>
      <c r="BF307" s="720">
        <v>2</v>
      </c>
      <c r="BG307" s="720"/>
      <c r="BH307" s="720">
        <v>0</v>
      </c>
      <c r="BI307" s="720">
        <v>2</v>
      </c>
      <c r="BJ307" s="720"/>
      <c r="BK307" s="720">
        <v>0</v>
      </c>
      <c r="BL307" s="720">
        <v>1</v>
      </c>
      <c r="BM307" s="720">
        <v>31</v>
      </c>
      <c r="BN307" s="720"/>
      <c r="BO307" s="794" t="s">
        <v>139</v>
      </c>
      <c r="BP307" s="801"/>
      <c r="BQ307" s="800"/>
      <c r="BR307" s="794"/>
      <c r="BS307" s="472"/>
      <c r="BT307" s="472"/>
      <c r="BU307" s="523"/>
      <c r="BV307" s="472"/>
      <c r="BW307" s="523"/>
      <c r="BX307" s="523"/>
      <c r="BY307" s="523"/>
      <c r="BZ307" s="802" t="str">
        <f>IFERROR(WWWW[[#This Row],['#_Water sources passed]]/WWWW[[#This Row],['#_Water sources tested for fecal coliform ]],"no test")</f>
        <v>no test</v>
      </c>
      <c r="CA307" s="800" t="str">
        <f>IFERROR(WWWW[[#This Row],['#_Household passed]]/WWWW[[#This Row],['#_Household water samples tested for fecal coliform]],"no test")</f>
        <v>no test</v>
      </c>
      <c r="CB307" s="801" t="str">
        <f>IF(AND(WWWW[[#This Row],[% of water sources passed]]="no test",WWWW[[#This Row],[% Household passed]]="no test"),"No Test","Tested")</f>
        <v>No Test</v>
      </c>
      <c r="CC307" s="801">
        <f>WWWW[[#This Row],['#_Constructed/existing protected hand dug well]]-WWWW[[#This Row],['#_Non-functional protected hand dug well]]</f>
        <v>0</v>
      </c>
      <c r="CD307" s="801">
        <f>(WWWW[[#This Row],['#_Constructed/Existing tube wells/boreholes/handpumps_WASH_agency]]+WWWW[[#This Row],['#_Non-Cluster partner water tube-wells/boreholes/handpumps]])-WWWW[[#This Row],['#_Non-functional tube wells/boreholes/handpumps]]</f>
        <v>0</v>
      </c>
      <c r="CE307" s="801">
        <f>WWWW[[#This Row],['#_Constructed/Existingwater storage tank with gravity fed reticulation system]]-WWWW[[#This Row],['#_Non-functional storage tank gravity fed reticulation system]]</f>
        <v>25</v>
      </c>
      <c r="CF307" s="801">
        <f>(WWWW[[#This Row],['#_Water_Liters_supplied_by_Water boating or water trucking]]/90)/15</f>
        <v>0</v>
      </c>
      <c r="CG307" s="801">
        <f>WWWW[[#This Row],['#_Water_Liters_from_Constructed/Existing water distribution system from river or natural spring]]/90/15</f>
        <v>0</v>
      </c>
      <c r="CH307" s="473">
        <f>WWWW[[#This Row],['#_of water points in TLS/CFS /THF]]*500</f>
        <v>0</v>
      </c>
      <c r="CI30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0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07" s="800">
        <f>IF(WWWW[[#This Row],[Location Type 1]]="Village",WWWW[[#This Row],[Access to safe drinking water for Village]],WWWW[[#This Row],[Access to safe drinking water for Camp]])</f>
        <v>1</v>
      </c>
      <c r="CL307" s="798">
        <f>WWWW[[#This Row],[%Equitable and continuous access to sufficient quantity of safe drinking water]]*WWWW[[#This Row],[Total PoP ]]</f>
        <v>180</v>
      </c>
      <c r="CM307" s="800">
        <f>IF((WWWW[[#This Row],['#_Constructed/Existing protected/fenced ponds]]*250)/WWWW[[#This Row],[Total PoP ]]&gt;1,1,(WWWW[[#This Row],['#_Constructed/Existing protected/fenced ponds]]*250)/WWWW[[#This Row],[Total PoP ]])</f>
        <v>0</v>
      </c>
      <c r="CN307" s="798">
        <f>WWWW[[#This Row],[% Access to unimproved water points]]*WWWW[[#This Row],[Total PoP ]]</f>
        <v>0</v>
      </c>
      <c r="CO30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Q307" s="798">
        <f>WWWW[[#This Row],[HRP1]]/500</f>
        <v>0.36</v>
      </c>
      <c r="CR307" s="803">
        <f>1-WWWW[[#This Row],[% Equitable and continuous access to sufficient quantity of domestic water]]</f>
        <v>0</v>
      </c>
      <c r="CS307" s="798">
        <f>WWWW[[#This Row],[%equitable and continuous access to sufficient quantity of safe drinking and domestic water''s GAP]]*WWWW[[#This Row],[Total PoP ]]</f>
        <v>0</v>
      </c>
      <c r="CT307" s="801">
        <f>IF(WWWW[[#This Row],[Total required water points]]-WWWW[[#This Row],['#Water points coverage]]&lt;0,0,WWWW[[#This Row],[Total required water points]]-WWWW[[#This Row],['#Water points coverage]])</f>
        <v>0.64</v>
      </c>
      <c r="CU307" s="801">
        <f>ROUND(IF(WWWW[[#This Row],[Total PoP ]]&lt;500,1,WWWW[[#This Row],[Total PoP ]]/500),0)</f>
        <v>1</v>
      </c>
      <c r="CV307" s="801">
        <f>(WWWW[[#This Row],['#_Constructed latrines_by_WASHAgencies]]+WWWW[[#This Row],['#_Non Cluster partner latrines]])-WWWW[[#This Row],['#_Non-functional latrines]]</f>
        <v>34</v>
      </c>
      <c r="CW307" s="804">
        <f>WWWW[[#This Row],[HRP2]]/WWWW[[#This Row],[Total PoP ]]</f>
        <v>1</v>
      </c>
      <c r="CX30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0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7" s="473">
        <f>IF(WWWW[[#This Row],['# of functional latrines in THF supported by WASH partners during the reporting period2]]="",0,WWWW[[#This Row],['# of functional latrines in THF supported by WASH partners during the reporting period2]]*50)</f>
        <v>0</v>
      </c>
      <c r="DB307" s="473">
        <f>WWWW[[#This Row],['# students access to functioning school latrines_HRP5]]+WWWW[[#This Row],['# People access to functioning latrines in THF_HRP5]]</f>
        <v>0</v>
      </c>
      <c r="DC307" s="801">
        <f>ROUND(IF(WWWW[[#This Row],[Location Type 1]]="camp",WWWW[[#This Row],[Total PoP ]]/20,IF(WWWW[[#This Row],[Location Type 1]]="Temporary Location",WWWW[[#This Row],[Total PoP ]]/50,(WWWW[[#This Row],[Total PoP ]]/6))),0)</f>
        <v>9</v>
      </c>
      <c r="DD307" s="801">
        <f>IF(WWWW[[#This Row],[Total required Latrines]]-(WWWW[[#This Row],['#_Constructed latrines_by_WASHAgencies]]+WWWW[[#This Row],['#_Non Cluster partner latrines]])&lt;0,0,WWWW[[#This Row],[Total required Latrines]]-(WWWW[[#This Row],['#_Constructed latrines_by_WASHAgencies]]+WWWW[[#This Row],['#_Non Cluster partner latrines]]))</f>
        <v>0</v>
      </c>
      <c r="DE307" s="803">
        <f>1-WWWW[[#This Row],[% people access to functioning Latrine]]</f>
        <v>0</v>
      </c>
      <c r="DF307" s="802">
        <f>IF(OR(WWWW[[#This Row],['#_Non-functional latrines]]="",WWWW[[#This Row],['#_Non-functional latrines]]=0),0,WWWW[[#This Row],['#_Non-functional latrines]]/(WWWW[[#This Row],['#_Constructed latrines_by_WASHAgencies]]+WWWW[[#This Row],['#_Non Cluster partner latrines]]))</f>
        <v>0</v>
      </c>
      <c r="DG307" s="798">
        <f>IF(500*(WWWW[[#This Row],['#_male hygiene promoters]]+WWWW[[#This Row],['#_female hygiene promoters]])&gt;WWWW[[#This Row],[Total PoP ]],WWWW[[#This Row],[Total PoP ]],500*(WWWW[[#This Row],['#_male hygiene promoters]]+WWWW[[#This Row],['#_female hygiene promoters]]))</f>
        <v>180</v>
      </c>
      <c r="DH30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30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7" s="801">
        <f>IF(WWWW[[#This Row],['# People with access to soap]]&gt;WWWW[[#This Row],['# People with access to Sanity Pads]],WWWW[[#This Row],['# People with access to soap]],WWWW[[#This Row],['# People with access to Sanity Pads]])</f>
        <v>155</v>
      </c>
      <c r="DK307" s="801">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L307" s="803">
        <f>IF(WWWW[[#This Row],[HRP3]]/WWWW[[#This Row],[Total PoP ]]&gt;1,1,WWWW[[#This Row],[HRP3]]/WWWW[[#This Row],[Total PoP ]])</f>
        <v>1</v>
      </c>
      <c r="DM307" s="802">
        <f>1-WWWW[[#This Row],[Hygiene Coverage%]]</f>
        <v>0</v>
      </c>
      <c r="DN307" s="800">
        <f>WWWW[[#This Row],['# people reached by regular dedicated hygiene promotion_5]]/WWWW[[#This Row],[Total PoP ]]</f>
        <v>1</v>
      </c>
      <c r="DO30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7" s="801">
        <f>WWWW[[#This Row],['#_Constructed/Existing hand washing stations]]-WWWW[[#This Row],['#_Non-Functional_hand_washing_stations]]</f>
        <v>2</v>
      </c>
      <c r="DR307" s="798">
        <f>IF(WWWW[[#This Row],['# Functional hand washing stations during reporting period]]*20&gt;WWWW[[#This Row],[Total HH]],WWWW[[#This Row],[Total HH]],WWWW[[#This Row],['# Functional hand washing stations during reporting period]]*20)</f>
        <v>34</v>
      </c>
      <c r="DS307" s="798">
        <f>IF(WWWW[[#This Row],[Is sufficient soap available for TLS? (Yes/No)]]="yes",WWWW[[#This Row],['#_Constructed/Existing hand washing stations at TLS]],0)</f>
        <v>0</v>
      </c>
      <c r="DT307" s="479">
        <f>IF(WWWW[[#This Row],['# Functional hand washing stations during reporting period]]*100&gt;WWWW[[#This Row],[Total PoP ]],WWWW[[#This Row],[Total PoP ]],WWWW[[#This Row],['# Functional hand washing stations during reporting period]]*100)</f>
        <v>180</v>
      </c>
      <c r="DU307" s="479" t="str">
        <f>IF(OR(WWWW[[#This Row],['#_students at TLS_CFS]]="",WWWW[[#This Row],['#_students at TLS_CFS]]=0),"No","Yes")</f>
        <v>No</v>
      </c>
      <c r="DV30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7" s="794">
        <f>VLOOKUP(WWWW[[#This Row],[Site Name]],SiteDB6[[Site Name]:[CCCM Management]],6,FALSE)</f>
        <v>0</v>
      </c>
      <c r="DZ307" s="794" t="str">
        <f>VLOOKUP(WWWW[[#This Row],[Site Name]],SiteDB6[[Site Name]:[CCCM Focal Agency]],7,FALSE)</f>
        <v>uncovered</v>
      </c>
      <c r="EA307" s="794" t="str">
        <f>VLOOKUP(WWWW[[#This Row],[Site Name]],SiteDB6[[Site Name]:[Location Type 1]],9,FALSE)</f>
        <v>Camp</v>
      </c>
      <c r="EB307" s="794" t="str">
        <f>VLOOKUP(WWWW[[#This Row],[Site Name]],SiteDB6[[Site Name]:[Type of Accommodation]],10,FALSE)</f>
        <v>Camp like setting</v>
      </c>
      <c r="EC307" s="794" t="str">
        <f>VLOOKUP(WWWW[[#This Row],[Site Name]],SiteDB6[[Site Name]:[Ethnic or GCA/NGCA]],11,FALSE)</f>
        <v>GCA</v>
      </c>
      <c r="ED307" s="794">
        <f>VLOOKUP(WWWW[[#This Row],[Site Name]],SiteDB6[[Site Name]:[Lat]],12,FALSE)</f>
        <v>23.850999999999999</v>
      </c>
      <c r="EE307" s="794">
        <f>VLOOKUP(WWWW[[#This Row],[Site Name]],SiteDB6[[Site Name]:[Long]],13,FALSE)</f>
        <v>98.337999999999994</v>
      </c>
      <c r="EF307" s="794" t="str">
        <f>VLOOKUP(WWWW[[#This Row],[Site Name]],SiteDB6[[Site Name]:[Pcode]],3,FALSE)</f>
        <v>MMR015CMP227</v>
      </c>
      <c r="EG307" s="799" t="str">
        <f t="shared" si="7"/>
        <v>Covered</v>
      </c>
      <c r="EH307" s="799" t="str">
        <f>VLOOKUP(WWWW[[#This Row],[Site Name]],Site_DB!$C$389:$D$1120,2,FALSE)</f>
        <v>cccm_2019OCT</v>
      </c>
    </row>
    <row r="308" spans="1:138" hidden="1">
      <c r="A308" s="792" t="s">
        <v>3262</v>
      </c>
      <c r="B308" s="792" t="s">
        <v>195</v>
      </c>
      <c r="C308" s="793" t="s">
        <v>195</v>
      </c>
      <c r="D308" s="404" t="s">
        <v>3364</v>
      </c>
      <c r="E308" s="793" t="s">
        <v>711</v>
      </c>
      <c r="F308" s="793" t="s">
        <v>715</v>
      </c>
      <c r="G308" s="721" t="str">
        <f>VLOOKUP(WWWW[[#This Row],[Site Name]],SiteDB6[[Site Name]:[Location Type]],8,FALSE)</f>
        <v>Camp</v>
      </c>
      <c r="H308" s="404" t="s">
        <v>724</v>
      </c>
      <c r="I308" s="795">
        <v>44</v>
      </c>
      <c r="J308" s="795">
        <v>264</v>
      </c>
      <c r="K308" s="407" t="s">
        <v>3607</v>
      </c>
      <c r="L308" s="56" t="s">
        <v>3608</v>
      </c>
      <c r="M308" s="795"/>
      <c r="N308" s="795">
        <v>1</v>
      </c>
      <c r="O308" s="795"/>
      <c r="P308" s="795"/>
      <c r="Q308" s="798" t="s">
        <v>43</v>
      </c>
      <c r="R308" s="795"/>
      <c r="S308" s="795"/>
      <c r="T308" s="523"/>
      <c r="U308" s="795"/>
      <c r="V308" s="795"/>
      <c r="W308" s="720"/>
      <c r="X308" s="720"/>
      <c r="Y308" s="795"/>
      <c r="Z308" s="795"/>
      <c r="AA308" s="720">
        <v>1</v>
      </c>
      <c r="AB308" s="795"/>
      <c r="AC308" s="795"/>
      <c r="AD308" s="795"/>
      <c r="AE308" s="795"/>
      <c r="AF308" s="795"/>
      <c r="AG308" s="720"/>
      <c r="AH308" s="720"/>
      <c r="AI308" s="795"/>
      <c r="AJ308" s="795"/>
      <c r="AK308" s="795"/>
      <c r="AL308" s="795"/>
      <c r="AM308" s="720"/>
      <c r="AN308" s="720"/>
      <c r="AO308" s="719"/>
      <c r="AP308" s="720">
        <v>6</v>
      </c>
      <c r="AQ308" s="720"/>
      <c r="AR308" s="800"/>
      <c r="AS308" s="795"/>
      <c r="AT308" s="795"/>
      <c r="AU308" s="795"/>
      <c r="AV308" s="795"/>
      <c r="AW308" s="795"/>
      <c r="AX308" s="794" t="s">
        <v>43</v>
      </c>
      <c r="AY308" s="799" t="s">
        <v>139</v>
      </c>
      <c r="AZ308" s="795"/>
      <c r="BA308" s="795"/>
      <c r="BB308" s="720"/>
      <c r="BC308" s="720"/>
      <c r="BD308" s="523"/>
      <c r="BE308" s="794"/>
      <c r="BF308" s="720"/>
      <c r="BG308" s="720"/>
      <c r="BH308" s="720"/>
      <c r="BI308" s="720"/>
      <c r="BJ308" s="720"/>
      <c r="BK308" s="720"/>
      <c r="BL308" s="720"/>
      <c r="BM308" s="720">
        <v>37</v>
      </c>
      <c r="BN308" s="720"/>
      <c r="BO308" s="794" t="s">
        <v>139</v>
      </c>
      <c r="BP308" s="801"/>
      <c r="BQ308" s="800"/>
      <c r="BR308" s="794"/>
      <c r="BS308" s="472"/>
      <c r="BT308" s="472"/>
      <c r="BU308" s="523"/>
      <c r="BV308" s="472"/>
      <c r="BW308" s="523"/>
      <c r="BX308" s="523"/>
      <c r="BY308" s="523"/>
      <c r="BZ308" s="802" t="str">
        <f>IFERROR(WWWW[[#This Row],['#_Water sources passed]]/WWWW[[#This Row],['#_Water sources tested for fecal coliform ]],"no test")</f>
        <v>no test</v>
      </c>
      <c r="CA308" s="800" t="str">
        <f>IFERROR(WWWW[[#This Row],['#_Household passed]]/WWWW[[#This Row],['#_Household water samples tested for fecal coliform]],"no test")</f>
        <v>no test</v>
      </c>
      <c r="CB308" s="801" t="str">
        <f>IF(AND(WWWW[[#This Row],[% of water sources passed]]="no test",WWWW[[#This Row],[% Household passed]]="no test"),"No Test","Tested")</f>
        <v>No Test</v>
      </c>
      <c r="CC308" s="801">
        <f>WWWW[[#This Row],['#_Constructed/existing protected hand dug well]]-WWWW[[#This Row],['#_Non-functional protected hand dug well]]</f>
        <v>0</v>
      </c>
      <c r="CD308" s="801">
        <f>(WWWW[[#This Row],['#_Constructed/Existing tube wells/boreholes/handpumps_WASH_agency]]+WWWW[[#This Row],['#_Non-Cluster partner water tube-wells/boreholes/handpumps]])-WWWW[[#This Row],['#_Non-functional tube wells/boreholes/handpumps]]</f>
        <v>0</v>
      </c>
      <c r="CE308" s="801">
        <f>WWWW[[#This Row],['#_Constructed/Existingwater storage tank with gravity fed reticulation system]]-WWWW[[#This Row],['#_Non-functional storage tank gravity fed reticulation system]]</f>
        <v>1</v>
      </c>
      <c r="CF308" s="801">
        <f>(WWWW[[#This Row],['#_Water_Liters_supplied_by_Water boating or water trucking]]/90)/15</f>
        <v>0</v>
      </c>
      <c r="CG308" s="801">
        <f>WWWW[[#This Row],['#_Water_Liters_from_Constructed/Existing water distribution system from river or natural spring]]/90/15</f>
        <v>0</v>
      </c>
      <c r="CH308" s="473">
        <f>WWWW[[#This Row],['#_of water points in TLS/CFS /THF]]*500</f>
        <v>0</v>
      </c>
      <c r="CI30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30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308" s="800">
        <f>IF(WWWW[[#This Row],[Location Type 1]]="Village",WWWW[[#This Row],[Access to safe drinking water for Village]],WWWW[[#This Row],[Access to safe drinking water for Camp]])</f>
        <v>0.25252525252525254</v>
      </c>
      <c r="CL308" s="798">
        <f>WWWW[[#This Row],[%Equitable and continuous access to sufficient quantity of safe drinking water]]*WWWW[[#This Row],[Total PoP ]]</f>
        <v>66.666666666666671</v>
      </c>
      <c r="CM308" s="800">
        <f>IF((WWWW[[#This Row],['#_Constructed/Existing protected/fenced ponds]]*250)/WWWW[[#This Row],[Total PoP ]]&gt;1,1,(WWWW[[#This Row],['#_Constructed/Existing protected/fenced ponds]]*250)/WWWW[[#This Row],[Total PoP ]])</f>
        <v>0</v>
      </c>
      <c r="CN308" s="798">
        <f>WWWW[[#This Row],[% Access to unimproved water points]]*WWWW[[#This Row],[Total PoP ]]</f>
        <v>0</v>
      </c>
      <c r="CO30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30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08" s="798">
        <f>WWWW[[#This Row],[HRP1]]/500</f>
        <v>0.13333333333333333</v>
      </c>
      <c r="CR308" s="803">
        <f>1-WWWW[[#This Row],[% Equitable and continuous access to sufficient quantity of domestic water]]</f>
        <v>0.7474747474747474</v>
      </c>
      <c r="CS308" s="798">
        <f>WWWW[[#This Row],[%equitable and continuous access to sufficient quantity of safe drinking and domestic water''s GAP]]*WWWW[[#This Row],[Total PoP ]]</f>
        <v>197.33333333333331</v>
      </c>
      <c r="CT308" s="801">
        <f>IF(WWWW[[#This Row],[Total required water points]]-WWWW[[#This Row],['#Water points coverage]]&lt;0,0,WWWW[[#This Row],[Total required water points]]-WWWW[[#This Row],['#Water points coverage]])</f>
        <v>0.8666666666666667</v>
      </c>
      <c r="CU308" s="801">
        <f>ROUND(IF(WWWW[[#This Row],[Total PoP ]]&lt;500,1,WWWW[[#This Row],[Total PoP ]]/500),0)</f>
        <v>1</v>
      </c>
      <c r="CV308" s="801">
        <f>(WWWW[[#This Row],['#_Constructed latrines_by_WASHAgencies]]+WWWW[[#This Row],['#_Non Cluster partner latrines]])-WWWW[[#This Row],['#_Non-functional latrines]]</f>
        <v>6</v>
      </c>
      <c r="CW308" s="804">
        <f>WWWW[[#This Row],[HRP2]]/WWWW[[#This Row],[Total PoP ]]</f>
        <v>0.11363636363636363</v>
      </c>
      <c r="CX30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v>
      </c>
      <c r="CY30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8" s="473">
        <f>IF(WWWW[[#This Row],['# of functional latrines in THF supported by WASH partners during the reporting period2]]="",0,WWWW[[#This Row],['# of functional latrines in THF supported by WASH partners during the reporting period2]]*50)</f>
        <v>0</v>
      </c>
      <c r="DB308" s="473">
        <f>WWWW[[#This Row],['# students access to functioning school latrines_HRP5]]+WWWW[[#This Row],['# People access to functioning latrines in THF_HRP5]]</f>
        <v>0</v>
      </c>
      <c r="DC308" s="801">
        <f>ROUND(IF(WWWW[[#This Row],[Location Type 1]]="camp",WWWW[[#This Row],[Total PoP ]]/20,IF(WWWW[[#This Row],[Location Type 1]]="Temporary Location",WWWW[[#This Row],[Total PoP ]]/50,(WWWW[[#This Row],[Total PoP ]]/6))),0)</f>
        <v>44</v>
      </c>
      <c r="DD308" s="801">
        <f>IF(WWWW[[#This Row],[Total required Latrines]]-(WWWW[[#This Row],['#_Constructed latrines_by_WASHAgencies]]+WWWW[[#This Row],['#_Non Cluster partner latrines]])&lt;0,0,WWWW[[#This Row],[Total required Latrines]]-(WWWW[[#This Row],['#_Constructed latrines_by_WASHAgencies]]+WWWW[[#This Row],['#_Non Cluster partner latrines]]))</f>
        <v>38</v>
      </c>
      <c r="DE308" s="803">
        <f>1-WWWW[[#This Row],[% people access to functioning Latrine]]</f>
        <v>0.88636363636363635</v>
      </c>
      <c r="DF308" s="802">
        <f>IF(OR(WWWW[[#This Row],['#_Non-functional latrines]]="",WWWW[[#This Row],['#_Non-functional latrines]]=0),0,WWWW[[#This Row],['#_Non-functional latrines]]/(WWWW[[#This Row],['#_Constructed latrines_by_WASHAgencies]]+WWWW[[#This Row],['#_Non Cluster partner latrines]]))</f>
        <v>0</v>
      </c>
      <c r="DG308" s="798">
        <f>IF(500*(WWWW[[#This Row],['#_male hygiene promoters]]+WWWW[[#This Row],['#_female hygiene promoters]])&gt;WWWW[[#This Row],[Total PoP ]],WWWW[[#This Row],[Total PoP ]],500*(WWWW[[#This Row],['#_male hygiene promoters]]+WWWW[[#This Row],['#_female hygiene promoters]]))</f>
        <v>0</v>
      </c>
      <c r="DH30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I30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8" s="801">
        <f>IF(WWWW[[#This Row],['# People with access to soap]]&gt;WWWW[[#This Row],['# People with access to Sanity Pads]],WWWW[[#This Row],['# People with access to soap]],WWWW[[#This Row],['# People with access to Sanity Pads]])</f>
        <v>185</v>
      </c>
      <c r="DK308" s="801">
        <f>IF(WWWW[[#This Row],['# people reached by regular dedicated hygiene promotion_5]]&gt;WWWW[[#This Row],['# People received regular supply of hygiene items_6]],WWWW[[#This Row],['# people reached by regular dedicated hygiene promotion_5]],WWWW[[#This Row],['# People received regular supply of hygiene items_6]])</f>
        <v>185</v>
      </c>
      <c r="DL308" s="803">
        <f>IF(WWWW[[#This Row],[HRP3]]/WWWW[[#This Row],[Total PoP ]]&gt;1,1,WWWW[[#This Row],[HRP3]]/WWWW[[#This Row],[Total PoP ]])</f>
        <v>0.7007575757575758</v>
      </c>
      <c r="DM308" s="802">
        <f>1-WWWW[[#This Row],[Hygiene Coverage%]]</f>
        <v>0.2992424242424242</v>
      </c>
      <c r="DN308" s="800">
        <f>WWWW[[#This Row],['# people reached by regular dedicated hygiene promotion_5]]/WWWW[[#This Row],[Total PoP ]]</f>
        <v>0</v>
      </c>
      <c r="DO30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8" s="801">
        <f>WWWW[[#This Row],['#_Constructed/Existing hand washing stations]]-WWWW[[#This Row],['#_Non-Functional_hand_washing_stations]]</f>
        <v>0</v>
      </c>
      <c r="DR308" s="798">
        <f>IF(WWWW[[#This Row],['# Functional hand washing stations during reporting period]]*20&gt;WWWW[[#This Row],[Total HH]],WWWW[[#This Row],[Total HH]],WWWW[[#This Row],['# Functional hand washing stations during reporting period]]*20)</f>
        <v>0</v>
      </c>
      <c r="DS308" s="798">
        <f>IF(WWWW[[#This Row],[Is sufficient soap available for TLS? (Yes/No)]]="yes",WWWW[[#This Row],['#_Constructed/Existing hand washing stations at TLS]],0)</f>
        <v>0</v>
      </c>
      <c r="DT308" s="479">
        <f>IF(WWWW[[#This Row],['# Functional hand washing stations during reporting period]]*100&gt;WWWW[[#This Row],[Total PoP ]],WWWW[[#This Row],[Total PoP ]],WWWW[[#This Row],['# Functional hand washing stations during reporting period]]*100)</f>
        <v>0</v>
      </c>
      <c r="DU308" s="479" t="str">
        <f>IF(OR(WWWW[[#This Row],['#_students at TLS_CFS]]="",WWWW[[#This Row],['#_students at TLS_CFS]]=0),"No","Yes")</f>
        <v>No</v>
      </c>
      <c r="DV30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8" s="794" t="str">
        <f>VLOOKUP(WWWW[[#This Row],[Site Name]],SiteDB6[[Site Name]:[CCCM Management]],6,FALSE)</f>
        <v>Yes</v>
      </c>
      <c r="DZ308" s="794" t="str">
        <f>VLOOKUP(WWWW[[#This Row],[Site Name]],SiteDB6[[Site Name]:[CCCM Focal Agency]],7,FALSE)</f>
        <v>KBC-NSS</v>
      </c>
      <c r="EA308" s="794" t="str">
        <f>VLOOKUP(WWWW[[#This Row],[Site Name]],SiteDB6[[Site Name]:[Location Type 1]],9,FALSE)</f>
        <v>Village Type Camp</v>
      </c>
      <c r="EB308" s="794" t="str">
        <f>VLOOKUP(WWWW[[#This Row],[Site Name]],SiteDB6[[Site Name]:[Type of Accommodation]],10,FALSE)</f>
        <v>Camp</v>
      </c>
      <c r="EC308" s="794" t="str">
        <f>VLOOKUP(WWWW[[#This Row],[Site Name]],SiteDB6[[Site Name]:[Ethnic or GCA/NGCA]],11,FALSE)</f>
        <v>GCA</v>
      </c>
      <c r="ED308" s="794">
        <f>VLOOKUP(WWWW[[#This Row],[Site Name]],SiteDB6[[Site Name]:[Lat]],12,FALSE)</f>
        <v>23.400155999999999</v>
      </c>
      <c r="EE308" s="794">
        <f>VLOOKUP(WWWW[[#This Row],[Site Name]],SiteDB6[[Site Name]:[Long]],13,FALSE)</f>
        <v>98.220614999999995</v>
      </c>
      <c r="EF308" s="794" t="str">
        <f>VLOOKUP(WWWW[[#This Row],[Site Name]],SiteDB6[[Site Name]:[Pcode]],3,FALSE)</f>
        <v>MMR015CMP006</v>
      </c>
      <c r="EG308" s="799" t="str">
        <f t="shared" si="7"/>
        <v>Covered</v>
      </c>
      <c r="EH308" s="799" t="str">
        <f>VLOOKUP(WWWW[[#This Row],[Site Name]],Site_DB!$C$389:$D$1120,2,FALSE)</f>
        <v>cccm_2019OCT</v>
      </c>
    </row>
    <row r="309" spans="1:138" hidden="1">
      <c r="A309" s="792" t="s">
        <v>3262</v>
      </c>
      <c r="B309" s="792" t="s">
        <v>195</v>
      </c>
      <c r="C309" s="793" t="s">
        <v>195</v>
      </c>
      <c r="D309" s="404" t="s">
        <v>3364</v>
      </c>
      <c r="E309" s="793" t="s">
        <v>711</v>
      </c>
      <c r="F309" s="793" t="s">
        <v>715</v>
      </c>
      <c r="G309" s="721" t="str">
        <f>VLOOKUP(WWWW[[#This Row],[Site Name]],SiteDB6[[Site Name]:[Location Type]],8,FALSE)</f>
        <v>Camp</v>
      </c>
      <c r="H309" s="793" t="s">
        <v>720</v>
      </c>
      <c r="I309" s="795">
        <v>22</v>
      </c>
      <c r="J309" s="795">
        <v>111</v>
      </c>
      <c r="K309" s="407" t="s">
        <v>3607</v>
      </c>
      <c r="L309" s="56" t="s">
        <v>3608</v>
      </c>
      <c r="M309" s="795"/>
      <c r="N309" s="795"/>
      <c r="O309" s="795"/>
      <c r="P309" s="795"/>
      <c r="Q309" s="798"/>
      <c r="R309" s="795"/>
      <c r="S309" s="795"/>
      <c r="T309" s="523">
        <v>0</v>
      </c>
      <c r="U309" s="795"/>
      <c r="V309" s="795"/>
      <c r="W309" s="720">
        <v>0</v>
      </c>
      <c r="X309" s="720"/>
      <c r="Y309" s="795"/>
      <c r="Z309" s="795"/>
      <c r="AA309" s="720"/>
      <c r="AB309" s="795"/>
      <c r="AC309" s="795"/>
      <c r="AD309" s="795"/>
      <c r="AE309" s="795">
        <v>1</v>
      </c>
      <c r="AF309" s="795"/>
      <c r="AG309" s="720"/>
      <c r="AH309" s="720"/>
      <c r="AI309" s="795"/>
      <c r="AJ309" s="795"/>
      <c r="AK309" s="795"/>
      <c r="AL309" s="795"/>
      <c r="AM309" s="720"/>
      <c r="AN309" s="720"/>
      <c r="AO309" s="719"/>
      <c r="AP309" s="720">
        <v>11</v>
      </c>
      <c r="AQ309" s="720"/>
      <c r="AR309" s="800"/>
      <c r="AS309" s="795"/>
      <c r="AT309" s="795"/>
      <c r="AU309" s="795"/>
      <c r="AV309" s="795"/>
      <c r="AW309" s="795"/>
      <c r="AX309" s="794" t="s">
        <v>43</v>
      </c>
      <c r="AY309" s="799" t="s">
        <v>140</v>
      </c>
      <c r="AZ309" s="795"/>
      <c r="BA309" s="795"/>
      <c r="BB309" s="720">
        <v>0</v>
      </c>
      <c r="BC309" s="720"/>
      <c r="BD309" s="523"/>
      <c r="BE309" s="794"/>
      <c r="BF309" s="720"/>
      <c r="BG309" s="720"/>
      <c r="BH309" s="720">
        <v>0</v>
      </c>
      <c r="BI309" s="720">
        <v>2</v>
      </c>
      <c r="BJ309" s="720"/>
      <c r="BK309" s="720"/>
      <c r="BL309" s="720">
        <v>0</v>
      </c>
      <c r="BM309" s="720">
        <v>23</v>
      </c>
      <c r="BN309" s="720"/>
      <c r="BO309" s="794" t="s">
        <v>139</v>
      </c>
      <c r="BP309" s="801"/>
      <c r="BQ309" s="800"/>
      <c r="BR309" s="794"/>
      <c r="BS309" s="472"/>
      <c r="BT309" s="472"/>
      <c r="BU309" s="523"/>
      <c r="BV309" s="472"/>
      <c r="BW309" s="523"/>
      <c r="BX309" s="523"/>
      <c r="BY309" s="523"/>
      <c r="BZ309" s="802" t="str">
        <f>IFERROR(WWWW[[#This Row],['#_Water sources passed]]/WWWW[[#This Row],['#_Water sources tested for fecal coliform ]],"no test")</f>
        <v>no test</v>
      </c>
      <c r="CA309" s="800" t="str">
        <f>IFERROR(WWWW[[#This Row],['#_Household passed]]/WWWW[[#This Row],['#_Household water samples tested for fecal coliform]],"no test")</f>
        <v>no test</v>
      </c>
      <c r="CB309" s="801" t="str">
        <f>IF(AND(WWWW[[#This Row],[% of water sources passed]]="no test",WWWW[[#This Row],[% Household passed]]="no test"),"No Test","Tested")</f>
        <v>No Test</v>
      </c>
      <c r="CC309" s="801">
        <f>WWWW[[#This Row],['#_Constructed/existing protected hand dug well]]-WWWW[[#This Row],['#_Non-functional protected hand dug well]]</f>
        <v>0</v>
      </c>
      <c r="CD309" s="801">
        <f>(WWWW[[#This Row],['#_Constructed/Existing tube wells/boreholes/handpumps_WASH_agency]]+WWWW[[#This Row],['#_Non-Cluster partner water tube-wells/boreholes/handpumps]])-WWWW[[#This Row],['#_Non-functional tube wells/boreholes/handpumps]]</f>
        <v>0</v>
      </c>
      <c r="CE309" s="801">
        <f>WWWW[[#This Row],['#_Constructed/Existingwater storage tank with gravity fed reticulation system]]-WWWW[[#This Row],['#_Non-functional storage tank gravity fed reticulation system]]</f>
        <v>0</v>
      </c>
      <c r="CF309" s="801">
        <f>(WWWW[[#This Row],['#_Water_Liters_supplied_by_Water boating or water trucking]]/90)/15</f>
        <v>0</v>
      </c>
      <c r="CG309" s="801">
        <f>WWWW[[#This Row],['#_Water_Liters_from_Constructed/Existing water distribution system from river or natural spring]]/90/15</f>
        <v>0</v>
      </c>
      <c r="CH309" s="473">
        <f>WWWW[[#This Row],['#_of water points in TLS/CFS /THF]]*500</f>
        <v>0</v>
      </c>
      <c r="CI30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0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09" s="800">
        <f>IF(WWWW[[#This Row],[Location Type 1]]="Village",WWWW[[#This Row],[Access to safe drinking water for Village]],WWWW[[#This Row],[Access to safe drinking water for Camp]])</f>
        <v>0</v>
      </c>
      <c r="CL309" s="798">
        <f>WWWW[[#This Row],[%Equitable and continuous access to sufficient quantity of safe drinking water]]*WWWW[[#This Row],[Total PoP ]]</f>
        <v>0</v>
      </c>
      <c r="CM309" s="800">
        <f>IF((WWWW[[#This Row],['#_Constructed/Existing protected/fenced ponds]]*250)/WWWW[[#This Row],[Total PoP ]]&gt;1,1,(WWWW[[#This Row],['#_Constructed/Existing protected/fenced ponds]]*250)/WWWW[[#This Row],[Total PoP ]])</f>
        <v>1</v>
      </c>
      <c r="CN309" s="798">
        <f>WWWW[[#This Row],[% Access to unimproved water points]]*WWWW[[#This Row],[Total PoP ]]</f>
        <v>111</v>
      </c>
      <c r="CO30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0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309" s="798">
        <f>WWWW[[#This Row],[HRP1]]/500</f>
        <v>0.222</v>
      </c>
      <c r="CR309" s="803">
        <f>1-WWWW[[#This Row],[% Equitable and continuous access to sufficient quantity of domestic water]]</f>
        <v>0</v>
      </c>
      <c r="CS309" s="798">
        <f>WWWW[[#This Row],[%equitable and continuous access to sufficient quantity of safe drinking and domestic water''s GAP]]*WWWW[[#This Row],[Total PoP ]]</f>
        <v>0</v>
      </c>
      <c r="CT309" s="801">
        <f>IF(WWWW[[#This Row],[Total required water points]]-WWWW[[#This Row],['#Water points coverage]]&lt;0,0,WWWW[[#This Row],[Total required water points]]-WWWW[[#This Row],['#Water points coverage]])</f>
        <v>0.77800000000000002</v>
      </c>
      <c r="CU309" s="801">
        <f>ROUND(IF(WWWW[[#This Row],[Total PoP ]]&lt;500,1,WWWW[[#This Row],[Total PoP ]]/500),0)</f>
        <v>1</v>
      </c>
      <c r="CV309" s="801">
        <f>(WWWW[[#This Row],['#_Constructed latrines_by_WASHAgencies]]+WWWW[[#This Row],['#_Non Cluster partner latrines]])-WWWW[[#This Row],['#_Non-functional latrines]]</f>
        <v>11</v>
      </c>
      <c r="CW309" s="804">
        <f>WWWW[[#This Row],[HRP2]]/WWWW[[#This Row],[Total PoP ]]</f>
        <v>1</v>
      </c>
      <c r="CX30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30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0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09" s="473">
        <f>IF(WWWW[[#This Row],['# of functional latrines in THF supported by WASH partners during the reporting period2]]="",0,WWWW[[#This Row],['# of functional latrines in THF supported by WASH partners during the reporting period2]]*50)</f>
        <v>0</v>
      </c>
      <c r="DB309" s="473">
        <f>WWWW[[#This Row],['# students access to functioning school latrines_HRP5]]+WWWW[[#This Row],['# People access to functioning latrines in THF_HRP5]]</f>
        <v>0</v>
      </c>
      <c r="DC309" s="801">
        <f>ROUND(IF(WWWW[[#This Row],[Location Type 1]]="camp",WWWW[[#This Row],[Total PoP ]]/20,IF(WWWW[[#This Row],[Location Type 1]]="Temporary Location",WWWW[[#This Row],[Total PoP ]]/50,(WWWW[[#This Row],[Total PoP ]]/6))),0)</f>
        <v>6</v>
      </c>
      <c r="DD309" s="801">
        <f>IF(WWWW[[#This Row],[Total required Latrines]]-(WWWW[[#This Row],['#_Constructed latrines_by_WASHAgencies]]+WWWW[[#This Row],['#_Non Cluster partner latrines]])&lt;0,0,WWWW[[#This Row],[Total required Latrines]]-(WWWW[[#This Row],['#_Constructed latrines_by_WASHAgencies]]+WWWW[[#This Row],['#_Non Cluster partner latrines]]))</f>
        <v>0</v>
      </c>
      <c r="DE309" s="803">
        <f>1-WWWW[[#This Row],[% people access to functioning Latrine]]</f>
        <v>0</v>
      </c>
      <c r="DF309" s="802">
        <f>IF(OR(WWWW[[#This Row],['#_Non-functional latrines]]="",WWWW[[#This Row],['#_Non-functional latrines]]=0),0,WWWW[[#This Row],['#_Non-functional latrines]]/(WWWW[[#This Row],['#_Constructed latrines_by_WASHAgencies]]+WWWW[[#This Row],['#_Non Cluster partner latrines]]))</f>
        <v>0</v>
      </c>
      <c r="DG309" s="798">
        <f>IF(500*(WWWW[[#This Row],['#_male hygiene promoters]]+WWWW[[#This Row],['#_female hygiene promoters]])&gt;WWWW[[#This Row],[Total PoP ]],WWWW[[#This Row],[Total PoP ]],500*(WWWW[[#This Row],['#_male hygiene promoters]]+WWWW[[#This Row],['#_female hygiene promoters]]))</f>
        <v>0</v>
      </c>
      <c r="DH30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111</v>
      </c>
      <c r="DI30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09" s="801">
        <f>IF(WWWW[[#This Row],['# People with access to soap]]&gt;WWWW[[#This Row],['# People with access to Sanity Pads]],WWWW[[#This Row],['# People with access to soap]],WWWW[[#This Row],['# People with access to Sanity Pads]])</f>
        <v>111</v>
      </c>
      <c r="DK309" s="801">
        <f>IF(WWWW[[#This Row],['# people reached by regular dedicated hygiene promotion_5]]&gt;WWWW[[#This Row],['# People received regular supply of hygiene items_6]],WWWW[[#This Row],['# people reached by regular dedicated hygiene promotion_5]],WWWW[[#This Row],['# People received regular supply of hygiene items_6]])</f>
        <v>111</v>
      </c>
      <c r="DL309" s="803">
        <f>IF(WWWW[[#This Row],[HRP3]]/WWWW[[#This Row],[Total PoP ]]&gt;1,1,WWWW[[#This Row],[HRP3]]/WWWW[[#This Row],[Total PoP ]])</f>
        <v>1</v>
      </c>
      <c r="DM309" s="802">
        <f>1-WWWW[[#This Row],[Hygiene Coverage%]]</f>
        <v>0</v>
      </c>
      <c r="DN309" s="800">
        <f>WWWW[[#This Row],['# people reached by regular dedicated hygiene promotion_5]]/WWWW[[#This Row],[Total PoP ]]</f>
        <v>0</v>
      </c>
      <c r="DO30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0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09" s="801">
        <f>WWWW[[#This Row],['#_Constructed/Existing hand washing stations]]-WWWW[[#This Row],['#_Non-Functional_hand_washing_stations]]</f>
        <v>0</v>
      </c>
      <c r="DR309" s="798">
        <f>IF(WWWW[[#This Row],['# Functional hand washing stations during reporting period]]*20&gt;WWWW[[#This Row],[Total HH]],WWWW[[#This Row],[Total HH]],WWWW[[#This Row],['# Functional hand washing stations during reporting period]]*20)</f>
        <v>0</v>
      </c>
      <c r="DS309" s="798">
        <f>IF(WWWW[[#This Row],[Is sufficient soap available for TLS? (Yes/No)]]="yes",WWWW[[#This Row],['#_Constructed/Existing hand washing stations at TLS]],0)</f>
        <v>0</v>
      </c>
      <c r="DT309" s="479">
        <f>IF(WWWW[[#This Row],['# Functional hand washing stations during reporting period]]*100&gt;WWWW[[#This Row],[Total PoP ]],WWWW[[#This Row],[Total PoP ]],WWWW[[#This Row],['# Functional hand washing stations during reporting period]]*100)</f>
        <v>0</v>
      </c>
      <c r="DU309" s="479" t="str">
        <f>IF(OR(WWWW[[#This Row],['#_students at TLS_CFS]]="",WWWW[[#This Row],['#_students at TLS_CFS]]=0),"No","Yes")</f>
        <v>No</v>
      </c>
      <c r="DV30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0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0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09" s="794" t="str">
        <f>VLOOKUP(WWWW[[#This Row],[Site Name]],SiteDB6[[Site Name]:[CCCM Management]],6,FALSE)</f>
        <v>Yes</v>
      </c>
      <c r="DZ309" s="794" t="str">
        <f>VLOOKUP(WWWW[[#This Row],[Site Name]],SiteDB6[[Site Name]:[CCCM Focal Agency]],7,FALSE)</f>
        <v>KMSS-LSO</v>
      </c>
      <c r="EA309" s="794" t="str">
        <f>VLOOKUP(WWWW[[#This Row],[Site Name]],SiteDB6[[Site Name]:[Location Type 1]],9,FALSE)</f>
        <v>Camp</v>
      </c>
      <c r="EB309" s="794" t="str">
        <f>VLOOKUP(WWWW[[#This Row],[Site Name]],SiteDB6[[Site Name]:[Type of Accommodation]],10,FALSE)</f>
        <v>Camp</v>
      </c>
      <c r="EC309" s="794" t="str">
        <f>VLOOKUP(WWWW[[#This Row],[Site Name]],SiteDB6[[Site Name]:[Ethnic or GCA/NGCA]],11,FALSE)</f>
        <v>GCA</v>
      </c>
      <c r="ED309" s="794">
        <f>VLOOKUP(WWWW[[#This Row],[Site Name]],SiteDB6[[Site Name]:[Lat]],12,FALSE)</f>
        <v>23.463000000000001</v>
      </c>
      <c r="EE309" s="794">
        <f>VLOOKUP(WWWW[[#This Row],[Site Name]],SiteDB6[[Site Name]:[Long]],13,FALSE)</f>
        <v>98.248999999999995</v>
      </c>
      <c r="EF309" s="794" t="str">
        <f>VLOOKUP(WWWW[[#This Row],[Site Name]],SiteDB6[[Site Name]:[Pcode]],3,FALSE)</f>
        <v>MMR015CMP217</v>
      </c>
      <c r="EG309" s="799" t="str">
        <f t="shared" si="7"/>
        <v>Covered</v>
      </c>
      <c r="EH309" s="799" t="str">
        <f>VLOOKUP(WWWW[[#This Row],[Site Name]],Site_DB!$C$389:$D$1120,2,FALSE)</f>
        <v>cccm_2019OCT</v>
      </c>
    </row>
    <row r="310" spans="1:138" hidden="1">
      <c r="A310" s="792" t="s">
        <v>3262</v>
      </c>
      <c r="B310" s="792" t="s">
        <v>195</v>
      </c>
      <c r="C310" s="793" t="s">
        <v>195</v>
      </c>
      <c r="D310" s="793" t="s">
        <v>3364</v>
      </c>
      <c r="E310" s="793" t="s">
        <v>711</v>
      </c>
      <c r="F310" s="793" t="s">
        <v>721</v>
      </c>
      <c r="G310" s="721" t="str">
        <f>VLOOKUP(WWWW[[#This Row],[Site Name]],SiteDB6[[Site Name]:[Location Type]],8,FALSE)</f>
        <v>Camp</v>
      </c>
      <c r="H310" s="793" t="s">
        <v>722</v>
      </c>
      <c r="I310" s="795">
        <v>24</v>
      </c>
      <c r="J310" s="795">
        <v>114</v>
      </c>
      <c r="K310" s="407" t="s">
        <v>3607</v>
      </c>
      <c r="L310" s="56" t="s">
        <v>3608</v>
      </c>
      <c r="M310" s="795"/>
      <c r="N310" s="795"/>
      <c r="O310" s="795"/>
      <c r="P310" s="795"/>
      <c r="Q310" s="798"/>
      <c r="R310" s="795"/>
      <c r="S310" s="795"/>
      <c r="T310" s="523">
        <v>1</v>
      </c>
      <c r="U310" s="795"/>
      <c r="V310" s="795"/>
      <c r="W310" s="795">
        <v>1</v>
      </c>
      <c r="X310" s="795"/>
      <c r="Y310" s="795"/>
      <c r="Z310" s="795"/>
      <c r="AA310" s="795"/>
      <c r="AB310" s="795"/>
      <c r="AC310" s="795"/>
      <c r="AD310" s="795"/>
      <c r="AE310" s="795"/>
      <c r="AF310" s="795"/>
      <c r="AG310" s="795"/>
      <c r="AH310" s="795"/>
      <c r="AI310" s="795"/>
      <c r="AJ310" s="795"/>
      <c r="AK310" s="795"/>
      <c r="AL310" s="795"/>
      <c r="AM310" s="795"/>
      <c r="AN310" s="795"/>
      <c r="AO310" s="799"/>
      <c r="AP310" s="795">
        <v>8</v>
      </c>
      <c r="AQ310" s="795"/>
      <c r="AR310" s="800"/>
      <c r="AS310" s="795"/>
      <c r="AT310" s="795"/>
      <c r="AU310" s="795"/>
      <c r="AV310" s="795"/>
      <c r="AW310" s="795"/>
      <c r="AX310" s="794" t="s">
        <v>43</v>
      </c>
      <c r="AY310" s="799" t="s">
        <v>1195</v>
      </c>
      <c r="AZ310" s="795"/>
      <c r="BA310" s="795"/>
      <c r="BB310" s="795">
        <v>1</v>
      </c>
      <c r="BC310" s="523"/>
      <c r="BD310" s="523"/>
      <c r="BE310" s="794"/>
      <c r="BF310" s="795"/>
      <c r="BG310" s="795"/>
      <c r="BH310" s="795">
        <v>1</v>
      </c>
      <c r="BI310" s="795">
        <v>2</v>
      </c>
      <c r="BJ310" s="795"/>
      <c r="BK310" s="795"/>
      <c r="BL310" s="795">
        <v>2</v>
      </c>
      <c r="BM310" s="795"/>
      <c r="BN310" s="795"/>
      <c r="BO310" s="794"/>
      <c r="BP310" s="801"/>
      <c r="BQ310" s="800"/>
      <c r="BR310" s="794"/>
      <c r="BS310" s="472"/>
      <c r="BT310" s="472"/>
      <c r="BU310" s="523"/>
      <c r="BV310" s="472"/>
      <c r="BW310" s="523"/>
      <c r="BX310" s="523"/>
      <c r="BY310" s="523"/>
      <c r="BZ310" s="802" t="str">
        <f>IFERROR(WWWW[[#This Row],['#_Water sources passed]]/WWWW[[#This Row],['#_Water sources tested for fecal coliform ]],"no test")</f>
        <v>no test</v>
      </c>
      <c r="CA310" s="800" t="str">
        <f>IFERROR(WWWW[[#This Row],['#_Household passed]]/WWWW[[#This Row],['#_Household water samples tested for fecal coliform]],"no test")</f>
        <v>no test</v>
      </c>
      <c r="CB310" s="801" t="str">
        <f>IF(AND(WWWW[[#This Row],[% of water sources passed]]="no test",WWWW[[#This Row],[% Household passed]]="no test"),"No Test","Tested")</f>
        <v>No Test</v>
      </c>
      <c r="CC310" s="801">
        <f>WWWW[[#This Row],['#_Constructed/existing protected hand dug well]]-WWWW[[#This Row],['#_Non-functional protected hand dug well]]</f>
        <v>1</v>
      </c>
      <c r="CD310" s="801">
        <f>(WWWW[[#This Row],['#_Constructed/Existing tube wells/boreholes/handpumps_WASH_agency]]+WWWW[[#This Row],['#_Non-Cluster partner water tube-wells/boreholes/handpumps]])-WWWW[[#This Row],['#_Non-functional tube wells/boreholes/handpumps]]</f>
        <v>1</v>
      </c>
      <c r="CE310" s="801">
        <f>WWWW[[#This Row],['#_Constructed/Existingwater storage tank with gravity fed reticulation system]]-WWWW[[#This Row],['#_Non-functional storage tank gravity fed reticulation system]]</f>
        <v>0</v>
      </c>
      <c r="CF310" s="801">
        <f>(WWWW[[#This Row],['#_Water_Liters_supplied_by_Water boating or water trucking]]/90)/15</f>
        <v>0</v>
      </c>
      <c r="CG310" s="801">
        <f>WWWW[[#This Row],['#_Water_Liters_from_Constructed/Existing water distribution system from river or natural spring]]/90/15</f>
        <v>0</v>
      </c>
      <c r="CH310" s="473">
        <f>WWWW[[#This Row],['#_of water points in TLS/CFS /THF]]*500</f>
        <v>0</v>
      </c>
      <c r="CI31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0" s="800">
        <f>IF(WWWW[[#This Row],[Location Type 1]]="Village",WWWW[[#This Row],[Access to safe drinking water for Village]],WWWW[[#This Row],[Access to safe drinking water for Camp]])</f>
        <v>1</v>
      </c>
      <c r="CL310" s="798">
        <f>WWWW[[#This Row],[%Equitable and continuous access to sufficient quantity of safe drinking water]]*WWWW[[#This Row],[Total PoP ]]</f>
        <v>114</v>
      </c>
      <c r="CM310" s="800">
        <f>IF((WWWW[[#This Row],['#_Constructed/Existing protected/fenced ponds]]*250)/WWWW[[#This Row],[Total PoP ]]&gt;1,1,(WWWW[[#This Row],['#_Constructed/Existing protected/fenced ponds]]*250)/WWWW[[#This Row],[Total PoP ]])</f>
        <v>0</v>
      </c>
      <c r="CN310" s="798">
        <f>WWWW[[#This Row],[% Access to unimproved water points]]*WWWW[[#This Row],[Total PoP ]]</f>
        <v>0</v>
      </c>
      <c r="CO31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310" s="798">
        <f>WWWW[[#This Row],[HRP1]]/500</f>
        <v>0.22800000000000001</v>
      </c>
      <c r="CR310" s="803">
        <f>1-WWWW[[#This Row],[% Equitable and continuous access to sufficient quantity of domestic water]]</f>
        <v>0</v>
      </c>
      <c r="CS310" s="798">
        <f>WWWW[[#This Row],[%equitable and continuous access to sufficient quantity of safe drinking and domestic water''s GAP]]*WWWW[[#This Row],[Total PoP ]]</f>
        <v>0</v>
      </c>
      <c r="CT310" s="801">
        <f>IF(WWWW[[#This Row],[Total required water points]]-WWWW[[#This Row],['#Water points coverage]]&lt;0,0,WWWW[[#This Row],[Total required water points]]-WWWW[[#This Row],['#Water points coverage]])</f>
        <v>0.77200000000000002</v>
      </c>
      <c r="CU310" s="801">
        <f>ROUND(IF(WWWW[[#This Row],[Total PoP ]]&lt;500,1,WWWW[[#This Row],[Total PoP ]]/500),0)</f>
        <v>1</v>
      </c>
      <c r="CV310" s="801">
        <f>(WWWW[[#This Row],['#_Constructed latrines_by_WASHAgencies]]+WWWW[[#This Row],['#_Non Cluster partner latrines]])-WWWW[[#This Row],['#_Non-functional latrines]]</f>
        <v>8</v>
      </c>
      <c r="CW310" s="804">
        <f>WWWW[[#This Row],[HRP2]]/WWWW[[#This Row],[Total PoP ]]</f>
        <v>1</v>
      </c>
      <c r="CX31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31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0" s="473">
        <f>IF(WWWW[[#This Row],['# of functional latrines in THF supported by WASH partners during the reporting period2]]="",0,WWWW[[#This Row],['# of functional latrines in THF supported by WASH partners during the reporting period2]]*50)</f>
        <v>0</v>
      </c>
      <c r="DB310" s="473">
        <f>WWWW[[#This Row],['# students access to functioning school latrines_HRP5]]+WWWW[[#This Row],['# People access to functioning latrines in THF_HRP5]]</f>
        <v>0</v>
      </c>
      <c r="DC310" s="801">
        <f>ROUND(IF(WWWW[[#This Row],[Location Type 1]]="camp",WWWW[[#This Row],[Total PoP ]]/20,IF(WWWW[[#This Row],[Location Type 1]]="Temporary Location",WWWW[[#This Row],[Total PoP ]]/50,(WWWW[[#This Row],[Total PoP ]]/6))),0)</f>
        <v>6</v>
      </c>
      <c r="DD310" s="801">
        <f>IF(WWWW[[#This Row],[Total required Latrines]]-(WWWW[[#This Row],['#_Constructed latrines_by_WASHAgencies]]+WWWW[[#This Row],['#_Non Cluster partner latrines]])&lt;0,0,WWWW[[#This Row],[Total required Latrines]]-(WWWW[[#This Row],['#_Constructed latrines_by_WASHAgencies]]+WWWW[[#This Row],['#_Non Cluster partner latrines]]))</f>
        <v>0</v>
      </c>
      <c r="DE310" s="803">
        <f>1-WWWW[[#This Row],[% people access to functioning Latrine]]</f>
        <v>0</v>
      </c>
      <c r="DF310" s="802">
        <f>IF(OR(WWWW[[#This Row],['#_Non-functional latrines]]="",WWWW[[#This Row],['#_Non-functional latrines]]=0),0,WWWW[[#This Row],['#_Non-functional latrines]]/(WWWW[[#This Row],['#_Constructed latrines_by_WASHAgencies]]+WWWW[[#This Row],['#_Non Cluster partner latrines]]))</f>
        <v>0</v>
      </c>
      <c r="DG310" s="798">
        <f>IF(500*(WWWW[[#This Row],['#_male hygiene promoters]]+WWWW[[#This Row],['#_female hygiene promoters]])&gt;WWWW[[#This Row],[Total PoP ]],WWWW[[#This Row],[Total PoP ]],500*(WWWW[[#This Row],['#_male hygiene promoters]]+WWWW[[#This Row],['#_female hygiene promoters]]))</f>
        <v>114</v>
      </c>
      <c r="DH31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0" s="801">
        <f>IF(WWWW[[#This Row],['# People with access to soap]]&gt;WWWW[[#This Row],['# People with access to Sanity Pads]],WWWW[[#This Row],['# People with access to soap]],WWWW[[#This Row],['# People with access to Sanity Pads]])</f>
        <v>0</v>
      </c>
      <c r="DK310" s="801">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310" s="803">
        <f>IF(WWWW[[#This Row],[HRP3]]/WWWW[[#This Row],[Total PoP ]]&gt;1,1,WWWW[[#This Row],[HRP3]]/WWWW[[#This Row],[Total PoP ]])</f>
        <v>1</v>
      </c>
      <c r="DM310" s="802">
        <f>1-WWWW[[#This Row],[Hygiene Coverage%]]</f>
        <v>0</v>
      </c>
      <c r="DN310" s="800">
        <f>WWWW[[#This Row],['# people reached by regular dedicated hygiene promotion_5]]/WWWW[[#This Row],[Total PoP ]]</f>
        <v>1</v>
      </c>
      <c r="DO31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0" s="801">
        <f>WWWW[[#This Row],['#_Constructed/Existing hand washing stations]]-WWWW[[#This Row],['#_Non-Functional_hand_washing_stations]]</f>
        <v>0</v>
      </c>
      <c r="DR310" s="798">
        <f>IF(WWWW[[#This Row],['# Functional hand washing stations during reporting period]]*20&gt;WWWW[[#This Row],[Total HH]],WWWW[[#This Row],[Total HH]],WWWW[[#This Row],['# Functional hand washing stations during reporting period]]*20)</f>
        <v>0</v>
      </c>
      <c r="DS310" s="798">
        <f>IF(WWWW[[#This Row],[Is sufficient soap available for TLS? (Yes/No)]]="yes",WWWW[[#This Row],['#_Constructed/Existing hand washing stations at TLS]],0)</f>
        <v>0</v>
      </c>
      <c r="DT310" s="479">
        <f>IF(WWWW[[#This Row],['# Functional hand washing stations during reporting period]]*100&gt;WWWW[[#This Row],[Total PoP ]],WWWW[[#This Row],[Total PoP ]],WWWW[[#This Row],['# Functional hand washing stations during reporting period]]*100)</f>
        <v>0</v>
      </c>
      <c r="DU310" s="479" t="str">
        <f>IF(OR(WWWW[[#This Row],['#_students at TLS_CFS]]="",WWWW[[#This Row],['#_students at TLS_CFS]]=0),"No","Yes")</f>
        <v>No</v>
      </c>
      <c r="DV31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0" s="794" t="str">
        <f>VLOOKUP(WWWW[[#This Row],[Site Name]],SiteDB6[[Site Name]:[CCCM Management]],6,FALSE)</f>
        <v>Yes</v>
      </c>
      <c r="DZ310" s="794" t="str">
        <f>VLOOKUP(WWWW[[#This Row],[Site Name]],SiteDB6[[Site Name]:[CCCM Focal Agency]],7,FALSE)</f>
        <v>KMSS-LSO</v>
      </c>
      <c r="EA310" s="794" t="str">
        <f>VLOOKUP(WWWW[[#This Row],[Site Name]],SiteDB6[[Site Name]:[Location Type 1]],9,FALSE)</f>
        <v>Camp</v>
      </c>
      <c r="EB310" s="794" t="str">
        <f>VLOOKUP(WWWW[[#This Row],[Site Name]],SiteDB6[[Site Name]:[Type of Accommodation]],10,FALSE)</f>
        <v>Camp</v>
      </c>
      <c r="EC310" s="794" t="str">
        <f>VLOOKUP(WWWW[[#This Row],[Site Name]],SiteDB6[[Site Name]:[Ethnic or GCA/NGCA]],11,FALSE)</f>
        <v>GCA</v>
      </c>
      <c r="ED310" s="794">
        <f>VLOOKUP(WWWW[[#This Row],[Site Name]],SiteDB6[[Site Name]:[Lat]],12,FALSE)</f>
        <v>24.006789000000001</v>
      </c>
      <c r="EE310" s="794">
        <f>VLOOKUP(WWWW[[#This Row],[Site Name]],SiteDB6[[Site Name]:[Long]],13,FALSE)</f>
        <v>97.911647000000002</v>
      </c>
      <c r="EF310" s="794" t="str">
        <f>VLOOKUP(WWWW[[#This Row],[Site Name]],SiteDB6[[Site Name]:[Pcode]],3,FALSE)</f>
        <v>MMR015CMP216</v>
      </c>
      <c r="EG310" s="799" t="str">
        <f t="shared" si="7"/>
        <v>Covered</v>
      </c>
      <c r="EH310" s="799" t="str">
        <f>VLOOKUP(WWWW[[#This Row],[Site Name]],Site_DB!$C$389:$D$1120,2,FALSE)</f>
        <v>cccm_2019OCT</v>
      </c>
    </row>
    <row r="311" spans="1:138" hidden="1">
      <c r="A311" s="792" t="s">
        <v>3262</v>
      </c>
      <c r="B311" s="792" t="s">
        <v>195</v>
      </c>
      <c r="C311" s="793" t="s">
        <v>195</v>
      </c>
      <c r="D311" s="404" t="s">
        <v>3366</v>
      </c>
      <c r="E311" s="793" t="s">
        <v>39</v>
      </c>
      <c r="F311" s="793" t="s">
        <v>198</v>
      </c>
      <c r="G311" s="721" t="str">
        <f>VLOOKUP(WWWW[[#This Row],[Site Name]],SiteDB6[[Site Name]:[Location Type]],8,FALSE)</f>
        <v>Camp</v>
      </c>
      <c r="H311" s="793" t="s">
        <v>204</v>
      </c>
      <c r="I311" s="720">
        <v>10</v>
      </c>
      <c r="J311" s="720">
        <v>45</v>
      </c>
      <c r="K311" s="407" t="s">
        <v>3611</v>
      </c>
      <c r="L311" s="56" t="s">
        <v>3612</v>
      </c>
      <c r="M311" s="795"/>
      <c r="N311" s="795"/>
      <c r="O311" s="795"/>
      <c r="P311" s="795"/>
      <c r="Q311" s="798" t="s">
        <v>139</v>
      </c>
      <c r="R311" s="795"/>
      <c r="S311" s="795"/>
      <c r="T311" s="523"/>
      <c r="U311" s="795"/>
      <c r="V311" s="795"/>
      <c r="W311" s="795">
        <v>1</v>
      </c>
      <c r="X311" s="795">
        <v>1</v>
      </c>
      <c r="Y311" s="795"/>
      <c r="Z311" s="795"/>
      <c r="AA311" s="795"/>
      <c r="AB311" s="795"/>
      <c r="AC311" s="795"/>
      <c r="AD311" s="795"/>
      <c r="AE311" s="795"/>
      <c r="AF311" s="795"/>
      <c r="AG311" s="795"/>
      <c r="AH311" s="795"/>
      <c r="AI311" s="795"/>
      <c r="AJ311" s="795"/>
      <c r="AK311" s="795"/>
      <c r="AL311" s="795"/>
      <c r="AM311" s="795"/>
      <c r="AN311" s="795"/>
      <c r="AO311" s="799"/>
      <c r="AP311" s="795">
        <v>4</v>
      </c>
      <c r="AQ311" s="795"/>
      <c r="AR311" s="800"/>
      <c r="AS311" s="795"/>
      <c r="AT311" s="795"/>
      <c r="AU311" s="795"/>
      <c r="AV311" s="795"/>
      <c r="AW311" s="795"/>
      <c r="AX311" s="794" t="s">
        <v>43</v>
      </c>
      <c r="AY311" s="799" t="s">
        <v>140</v>
      </c>
      <c r="AZ311" s="795"/>
      <c r="BA311" s="795"/>
      <c r="BB311" s="795"/>
      <c r="BC311" s="523"/>
      <c r="BD311" s="523"/>
      <c r="BE311" s="794"/>
      <c r="BF311" s="795">
        <v>2</v>
      </c>
      <c r="BG311" s="795"/>
      <c r="BH311" s="795"/>
      <c r="BI311" s="795">
        <v>2</v>
      </c>
      <c r="BJ311" s="795"/>
      <c r="BK311" s="795"/>
      <c r="BL311" s="720">
        <v>1</v>
      </c>
      <c r="BM311" s="720">
        <v>13</v>
      </c>
      <c r="BN311" s="720">
        <v>21</v>
      </c>
      <c r="BO311" s="794"/>
      <c r="BP311" s="801"/>
      <c r="BQ311" s="800"/>
      <c r="BR311" s="794"/>
      <c r="BS311" s="808">
        <v>1</v>
      </c>
      <c r="BT311" s="808">
        <v>1</v>
      </c>
      <c r="BU311" s="523"/>
      <c r="BV311" s="472">
        <v>0</v>
      </c>
      <c r="BW311" s="523"/>
      <c r="BX311" s="523"/>
      <c r="BY311" s="523"/>
      <c r="BZ311" s="802" t="str">
        <f>IFERROR(WWWW[[#This Row],['#_Water sources passed]]/WWWW[[#This Row],['#_Water sources tested for fecal coliform ]],"no test")</f>
        <v>no test</v>
      </c>
      <c r="CA311" s="800" t="str">
        <f>IFERROR(WWWW[[#This Row],['#_Household passed]]/WWWW[[#This Row],['#_Household water samples tested for fecal coliform]],"no test")</f>
        <v>no test</v>
      </c>
      <c r="CB311" s="801" t="str">
        <f>IF(AND(WWWW[[#This Row],[% of water sources passed]]="no test",WWWW[[#This Row],[% Household passed]]="no test"),"No Test","Tested")</f>
        <v>No Test</v>
      </c>
      <c r="CC311" s="801">
        <f>WWWW[[#This Row],['#_Constructed/existing protected hand dug well]]-WWWW[[#This Row],['#_Non-functional protected hand dug well]]</f>
        <v>0</v>
      </c>
      <c r="CD311" s="801">
        <f>(WWWW[[#This Row],['#_Constructed/Existing tube wells/boreholes/handpumps_WASH_agency]]+WWWW[[#This Row],['#_Non-Cluster partner water tube-wells/boreholes/handpumps]])-WWWW[[#This Row],['#_Non-functional tube wells/boreholes/handpumps]]</f>
        <v>2</v>
      </c>
      <c r="CE311" s="801">
        <f>WWWW[[#This Row],['#_Constructed/Existingwater storage tank with gravity fed reticulation system]]-WWWW[[#This Row],['#_Non-functional storage tank gravity fed reticulation system]]</f>
        <v>0</v>
      </c>
      <c r="CF311" s="801">
        <f>(WWWW[[#This Row],['#_Water_Liters_supplied_by_Water boating or water trucking]]/90)/15</f>
        <v>0</v>
      </c>
      <c r="CG311" s="801">
        <f>WWWW[[#This Row],['#_Water_Liters_from_Constructed/Existing water distribution system from river or natural spring]]/90/15</f>
        <v>0</v>
      </c>
      <c r="CH311" s="473">
        <f>WWWW[[#This Row],['#_of water points in TLS/CFS /THF]]*500</f>
        <v>0</v>
      </c>
      <c r="CI31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1" s="800">
        <f>IF(WWWW[[#This Row],[Location Type 1]]="Village",WWWW[[#This Row],[Access to safe drinking water for Village]],WWWW[[#This Row],[Access to safe drinking water for Camp]])</f>
        <v>1</v>
      </c>
      <c r="CL311" s="798">
        <f>WWWW[[#This Row],[%Equitable and continuous access to sufficient quantity of safe drinking water]]*WWWW[[#This Row],[Total PoP ]]</f>
        <v>45</v>
      </c>
      <c r="CM311" s="800">
        <f>IF((WWWW[[#This Row],['#_Constructed/Existing protected/fenced ponds]]*250)/WWWW[[#This Row],[Total PoP ]]&gt;1,1,(WWWW[[#This Row],['#_Constructed/Existing protected/fenced ponds]]*250)/WWWW[[#This Row],[Total PoP ]])</f>
        <v>0</v>
      </c>
      <c r="CN311" s="798">
        <f>WWWW[[#This Row],[% Access to unimproved water points]]*WWWW[[#This Row],[Total PoP ]]</f>
        <v>0</v>
      </c>
      <c r="CO31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v>
      </c>
      <c r="CQ311" s="798">
        <f>WWWW[[#This Row],[HRP1]]/500</f>
        <v>0.09</v>
      </c>
      <c r="CR311" s="803">
        <f>1-WWWW[[#This Row],[% Equitable and continuous access to sufficient quantity of domestic water]]</f>
        <v>0</v>
      </c>
      <c r="CS311" s="798">
        <f>WWWW[[#This Row],[%equitable and continuous access to sufficient quantity of safe drinking and domestic water''s GAP]]*WWWW[[#This Row],[Total PoP ]]</f>
        <v>0</v>
      </c>
      <c r="CT311" s="801">
        <f>IF(WWWW[[#This Row],[Total required water points]]-WWWW[[#This Row],['#Water points coverage]]&lt;0,0,WWWW[[#This Row],[Total required water points]]-WWWW[[#This Row],['#Water points coverage]])</f>
        <v>0.91</v>
      </c>
      <c r="CU311" s="801">
        <f>ROUND(IF(WWWW[[#This Row],[Total PoP ]]&lt;500,1,WWWW[[#This Row],[Total PoP ]]/500),0)</f>
        <v>1</v>
      </c>
      <c r="CV311" s="801">
        <f>(WWWW[[#This Row],['#_Constructed latrines_by_WASHAgencies]]+WWWW[[#This Row],['#_Non Cluster partner latrines]])-WWWW[[#This Row],['#_Non-functional latrines]]</f>
        <v>4</v>
      </c>
      <c r="CW311" s="804">
        <f>WWWW[[#This Row],[HRP2]]/WWWW[[#This Row],[Total PoP ]]</f>
        <v>1</v>
      </c>
      <c r="CX31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v>
      </c>
      <c r="CY31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1" s="473">
        <f>IF(WWWW[[#This Row],['# of functional latrines in THF supported by WASH partners during the reporting period2]]="",0,WWWW[[#This Row],['# of functional latrines in THF supported by WASH partners during the reporting period2]]*50)</f>
        <v>0</v>
      </c>
      <c r="DB311" s="473">
        <f>WWWW[[#This Row],['# students access to functioning school latrines_HRP5]]+WWWW[[#This Row],['# People access to functioning latrines in THF_HRP5]]</f>
        <v>0</v>
      </c>
      <c r="DC311" s="801">
        <f>ROUND(IF(WWWW[[#This Row],[Location Type 1]]="camp",WWWW[[#This Row],[Total PoP ]]/20,IF(WWWW[[#This Row],[Location Type 1]]="Temporary Location",WWWW[[#This Row],[Total PoP ]]/50,(WWWW[[#This Row],[Total PoP ]]/6))),0)</f>
        <v>2</v>
      </c>
      <c r="DD311" s="801">
        <f>IF(WWWW[[#This Row],[Total required Latrines]]-(WWWW[[#This Row],['#_Constructed latrines_by_WASHAgencies]]+WWWW[[#This Row],['#_Non Cluster partner latrines]])&lt;0,0,WWWW[[#This Row],[Total required Latrines]]-(WWWW[[#This Row],['#_Constructed latrines_by_WASHAgencies]]+WWWW[[#This Row],['#_Non Cluster partner latrines]]))</f>
        <v>0</v>
      </c>
      <c r="DE311" s="803">
        <f>1-WWWW[[#This Row],[% people access to functioning Latrine]]</f>
        <v>0</v>
      </c>
      <c r="DF311" s="802">
        <f>IF(OR(WWWW[[#This Row],['#_Non-functional latrines]]="",WWWW[[#This Row],['#_Non-functional latrines]]=0),0,WWWW[[#This Row],['#_Non-functional latrines]]/(WWWW[[#This Row],['#_Constructed latrines_by_WASHAgencies]]+WWWW[[#This Row],['#_Non Cluster partner latrines]]))</f>
        <v>0</v>
      </c>
      <c r="DG311" s="798">
        <f>IF(500*(WWWW[[#This Row],['#_male hygiene promoters]]+WWWW[[#This Row],['#_female hygiene promoters]])&gt;WWWW[[#This Row],[Total PoP ]],WWWW[[#This Row],[Total PoP ]],500*(WWWW[[#This Row],['#_male hygiene promoters]]+WWWW[[#This Row],['#_female hygiene promoters]]))</f>
        <v>45</v>
      </c>
      <c r="DH31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I31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v>
      </c>
      <c r="DJ311" s="801">
        <f>IF(WWWW[[#This Row],['# People with access to soap]]&gt;WWWW[[#This Row],['# People with access to Sanity Pads]],WWWW[[#This Row],['# People with access to soap]],WWWW[[#This Row],['# People with access to Sanity Pads]])</f>
        <v>45</v>
      </c>
      <c r="DK311" s="801">
        <f>IF(WWWW[[#This Row],['# people reached by regular dedicated hygiene promotion_5]]&gt;WWWW[[#This Row],['# People received regular supply of hygiene items_6]],WWWW[[#This Row],['# people reached by regular dedicated hygiene promotion_5]],WWWW[[#This Row],['# People received regular supply of hygiene items_6]])</f>
        <v>45</v>
      </c>
      <c r="DL311" s="803">
        <f>IF(WWWW[[#This Row],[HRP3]]/WWWW[[#This Row],[Total PoP ]]&gt;1,1,WWWW[[#This Row],[HRP3]]/WWWW[[#This Row],[Total PoP ]])</f>
        <v>1</v>
      </c>
      <c r="DM311" s="802">
        <f>1-WWWW[[#This Row],[Hygiene Coverage%]]</f>
        <v>0</v>
      </c>
      <c r="DN311" s="800">
        <f>WWWW[[#This Row],['# people reached by regular dedicated hygiene promotion_5]]/WWWW[[#This Row],[Total PoP ]]</f>
        <v>1</v>
      </c>
      <c r="DO31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11" s="801">
        <f>WWWW[[#This Row],['#_Constructed/Existing hand washing stations]]-WWWW[[#This Row],['#_Non-Functional_hand_washing_stations]]</f>
        <v>2</v>
      </c>
      <c r="DR311" s="798">
        <f>IF(WWWW[[#This Row],['# Functional hand washing stations during reporting period]]*20&gt;WWWW[[#This Row],[Total HH]],WWWW[[#This Row],[Total HH]],WWWW[[#This Row],['# Functional hand washing stations during reporting period]]*20)</f>
        <v>10</v>
      </c>
      <c r="DS311" s="798">
        <f>IF(WWWW[[#This Row],[Is sufficient soap available for TLS? (Yes/No)]]="yes",WWWW[[#This Row],['#_Constructed/Existing hand washing stations at TLS]],0)</f>
        <v>0</v>
      </c>
      <c r="DT311" s="479">
        <f>IF(WWWW[[#This Row],['# Functional hand washing stations during reporting period]]*100&gt;WWWW[[#This Row],[Total PoP ]],WWWW[[#This Row],[Total PoP ]],WWWW[[#This Row],['# Functional hand washing stations during reporting period]]*100)</f>
        <v>45</v>
      </c>
      <c r="DU311" s="479" t="str">
        <f>IF(OR(WWWW[[#This Row],['#_students at TLS_CFS]]="",WWWW[[#This Row],['#_students at TLS_CFS]]=0),"No","Yes")</f>
        <v>No</v>
      </c>
      <c r="DV31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1" s="794" t="str">
        <f>VLOOKUP(WWWW[[#This Row],[Site Name]],SiteDB6[[Site Name]:[CCCM Management]],6,FALSE)</f>
        <v>Yes</v>
      </c>
      <c r="DZ311" s="794" t="str">
        <f>VLOOKUP(WWWW[[#This Row],[Site Name]],SiteDB6[[Site Name]:[CCCM Focal Agency]],7,FALSE)</f>
        <v>Shalom</v>
      </c>
      <c r="EA311" s="794" t="str">
        <f>VLOOKUP(WWWW[[#This Row],[Site Name]],SiteDB6[[Site Name]:[Location Type 1]],9,FALSE)</f>
        <v>Camp</v>
      </c>
      <c r="EB311" s="794" t="str">
        <f>VLOOKUP(WWWW[[#This Row],[Site Name]],SiteDB6[[Site Name]:[Type of Accommodation]],10,FALSE)</f>
        <v>Camp</v>
      </c>
      <c r="EC311" s="794" t="str">
        <f>VLOOKUP(WWWW[[#This Row],[Site Name]],SiteDB6[[Site Name]:[Ethnic or GCA/NGCA]],11,FALSE)</f>
        <v>GCA</v>
      </c>
      <c r="ED311" s="794">
        <f>VLOOKUP(WWWW[[#This Row],[Site Name]],SiteDB6[[Site Name]:[Lat]],12,FALSE)</f>
        <v>24.253067000000001</v>
      </c>
      <c r="EE311" s="794">
        <f>VLOOKUP(WWWW[[#This Row],[Site Name]],SiteDB6[[Site Name]:[Long]],13,FALSE)</f>
        <v>97.234200000000001</v>
      </c>
      <c r="EF311" s="794" t="str">
        <f>VLOOKUP(WWWW[[#This Row],[Site Name]],SiteDB6[[Site Name]:[Pcode]],3,FALSE)</f>
        <v>MMR001CMP051</v>
      </c>
      <c r="EG311" s="799" t="str">
        <f t="shared" si="7"/>
        <v>Covered</v>
      </c>
      <c r="EH311" s="799" t="str">
        <f>VLOOKUP(WWWW[[#This Row],[Site Name]],Site_DB!$C$389:$D$1120,2,FALSE)</f>
        <v>cccm_2019OCT</v>
      </c>
    </row>
    <row r="312" spans="1:138" hidden="1">
      <c r="A312" s="792" t="s">
        <v>3262</v>
      </c>
      <c r="B312" s="792" t="s">
        <v>195</v>
      </c>
      <c r="C312" s="793" t="s">
        <v>195</v>
      </c>
      <c r="D312" s="793" t="s">
        <v>3364</v>
      </c>
      <c r="E312" s="793" t="s">
        <v>711</v>
      </c>
      <c r="F312" s="793" t="s">
        <v>712</v>
      </c>
      <c r="G312" s="721" t="str">
        <f>VLOOKUP(WWWW[[#This Row],[Site Name]],SiteDB6[[Site Name]:[Location Type]],8,FALSE)</f>
        <v>Camp</v>
      </c>
      <c r="H312" s="404" t="s">
        <v>759</v>
      </c>
      <c r="I312" s="795">
        <v>68</v>
      </c>
      <c r="J312" s="795">
        <v>350</v>
      </c>
      <c r="K312" s="407" t="s">
        <v>3607</v>
      </c>
      <c r="L312" s="56" t="s">
        <v>3608</v>
      </c>
      <c r="M312" s="795"/>
      <c r="N312" s="720">
        <v>1</v>
      </c>
      <c r="O312" s="720">
        <v>1</v>
      </c>
      <c r="P312" s="795"/>
      <c r="Q312" s="807" t="s">
        <v>43</v>
      </c>
      <c r="R312" s="720"/>
      <c r="S312" s="720"/>
      <c r="T312" s="720"/>
      <c r="U312" s="720"/>
      <c r="V312" s="720"/>
      <c r="W312" s="720"/>
      <c r="X312" s="720">
        <v>1</v>
      </c>
      <c r="Y312" s="720"/>
      <c r="Z312" s="720"/>
      <c r="AA312" s="720"/>
      <c r="AB312" s="720"/>
      <c r="AC312" s="795"/>
      <c r="AD312" s="795"/>
      <c r="AE312" s="795"/>
      <c r="AF312" s="795"/>
      <c r="AG312" s="795"/>
      <c r="AH312" s="795"/>
      <c r="AI312" s="795"/>
      <c r="AJ312" s="795"/>
      <c r="AK312" s="795"/>
      <c r="AL312" s="795"/>
      <c r="AM312" s="795"/>
      <c r="AN312" s="795"/>
      <c r="AO312" s="799"/>
      <c r="AP312" s="795">
        <v>10</v>
      </c>
      <c r="AQ312" s="795"/>
      <c r="AR312" s="800"/>
      <c r="AS312" s="795"/>
      <c r="AT312" s="795"/>
      <c r="AU312" s="795"/>
      <c r="AV312" s="795"/>
      <c r="AW312" s="795"/>
      <c r="AX312" s="794" t="s">
        <v>143</v>
      </c>
      <c r="AY312" s="799" t="s">
        <v>143</v>
      </c>
      <c r="AZ312" s="795"/>
      <c r="BA312" s="795"/>
      <c r="BB312" s="795"/>
      <c r="BC312" s="523"/>
      <c r="BD312" s="523"/>
      <c r="BE312" s="794"/>
      <c r="BF312" s="795"/>
      <c r="BG312" s="795"/>
      <c r="BH312" s="795"/>
      <c r="BI312" s="795"/>
      <c r="BJ312" s="795"/>
      <c r="BK312" s="795"/>
      <c r="BL312" s="795"/>
      <c r="BM312" s="795"/>
      <c r="BN312" s="795"/>
      <c r="BO312" s="794" t="s">
        <v>139</v>
      </c>
      <c r="BP312" s="801"/>
      <c r="BQ312" s="800"/>
      <c r="BR312" s="794"/>
      <c r="BS312" s="472"/>
      <c r="BT312" s="472"/>
      <c r="BU312" s="523"/>
      <c r="BV312" s="472"/>
      <c r="BW312" s="523"/>
      <c r="BX312" s="523"/>
      <c r="BY312" s="523"/>
      <c r="BZ312" s="802" t="str">
        <f>IFERROR(WWWW[[#This Row],['#_Water sources passed]]/WWWW[[#This Row],['#_Water sources tested for fecal coliform ]],"no test")</f>
        <v>no test</v>
      </c>
      <c r="CA312" s="800" t="str">
        <f>IFERROR(WWWW[[#This Row],['#_Household passed]]/WWWW[[#This Row],['#_Household water samples tested for fecal coliform]],"no test")</f>
        <v>no test</v>
      </c>
      <c r="CB312" s="801" t="str">
        <f>IF(AND(WWWW[[#This Row],[% of water sources passed]]="no test",WWWW[[#This Row],[% Household passed]]="no test"),"No Test","Tested")</f>
        <v>No Test</v>
      </c>
      <c r="CC312" s="801">
        <f>WWWW[[#This Row],['#_Constructed/existing protected hand dug well]]-WWWW[[#This Row],['#_Non-functional protected hand dug well]]</f>
        <v>0</v>
      </c>
      <c r="CD312" s="801">
        <f>(WWWW[[#This Row],['#_Constructed/Existing tube wells/boreholes/handpumps_WASH_agency]]+WWWW[[#This Row],['#_Non-Cluster partner water tube-wells/boreholes/handpumps]])-WWWW[[#This Row],['#_Non-functional tube wells/boreholes/handpumps]]</f>
        <v>1</v>
      </c>
      <c r="CE312" s="801">
        <f>WWWW[[#This Row],['#_Constructed/Existingwater storage tank with gravity fed reticulation system]]-WWWW[[#This Row],['#_Non-functional storage tank gravity fed reticulation system]]</f>
        <v>0</v>
      </c>
      <c r="CF312" s="801">
        <f>(WWWW[[#This Row],['#_Water_Liters_supplied_by_Water boating or water trucking]]/90)/15</f>
        <v>0</v>
      </c>
      <c r="CG312" s="801">
        <f>WWWW[[#This Row],['#_Water_Liters_from_Constructed/Existing water distribution system from river or natural spring]]/90/15</f>
        <v>0</v>
      </c>
      <c r="CH312" s="473">
        <f>WWWW[[#This Row],['#_of water points in TLS/CFS /THF]]*500</f>
        <v>0</v>
      </c>
      <c r="CI31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0.7142857142857143</v>
      </c>
      <c r="CK312" s="800">
        <f>IF(WWWW[[#This Row],[Location Type 1]]="Village",WWWW[[#This Row],[Access to safe drinking water for Village]],WWWW[[#This Row],[Access to safe drinking water for Camp]])</f>
        <v>1</v>
      </c>
      <c r="CL312" s="798">
        <f>WWWW[[#This Row],[%Equitable and continuous access to sufficient quantity of safe drinking water]]*WWWW[[#This Row],[Total PoP ]]</f>
        <v>350</v>
      </c>
      <c r="CM312" s="800">
        <f>IF((WWWW[[#This Row],['#_Constructed/Existing protected/fenced ponds]]*250)/WWWW[[#This Row],[Total PoP ]]&gt;1,1,(WWWW[[#This Row],['#_Constructed/Existing protected/fenced ponds]]*250)/WWWW[[#This Row],[Total PoP ]])</f>
        <v>0</v>
      </c>
      <c r="CN312" s="798">
        <f>WWWW[[#This Row],[% Access to unimproved water points]]*WWWW[[#This Row],[Total PoP ]]</f>
        <v>0</v>
      </c>
      <c r="CO31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Q312" s="798">
        <f>WWWW[[#This Row],[HRP1]]/500</f>
        <v>0.7</v>
      </c>
      <c r="CR312" s="803">
        <f>1-WWWW[[#This Row],[% Equitable and continuous access to sufficient quantity of domestic water]]</f>
        <v>0</v>
      </c>
      <c r="CS312" s="798">
        <f>WWWW[[#This Row],[%equitable and continuous access to sufficient quantity of safe drinking and domestic water''s GAP]]*WWWW[[#This Row],[Total PoP ]]</f>
        <v>0</v>
      </c>
      <c r="CT312" s="801">
        <f>IF(WWWW[[#This Row],[Total required water points]]-WWWW[[#This Row],['#Water points coverage]]&lt;0,0,WWWW[[#This Row],[Total required water points]]-WWWW[[#This Row],['#Water points coverage]])</f>
        <v>0.30000000000000004</v>
      </c>
      <c r="CU312" s="801">
        <f>ROUND(IF(WWWW[[#This Row],[Total PoP ]]&lt;500,1,WWWW[[#This Row],[Total PoP ]]/500),0)</f>
        <v>1</v>
      </c>
      <c r="CV312" s="801">
        <f>(WWWW[[#This Row],['#_Constructed latrines_by_WASHAgencies]]+WWWW[[#This Row],['#_Non Cluster partner latrines]])-WWWW[[#This Row],['#_Non-functional latrines]]</f>
        <v>10</v>
      </c>
      <c r="CW312" s="804">
        <f>WWWW[[#This Row],[HRP2]]/WWWW[[#This Row],[Total PoP ]]</f>
        <v>0.5714285714285714</v>
      </c>
      <c r="CX31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1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2" s="473">
        <f>IF(WWWW[[#This Row],['# of functional latrines in THF supported by WASH partners during the reporting period2]]="",0,WWWW[[#This Row],['# of functional latrines in THF supported by WASH partners during the reporting period2]]*50)</f>
        <v>0</v>
      </c>
      <c r="DB312" s="473">
        <f>WWWW[[#This Row],['# students access to functioning school latrines_HRP5]]+WWWW[[#This Row],['# People access to functioning latrines in THF_HRP5]]</f>
        <v>0</v>
      </c>
      <c r="DC312" s="801">
        <f>ROUND(IF(WWWW[[#This Row],[Location Type 1]]="camp",WWWW[[#This Row],[Total PoP ]]/20,IF(WWWW[[#This Row],[Location Type 1]]="Temporary Location",WWWW[[#This Row],[Total PoP ]]/50,(WWWW[[#This Row],[Total PoP ]]/6))),0)</f>
        <v>18</v>
      </c>
      <c r="DD312" s="801">
        <f>IF(WWWW[[#This Row],[Total required Latrines]]-(WWWW[[#This Row],['#_Constructed latrines_by_WASHAgencies]]+WWWW[[#This Row],['#_Non Cluster partner latrines]])&lt;0,0,WWWW[[#This Row],[Total required Latrines]]-(WWWW[[#This Row],['#_Constructed latrines_by_WASHAgencies]]+WWWW[[#This Row],['#_Non Cluster partner latrines]]))</f>
        <v>8</v>
      </c>
      <c r="DE312" s="803">
        <f>1-WWWW[[#This Row],[% people access to functioning Latrine]]</f>
        <v>0.4285714285714286</v>
      </c>
      <c r="DF312" s="802">
        <f>IF(OR(WWWW[[#This Row],['#_Non-functional latrines]]="",WWWW[[#This Row],['#_Non-functional latrines]]=0),0,WWWW[[#This Row],['#_Non-functional latrines]]/(WWWW[[#This Row],['#_Constructed latrines_by_WASHAgencies]]+WWWW[[#This Row],['#_Non Cluster partner latrines]]))</f>
        <v>0</v>
      </c>
      <c r="DG312" s="798">
        <f>IF(500*(WWWW[[#This Row],['#_male hygiene promoters]]+WWWW[[#This Row],['#_female hygiene promoters]])&gt;WWWW[[#This Row],[Total PoP ]],WWWW[[#This Row],[Total PoP ]],500*(WWWW[[#This Row],['#_male hygiene promoters]]+WWWW[[#This Row],['#_female hygiene promoters]]))</f>
        <v>0</v>
      </c>
      <c r="DH31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2" s="801">
        <f>IF(WWWW[[#This Row],['# People with access to soap]]&gt;WWWW[[#This Row],['# People with access to Sanity Pads]],WWWW[[#This Row],['# People with access to soap]],WWWW[[#This Row],['# People with access to Sanity Pads]])</f>
        <v>0</v>
      </c>
      <c r="DK31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12" s="803">
        <f>IF(WWWW[[#This Row],[HRP3]]/WWWW[[#This Row],[Total PoP ]]&gt;1,1,WWWW[[#This Row],[HRP3]]/WWWW[[#This Row],[Total PoP ]])</f>
        <v>0</v>
      </c>
      <c r="DM312" s="802">
        <f>1-WWWW[[#This Row],[Hygiene Coverage%]]</f>
        <v>1</v>
      </c>
      <c r="DN312" s="800">
        <f>WWWW[[#This Row],['# people reached by regular dedicated hygiene promotion_5]]/WWWW[[#This Row],[Total PoP ]]</f>
        <v>0</v>
      </c>
      <c r="DO31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2" s="801">
        <f>WWWW[[#This Row],['#_Constructed/Existing hand washing stations]]-WWWW[[#This Row],['#_Non-Functional_hand_washing_stations]]</f>
        <v>0</v>
      </c>
      <c r="DR312" s="798">
        <f>IF(WWWW[[#This Row],['# Functional hand washing stations during reporting period]]*20&gt;WWWW[[#This Row],[Total HH]],WWWW[[#This Row],[Total HH]],WWWW[[#This Row],['# Functional hand washing stations during reporting period]]*20)</f>
        <v>0</v>
      </c>
      <c r="DS312" s="798">
        <f>IF(WWWW[[#This Row],[Is sufficient soap available for TLS? (Yes/No)]]="yes",WWWW[[#This Row],['#_Constructed/Existing hand washing stations at TLS]],0)</f>
        <v>0</v>
      </c>
      <c r="DT312" s="479">
        <f>IF(WWWW[[#This Row],['# Functional hand washing stations during reporting period]]*100&gt;WWWW[[#This Row],[Total PoP ]],WWWW[[#This Row],[Total PoP ]],WWWW[[#This Row],['# Functional hand washing stations during reporting period]]*100)</f>
        <v>0</v>
      </c>
      <c r="DU312" s="479" t="str">
        <f>IF(OR(WWWW[[#This Row],['#_students at TLS_CFS]]="",WWWW[[#This Row],['#_students at TLS_CFS]]=0),"No","Yes")</f>
        <v>No</v>
      </c>
      <c r="DV31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2" s="794" t="str">
        <f>VLOOKUP(WWWW[[#This Row],[Site Name]],SiteDB6[[Site Name]:[CCCM Management]],6,FALSE)</f>
        <v>Yes</v>
      </c>
      <c r="DZ312" s="794" t="str">
        <f>VLOOKUP(WWWW[[#This Row],[Site Name]],SiteDB6[[Site Name]:[CCCM Focal Agency]],7,FALSE)</f>
        <v>KBC-NSS</v>
      </c>
      <c r="EA312" s="794" t="str">
        <f>VLOOKUP(WWWW[[#This Row],[Site Name]],SiteDB6[[Site Name]:[Location Type 1]],9,FALSE)</f>
        <v>Camp</v>
      </c>
      <c r="EB312" s="794" t="str">
        <f>VLOOKUP(WWWW[[#This Row],[Site Name]],SiteDB6[[Site Name]:[Type of Accommodation]],10,FALSE)</f>
        <v>Camp</v>
      </c>
      <c r="EC312" s="794" t="str">
        <f>VLOOKUP(WWWW[[#This Row],[Site Name]],SiteDB6[[Site Name]:[Ethnic or GCA/NGCA]],11,FALSE)</f>
        <v>GCA</v>
      </c>
      <c r="ED312" s="794">
        <f>VLOOKUP(WWWW[[#This Row],[Site Name]],SiteDB6[[Site Name]:[Lat]],12,FALSE)</f>
        <v>23.828520000000001</v>
      </c>
      <c r="EE312" s="794">
        <f>VLOOKUP(WWWW[[#This Row],[Site Name]],SiteDB6[[Site Name]:[Long]],13,FALSE)</f>
        <v>97.669557999999995</v>
      </c>
      <c r="EF312" s="794" t="str">
        <f>VLOOKUP(WWWW[[#This Row],[Site Name]],SiteDB6[[Site Name]:[Pcode]],3,FALSE)</f>
        <v>MMR015CMP001</v>
      </c>
      <c r="EG312" s="799" t="str">
        <f t="shared" si="7"/>
        <v>Covered</v>
      </c>
      <c r="EH312" s="799" t="str">
        <f>VLOOKUP(WWWW[[#This Row],[Site Name]],Site_DB!$C$389:$D$1120,2,FALSE)</f>
        <v>cccm_2019OCT</v>
      </c>
    </row>
    <row r="313" spans="1:138" hidden="1">
      <c r="A313" s="792" t="s">
        <v>3262</v>
      </c>
      <c r="B313" s="792" t="s">
        <v>195</v>
      </c>
      <c r="C313" s="793" t="s">
        <v>195</v>
      </c>
      <c r="D313" s="793" t="s">
        <v>3364</v>
      </c>
      <c r="E313" s="793" t="s">
        <v>711</v>
      </c>
      <c r="F313" s="793" t="s">
        <v>712</v>
      </c>
      <c r="G313" s="721" t="str">
        <f>VLOOKUP(WWWW[[#This Row],[Site Name]],SiteDB6[[Site Name]:[Location Type]],8,FALSE)</f>
        <v>Camp</v>
      </c>
      <c r="H313" s="793" t="s">
        <v>747</v>
      </c>
      <c r="I313" s="795">
        <v>37</v>
      </c>
      <c r="J313" s="795">
        <v>176</v>
      </c>
      <c r="K313" s="407" t="s">
        <v>3607</v>
      </c>
      <c r="L313" s="56" t="s">
        <v>3608</v>
      </c>
      <c r="M313" s="795"/>
      <c r="N313" s="720"/>
      <c r="O313" s="720">
        <v>1</v>
      </c>
      <c r="P313" s="795"/>
      <c r="Q313" s="807"/>
      <c r="R313" s="720"/>
      <c r="S313" s="720"/>
      <c r="T313" s="720"/>
      <c r="U313" s="720"/>
      <c r="V313" s="720"/>
      <c r="W313" s="720"/>
      <c r="X313" s="720">
        <v>1</v>
      </c>
      <c r="Y313" s="720"/>
      <c r="Z313" s="720"/>
      <c r="AA313" s="720"/>
      <c r="AB313" s="720"/>
      <c r="AC313" s="795"/>
      <c r="AD313" s="795"/>
      <c r="AE313" s="795"/>
      <c r="AF313" s="795"/>
      <c r="AG313" s="795"/>
      <c r="AH313" s="795"/>
      <c r="AI313" s="795"/>
      <c r="AJ313" s="795"/>
      <c r="AK313" s="795"/>
      <c r="AL313" s="795"/>
      <c r="AM313" s="795"/>
      <c r="AN313" s="795"/>
      <c r="AO313" s="799"/>
      <c r="AP313" s="795"/>
      <c r="AQ313" s="795"/>
      <c r="AR313" s="800"/>
      <c r="AS313" s="795"/>
      <c r="AT313" s="795"/>
      <c r="AU313" s="795"/>
      <c r="AV313" s="795"/>
      <c r="AW313" s="795"/>
      <c r="AX313" s="794" t="s">
        <v>143</v>
      </c>
      <c r="AY313" s="799" t="s">
        <v>143</v>
      </c>
      <c r="AZ313" s="795"/>
      <c r="BA313" s="795"/>
      <c r="BB313" s="795"/>
      <c r="BC313" s="523"/>
      <c r="BD313" s="523"/>
      <c r="BE313" s="794"/>
      <c r="BF313" s="795"/>
      <c r="BG313" s="795"/>
      <c r="BH313" s="795"/>
      <c r="BI313" s="795"/>
      <c r="BJ313" s="795"/>
      <c r="BK313" s="795"/>
      <c r="BL313" s="795">
        <v>1</v>
      </c>
      <c r="BM313" s="795"/>
      <c r="BN313" s="795"/>
      <c r="BO313" s="794" t="s">
        <v>139</v>
      </c>
      <c r="BP313" s="801"/>
      <c r="BQ313" s="800"/>
      <c r="BR313" s="794"/>
      <c r="BS313" s="472"/>
      <c r="BT313" s="472"/>
      <c r="BU313" s="523"/>
      <c r="BV313" s="472"/>
      <c r="BW313" s="523"/>
      <c r="BX313" s="523"/>
      <c r="BY313" s="523"/>
      <c r="BZ313" s="802" t="str">
        <f>IFERROR(WWWW[[#This Row],['#_Water sources passed]]/WWWW[[#This Row],['#_Water sources tested for fecal coliform ]],"no test")</f>
        <v>no test</v>
      </c>
      <c r="CA313" s="800" t="str">
        <f>IFERROR(WWWW[[#This Row],['#_Household passed]]/WWWW[[#This Row],['#_Household water samples tested for fecal coliform]],"no test")</f>
        <v>no test</v>
      </c>
      <c r="CB313" s="801" t="str">
        <f>IF(AND(WWWW[[#This Row],[% of water sources passed]]="no test",WWWW[[#This Row],[% Household passed]]="no test"),"No Test","Tested")</f>
        <v>No Test</v>
      </c>
      <c r="CC313" s="801">
        <f>WWWW[[#This Row],['#_Constructed/existing protected hand dug well]]-WWWW[[#This Row],['#_Non-functional protected hand dug well]]</f>
        <v>0</v>
      </c>
      <c r="CD313" s="801">
        <f>(WWWW[[#This Row],['#_Constructed/Existing tube wells/boreholes/handpumps_WASH_agency]]+WWWW[[#This Row],['#_Non-Cluster partner water tube-wells/boreholes/handpumps]])-WWWW[[#This Row],['#_Non-functional tube wells/boreholes/handpumps]]</f>
        <v>1</v>
      </c>
      <c r="CE313" s="801">
        <f>WWWW[[#This Row],['#_Constructed/Existingwater storage tank with gravity fed reticulation system]]-WWWW[[#This Row],['#_Non-functional storage tank gravity fed reticulation system]]</f>
        <v>0</v>
      </c>
      <c r="CF313" s="801">
        <f>(WWWW[[#This Row],['#_Water_Liters_supplied_by_Water boating or water trucking]]/90)/15</f>
        <v>0</v>
      </c>
      <c r="CG313" s="801">
        <f>WWWW[[#This Row],['#_Water_Liters_from_Constructed/Existing water distribution system from river or natural spring]]/90/15</f>
        <v>0</v>
      </c>
      <c r="CH313" s="473">
        <f>WWWW[[#This Row],['#_of water points in TLS/CFS /THF]]*500</f>
        <v>0</v>
      </c>
      <c r="CI31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3" s="800">
        <f>IF(WWWW[[#This Row],[Location Type 1]]="Village",WWWW[[#This Row],[Access to safe drinking water for Village]],WWWW[[#This Row],[Access to safe drinking water for Camp]])</f>
        <v>1</v>
      </c>
      <c r="CL313" s="798">
        <f>WWWW[[#This Row],[%Equitable and continuous access to sufficient quantity of safe drinking water]]*WWWW[[#This Row],[Total PoP ]]</f>
        <v>176</v>
      </c>
      <c r="CM313" s="800">
        <f>IF((WWWW[[#This Row],['#_Constructed/Existing protected/fenced ponds]]*250)/WWWW[[#This Row],[Total PoP ]]&gt;1,1,(WWWW[[#This Row],['#_Constructed/Existing protected/fenced ponds]]*250)/WWWW[[#This Row],[Total PoP ]])</f>
        <v>0</v>
      </c>
      <c r="CN313" s="798">
        <f>WWWW[[#This Row],[% Access to unimproved water points]]*WWWW[[#This Row],[Total PoP ]]</f>
        <v>0</v>
      </c>
      <c r="CO31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Q313" s="798">
        <f>WWWW[[#This Row],[HRP1]]/500</f>
        <v>0.35199999999999998</v>
      </c>
      <c r="CR313" s="803">
        <f>1-WWWW[[#This Row],[% Equitable and continuous access to sufficient quantity of domestic water]]</f>
        <v>0</v>
      </c>
      <c r="CS313" s="798">
        <f>WWWW[[#This Row],[%equitable and continuous access to sufficient quantity of safe drinking and domestic water''s GAP]]*WWWW[[#This Row],[Total PoP ]]</f>
        <v>0</v>
      </c>
      <c r="CT313" s="801">
        <f>IF(WWWW[[#This Row],[Total required water points]]-WWWW[[#This Row],['#Water points coverage]]&lt;0,0,WWWW[[#This Row],[Total required water points]]-WWWW[[#This Row],['#Water points coverage]])</f>
        <v>0.64800000000000002</v>
      </c>
      <c r="CU313" s="801">
        <f>ROUND(IF(WWWW[[#This Row],[Total PoP ]]&lt;500,1,WWWW[[#This Row],[Total PoP ]]/500),0)</f>
        <v>1</v>
      </c>
      <c r="CV313" s="801">
        <f>(WWWW[[#This Row],['#_Constructed latrines_by_WASHAgencies]]+WWWW[[#This Row],['#_Non Cluster partner latrines]])-WWWW[[#This Row],['#_Non-functional latrines]]</f>
        <v>0</v>
      </c>
      <c r="CW313" s="804">
        <f>WWWW[[#This Row],[HRP2]]/WWWW[[#This Row],[Total PoP ]]</f>
        <v>0</v>
      </c>
      <c r="CX31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1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3" s="473">
        <f>IF(WWWW[[#This Row],['# of functional latrines in THF supported by WASH partners during the reporting period2]]="",0,WWWW[[#This Row],['# of functional latrines in THF supported by WASH partners during the reporting period2]]*50)</f>
        <v>0</v>
      </c>
      <c r="DB313" s="473">
        <f>WWWW[[#This Row],['# students access to functioning school latrines_HRP5]]+WWWW[[#This Row],['# People access to functioning latrines in THF_HRP5]]</f>
        <v>0</v>
      </c>
      <c r="DC313" s="801">
        <f>ROUND(IF(WWWW[[#This Row],[Location Type 1]]="camp",WWWW[[#This Row],[Total PoP ]]/20,IF(WWWW[[#This Row],[Location Type 1]]="Temporary Location",WWWW[[#This Row],[Total PoP ]]/50,(WWWW[[#This Row],[Total PoP ]]/6))),0)</f>
        <v>9</v>
      </c>
      <c r="DD313" s="801">
        <f>IF(WWWW[[#This Row],[Total required Latrines]]-(WWWW[[#This Row],['#_Constructed latrines_by_WASHAgencies]]+WWWW[[#This Row],['#_Non Cluster partner latrines]])&lt;0,0,WWWW[[#This Row],[Total required Latrines]]-(WWWW[[#This Row],['#_Constructed latrines_by_WASHAgencies]]+WWWW[[#This Row],['#_Non Cluster partner latrines]]))</f>
        <v>9</v>
      </c>
      <c r="DE313" s="803">
        <f>1-WWWW[[#This Row],[% people access to functioning Latrine]]</f>
        <v>1</v>
      </c>
      <c r="DF313" s="802">
        <f>IF(OR(WWWW[[#This Row],['#_Non-functional latrines]]="",WWWW[[#This Row],['#_Non-functional latrines]]=0),0,WWWW[[#This Row],['#_Non-functional latrines]]/(WWWW[[#This Row],['#_Constructed latrines_by_WASHAgencies]]+WWWW[[#This Row],['#_Non Cluster partner latrines]]))</f>
        <v>0</v>
      </c>
      <c r="DG313" s="798">
        <f>IF(500*(WWWW[[#This Row],['#_male hygiene promoters]]+WWWW[[#This Row],['#_female hygiene promoters]])&gt;WWWW[[#This Row],[Total PoP ]],WWWW[[#This Row],[Total PoP ]],500*(WWWW[[#This Row],['#_male hygiene promoters]]+WWWW[[#This Row],['#_female hygiene promoters]]))</f>
        <v>176</v>
      </c>
      <c r="DH31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3" s="801">
        <f>IF(WWWW[[#This Row],['# People with access to soap]]&gt;WWWW[[#This Row],['# People with access to Sanity Pads]],WWWW[[#This Row],['# People with access to soap]],WWWW[[#This Row],['# People with access to Sanity Pads]])</f>
        <v>0</v>
      </c>
      <c r="DK313" s="801">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L313" s="803">
        <f>IF(WWWW[[#This Row],[HRP3]]/WWWW[[#This Row],[Total PoP ]]&gt;1,1,WWWW[[#This Row],[HRP3]]/WWWW[[#This Row],[Total PoP ]])</f>
        <v>1</v>
      </c>
      <c r="DM313" s="802">
        <f>1-WWWW[[#This Row],[Hygiene Coverage%]]</f>
        <v>0</v>
      </c>
      <c r="DN313" s="800">
        <f>WWWW[[#This Row],['# people reached by regular dedicated hygiene promotion_5]]/WWWW[[#This Row],[Total PoP ]]</f>
        <v>1</v>
      </c>
      <c r="DO31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3" s="801">
        <f>WWWW[[#This Row],['#_Constructed/Existing hand washing stations]]-WWWW[[#This Row],['#_Non-Functional_hand_washing_stations]]</f>
        <v>0</v>
      </c>
      <c r="DR313" s="798">
        <f>IF(WWWW[[#This Row],['# Functional hand washing stations during reporting period]]*20&gt;WWWW[[#This Row],[Total HH]],WWWW[[#This Row],[Total HH]],WWWW[[#This Row],['# Functional hand washing stations during reporting period]]*20)</f>
        <v>0</v>
      </c>
      <c r="DS313" s="798">
        <f>IF(WWWW[[#This Row],[Is sufficient soap available for TLS? (Yes/No)]]="yes",WWWW[[#This Row],['#_Constructed/Existing hand washing stations at TLS]],0)</f>
        <v>0</v>
      </c>
      <c r="DT313" s="479">
        <f>IF(WWWW[[#This Row],['# Functional hand washing stations during reporting period]]*100&gt;WWWW[[#This Row],[Total PoP ]],WWWW[[#This Row],[Total PoP ]],WWWW[[#This Row],['# Functional hand washing stations during reporting period]]*100)</f>
        <v>0</v>
      </c>
      <c r="DU313" s="479" t="str">
        <f>IF(OR(WWWW[[#This Row],['#_students at TLS_CFS]]="",WWWW[[#This Row],['#_students at TLS_CFS]]=0),"No","Yes")</f>
        <v>No</v>
      </c>
      <c r="DV31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3" s="794" t="str">
        <f>VLOOKUP(WWWW[[#This Row],[Site Name]],SiteDB6[[Site Name]:[CCCM Management]],6,FALSE)</f>
        <v>Yes</v>
      </c>
      <c r="DZ313" s="794" t="str">
        <f>VLOOKUP(WWWW[[#This Row],[Site Name]],SiteDB6[[Site Name]:[CCCM Focal Agency]],7,FALSE)</f>
        <v>KBC-NSS</v>
      </c>
      <c r="EA313" s="794" t="str">
        <f>VLOOKUP(WWWW[[#This Row],[Site Name]],SiteDB6[[Site Name]:[Location Type 1]],9,FALSE)</f>
        <v>Camp</v>
      </c>
      <c r="EB313" s="794" t="str">
        <f>VLOOKUP(WWWW[[#This Row],[Site Name]],SiteDB6[[Site Name]:[Type of Accommodation]],10,FALSE)</f>
        <v>Camp</v>
      </c>
      <c r="EC313" s="794" t="str">
        <f>VLOOKUP(WWWW[[#This Row],[Site Name]],SiteDB6[[Site Name]:[Ethnic or GCA/NGCA]],11,FALSE)</f>
        <v>GCA</v>
      </c>
      <c r="ED313" s="794">
        <f>VLOOKUP(WWWW[[#This Row],[Site Name]],SiteDB6[[Site Name]:[Lat]],12,FALSE)</f>
        <v>23.841646999999998</v>
      </c>
      <c r="EE313" s="794">
        <f>VLOOKUP(WWWW[[#This Row],[Site Name]],SiteDB6[[Site Name]:[Long]],13,FALSE)</f>
        <v>97.700940000000003</v>
      </c>
      <c r="EF313" s="794" t="str">
        <f>VLOOKUP(WWWW[[#This Row],[Site Name]],SiteDB6[[Site Name]:[Pcode]],3,FALSE)</f>
        <v>MMR015CMP214</v>
      </c>
      <c r="EG313" s="799" t="str">
        <f t="shared" si="7"/>
        <v>Covered</v>
      </c>
      <c r="EH313" s="799" t="e">
        <f>VLOOKUP(WWWW[[#This Row],[Site Name]],Site_DB!$C$389:$D$1120,2,FALSE)</f>
        <v>#N/A</v>
      </c>
    </row>
    <row r="314" spans="1:138" hidden="1">
      <c r="A314" s="792" t="s">
        <v>3262</v>
      </c>
      <c r="B314" s="792" t="s">
        <v>195</v>
      </c>
      <c r="C314" s="793" t="s">
        <v>195</v>
      </c>
      <c r="D314" s="404" t="s">
        <v>3364</v>
      </c>
      <c r="E314" s="793" t="s">
        <v>711</v>
      </c>
      <c r="F314" s="793" t="s">
        <v>715</v>
      </c>
      <c r="G314" s="721" t="str">
        <f>VLOOKUP(WWWW[[#This Row],[Site Name]],SiteDB6[[Site Name]:[Location Type]],8,FALSE)</f>
        <v>Camp</v>
      </c>
      <c r="H314" s="793" t="s">
        <v>727</v>
      </c>
      <c r="I314" s="795">
        <v>56</v>
      </c>
      <c r="J314" s="795">
        <v>263</v>
      </c>
      <c r="K314" s="407" t="s">
        <v>3607</v>
      </c>
      <c r="L314" s="56" t="s">
        <v>3608</v>
      </c>
      <c r="M314" s="795"/>
      <c r="N314" s="795">
        <v>1</v>
      </c>
      <c r="O314" s="795"/>
      <c r="P314" s="795"/>
      <c r="Q314" s="798" t="s">
        <v>43</v>
      </c>
      <c r="R314" s="795">
        <v>5</v>
      </c>
      <c r="S314" s="795">
        <v>4</v>
      </c>
      <c r="T314" s="523"/>
      <c r="U314" s="795"/>
      <c r="V314" s="795"/>
      <c r="W314" s="720"/>
      <c r="X314" s="720"/>
      <c r="Y314" s="795"/>
      <c r="Z314" s="795"/>
      <c r="AA314" s="720">
        <v>23</v>
      </c>
      <c r="AB314" s="795"/>
      <c r="AC314" s="795"/>
      <c r="AD314" s="795"/>
      <c r="AE314" s="795"/>
      <c r="AF314" s="795"/>
      <c r="AG314" s="720">
        <v>1</v>
      </c>
      <c r="AH314" s="720">
        <v>1</v>
      </c>
      <c r="AI314" s="795"/>
      <c r="AJ314" s="795"/>
      <c r="AK314" s="795"/>
      <c r="AL314" s="795"/>
      <c r="AM314" s="720"/>
      <c r="AN314" s="720"/>
      <c r="AO314" s="719"/>
      <c r="AP314" s="720">
        <v>18</v>
      </c>
      <c r="AQ314" s="720"/>
      <c r="AR314" s="800"/>
      <c r="AS314" s="795"/>
      <c r="AT314" s="795"/>
      <c r="AU314" s="795"/>
      <c r="AV314" s="795"/>
      <c r="AW314" s="795"/>
      <c r="AX314" s="794" t="s">
        <v>43</v>
      </c>
      <c r="AY314" s="799" t="s">
        <v>140</v>
      </c>
      <c r="AZ314" s="795"/>
      <c r="BA314" s="795"/>
      <c r="BB314" s="720"/>
      <c r="BC314" s="720"/>
      <c r="BD314" s="523"/>
      <c r="BE314" s="794"/>
      <c r="BF314" s="720">
        <v>6</v>
      </c>
      <c r="BG314" s="720"/>
      <c r="BH314" s="720"/>
      <c r="BI314" s="720">
        <v>1</v>
      </c>
      <c r="BJ314" s="720"/>
      <c r="BK314" s="720"/>
      <c r="BL314" s="720">
        <v>2</v>
      </c>
      <c r="BM314" s="720">
        <v>55</v>
      </c>
      <c r="BN314" s="720"/>
      <c r="BO314" s="794"/>
      <c r="BP314" s="801"/>
      <c r="BQ314" s="800"/>
      <c r="BR314" s="794"/>
      <c r="BS314" s="472"/>
      <c r="BT314" s="472"/>
      <c r="BU314" s="523"/>
      <c r="BV314" s="472"/>
      <c r="BW314" s="523"/>
      <c r="BX314" s="523"/>
      <c r="BY314" s="523"/>
      <c r="BZ314" s="802" t="str">
        <f>IFERROR(WWWW[[#This Row],['#_Water sources passed]]/WWWW[[#This Row],['#_Water sources tested for fecal coliform ]],"no test")</f>
        <v>no test</v>
      </c>
      <c r="CA314" s="800" t="str">
        <f>IFERROR(WWWW[[#This Row],['#_Household passed]]/WWWW[[#This Row],['#_Household water samples tested for fecal coliform]],"no test")</f>
        <v>no test</v>
      </c>
      <c r="CB314" s="801" t="str">
        <f>IF(AND(WWWW[[#This Row],[% of water sources passed]]="no test",WWWW[[#This Row],[% Household passed]]="no test"),"No Test","Tested")</f>
        <v>No Test</v>
      </c>
      <c r="CC314" s="801">
        <f>WWWW[[#This Row],['#_Constructed/existing protected hand dug well]]-WWWW[[#This Row],['#_Non-functional protected hand dug well]]</f>
        <v>0</v>
      </c>
      <c r="CD314" s="801">
        <f>(WWWW[[#This Row],['#_Constructed/Existing tube wells/boreholes/handpumps_WASH_agency]]+WWWW[[#This Row],['#_Non-Cluster partner water tube-wells/boreholes/handpumps]])-WWWW[[#This Row],['#_Non-functional tube wells/boreholes/handpumps]]</f>
        <v>0</v>
      </c>
      <c r="CE314" s="801">
        <f>WWWW[[#This Row],['#_Constructed/Existingwater storage tank with gravity fed reticulation system]]-WWWW[[#This Row],['#_Non-functional storage tank gravity fed reticulation system]]</f>
        <v>23</v>
      </c>
      <c r="CF314" s="801">
        <f>(WWWW[[#This Row],['#_Water_Liters_supplied_by_Water boating or water trucking]]/90)/15</f>
        <v>0</v>
      </c>
      <c r="CG314" s="801">
        <f>WWWW[[#This Row],['#_Water_Liters_from_Constructed/Existing water distribution system from river or natural spring]]/90/15</f>
        <v>0</v>
      </c>
      <c r="CH314" s="473">
        <f>WWWW[[#This Row],['#_of water points in TLS/CFS /THF]]*500</f>
        <v>0</v>
      </c>
      <c r="CI31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4" s="800">
        <f>IF(WWWW[[#This Row],[Location Type 1]]="Village",WWWW[[#This Row],[Access to safe drinking water for Village]],WWWW[[#This Row],[Access to safe drinking water for Camp]])</f>
        <v>1</v>
      </c>
      <c r="CL314" s="798">
        <f>WWWW[[#This Row],[%Equitable and continuous access to sufficient quantity of safe drinking water]]*WWWW[[#This Row],[Total PoP ]]</f>
        <v>263</v>
      </c>
      <c r="CM314" s="800">
        <f>IF((WWWW[[#This Row],['#_Constructed/Existing protected/fenced ponds]]*250)/WWWW[[#This Row],[Total PoP ]]&gt;1,1,(WWWW[[#This Row],['#_Constructed/Existing protected/fenced ponds]]*250)/WWWW[[#This Row],[Total PoP ]])</f>
        <v>0</v>
      </c>
      <c r="CN314" s="798">
        <f>WWWW[[#This Row],[% Access to unimproved water points]]*WWWW[[#This Row],[Total PoP ]]</f>
        <v>0</v>
      </c>
      <c r="CO31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314" s="798">
        <f>WWWW[[#This Row],[HRP1]]/500</f>
        <v>0.52600000000000002</v>
      </c>
      <c r="CR314" s="803">
        <f>1-WWWW[[#This Row],[% Equitable and continuous access to sufficient quantity of domestic water]]</f>
        <v>0</v>
      </c>
      <c r="CS314" s="798">
        <f>WWWW[[#This Row],[%equitable and continuous access to sufficient quantity of safe drinking and domestic water''s GAP]]*WWWW[[#This Row],[Total PoP ]]</f>
        <v>0</v>
      </c>
      <c r="CT314" s="801">
        <f>IF(WWWW[[#This Row],[Total required water points]]-WWWW[[#This Row],['#Water points coverage]]&lt;0,0,WWWW[[#This Row],[Total required water points]]-WWWW[[#This Row],['#Water points coverage]])</f>
        <v>0.47399999999999998</v>
      </c>
      <c r="CU314" s="801">
        <f>ROUND(IF(WWWW[[#This Row],[Total PoP ]]&lt;500,1,WWWW[[#This Row],[Total PoP ]]/500),0)</f>
        <v>1</v>
      </c>
      <c r="CV314" s="801">
        <f>(WWWW[[#This Row],['#_Constructed latrines_by_WASHAgencies]]+WWWW[[#This Row],['#_Non Cluster partner latrines]])-WWWW[[#This Row],['#_Non-functional latrines]]</f>
        <v>18</v>
      </c>
      <c r="CW314" s="804">
        <f>WWWW[[#This Row],[HRP2]]/WWWW[[#This Row],[Total PoP ]]</f>
        <v>1</v>
      </c>
      <c r="CX31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CY31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4" s="473">
        <f>IF(WWWW[[#This Row],['# of functional latrines in THF supported by WASH partners during the reporting period2]]="",0,WWWW[[#This Row],['# of functional latrines in THF supported by WASH partners during the reporting period2]]*50)</f>
        <v>0</v>
      </c>
      <c r="DB314" s="473">
        <f>WWWW[[#This Row],['# students access to functioning school latrines_HRP5]]+WWWW[[#This Row],['# People access to functioning latrines in THF_HRP5]]</f>
        <v>0</v>
      </c>
      <c r="DC314" s="801">
        <f>ROUND(IF(WWWW[[#This Row],[Location Type 1]]="camp",WWWW[[#This Row],[Total PoP ]]/20,IF(WWWW[[#This Row],[Location Type 1]]="Temporary Location",WWWW[[#This Row],[Total PoP ]]/50,(WWWW[[#This Row],[Total PoP ]]/6))),0)</f>
        <v>13</v>
      </c>
      <c r="DD314" s="801">
        <f>IF(WWWW[[#This Row],[Total required Latrines]]-(WWWW[[#This Row],['#_Constructed latrines_by_WASHAgencies]]+WWWW[[#This Row],['#_Non Cluster partner latrines]])&lt;0,0,WWWW[[#This Row],[Total required Latrines]]-(WWWW[[#This Row],['#_Constructed latrines_by_WASHAgencies]]+WWWW[[#This Row],['#_Non Cluster partner latrines]]))</f>
        <v>0</v>
      </c>
      <c r="DE314" s="803">
        <f>1-WWWW[[#This Row],[% people access to functioning Latrine]]</f>
        <v>0</v>
      </c>
      <c r="DF314" s="802">
        <f>IF(OR(WWWW[[#This Row],['#_Non-functional latrines]]="",WWWW[[#This Row],['#_Non-functional latrines]]=0),0,WWWW[[#This Row],['#_Non-functional latrines]]/(WWWW[[#This Row],['#_Constructed latrines_by_WASHAgencies]]+WWWW[[#This Row],['#_Non Cluster partner latrines]]))</f>
        <v>0</v>
      </c>
      <c r="DG314" s="798">
        <f>IF(500*(WWWW[[#This Row],['#_male hygiene promoters]]+WWWW[[#This Row],['#_female hygiene promoters]])&gt;WWWW[[#This Row],[Total PoP ]],WWWW[[#This Row],[Total PoP ]],500*(WWWW[[#This Row],['#_male hygiene promoters]]+WWWW[[#This Row],['#_female hygiene promoters]]))</f>
        <v>263</v>
      </c>
      <c r="DH31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263</v>
      </c>
      <c r="DI31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4" s="801">
        <f>IF(WWWW[[#This Row],['# People with access to soap]]&gt;WWWW[[#This Row],['# People with access to Sanity Pads]],WWWW[[#This Row],['# People with access to soap]],WWWW[[#This Row],['# People with access to Sanity Pads]])</f>
        <v>263</v>
      </c>
      <c r="DK314" s="801">
        <f>IF(WWWW[[#This Row],['# people reached by regular dedicated hygiene promotion_5]]&gt;WWWW[[#This Row],['# People received regular supply of hygiene items_6]],WWWW[[#This Row],['# people reached by regular dedicated hygiene promotion_5]],WWWW[[#This Row],['# People received regular supply of hygiene items_6]])</f>
        <v>263</v>
      </c>
      <c r="DL314" s="803">
        <f>IF(WWWW[[#This Row],[HRP3]]/WWWW[[#This Row],[Total PoP ]]&gt;1,1,WWWW[[#This Row],[HRP3]]/WWWW[[#This Row],[Total PoP ]])</f>
        <v>1</v>
      </c>
      <c r="DM314" s="802">
        <f>1-WWWW[[#This Row],[Hygiene Coverage%]]</f>
        <v>0</v>
      </c>
      <c r="DN314" s="800">
        <f>WWWW[[#This Row],['# people reached by regular dedicated hygiene promotion_5]]/WWWW[[#This Row],[Total PoP ]]</f>
        <v>1</v>
      </c>
      <c r="DO31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4" s="801">
        <f>WWWW[[#This Row],['#_Constructed/Existing hand washing stations]]-WWWW[[#This Row],['#_Non-Functional_hand_washing_stations]]</f>
        <v>6</v>
      </c>
      <c r="DR314" s="798">
        <f>IF(WWWW[[#This Row],['# Functional hand washing stations during reporting period]]*20&gt;WWWW[[#This Row],[Total HH]],WWWW[[#This Row],[Total HH]],WWWW[[#This Row],['# Functional hand washing stations during reporting period]]*20)</f>
        <v>56</v>
      </c>
      <c r="DS314" s="798">
        <f>IF(WWWW[[#This Row],[Is sufficient soap available for TLS? (Yes/No)]]="yes",WWWW[[#This Row],['#_Constructed/Existing hand washing stations at TLS]],0)</f>
        <v>0</v>
      </c>
      <c r="DT314" s="479">
        <f>IF(WWWW[[#This Row],['# Functional hand washing stations during reporting period]]*100&gt;WWWW[[#This Row],[Total PoP ]],WWWW[[#This Row],[Total PoP ]],WWWW[[#This Row],['# Functional hand washing stations during reporting period]]*100)</f>
        <v>263</v>
      </c>
      <c r="DU314" s="479" t="str">
        <f>IF(OR(WWWW[[#This Row],['#_students at TLS_CFS]]="",WWWW[[#This Row],['#_students at TLS_CFS]]=0),"No","Yes")</f>
        <v>No</v>
      </c>
      <c r="DV31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4" s="794" t="str">
        <f>VLOOKUP(WWWW[[#This Row],[Site Name]],SiteDB6[[Site Name]:[CCCM Management]],6,FALSE)</f>
        <v>Yes</v>
      </c>
      <c r="DZ314" s="794" t="str">
        <f>VLOOKUP(WWWW[[#This Row],[Site Name]],SiteDB6[[Site Name]:[CCCM Focal Agency]],7,FALSE)</f>
        <v>KBC-NSS</v>
      </c>
      <c r="EA314" s="794" t="str">
        <f>VLOOKUP(WWWW[[#This Row],[Site Name]],SiteDB6[[Site Name]:[Location Type 1]],9,FALSE)</f>
        <v>Camp</v>
      </c>
      <c r="EB314" s="794" t="str">
        <f>VLOOKUP(WWWW[[#This Row],[Site Name]],SiteDB6[[Site Name]:[Type of Accommodation]],10,FALSE)</f>
        <v>Camp</v>
      </c>
      <c r="EC314" s="794" t="str">
        <f>VLOOKUP(WWWW[[#This Row],[Site Name]],SiteDB6[[Site Name]:[Ethnic or GCA/NGCA]],11,FALSE)</f>
        <v>GCA</v>
      </c>
      <c r="ED314" s="794">
        <f>VLOOKUP(WWWW[[#This Row],[Site Name]],SiteDB6[[Site Name]:[Lat]],12,FALSE)</f>
        <v>23.694130000000001</v>
      </c>
      <c r="EE314" s="794">
        <f>VLOOKUP(WWWW[[#This Row],[Site Name]],SiteDB6[[Site Name]:[Long]],13,FALSE)</f>
        <v>97.818979999999996</v>
      </c>
      <c r="EF314" s="794" t="str">
        <f>VLOOKUP(WWWW[[#This Row],[Site Name]],SiteDB6[[Site Name]:[Pcode]],3,FALSE)</f>
        <v>MMR015CMP007</v>
      </c>
      <c r="EG314" s="799" t="str">
        <f t="shared" si="7"/>
        <v>Covered</v>
      </c>
      <c r="EH314" s="799" t="str">
        <f>VLOOKUP(WWWW[[#This Row],[Site Name]],Site_DB!$C$389:$D$1120,2,FALSE)</f>
        <v>cccm_2019OCT</v>
      </c>
    </row>
    <row r="315" spans="1:138" hidden="1">
      <c r="A315" s="792" t="s">
        <v>3262</v>
      </c>
      <c r="B315" s="792" t="s">
        <v>195</v>
      </c>
      <c r="C315" s="793" t="s">
        <v>195</v>
      </c>
      <c r="D315" s="404" t="s">
        <v>3364</v>
      </c>
      <c r="E315" s="793" t="s">
        <v>711</v>
      </c>
      <c r="F315" s="793" t="s">
        <v>715</v>
      </c>
      <c r="G315" s="721" t="str">
        <f>VLOOKUP(WWWW[[#This Row],[Site Name]],SiteDB6[[Site Name]:[Location Type]],8,FALSE)</f>
        <v>Camp</v>
      </c>
      <c r="H315" s="793" t="s">
        <v>2180</v>
      </c>
      <c r="I315" s="795">
        <v>34</v>
      </c>
      <c r="J315" s="795">
        <v>114</v>
      </c>
      <c r="K315" s="407" t="s">
        <v>3607</v>
      </c>
      <c r="L315" s="56" t="s">
        <v>3608</v>
      </c>
      <c r="M315" s="795"/>
      <c r="N315" s="795">
        <v>1</v>
      </c>
      <c r="O315" s="795"/>
      <c r="P315" s="795"/>
      <c r="Q315" s="798" t="s">
        <v>43</v>
      </c>
      <c r="R315" s="795">
        <v>5</v>
      </c>
      <c r="S315" s="795">
        <v>4</v>
      </c>
      <c r="T315" s="523"/>
      <c r="U315" s="795"/>
      <c r="V315" s="795"/>
      <c r="W315" s="720">
        <v>2</v>
      </c>
      <c r="X315" s="720"/>
      <c r="Y315" s="795"/>
      <c r="Z315" s="795"/>
      <c r="AA315" s="720"/>
      <c r="AB315" s="795"/>
      <c r="AC315" s="795"/>
      <c r="AD315" s="795"/>
      <c r="AE315" s="795"/>
      <c r="AF315" s="795"/>
      <c r="AG315" s="720">
        <v>1</v>
      </c>
      <c r="AH315" s="720">
        <v>1</v>
      </c>
      <c r="AI315" s="795"/>
      <c r="AJ315" s="795"/>
      <c r="AK315" s="795"/>
      <c r="AL315" s="795"/>
      <c r="AM315" s="720"/>
      <c r="AN315" s="720"/>
      <c r="AO315" s="719"/>
      <c r="AP315" s="720">
        <v>8</v>
      </c>
      <c r="AQ315" s="720"/>
      <c r="AR315" s="800"/>
      <c r="AS315" s="795"/>
      <c r="AT315" s="795"/>
      <c r="AU315" s="795"/>
      <c r="AV315" s="795"/>
      <c r="AW315" s="795"/>
      <c r="AX315" s="794" t="s">
        <v>43</v>
      </c>
      <c r="AY315" s="799" t="s">
        <v>139</v>
      </c>
      <c r="AZ315" s="795"/>
      <c r="BA315" s="795"/>
      <c r="BB315" s="720"/>
      <c r="BC315" s="720"/>
      <c r="BD315" s="523"/>
      <c r="BE315" s="794"/>
      <c r="BF315" s="720">
        <v>4</v>
      </c>
      <c r="BG315" s="720"/>
      <c r="BH315" s="720"/>
      <c r="BI315" s="720">
        <v>1</v>
      </c>
      <c r="BJ315" s="720"/>
      <c r="BK315" s="720"/>
      <c r="BL315" s="720">
        <v>2</v>
      </c>
      <c r="BM315" s="720">
        <v>35</v>
      </c>
      <c r="BN315" s="720"/>
      <c r="BO315" s="794"/>
      <c r="BP315" s="801"/>
      <c r="BQ315" s="800"/>
      <c r="BR315" s="794"/>
      <c r="BS315" s="472"/>
      <c r="BT315" s="472"/>
      <c r="BU315" s="523"/>
      <c r="BV315" s="472"/>
      <c r="BW315" s="523"/>
      <c r="BX315" s="523"/>
      <c r="BY315" s="523"/>
      <c r="BZ315" s="802" t="str">
        <f>IFERROR(WWWW[[#This Row],['#_Water sources passed]]/WWWW[[#This Row],['#_Water sources tested for fecal coliform ]],"no test")</f>
        <v>no test</v>
      </c>
      <c r="CA315" s="800" t="str">
        <f>IFERROR(WWWW[[#This Row],['#_Household passed]]/WWWW[[#This Row],['#_Household water samples tested for fecal coliform]],"no test")</f>
        <v>no test</v>
      </c>
      <c r="CB315" s="801" t="str">
        <f>IF(AND(WWWW[[#This Row],[% of water sources passed]]="no test",WWWW[[#This Row],[% Household passed]]="no test"),"No Test","Tested")</f>
        <v>No Test</v>
      </c>
      <c r="CC315" s="801">
        <f>WWWW[[#This Row],['#_Constructed/existing protected hand dug well]]-WWWW[[#This Row],['#_Non-functional protected hand dug well]]</f>
        <v>0</v>
      </c>
      <c r="CD315" s="801">
        <f>(WWWW[[#This Row],['#_Constructed/Existing tube wells/boreholes/handpumps_WASH_agency]]+WWWW[[#This Row],['#_Non-Cluster partner water tube-wells/boreholes/handpumps]])-WWWW[[#This Row],['#_Non-functional tube wells/boreholes/handpumps]]</f>
        <v>2</v>
      </c>
      <c r="CE315" s="801">
        <f>WWWW[[#This Row],['#_Constructed/Existingwater storage tank with gravity fed reticulation system]]-WWWW[[#This Row],['#_Non-functional storage tank gravity fed reticulation system]]</f>
        <v>0</v>
      </c>
      <c r="CF315" s="801">
        <f>(WWWW[[#This Row],['#_Water_Liters_supplied_by_Water boating or water trucking]]/90)/15</f>
        <v>0</v>
      </c>
      <c r="CG315" s="801">
        <f>WWWW[[#This Row],['#_Water_Liters_from_Constructed/Existing water distribution system from river or natural spring]]/90/15</f>
        <v>0</v>
      </c>
      <c r="CH315" s="473">
        <f>WWWW[[#This Row],['#_of water points in TLS/CFS /THF]]*500</f>
        <v>0</v>
      </c>
      <c r="CI31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5" s="800">
        <f>IF(WWWW[[#This Row],[Location Type 1]]="Village",WWWW[[#This Row],[Access to safe drinking water for Village]],WWWW[[#This Row],[Access to safe drinking water for Camp]])</f>
        <v>1</v>
      </c>
      <c r="CL315" s="798">
        <f>WWWW[[#This Row],[%Equitable and continuous access to sufficient quantity of safe drinking water]]*WWWW[[#This Row],[Total PoP ]]</f>
        <v>114</v>
      </c>
      <c r="CM315" s="800">
        <f>IF((WWWW[[#This Row],['#_Constructed/Existing protected/fenced ponds]]*250)/WWWW[[#This Row],[Total PoP ]]&gt;1,1,(WWWW[[#This Row],['#_Constructed/Existing protected/fenced ponds]]*250)/WWWW[[#This Row],[Total PoP ]])</f>
        <v>0</v>
      </c>
      <c r="CN315" s="798">
        <f>WWWW[[#This Row],[% Access to unimproved water points]]*WWWW[[#This Row],[Total PoP ]]</f>
        <v>0</v>
      </c>
      <c r="CO31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315" s="798">
        <f>WWWW[[#This Row],[HRP1]]/500</f>
        <v>0.22800000000000001</v>
      </c>
      <c r="CR315" s="803">
        <f>1-WWWW[[#This Row],[% Equitable and continuous access to sufficient quantity of domestic water]]</f>
        <v>0</v>
      </c>
      <c r="CS315" s="798">
        <f>WWWW[[#This Row],[%equitable and continuous access to sufficient quantity of safe drinking and domestic water''s GAP]]*WWWW[[#This Row],[Total PoP ]]</f>
        <v>0</v>
      </c>
      <c r="CT315" s="801">
        <f>IF(WWWW[[#This Row],[Total required water points]]-WWWW[[#This Row],['#Water points coverage]]&lt;0,0,WWWW[[#This Row],[Total required water points]]-WWWW[[#This Row],['#Water points coverage]])</f>
        <v>0.77200000000000002</v>
      </c>
      <c r="CU315" s="801">
        <f>ROUND(IF(WWWW[[#This Row],[Total PoP ]]&lt;500,1,WWWW[[#This Row],[Total PoP ]]/500),0)</f>
        <v>1</v>
      </c>
      <c r="CV315" s="801">
        <f>(WWWW[[#This Row],['#_Constructed latrines_by_WASHAgencies]]+WWWW[[#This Row],['#_Non Cluster partner latrines]])-WWWW[[#This Row],['#_Non-functional latrines]]</f>
        <v>8</v>
      </c>
      <c r="CW315" s="804">
        <f>WWWW[[#This Row],[HRP2]]/WWWW[[#This Row],[Total PoP ]]</f>
        <v>1</v>
      </c>
      <c r="CX31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31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5" s="473">
        <f>IF(WWWW[[#This Row],['# of functional latrines in THF supported by WASH partners during the reporting period2]]="",0,WWWW[[#This Row],['# of functional latrines in THF supported by WASH partners during the reporting period2]]*50)</f>
        <v>0</v>
      </c>
      <c r="DB315" s="473">
        <f>WWWW[[#This Row],['# students access to functioning school latrines_HRP5]]+WWWW[[#This Row],['# People access to functioning latrines in THF_HRP5]]</f>
        <v>0</v>
      </c>
      <c r="DC315" s="801">
        <f>ROUND(IF(WWWW[[#This Row],[Location Type 1]]="camp",WWWW[[#This Row],[Total PoP ]]/20,IF(WWWW[[#This Row],[Location Type 1]]="Temporary Location",WWWW[[#This Row],[Total PoP ]]/50,(WWWW[[#This Row],[Total PoP ]]/6))),0)</f>
        <v>6</v>
      </c>
      <c r="DD315" s="801">
        <f>IF(WWWW[[#This Row],[Total required Latrines]]-(WWWW[[#This Row],['#_Constructed latrines_by_WASHAgencies]]+WWWW[[#This Row],['#_Non Cluster partner latrines]])&lt;0,0,WWWW[[#This Row],[Total required Latrines]]-(WWWW[[#This Row],['#_Constructed latrines_by_WASHAgencies]]+WWWW[[#This Row],['#_Non Cluster partner latrines]]))</f>
        <v>0</v>
      </c>
      <c r="DE315" s="803">
        <f>1-WWWW[[#This Row],[% people access to functioning Latrine]]</f>
        <v>0</v>
      </c>
      <c r="DF315" s="802">
        <f>IF(OR(WWWW[[#This Row],['#_Non-functional latrines]]="",WWWW[[#This Row],['#_Non-functional latrines]]=0),0,WWWW[[#This Row],['#_Non-functional latrines]]/(WWWW[[#This Row],['#_Constructed latrines_by_WASHAgencies]]+WWWW[[#This Row],['#_Non Cluster partner latrines]]))</f>
        <v>0</v>
      </c>
      <c r="DG315" s="798">
        <f>IF(500*(WWWW[[#This Row],['#_male hygiene promoters]]+WWWW[[#This Row],['#_female hygiene promoters]])&gt;WWWW[[#This Row],[Total PoP ]],WWWW[[#This Row],[Total PoP ]],500*(WWWW[[#This Row],['#_male hygiene promoters]]+WWWW[[#This Row],['#_female hygiene promoters]]))</f>
        <v>114</v>
      </c>
      <c r="DH31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114</v>
      </c>
      <c r="DI31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5" s="801">
        <f>IF(WWWW[[#This Row],['# People with access to soap]]&gt;WWWW[[#This Row],['# People with access to Sanity Pads]],WWWW[[#This Row],['# People with access to soap]],WWWW[[#This Row],['# People with access to Sanity Pads]])</f>
        <v>114</v>
      </c>
      <c r="DK315" s="801">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315" s="803">
        <f>IF(WWWW[[#This Row],[HRP3]]/WWWW[[#This Row],[Total PoP ]]&gt;1,1,WWWW[[#This Row],[HRP3]]/WWWW[[#This Row],[Total PoP ]])</f>
        <v>1</v>
      </c>
      <c r="DM315" s="802">
        <f>1-WWWW[[#This Row],[Hygiene Coverage%]]</f>
        <v>0</v>
      </c>
      <c r="DN315" s="800">
        <f>WWWW[[#This Row],['# people reached by regular dedicated hygiene promotion_5]]/WWWW[[#This Row],[Total PoP ]]</f>
        <v>1</v>
      </c>
      <c r="DO31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5" s="801">
        <f>WWWW[[#This Row],['#_Constructed/Existing hand washing stations]]-WWWW[[#This Row],['#_Non-Functional_hand_washing_stations]]</f>
        <v>4</v>
      </c>
      <c r="DR315" s="798">
        <f>IF(WWWW[[#This Row],['# Functional hand washing stations during reporting period]]*20&gt;WWWW[[#This Row],[Total HH]],WWWW[[#This Row],[Total HH]],WWWW[[#This Row],['# Functional hand washing stations during reporting period]]*20)</f>
        <v>34</v>
      </c>
      <c r="DS315" s="798">
        <f>IF(WWWW[[#This Row],[Is sufficient soap available for TLS? (Yes/No)]]="yes",WWWW[[#This Row],['#_Constructed/Existing hand washing stations at TLS]],0)</f>
        <v>0</v>
      </c>
      <c r="DT315" s="479">
        <f>IF(WWWW[[#This Row],['# Functional hand washing stations during reporting period]]*100&gt;WWWW[[#This Row],[Total PoP ]],WWWW[[#This Row],[Total PoP ]],WWWW[[#This Row],['# Functional hand washing stations during reporting period]]*100)</f>
        <v>114</v>
      </c>
      <c r="DU315" s="479" t="str">
        <f>IF(OR(WWWW[[#This Row],['#_students at TLS_CFS]]="",WWWW[[#This Row],['#_students at TLS_CFS]]=0),"No","Yes")</f>
        <v>No</v>
      </c>
      <c r="DV31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5" s="794" t="str">
        <f>VLOOKUP(WWWW[[#This Row],[Site Name]],SiteDB6[[Site Name]:[CCCM Management]],6,FALSE)</f>
        <v>Yes</v>
      </c>
      <c r="DZ315" s="794" t="str">
        <f>VLOOKUP(WWWW[[#This Row],[Site Name]],SiteDB6[[Site Name]:[CCCM Focal Agency]],7,FALSE)</f>
        <v>KMSS-LSO</v>
      </c>
      <c r="EA315" s="794" t="str">
        <f>VLOOKUP(WWWW[[#This Row],[Site Name]],SiteDB6[[Site Name]:[Location Type 1]],9,FALSE)</f>
        <v>Camp</v>
      </c>
      <c r="EB315" s="794" t="str">
        <f>VLOOKUP(WWWW[[#This Row],[Site Name]],SiteDB6[[Site Name]:[Type of Accommodation]],10,FALSE)</f>
        <v>Camp</v>
      </c>
      <c r="EC315" s="794" t="str">
        <f>VLOOKUP(WWWW[[#This Row],[Site Name]],SiteDB6[[Site Name]:[Ethnic or GCA/NGCA]],11,FALSE)</f>
        <v>GCA</v>
      </c>
      <c r="ED315" s="794">
        <f>VLOOKUP(WWWW[[#This Row],[Site Name]],SiteDB6[[Site Name]:[Lat]],12,FALSE)</f>
        <v>23.682887999999998</v>
      </c>
      <c r="EE315" s="794">
        <f>VLOOKUP(WWWW[[#This Row],[Site Name]],SiteDB6[[Site Name]:[Long]],13,FALSE)</f>
        <v>97.810101000000003</v>
      </c>
      <c r="EF315" s="794" t="str">
        <f>VLOOKUP(WWWW[[#This Row],[Site Name]],SiteDB6[[Site Name]:[Pcode]],3,FALSE)</f>
        <v>MMR015CMP225</v>
      </c>
      <c r="EG315" s="799" t="str">
        <f t="shared" si="7"/>
        <v>Covered</v>
      </c>
      <c r="EH315" s="799" t="str">
        <f>VLOOKUP(WWWW[[#This Row],[Site Name]],Site_DB!$C$389:$D$1120,2,FALSE)</f>
        <v>cccm_2019OCT</v>
      </c>
    </row>
    <row r="316" spans="1:138" hidden="1">
      <c r="A316" s="792" t="s">
        <v>3262</v>
      </c>
      <c r="B316" s="792" t="s">
        <v>195</v>
      </c>
      <c r="C316" s="793" t="s">
        <v>195</v>
      </c>
      <c r="D316" s="793" t="s">
        <v>3364</v>
      </c>
      <c r="E316" s="793" t="s">
        <v>711</v>
      </c>
      <c r="F316" s="793" t="s">
        <v>730</v>
      </c>
      <c r="G316" s="721" t="str">
        <f>VLOOKUP(WWWW[[#This Row],[Site Name]],SiteDB6[[Site Name]:[Location Type]],8,FALSE)</f>
        <v>Camp</v>
      </c>
      <c r="H316" s="404" t="s">
        <v>731</v>
      </c>
      <c r="I316" s="795">
        <v>34</v>
      </c>
      <c r="J316" s="795">
        <v>182</v>
      </c>
      <c r="K316" s="407" t="s">
        <v>3607</v>
      </c>
      <c r="L316" s="56" t="s">
        <v>3608</v>
      </c>
      <c r="M316" s="795"/>
      <c r="N316" s="795"/>
      <c r="O316" s="795">
        <v>1</v>
      </c>
      <c r="P316" s="795"/>
      <c r="Q316" s="798" t="s">
        <v>43</v>
      </c>
      <c r="R316" s="795"/>
      <c r="S316" s="795">
        <v>5</v>
      </c>
      <c r="T316" s="523">
        <v>4</v>
      </c>
      <c r="U316" s="795"/>
      <c r="V316" s="795"/>
      <c r="W316" s="795">
        <v>1</v>
      </c>
      <c r="X316" s="795"/>
      <c r="Y316" s="795"/>
      <c r="Z316" s="795"/>
      <c r="AA316" s="795"/>
      <c r="AB316" s="795"/>
      <c r="AC316" s="795"/>
      <c r="AD316" s="795"/>
      <c r="AE316" s="795"/>
      <c r="AF316" s="795"/>
      <c r="AG316" s="795"/>
      <c r="AH316" s="795"/>
      <c r="AI316" s="795"/>
      <c r="AJ316" s="795"/>
      <c r="AK316" s="795"/>
      <c r="AL316" s="795"/>
      <c r="AM316" s="795"/>
      <c r="AN316" s="795"/>
      <c r="AO316" s="799"/>
      <c r="AP316" s="720">
        <v>4</v>
      </c>
      <c r="AQ316" s="720">
        <v>10</v>
      </c>
      <c r="AR316" s="800"/>
      <c r="AS316" s="795"/>
      <c r="AT316" s="795">
        <v>2</v>
      </c>
      <c r="AU316" s="795"/>
      <c r="AV316" s="795"/>
      <c r="AW316" s="795"/>
      <c r="AX316" s="794" t="s">
        <v>43</v>
      </c>
      <c r="AY316" s="799" t="s">
        <v>140</v>
      </c>
      <c r="AZ316" s="795"/>
      <c r="BA316" s="795"/>
      <c r="BB316" s="795"/>
      <c r="BC316" s="523"/>
      <c r="BD316" s="523"/>
      <c r="BE316" s="794"/>
      <c r="BF316" s="795"/>
      <c r="BG316" s="795"/>
      <c r="BH316" s="795"/>
      <c r="BI316" s="795">
        <v>2</v>
      </c>
      <c r="BJ316" s="795"/>
      <c r="BK316" s="795"/>
      <c r="BL316" s="795">
        <v>1</v>
      </c>
      <c r="BM316" s="720">
        <v>35</v>
      </c>
      <c r="BN316" s="795"/>
      <c r="BO316" s="806" t="s">
        <v>139</v>
      </c>
      <c r="BP316" s="801"/>
      <c r="BQ316" s="800"/>
      <c r="BR316" s="794"/>
      <c r="BS316" s="472"/>
      <c r="BT316" s="472"/>
      <c r="BU316" s="523"/>
      <c r="BV316" s="472"/>
      <c r="BW316" s="523"/>
      <c r="BX316" s="523"/>
      <c r="BY316" s="523"/>
      <c r="BZ316" s="802" t="str">
        <f>IFERROR(WWWW[[#This Row],['#_Water sources passed]]/WWWW[[#This Row],['#_Water sources tested for fecal coliform ]],"no test")</f>
        <v>no test</v>
      </c>
      <c r="CA316" s="800" t="str">
        <f>IFERROR(WWWW[[#This Row],['#_Household passed]]/WWWW[[#This Row],['#_Household water samples tested for fecal coliform]],"no test")</f>
        <v>no test</v>
      </c>
      <c r="CB316" s="801" t="str">
        <f>IF(AND(WWWW[[#This Row],[% of water sources passed]]="no test",WWWW[[#This Row],[% Household passed]]="no test"),"No Test","Tested")</f>
        <v>No Test</v>
      </c>
      <c r="CC316" s="801">
        <f>WWWW[[#This Row],['#_Constructed/existing protected hand dug well]]-WWWW[[#This Row],['#_Non-functional protected hand dug well]]</f>
        <v>4</v>
      </c>
      <c r="CD316" s="801">
        <f>(WWWW[[#This Row],['#_Constructed/Existing tube wells/boreholes/handpumps_WASH_agency]]+WWWW[[#This Row],['#_Non-Cluster partner water tube-wells/boreholes/handpumps]])-WWWW[[#This Row],['#_Non-functional tube wells/boreholes/handpumps]]</f>
        <v>1</v>
      </c>
      <c r="CE316" s="801">
        <f>WWWW[[#This Row],['#_Constructed/Existingwater storage tank with gravity fed reticulation system]]-WWWW[[#This Row],['#_Non-functional storage tank gravity fed reticulation system]]</f>
        <v>0</v>
      </c>
      <c r="CF316" s="801">
        <f>(WWWW[[#This Row],['#_Water_Liters_supplied_by_Water boating or water trucking]]/90)/15</f>
        <v>0</v>
      </c>
      <c r="CG316" s="801">
        <f>WWWW[[#This Row],['#_Water_Liters_from_Constructed/Existing water distribution system from river or natural spring]]/90/15</f>
        <v>0</v>
      </c>
      <c r="CH316" s="473">
        <f>WWWW[[#This Row],['#_of water points in TLS/CFS /THF]]*500</f>
        <v>0</v>
      </c>
      <c r="CI31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6" s="800">
        <f>IF(WWWW[[#This Row],[Location Type 1]]="Village",WWWW[[#This Row],[Access to safe drinking water for Village]],WWWW[[#This Row],[Access to safe drinking water for Camp]])</f>
        <v>1</v>
      </c>
      <c r="CL316" s="798">
        <f>WWWW[[#This Row],[%Equitable and continuous access to sufficient quantity of safe drinking water]]*WWWW[[#This Row],[Total PoP ]]</f>
        <v>182</v>
      </c>
      <c r="CM316" s="800">
        <f>IF((WWWW[[#This Row],['#_Constructed/Existing protected/fenced ponds]]*250)/WWWW[[#This Row],[Total PoP ]]&gt;1,1,(WWWW[[#This Row],['#_Constructed/Existing protected/fenced ponds]]*250)/WWWW[[#This Row],[Total PoP ]])</f>
        <v>0</v>
      </c>
      <c r="CN316" s="798">
        <f>WWWW[[#This Row],[% Access to unimproved water points]]*WWWW[[#This Row],[Total PoP ]]</f>
        <v>0</v>
      </c>
      <c r="CO31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Q316" s="798">
        <f>WWWW[[#This Row],[HRP1]]/500</f>
        <v>0.36399999999999999</v>
      </c>
      <c r="CR316" s="803">
        <f>1-WWWW[[#This Row],[% Equitable and continuous access to sufficient quantity of domestic water]]</f>
        <v>0</v>
      </c>
      <c r="CS316" s="798">
        <f>WWWW[[#This Row],[%equitable and continuous access to sufficient quantity of safe drinking and domestic water''s GAP]]*WWWW[[#This Row],[Total PoP ]]</f>
        <v>0</v>
      </c>
      <c r="CT316" s="801">
        <f>IF(WWWW[[#This Row],[Total required water points]]-WWWW[[#This Row],['#Water points coverage]]&lt;0,0,WWWW[[#This Row],[Total required water points]]-WWWW[[#This Row],['#Water points coverage]])</f>
        <v>0.63600000000000001</v>
      </c>
      <c r="CU316" s="801">
        <f>ROUND(IF(WWWW[[#This Row],[Total PoP ]]&lt;500,1,WWWW[[#This Row],[Total PoP ]]/500),0)</f>
        <v>1</v>
      </c>
      <c r="CV316" s="801">
        <f>(WWWW[[#This Row],['#_Constructed latrines_by_WASHAgencies]]+WWWW[[#This Row],['#_Non Cluster partner latrines]])-WWWW[[#This Row],['#_Non-functional latrines]]</f>
        <v>14</v>
      </c>
      <c r="CW316" s="804">
        <f>WWWW[[#This Row],[HRP2]]/WWWW[[#This Row],[Total PoP ]]</f>
        <v>1</v>
      </c>
      <c r="CX31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CY31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6" s="473">
        <f>IF(WWWW[[#This Row],['# of functional latrines in THF supported by WASH partners during the reporting period2]]="",0,WWWW[[#This Row],['# of functional latrines in THF supported by WASH partners during the reporting period2]]*50)</f>
        <v>0</v>
      </c>
      <c r="DB316" s="473">
        <f>WWWW[[#This Row],['# students access to functioning school latrines_HRP5]]+WWWW[[#This Row],['# People access to functioning latrines in THF_HRP5]]</f>
        <v>0</v>
      </c>
      <c r="DC316" s="801">
        <f>ROUND(IF(WWWW[[#This Row],[Location Type 1]]="camp",WWWW[[#This Row],[Total PoP ]]/20,IF(WWWW[[#This Row],[Location Type 1]]="Temporary Location",WWWW[[#This Row],[Total PoP ]]/50,(WWWW[[#This Row],[Total PoP ]]/6))),0)</f>
        <v>9</v>
      </c>
      <c r="DD316" s="801">
        <f>IF(WWWW[[#This Row],[Total required Latrines]]-(WWWW[[#This Row],['#_Constructed latrines_by_WASHAgencies]]+WWWW[[#This Row],['#_Non Cluster partner latrines]])&lt;0,0,WWWW[[#This Row],[Total required Latrines]]-(WWWW[[#This Row],['#_Constructed latrines_by_WASHAgencies]]+WWWW[[#This Row],['#_Non Cluster partner latrines]]))</f>
        <v>0</v>
      </c>
      <c r="DE316" s="803">
        <f>1-WWWW[[#This Row],[% people access to functioning Latrine]]</f>
        <v>0</v>
      </c>
      <c r="DF316" s="802">
        <f>IF(OR(WWWW[[#This Row],['#_Non-functional latrines]]="",WWWW[[#This Row],['#_Non-functional latrines]]=0),0,WWWW[[#This Row],['#_Non-functional latrines]]/(WWWW[[#This Row],['#_Constructed latrines_by_WASHAgencies]]+WWWW[[#This Row],['#_Non Cluster partner latrines]]))</f>
        <v>0</v>
      </c>
      <c r="DG316" s="798">
        <f>IF(500*(WWWW[[#This Row],['#_male hygiene promoters]]+WWWW[[#This Row],['#_female hygiene promoters]])&gt;WWWW[[#This Row],[Total PoP ]],WWWW[[#This Row],[Total PoP ]],500*(WWWW[[#This Row],['#_male hygiene promoters]]+WWWW[[#This Row],['#_female hygiene promoters]]))</f>
        <v>182</v>
      </c>
      <c r="DH31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I31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6" s="801">
        <f>IF(WWWW[[#This Row],['# People with access to soap]]&gt;WWWW[[#This Row],['# People with access to Sanity Pads]],WWWW[[#This Row],['# People with access to soap]],WWWW[[#This Row],['# People with access to Sanity Pads]])</f>
        <v>175</v>
      </c>
      <c r="DK316" s="801">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L316" s="803">
        <f>IF(WWWW[[#This Row],[HRP3]]/WWWW[[#This Row],[Total PoP ]]&gt;1,1,WWWW[[#This Row],[HRP3]]/WWWW[[#This Row],[Total PoP ]])</f>
        <v>1</v>
      </c>
      <c r="DM316" s="802">
        <f>1-WWWW[[#This Row],[Hygiene Coverage%]]</f>
        <v>0</v>
      </c>
      <c r="DN316" s="800">
        <f>WWWW[[#This Row],['# people reached by regular dedicated hygiene promotion_5]]/WWWW[[#This Row],[Total PoP ]]</f>
        <v>1</v>
      </c>
      <c r="DO31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6" s="801">
        <f>WWWW[[#This Row],['#_Constructed/Existing hand washing stations]]-WWWW[[#This Row],['#_Non-Functional_hand_washing_stations]]</f>
        <v>0</v>
      </c>
      <c r="DR316" s="798">
        <f>IF(WWWW[[#This Row],['# Functional hand washing stations during reporting period]]*20&gt;WWWW[[#This Row],[Total HH]],WWWW[[#This Row],[Total HH]],WWWW[[#This Row],['# Functional hand washing stations during reporting period]]*20)</f>
        <v>0</v>
      </c>
      <c r="DS316" s="798">
        <f>IF(WWWW[[#This Row],[Is sufficient soap available for TLS? (Yes/No)]]="yes",WWWW[[#This Row],['#_Constructed/Existing hand washing stations at TLS]],0)</f>
        <v>0</v>
      </c>
      <c r="DT316" s="479">
        <f>IF(WWWW[[#This Row],['# Functional hand washing stations during reporting period]]*100&gt;WWWW[[#This Row],[Total PoP ]],WWWW[[#This Row],[Total PoP ]],WWWW[[#This Row],['# Functional hand washing stations during reporting period]]*100)</f>
        <v>0</v>
      </c>
      <c r="DU316" s="479" t="str">
        <f>IF(OR(WWWW[[#This Row],['#_students at TLS_CFS]]="",WWWW[[#This Row],['#_students at TLS_CFS]]=0),"No","Yes")</f>
        <v>No</v>
      </c>
      <c r="DV31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6" s="794" t="str">
        <f>VLOOKUP(WWWW[[#This Row],[Site Name]],SiteDB6[[Site Name]:[CCCM Management]],6,FALSE)</f>
        <v>Yes</v>
      </c>
      <c r="DZ316" s="794" t="str">
        <f>VLOOKUP(WWWW[[#This Row],[Site Name]],SiteDB6[[Site Name]:[CCCM Focal Agency]],7,FALSE)</f>
        <v>KBC-NSS</v>
      </c>
      <c r="EA316" s="794" t="str">
        <f>VLOOKUP(WWWW[[#This Row],[Site Name]],SiteDB6[[Site Name]:[Location Type 1]],9,FALSE)</f>
        <v>Camp</v>
      </c>
      <c r="EB316" s="794" t="str">
        <f>VLOOKUP(WWWW[[#This Row],[Site Name]],SiteDB6[[Site Name]:[Type of Accommodation]],10,FALSE)</f>
        <v>Camp</v>
      </c>
      <c r="EC316" s="794" t="str">
        <f>VLOOKUP(WWWW[[#This Row],[Site Name]],SiteDB6[[Site Name]:[Ethnic or GCA/NGCA]],11,FALSE)</f>
        <v>GCA</v>
      </c>
      <c r="ED316" s="794">
        <f>VLOOKUP(WWWW[[#This Row],[Site Name]],SiteDB6[[Site Name]:[Lat]],12,FALSE)</f>
        <v>23.354268999999999</v>
      </c>
      <c r="EE316" s="794">
        <f>VLOOKUP(WWWW[[#This Row],[Site Name]],SiteDB6[[Site Name]:[Long]],13,FALSE)</f>
        <v>98.218626999999998</v>
      </c>
      <c r="EF316" s="794" t="str">
        <f>VLOOKUP(WWWW[[#This Row],[Site Name]],SiteDB6[[Site Name]:[Pcode]],3,FALSE)</f>
        <v>MMR015CMP218</v>
      </c>
      <c r="EG316" s="799" t="str">
        <f t="shared" si="7"/>
        <v>Covered</v>
      </c>
      <c r="EH316" s="799" t="str">
        <f>VLOOKUP(WWWW[[#This Row],[Site Name]],Site_DB!$C$389:$D$1120,2,FALSE)</f>
        <v>cccm_2019OCT</v>
      </c>
    </row>
    <row r="317" spans="1:138" hidden="1">
      <c r="A317" s="792" t="s">
        <v>3262</v>
      </c>
      <c r="B317" s="792" t="s">
        <v>195</v>
      </c>
      <c r="C317" s="793" t="s">
        <v>195</v>
      </c>
      <c r="D317" s="793" t="s">
        <v>3364</v>
      </c>
      <c r="E317" s="793" t="s">
        <v>711</v>
      </c>
      <c r="F317" s="793" t="s">
        <v>732</v>
      </c>
      <c r="G317" s="721" t="str">
        <f>VLOOKUP(WWWW[[#This Row],[Site Name]],SiteDB6[[Site Name]:[Location Type]],8,FALSE)</f>
        <v>Camp</v>
      </c>
      <c r="H317" s="793" t="s">
        <v>743</v>
      </c>
      <c r="I317" s="795">
        <v>38</v>
      </c>
      <c r="J317" s="795">
        <v>161</v>
      </c>
      <c r="K317" s="407" t="s">
        <v>3607</v>
      </c>
      <c r="L317" s="56" t="s">
        <v>3608</v>
      </c>
      <c r="M317" s="795"/>
      <c r="N317" s="795"/>
      <c r="O317" s="720">
        <v>1</v>
      </c>
      <c r="P317" s="720"/>
      <c r="Q317" s="807" t="s">
        <v>43</v>
      </c>
      <c r="R317" s="720">
        <v>3</v>
      </c>
      <c r="S317" s="720">
        <v>3</v>
      </c>
      <c r="T317" s="523"/>
      <c r="U317" s="795"/>
      <c r="V317" s="795"/>
      <c r="W317" s="795"/>
      <c r="X317" s="795"/>
      <c r="Y317" s="795"/>
      <c r="Z317" s="795"/>
      <c r="AA317" s="795">
        <v>15</v>
      </c>
      <c r="AB317" s="795"/>
      <c r="AC317" s="795"/>
      <c r="AD317" s="795"/>
      <c r="AE317" s="795"/>
      <c r="AF317" s="795"/>
      <c r="AG317" s="795">
        <v>3</v>
      </c>
      <c r="AH317" s="795"/>
      <c r="AI317" s="795"/>
      <c r="AJ317" s="795"/>
      <c r="AK317" s="795"/>
      <c r="AL317" s="795"/>
      <c r="AM317" s="795"/>
      <c r="AN317" s="795"/>
      <c r="AO317" s="799"/>
      <c r="AP317" s="795">
        <v>8</v>
      </c>
      <c r="AQ317" s="795"/>
      <c r="AR317" s="800"/>
      <c r="AS317" s="795"/>
      <c r="AT317" s="795"/>
      <c r="AU317" s="795"/>
      <c r="AV317" s="795"/>
      <c r="AW317" s="795"/>
      <c r="AX317" s="794" t="s">
        <v>43</v>
      </c>
      <c r="AY317" s="799" t="s">
        <v>140</v>
      </c>
      <c r="AZ317" s="795"/>
      <c r="BA317" s="795"/>
      <c r="BB317" s="795"/>
      <c r="BC317" s="523"/>
      <c r="BD317" s="523"/>
      <c r="BE317" s="794"/>
      <c r="BF317" s="795">
        <v>5</v>
      </c>
      <c r="BG317" s="795"/>
      <c r="BH317" s="795"/>
      <c r="BI317" s="795">
        <v>2</v>
      </c>
      <c r="BJ317" s="795"/>
      <c r="BK317" s="795"/>
      <c r="BL317" s="795">
        <v>1</v>
      </c>
      <c r="BM317" s="720">
        <v>35</v>
      </c>
      <c r="BN317" s="795"/>
      <c r="BO317" s="806"/>
      <c r="BP317" s="801"/>
      <c r="BQ317" s="800"/>
      <c r="BR317" s="794"/>
      <c r="BS317" s="472"/>
      <c r="BT317" s="472"/>
      <c r="BU317" s="523"/>
      <c r="BV317" s="472"/>
      <c r="BW317" s="523"/>
      <c r="BX317" s="523"/>
      <c r="BY317" s="523"/>
      <c r="BZ317" s="802" t="str">
        <f>IFERROR(WWWW[[#This Row],['#_Water sources passed]]/WWWW[[#This Row],['#_Water sources tested for fecal coliform ]],"no test")</f>
        <v>no test</v>
      </c>
      <c r="CA317" s="800" t="str">
        <f>IFERROR(WWWW[[#This Row],['#_Household passed]]/WWWW[[#This Row],['#_Household water samples tested for fecal coliform]],"no test")</f>
        <v>no test</v>
      </c>
      <c r="CB317" s="801" t="str">
        <f>IF(AND(WWWW[[#This Row],[% of water sources passed]]="no test",WWWW[[#This Row],[% Household passed]]="no test"),"No Test","Tested")</f>
        <v>No Test</v>
      </c>
      <c r="CC317" s="801">
        <f>WWWW[[#This Row],['#_Constructed/existing protected hand dug well]]-WWWW[[#This Row],['#_Non-functional protected hand dug well]]</f>
        <v>0</v>
      </c>
      <c r="CD317" s="801">
        <f>(WWWW[[#This Row],['#_Constructed/Existing tube wells/boreholes/handpumps_WASH_agency]]+WWWW[[#This Row],['#_Non-Cluster partner water tube-wells/boreholes/handpumps]])-WWWW[[#This Row],['#_Non-functional tube wells/boreholes/handpumps]]</f>
        <v>0</v>
      </c>
      <c r="CE317" s="801">
        <f>WWWW[[#This Row],['#_Constructed/Existingwater storage tank with gravity fed reticulation system]]-WWWW[[#This Row],['#_Non-functional storage tank gravity fed reticulation system]]</f>
        <v>15</v>
      </c>
      <c r="CF317" s="801">
        <f>(WWWW[[#This Row],['#_Water_Liters_supplied_by_Water boating or water trucking]]/90)/15</f>
        <v>0</v>
      </c>
      <c r="CG317" s="801">
        <f>WWWW[[#This Row],['#_Water_Liters_from_Constructed/Existing water distribution system from river or natural spring]]/90/15</f>
        <v>0</v>
      </c>
      <c r="CH317" s="473">
        <f>WWWW[[#This Row],['#_of water points in TLS/CFS /THF]]*500</f>
        <v>0</v>
      </c>
      <c r="CI31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7" s="800">
        <f>IF(WWWW[[#This Row],[Location Type 1]]="Village",WWWW[[#This Row],[Access to safe drinking water for Village]],WWWW[[#This Row],[Access to safe drinking water for Camp]])</f>
        <v>1</v>
      </c>
      <c r="CL317" s="798">
        <f>WWWW[[#This Row],[%Equitable and continuous access to sufficient quantity of safe drinking water]]*WWWW[[#This Row],[Total PoP ]]</f>
        <v>161</v>
      </c>
      <c r="CM317" s="800">
        <f>IF((WWWW[[#This Row],['#_Constructed/Existing protected/fenced ponds]]*250)/WWWW[[#This Row],[Total PoP ]]&gt;1,1,(WWWW[[#This Row],['#_Constructed/Existing protected/fenced ponds]]*250)/WWWW[[#This Row],[Total PoP ]])</f>
        <v>0</v>
      </c>
      <c r="CN317" s="798">
        <f>WWWW[[#This Row],[% Access to unimproved water points]]*WWWW[[#This Row],[Total PoP ]]</f>
        <v>0</v>
      </c>
      <c r="CO31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Q317" s="798">
        <f>WWWW[[#This Row],[HRP1]]/500</f>
        <v>0.32200000000000001</v>
      </c>
      <c r="CR317" s="803">
        <f>1-WWWW[[#This Row],[% Equitable and continuous access to sufficient quantity of domestic water]]</f>
        <v>0</v>
      </c>
      <c r="CS317" s="798">
        <f>WWWW[[#This Row],[%equitable and continuous access to sufficient quantity of safe drinking and domestic water''s GAP]]*WWWW[[#This Row],[Total PoP ]]</f>
        <v>0</v>
      </c>
      <c r="CT317" s="801">
        <f>IF(WWWW[[#This Row],[Total required water points]]-WWWW[[#This Row],['#Water points coverage]]&lt;0,0,WWWW[[#This Row],[Total required water points]]-WWWW[[#This Row],['#Water points coverage]])</f>
        <v>0.67799999999999994</v>
      </c>
      <c r="CU317" s="801">
        <f>ROUND(IF(WWWW[[#This Row],[Total PoP ]]&lt;500,1,WWWW[[#This Row],[Total PoP ]]/500),0)</f>
        <v>1</v>
      </c>
      <c r="CV317" s="801">
        <f>(WWWW[[#This Row],['#_Constructed latrines_by_WASHAgencies]]+WWWW[[#This Row],['#_Non Cluster partner latrines]])-WWWW[[#This Row],['#_Non-functional latrines]]</f>
        <v>8</v>
      </c>
      <c r="CW317" s="804">
        <f>WWWW[[#This Row],[HRP2]]/WWWW[[#This Row],[Total PoP ]]</f>
        <v>0.99378881987577639</v>
      </c>
      <c r="CX31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1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7" s="473">
        <f>IF(WWWW[[#This Row],['# of functional latrines in THF supported by WASH partners during the reporting period2]]="",0,WWWW[[#This Row],['# of functional latrines in THF supported by WASH partners during the reporting period2]]*50)</f>
        <v>0</v>
      </c>
      <c r="DB317" s="473">
        <f>WWWW[[#This Row],['# students access to functioning school latrines_HRP5]]+WWWW[[#This Row],['# People access to functioning latrines in THF_HRP5]]</f>
        <v>0</v>
      </c>
      <c r="DC317" s="801">
        <f>ROUND(IF(WWWW[[#This Row],[Location Type 1]]="camp",WWWW[[#This Row],[Total PoP ]]/20,IF(WWWW[[#This Row],[Location Type 1]]="Temporary Location",WWWW[[#This Row],[Total PoP ]]/50,(WWWW[[#This Row],[Total PoP ]]/6))),0)</f>
        <v>8</v>
      </c>
      <c r="DD317" s="801">
        <f>IF(WWWW[[#This Row],[Total required Latrines]]-(WWWW[[#This Row],['#_Constructed latrines_by_WASHAgencies]]+WWWW[[#This Row],['#_Non Cluster partner latrines]])&lt;0,0,WWWW[[#This Row],[Total required Latrines]]-(WWWW[[#This Row],['#_Constructed latrines_by_WASHAgencies]]+WWWW[[#This Row],['#_Non Cluster partner latrines]]))</f>
        <v>0</v>
      </c>
      <c r="DE317" s="803">
        <f>1-WWWW[[#This Row],[% people access to functioning Latrine]]</f>
        <v>6.2111801242236142E-3</v>
      </c>
      <c r="DF317" s="802">
        <f>IF(OR(WWWW[[#This Row],['#_Non-functional latrines]]="",WWWW[[#This Row],['#_Non-functional latrines]]=0),0,WWWW[[#This Row],['#_Non-functional latrines]]/(WWWW[[#This Row],['#_Constructed latrines_by_WASHAgencies]]+WWWW[[#This Row],['#_Non Cluster partner latrines]]))</f>
        <v>0</v>
      </c>
      <c r="DG317" s="798">
        <f>IF(500*(WWWW[[#This Row],['#_male hygiene promoters]]+WWWW[[#This Row],['#_female hygiene promoters]])&gt;WWWW[[#This Row],[Total PoP ]],WWWW[[#This Row],[Total PoP ]],500*(WWWW[[#This Row],['#_male hygiene promoters]]+WWWW[[#This Row],['#_female hygiene promoters]]))</f>
        <v>161</v>
      </c>
      <c r="DH31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161</v>
      </c>
      <c r="DI31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7" s="801">
        <f>IF(WWWW[[#This Row],['# People with access to soap]]&gt;WWWW[[#This Row],['# People with access to Sanity Pads]],WWWW[[#This Row],['# People with access to soap]],WWWW[[#This Row],['# People with access to Sanity Pads]])</f>
        <v>161</v>
      </c>
      <c r="DK317" s="801">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317" s="803">
        <f>IF(WWWW[[#This Row],[HRP3]]/WWWW[[#This Row],[Total PoP ]]&gt;1,1,WWWW[[#This Row],[HRP3]]/WWWW[[#This Row],[Total PoP ]])</f>
        <v>1</v>
      </c>
      <c r="DM317" s="802">
        <f>1-WWWW[[#This Row],[Hygiene Coverage%]]</f>
        <v>0</v>
      </c>
      <c r="DN317" s="800">
        <f>WWWW[[#This Row],['# people reached by regular dedicated hygiene promotion_5]]/WWWW[[#This Row],[Total PoP ]]</f>
        <v>1</v>
      </c>
      <c r="DO31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7" s="801">
        <f>WWWW[[#This Row],['#_Constructed/Existing hand washing stations]]-WWWW[[#This Row],['#_Non-Functional_hand_washing_stations]]</f>
        <v>5</v>
      </c>
      <c r="DR317" s="798">
        <f>IF(WWWW[[#This Row],['# Functional hand washing stations during reporting period]]*20&gt;WWWW[[#This Row],[Total HH]],WWWW[[#This Row],[Total HH]],WWWW[[#This Row],['# Functional hand washing stations during reporting period]]*20)</f>
        <v>38</v>
      </c>
      <c r="DS317" s="798">
        <f>IF(WWWW[[#This Row],[Is sufficient soap available for TLS? (Yes/No)]]="yes",WWWW[[#This Row],['#_Constructed/Existing hand washing stations at TLS]],0)</f>
        <v>0</v>
      </c>
      <c r="DT317" s="479">
        <f>IF(WWWW[[#This Row],['# Functional hand washing stations during reporting period]]*100&gt;WWWW[[#This Row],[Total PoP ]],WWWW[[#This Row],[Total PoP ]],WWWW[[#This Row],['# Functional hand washing stations during reporting period]]*100)</f>
        <v>161</v>
      </c>
      <c r="DU317" s="479" t="str">
        <f>IF(OR(WWWW[[#This Row],['#_students at TLS_CFS]]="",WWWW[[#This Row],['#_students at TLS_CFS]]=0),"No","Yes")</f>
        <v>No</v>
      </c>
      <c r="DV31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7" s="794" t="str">
        <f>VLOOKUP(WWWW[[#This Row],[Site Name]],SiteDB6[[Site Name]:[CCCM Management]],6,FALSE)</f>
        <v>Yes</v>
      </c>
      <c r="DZ317" s="794" t="str">
        <f>VLOOKUP(WWWW[[#This Row],[Site Name]],SiteDB6[[Site Name]:[CCCM Focal Agency]],7,FALSE)</f>
        <v>KBC-NSS</v>
      </c>
      <c r="EA317" s="794" t="str">
        <f>VLOOKUP(WWWW[[#This Row],[Site Name]],SiteDB6[[Site Name]:[Location Type 1]],9,FALSE)</f>
        <v>Camp</v>
      </c>
      <c r="EB317" s="794" t="str">
        <f>VLOOKUP(WWWW[[#This Row],[Site Name]],SiteDB6[[Site Name]:[Type of Accommodation]],10,FALSE)</f>
        <v>Camp</v>
      </c>
      <c r="EC317" s="794" t="str">
        <f>VLOOKUP(WWWW[[#This Row],[Site Name]],SiteDB6[[Site Name]:[Ethnic or GCA/NGCA]],11,FALSE)</f>
        <v>GCA</v>
      </c>
      <c r="ED317" s="794">
        <f>VLOOKUP(WWWW[[#This Row],[Site Name]],SiteDB6[[Site Name]:[Lat]],12,FALSE)</f>
        <v>23.094290000000001</v>
      </c>
      <c r="EE317" s="794">
        <f>VLOOKUP(WWWW[[#This Row],[Site Name]],SiteDB6[[Site Name]:[Long]],13,FALSE)</f>
        <v>97.404089999999997</v>
      </c>
      <c r="EF317" s="794" t="str">
        <f>VLOOKUP(WWWW[[#This Row],[Site Name]],SiteDB6[[Site Name]:[Pcode]],3,FALSE)</f>
        <v>MMR015CMP014</v>
      </c>
      <c r="EG317" s="799" t="str">
        <f t="shared" si="7"/>
        <v>Covered</v>
      </c>
      <c r="EH317" s="799" t="e">
        <f>VLOOKUP(WWWW[[#This Row],[Site Name]],Site_DB!$C$389:$D$1120,2,FALSE)</f>
        <v>#N/A</v>
      </c>
    </row>
    <row r="318" spans="1:138" hidden="1">
      <c r="A318" s="792" t="s">
        <v>3262</v>
      </c>
      <c r="B318" s="792" t="s">
        <v>195</v>
      </c>
      <c r="C318" s="793" t="s">
        <v>195</v>
      </c>
      <c r="D318" s="793" t="s">
        <v>3364</v>
      </c>
      <c r="E318" s="793" t="s">
        <v>711</v>
      </c>
      <c r="F318" s="793" t="s">
        <v>712</v>
      </c>
      <c r="G318" s="721" t="str">
        <f>VLOOKUP(WWWW[[#This Row],[Site Name]],SiteDB6[[Site Name]:[Location Type]],8,FALSE)</f>
        <v>Camp</v>
      </c>
      <c r="H318" s="404" t="s">
        <v>749</v>
      </c>
      <c r="I318" s="795">
        <v>111</v>
      </c>
      <c r="J318" s="795">
        <v>568</v>
      </c>
      <c r="K318" s="407" t="s">
        <v>3607</v>
      </c>
      <c r="L318" s="56" t="s">
        <v>3608</v>
      </c>
      <c r="M318" s="795"/>
      <c r="N318" s="720"/>
      <c r="O318" s="720">
        <v>1</v>
      </c>
      <c r="P318" s="795"/>
      <c r="Q318" s="807"/>
      <c r="R318" s="720"/>
      <c r="S318" s="720"/>
      <c r="T318" s="720"/>
      <c r="U318" s="720"/>
      <c r="V318" s="720"/>
      <c r="W318" s="720"/>
      <c r="X318" s="720"/>
      <c r="Y318" s="720"/>
      <c r="Z318" s="720"/>
      <c r="AA318" s="720">
        <v>1</v>
      </c>
      <c r="AB318" s="720"/>
      <c r="AC318" s="795"/>
      <c r="AD318" s="795"/>
      <c r="AE318" s="795"/>
      <c r="AF318" s="795"/>
      <c r="AG318" s="795"/>
      <c r="AH318" s="795"/>
      <c r="AI318" s="795"/>
      <c r="AJ318" s="795"/>
      <c r="AK318" s="795"/>
      <c r="AL318" s="795"/>
      <c r="AM318" s="795"/>
      <c r="AN318" s="795"/>
      <c r="AO318" s="799"/>
      <c r="AP318" s="795"/>
      <c r="AQ318" s="795">
        <v>16</v>
      </c>
      <c r="AR318" s="800"/>
      <c r="AS318" s="795"/>
      <c r="AT318" s="795"/>
      <c r="AU318" s="795"/>
      <c r="AV318" s="795"/>
      <c r="AW318" s="795"/>
      <c r="AX318" s="794" t="s">
        <v>143</v>
      </c>
      <c r="AY318" s="799" t="s">
        <v>143</v>
      </c>
      <c r="AZ318" s="795"/>
      <c r="BA318" s="795"/>
      <c r="BB318" s="795"/>
      <c r="BC318" s="523"/>
      <c r="BD318" s="523"/>
      <c r="BE318" s="794"/>
      <c r="BF318" s="795"/>
      <c r="BG318" s="795"/>
      <c r="BH318" s="795"/>
      <c r="BI318" s="795"/>
      <c r="BJ318" s="795"/>
      <c r="BK318" s="795"/>
      <c r="BL318" s="795"/>
      <c r="BM318" s="795"/>
      <c r="BN318" s="795"/>
      <c r="BO318" s="794" t="s">
        <v>139</v>
      </c>
      <c r="BP318" s="801"/>
      <c r="BQ318" s="800"/>
      <c r="BR318" s="794"/>
      <c r="BS318" s="472"/>
      <c r="BT318" s="472"/>
      <c r="BU318" s="523"/>
      <c r="BV318" s="472"/>
      <c r="BW318" s="523"/>
      <c r="BX318" s="523"/>
      <c r="BY318" s="523"/>
      <c r="BZ318" s="802" t="str">
        <f>IFERROR(WWWW[[#This Row],['#_Water sources passed]]/WWWW[[#This Row],['#_Water sources tested for fecal coliform ]],"no test")</f>
        <v>no test</v>
      </c>
      <c r="CA318" s="800" t="str">
        <f>IFERROR(WWWW[[#This Row],['#_Household passed]]/WWWW[[#This Row],['#_Household water samples tested for fecal coliform]],"no test")</f>
        <v>no test</v>
      </c>
      <c r="CB318" s="801" t="str">
        <f>IF(AND(WWWW[[#This Row],[% of water sources passed]]="no test",WWWW[[#This Row],[% Household passed]]="no test"),"No Test","Tested")</f>
        <v>No Test</v>
      </c>
      <c r="CC318" s="801">
        <f>WWWW[[#This Row],['#_Constructed/existing protected hand dug well]]-WWWW[[#This Row],['#_Non-functional protected hand dug well]]</f>
        <v>0</v>
      </c>
      <c r="CD318" s="801">
        <f>(WWWW[[#This Row],['#_Constructed/Existing tube wells/boreholes/handpumps_WASH_agency]]+WWWW[[#This Row],['#_Non-Cluster partner water tube-wells/boreholes/handpumps]])-WWWW[[#This Row],['#_Non-functional tube wells/boreholes/handpumps]]</f>
        <v>0</v>
      </c>
      <c r="CE318" s="801">
        <f>WWWW[[#This Row],['#_Constructed/Existingwater storage tank with gravity fed reticulation system]]-WWWW[[#This Row],['#_Non-functional storage tank gravity fed reticulation system]]</f>
        <v>1</v>
      </c>
      <c r="CF318" s="801">
        <f>(WWWW[[#This Row],['#_Water_Liters_supplied_by_Water boating or water trucking]]/90)/15</f>
        <v>0</v>
      </c>
      <c r="CG318" s="801">
        <f>WWWW[[#This Row],['#_Water_Liters_from_Constructed/Existing water distribution system from river or natural spring]]/90/15</f>
        <v>0</v>
      </c>
      <c r="CH318" s="473">
        <f>WWWW[[#This Row],['#_of water points in TLS/CFS /THF]]*500</f>
        <v>0</v>
      </c>
      <c r="CI31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0.11737089201877936</v>
      </c>
      <c r="CJ31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0.11737089201877936</v>
      </c>
      <c r="CK318" s="800">
        <f>IF(WWWW[[#This Row],[Location Type 1]]="Village",WWWW[[#This Row],[Access to safe drinking water for Village]],WWWW[[#This Row],[Access to safe drinking water for Camp]])</f>
        <v>0.11737089201877936</v>
      </c>
      <c r="CL318" s="798">
        <f>WWWW[[#This Row],[%Equitable and continuous access to sufficient quantity of safe drinking water]]*WWWW[[#This Row],[Total PoP ]]</f>
        <v>66.666666666666671</v>
      </c>
      <c r="CM318" s="800">
        <f>IF((WWWW[[#This Row],['#_Constructed/Existing protected/fenced ponds]]*250)/WWWW[[#This Row],[Total PoP ]]&gt;1,1,(WWWW[[#This Row],['#_Constructed/Existing protected/fenced ponds]]*250)/WWWW[[#This Row],[Total PoP ]])</f>
        <v>0</v>
      </c>
      <c r="CN318" s="798">
        <f>WWWW[[#This Row],[% Access to unimproved water points]]*WWWW[[#This Row],[Total PoP ]]</f>
        <v>0</v>
      </c>
      <c r="CO31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0.11737089201877936</v>
      </c>
      <c r="CP31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18" s="798">
        <f>WWWW[[#This Row],[HRP1]]/500</f>
        <v>0.13333333333333333</v>
      </c>
      <c r="CR318" s="803">
        <f>1-WWWW[[#This Row],[% Equitable and continuous access to sufficient quantity of domestic water]]</f>
        <v>0.88262910798122063</v>
      </c>
      <c r="CS318" s="798">
        <f>WWWW[[#This Row],[%equitable and continuous access to sufficient quantity of safe drinking and domestic water''s GAP]]*WWWW[[#This Row],[Total PoP ]]</f>
        <v>501.33333333333331</v>
      </c>
      <c r="CT318" s="801">
        <f>IF(WWWW[[#This Row],[Total required water points]]-WWWW[[#This Row],['#Water points coverage]]&lt;0,0,WWWW[[#This Row],[Total required water points]]-WWWW[[#This Row],['#Water points coverage]])</f>
        <v>0.8666666666666667</v>
      </c>
      <c r="CU318" s="801">
        <f>ROUND(IF(WWWW[[#This Row],[Total PoP ]]&lt;500,1,WWWW[[#This Row],[Total PoP ]]/500),0)</f>
        <v>1</v>
      </c>
      <c r="CV318" s="801">
        <f>(WWWW[[#This Row],['#_Constructed latrines_by_WASHAgencies]]+WWWW[[#This Row],['#_Non Cluster partner latrines]])-WWWW[[#This Row],['#_Non-functional latrines]]</f>
        <v>16</v>
      </c>
      <c r="CW318" s="804">
        <f>WWWW[[#This Row],[HRP2]]/WWWW[[#This Row],[Total PoP ]]</f>
        <v>0.56338028169014087</v>
      </c>
      <c r="CX31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31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8" s="473">
        <f>IF(WWWW[[#This Row],['# of functional latrines in THF supported by WASH partners during the reporting period2]]="",0,WWWW[[#This Row],['# of functional latrines in THF supported by WASH partners during the reporting period2]]*50)</f>
        <v>0</v>
      </c>
      <c r="DB318" s="473">
        <f>WWWW[[#This Row],['# students access to functioning school latrines_HRP5]]+WWWW[[#This Row],['# People access to functioning latrines in THF_HRP5]]</f>
        <v>0</v>
      </c>
      <c r="DC318" s="801">
        <f>ROUND(IF(WWWW[[#This Row],[Location Type 1]]="camp",WWWW[[#This Row],[Total PoP ]]/20,IF(WWWW[[#This Row],[Location Type 1]]="Temporary Location",WWWW[[#This Row],[Total PoP ]]/50,(WWWW[[#This Row],[Total PoP ]]/6))),0)</f>
        <v>28</v>
      </c>
      <c r="DD318" s="801">
        <f>IF(WWWW[[#This Row],[Total required Latrines]]-(WWWW[[#This Row],['#_Constructed latrines_by_WASHAgencies]]+WWWW[[#This Row],['#_Non Cluster partner latrines]])&lt;0,0,WWWW[[#This Row],[Total required Latrines]]-(WWWW[[#This Row],['#_Constructed latrines_by_WASHAgencies]]+WWWW[[#This Row],['#_Non Cluster partner latrines]]))</f>
        <v>12</v>
      </c>
      <c r="DE318" s="803">
        <f>1-WWWW[[#This Row],[% people access to functioning Latrine]]</f>
        <v>0.43661971830985913</v>
      </c>
      <c r="DF318" s="802">
        <f>IF(OR(WWWW[[#This Row],['#_Non-functional latrines]]="",WWWW[[#This Row],['#_Non-functional latrines]]=0),0,WWWW[[#This Row],['#_Non-functional latrines]]/(WWWW[[#This Row],['#_Constructed latrines_by_WASHAgencies]]+WWWW[[#This Row],['#_Non Cluster partner latrines]]))</f>
        <v>0</v>
      </c>
      <c r="DG318" s="798">
        <f>IF(500*(WWWW[[#This Row],['#_male hygiene promoters]]+WWWW[[#This Row],['#_female hygiene promoters]])&gt;WWWW[[#This Row],[Total PoP ]],WWWW[[#This Row],[Total PoP ]],500*(WWWW[[#This Row],['#_male hygiene promoters]]+WWWW[[#This Row],['#_female hygiene promoters]]))</f>
        <v>0</v>
      </c>
      <c r="DH31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1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8" s="801">
        <f>IF(WWWW[[#This Row],['# People with access to soap]]&gt;WWWW[[#This Row],['# People with access to Sanity Pads]],WWWW[[#This Row],['# People with access to soap]],WWWW[[#This Row],['# People with access to Sanity Pads]])</f>
        <v>0</v>
      </c>
      <c r="DK31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18" s="803">
        <f>IF(WWWW[[#This Row],[HRP3]]/WWWW[[#This Row],[Total PoP ]]&gt;1,1,WWWW[[#This Row],[HRP3]]/WWWW[[#This Row],[Total PoP ]])</f>
        <v>0</v>
      </c>
      <c r="DM318" s="802">
        <f>1-WWWW[[#This Row],[Hygiene Coverage%]]</f>
        <v>1</v>
      </c>
      <c r="DN318" s="800">
        <f>WWWW[[#This Row],['# people reached by regular dedicated hygiene promotion_5]]/WWWW[[#This Row],[Total PoP ]]</f>
        <v>0</v>
      </c>
      <c r="DO31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1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8" s="801">
        <f>WWWW[[#This Row],['#_Constructed/Existing hand washing stations]]-WWWW[[#This Row],['#_Non-Functional_hand_washing_stations]]</f>
        <v>0</v>
      </c>
      <c r="DR318" s="798">
        <f>IF(WWWW[[#This Row],['# Functional hand washing stations during reporting period]]*20&gt;WWWW[[#This Row],[Total HH]],WWWW[[#This Row],[Total HH]],WWWW[[#This Row],['# Functional hand washing stations during reporting period]]*20)</f>
        <v>0</v>
      </c>
      <c r="DS318" s="798">
        <f>IF(WWWW[[#This Row],[Is sufficient soap available for TLS? (Yes/No)]]="yes",WWWW[[#This Row],['#_Constructed/Existing hand washing stations at TLS]],0)</f>
        <v>0</v>
      </c>
      <c r="DT318" s="479">
        <f>IF(WWWW[[#This Row],['# Functional hand washing stations during reporting period]]*100&gt;WWWW[[#This Row],[Total PoP ]],WWWW[[#This Row],[Total PoP ]],WWWW[[#This Row],['# Functional hand washing stations during reporting period]]*100)</f>
        <v>0</v>
      </c>
      <c r="DU318" s="479" t="str">
        <f>IF(OR(WWWW[[#This Row],['#_students at TLS_CFS]]="",WWWW[[#This Row],['#_students at TLS_CFS]]=0),"No","Yes")</f>
        <v>No</v>
      </c>
      <c r="DV31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8" s="794" t="str">
        <f>VLOOKUP(WWWW[[#This Row],[Site Name]],SiteDB6[[Site Name]:[CCCM Management]],6,FALSE)</f>
        <v>Yes</v>
      </c>
      <c r="DZ318" s="794" t="str">
        <f>VLOOKUP(WWWW[[#This Row],[Site Name]],SiteDB6[[Site Name]:[CCCM Focal Agency]],7,FALSE)</f>
        <v>KBC-NSS</v>
      </c>
      <c r="EA318" s="794" t="str">
        <f>VLOOKUP(WWWW[[#This Row],[Site Name]],SiteDB6[[Site Name]:[Location Type 1]],9,FALSE)</f>
        <v>Camp</v>
      </c>
      <c r="EB318" s="794" t="str">
        <f>VLOOKUP(WWWW[[#This Row],[Site Name]],SiteDB6[[Site Name]:[Type of Accommodation]],10,FALSE)</f>
        <v>Camp</v>
      </c>
      <c r="EC318" s="794" t="str">
        <f>VLOOKUP(WWWW[[#This Row],[Site Name]],SiteDB6[[Site Name]:[Ethnic or GCA/NGCA]],11,FALSE)</f>
        <v>GCA</v>
      </c>
      <c r="ED318" s="794">
        <f>VLOOKUP(WWWW[[#This Row],[Site Name]],SiteDB6[[Site Name]:[Lat]],12,FALSE)</f>
        <v>23.838190000000001</v>
      </c>
      <c r="EE318" s="794">
        <f>VLOOKUP(WWWW[[#This Row],[Site Name]],SiteDB6[[Site Name]:[Long]],13,FALSE)</f>
        <v>97.709879999999998</v>
      </c>
      <c r="EF318" s="794" t="str">
        <f>VLOOKUP(WWWW[[#This Row],[Site Name]],SiteDB6[[Site Name]:[Pcode]],3,FALSE)</f>
        <v>MMR015CMP215</v>
      </c>
      <c r="EG318" s="799" t="str">
        <f t="shared" si="7"/>
        <v>Covered</v>
      </c>
      <c r="EH318" s="799" t="e">
        <f>VLOOKUP(WWWW[[#This Row],[Site Name]],Site_DB!$C$389:$D$1120,2,FALSE)</f>
        <v>#N/A</v>
      </c>
    </row>
    <row r="319" spans="1:138" hidden="1">
      <c r="A319" s="792" t="s">
        <v>3262</v>
      </c>
      <c r="B319" s="792" t="s">
        <v>195</v>
      </c>
      <c r="C319" s="793" t="s">
        <v>195</v>
      </c>
      <c r="D319" s="404" t="s">
        <v>3364</v>
      </c>
      <c r="E319" s="793" t="s">
        <v>711</v>
      </c>
      <c r="F319" s="793" t="s">
        <v>715</v>
      </c>
      <c r="G319" s="721" t="str">
        <f>VLOOKUP(WWWW[[#This Row],[Site Name]],SiteDB6[[Site Name]:[Location Type]],8,FALSE)</f>
        <v>Camp</v>
      </c>
      <c r="H319" s="404" t="s">
        <v>738</v>
      </c>
      <c r="I319" s="795">
        <v>103</v>
      </c>
      <c r="J319" s="795">
        <v>632</v>
      </c>
      <c r="K319" s="407" t="s">
        <v>3607</v>
      </c>
      <c r="L319" s="56" t="s">
        <v>3608</v>
      </c>
      <c r="M319" s="795"/>
      <c r="N319" s="795">
        <v>1</v>
      </c>
      <c r="O319" s="795"/>
      <c r="P319" s="795"/>
      <c r="Q319" s="798" t="s">
        <v>43</v>
      </c>
      <c r="R319" s="795">
        <v>4</v>
      </c>
      <c r="S319" s="795">
        <v>5</v>
      </c>
      <c r="T319" s="523"/>
      <c r="U319" s="795"/>
      <c r="V319" s="795"/>
      <c r="W319" s="720"/>
      <c r="X319" s="720"/>
      <c r="Y319" s="795"/>
      <c r="Z319" s="795"/>
      <c r="AA319" s="720">
        <v>20</v>
      </c>
      <c r="AB319" s="795"/>
      <c r="AC319" s="795"/>
      <c r="AD319" s="795"/>
      <c r="AE319" s="795"/>
      <c r="AF319" s="795"/>
      <c r="AG319" s="720"/>
      <c r="AH319" s="720"/>
      <c r="AI319" s="795"/>
      <c r="AJ319" s="795"/>
      <c r="AK319" s="795"/>
      <c r="AL319" s="795"/>
      <c r="AM319" s="720">
        <v>1</v>
      </c>
      <c r="AN319" s="720"/>
      <c r="AO319" s="719"/>
      <c r="AP319" s="720">
        <v>105</v>
      </c>
      <c r="AQ319" s="720"/>
      <c r="AR319" s="800"/>
      <c r="AS319" s="795"/>
      <c r="AT319" s="795"/>
      <c r="AU319" s="795"/>
      <c r="AV319" s="795"/>
      <c r="AW319" s="795"/>
      <c r="AX319" s="794" t="s">
        <v>43</v>
      </c>
      <c r="AY319" s="799" t="s">
        <v>140</v>
      </c>
      <c r="AZ319" s="795"/>
      <c r="BA319" s="795"/>
      <c r="BB319" s="720"/>
      <c r="BC319" s="720"/>
      <c r="BD319" s="523"/>
      <c r="BE319" s="794"/>
      <c r="BF319" s="720">
        <v>2</v>
      </c>
      <c r="BG319" s="720"/>
      <c r="BH319" s="720"/>
      <c r="BI319" s="720"/>
      <c r="BJ319" s="720"/>
      <c r="BK319" s="720"/>
      <c r="BL319" s="720">
        <v>1</v>
      </c>
      <c r="BM319" s="720">
        <v>108</v>
      </c>
      <c r="BN319" s="720"/>
      <c r="BO319" s="794" t="s">
        <v>139</v>
      </c>
      <c r="BP319" s="801"/>
      <c r="BQ319" s="800"/>
      <c r="BR319" s="794"/>
      <c r="BS319" s="472"/>
      <c r="BT319" s="472"/>
      <c r="BU319" s="523"/>
      <c r="BV319" s="472"/>
      <c r="BW319" s="523"/>
      <c r="BX319" s="523"/>
      <c r="BY319" s="523"/>
      <c r="BZ319" s="802" t="str">
        <f>IFERROR(WWWW[[#This Row],['#_Water sources passed]]/WWWW[[#This Row],['#_Water sources tested for fecal coliform ]],"no test")</f>
        <v>no test</v>
      </c>
      <c r="CA319" s="800" t="str">
        <f>IFERROR(WWWW[[#This Row],['#_Household passed]]/WWWW[[#This Row],['#_Household water samples tested for fecal coliform]],"no test")</f>
        <v>no test</v>
      </c>
      <c r="CB319" s="801" t="str">
        <f>IF(AND(WWWW[[#This Row],[% of water sources passed]]="no test",WWWW[[#This Row],[% Household passed]]="no test"),"No Test","Tested")</f>
        <v>No Test</v>
      </c>
      <c r="CC319" s="801">
        <f>WWWW[[#This Row],['#_Constructed/existing protected hand dug well]]-WWWW[[#This Row],['#_Non-functional protected hand dug well]]</f>
        <v>0</v>
      </c>
      <c r="CD319" s="801">
        <f>(WWWW[[#This Row],['#_Constructed/Existing tube wells/boreholes/handpumps_WASH_agency]]+WWWW[[#This Row],['#_Non-Cluster partner water tube-wells/boreholes/handpumps]])-WWWW[[#This Row],['#_Non-functional tube wells/boreholes/handpumps]]</f>
        <v>0</v>
      </c>
      <c r="CE319" s="801">
        <f>WWWW[[#This Row],['#_Constructed/Existingwater storage tank with gravity fed reticulation system]]-WWWW[[#This Row],['#_Non-functional storage tank gravity fed reticulation system]]</f>
        <v>20</v>
      </c>
      <c r="CF319" s="801">
        <f>(WWWW[[#This Row],['#_Water_Liters_supplied_by_Water boating or water trucking]]/90)/15</f>
        <v>0</v>
      </c>
      <c r="CG319" s="801">
        <f>WWWW[[#This Row],['#_Water_Liters_from_Constructed/Existing water distribution system from river or natural spring]]/90/15</f>
        <v>0</v>
      </c>
      <c r="CH319" s="473">
        <f>WWWW[[#This Row],['#_of water points in TLS/CFS /THF]]*500</f>
        <v>0</v>
      </c>
      <c r="CI31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1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19" s="800">
        <f>IF(WWWW[[#This Row],[Location Type 1]]="Village",WWWW[[#This Row],[Access to safe drinking water for Village]],WWWW[[#This Row],[Access to safe drinking water for Camp]])</f>
        <v>1</v>
      </c>
      <c r="CL319" s="798">
        <f>WWWW[[#This Row],[%Equitable and continuous access to sufficient quantity of safe drinking water]]*WWWW[[#This Row],[Total PoP ]]</f>
        <v>632</v>
      </c>
      <c r="CM319" s="800">
        <f>IF((WWWW[[#This Row],['#_Constructed/Existing protected/fenced ponds]]*250)/WWWW[[#This Row],[Total PoP ]]&gt;1,1,(WWWW[[#This Row],['#_Constructed/Existing protected/fenced ponds]]*250)/WWWW[[#This Row],[Total PoP ]])</f>
        <v>0</v>
      </c>
      <c r="CN319" s="798">
        <f>WWWW[[#This Row],[% Access to unimproved water points]]*WWWW[[#This Row],[Total PoP ]]</f>
        <v>0</v>
      </c>
      <c r="CO31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1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Q319" s="798">
        <f>WWWW[[#This Row],[HRP1]]/500</f>
        <v>1.264</v>
      </c>
      <c r="CR319" s="803">
        <f>1-WWWW[[#This Row],[% Equitable and continuous access to sufficient quantity of domestic water]]</f>
        <v>0</v>
      </c>
      <c r="CS319" s="798">
        <f>WWWW[[#This Row],[%equitable and continuous access to sufficient quantity of safe drinking and domestic water''s GAP]]*WWWW[[#This Row],[Total PoP ]]</f>
        <v>0</v>
      </c>
      <c r="CT319" s="801">
        <f>IF(WWWW[[#This Row],[Total required water points]]-WWWW[[#This Row],['#Water points coverage]]&lt;0,0,WWWW[[#This Row],[Total required water points]]-WWWW[[#This Row],['#Water points coverage]])</f>
        <v>0</v>
      </c>
      <c r="CU319" s="801">
        <f>ROUND(IF(WWWW[[#This Row],[Total PoP ]]&lt;500,1,WWWW[[#This Row],[Total PoP ]]/500),0)</f>
        <v>1</v>
      </c>
      <c r="CV319" s="801">
        <f>(WWWW[[#This Row],['#_Constructed latrines_by_WASHAgencies]]+WWWW[[#This Row],['#_Non Cluster partner latrines]])-WWWW[[#This Row],['#_Non-functional latrines]]</f>
        <v>105</v>
      </c>
      <c r="CW319" s="804">
        <f>WWWW[[#This Row],[HRP2]]/WWWW[[#This Row],[Total PoP ]]</f>
        <v>0.83069620253164556</v>
      </c>
      <c r="CX31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CY31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1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19" s="473">
        <f>IF(WWWW[[#This Row],['# of functional latrines in THF supported by WASH partners during the reporting period2]]="",0,WWWW[[#This Row],['# of functional latrines in THF supported by WASH partners during the reporting period2]]*50)</f>
        <v>0</v>
      </c>
      <c r="DB319" s="473">
        <f>WWWW[[#This Row],['# students access to functioning school latrines_HRP5]]+WWWW[[#This Row],['# People access to functioning latrines in THF_HRP5]]</f>
        <v>0</v>
      </c>
      <c r="DC319" s="801">
        <f>ROUND(IF(WWWW[[#This Row],[Location Type 1]]="camp",WWWW[[#This Row],[Total PoP ]]/20,IF(WWWW[[#This Row],[Location Type 1]]="Temporary Location",WWWW[[#This Row],[Total PoP ]]/50,(WWWW[[#This Row],[Total PoP ]]/6))),0)</f>
        <v>105</v>
      </c>
      <c r="DD319" s="801">
        <f>IF(WWWW[[#This Row],[Total required Latrines]]-(WWWW[[#This Row],['#_Constructed latrines_by_WASHAgencies]]+WWWW[[#This Row],['#_Non Cluster partner latrines]])&lt;0,0,WWWW[[#This Row],[Total required Latrines]]-(WWWW[[#This Row],['#_Constructed latrines_by_WASHAgencies]]+WWWW[[#This Row],['#_Non Cluster partner latrines]]))</f>
        <v>0</v>
      </c>
      <c r="DE319" s="803">
        <f>1-WWWW[[#This Row],[% people access to functioning Latrine]]</f>
        <v>0.16930379746835444</v>
      </c>
      <c r="DF319" s="802">
        <f>IF(OR(WWWW[[#This Row],['#_Non-functional latrines]]="",WWWW[[#This Row],['#_Non-functional latrines]]=0),0,WWWW[[#This Row],['#_Non-functional latrines]]/(WWWW[[#This Row],['#_Constructed latrines_by_WASHAgencies]]+WWWW[[#This Row],['#_Non Cluster partner latrines]]))</f>
        <v>0</v>
      </c>
      <c r="DG319" s="798">
        <f>IF(500*(WWWW[[#This Row],['#_male hygiene promoters]]+WWWW[[#This Row],['#_female hygiene promoters]])&gt;WWWW[[#This Row],[Total PoP ]],WWWW[[#This Row],[Total PoP ]],500*(WWWW[[#This Row],['#_male hygiene promoters]]+WWWW[[#This Row],['#_female hygiene promoters]]))</f>
        <v>500</v>
      </c>
      <c r="DH31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540</v>
      </c>
      <c r="DI31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19" s="801">
        <f>IF(WWWW[[#This Row],['# People with access to soap]]&gt;WWWW[[#This Row],['# People with access to Sanity Pads]],WWWW[[#This Row],['# People with access to soap]],WWWW[[#This Row],['# People with access to Sanity Pads]])</f>
        <v>540</v>
      </c>
      <c r="DK319" s="801">
        <f>IF(WWWW[[#This Row],['# people reached by regular dedicated hygiene promotion_5]]&gt;WWWW[[#This Row],['# People received regular supply of hygiene items_6]],WWWW[[#This Row],['# people reached by regular dedicated hygiene promotion_5]],WWWW[[#This Row],['# People received regular supply of hygiene items_6]])</f>
        <v>540</v>
      </c>
      <c r="DL319" s="803">
        <f>IF(WWWW[[#This Row],[HRP3]]/WWWW[[#This Row],[Total PoP ]]&gt;1,1,WWWW[[#This Row],[HRP3]]/WWWW[[#This Row],[Total PoP ]])</f>
        <v>0.85443037974683544</v>
      </c>
      <c r="DM319" s="802">
        <f>1-WWWW[[#This Row],[Hygiene Coverage%]]</f>
        <v>0.14556962025316456</v>
      </c>
      <c r="DN319" s="800">
        <f>WWWW[[#This Row],['# people reached by regular dedicated hygiene promotion_5]]/WWWW[[#This Row],[Total PoP ]]</f>
        <v>0.79113924050632911</v>
      </c>
      <c r="DO31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1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19" s="801">
        <f>WWWW[[#This Row],['#_Constructed/Existing hand washing stations]]-WWWW[[#This Row],['#_Non-Functional_hand_washing_stations]]</f>
        <v>2</v>
      </c>
      <c r="DR319" s="798">
        <f>IF(WWWW[[#This Row],['# Functional hand washing stations during reporting period]]*20&gt;WWWW[[#This Row],[Total HH]],WWWW[[#This Row],[Total HH]],WWWW[[#This Row],['# Functional hand washing stations during reporting period]]*20)</f>
        <v>40</v>
      </c>
      <c r="DS319" s="798">
        <f>IF(WWWW[[#This Row],[Is sufficient soap available for TLS? (Yes/No)]]="yes",WWWW[[#This Row],['#_Constructed/Existing hand washing stations at TLS]],0)</f>
        <v>0</v>
      </c>
      <c r="DT319" s="479">
        <f>IF(WWWW[[#This Row],['# Functional hand washing stations during reporting period]]*100&gt;WWWW[[#This Row],[Total PoP ]],WWWW[[#This Row],[Total PoP ]],WWWW[[#This Row],['# Functional hand washing stations during reporting period]]*100)</f>
        <v>200</v>
      </c>
      <c r="DU319" s="479" t="str">
        <f>IF(OR(WWWW[[#This Row],['#_students at TLS_CFS]]="",WWWW[[#This Row],['#_students at TLS_CFS]]=0),"No","Yes")</f>
        <v>No</v>
      </c>
      <c r="DV31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19" s="794" t="str">
        <f>VLOOKUP(WWWW[[#This Row],[Site Name]],SiteDB6[[Site Name]:[CCCM Management]],6,FALSE)</f>
        <v>Yes</v>
      </c>
      <c r="DZ319" s="794" t="str">
        <f>VLOOKUP(WWWW[[#This Row],[Site Name]],SiteDB6[[Site Name]:[CCCM Focal Agency]],7,FALSE)</f>
        <v>KMSS-LSO</v>
      </c>
      <c r="EA319" s="794" t="str">
        <f>VLOOKUP(WWWW[[#This Row],[Site Name]],SiteDB6[[Site Name]:[Location Type 1]],9,FALSE)</f>
        <v>Village Type Camp</v>
      </c>
      <c r="EB319" s="794" t="str">
        <f>VLOOKUP(WWWW[[#This Row],[Site Name]],SiteDB6[[Site Name]:[Type of Accommodation]],10,FALSE)</f>
        <v>Camp</v>
      </c>
      <c r="EC319" s="794" t="str">
        <f>VLOOKUP(WWWW[[#This Row],[Site Name]],SiteDB6[[Site Name]:[Ethnic or GCA/NGCA]],11,FALSE)</f>
        <v>GCA</v>
      </c>
      <c r="ED319" s="794">
        <f>VLOOKUP(WWWW[[#This Row],[Site Name]],SiteDB6[[Site Name]:[Lat]],12,FALSE)</f>
        <v>23.447111</v>
      </c>
      <c r="EE319" s="794">
        <f>VLOOKUP(WWWW[[#This Row],[Site Name]],SiteDB6[[Site Name]:[Long]],13,FALSE)</f>
        <v>97.868876999999998</v>
      </c>
      <c r="EF319" s="794" t="str">
        <f>VLOOKUP(WWWW[[#This Row],[Site Name]],SiteDB6[[Site Name]:[Pcode]],3,FALSE)</f>
        <v>MMR015CMP219</v>
      </c>
      <c r="EG319" s="799" t="str">
        <f t="shared" si="7"/>
        <v>Covered</v>
      </c>
      <c r="EH319" s="799" t="str">
        <f>VLOOKUP(WWWW[[#This Row],[Site Name]],Site_DB!$C$389:$D$1120,2,FALSE)</f>
        <v>cccm_2019OCT</v>
      </c>
    </row>
    <row r="320" spans="1:138" hidden="1">
      <c r="A320" s="792" t="s">
        <v>3262</v>
      </c>
      <c r="B320" s="792" t="s">
        <v>195</v>
      </c>
      <c r="C320" s="793" t="s">
        <v>195</v>
      </c>
      <c r="D320" s="404" t="s">
        <v>3364</v>
      </c>
      <c r="E320" s="793" t="s">
        <v>711</v>
      </c>
      <c r="F320" s="793" t="s">
        <v>715</v>
      </c>
      <c r="G320" s="721" t="str">
        <f>VLOOKUP(WWWW[[#This Row],[Site Name]],SiteDB6[[Site Name]:[Location Type]],8,FALSE)</f>
        <v>Camp</v>
      </c>
      <c r="H320" s="793" t="s">
        <v>758</v>
      </c>
      <c r="I320" s="795">
        <v>33</v>
      </c>
      <c r="J320" s="795">
        <v>196</v>
      </c>
      <c r="K320" s="407" t="s">
        <v>3607</v>
      </c>
      <c r="L320" s="56" t="s">
        <v>3608</v>
      </c>
      <c r="M320" s="795"/>
      <c r="N320" s="795"/>
      <c r="O320" s="795"/>
      <c r="P320" s="795"/>
      <c r="Q320" s="798"/>
      <c r="R320" s="795">
        <v>5</v>
      </c>
      <c r="S320" s="795">
        <v>4</v>
      </c>
      <c r="T320" s="523"/>
      <c r="U320" s="795"/>
      <c r="V320" s="795"/>
      <c r="W320" s="720"/>
      <c r="X320" s="720"/>
      <c r="Y320" s="795"/>
      <c r="Z320" s="795"/>
      <c r="AA320" s="720">
        <v>16</v>
      </c>
      <c r="AB320" s="795"/>
      <c r="AC320" s="795"/>
      <c r="AD320" s="795"/>
      <c r="AE320" s="795"/>
      <c r="AF320" s="795"/>
      <c r="AG320" s="720">
        <v>3</v>
      </c>
      <c r="AH320" s="720">
        <v>1</v>
      </c>
      <c r="AI320" s="795"/>
      <c r="AJ320" s="795"/>
      <c r="AK320" s="795"/>
      <c r="AL320" s="795"/>
      <c r="AM320" s="720">
        <v>2</v>
      </c>
      <c r="AN320" s="720">
        <v>1</v>
      </c>
      <c r="AO320" s="719"/>
      <c r="AP320" s="720">
        <v>37</v>
      </c>
      <c r="AQ320" s="720"/>
      <c r="AR320" s="800"/>
      <c r="AS320" s="795"/>
      <c r="AT320" s="795"/>
      <c r="AU320" s="795"/>
      <c r="AV320" s="795"/>
      <c r="AW320" s="795">
        <v>3</v>
      </c>
      <c r="AX320" s="794" t="s">
        <v>139</v>
      </c>
      <c r="AY320" s="799" t="s">
        <v>1195</v>
      </c>
      <c r="AZ320" s="795"/>
      <c r="BA320" s="795"/>
      <c r="BB320" s="720">
        <v>2</v>
      </c>
      <c r="BC320" s="720"/>
      <c r="BD320" s="523"/>
      <c r="BE320" s="794"/>
      <c r="BF320" s="720">
        <v>7</v>
      </c>
      <c r="BG320" s="720"/>
      <c r="BH320" s="720"/>
      <c r="BI320" s="720"/>
      <c r="BJ320" s="720"/>
      <c r="BK320" s="720"/>
      <c r="BL320" s="720">
        <v>1</v>
      </c>
      <c r="BM320" s="720">
        <v>37</v>
      </c>
      <c r="BN320" s="720"/>
      <c r="BO320" s="794"/>
      <c r="BP320" s="801"/>
      <c r="BQ320" s="800"/>
      <c r="BR320" s="794"/>
      <c r="BS320" s="472"/>
      <c r="BT320" s="472"/>
      <c r="BU320" s="523"/>
      <c r="BV320" s="472"/>
      <c r="BW320" s="523"/>
      <c r="BX320" s="523"/>
      <c r="BY320" s="523"/>
      <c r="BZ320" s="802" t="str">
        <f>IFERROR(WWWW[[#This Row],['#_Water sources passed]]/WWWW[[#This Row],['#_Water sources tested for fecal coliform ]],"no test")</f>
        <v>no test</v>
      </c>
      <c r="CA320" s="800" t="str">
        <f>IFERROR(WWWW[[#This Row],['#_Household passed]]/WWWW[[#This Row],['#_Household water samples tested for fecal coliform]],"no test")</f>
        <v>no test</v>
      </c>
      <c r="CB320" s="801" t="str">
        <f>IF(AND(WWWW[[#This Row],[% of water sources passed]]="no test",WWWW[[#This Row],[% Household passed]]="no test"),"No Test","Tested")</f>
        <v>No Test</v>
      </c>
      <c r="CC320" s="801">
        <f>WWWW[[#This Row],['#_Constructed/existing protected hand dug well]]-WWWW[[#This Row],['#_Non-functional protected hand dug well]]</f>
        <v>0</v>
      </c>
      <c r="CD320" s="801">
        <f>(WWWW[[#This Row],['#_Constructed/Existing tube wells/boreholes/handpumps_WASH_agency]]+WWWW[[#This Row],['#_Non-Cluster partner water tube-wells/boreholes/handpumps]])-WWWW[[#This Row],['#_Non-functional tube wells/boreholes/handpumps]]</f>
        <v>0</v>
      </c>
      <c r="CE320" s="801">
        <f>WWWW[[#This Row],['#_Constructed/Existingwater storage tank with gravity fed reticulation system]]-WWWW[[#This Row],['#_Non-functional storage tank gravity fed reticulation system]]</f>
        <v>16</v>
      </c>
      <c r="CF320" s="801">
        <f>(WWWW[[#This Row],['#_Water_Liters_supplied_by_Water boating or water trucking]]/90)/15</f>
        <v>0</v>
      </c>
      <c r="CG320" s="801">
        <f>WWWW[[#This Row],['#_Water_Liters_from_Constructed/Existing water distribution system from river or natural spring]]/90/15</f>
        <v>0</v>
      </c>
      <c r="CH320" s="473">
        <f>WWWW[[#This Row],['#_of water points in TLS/CFS /THF]]*500</f>
        <v>500</v>
      </c>
      <c r="CI32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0" s="800">
        <f>IF(WWWW[[#This Row],[Location Type 1]]="Village",WWWW[[#This Row],[Access to safe drinking water for Village]],WWWW[[#This Row],[Access to safe drinking water for Camp]])</f>
        <v>1</v>
      </c>
      <c r="CL320" s="798">
        <f>WWWW[[#This Row],[%Equitable and continuous access to sufficient quantity of safe drinking water]]*WWWW[[#This Row],[Total PoP ]]</f>
        <v>196</v>
      </c>
      <c r="CM320" s="800">
        <f>IF((WWWW[[#This Row],['#_Constructed/Existing protected/fenced ponds]]*250)/WWWW[[#This Row],[Total PoP ]]&gt;1,1,(WWWW[[#This Row],['#_Constructed/Existing protected/fenced ponds]]*250)/WWWW[[#This Row],[Total PoP ]])</f>
        <v>0</v>
      </c>
      <c r="CN320" s="798">
        <f>WWWW[[#This Row],[% Access to unimproved water points]]*WWWW[[#This Row],[Total PoP ]]</f>
        <v>0</v>
      </c>
      <c r="CO32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196</v>
      </c>
      <c r="CQ320" s="798">
        <f>WWWW[[#This Row],[HRP1]]/500</f>
        <v>0.39200000000000002</v>
      </c>
      <c r="CR320" s="803">
        <f>1-WWWW[[#This Row],[% Equitable and continuous access to sufficient quantity of domestic water]]</f>
        <v>0</v>
      </c>
      <c r="CS320" s="798">
        <f>WWWW[[#This Row],[%equitable and continuous access to sufficient quantity of safe drinking and domestic water''s GAP]]*WWWW[[#This Row],[Total PoP ]]</f>
        <v>0</v>
      </c>
      <c r="CT320" s="801">
        <f>IF(WWWW[[#This Row],[Total required water points]]-WWWW[[#This Row],['#Water points coverage]]&lt;0,0,WWWW[[#This Row],[Total required water points]]-WWWW[[#This Row],['#Water points coverage]])</f>
        <v>0.60799999999999998</v>
      </c>
      <c r="CU320" s="801">
        <f>ROUND(IF(WWWW[[#This Row],[Total PoP ]]&lt;500,1,WWWW[[#This Row],[Total PoP ]]/500),0)</f>
        <v>1</v>
      </c>
      <c r="CV320" s="801">
        <f>(WWWW[[#This Row],['#_Constructed latrines_by_WASHAgencies]]+WWWW[[#This Row],['#_Non Cluster partner latrines]])-WWWW[[#This Row],['#_Non-functional latrines]]</f>
        <v>37</v>
      </c>
      <c r="CW320" s="804">
        <f>WWWW[[#This Row],[HRP2]]/WWWW[[#This Row],[Total PoP ]]</f>
        <v>1</v>
      </c>
      <c r="CX32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196</v>
      </c>
      <c r="CY32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0" s="473">
        <f>IF(WWWW[[#This Row],['# of functional latrines in THF supported by WASH partners during the reporting period2]]="",0,WWWW[[#This Row],['# of functional latrines in THF supported by WASH partners during the reporting period2]]*50)</f>
        <v>0</v>
      </c>
      <c r="DB320" s="473">
        <f>WWWW[[#This Row],['# students access to functioning school latrines_HRP5]]+WWWW[[#This Row],['# People access to functioning latrines in THF_HRP5]]</f>
        <v>0</v>
      </c>
      <c r="DC320" s="801">
        <f>ROUND(IF(WWWW[[#This Row],[Location Type 1]]="camp",WWWW[[#This Row],[Total PoP ]]/20,IF(WWWW[[#This Row],[Location Type 1]]="Temporary Location",WWWW[[#This Row],[Total PoP ]]/50,(WWWW[[#This Row],[Total PoP ]]/6))),0)</f>
        <v>10</v>
      </c>
      <c r="DD320" s="801">
        <f>IF(WWWW[[#This Row],[Total required Latrines]]-(WWWW[[#This Row],['#_Constructed latrines_by_WASHAgencies]]+WWWW[[#This Row],['#_Non Cluster partner latrines]])&lt;0,0,WWWW[[#This Row],[Total required Latrines]]-(WWWW[[#This Row],['#_Constructed latrines_by_WASHAgencies]]+WWWW[[#This Row],['#_Non Cluster partner latrines]]))</f>
        <v>0</v>
      </c>
      <c r="DE320" s="803">
        <f>1-WWWW[[#This Row],[% people access to functioning Latrine]]</f>
        <v>0</v>
      </c>
      <c r="DF320" s="802">
        <f>IF(OR(WWWW[[#This Row],['#_Non-functional latrines]]="",WWWW[[#This Row],['#_Non-functional latrines]]=0),0,WWWW[[#This Row],['#_Non-functional latrines]]/(WWWW[[#This Row],['#_Constructed latrines_by_WASHAgencies]]+WWWW[[#This Row],['#_Non Cluster partner latrines]]))</f>
        <v>0</v>
      </c>
      <c r="DG320" s="798">
        <f>IF(500*(WWWW[[#This Row],['#_male hygiene promoters]]+WWWW[[#This Row],['#_female hygiene promoters]])&gt;WWWW[[#This Row],[Total PoP ]],WWWW[[#This Row],[Total PoP ]],500*(WWWW[[#This Row],['#_male hygiene promoters]]+WWWW[[#This Row],['#_female hygiene promoters]]))</f>
        <v>196</v>
      </c>
      <c r="DH32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I32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0" s="801">
        <f>IF(WWWW[[#This Row],['# People with access to soap]]&gt;WWWW[[#This Row],['# People with access to Sanity Pads]],WWWW[[#This Row],['# People with access to soap]],WWWW[[#This Row],['# People with access to Sanity Pads]])</f>
        <v>185</v>
      </c>
      <c r="DK320" s="801">
        <f>IF(WWWW[[#This Row],['# people reached by regular dedicated hygiene promotion_5]]&gt;WWWW[[#This Row],['# People received regular supply of hygiene items_6]],WWWW[[#This Row],['# people reached by regular dedicated hygiene promotion_5]],WWWW[[#This Row],['# People received regular supply of hygiene items_6]])</f>
        <v>196</v>
      </c>
      <c r="DL320" s="803">
        <f>IF(WWWW[[#This Row],[HRP3]]/WWWW[[#This Row],[Total PoP ]]&gt;1,1,WWWW[[#This Row],[HRP3]]/WWWW[[#This Row],[Total PoP ]])</f>
        <v>1</v>
      </c>
      <c r="DM320" s="802">
        <f>1-WWWW[[#This Row],[Hygiene Coverage%]]</f>
        <v>0</v>
      </c>
      <c r="DN320" s="800">
        <f>WWWW[[#This Row],['# people reached by regular dedicated hygiene promotion_5]]/WWWW[[#This Row],[Total PoP ]]</f>
        <v>1</v>
      </c>
      <c r="DO32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0" s="801">
        <f>WWWW[[#This Row],['#_Constructed/Existing hand washing stations]]-WWWW[[#This Row],['#_Non-Functional_hand_washing_stations]]</f>
        <v>7</v>
      </c>
      <c r="DR320" s="798">
        <f>IF(WWWW[[#This Row],['# Functional hand washing stations during reporting period]]*20&gt;WWWW[[#This Row],[Total HH]],WWWW[[#This Row],[Total HH]],WWWW[[#This Row],['# Functional hand washing stations during reporting period]]*20)</f>
        <v>33</v>
      </c>
      <c r="DS320" s="798">
        <f>IF(WWWW[[#This Row],[Is sufficient soap available for TLS? (Yes/No)]]="yes",WWWW[[#This Row],['#_Constructed/Existing hand washing stations at TLS]],0)</f>
        <v>0</v>
      </c>
      <c r="DT320" s="479">
        <f>IF(WWWW[[#This Row],['# Functional hand washing stations during reporting period]]*100&gt;WWWW[[#This Row],[Total PoP ]],WWWW[[#This Row],[Total PoP ]],WWWW[[#This Row],['# Functional hand washing stations during reporting period]]*100)</f>
        <v>196</v>
      </c>
      <c r="DU320" s="479" t="str">
        <f>IF(OR(WWWW[[#This Row],['#_students at TLS_CFS]]="",WWWW[[#This Row],['#_students at TLS_CFS]]=0),"No","Yes")</f>
        <v>No</v>
      </c>
      <c r="DV32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320" s="794" t="str">
        <f>VLOOKUP(WWWW[[#This Row],[Site Name]],SiteDB6[[Site Name]:[CCCM Management]],6,FALSE)</f>
        <v>Yes</v>
      </c>
      <c r="DZ320" s="794" t="str">
        <f>VLOOKUP(WWWW[[#This Row],[Site Name]],SiteDB6[[Site Name]:[CCCM Focal Agency]],7,FALSE)</f>
        <v>KMSS-LSO</v>
      </c>
      <c r="EA320" s="794" t="str">
        <f>VLOOKUP(WWWW[[#This Row],[Site Name]],SiteDB6[[Site Name]:[Location Type 1]],9,FALSE)</f>
        <v>Camp</v>
      </c>
      <c r="EB320" s="794" t="str">
        <f>VLOOKUP(WWWW[[#This Row],[Site Name]],SiteDB6[[Site Name]:[Type of Accommodation]],10,FALSE)</f>
        <v>Camp</v>
      </c>
      <c r="EC320" s="794" t="str">
        <f>VLOOKUP(WWWW[[#This Row],[Site Name]],SiteDB6[[Site Name]:[Ethnic or GCA/NGCA]],11,FALSE)</f>
        <v>GCA</v>
      </c>
      <c r="ED320" s="794">
        <f>VLOOKUP(WWWW[[#This Row],[Site Name]],SiteDB6[[Site Name]:[Lat]],12,FALSE)</f>
        <v>0</v>
      </c>
      <c r="EE320" s="794">
        <f>VLOOKUP(WWWW[[#This Row],[Site Name]],SiteDB6[[Site Name]:[Long]],13,FALSE)</f>
        <v>0</v>
      </c>
      <c r="EF320" s="794" t="str">
        <f>VLOOKUP(WWWW[[#This Row],[Site Name]],SiteDB6[[Site Name]:[Pcode]],3,FALSE)</f>
        <v>MMR015CMP249</v>
      </c>
      <c r="EG320" s="799" t="str">
        <f t="shared" si="7"/>
        <v>Covered</v>
      </c>
      <c r="EH320" s="799" t="str">
        <f>VLOOKUP(WWWW[[#This Row],[Site Name]],Site_DB!$C$389:$D$1120,2,FALSE)</f>
        <v>cccm_2019OCT</v>
      </c>
    </row>
    <row r="321" spans="1:138" hidden="1">
      <c r="A321" s="792" t="s">
        <v>3262</v>
      </c>
      <c r="B321" s="792" t="s">
        <v>195</v>
      </c>
      <c r="C321" s="793" t="s">
        <v>195</v>
      </c>
      <c r="D321" s="793" t="s">
        <v>3364</v>
      </c>
      <c r="E321" s="793" t="s">
        <v>711</v>
      </c>
      <c r="F321" s="793" t="s">
        <v>732</v>
      </c>
      <c r="G321" s="721" t="str">
        <f>VLOOKUP(WWWW[[#This Row],[Site Name]],SiteDB6[[Site Name]:[Location Type]],8,FALSE)</f>
        <v>Camp</v>
      </c>
      <c r="H321" s="793" t="s">
        <v>733</v>
      </c>
      <c r="I321" s="795">
        <v>6</v>
      </c>
      <c r="J321" s="795">
        <v>27</v>
      </c>
      <c r="K321" s="407" t="s">
        <v>3607</v>
      </c>
      <c r="L321" s="56" t="s">
        <v>3608</v>
      </c>
      <c r="M321" s="795"/>
      <c r="N321" s="795"/>
      <c r="O321" s="795"/>
      <c r="P321" s="795"/>
      <c r="Q321" s="798"/>
      <c r="R321" s="795"/>
      <c r="S321" s="795"/>
      <c r="T321" s="523"/>
      <c r="U321" s="795"/>
      <c r="V321" s="795"/>
      <c r="W321" s="795"/>
      <c r="X321" s="795"/>
      <c r="Y321" s="795"/>
      <c r="Z321" s="795"/>
      <c r="AA321" s="795"/>
      <c r="AB321" s="795"/>
      <c r="AC321" s="795"/>
      <c r="AD321" s="795"/>
      <c r="AE321" s="795"/>
      <c r="AF321" s="795"/>
      <c r="AG321" s="795"/>
      <c r="AH321" s="795"/>
      <c r="AI321" s="795"/>
      <c r="AJ321" s="795"/>
      <c r="AK321" s="795"/>
      <c r="AL321" s="795"/>
      <c r="AM321" s="795"/>
      <c r="AN321" s="795"/>
      <c r="AO321" s="799"/>
      <c r="AP321" s="795">
        <v>6</v>
      </c>
      <c r="AQ321" s="795"/>
      <c r="AR321" s="800"/>
      <c r="AS321" s="795"/>
      <c r="AT321" s="795"/>
      <c r="AU321" s="795"/>
      <c r="AV321" s="795"/>
      <c r="AW321" s="795"/>
      <c r="AX321" s="794" t="s">
        <v>139</v>
      </c>
      <c r="AY321" s="799" t="s">
        <v>1195</v>
      </c>
      <c r="AZ321" s="795"/>
      <c r="BA321" s="795"/>
      <c r="BB321" s="795"/>
      <c r="BC321" s="523"/>
      <c r="BD321" s="523"/>
      <c r="BE321" s="794"/>
      <c r="BF321" s="795"/>
      <c r="BG321" s="795"/>
      <c r="BH321" s="795"/>
      <c r="BI321" s="795"/>
      <c r="BJ321" s="795"/>
      <c r="BK321" s="795"/>
      <c r="BL321" s="795"/>
      <c r="BM321" s="720">
        <v>4</v>
      </c>
      <c r="BN321" s="795"/>
      <c r="BO321" s="806" t="s">
        <v>139</v>
      </c>
      <c r="BP321" s="801"/>
      <c r="BQ321" s="800"/>
      <c r="BR321" s="794"/>
      <c r="BS321" s="472"/>
      <c r="BT321" s="472"/>
      <c r="BU321" s="523"/>
      <c r="BV321" s="472"/>
      <c r="BW321" s="523"/>
      <c r="BX321" s="523"/>
      <c r="BY321" s="523"/>
      <c r="BZ321" s="802" t="str">
        <f>IFERROR(WWWW[[#This Row],['#_Water sources passed]]/WWWW[[#This Row],['#_Water sources tested for fecal coliform ]],"no test")</f>
        <v>no test</v>
      </c>
      <c r="CA321" s="800" t="str">
        <f>IFERROR(WWWW[[#This Row],['#_Household passed]]/WWWW[[#This Row],['#_Household water samples tested for fecal coliform]],"no test")</f>
        <v>no test</v>
      </c>
      <c r="CB321" s="801" t="str">
        <f>IF(AND(WWWW[[#This Row],[% of water sources passed]]="no test",WWWW[[#This Row],[% Household passed]]="no test"),"No Test","Tested")</f>
        <v>No Test</v>
      </c>
      <c r="CC321" s="801">
        <f>WWWW[[#This Row],['#_Constructed/existing protected hand dug well]]-WWWW[[#This Row],['#_Non-functional protected hand dug well]]</f>
        <v>0</v>
      </c>
      <c r="CD321" s="801">
        <f>(WWWW[[#This Row],['#_Constructed/Existing tube wells/boreholes/handpumps_WASH_agency]]+WWWW[[#This Row],['#_Non-Cluster partner water tube-wells/boreholes/handpumps]])-WWWW[[#This Row],['#_Non-functional tube wells/boreholes/handpumps]]</f>
        <v>0</v>
      </c>
      <c r="CE321" s="801">
        <f>WWWW[[#This Row],['#_Constructed/Existingwater storage tank with gravity fed reticulation system]]-WWWW[[#This Row],['#_Non-functional storage tank gravity fed reticulation system]]</f>
        <v>0</v>
      </c>
      <c r="CF321" s="801">
        <f>(WWWW[[#This Row],['#_Water_Liters_supplied_by_Water boating or water trucking]]/90)/15</f>
        <v>0</v>
      </c>
      <c r="CG321" s="801">
        <f>WWWW[[#This Row],['#_Water_Liters_from_Constructed/Existing water distribution system from river or natural spring]]/90/15</f>
        <v>0</v>
      </c>
      <c r="CH321" s="473">
        <f>WWWW[[#This Row],['#_of water points in TLS/CFS /THF]]*500</f>
        <v>0</v>
      </c>
      <c r="CI32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2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21" s="800">
        <f>IF(WWWW[[#This Row],[Location Type 1]]="Village",WWWW[[#This Row],[Access to safe drinking water for Village]],WWWW[[#This Row],[Access to safe drinking water for Camp]])</f>
        <v>0</v>
      </c>
      <c r="CL321" s="798">
        <f>WWWW[[#This Row],[%Equitable and continuous access to sufficient quantity of safe drinking water]]*WWWW[[#This Row],[Total PoP ]]</f>
        <v>0</v>
      </c>
      <c r="CM321" s="800">
        <f>IF((WWWW[[#This Row],['#_Constructed/Existing protected/fenced ponds]]*250)/WWWW[[#This Row],[Total PoP ]]&gt;1,1,(WWWW[[#This Row],['#_Constructed/Existing protected/fenced ponds]]*250)/WWWW[[#This Row],[Total PoP ]])</f>
        <v>0</v>
      </c>
      <c r="CN321" s="798">
        <f>WWWW[[#This Row],[% Access to unimproved water points]]*WWWW[[#This Row],[Total PoP ]]</f>
        <v>0</v>
      </c>
      <c r="CO32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2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21" s="798">
        <f>WWWW[[#This Row],[HRP1]]/500</f>
        <v>0</v>
      </c>
      <c r="CR321" s="803">
        <f>1-WWWW[[#This Row],[% Equitable and continuous access to sufficient quantity of domestic water]]</f>
        <v>1</v>
      </c>
      <c r="CS321" s="798">
        <f>WWWW[[#This Row],[%equitable and continuous access to sufficient quantity of safe drinking and domestic water''s GAP]]*WWWW[[#This Row],[Total PoP ]]</f>
        <v>27</v>
      </c>
      <c r="CT321" s="801">
        <f>IF(WWWW[[#This Row],[Total required water points]]-WWWW[[#This Row],['#Water points coverage]]&lt;0,0,WWWW[[#This Row],[Total required water points]]-WWWW[[#This Row],['#Water points coverage]])</f>
        <v>1</v>
      </c>
      <c r="CU321" s="801">
        <f>ROUND(IF(WWWW[[#This Row],[Total PoP ]]&lt;500,1,WWWW[[#This Row],[Total PoP ]]/500),0)</f>
        <v>1</v>
      </c>
      <c r="CV321" s="801">
        <f>(WWWW[[#This Row],['#_Constructed latrines_by_WASHAgencies]]+WWWW[[#This Row],['#_Non Cluster partner latrines]])-WWWW[[#This Row],['#_Non-functional latrines]]</f>
        <v>6</v>
      </c>
      <c r="CW321" s="804">
        <f>WWWW[[#This Row],[HRP2]]/WWWW[[#This Row],[Total PoP ]]</f>
        <v>1</v>
      </c>
      <c r="CX32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v>
      </c>
      <c r="CY32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1" s="473">
        <f>IF(WWWW[[#This Row],['# of functional latrines in THF supported by WASH partners during the reporting period2]]="",0,WWWW[[#This Row],['# of functional latrines in THF supported by WASH partners during the reporting period2]]*50)</f>
        <v>0</v>
      </c>
      <c r="DB321" s="473">
        <f>WWWW[[#This Row],['# students access to functioning school latrines_HRP5]]+WWWW[[#This Row],['# People access to functioning latrines in THF_HRP5]]</f>
        <v>0</v>
      </c>
      <c r="DC321" s="801">
        <f>ROUND(IF(WWWW[[#This Row],[Location Type 1]]="camp",WWWW[[#This Row],[Total PoP ]]/20,IF(WWWW[[#This Row],[Location Type 1]]="Temporary Location",WWWW[[#This Row],[Total PoP ]]/50,(WWWW[[#This Row],[Total PoP ]]/6))),0)</f>
        <v>1</v>
      </c>
      <c r="DD321" s="801">
        <f>IF(WWWW[[#This Row],[Total required Latrines]]-(WWWW[[#This Row],['#_Constructed latrines_by_WASHAgencies]]+WWWW[[#This Row],['#_Non Cluster partner latrines]])&lt;0,0,WWWW[[#This Row],[Total required Latrines]]-(WWWW[[#This Row],['#_Constructed latrines_by_WASHAgencies]]+WWWW[[#This Row],['#_Non Cluster partner latrines]]))</f>
        <v>0</v>
      </c>
      <c r="DE321" s="803">
        <f>1-WWWW[[#This Row],[% people access to functioning Latrine]]</f>
        <v>0</v>
      </c>
      <c r="DF321" s="802">
        <f>IF(OR(WWWW[[#This Row],['#_Non-functional latrines]]="",WWWW[[#This Row],['#_Non-functional latrines]]=0),0,WWWW[[#This Row],['#_Non-functional latrines]]/(WWWW[[#This Row],['#_Constructed latrines_by_WASHAgencies]]+WWWW[[#This Row],['#_Non Cluster partner latrines]]))</f>
        <v>0</v>
      </c>
      <c r="DG321" s="798">
        <f>IF(500*(WWWW[[#This Row],['#_male hygiene promoters]]+WWWW[[#This Row],['#_female hygiene promoters]])&gt;WWWW[[#This Row],[Total PoP ]],WWWW[[#This Row],[Total PoP ]],500*(WWWW[[#This Row],['#_male hygiene promoters]]+WWWW[[#This Row],['#_female hygiene promoters]]))</f>
        <v>0</v>
      </c>
      <c r="DH32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I32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1" s="801">
        <f>IF(WWWW[[#This Row],['# People with access to soap]]&gt;WWWW[[#This Row],['# People with access to Sanity Pads]],WWWW[[#This Row],['# People with access to soap]],WWWW[[#This Row],['# People with access to Sanity Pads]])</f>
        <v>20</v>
      </c>
      <c r="DK321" s="801">
        <f>IF(WWWW[[#This Row],['# people reached by regular dedicated hygiene promotion_5]]&gt;WWWW[[#This Row],['# People received regular supply of hygiene items_6]],WWWW[[#This Row],['# people reached by regular dedicated hygiene promotion_5]],WWWW[[#This Row],['# People received regular supply of hygiene items_6]])</f>
        <v>20</v>
      </c>
      <c r="DL321" s="803">
        <f>IF(WWWW[[#This Row],[HRP3]]/WWWW[[#This Row],[Total PoP ]]&gt;1,1,WWWW[[#This Row],[HRP3]]/WWWW[[#This Row],[Total PoP ]])</f>
        <v>0.7407407407407407</v>
      </c>
      <c r="DM321" s="802">
        <f>1-WWWW[[#This Row],[Hygiene Coverage%]]</f>
        <v>0.2592592592592593</v>
      </c>
      <c r="DN321" s="800">
        <f>WWWW[[#This Row],['# people reached by regular dedicated hygiene promotion_5]]/WWWW[[#This Row],[Total PoP ]]</f>
        <v>0</v>
      </c>
      <c r="DO32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1" s="801">
        <f>WWWW[[#This Row],['#_Constructed/Existing hand washing stations]]-WWWW[[#This Row],['#_Non-Functional_hand_washing_stations]]</f>
        <v>0</v>
      </c>
      <c r="DR321" s="798">
        <f>IF(WWWW[[#This Row],['# Functional hand washing stations during reporting period]]*20&gt;WWWW[[#This Row],[Total HH]],WWWW[[#This Row],[Total HH]],WWWW[[#This Row],['# Functional hand washing stations during reporting period]]*20)</f>
        <v>0</v>
      </c>
      <c r="DS321" s="798">
        <f>IF(WWWW[[#This Row],[Is sufficient soap available for TLS? (Yes/No)]]="yes",WWWW[[#This Row],['#_Constructed/Existing hand washing stations at TLS]],0)</f>
        <v>0</v>
      </c>
      <c r="DT321" s="479">
        <f>IF(WWWW[[#This Row],['# Functional hand washing stations during reporting period]]*100&gt;WWWW[[#This Row],[Total PoP ]],WWWW[[#This Row],[Total PoP ]],WWWW[[#This Row],['# Functional hand washing stations during reporting period]]*100)</f>
        <v>0</v>
      </c>
      <c r="DU321" s="479" t="str">
        <f>IF(OR(WWWW[[#This Row],['#_students at TLS_CFS]]="",WWWW[[#This Row],['#_students at TLS_CFS]]=0),"No","Yes")</f>
        <v>No</v>
      </c>
      <c r="DV32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1" s="794">
        <f>VLOOKUP(WWWW[[#This Row],[Site Name]],SiteDB6[[Site Name]:[CCCM Management]],6,FALSE)</f>
        <v>0</v>
      </c>
      <c r="DZ321" s="794" t="str">
        <f>VLOOKUP(WWWW[[#This Row],[Site Name]],SiteDB6[[Site Name]:[CCCM Focal Agency]],7,FALSE)</f>
        <v>uncovered</v>
      </c>
      <c r="EA321" s="794" t="str">
        <f>VLOOKUP(WWWW[[#This Row],[Site Name]],SiteDB6[[Site Name]:[Location Type 1]],9,FALSE)</f>
        <v>Camp</v>
      </c>
      <c r="EB321" s="794" t="str">
        <f>VLOOKUP(WWWW[[#This Row],[Site Name]],SiteDB6[[Site Name]:[Type of Accommodation]],10,FALSE)</f>
        <v>Camp like setting</v>
      </c>
      <c r="EC321" s="794" t="str">
        <f>VLOOKUP(WWWW[[#This Row],[Site Name]],SiteDB6[[Site Name]:[Ethnic or GCA/NGCA]],11,FALSE)</f>
        <v>GCA</v>
      </c>
      <c r="ED321" s="794">
        <f>VLOOKUP(WWWW[[#This Row],[Site Name]],SiteDB6[[Site Name]:[Lat]],12,FALSE)</f>
        <v>22.765999999999998</v>
      </c>
      <c r="EE321" s="794">
        <f>VLOOKUP(WWWW[[#This Row],[Site Name]],SiteDB6[[Site Name]:[Long]],13,FALSE)</f>
        <v>97.358999999999995</v>
      </c>
      <c r="EF321" s="794" t="str">
        <f>VLOOKUP(WWWW[[#This Row],[Site Name]],SiteDB6[[Site Name]:[Pcode]],3,FALSE)</f>
        <v>MMR015CMP221</v>
      </c>
      <c r="EG321" s="799" t="str">
        <f t="shared" si="7"/>
        <v>Covered</v>
      </c>
      <c r="EH321" s="799" t="e">
        <f>VLOOKUP(WWWW[[#This Row],[Site Name]],Site_DB!$C$389:$D$1120,2,FALSE)</f>
        <v>#N/A</v>
      </c>
    </row>
    <row r="322" spans="1:138" ht="52" hidden="1">
      <c r="A322" s="792" t="s">
        <v>3262</v>
      </c>
      <c r="B322" s="793" t="s">
        <v>3376</v>
      </c>
      <c r="C322" s="793" t="s">
        <v>3376</v>
      </c>
      <c r="D322" s="404" t="s">
        <v>3377</v>
      </c>
      <c r="E322" s="793" t="s">
        <v>39</v>
      </c>
      <c r="F322" s="793" t="s">
        <v>217</v>
      </c>
      <c r="G322" s="721" t="str">
        <f>VLOOKUP(WWWW[[#This Row],[Site Name]],SiteDB6[[Site Name]:[Location Type]],8,FALSE)</f>
        <v>Camp</v>
      </c>
      <c r="H322" s="793" t="s">
        <v>218</v>
      </c>
      <c r="I322" s="720">
        <v>51</v>
      </c>
      <c r="J322" s="720">
        <v>298</v>
      </c>
      <c r="K322" s="407" t="s">
        <v>3606</v>
      </c>
      <c r="L322" s="56" t="s">
        <v>3605</v>
      </c>
      <c r="M322" s="720">
        <v>128</v>
      </c>
      <c r="N322" s="795"/>
      <c r="O322" s="795">
        <v>7</v>
      </c>
      <c r="P322" s="795"/>
      <c r="Q322" s="798" t="s">
        <v>43</v>
      </c>
      <c r="R322" s="795">
        <v>2</v>
      </c>
      <c r="S322" s="795">
        <v>4</v>
      </c>
      <c r="T322" s="523"/>
      <c r="U322" s="795"/>
      <c r="V322" s="795"/>
      <c r="W322" s="795"/>
      <c r="X322" s="795">
        <v>2</v>
      </c>
      <c r="Y322" s="795"/>
      <c r="Z322" s="795"/>
      <c r="AA322" s="795"/>
      <c r="AB322" s="795"/>
      <c r="AC322" s="795"/>
      <c r="AD322" s="795"/>
      <c r="AE322" s="795"/>
      <c r="AF322" s="795"/>
      <c r="AG322" s="795"/>
      <c r="AH322" s="795"/>
      <c r="AI322" s="720">
        <v>1</v>
      </c>
      <c r="AJ322" s="720"/>
      <c r="AK322" s="720">
        <v>11</v>
      </c>
      <c r="AL322" s="720">
        <v>10</v>
      </c>
      <c r="AM322" s="795">
        <v>5</v>
      </c>
      <c r="AN322" s="795"/>
      <c r="AO322" s="835" t="s">
        <v>3380</v>
      </c>
      <c r="AP322" s="795">
        <v>13</v>
      </c>
      <c r="AQ322" s="795"/>
      <c r="AR322" s="800"/>
      <c r="AS322" s="795"/>
      <c r="AT322" s="795"/>
      <c r="AU322" s="795"/>
      <c r="AV322" s="795"/>
      <c r="AW322" s="795"/>
      <c r="AX322" s="794" t="s">
        <v>43</v>
      </c>
      <c r="AY322" s="799" t="s">
        <v>140</v>
      </c>
      <c r="AZ322" s="795"/>
      <c r="BA322" s="795"/>
      <c r="BB322" s="795">
        <v>4</v>
      </c>
      <c r="BC322" s="523"/>
      <c r="BD322" s="523"/>
      <c r="BE322" s="794"/>
      <c r="BF322" s="795">
        <v>6</v>
      </c>
      <c r="BG322" s="795"/>
      <c r="BH322" s="795"/>
      <c r="BI322" s="795">
        <v>4</v>
      </c>
      <c r="BJ322" s="795"/>
      <c r="BK322" s="795"/>
      <c r="BL322" s="795">
        <v>1</v>
      </c>
      <c r="BM322" s="720">
        <v>31</v>
      </c>
      <c r="BN322" s="720">
        <v>46</v>
      </c>
      <c r="BO322" s="794" t="s">
        <v>139</v>
      </c>
      <c r="BP322" s="801"/>
      <c r="BQ322" s="800"/>
      <c r="BR322" s="836" t="s">
        <v>3382</v>
      </c>
      <c r="BS322" s="808">
        <v>1</v>
      </c>
      <c r="BT322" s="808">
        <v>1</v>
      </c>
      <c r="BU322" s="523">
        <v>298</v>
      </c>
      <c r="BV322" s="808">
        <v>1</v>
      </c>
      <c r="BW322" s="523"/>
      <c r="BX322" s="523"/>
      <c r="BY322" s="523"/>
      <c r="BZ322" s="802">
        <f>IFERROR(WWWW[[#This Row],['#_Water sources passed]]/WWWW[[#This Row],['#_Water sources tested for fecal coliform ]],"no test")</f>
        <v>0</v>
      </c>
      <c r="CA322" s="800">
        <f>IFERROR(WWWW[[#This Row],['#_Household passed]]/WWWW[[#This Row],['#_Household water samples tested for fecal coliform]],"no test")</f>
        <v>0.90909090909090906</v>
      </c>
      <c r="CB322" s="801" t="str">
        <f>IF(AND(WWWW[[#This Row],[% of water sources passed]]="no test",WWWW[[#This Row],[% Household passed]]="no test"),"No Test","Tested")</f>
        <v>Tested</v>
      </c>
      <c r="CC322" s="801">
        <f>WWWW[[#This Row],['#_Constructed/existing protected hand dug well]]-WWWW[[#This Row],['#_Non-functional protected hand dug well]]</f>
        <v>0</v>
      </c>
      <c r="CD322" s="801">
        <f>(WWWW[[#This Row],['#_Constructed/Existing tube wells/boreholes/handpumps_WASH_agency]]+WWWW[[#This Row],['#_Non-Cluster partner water tube-wells/boreholes/handpumps]])-WWWW[[#This Row],['#_Non-functional tube wells/boreholes/handpumps]]</f>
        <v>2</v>
      </c>
      <c r="CE322" s="801">
        <f>WWWW[[#This Row],['#_Constructed/Existingwater storage tank with gravity fed reticulation system]]-WWWW[[#This Row],['#_Non-functional storage tank gravity fed reticulation system]]</f>
        <v>0</v>
      </c>
      <c r="CF322" s="801">
        <f>(WWWW[[#This Row],['#_Water_Liters_supplied_by_Water boating or water trucking]]/90)/15</f>
        <v>0</v>
      </c>
      <c r="CG322" s="801">
        <f>WWWW[[#This Row],['#_Water_Liters_from_Constructed/Existing water distribution system from river or natural spring]]/90/15</f>
        <v>0</v>
      </c>
      <c r="CH322" s="473">
        <f>WWWW[[#This Row],['#_of water points in TLS/CFS /THF]]*500</f>
        <v>0</v>
      </c>
      <c r="CI32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2" s="800">
        <f>IF(WWWW[[#This Row],[Location Type 1]]="Village",WWWW[[#This Row],[Access to safe drinking water for Village]],WWWW[[#This Row],[Access to safe drinking water for Camp]])</f>
        <v>1</v>
      </c>
      <c r="CL322" s="798">
        <f>WWWW[[#This Row],[%Equitable and continuous access to sufficient quantity of safe drinking water]]*WWWW[[#This Row],[Total PoP ]]</f>
        <v>298</v>
      </c>
      <c r="CM322" s="800">
        <f>IF((WWWW[[#This Row],['#_Constructed/Existing protected/fenced ponds]]*250)/WWWW[[#This Row],[Total PoP ]]&gt;1,1,(WWWW[[#This Row],['#_Constructed/Existing protected/fenced ponds]]*250)/WWWW[[#This Row],[Total PoP ]])</f>
        <v>0</v>
      </c>
      <c r="CN322" s="798">
        <f>WWWW[[#This Row],[% Access to unimproved water points]]*WWWW[[#This Row],[Total PoP ]]</f>
        <v>0</v>
      </c>
      <c r="CO32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Q322" s="798">
        <f>WWWW[[#This Row],[HRP1]]/500</f>
        <v>0.59599999999999997</v>
      </c>
      <c r="CR322" s="803">
        <f>1-WWWW[[#This Row],[% Equitable and continuous access to sufficient quantity of domestic water]]</f>
        <v>0</v>
      </c>
      <c r="CS322" s="798">
        <f>WWWW[[#This Row],[%equitable and continuous access to sufficient quantity of safe drinking and domestic water''s GAP]]*WWWW[[#This Row],[Total PoP ]]</f>
        <v>0</v>
      </c>
      <c r="CT322" s="801">
        <f>IF(WWWW[[#This Row],[Total required water points]]-WWWW[[#This Row],['#Water points coverage]]&lt;0,0,WWWW[[#This Row],[Total required water points]]-WWWW[[#This Row],['#Water points coverage]])</f>
        <v>0.40400000000000003</v>
      </c>
      <c r="CU322" s="801">
        <f>ROUND(IF(WWWW[[#This Row],[Total PoP ]]&lt;500,1,WWWW[[#This Row],[Total PoP ]]/500),0)</f>
        <v>1</v>
      </c>
      <c r="CV322" s="801">
        <f>(WWWW[[#This Row],['#_Constructed latrines_by_WASHAgencies]]+WWWW[[#This Row],['#_Non Cluster partner latrines]])-WWWW[[#This Row],['#_Non-functional latrines]]</f>
        <v>13</v>
      </c>
      <c r="CW322" s="804">
        <f>WWWW[[#This Row],[HRP2]]/WWWW[[#This Row],[Total PoP ]]</f>
        <v>0.87248322147651003</v>
      </c>
      <c r="CX32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32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128</v>
      </c>
      <c r="DA322" s="473">
        <f>IF(WWWW[[#This Row],['# of functional latrines in THF supported by WASH partners during the reporting period2]]="",0,WWWW[[#This Row],['# of functional latrines in THF supported by WASH partners during the reporting period2]]*50)</f>
        <v>0</v>
      </c>
      <c r="DB322" s="473">
        <f>WWWW[[#This Row],['# students access to functioning school latrines_HRP5]]+WWWW[[#This Row],['# People access to functioning latrines in THF_HRP5]]</f>
        <v>128</v>
      </c>
      <c r="DC322" s="801">
        <f>ROUND(IF(WWWW[[#This Row],[Location Type 1]]="camp",WWWW[[#This Row],[Total PoP ]]/20,IF(WWWW[[#This Row],[Location Type 1]]="Temporary Location",WWWW[[#This Row],[Total PoP ]]/50,(WWWW[[#This Row],[Total PoP ]]/6))),0)</f>
        <v>15</v>
      </c>
      <c r="DD322" s="801">
        <f>IF(WWWW[[#This Row],[Total required Latrines]]-(WWWW[[#This Row],['#_Constructed latrines_by_WASHAgencies]]+WWWW[[#This Row],['#_Non Cluster partner latrines]])&lt;0,0,WWWW[[#This Row],[Total required Latrines]]-(WWWW[[#This Row],['#_Constructed latrines_by_WASHAgencies]]+WWWW[[#This Row],['#_Non Cluster partner latrines]]))</f>
        <v>2</v>
      </c>
      <c r="DE322" s="803">
        <f>1-WWWW[[#This Row],[% people access to functioning Latrine]]</f>
        <v>0.12751677852348997</v>
      </c>
      <c r="DF322" s="802">
        <f>IF(OR(WWWW[[#This Row],['#_Non-functional latrines]]="",WWWW[[#This Row],['#_Non-functional latrines]]=0),0,WWWW[[#This Row],['#_Non-functional latrines]]/(WWWW[[#This Row],['#_Constructed latrines_by_WASHAgencies]]+WWWW[[#This Row],['#_Non Cluster partner latrines]]))</f>
        <v>0</v>
      </c>
      <c r="DG322" s="798">
        <f>IF(500*(WWWW[[#This Row],['#_male hygiene promoters]]+WWWW[[#This Row],['#_female hygiene promoters]])&gt;WWWW[[#This Row],[Total PoP ]],WWWW[[#This Row],[Total PoP ]],500*(WWWW[[#This Row],['#_male hygiene promoters]]+WWWW[[#This Row],['#_female hygiene promoters]]))</f>
        <v>298</v>
      </c>
      <c r="DH32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I32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v>
      </c>
      <c r="DJ322" s="801">
        <f>IF(WWWW[[#This Row],['# People with access to soap]]&gt;WWWW[[#This Row],['# People with access to Sanity Pads]],WWWW[[#This Row],['# People with access to soap]],WWWW[[#This Row],['# People with access to Sanity Pads]])</f>
        <v>155</v>
      </c>
      <c r="DK322" s="801">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L322" s="803">
        <f>IF(WWWW[[#This Row],[HRP3]]/WWWW[[#This Row],[Total PoP ]]&gt;1,1,WWWW[[#This Row],[HRP3]]/WWWW[[#This Row],[Total PoP ]])</f>
        <v>1</v>
      </c>
      <c r="DM322" s="802">
        <f>1-WWWW[[#This Row],[Hygiene Coverage%]]</f>
        <v>0</v>
      </c>
      <c r="DN322" s="800">
        <f>WWWW[[#This Row],['# people reached by regular dedicated hygiene promotion_5]]/WWWW[[#This Row],[Total PoP ]]</f>
        <v>1</v>
      </c>
      <c r="DO32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0.90196078431372551</v>
      </c>
      <c r="DQ322" s="801">
        <f>WWWW[[#This Row],['#_Constructed/Existing hand washing stations]]-WWWW[[#This Row],['#_Non-Functional_hand_washing_stations]]</f>
        <v>6</v>
      </c>
      <c r="DR322" s="798">
        <f>IF(WWWW[[#This Row],['# Functional hand washing stations during reporting period]]*20&gt;WWWW[[#This Row],[Total HH]],WWWW[[#This Row],[Total HH]],WWWW[[#This Row],['# Functional hand washing stations during reporting period]]*20)</f>
        <v>51</v>
      </c>
      <c r="DS322" s="798">
        <f>IF(WWWW[[#This Row],[Is sufficient soap available for TLS? (Yes/No)]]="yes",WWWW[[#This Row],['#_Constructed/Existing hand washing stations at TLS]],0)</f>
        <v>0</v>
      </c>
      <c r="DT322" s="479">
        <f>IF(WWWW[[#This Row],['# Functional hand washing stations during reporting period]]*100&gt;WWWW[[#This Row],[Total PoP ]],WWWW[[#This Row],[Total PoP ]],WWWW[[#This Row],['# Functional hand washing stations during reporting period]]*100)</f>
        <v>298</v>
      </c>
      <c r="DU322" s="479" t="str">
        <f>IF(OR(WWWW[[#This Row],['#_students at TLS_CFS]]="",WWWW[[#This Row],['#_students at TLS_CFS]]=0),"No","Yes")</f>
        <v>Yes</v>
      </c>
      <c r="DV322"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128</v>
      </c>
      <c r="DY322" s="794" t="str">
        <f>VLOOKUP(WWWW[[#This Row],[Site Name]],SiteDB6[[Site Name]:[CCCM Management]],6,FALSE)</f>
        <v>Yes</v>
      </c>
      <c r="DZ322" s="794" t="str">
        <f>VLOOKUP(WWWW[[#This Row],[Site Name]],SiteDB6[[Site Name]:[CCCM Focal Agency]],7,FALSE)</f>
        <v>KBC-BMO</v>
      </c>
      <c r="EA322" s="794" t="str">
        <f>VLOOKUP(WWWW[[#This Row],[Site Name]],SiteDB6[[Site Name]:[Location Type 1]],9,FALSE)</f>
        <v>Camp</v>
      </c>
      <c r="EB322" s="794" t="str">
        <f>VLOOKUP(WWWW[[#This Row],[Site Name]],SiteDB6[[Site Name]:[Type of Accommodation]],10,FALSE)</f>
        <v>Camp</v>
      </c>
      <c r="EC322" s="794" t="str">
        <f>VLOOKUP(WWWW[[#This Row],[Site Name]],SiteDB6[[Site Name]:[Ethnic or GCA/NGCA]],11,FALSE)</f>
        <v>GCA</v>
      </c>
      <c r="ED322" s="794">
        <f>VLOOKUP(WWWW[[#This Row],[Site Name]],SiteDB6[[Site Name]:[Lat]],12,FALSE)</f>
        <v>24.200361000000001</v>
      </c>
      <c r="EE322" s="794">
        <f>VLOOKUP(WWWW[[#This Row],[Site Name]],SiteDB6[[Site Name]:[Long]],13,FALSE)</f>
        <v>96.807353000000006</v>
      </c>
      <c r="EF322" s="794" t="str">
        <f>VLOOKUP(WWWW[[#This Row],[Site Name]],SiteDB6[[Site Name]:[Pcode]],3,FALSE)</f>
        <v>MMR001CMP067</v>
      </c>
      <c r="EG322" s="799" t="str">
        <f t="shared" si="7"/>
        <v>Covered</v>
      </c>
      <c r="EH322" s="799" t="str">
        <f>VLOOKUP(WWWW[[#This Row],[Site Name]],Site_DB!$C$389:$D$1120,2,FALSE)</f>
        <v>cccm_2019OCT</v>
      </c>
    </row>
    <row r="323" spans="1:138" hidden="1">
      <c r="A323" s="792" t="s">
        <v>3262</v>
      </c>
      <c r="B323" s="792" t="s">
        <v>195</v>
      </c>
      <c r="C323" s="793" t="s">
        <v>195</v>
      </c>
      <c r="D323" s="404" t="s">
        <v>3366</v>
      </c>
      <c r="E323" s="793" t="s">
        <v>39</v>
      </c>
      <c r="F323" s="793" t="s">
        <v>217</v>
      </c>
      <c r="G323" s="721" t="str">
        <f>VLOOKUP(WWWW[[#This Row],[Site Name]],SiteDB6[[Site Name]:[Location Type]],8,FALSE)</f>
        <v>Camp</v>
      </c>
      <c r="H323" s="404" t="s">
        <v>219</v>
      </c>
      <c r="I323" s="720">
        <v>38</v>
      </c>
      <c r="J323" s="720">
        <v>189</v>
      </c>
      <c r="K323" s="407" t="s">
        <v>3611</v>
      </c>
      <c r="L323" s="56" t="s">
        <v>3612</v>
      </c>
      <c r="M323" s="795"/>
      <c r="N323" s="795"/>
      <c r="O323" s="795"/>
      <c r="P323" s="795"/>
      <c r="Q323" s="798" t="s">
        <v>43</v>
      </c>
      <c r="R323" s="795">
        <v>1</v>
      </c>
      <c r="S323" s="795">
        <v>1</v>
      </c>
      <c r="T323" s="523"/>
      <c r="U323" s="795"/>
      <c r="V323" s="795"/>
      <c r="W323" s="795"/>
      <c r="X323" s="795">
        <v>1</v>
      </c>
      <c r="Y323" s="795"/>
      <c r="Z323" s="795"/>
      <c r="AA323" s="795"/>
      <c r="AB323" s="795"/>
      <c r="AC323" s="795"/>
      <c r="AD323" s="795"/>
      <c r="AE323" s="795"/>
      <c r="AF323" s="795"/>
      <c r="AG323" s="795"/>
      <c r="AH323" s="795"/>
      <c r="AI323" s="795"/>
      <c r="AJ323" s="795"/>
      <c r="AK323" s="795"/>
      <c r="AL323" s="795"/>
      <c r="AM323" s="795"/>
      <c r="AN323" s="795"/>
      <c r="AO323" s="799"/>
      <c r="AP323" s="795">
        <v>9</v>
      </c>
      <c r="AQ323" s="795"/>
      <c r="AR323" s="800"/>
      <c r="AS323" s="795"/>
      <c r="AT323" s="795"/>
      <c r="AU323" s="795"/>
      <c r="AV323" s="795"/>
      <c r="AW323" s="795"/>
      <c r="AX323" s="794" t="s">
        <v>43</v>
      </c>
      <c r="AY323" s="799" t="s">
        <v>140</v>
      </c>
      <c r="AZ323" s="795"/>
      <c r="BA323" s="795"/>
      <c r="BB323" s="795"/>
      <c r="BC323" s="523"/>
      <c r="BD323" s="523"/>
      <c r="BE323" s="794"/>
      <c r="BF323" s="795">
        <v>4</v>
      </c>
      <c r="BG323" s="795"/>
      <c r="BH323" s="795"/>
      <c r="BI323" s="795">
        <v>2</v>
      </c>
      <c r="BJ323" s="795"/>
      <c r="BK323" s="795"/>
      <c r="BL323" s="795">
        <v>1</v>
      </c>
      <c r="BM323" s="720">
        <v>19</v>
      </c>
      <c r="BN323" s="720">
        <v>32</v>
      </c>
      <c r="BO323" s="794"/>
      <c r="BP323" s="801"/>
      <c r="BQ323" s="800"/>
      <c r="BR323" s="794"/>
      <c r="BS323" s="808">
        <v>1</v>
      </c>
      <c r="BT323" s="808">
        <v>1</v>
      </c>
      <c r="BU323" s="720"/>
      <c r="BV323" s="472">
        <v>0</v>
      </c>
      <c r="BW323" s="523"/>
      <c r="BX323" s="523"/>
      <c r="BY323" s="523"/>
      <c r="BZ323" s="802" t="str">
        <f>IFERROR(WWWW[[#This Row],['#_Water sources passed]]/WWWW[[#This Row],['#_Water sources tested for fecal coliform ]],"no test")</f>
        <v>no test</v>
      </c>
      <c r="CA323" s="800" t="str">
        <f>IFERROR(WWWW[[#This Row],['#_Household passed]]/WWWW[[#This Row],['#_Household water samples tested for fecal coliform]],"no test")</f>
        <v>no test</v>
      </c>
      <c r="CB323" s="801" t="str">
        <f>IF(AND(WWWW[[#This Row],[% of water sources passed]]="no test",WWWW[[#This Row],[% Household passed]]="no test"),"No Test","Tested")</f>
        <v>No Test</v>
      </c>
      <c r="CC323" s="801">
        <f>WWWW[[#This Row],['#_Constructed/existing protected hand dug well]]-WWWW[[#This Row],['#_Non-functional protected hand dug well]]</f>
        <v>0</v>
      </c>
      <c r="CD323" s="801">
        <f>(WWWW[[#This Row],['#_Constructed/Existing tube wells/boreholes/handpumps_WASH_agency]]+WWWW[[#This Row],['#_Non-Cluster partner water tube-wells/boreholes/handpumps]])-WWWW[[#This Row],['#_Non-functional tube wells/boreholes/handpumps]]</f>
        <v>1</v>
      </c>
      <c r="CE323" s="801">
        <f>WWWW[[#This Row],['#_Constructed/Existingwater storage tank with gravity fed reticulation system]]-WWWW[[#This Row],['#_Non-functional storage tank gravity fed reticulation system]]</f>
        <v>0</v>
      </c>
      <c r="CF323" s="801">
        <f>(WWWW[[#This Row],['#_Water_Liters_supplied_by_Water boating or water trucking]]/90)/15</f>
        <v>0</v>
      </c>
      <c r="CG323" s="801">
        <f>WWWW[[#This Row],['#_Water_Liters_from_Constructed/Existing water distribution system from river or natural spring]]/90/15</f>
        <v>0</v>
      </c>
      <c r="CH323" s="473">
        <f>WWWW[[#This Row],['#_of water points in TLS/CFS /THF]]*500</f>
        <v>0</v>
      </c>
      <c r="CI32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3" s="800">
        <f>IF(WWWW[[#This Row],[Location Type 1]]="Village",WWWW[[#This Row],[Access to safe drinking water for Village]],WWWW[[#This Row],[Access to safe drinking water for Camp]])</f>
        <v>1</v>
      </c>
      <c r="CL323" s="798">
        <f>WWWW[[#This Row],[%Equitable and continuous access to sufficient quantity of safe drinking water]]*WWWW[[#This Row],[Total PoP ]]</f>
        <v>189</v>
      </c>
      <c r="CM323" s="800">
        <f>IF((WWWW[[#This Row],['#_Constructed/Existing protected/fenced ponds]]*250)/WWWW[[#This Row],[Total PoP ]]&gt;1,1,(WWWW[[#This Row],['#_Constructed/Existing protected/fenced ponds]]*250)/WWWW[[#This Row],[Total PoP ]])</f>
        <v>0</v>
      </c>
      <c r="CN323" s="798">
        <f>WWWW[[#This Row],[% Access to unimproved water points]]*WWWW[[#This Row],[Total PoP ]]</f>
        <v>0</v>
      </c>
      <c r="CO32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323" s="798">
        <f>WWWW[[#This Row],[HRP1]]/500</f>
        <v>0.378</v>
      </c>
      <c r="CR323" s="803">
        <f>1-WWWW[[#This Row],[% Equitable and continuous access to sufficient quantity of domestic water]]</f>
        <v>0</v>
      </c>
      <c r="CS323" s="798">
        <f>WWWW[[#This Row],[%equitable and continuous access to sufficient quantity of safe drinking and domestic water''s GAP]]*WWWW[[#This Row],[Total PoP ]]</f>
        <v>0</v>
      </c>
      <c r="CT323" s="801">
        <f>IF(WWWW[[#This Row],[Total required water points]]-WWWW[[#This Row],['#Water points coverage]]&lt;0,0,WWWW[[#This Row],[Total required water points]]-WWWW[[#This Row],['#Water points coverage]])</f>
        <v>0.622</v>
      </c>
      <c r="CU323" s="801">
        <f>ROUND(IF(WWWW[[#This Row],[Total PoP ]]&lt;500,1,WWWW[[#This Row],[Total PoP ]]/500),0)</f>
        <v>1</v>
      </c>
      <c r="CV323" s="801">
        <f>(WWWW[[#This Row],['#_Constructed latrines_by_WASHAgencies]]+WWWW[[#This Row],['#_Non Cluster partner latrines]])-WWWW[[#This Row],['#_Non-functional latrines]]</f>
        <v>9</v>
      </c>
      <c r="CW323" s="804">
        <f>WWWW[[#This Row],[HRP2]]/WWWW[[#This Row],[Total PoP ]]</f>
        <v>0.95238095238095233</v>
      </c>
      <c r="CX32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2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3" s="473">
        <f>IF(WWWW[[#This Row],['# of functional latrines in THF supported by WASH partners during the reporting period2]]="",0,WWWW[[#This Row],['# of functional latrines in THF supported by WASH partners during the reporting period2]]*50)</f>
        <v>0</v>
      </c>
      <c r="DB323" s="473">
        <f>WWWW[[#This Row],['# students access to functioning school latrines_HRP5]]+WWWW[[#This Row],['# People access to functioning latrines in THF_HRP5]]</f>
        <v>0</v>
      </c>
      <c r="DC323" s="801">
        <f>ROUND(IF(WWWW[[#This Row],[Location Type 1]]="camp",WWWW[[#This Row],[Total PoP ]]/20,IF(WWWW[[#This Row],[Location Type 1]]="Temporary Location",WWWW[[#This Row],[Total PoP ]]/50,(WWWW[[#This Row],[Total PoP ]]/6))),0)</f>
        <v>9</v>
      </c>
      <c r="DD323" s="801">
        <f>IF(WWWW[[#This Row],[Total required Latrines]]-(WWWW[[#This Row],['#_Constructed latrines_by_WASHAgencies]]+WWWW[[#This Row],['#_Non Cluster partner latrines]])&lt;0,0,WWWW[[#This Row],[Total required Latrines]]-(WWWW[[#This Row],['#_Constructed latrines_by_WASHAgencies]]+WWWW[[#This Row],['#_Non Cluster partner latrines]]))</f>
        <v>0</v>
      </c>
      <c r="DE323" s="803">
        <f>1-WWWW[[#This Row],[% people access to functioning Latrine]]</f>
        <v>4.7619047619047672E-2</v>
      </c>
      <c r="DF323" s="802">
        <f>IF(OR(WWWW[[#This Row],['#_Non-functional latrines]]="",WWWW[[#This Row],['#_Non-functional latrines]]=0),0,WWWW[[#This Row],['#_Non-functional latrines]]/(WWWW[[#This Row],['#_Constructed latrines_by_WASHAgencies]]+WWWW[[#This Row],['#_Non Cluster partner latrines]]))</f>
        <v>0</v>
      </c>
      <c r="DG323" s="798">
        <f>IF(500*(WWWW[[#This Row],['#_male hygiene promoters]]+WWWW[[#This Row],['#_female hygiene promoters]])&gt;WWWW[[#This Row],[Total PoP ]],WWWW[[#This Row],[Total PoP ]],500*(WWWW[[#This Row],['#_male hygiene promoters]]+WWWW[[#This Row],['#_female hygiene promoters]]))</f>
        <v>189</v>
      </c>
      <c r="DH32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I32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32</v>
      </c>
      <c r="DJ323" s="801">
        <f>IF(WWWW[[#This Row],['# People with access to soap]]&gt;WWWW[[#This Row],['# People with access to Sanity Pads]],WWWW[[#This Row],['# People with access to soap]],WWWW[[#This Row],['# People with access to Sanity Pads]])</f>
        <v>95</v>
      </c>
      <c r="DK323" s="801">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L323" s="803">
        <f>IF(WWWW[[#This Row],[HRP3]]/WWWW[[#This Row],[Total PoP ]]&gt;1,1,WWWW[[#This Row],[HRP3]]/WWWW[[#This Row],[Total PoP ]])</f>
        <v>1</v>
      </c>
      <c r="DM323" s="802">
        <f>1-WWWW[[#This Row],[Hygiene Coverage%]]</f>
        <v>0</v>
      </c>
      <c r="DN323" s="800">
        <f>WWWW[[#This Row],['# people reached by regular dedicated hygiene promotion_5]]/WWWW[[#This Row],[Total PoP ]]</f>
        <v>1</v>
      </c>
      <c r="DO32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0.84210526315789469</v>
      </c>
      <c r="DQ323" s="801">
        <f>WWWW[[#This Row],['#_Constructed/Existing hand washing stations]]-WWWW[[#This Row],['#_Non-Functional_hand_washing_stations]]</f>
        <v>4</v>
      </c>
      <c r="DR323" s="798">
        <f>IF(WWWW[[#This Row],['# Functional hand washing stations during reporting period]]*20&gt;WWWW[[#This Row],[Total HH]],WWWW[[#This Row],[Total HH]],WWWW[[#This Row],['# Functional hand washing stations during reporting period]]*20)</f>
        <v>38</v>
      </c>
      <c r="DS323" s="798">
        <f>IF(WWWW[[#This Row],[Is sufficient soap available for TLS? (Yes/No)]]="yes",WWWW[[#This Row],['#_Constructed/Existing hand washing stations at TLS]],0)</f>
        <v>0</v>
      </c>
      <c r="DT323" s="479">
        <f>IF(WWWW[[#This Row],['# Functional hand washing stations during reporting period]]*100&gt;WWWW[[#This Row],[Total PoP ]],WWWW[[#This Row],[Total PoP ]],WWWW[[#This Row],['# Functional hand washing stations during reporting period]]*100)</f>
        <v>189</v>
      </c>
      <c r="DU323" s="479" t="str">
        <f>IF(OR(WWWW[[#This Row],['#_students at TLS_CFS]]="",WWWW[[#This Row],['#_students at TLS_CFS]]=0),"No","Yes")</f>
        <v>No</v>
      </c>
      <c r="DV32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3" s="794" t="str">
        <f>VLOOKUP(WWWW[[#This Row],[Site Name]],SiteDB6[[Site Name]:[CCCM Management]],6,FALSE)</f>
        <v>Yes</v>
      </c>
      <c r="DZ323" s="794" t="str">
        <f>VLOOKUP(WWWW[[#This Row],[Site Name]],SiteDB6[[Site Name]:[CCCM Focal Agency]],7,FALSE)</f>
        <v>KMSS-BMO</v>
      </c>
      <c r="EA323" s="794" t="str">
        <f>VLOOKUP(WWWW[[#This Row],[Site Name]],SiteDB6[[Site Name]:[Location Type 1]],9,FALSE)</f>
        <v>Camp</v>
      </c>
      <c r="EB323" s="794" t="str">
        <f>VLOOKUP(WWWW[[#This Row],[Site Name]],SiteDB6[[Site Name]:[Type of Accommodation]],10,FALSE)</f>
        <v>Camp</v>
      </c>
      <c r="EC323" s="794" t="str">
        <f>VLOOKUP(WWWW[[#This Row],[Site Name]],SiteDB6[[Site Name]:[Ethnic or GCA/NGCA]],11,FALSE)</f>
        <v>GCA</v>
      </c>
      <c r="ED323" s="794">
        <f>VLOOKUP(WWWW[[#This Row],[Site Name]],SiteDB6[[Site Name]:[Lat]],12,FALSE)</f>
        <v>24.200367</v>
      </c>
      <c r="EE323" s="794">
        <f>VLOOKUP(WWWW[[#This Row],[Site Name]],SiteDB6[[Site Name]:[Long]],13,FALSE)</f>
        <v>96.807353000000006</v>
      </c>
      <c r="EF323" s="794" t="str">
        <f>VLOOKUP(WWWW[[#This Row],[Site Name]],SiteDB6[[Site Name]:[Pcode]],3,FALSE)</f>
        <v>MMR001CMP068</v>
      </c>
      <c r="EG323" s="799" t="str">
        <f t="shared" si="7"/>
        <v>Covered</v>
      </c>
      <c r="EH323" s="799" t="str">
        <f>VLOOKUP(WWWW[[#This Row],[Site Name]],Site_DB!$C$389:$D$1120,2,FALSE)</f>
        <v>cccm_2019OCT</v>
      </c>
    </row>
    <row r="324" spans="1:138" hidden="1">
      <c r="A324" s="792" t="s">
        <v>3262</v>
      </c>
      <c r="B324" s="792" t="s">
        <v>195</v>
      </c>
      <c r="C324" s="793" t="s">
        <v>195</v>
      </c>
      <c r="D324" s="793" t="s">
        <v>3364</v>
      </c>
      <c r="E324" s="793" t="s">
        <v>711</v>
      </c>
      <c r="F324" s="793" t="s">
        <v>730</v>
      </c>
      <c r="G324" s="721" t="str">
        <f>VLOOKUP(WWWW[[#This Row],[Site Name]],SiteDB6[[Site Name]:[Location Type]],8,FALSE)</f>
        <v>Camp</v>
      </c>
      <c r="H324" s="793" t="s">
        <v>760</v>
      </c>
      <c r="I324" s="795">
        <v>38</v>
      </c>
      <c r="J324" s="795">
        <v>183</v>
      </c>
      <c r="K324" s="407" t="s">
        <v>3607</v>
      </c>
      <c r="L324" s="56" t="s">
        <v>3608</v>
      </c>
      <c r="M324" s="795"/>
      <c r="N324" s="795"/>
      <c r="O324" s="795"/>
      <c r="P324" s="795"/>
      <c r="Q324" s="798"/>
      <c r="R324" s="795">
        <v>4</v>
      </c>
      <c r="S324" s="795">
        <v>4</v>
      </c>
      <c r="T324" s="523">
        <v>1</v>
      </c>
      <c r="U324" s="795"/>
      <c r="V324" s="795"/>
      <c r="W324" s="795">
        <v>1</v>
      </c>
      <c r="X324" s="795"/>
      <c r="Y324" s="795"/>
      <c r="Z324" s="795"/>
      <c r="AA324" s="795">
        <v>13</v>
      </c>
      <c r="AB324" s="795"/>
      <c r="AC324" s="795"/>
      <c r="AD324" s="795"/>
      <c r="AE324" s="795"/>
      <c r="AF324" s="795"/>
      <c r="AG324" s="795">
        <v>1</v>
      </c>
      <c r="AH324" s="795">
        <v>1</v>
      </c>
      <c r="AI324" s="795"/>
      <c r="AJ324" s="795"/>
      <c r="AK324" s="795"/>
      <c r="AL324" s="795"/>
      <c r="AM324" s="795"/>
      <c r="AN324" s="795"/>
      <c r="AO324" s="799"/>
      <c r="AP324" s="720">
        <v>38</v>
      </c>
      <c r="AQ324" s="720">
        <v>9</v>
      </c>
      <c r="AR324" s="800"/>
      <c r="AS324" s="795"/>
      <c r="AT324" s="795">
        <v>3</v>
      </c>
      <c r="AU324" s="795"/>
      <c r="AV324" s="795"/>
      <c r="AW324" s="795"/>
      <c r="AX324" s="794" t="s">
        <v>139</v>
      </c>
      <c r="AY324" s="799" t="s">
        <v>139</v>
      </c>
      <c r="AZ324" s="795"/>
      <c r="BA324" s="795"/>
      <c r="BB324" s="795"/>
      <c r="BC324" s="523"/>
      <c r="BD324" s="523"/>
      <c r="BE324" s="794"/>
      <c r="BF324" s="795"/>
      <c r="BG324" s="795"/>
      <c r="BH324" s="795"/>
      <c r="BI324" s="795"/>
      <c r="BJ324" s="795"/>
      <c r="BK324" s="795"/>
      <c r="BL324" s="795">
        <v>1</v>
      </c>
      <c r="BM324" s="720">
        <v>40</v>
      </c>
      <c r="BN324" s="795"/>
      <c r="BO324" s="794"/>
      <c r="BP324" s="801"/>
      <c r="BQ324" s="800"/>
      <c r="BR324" s="794"/>
      <c r="BS324" s="472"/>
      <c r="BT324" s="472"/>
      <c r="BU324" s="720"/>
      <c r="BV324" s="472"/>
      <c r="BW324" s="523"/>
      <c r="BX324" s="523"/>
      <c r="BY324" s="523"/>
      <c r="BZ324" s="802" t="str">
        <f>IFERROR(WWWW[[#This Row],['#_Water sources passed]]/WWWW[[#This Row],['#_Water sources tested for fecal coliform ]],"no test")</f>
        <v>no test</v>
      </c>
      <c r="CA324" s="800" t="str">
        <f>IFERROR(WWWW[[#This Row],['#_Household passed]]/WWWW[[#This Row],['#_Household water samples tested for fecal coliform]],"no test")</f>
        <v>no test</v>
      </c>
      <c r="CB324" s="801" t="str">
        <f>IF(AND(WWWW[[#This Row],[% of water sources passed]]="no test",WWWW[[#This Row],[% Household passed]]="no test"),"No Test","Tested")</f>
        <v>No Test</v>
      </c>
      <c r="CC324" s="801">
        <f>WWWW[[#This Row],['#_Constructed/existing protected hand dug well]]-WWWW[[#This Row],['#_Non-functional protected hand dug well]]</f>
        <v>1</v>
      </c>
      <c r="CD324" s="801">
        <f>(WWWW[[#This Row],['#_Constructed/Existing tube wells/boreholes/handpumps_WASH_agency]]+WWWW[[#This Row],['#_Non-Cluster partner water tube-wells/boreholes/handpumps]])-WWWW[[#This Row],['#_Non-functional tube wells/boreholes/handpumps]]</f>
        <v>1</v>
      </c>
      <c r="CE324" s="801">
        <f>WWWW[[#This Row],['#_Constructed/Existingwater storage tank with gravity fed reticulation system]]-WWWW[[#This Row],['#_Non-functional storage tank gravity fed reticulation system]]</f>
        <v>13</v>
      </c>
      <c r="CF324" s="801">
        <f>(WWWW[[#This Row],['#_Water_Liters_supplied_by_Water boating or water trucking]]/90)/15</f>
        <v>0</v>
      </c>
      <c r="CG324" s="801">
        <f>WWWW[[#This Row],['#_Water_Liters_from_Constructed/Existing water distribution system from river or natural spring]]/90/15</f>
        <v>0</v>
      </c>
      <c r="CH324" s="473">
        <f>WWWW[[#This Row],['#_of water points in TLS/CFS /THF]]*500</f>
        <v>0</v>
      </c>
      <c r="CI32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4" s="800">
        <f>IF(WWWW[[#This Row],[Location Type 1]]="Village",WWWW[[#This Row],[Access to safe drinking water for Village]],WWWW[[#This Row],[Access to safe drinking water for Camp]])</f>
        <v>1</v>
      </c>
      <c r="CL324" s="798">
        <f>WWWW[[#This Row],[%Equitable and continuous access to sufficient quantity of safe drinking water]]*WWWW[[#This Row],[Total PoP ]]</f>
        <v>183</v>
      </c>
      <c r="CM324" s="800">
        <f>IF((WWWW[[#This Row],['#_Constructed/Existing protected/fenced ponds]]*250)/WWWW[[#This Row],[Total PoP ]]&gt;1,1,(WWWW[[#This Row],['#_Constructed/Existing protected/fenced ponds]]*250)/WWWW[[#This Row],[Total PoP ]])</f>
        <v>0</v>
      </c>
      <c r="CN324" s="798">
        <f>WWWW[[#This Row],[% Access to unimproved water points]]*WWWW[[#This Row],[Total PoP ]]</f>
        <v>0</v>
      </c>
      <c r="CO32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Q324" s="798">
        <f>WWWW[[#This Row],[HRP1]]/500</f>
        <v>0.36599999999999999</v>
      </c>
      <c r="CR324" s="803">
        <f>1-WWWW[[#This Row],[% Equitable and continuous access to sufficient quantity of domestic water]]</f>
        <v>0</v>
      </c>
      <c r="CS324" s="798">
        <f>WWWW[[#This Row],[%equitable and continuous access to sufficient quantity of safe drinking and domestic water''s GAP]]*WWWW[[#This Row],[Total PoP ]]</f>
        <v>0</v>
      </c>
      <c r="CT324" s="801">
        <f>IF(WWWW[[#This Row],[Total required water points]]-WWWW[[#This Row],['#Water points coverage]]&lt;0,0,WWWW[[#This Row],[Total required water points]]-WWWW[[#This Row],['#Water points coverage]])</f>
        <v>0.63400000000000001</v>
      </c>
      <c r="CU324" s="801">
        <f>ROUND(IF(WWWW[[#This Row],[Total PoP ]]&lt;500,1,WWWW[[#This Row],[Total PoP ]]/500),0)</f>
        <v>1</v>
      </c>
      <c r="CV324" s="801">
        <f>(WWWW[[#This Row],['#_Constructed latrines_by_WASHAgencies]]+WWWW[[#This Row],['#_Non Cluster partner latrines]])-WWWW[[#This Row],['#_Non-functional latrines]]</f>
        <v>47</v>
      </c>
      <c r="CW324" s="804">
        <f>WWWW[[#This Row],[HRP2]]/WWWW[[#This Row],[Total PoP ]]</f>
        <v>1</v>
      </c>
      <c r="CX32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183</v>
      </c>
      <c r="CY32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4" s="473">
        <f>IF(WWWW[[#This Row],['# of functional latrines in THF supported by WASH partners during the reporting period2]]="",0,WWWW[[#This Row],['# of functional latrines in THF supported by WASH partners during the reporting period2]]*50)</f>
        <v>0</v>
      </c>
      <c r="DB324" s="473">
        <f>WWWW[[#This Row],['# students access to functioning school latrines_HRP5]]+WWWW[[#This Row],['# People access to functioning latrines in THF_HRP5]]</f>
        <v>0</v>
      </c>
      <c r="DC324" s="801">
        <f>ROUND(IF(WWWW[[#This Row],[Location Type 1]]="camp",WWWW[[#This Row],[Total PoP ]]/20,IF(WWWW[[#This Row],[Location Type 1]]="Temporary Location",WWWW[[#This Row],[Total PoP ]]/50,(WWWW[[#This Row],[Total PoP ]]/6))),0)</f>
        <v>9</v>
      </c>
      <c r="DD324" s="801">
        <f>IF(WWWW[[#This Row],[Total required Latrines]]-(WWWW[[#This Row],['#_Constructed latrines_by_WASHAgencies]]+WWWW[[#This Row],['#_Non Cluster partner latrines]])&lt;0,0,WWWW[[#This Row],[Total required Latrines]]-(WWWW[[#This Row],['#_Constructed latrines_by_WASHAgencies]]+WWWW[[#This Row],['#_Non Cluster partner latrines]]))</f>
        <v>0</v>
      </c>
      <c r="DE324" s="803">
        <f>1-WWWW[[#This Row],[% people access to functioning Latrine]]</f>
        <v>0</v>
      </c>
      <c r="DF324" s="802">
        <f>IF(OR(WWWW[[#This Row],['#_Non-functional latrines]]="",WWWW[[#This Row],['#_Non-functional latrines]]=0),0,WWWW[[#This Row],['#_Non-functional latrines]]/(WWWW[[#This Row],['#_Constructed latrines_by_WASHAgencies]]+WWWW[[#This Row],['#_Non Cluster partner latrines]]))</f>
        <v>0</v>
      </c>
      <c r="DG324" s="798">
        <f>IF(500*(WWWW[[#This Row],['#_male hygiene promoters]]+WWWW[[#This Row],['#_female hygiene promoters]])&gt;WWWW[[#This Row],[Total PoP ]],WWWW[[#This Row],[Total PoP ]],500*(WWWW[[#This Row],['#_male hygiene promoters]]+WWWW[[#This Row],['#_female hygiene promoters]]))</f>
        <v>183</v>
      </c>
      <c r="DH32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183</v>
      </c>
      <c r="DI32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4" s="801">
        <f>IF(WWWW[[#This Row],['# People with access to soap]]&gt;WWWW[[#This Row],['# People with access to Sanity Pads]],WWWW[[#This Row],['# People with access to soap]],WWWW[[#This Row],['# People with access to Sanity Pads]])</f>
        <v>183</v>
      </c>
      <c r="DK324" s="801">
        <f>IF(WWWW[[#This Row],['# people reached by regular dedicated hygiene promotion_5]]&gt;WWWW[[#This Row],['# People received regular supply of hygiene items_6]],WWWW[[#This Row],['# people reached by regular dedicated hygiene promotion_5]],WWWW[[#This Row],['# People received regular supply of hygiene items_6]])</f>
        <v>183</v>
      </c>
      <c r="DL324" s="803">
        <f>IF(WWWW[[#This Row],[HRP3]]/WWWW[[#This Row],[Total PoP ]]&gt;1,1,WWWW[[#This Row],[HRP3]]/WWWW[[#This Row],[Total PoP ]])</f>
        <v>1</v>
      </c>
      <c r="DM324" s="802">
        <f>1-WWWW[[#This Row],[Hygiene Coverage%]]</f>
        <v>0</v>
      </c>
      <c r="DN324" s="800">
        <f>WWWW[[#This Row],['# people reached by regular dedicated hygiene promotion_5]]/WWWW[[#This Row],[Total PoP ]]</f>
        <v>1</v>
      </c>
      <c r="DO32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4" s="801">
        <f>WWWW[[#This Row],['#_Constructed/Existing hand washing stations]]-WWWW[[#This Row],['#_Non-Functional_hand_washing_stations]]</f>
        <v>0</v>
      </c>
      <c r="DR324" s="798">
        <f>IF(WWWW[[#This Row],['# Functional hand washing stations during reporting period]]*20&gt;WWWW[[#This Row],[Total HH]],WWWW[[#This Row],[Total HH]],WWWW[[#This Row],['# Functional hand washing stations during reporting period]]*20)</f>
        <v>0</v>
      </c>
      <c r="DS324" s="798">
        <f>IF(WWWW[[#This Row],[Is sufficient soap available for TLS? (Yes/No)]]="yes",WWWW[[#This Row],['#_Constructed/Existing hand washing stations at TLS]],0)</f>
        <v>0</v>
      </c>
      <c r="DT324" s="479">
        <f>IF(WWWW[[#This Row],['# Functional hand washing stations during reporting period]]*100&gt;WWWW[[#This Row],[Total PoP ]],WWWW[[#This Row],[Total PoP ]],WWWW[[#This Row],['# Functional hand washing stations during reporting period]]*100)</f>
        <v>0</v>
      </c>
      <c r="DU324" s="479" t="str">
        <f>IF(OR(WWWW[[#This Row],['#_students at TLS_CFS]]="",WWWW[[#This Row],['#_students at TLS_CFS]]=0),"No","Yes")</f>
        <v>No</v>
      </c>
      <c r="DV32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4" s="794">
        <f>VLOOKUP(WWWW[[#This Row],[Site Name]],SiteDB6[[Site Name]:[CCCM Management]],6,FALSE)</f>
        <v>0</v>
      </c>
      <c r="DZ324" s="794">
        <f>VLOOKUP(WWWW[[#This Row],[Site Name]],SiteDB6[[Site Name]:[CCCM Focal Agency]],7,FALSE)</f>
        <v>0</v>
      </c>
      <c r="EA324" s="794" t="str">
        <f>VLOOKUP(WWWW[[#This Row],[Site Name]],SiteDB6[[Site Name]:[Location Type 1]],9,FALSE)</f>
        <v>Camp</v>
      </c>
      <c r="EB324" s="794" t="str">
        <f>VLOOKUP(WWWW[[#This Row],[Site Name]],SiteDB6[[Site Name]:[Type of Accommodation]],10,FALSE)</f>
        <v>Closed Camp</v>
      </c>
      <c r="EC324" s="794" t="str">
        <f>VLOOKUP(WWWW[[#This Row],[Site Name]],SiteDB6[[Site Name]:[Ethnic or GCA/NGCA]],11,FALSE)</f>
        <v>GCA</v>
      </c>
      <c r="ED324" s="794">
        <f>VLOOKUP(WWWW[[#This Row],[Site Name]],SiteDB6[[Site Name]:[Lat]],12,FALSE)</f>
        <v>23.353999999999999</v>
      </c>
      <c r="EE324" s="794">
        <f>VLOOKUP(WWWW[[#This Row],[Site Name]],SiteDB6[[Site Name]:[Long]],13,FALSE)</f>
        <v>98.221000000000004</v>
      </c>
      <c r="EF324" s="794" t="str">
        <f>VLOOKUP(WWWW[[#This Row],[Site Name]],SiteDB6[[Site Name]:[Pcode]],3,FALSE)</f>
        <v>MMR015CMP226</v>
      </c>
      <c r="EG324" s="799" t="str">
        <f t="shared" si="7"/>
        <v>Covered</v>
      </c>
      <c r="EH324" s="799" t="str">
        <f>VLOOKUP(WWWW[[#This Row],[Site Name]],Site_DB!$C$389:$D$1120,2,FALSE)</f>
        <v>closed_cccm2018Mar</v>
      </c>
    </row>
    <row r="325" spans="1:138" hidden="1">
      <c r="A325" s="792" t="s">
        <v>3262</v>
      </c>
      <c r="B325" s="792" t="s">
        <v>38</v>
      </c>
      <c r="C325" s="793" t="s">
        <v>38</v>
      </c>
      <c r="D325" s="793" t="s">
        <v>3049</v>
      </c>
      <c r="E325" s="793" t="s">
        <v>39</v>
      </c>
      <c r="F325" s="793" t="s">
        <v>145</v>
      </c>
      <c r="G325" s="721" t="str">
        <f>VLOOKUP(WWWW[[#This Row],[Site Name]],SiteDB6[[Site Name]:[Location Type]],8,FALSE)</f>
        <v>Camp</v>
      </c>
      <c r="H325" s="793" t="s">
        <v>241</v>
      </c>
      <c r="I325" s="795">
        <v>100</v>
      </c>
      <c r="J325" s="795">
        <v>612</v>
      </c>
      <c r="K325" s="407" t="s">
        <v>3619</v>
      </c>
      <c r="L325" s="56" t="s">
        <v>3620</v>
      </c>
      <c r="M325" s="795">
        <v>57</v>
      </c>
      <c r="N325" s="795"/>
      <c r="O325" s="795"/>
      <c r="P325" s="795"/>
      <c r="Q325" s="798" t="s">
        <v>43</v>
      </c>
      <c r="R325" s="795"/>
      <c r="S325" s="795"/>
      <c r="T325" s="523"/>
      <c r="U325" s="795"/>
      <c r="V325" s="795"/>
      <c r="W325" s="795"/>
      <c r="X325" s="795"/>
      <c r="Y325" s="795"/>
      <c r="Z325" s="795"/>
      <c r="AA325" s="795">
        <v>1</v>
      </c>
      <c r="AB325" s="795"/>
      <c r="AC325" s="795"/>
      <c r="AD325" s="795"/>
      <c r="AE325" s="795"/>
      <c r="AF325" s="795"/>
      <c r="AG325" s="795"/>
      <c r="AH325" s="795"/>
      <c r="AI325" s="795"/>
      <c r="AJ325" s="795"/>
      <c r="AK325" s="795"/>
      <c r="AL325" s="795"/>
      <c r="AM325" s="795">
        <v>4</v>
      </c>
      <c r="AN325" s="795"/>
      <c r="AO325" s="799"/>
      <c r="AP325" s="795">
        <v>98</v>
      </c>
      <c r="AQ325" s="795"/>
      <c r="AR325" s="800"/>
      <c r="AS325" s="795"/>
      <c r="AT325" s="795"/>
      <c r="AU325" s="795"/>
      <c r="AV325" s="795"/>
      <c r="AW325" s="795"/>
      <c r="AX325" s="794" t="s">
        <v>43</v>
      </c>
      <c r="AY325" s="799" t="s">
        <v>140</v>
      </c>
      <c r="AZ325" s="795">
        <v>3</v>
      </c>
      <c r="BA325" s="795"/>
      <c r="BB325" s="795"/>
      <c r="BC325" s="523"/>
      <c r="BD325" s="523"/>
      <c r="BE325" s="794"/>
      <c r="BF325" s="795"/>
      <c r="BG325" s="795"/>
      <c r="BH325" s="795"/>
      <c r="BI325" s="795">
        <v>4</v>
      </c>
      <c r="BJ325" s="795"/>
      <c r="BK325" s="795">
        <v>1</v>
      </c>
      <c r="BL325" s="795">
        <v>1</v>
      </c>
      <c r="BM325" s="795"/>
      <c r="BN325" s="795"/>
      <c r="BO325" s="794" t="s">
        <v>139</v>
      </c>
      <c r="BP325" s="801"/>
      <c r="BQ325" s="800"/>
      <c r="BR325" s="794"/>
      <c r="BS325" s="472"/>
      <c r="BT325" s="472"/>
      <c r="BU325" s="523"/>
      <c r="BV325" s="472"/>
      <c r="BW325" s="523"/>
      <c r="BX325" s="523"/>
      <c r="BY325" s="523"/>
      <c r="BZ325" s="802" t="str">
        <f>IFERROR(WWWW[[#This Row],['#_Water sources passed]]/WWWW[[#This Row],['#_Water sources tested for fecal coliform ]],"no test")</f>
        <v>no test</v>
      </c>
      <c r="CA325" s="800" t="str">
        <f>IFERROR(WWWW[[#This Row],['#_Household passed]]/WWWW[[#This Row],['#_Household water samples tested for fecal coliform]],"no test")</f>
        <v>no test</v>
      </c>
      <c r="CB325" s="801" t="str">
        <f>IF(AND(WWWW[[#This Row],[% of water sources passed]]="no test",WWWW[[#This Row],[% Household passed]]="no test"),"No Test","Tested")</f>
        <v>No Test</v>
      </c>
      <c r="CC325" s="801">
        <f>WWWW[[#This Row],['#_Constructed/existing protected hand dug well]]-WWWW[[#This Row],['#_Non-functional protected hand dug well]]</f>
        <v>0</v>
      </c>
      <c r="CD325" s="801">
        <f>(WWWW[[#This Row],['#_Constructed/Existing tube wells/boreholes/handpumps_WASH_agency]]+WWWW[[#This Row],['#_Non-Cluster partner water tube-wells/boreholes/handpumps]])-WWWW[[#This Row],['#_Non-functional tube wells/boreholes/handpumps]]</f>
        <v>0</v>
      </c>
      <c r="CE325" s="801">
        <f>WWWW[[#This Row],['#_Constructed/Existingwater storage tank with gravity fed reticulation system]]-WWWW[[#This Row],['#_Non-functional storage tank gravity fed reticulation system]]</f>
        <v>1</v>
      </c>
      <c r="CF325" s="801">
        <f>(WWWW[[#This Row],['#_Water_Liters_supplied_by_Water boating or water trucking]]/90)/15</f>
        <v>0</v>
      </c>
      <c r="CG325" s="801">
        <f>WWWW[[#This Row],['#_Water_Liters_from_Constructed/Existing water distribution system from river or natural spring]]/90/15</f>
        <v>0</v>
      </c>
      <c r="CH325" s="473">
        <f>WWWW[[#This Row],['#_of water points in TLS/CFS /THF]]*500</f>
        <v>0</v>
      </c>
      <c r="CI32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0.10893246187363835</v>
      </c>
      <c r="CJ32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0.10893246187363835</v>
      </c>
      <c r="CK325" s="800">
        <f>IF(WWWW[[#This Row],[Location Type 1]]="Village",WWWW[[#This Row],[Access to safe drinking water for Village]],WWWW[[#This Row],[Access to safe drinking water for Camp]])</f>
        <v>0.10893246187363835</v>
      </c>
      <c r="CL325" s="798">
        <f>WWWW[[#This Row],[%Equitable and continuous access to sufficient quantity of safe drinking water]]*WWWW[[#This Row],[Total PoP ]]</f>
        <v>66.666666666666671</v>
      </c>
      <c r="CM325" s="800">
        <f>IF((WWWW[[#This Row],['#_Constructed/Existing protected/fenced ponds]]*250)/WWWW[[#This Row],[Total PoP ]]&gt;1,1,(WWWW[[#This Row],['#_Constructed/Existing protected/fenced ponds]]*250)/WWWW[[#This Row],[Total PoP ]])</f>
        <v>0</v>
      </c>
      <c r="CN325" s="798">
        <f>WWWW[[#This Row],[% Access to unimproved water points]]*WWWW[[#This Row],[Total PoP ]]</f>
        <v>0</v>
      </c>
      <c r="CO32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P32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25" s="798">
        <f>WWWW[[#This Row],[HRP1]]/500</f>
        <v>0.13333333333333333</v>
      </c>
      <c r="CR325" s="803">
        <f>1-WWWW[[#This Row],[% Equitable and continuous access to sufficient quantity of domestic water]]</f>
        <v>0.89106753812636164</v>
      </c>
      <c r="CS325" s="798">
        <f>WWWW[[#This Row],[%equitable and continuous access to sufficient quantity of safe drinking and domestic water''s GAP]]*WWWW[[#This Row],[Total PoP ]]</f>
        <v>545.33333333333337</v>
      </c>
      <c r="CT325" s="801">
        <f>IF(WWWW[[#This Row],[Total required water points]]-WWWW[[#This Row],['#Water points coverage]]&lt;0,0,WWWW[[#This Row],[Total required water points]]-WWWW[[#This Row],['#Water points coverage]])</f>
        <v>0.8666666666666667</v>
      </c>
      <c r="CU325" s="801">
        <f>ROUND(IF(WWWW[[#This Row],[Total PoP ]]&lt;500,1,WWWW[[#This Row],[Total PoP ]]/500),0)</f>
        <v>1</v>
      </c>
      <c r="CV325" s="801">
        <f>(WWWW[[#This Row],['#_Constructed latrines_by_WASHAgencies]]+WWWW[[#This Row],['#_Non Cluster partner latrines]])-WWWW[[#This Row],['#_Non-functional latrines]]</f>
        <v>98</v>
      </c>
      <c r="CW325" s="804">
        <f>WWWW[[#This Row],[HRP2]]/WWWW[[#This Row],[Total PoP ]]</f>
        <v>1</v>
      </c>
      <c r="CX32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612</v>
      </c>
      <c r="CY32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5" s="473">
        <f>IF(WWWW[[#This Row],['# of functional latrines in THF supported by WASH partners during the reporting period2]]="",0,WWWW[[#This Row],['# of functional latrines in THF supported by WASH partners during the reporting period2]]*50)</f>
        <v>0</v>
      </c>
      <c r="DB325" s="473">
        <f>WWWW[[#This Row],['# students access to functioning school latrines_HRP5]]+WWWW[[#This Row],['# People access to functioning latrines in THF_HRP5]]</f>
        <v>0</v>
      </c>
      <c r="DC325" s="801">
        <f>ROUND(IF(WWWW[[#This Row],[Location Type 1]]="camp",WWWW[[#This Row],[Total PoP ]]/20,IF(WWWW[[#This Row],[Location Type 1]]="Temporary Location",WWWW[[#This Row],[Total PoP ]]/50,(WWWW[[#This Row],[Total PoP ]]/6))),0)</f>
        <v>31</v>
      </c>
      <c r="DD325" s="801">
        <f>IF(WWWW[[#This Row],[Total required Latrines]]-(WWWW[[#This Row],['#_Constructed latrines_by_WASHAgencies]]+WWWW[[#This Row],['#_Non Cluster partner latrines]])&lt;0,0,WWWW[[#This Row],[Total required Latrines]]-(WWWW[[#This Row],['#_Constructed latrines_by_WASHAgencies]]+WWWW[[#This Row],['#_Non Cluster partner latrines]]))</f>
        <v>0</v>
      </c>
      <c r="DE325" s="803">
        <f>1-WWWW[[#This Row],[% people access to functioning Latrine]]</f>
        <v>0</v>
      </c>
      <c r="DF325" s="802">
        <f>IF(OR(WWWW[[#This Row],['#_Non-functional latrines]]="",WWWW[[#This Row],['#_Non-functional latrines]]=0),0,WWWW[[#This Row],['#_Non-functional latrines]]/(WWWW[[#This Row],['#_Constructed latrines_by_WASHAgencies]]+WWWW[[#This Row],['#_Non Cluster partner latrines]]))</f>
        <v>0</v>
      </c>
      <c r="DG325" s="798">
        <f>IF(500*(WWWW[[#This Row],['#_male hygiene promoters]]+WWWW[[#This Row],['#_female hygiene promoters]])&gt;WWWW[[#This Row],[Total PoP ]],WWWW[[#This Row],[Total PoP ]],500*(WWWW[[#This Row],['#_male hygiene promoters]]+WWWW[[#This Row],['#_female hygiene promoters]]))</f>
        <v>612</v>
      </c>
      <c r="DH32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5" s="801">
        <f>IF(WWWW[[#This Row],['# People with access to soap]]&gt;WWWW[[#This Row],['# People with access to Sanity Pads]],WWWW[[#This Row],['# People with access to soap]],WWWW[[#This Row],['# People with access to Sanity Pads]])</f>
        <v>0</v>
      </c>
      <c r="DK325" s="801">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L325" s="803">
        <f>IF(WWWW[[#This Row],[HRP3]]/WWWW[[#This Row],[Total PoP ]]&gt;1,1,WWWW[[#This Row],[HRP3]]/WWWW[[#This Row],[Total PoP ]])</f>
        <v>1</v>
      </c>
      <c r="DM325" s="802">
        <f>1-WWWW[[#This Row],[Hygiene Coverage%]]</f>
        <v>0</v>
      </c>
      <c r="DN325" s="800">
        <f>WWWW[[#This Row],['# people reached by regular dedicated hygiene promotion_5]]/WWWW[[#This Row],[Total PoP ]]</f>
        <v>1</v>
      </c>
      <c r="DO32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5" s="801">
        <f>WWWW[[#This Row],['#_Constructed/Existing hand washing stations]]-WWWW[[#This Row],['#_Non-Functional_hand_washing_stations]]</f>
        <v>0</v>
      </c>
      <c r="DR325" s="798">
        <f>IF(WWWW[[#This Row],['# Functional hand washing stations during reporting period]]*20&gt;WWWW[[#This Row],[Total HH]],WWWW[[#This Row],[Total HH]],WWWW[[#This Row],['# Functional hand washing stations during reporting period]]*20)</f>
        <v>0</v>
      </c>
      <c r="DS325" s="798">
        <f>IF(WWWW[[#This Row],[Is sufficient soap available for TLS? (Yes/No)]]="yes",WWWW[[#This Row],['#_Constructed/Existing hand washing stations at TLS]],0)</f>
        <v>0</v>
      </c>
      <c r="DT325" s="479">
        <f>IF(WWWW[[#This Row],['# Functional hand washing stations during reporting period]]*100&gt;WWWW[[#This Row],[Total PoP ]],WWWW[[#This Row],[Total PoP ]],WWWW[[#This Row],['# Functional hand washing stations during reporting period]]*100)</f>
        <v>0</v>
      </c>
      <c r="DU325" s="479" t="str">
        <f>IF(OR(WWWW[[#This Row],['#_students at TLS_CFS]]="",WWWW[[#This Row],['#_students at TLS_CFS]]=0),"No","Yes")</f>
        <v>Yes</v>
      </c>
      <c r="DV32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5" s="794" t="str">
        <f>VLOOKUP(WWWW[[#This Row],[Site Name]],SiteDB6[[Site Name]:[CCCM Management]],6,FALSE)</f>
        <v>Yes</v>
      </c>
      <c r="DZ325" s="794" t="str">
        <f>VLOOKUP(WWWW[[#This Row],[Site Name]],SiteDB6[[Site Name]:[CCCM Focal Agency]],7,FALSE)</f>
        <v>KMSS-MYT</v>
      </c>
      <c r="EA325" s="794" t="str">
        <f>VLOOKUP(WWWW[[#This Row],[Site Name]],SiteDB6[[Site Name]:[Location Type 1]],9,FALSE)</f>
        <v>Camp</v>
      </c>
      <c r="EB325" s="794" t="str">
        <f>VLOOKUP(WWWW[[#This Row],[Site Name]],SiteDB6[[Site Name]:[Type of Accommodation]],10,FALSE)</f>
        <v>Camp</v>
      </c>
      <c r="EC325" s="794" t="str">
        <f>VLOOKUP(WWWW[[#This Row],[Site Name]],SiteDB6[[Site Name]:[Ethnic or GCA/NGCA]],11,FALSE)</f>
        <v>NGCA</v>
      </c>
      <c r="ED325" s="794">
        <f>VLOOKUP(WWWW[[#This Row],[Site Name]],SiteDB6[[Site Name]:[Lat]],12,FALSE)</f>
        <v>25.265277999999999</v>
      </c>
      <c r="EE325" s="794">
        <f>VLOOKUP(WWWW[[#This Row],[Site Name]],SiteDB6[[Site Name]:[Long]],13,FALSE)</f>
        <v>97.990555999999998</v>
      </c>
      <c r="EF325" s="794" t="str">
        <f>VLOOKUP(WWWW[[#This Row],[Site Name]],SiteDB6[[Site Name]:[Pcode]],3,FALSE)</f>
        <v>MMR001CMP160</v>
      </c>
      <c r="EG325" s="799" t="str">
        <f t="shared" si="7"/>
        <v>Covered</v>
      </c>
      <c r="EH325" s="799" t="str">
        <f>VLOOKUP(WWWW[[#This Row],[Site Name]],Site_DB!$C$389:$D$1120,2,FALSE)</f>
        <v>cccm_2019OCT</v>
      </c>
    </row>
    <row r="326" spans="1:138" hidden="1">
      <c r="A326" s="792" t="s">
        <v>3262</v>
      </c>
      <c r="B326" s="792" t="s">
        <v>245</v>
      </c>
      <c r="C326" s="793" t="s">
        <v>245</v>
      </c>
      <c r="D326" s="793" t="s">
        <v>310</v>
      </c>
      <c r="E326" s="793" t="s">
        <v>39</v>
      </c>
      <c r="F326" s="793" t="s">
        <v>145</v>
      </c>
      <c r="G326" s="721" t="str">
        <f>VLOOKUP(WWWW[[#This Row],[Site Name]],SiteDB6[[Site Name]:[Location Type]],8,FALSE)</f>
        <v>Camp</v>
      </c>
      <c r="H326" s="404" t="s">
        <v>274</v>
      </c>
      <c r="I326" s="795">
        <v>115</v>
      </c>
      <c r="J326" s="795">
        <v>493</v>
      </c>
      <c r="K326" s="796">
        <v>43313</v>
      </c>
      <c r="L326" s="797">
        <v>44043</v>
      </c>
      <c r="M326" s="795">
        <v>134</v>
      </c>
      <c r="N326" s="795">
        <v>1</v>
      </c>
      <c r="O326" s="795"/>
      <c r="P326" s="795"/>
      <c r="Q326" s="798" t="s">
        <v>43</v>
      </c>
      <c r="R326" s="795">
        <v>3</v>
      </c>
      <c r="S326" s="795">
        <v>4</v>
      </c>
      <c r="T326" s="523">
        <v>1</v>
      </c>
      <c r="U326" s="795"/>
      <c r="V326" s="795"/>
      <c r="W326" s="795">
        <v>2</v>
      </c>
      <c r="X326" s="795">
        <v>3</v>
      </c>
      <c r="Y326" s="795"/>
      <c r="Z326" s="795"/>
      <c r="AA326" s="795">
        <v>0</v>
      </c>
      <c r="AB326" s="795"/>
      <c r="AC326" s="795"/>
      <c r="AD326" s="795">
        <v>0</v>
      </c>
      <c r="AE326" s="795">
        <v>0</v>
      </c>
      <c r="AF326" s="795">
        <v>0</v>
      </c>
      <c r="AG326" s="795">
        <v>0</v>
      </c>
      <c r="AH326" s="795">
        <v>0</v>
      </c>
      <c r="AI326" s="795"/>
      <c r="AJ326" s="795"/>
      <c r="AK326" s="795"/>
      <c r="AL326" s="795"/>
      <c r="AM326" s="795">
        <v>0</v>
      </c>
      <c r="AN326" s="795">
        <v>0</v>
      </c>
      <c r="AO326" s="799"/>
      <c r="AP326" s="795">
        <v>30</v>
      </c>
      <c r="AQ326" s="795">
        <v>10</v>
      </c>
      <c r="AR326" s="800" t="s">
        <v>3142</v>
      </c>
      <c r="AS326" s="795"/>
      <c r="AT326" s="795"/>
      <c r="AU326" s="795"/>
      <c r="AV326" s="795"/>
      <c r="AW326" s="795">
        <v>0</v>
      </c>
      <c r="AX326" s="794" t="s">
        <v>43</v>
      </c>
      <c r="AY326" s="799" t="s">
        <v>140</v>
      </c>
      <c r="AZ326" s="795">
        <v>0</v>
      </c>
      <c r="BA326" s="795">
        <v>0</v>
      </c>
      <c r="BB326" s="795">
        <v>0</v>
      </c>
      <c r="BC326" s="523"/>
      <c r="BD326" s="523"/>
      <c r="BE326" s="794"/>
      <c r="BF326" s="795">
        <v>8</v>
      </c>
      <c r="BG326" s="795"/>
      <c r="BH326" s="795">
        <v>0</v>
      </c>
      <c r="BI326" s="795">
        <v>5</v>
      </c>
      <c r="BJ326" s="795"/>
      <c r="BK326" s="795">
        <v>0</v>
      </c>
      <c r="BL326" s="795">
        <v>0</v>
      </c>
      <c r="BM326" s="795"/>
      <c r="BN326" s="795"/>
      <c r="BO326" s="474" t="s">
        <v>43</v>
      </c>
      <c r="BP326" s="801"/>
      <c r="BQ326" s="800"/>
      <c r="BR326" s="794"/>
      <c r="BS326" s="472"/>
      <c r="BT326" s="472"/>
      <c r="BU326" s="720"/>
      <c r="BV326" s="472"/>
      <c r="BW326" s="523"/>
      <c r="BX326" s="523"/>
      <c r="BY326" s="523"/>
      <c r="BZ326" s="802" t="str">
        <f>IFERROR(WWWW[[#This Row],['#_Water sources passed]]/WWWW[[#This Row],['#_Water sources tested for fecal coliform ]],"no test")</f>
        <v>no test</v>
      </c>
      <c r="CA326" s="800" t="str">
        <f>IFERROR(WWWW[[#This Row],['#_Household passed]]/WWWW[[#This Row],['#_Household water samples tested for fecal coliform]],"no test")</f>
        <v>no test</v>
      </c>
      <c r="CB326" s="801" t="str">
        <f>IF(AND(WWWW[[#This Row],[% of water sources passed]]="no test",WWWW[[#This Row],[% Household passed]]="no test"),"No Test","Tested")</f>
        <v>No Test</v>
      </c>
      <c r="CC326" s="801">
        <f>WWWW[[#This Row],['#_Constructed/existing protected hand dug well]]-WWWW[[#This Row],['#_Non-functional protected hand dug well]]</f>
        <v>1</v>
      </c>
      <c r="CD326" s="801">
        <f>(WWWW[[#This Row],['#_Constructed/Existing tube wells/boreholes/handpumps_WASH_agency]]+WWWW[[#This Row],['#_Non-Cluster partner water tube-wells/boreholes/handpumps]])-WWWW[[#This Row],['#_Non-functional tube wells/boreholes/handpumps]]</f>
        <v>5</v>
      </c>
      <c r="CE326" s="801">
        <f>WWWW[[#This Row],['#_Constructed/Existingwater storage tank with gravity fed reticulation system]]-WWWW[[#This Row],['#_Non-functional storage tank gravity fed reticulation system]]</f>
        <v>0</v>
      </c>
      <c r="CF326" s="801">
        <f>(WWWW[[#This Row],['#_Water_Liters_supplied_by_Water boating or water trucking]]/90)/15</f>
        <v>0</v>
      </c>
      <c r="CG326" s="801">
        <f>WWWW[[#This Row],['#_Water_Liters_from_Constructed/Existing water distribution system from river or natural spring]]/90/15</f>
        <v>0</v>
      </c>
      <c r="CH326" s="473">
        <f>WWWW[[#This Row],['#_of water points in TLS/CFS /THF]]*500</f>
        <v>0</v>
      </c>
      <c r="CI32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6" s="800">
        <f>IF(WWWW[[#This Row],[Location Type 1]]="Village",WWWW[[#This Row],[Access to safe drinking water for Village]],WWWW[[#This Row],[Access to safe drinking water for Camp]])</f>
        <v>1</v>
      </c>
      <c r="CL326" s="798">
        <f>WWWW[[#This Row],[%Equitable and continuous access to sufficient quantity of safe drinking water]]*WWWW[[#This Row],[Total PoP ]]</f>
        <v>493</v>
      </c>
      <c r="CM326" s="800">
        <f>IF((WWWW[[#This Row],['#_Constructed/Existing protected/fenced ponds]]*250)/WWWW[[#This Row],[Total PoP ]]&gt;1,1,(WWWW[[#This Row],['#_Constructed/Existing protected/fenced ponds]]*250)/WWWW[[#This Row],[Total PoP ]])</f>
        <v>0</v>
      </c>
      <c r="CN326" s="798">
        <f>WWWW[[#This Row],[% Access to unimproved water points]]*WWWW[[#This Row],[Total PoP ]]</f>
        <v>0</v>
      </c>
      <c r="CO32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Q326" s="798">
        <f>WWWW[[#This Row],[HRP1]]/500</f>
        <v>0.98599999999999999</v>
      </c>
      <c r="CR326" s="803">
        <f>1-WWWW[[#This Row],[% Equitable and continuous access to sufficient quantity of domestic water]]</f>
        <v>0</v>
      </c>
      <c r="CS326" s="798">
        <f>WWWW[[#This Row],[%equitable and continuous access to sufficient quantity of safe drinking and domestic water''s GAP]]*WWWW[[#This Row],[Total PoP ]]</f>
        <v>0</v>
      </c>
      <c r="CT326" s="801">
        <f>IF(WWWW[[#This Row],[Total required water points]]-WWWW[[#This Row],['#Water points coverage]]&lt;0,0,WWWW[[#This Row],[Total required water points]]-WWWW[[#This Row],['#Water points coverage]])</f>
        <v>1.4000000000000012E-2</v>
      </c>
      <c r="CU326" s="801">
        <f>ROUND(IF(WWWW[[#This Row],[Total PoP ]]&lt;500,1,WWWW[[#This Row],[Total PoP ]]/500),0)</f>
        <v>1</v>
      </c>
      <c r="CV326" s="801">
        <f>(WWWW[[#This Row],['#_Constructed latrines_by_WASHAgencies]]+WWWW[[#This Row],['#_Non Cluster partner latrines]])-WWWW[[#This Row],['#_Non-functional latrines]]</f>
        <v>40</v>
      </c>
      <c r="CW326" s="804">
        <f>WWWW[[#This Row],[HRP2]]/WWWW[[#This Row],[Total PoP ]]</f>
        <v>1</v>
      </c>
      <c r="CX32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493</v>
      </c>
      <c r="CY32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6" s="473">
        <f>IF(WWWW[[#This Row],['# of functional latrines in THF supported by WASH partners during the reporting period2]]="",0,WWWW[[#This Row],['# of functional latrines in THF supported by WASH partners during the reporting period2]]*50)</f>
        <v>0</v>
      </c>
      <c r="DB326" s="473">
        <f>WWWW[[#This Row],['# students access to functioning school latrines_HRP5]]+WWWW[[#This Row],['# People access to functioning latrines in THF_HRP5]]</f>
        <v>0</v>
      </c>
      <c r="DC326" s="801">
        <f>ROUND(IF(WWWW[[#This Row],[Location Type 1]]="camp",WWWW[[#This Row],[Total PoP ]]/20,IF(WWWW[[#This Row],[Location Type 1]]="Temporary Location",WWWW[[#This Row],[Total PoP ]]/50,(WWWW[[#This Row],[Total PoP ]]/6))),0)</f>
        <v>25</v>
      </c>
      <c r="DD326" s="801">
        <f>IF(WWWW[[#This Row],[Total required Latrines]]-(WWWW[[#This Row],['#_Constructed latrines_by_WASHAgencies]]+WWWW[[#This Row],['#_Non Cluster partner latrines]])&lt;0,0,WWWW[[#This Row],[Total required Latrines]]-(WWWW[[#This Row],['#_Constructed latrines_by_WASHAgencies]]+WWWW[[#This Row],['#_Non Cluster partner latrines]]))</f>
        <v>0</v>
      </c>
      <c r="DE326" s="803">
        <f>1-WWWW[[#This Row],[% people access to functioning Latrine]]</f>
        <v>0</v>
      </c>
      <c r="DF326" s="802">
        <f>IF(OR(WWWW[[#This Row],['#_Non-functional latrines]]="",WWWW[[#This Row],['#_Non-functional latrines]]=0),0,WWWW[[#This Row],['#_Non-functional latrines]]/(WWWW[[#This Row],['#_Constructed latrines_by_WASHAgencies]]+WWWW[[#This Row],['#_Non Cluster partner latrines]]))</f>
        <v>0</v>
      </c>
      <c r="DG326" s="798">
        <f>IF(500*(WWWW[[#This Row],['#_male hygiene promoters]]+WWWW[[#This Row],['#_female hygiene promoters]])&gt;WWWW[[#This Row],[Total PoP ]],WWWW[[#This Row],[Total PoP ]],500*(WWWW[[#This Row],['#_male hygiene promoters]]+WWWW[[#This Row],['#_female hygiene promoters]]))</f>
        <v>0</v>
      </c>
      <c r="DH32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6" s="801">
        <f>IF(WWWW[[#This Row],['# People with access to soap]]&gt;WWWW[[#This Row],['# People with access to Sanity Pads]],WWWW[[#This Row],['# People with access to soap]],WWWW[[#This Row],['# People with access to Sanity Pads]])</f>
        <v>0</v>
      </c>
      <c r="DK32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26" s="803">
        <f>IF(WWWW[[#This Row],[HRP3]]/WWWW[[#This Row],[Total PoP ]]&gt;1,1,WWWW[[#This Row],[HRP3]]/WWWW[[#This Row],[Total PoP ]])</f>
        <v>0</v>
      </c>
      <c r="DM326" s="802">
        <f>1-WWWW[[#This Row],[Hygiene Coverage%]]</f>
        <v>1</v>
      </c>
      <c r="DN326" s="800">
        <f>WWWW[[#This Row],['# people reached by regular dedicated hygiene promotion_5]]/WWWW[[#This Row],[Total PoP ]]</f>
        <v>0</v>
      </c>
      <c r="DO32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6" s="801">
        <f>WWWW[[#This Row],['#_Constructed/Existing hand washing stations]]-WWWW[[#This Row],['#_Non-Functional_hand_washing_stations]]</f>
        <v>8</v>
      </c>
      <c r="DR326" s="798">
        <f>IF(WWWW[[#This Row],['# Functional hand washing stations during reporting period]]*20&gt;WWWW[[#This Row],[Total HH]],WWWW[[#This Row],[Total HH]],WWWW[[#This Row],['# Functional hand washing stations during reporting period]]*20)</f>
        <v>115</v>
      </c>
      <c r="DS326" s="798">
        <f>IF(WWWW[[#This Row],[Is sufficient soap available for TLS? (Yes/No)]]="yes",WWWW[[#This Row],['#_Constructed/Existing hand washing stations at TLS]],0)</f>
        <v>0</v>
      </c>
      <c r="DT326" s="479">
        <f>IF(WWWW[[#This Row],['# Functional hand washing stations during reporting period]]*100&gt;WWWW[[#This Row],[Total PoP ]],WWWW[[#This Row],[Total PoP ]],WWWW[[#This Row],['# Functional hand washing stations during reporting period]]*100)</f>
        <v>493</v>
      </c>
      <c r="DU326" s="479" t="str">
        <f>IF(OR(WWWW[[#This Row],['#_students at TLS_CFS]]="",WWWW[[#This Row],['#_students at TLS_CFS]]=0),"No","Yes")</f>
        <v>Yes</v>
      </c>
      <c r="DV32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6" s="794" t="str">
        <f>VLOOKUP(WWWW[[#This Row],[Site Name]],SiteDB6[[Site Name]:[CCCM Management]],6,FALSE)</f>
        <v>Yes</v>
      </c>
      <c r="DZ326" s="794" t="str">
        <f>VLOOKUP(WWWW[[#This Row],[Site Name]],SiteDB6[[Site Name]:[CCCM Focal Agency]],7,FALSE)</f>
        <v>Shalom</v>
      </c>
      <c r="EA326" s="794" t="str">
        <f>VLOOKUP(WWWW[[#This Row],[Site Name]],SiteDB6[[Site Name]:[Location Type 1]],9,FALSE)</f>
        <v>Camp</v>
      </c>
      <c r="EB326" s="794" t="str">
        <f>VLOOKUP(WWWW[[#This Row],[Site Name]],SiteDB6[[Site Name]:[Type of Accommodation]],10,FALSE)</f>
        <v>Camp</v>
      </c>
      <c r="EC326" s="794" t="str">
        <f>VLOOKUP(WWWW[[#This Row],[Site Name]],SiteDB6[[Site Name]:[Ethnic or GCA/NGCA]],11,FALSE)</f>
        <v>GCA</v>
      </c>
      <c r="ED326" s="794">
        <f>VLOOKUP(WWWW[[#This Row],[Site Name]],SiteDB6[[Site Name]:[Lat]],12,FALSE)</f>
        <v>25.3540362037037</v>
      </c>
      <c r="EE326" s="794">
        <f>VLOOKUP(WWWW[[#This Row],[Site Name]],SiteDB6[[Site Name]:[Long]],13,FALSE)</f>
        <v>97.441166388888902</v>
      </c>
      <c r="EF326" s="794" t="str">
        <f>VLOOKUP(WWWW[[#This Row],[Site Name]],SiteDB6[[Site Name]:[Pcode]],3,FALSE)</f>
        <v>MMR001CMP032</v>
      </c>
      <c r="EG326" s="799" t="str">
        <f t="shared" si="7"/>
        <v>Covered</v>
      </c>
      <c r="EH326" s="799" t="str">
        <f>VLOOKUP(WWWW[[#This Row],[Site Name]],Site_DB!$C$389:$D$1120,2,FALSE)</f>
        <v>cccm_2019OCT</v>
      </c>
    </row>
    <row r="327" spans="1:138" hidden="1">
      <c r="A327" s="792" t="s">
        <v>3262</v>
      </c>
      <c r="B327" s="792" t="s">
        <v>144</v>
      </c>
      <c r="C327" s="793" t="s">
        <v>144</v>
      </c>
      <c r="D327" s="793" t="s">
        <v>3277</v>
      </c>
      <c r="E327" s="793" t="s">
        <v>39</v>
      </c>
      <c r="F327" s="793" t="s">
        <v>145</v>
      </c>
      <c r="G327" s="721" t="str">
        <f>VLOOKUP(WWWW[[#This Row],[Site Name]],SiteDB6[[Site Name]:[Location Type]],8,FALSE)</f>
        <v>Camp</v>
      </c>
      <c r="H327" s="404" t="s">
        <v>184</v>
      </c>
      <c r="I327" s="795">
        <v>60</v>
      </c>
      <c r="J327" s="795">
        <v>307</v>
      </c>
      <c r="K327" s="796" t="s">
        <v>3278</v>
      </c>
      <c r="L327" s="797" t="s">
        <v>3279</v>
      </c>
      <c r="M327" s="795"/>
      <c r="N327" s="795"/>
      <c r="O327" s="795"/>
      <c r="P327" s="795"/>
      <c r="Q327" s="798" t="s">
        <v>43</v>
      </c>
      <c r="R327" s="795"/>
      <c r="S327" s="795">
        <v>3</v>
      </c>
      <c r="T327" s="523">
        <v>2</v>
      </c>
      <c r="U327" s="795"/>
      <c r="V327" s="795"/>
      <c r="W327" s="795">
        <v>0</v>
      </c>
      <c r="X327" s="795"/>
      <c r="Y327" s="795"/>
      <c r="Z327" s="795"/>
      <c r="AA327" s="795"/>
      <c r="AB327" s="795"/>
      <c r="AC327" s="795"/>
      <c r="AD327" s="795"/>
      <c r="AE327" s="795"/>
      <c r="AF327" s="795"/>
      <c r="AG327" s="795"/>
      <c r="AH327" s="795">
        <v>1</v>
      </c>
      <c r="AI327" s="795"/>
      <c r="AJ327" s="795"/>
      <c r="AK327" s="795"/>
      <c r="AL327" s="795"/>
      <c r="AM327" s="795"/>
      <c r="AN327" s="795"/>
      <c r="AO327" s="799"/>
      <c r="AP327" s="795">
        <v>14</v>
      </c>
      <c r="AQ327" s="795"/>
      <c r="AR327" s="800"/>
      <c r="AS327" s="795"/>
      <c r="AT327" s="795"/>
      <c r="AU327" s="795"/>
      <c r="AV327" s="795"/>
      <c r="AW327" s="795">
        <v>10</v>
      </c>
      <c r="AX327" s="794" t="s">
        <v>43</v>
      </c>
      <c r="AY327" s="799" t="s">
        <v>140</v>
      </c>
      <c r="AZ327" s="795"/>
      <c r="BA327" s="795"/>
      <c r="BB327" s="795"/>
      <c r="BC327" s="523"/>
      <c r="BD327" s="523"/>
      <c r="BE327" s="794"/>
      <c r="BF327" s="795">
        <v>4</v>
      </c>
      <c r="BG327" s="795"/>
      <c r="BH327" s="795"/>
      <c r="BI327" s="795">
        <v>2</v>
      </c>
      <c r="BJ327" s="795"/>
      <c r="BK327" s="795"/>
      <c r="BL327" s="795">
        <v>1</v>
      </c>
      <c r="BM327" s="795"/>
      <c r="BN327" s="795"/>
      <c r="BO327" s="794"/>
      <c r="BP327" s="801"/>
      <c r="BQ327" s="800"/>
      <c r="BR327" s="794"/>
      <c r="BS327" s="472"/>
      <c r="BT327" s="472"/>
      <c r="BU327" s="523"/>
      <c r="BV327" s="472"/>
      <c r="BW327" s="523"/>
      <c r="BX327" s="523"/>
      <c r="BY327" s="523"/>
      <c r="BZ327" s="802" t="str">
        <f>IFERROR(WWWW[[#This Row],['#_Water sources passed]]/WWWW[[#This Row],['#_Water sources tested for fecal coliform ]],"no test")</f>
        <v>no test</v>
      </c>
      <c r="CA327" s="800" t="str">
        <f>IFERROR(WWWW[[#This Row],['#_Household passed]]/WWWW[[#This Row],['#_Household water samples tested for fecal coliform]],"no test")</f>
        <v>no test</v>
      </c>
      <c r="CB327" s="801" t="str">
        <f>IF(AND(WWWW[[#This Row],[% of water sources passed]]="no test",WWWW[[#This Row],[% Household passed]]="no test"),"No Test","Tested")</f>
        <v>No Test</v>
      </c>
      <c r="CC327" s="801">
        <f>WWWW[[#This Row],['#_Constructed/existing protected hand dug well]]-WWWW[[#This Row],['#_Non-functional protected hand dug well]]</f>
        <v>2</v>
      </c>
      <c r="CD327" s="801">
        <f>(WWWW[[#This Row],['#_Constructed/Existing tube wells/boreholes/handpumps_WASH_agency]]+WWWW[[#This Row],['#_Non-Cluster partner water tube-wells/boreholes/handpumps]])-WWWW[[#This Row],['#_Non-functional tube wells/boreholes/handpumps]]</f>
        <v>0</v>
      </c>
      <c r="CE327" s="801">
        <f>WWWW[[#This Row],['#_Constructed/Existingwater storage tank with gravity fed reticulation system]]-WWWW[[#This Row],['#_Non-functional storage tank gravity fed reticulation system]]</f>
        <v>0</v>
      </c>
      <c r="CF327" s="801">
        <f>(WWWW[[#This Row],['#_Water_Liters_supplied_by_Water boating or water trucking]]/90)/15</f>
        <v>0</v>
      </c>
      <c r="CG327" s="801">
        <f>WWWW[[#This Row],['#_Water_Liters_from_Constructed/Existing water distribution system from river or natural spring]]/90/15</f>
        <v>0</v>
      </c>
      <c r="CH327" s="473">
        <f>WWWW[[#This Row],['#_of water points in TLS/CFS /THF]]*500</f>
        <v>0</v>
      </c>
      <c r="CI32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7" s="800">
        <f>IF(WWWW[[#This Row],[Location Type 1]]="Village",WWWW[[#This Row],[Access to safe drinking water for Village]],WWWW[[#This Row],[Access to safe drinking water for Camp]])</f>
        <v>1</v>
      </c>
      <c r="CL327" s="798">
        <f>WWWW[[#This Row],[%Equitable and continuous access to sufficient quantity of safe drinking water]]*WWWW[[#This Row],[Total PoP ]]</f>
        <v>307</v>
      </c>
      <c r="CM327" s="800">
        <f>IF((WWWW[[#This Row],['#_Constructed/Existing protected/fenced ponds]]*250)/WWWW[[#This Row],[Total PoP ]]&gt;1,1,(WWWW[[#This Row],['#_Constructed/Existing protected/fenced ponds]]*250)/WWWW[[#This Row],[Total PoP ]])</f>
        <v>0</v>
      </c>
      <c r="CN327" s="798">
        <f>WWWW[[#This Row],[% Access to unimproved water points]]*WWWW[[#This Row],[Total PoP ]]</f>
        <v>0</v>
      </c>
      <c r="CO32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Q327" s="798">
        <f>WWWW[[#This Row],[HRP1]]/500</f>
        <v>0.61399999999999999</v>
      </c>
      <c r="CR327" s="803">
        <f>1-WWWW[[#This Row],[% Equitable and continuous access to sufficient quantity of domestic water]]</f>
        <v>0</v>
      </c>
      <c r="CS327" s="798">
        <f>WWWW[[#This Row],[%equitable and continuous access to sufficient quantity of safe drinking and domestic water''s GAP]]*WWWW[[#This Row],[Total PoP ]]</f>
        <v>0</v>
      </c>
      <c r="CT327" s="801">
        <f>IF(WWWW[[#This Row],[Total required water points]]-WWWW[[#This Row],['#Water points coverage]]&lt;0,0,WWWW[[#This Row],[Total required water points]]-WWWW[[#This Row],['#Water points coverage]])</f>
        <v>0.38600000000000001</v>
      </c>
      <c r="CU327" s="801">
        <f>ROUND(IF(WWWW[[#This Row],[Total PoP ]]&lt;500,1,WWWW[[#This Row],[Total PoP ]]/500),0)</f>
        <v>1</v>
      </c>
      <c r="CV327" s="801">
        <f>(WWWW[[#This Row],['#_Constructed latrines_by_WASHAgencies]]+WWWW[[#This Row],['#_Non Cluster partner latrines]])-WWWW[[#This Row],['#_Non-functional latrines]]</f>
        <v>14</v>
      </c>
      <c r="CW327" s="804">
        <f>WWWW[[#This Row],[HRP2]]/WWWW[[#This Row],[Total PoP ]]</f>
        <v>0.91205211726384361</v>
      </c>
      <c r="CX32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2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7" s="473">
        <f>IF(WWWW[[#This Row],['# of functional latrines in THF supported by WASH partners during the reporting period2]]="",0,WWWW[[#This Row],['# of functional latrines in THF supported by WASH partners during the reporting period2]]*50)</f>
        <v>0</v>
      </c>
      <c r="DB327" s="473">
        <f>WWWW[[#This Row],['# students access to functioning school latrines_HRP5]]+WWWW[[#This Row],['# People access to functioning latrines in THF_HRP5]]</f>
        <v>0</v>
      </c>
      <c r="DC327" s="801">
        <f>ROUND(IF(WWWW[[#This Row],[Location Type 1]]="camp",WWWW[[#This Row],[Total PoP ]]/20,IF(WWWW[[#This Row],[Location Type 1]]="Temporary Location",WWWW[[#This Row],[Total PoP ]]/50,(WWWW[[#This Row],[Total PoP ]]/6))),0)</f>
        <v>15</v>
      </c>
      <c r="DD327" s="801">
        <f>IF(WWWW[[#This Row],[Total required Latrines]]-(WWWW[[#This Row],['#_Constructed latrines_by_WASHAgencies]]+WWWW[[#This Row],['#_Non Cluster partner latrines]])&lt;0,0,WWWW[[#This Row],[Total required Latrines]]-(WWWW[[#This Row],['#_Constructed latrines_by_WASHAgencies]]+WWWW[[#This Row],['#_Non Cluster partner latrines]]))</f>
        <v>1</v>
      </c>
      <c r="DE327" s="803">
        <f>1-WWWW[[#This Row],[% people access to functioning Latrine]]</f>
        <v>8.7947882736156391E-2</v>
      </c>
      <c r="DF327" s="802">
        <f>IF(OR(WWWW[[#This Row],['#_Non-functional latrines]]="",WWWW[[#This Row],['#_Non-functional latrines]]=0),0,WWWW[[#This Row],['#_Non-functional latrines]]/(WWWW[[#This Row],['#_Constructed latrines_by_WASHAgencies]]+WWWW[[#This Row],['#_Non Cluster partner latrines]]))</f>
        <v>0</v>
      </c>
      <c r="DG327" s="798">
        <f>IF(500*(WWWW[[#This Row],['#_male hygiene promoters]]+WWWW[[#This Row],['#_female hygiene promoters]])&gt;WWWW[[#This Row],[Total PoP ]],WWWW[[#This Row],[Total PoP ]],500*(WWWW[[#This Row],['#_male hygiene promoters]]+WWWW[[#This Row],['#_female hygiene promoters]]))</f>
        <v>307</v>
      </c>
      <c r="DH32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2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7" s="801">
        <f>IF(WWWW[[#This Row],['# People with access to soap]]&gt;WWWW[[#This Row],['# People with access to Sanity Pads]],WWWW[[#This Row],['# People with access to soap]],WWWW[[#This Row],['# People with access to Sanity Pads]])</f>
        <v>0</v>
      </c>
      <c r="DK327" s="801">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L327" s="803">
        <f>IF(WWWW[[#This Row],[HRP3]]/WWWW[[#This Row],[Total PoP ]]&gt;1,1,WWWW[[#This Row],[HRP3]]/WWWW[[#This Row],[Total PoP ]])</f>
        <v>1</v>
      </c>
      <c r="DM327" s="802">
        <f>1-WWWW[[#This Row],[Hygiene Coverage%]]</f>
        <v>0</v>
      </c>
      <c r="DN327" s="800">
        <f>WWWW[[#This Row],['# people reached by regular dedicated hygiene promotion_5]]/WWWW[[#This Row],[Total PoP ]]</f>
        <v>1</v>
      </c>
      <c r="DO32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2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7" s="801">
        <f>WWWW[[#This Row],['#_Constructed/Existing hand washing stations]]-WWWW[[#This Row],['#_Non-Functional_hand_washing_stations]]</f>
        <v>4</v>
      </c>
      <c r="DR327" s="798">
        <f>IF(WWWW[[#This Row],['# Functional hand washing stations during reporting period]]*20&gt;WWWW[[#This Row],[Total HH]],WWWW[[#This Row],[Total HH]],WWWW[[#This Row],['# Functional hand washing stations during reporting period]]*20)</f>
        <v>60</v>
      </c>
      <c r="DS327" s="798">
        <f>IF(WWWW[[#This Row],[Is sufficient soap available for TLS? (Yes/No)]]="yes",WWWW[[#This Row],['#_Constructed/Existing hand washing stations at TLS]],0)</f>
        <v>0</v>
      </c>
      <c r="DT327" s="479">
        <f>IF(WWWW[[#This Row],['# Functional hand washing stations during reporting period]]*100&gt;WWWW[[#This Row],[Total PoP ]],WWWW[[#This Row],[Total PoP ]],WWWW[[#This Row],['# Functional hand washing stations during reporting period]]*100)</f>
        <v>307</v>
      </c>
      <c r="DU327" s="479" t="str">
        <f>IF(OR(WWWW[[#This Row],['#_students at TLS_CFS]]="",WWWW[[#This Row],['#_students at TLS_CFS]]=0),"No","Yes")</f>
        <v>No</v>
      </c>
      <c r="DV32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7" s="794" t="str">
        <f>VLOOKUP(WWWW[[#This Row],[Site Name]],SiteDB6[[Site Name]:[CCCM Management]],6,FALSE)</f>
        <v>Yes</v>
      </c>
      <c r="DZ327" s="794" t="str">
        <f>VLOOKUP(WWWW[[#This Row],[Site Name]],SiteDB6[[Site Name]:[CCCM Focal Agency]],7,FALSE)</f>
        <v>KBC-MYT</v>
      </c>
      <c r="EA327" s="794" t="str">
        <f>VLOOKUP(WWWW[[#This Row],[Site Name]],SiteDB6[[Site Name]:[Location Type 1]],9,FALSE)</f>
        <v>Camp</v>
      </c>
      <c r="EB327" s="794" t="str">
        <f>VLOOKUP(WWWW[[#This Row],[Site Name]],SiteDB6[[Site Name]:[Type of Accommodation]],10,FALSE)</f>
        <v>Camp</v>
      </c>
      <c r="EC327" s="794" t="str">
        <f>VLOOKUP(WWWW[[#This Row],[Site Name]],SiteDB6[[Site Name]:[Ethnic or GCA/NGCA]],11,FALSE)</f>
        <v>GCA</v>
      </c>
      <c r="ED327" s="794">
        <f>VLOOKUP(WWWW[[#This Row],[Site Name]],SiteDB6[[Site Name]:[Lat]],12,FALSE)</f>
        <v>25.351724999999998</v>
      </c>
      <c r="EE327" s="794">
        <f>VLOOKUP(WWWW[[#This Row],[Site Name]],SiteDB6[[Site Name]:[Long]],13,FALSE)</f>
        <v>97.438432380952406</v>
      </c>
      <c r="EF327" s="794" t="str">
        <f>VLOOKUP(WWWW[[#This Row],[Site Name]],SiteDB6[[Site Name]:[Pcode]],3,FALSE)</f>
        <v>MMR001CMP025</v>
      </c>
      <c r="EG327" s="799" t="str">
        <f t="shared" si="7"/>
        <v>Covered</v>
      </c>
      <c r="EH327" s="799" t="str">
        <f>VLOOKUP(WWWW[[#This Row],[Site Name]],Site_DB!$C$389:$D$1120,2,FALSE)</f>
        <v>cccm_2019OCT</v>
      </c>
    </row>
    <row r="328" spans="1:138" hidden="1">
      <c r="A328" s="792" t="s">
        <v>3262</v>
      </c>
      <c r="B328" s="792" t="s">
        <v>195</v>
      </c>
      <c r="C328" s="793" t="s">
        <v>195</v>
      </c>
      <c r="D328" s="404" t="s">
        <v>3364</v>
      </c>
      <c r="E328" s="793" t="s">
        <v>711</v>
      </c>
      <c r="F328" s="793" t="s">
        <v>715</v>
      </c>
      <c r="G328" s="721" t="str">
        <f>VLOOKUP(WWWW[[#This Row],[Site Name]],SiteDB6[[Site Name]:[Location Type]],8,FALSE)</f>
        <v>Camp</v>
      </c>
      <c r="H328" s="404" t="s">
        <v>734</v>
      </c>
      <c r="I328" s="795">
        <v>205</v>
      </c>
      <c r="J328" s="795">
        <v>1077</v>
      </c>
      <c r="K328" s="407" t="s">
        <v>3607</v>
      </c>
      <c r="L328" s="56" t="s">
        <v>3608</v>
      </c>
      <c r="M328" s="795"/>
      <c r="N328" s="795">
        <v>2</v>
      </c>
      <c r="O328" s="795"/>
      <c r="P328" s="795"/>
      <c r="Q328" s="798" t="s">
        <v>43</v>
      </c>
      <c r="R328" s="795">
        <v>5</v>
      </c>
      <c r="S328" s="795">
        <v>4</v>
      </c>
      <c r="T328" s="523">
        <v>2</v>
      </c>
      <c r="U328" s="795"/>
      <c r="V328" s="795"/>
      <c r="W328" s="720">
        <v>1</v>
      </c>
      <c r="X328" s="720"/>
      <c r="Y328" s="795"/>
      <c r="Z328" s="795"/>
      <c r="AA328" s="720">
        <v>99</v>
      </c>
      <c r="AB328" s="795"/>
      <c r="AC328" s="795"/>
      <c r="AD328" s="795"/>
      <c r="AE328" s="795"/>
      <c r="AF328" s="795"/>
      <c r="AG328" s="720">
        <v>3</v>
      </c>
      <c r="AH328" s="720">
        <v>1</v>
      </c>
      <c r="AI328" s="795"/>
      <c r="AJ328" s="795"/>
      <c r="AK328" s="795"/>
      <c r="AL328" s="795"/>
      <c r="AM328" s="720"/>
      <c r="AN328" s="720">
        <v>2</v>
      </c>
      <c r="AO328" s="719"/>
      <c r="AP328" s="720">
        <v>200</v>
      </c>
      <c r="AQ328" s="720">
        <v>5</v>
      </c>
      <c r="AR328" s="800"/>
      <c r="AS328" s="795"/>
      <c r="AT328" s="720">
        <v>37</v>
      </c>
      <c r="AU328" s="795"/>
      <c r="AV328" s="795"/>
      <c r="AW328" s="795">
        <v>18</v>
      </c>
      <c r="AX328" s="794" t="s">
        <v>139</v>
      </c>
      <c r="AY328" s="799" t="s">
        <v>139</v>
      </c>
      <c r="AZ328" s="795"/>
      <c r="BA328" s="795"/>
      <c r="BB328" s="720">
        <v>2</v>
      </c>
      <c r="BC328" s="720"/>
      <c r="BD328" s="523"/>
      <c r="BE328" s="794"/>
      <c r="BF328" s="720">
        <v>2</v>
      </c>
      <c r="BG328" s="720"/>
      <c r="BH328" s="720"/>
      <c r="BI328" s="720">
        <v>5</v>
      </c>
      <c r="BJ328" s="720"/>
      <c r="BK328" s="720"/>
      <c r="BL328" s="720">
        <v>1</v>
      </c>
      <c r="BM328" s="720">
        <v>207</v>
      </c>
      <c r="BN328" s="720"/>
      <c r="BO328" s="794"/>
      <c r="BP328" s="801"/>
      <c r="BQ328" s="800"/>
      <c r="BR328" s="794"/>
      <c r="BS328" s="472"/>
      <c r="BT328" s="472"/>
      <c r="BU328" s="720"/>
      <c r="BV328" s="472"/>
      <c r="BW328" s="523"/>
      <c r="BX328" s="523"/>
      <c r="BY328" s="523"/>
      <c r="BZ328" s="802" t="str">
        <f>IFERROR(WWWW[[#This Row],['#_Water sources passed]]/WWWW[[#This Row],['#_Water sources tested for fecal coliform ]],"no test")</f>
        <v>no test</v>
      </c>
      <c r="CA328" s="800" t="str">
        <f>IFERROR(WWWW[[#This Row],['#_Household passed]]/WWWW[[#This Row],['#_Household water samples tested for fecal coliform]],"no test")</f>
        <v>no test</v>
      </c>
      <c r="CB328" s="801" t="str">
        <f>IF(AND(WWWW[[#This Row],[% of water sources passed]]="no test",WWWW[[#This Row],[% Household passed]]="no test"),"No Test","Tested")</f>
        <v>No Test</v>
      </c>
      <c r="CC328" s="801">
        <f>WWWW[[#This Row],['#_Constructed/existing protected hand dug well]]-WWWW[[#This Row],['#_Non-functional protected hand dug well]]</f>
        <v>2</v>
      </c>
      <c r="CD328" s="801">
        <f>(WWWW[[#This Row],['#_Constructed/Existing tube wells/boreholes/handpumps_WASH_agency]]+WWWW[[#This Row],['#_Non-Cluster partner water tube-wells/boreholes/handpumps]])-WWWW[[#This Row],['#_Non-functional tube wells/boreholes/handpumps]]</f>
        <v>1</v>
      </c>
      <c r="CE328" s="801">
        <f>WWWW[[#This Row],['#_Constructed/Existingwater storage tank with gravity fed reticulation system]]-WWWW[[#This Row],['#_Non-functional storage tank gravity fed reticulation system]]</f>
        <v>99</v>
      </c>
      <c r="CF328" s="801">
        <f>(WWWW[[#This Row],['#_Water_Liters_supplied_by_Water boating or water trucking]]/90)/15</f>
        <v>0</v>
      </c>
      <c r="CG328" s="801">
        <f>WWWW[[#This Row],['#_Water_Liters_from_Constructed/Existing water distribution system from river or natural spring]]/90/15</f>
        <v>0</v>
      </c>
      <c r="CH328" s="473">
        <f>WWWW[[#This Row],['#_of water points in TLS/CFS /THF]]*500</f>
        <v>1000</v>
      </c>
      <c r="CI32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8" s="800">
        <f>IF(WWWW[[#This Row],[Location Type 1]]="Village",WWWW[[#This Row],[Access to safe drinking water for Village]],WWWW[[#This Row],[Access to safe drinking water for Camp]])</f>
        <v>1</v>
      </c>
      <c r="CL328" s="798">
        <f>WWWW[[#This Row],[%Equitable and continuous access to sufficient quantity of safe drinking water]]*WWWW[[#This Row],[Total PoP ]]</f>
        <v>1077</v>
      </c>
      <c r="CM328" s="800">
        <f>IF((WWWW[[#This Row],['#_Constructed/Existing protected/fenced ponds]]*250)/WWWW[[#This Row],[Total PoP ]]&gt;1,1,(WWWW[[#This Row],['#_Constructed/Existing protected/fenced ponds]]*250)/WWWW[[#This Row],[Total PoP ]])</f>
        <v>0</v>
      </c>
      <c r="CN328" s="798">
        <f>WWWW[[#This Row],[% Access to unimproved water points]]*WWWW[[#This Row],[Total PoP ]]</f>
        <v>0</v>
      </c>
      <c r="CO32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Q328" s="798">
        <f>WWWW[[#This Row],[HRP1]]/500</f>
        <v>2.1539999999999999</v>
      </c>
      <c r="CR328" s="803">
        <f>1-WWWW[[#This Row],[% Equitable and continuous access to sufficient quantity of domestic water]]</f>
        <v>0</v>
      </c>
      <c r="CS328" s="798">
        <f>WWWW[[#This Row],[%equitable and continuous access to sufficient quantity of safe drinking and domestic water''s GAP]]*WWWW[[#This Row],[Total PoP ]]</f>
        <v>0</v>
      </c>
      <c r="CT328" s="801">
        <f>IF(WWWW[[#This Row],[Total required water points]]-WWWW[[#This Row],['#Water points coverage]]&lt;0,0,WWWW[[#This Row],[Total required water points]]-WWWW[[#This Row],['#Water points coverage]])</f>
        <v>0</v>
      </c>
      <c r="CU328" s="801">
        <f>ROUND(IF(WWWW[[#This Row],[Total PoP ]]&lt;500,1,WWWW[[#This Row],[Total PoP ]]/500),0)</f>
        <v>2</v>
      </c>
      <c r="CV328" s="801">
        <f>(WWWW[[#This Row],['#_Constructed latrines_by_WASHAgencies]]+WWWW[[#This Row],['#_Non Cluster partner latrines]])-WWWW[[#This Row],['#_Non-functional latrines]]</f>
        <v>205</v>
      </c>
      <c r="CW328" s="804">
        <f>WWWW[[#This Row],[HRP2]]/WWWW[[#This Row],[Total PoP ]]</f>
        <v>0.95171773444753949</v>
      </c>
      <c r="CX32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CY32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8" s="473">
        <f>IF(WWWW[[#This Row],['# of functional latrines in THF supported by WASH partners during the reporting period2]]="",0,WWWW[[#This Row],['# of functional latrines in THF supported by WASH partners during the reporting period2]]*50)</f>
        <v>0</v>
      </c>
      <c r="DB328" s="473">
        <f>WWWW[[#This Row],['# students access to functioning school latrines_HRP5]]+WWWW[[#This Row],['# People access to functioning latrines in THF_HRP5]]</f>
        <v>0</v>
      </c>
      <c r="DC328" s="801">
        <f>ROUND(IF(WWWW[[#This Row],[Location Type 1]]="camp",WWWW[[#This Row],[Total PoP ]]/20,IF(WWWW[[#This Row],[Location Type 1]]="Temporary Location",WWWW[[#This Row],[Total PoP ]]/50,(WWWW[[#This Row],[Total PoP ]]/6))),0)</f>
        <v>180</v>
      </c>
      <c r="DD328" s="801">
        <f>IF(WWWW[[#This Row],[Total required Latrines]]-(WWWW[[#This Row],['#_Constructed latrines_by_WASHAgencies]]+WWWW[[#This Row],['#_Non Cluster partner latrines]])&lt;0,0,WWWW[[#This Row],[Total required Latrines]]-(WWWW[[#This Row],['#_Constructed latrines_by_WASHAgencies]]+WWWW[[#This Row],['#_Non Cluster partner latrines]]))</f>
        <v>0</v>
      </c>
      <c r="DE328" s="803">
        <f>1-WWWW[[#This Row],[% people access to functioning Latrine]]</f>
        <v>4.8282265552460513E-2</v>
      </c>
      <c r="DF328" s="802">
        <f>IF(OR(WWWW[[#This Row],['#_Non-functional latrines]]="",WWWW[[#This Row],['#_Non-functional latrines]]=0),0,WWWW[[#This Row],['#_Non-functional latrines]]/(WWWW[[#This Row],['#_Constructed latrines_by_WASHAgencies]]+WWWW[[#This Row],['#_Non Cluster partner latrines]]))</f>
        <v>0</v>
      </c>
      <c r="DG328" s="798">
        <f>IF(500*(WWWW[[#This Row],['#_male hygiene promoters]]+WWWW[[#This Row],['#_female hygiene promoters]])&gt;WWWW[[#This Row],[Total PoP ]],WWWW[[#This Row],[Total PoP ]],500*(WWWW[[#This Row],['#_male hygiene promoters]]+WWWW[[#This Row],['#_female hygiene promoters]]))</f>
        <v>500</v>
      </c>
      <c r="DH32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1035</v>
      </c>
      <c r="DI32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8" s="801">
        <f>IF(WWWW[[#This Row],['# People with access to soap]]&gt;WWWW[[#This Row],['# People with access to Sanity Pads]],WWWW[[#This Row],['# People with access to soap]],WWWW[[#This Row],['# People with access to Sanity Pads]])</f>
        <v>1035</v>
      </c>
      <c r="DK328" s="801">
        <f>IF(WWWW[[#This Row],['# people reached by regular dedicated hygiene promotion_5]]&gt;WWWW[[#This Row],['# People received regular supply of hygiene items_6]],WWWW[[#This Row],['# people reached by regular dedicated hygiene promotion_5]],WWWW[[#This Row],['# People received regular supply of hygiene items_6]])</f>
        <v>1035</v>
      </c>
      <c r="DL328" s="803">
        <f>IF(WWWW[[#This Row],[HRP3]]/WWWW[[#This Row],[Total PoP ]]&gt;1,1,WWWW[[#This Row],[HRP3]]/WWWW[[#This Row],[Total PoP ]])</f>
        <v>0.96100278551532037</v>
      </c>
      <c r="DM328" s="802">
        <f>1-WWWW[[#This Row],[Hygiene Coverage%]]</f>
        <v>3.8997214484679632E-2</v>
      </c>
      <c r="DN328" s="800">
        <f>WWWW[[#This Row],['# people reached by regular dedicated hygiene promotion_5]]/WWWW[[#This Row],[Total PoP ]]</f>
        <v>0.46425255338904364</v>
      </c>
      <c r="DO32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8" s="801">
        <f>WWWW[[#This Row],['#_Constructed/Existing hand washing stations]]-WWWW[[#This Row],['#_Non-Functional_hand_washing_stations]]</f>
        <v>2</v>
      </c>
      <c r="DR328" s="798">
        <f>IF(WWWW[[#This Row],['# Functional hand washing stations during reporting period]]*20&gt;WWWW[[#This Row],[Total HH]],WWWW[[#This Row],[Total HH]],WWWW[[#This Row],['# Functional hand washing stations during reporting period]]*20)</f>
        <v>40</v>
      </c>
      <c r="DS328" s="798">
        <f>IF(WWWW[[#This Row],[Is sufficient soap available for TLS? (Yes/No)]]="yes",WWWW[[#This Row],['#_Constructed/Existing hand washing stations at TLS]],0)</f>
        <v>0</v>
      </c>
      <c r="DT328" s="479">
        <f>IF(WWWW[[#This Row],['# Functional hand washing stations during reporting period]]*100&gt;WWWW[[#This Row],[Total PoP ]],WWWW[[#This Row],[Total PoP ]],WWWW[[#This Row],['# Functional hand washing stations during reporting period]]*100)</f>
        <v>200</v>
      </c>
      <c r="DU328" s="479" t="str">
        <f>IF(OR(WWWW[[#This Row],['#_students at TLS_CFS]]="",WWWW[[#This Row],['#_students at TLS_CFS]]=0),"No","Yes")</f>
        <v>No</v>
      </c>
      <c r="DV32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28" s="794" t="str">
        <f>VLOOKUP(WWWW[[#This Row],[Site Name]],SiteDB6[[Site Name]:[CCCM Management]],6,FALSE)</f>
        <v>Yes</v>
      </c>
      <c r="DZ328" s="794" t="str">
        <f>VLOOKUP(WWWW[[#This Row],[Site Name]],SiteDB6[[Site Name]:[CCCM Focal Agency]],7,FALSE)</f>
        <v>KBC-NSS</v>
      </c>
      <c r="EA328" s="794" t="str">
        <f>VLOOKUP(WWWW[[#This Row],[Site Name]],SiteDB6[[Site Name]:[Location Type 1]],9,FALSE)</f>
        <v>Village Type Camp</v>
      </c>
      <c r="EB328" s="794" t="str">
        <f>VLOOKUP(WWWW[[#This Row],[Site Name]],SiteDB6[[Site Name]:[Type of Accommodation]],10,FALSE)</f>
        <v>Camp</v>
      </c>
      <c r="EC328" s="794" t="str">
        <f>VLOOKUP(WWWW[[#This Row],[Site Name]],SiteDB6[[Site Name]:[Ethnic or GCA/NGCA]],11,FALSE)</f>
        <v>GCA</v>
      </c>
      <c r="ED328" s="794">
        <f>VLOOKUP(WWWW[[#This Row],[Site Name]],SiteDB6[[Site Name]:[Lat]],12,FALSE)</f>
        <v>23.38503</v>
      </c>
      <c r="EE328" s="794">
        <f>VLOOKUP(WWWW[[#This Row],[Site Name]],SiteDB6[[Site Name]:[Long]],13,FALSE)</f>
        <v>97.837040000000002</v>
      </c>
      <c r="EF328" s="794" t="str">
        <f>VLOOKUP(WWWW[[#This Row],[Site Name]],SiteDB6[[Site Name]:[Pcode]],3,FALSE)</f>
        <v>MMR015CMP020</v>
      </c>
      <c r="EG328" s="799" t="str">
        <f t="shared" si="7"/>
        <v>Covered</v>
      </c>
      <c r="EH328" s="799" t="str">
        <f>VLOOKUP(WWWW[[#This Row],[Site Name]],Site_DB!$C$389:$D$1120,2,FALSE)</f>
        <v>cccm_2019OCT</v>
      </c>
    </row>
    <row r="329" spans="1:138" hidden="1">
      <c r="A329" s="792" t="s">
        <v>3262</v>
      </c>
      <c r="B329" s="792" t="s">
        <v>3293</v>
      </c>
      <c r="C329" s="793" t="s">
        <v>3293</v>
      </c>
      <c r="D329" s="793" t="s">
        <v>3365</v>
      </c>
      <c r="E329" s="793" t="s">
        <v>711</v>
      </c>
      <c r="F329" s="793" t="s">
        <v>718</v>
      </c>
      <c r="G329" s="721" t="str">
        <f>VLOOKUP(WWWW[[#This Row],[Site Name]],SiteDB6[[Site Name]:[Location Type]],8,FALSE)</f>
        <v>Camp</v>
      </c>
      <c r="H329" s="404" t="s">
        <v>719</v>
      </c>
      <c r="I329" s="795">
        <v>29</v>
      </c>
      <c r="J329" s="795">
        <v>235</v>
      </c>
      <c r="K329" s="407" t="s">
        <v>3607</v>
      </c>
      <c r="L329" s="56" t="s">
        <v>3608</v>
      </c>
      <c r="M329" s="795"/>
      <c r="N329" s="720">
        <v>2</v>
      </c>
      <c r="O329" s="795"/>
      <c r="P329" s="795"/>
      <c r="Q329" s="798" t="s">
        <v>43</v>
      </c>
      <c r="R329" s="720">
        <v>2</v>
      </c>
      <c r="S329" s="720">
        <v>8</v>
      </c>
      <c r="T329" s="523">
        <v>1</v>
      </c>
      <c r="U329" s="795"/>
      <c r="V329" s="795"/>
      <c r="W329" s="795">
        <v>2</v>
      </c>
      <c r="X329" s="795"/>
      <c r="Y329" s="795"/>
      <c r="Z329" s="795"/>
      <c r="AA329" s="795"/>
      <c r="AB329" s="795"/>
      <c r="AC329" s="795"/>
      <c r="AD329" s="795"/>
      <c r="AE329" s="795">
        <v>2</v>
      </c>
      <c r="AF329" s="795"/>
      <c r="AG329" s="795">
        <v>1</v>
      </c>
      <c r="AH329" s="795">
        <v>1</v>
      </c>
      <c r="AI329" s="795"/>
      <c r="AJ329" s="795"/>
      <c r="AK329" s="795"/>
      <c r="AL329" s="795"/>
      <c r="AM329" s="795">
        <v>4</v>
      </c>
      <c r="AN329" s="795"/>
      <c r="AO329" s="799"/>
      <c r="AP329" s="795">
        <v>8</v>
      </c>
      <c r="AQ329" s="795"/>
      <c r="AR329" s="800"/>
      <c r="AS329" s="795"/>
      <c r="AT329" s="795"/>
      <c r="AU329" s="795"/>
      <c r="AV329" s="795"/>
      <c r="AW329" s="795">
        <v>8</v>
      </c>
      <c r="AX329" s="794" t="s">
        <v>43</v>
      </c>
      <c r="AY329" s="799" t="s">
        <v>140</v>
      </c>
      <c r="AZ329" s="795"/>
      <c r="BA329" s="795"/>
      <c r="BB329" s="795">
        <v>0</v>
      </c>
      <c r="BC329" s="523"/>
      <c r="BD329" s="523"/>
      <c r="BE329" s="794"/>
      <c r="BF329" s="795">
        <v>4</v>
      </c>
      <c r="BG329" s="795"/>
      <c r="BH329" s="795">
        <v>0</v>
      </c>
      <c r="BI329" s="795">
        <v>2</v>
      </c>
      <c r="BJ329" s="795"/>
      <c r="BK329" s="795"/>
      <c r="BL329" s="795">
        <v>2</v>
      </c>
      <c r="BM329" s="720">
        <v>30</v>
      </c>
      <c r="BN329" s="795"/>
      <c r="BO329" s="806" t="s">
        <v>43</v>
      </c>
      <c r="BP329" s="801"/>
      <c r="BQ329" s="800"/>
      <c r="BR329" s="794"/>
      <c r="BS329" s="472"/>
      <c r="BT329" s="472"/>
      <c r="BU329" s="720"/>
      <c r="BV329" s="472"/>
      <c r="BW329" s="523"/>
      <c r="BX329" s="523"/>
      <c r="BY329" s="523"/>
      <c r="BZ329" s="802" t="str">
        <f>IFERROR(WWWW[[#This Row],['#_Water sources passed]]/WWWW[[#This Row],['#_Water sources tested for fecal coliform ]],"no test")</f>
        <v>no test</v>
      </c>
      <c r="CA329" s="800" t="str">
        <f>IFERROR(WWWW[[#This Row],['#_Household passed]]/WWWW[[#This Row],['#_Household water samples tested for fecal coliform]],"no test")</f>
        <v>no test</v>
      </c>
      <c r="CB329" s="801" t="str">
        <f>IF(AND(WWWW[[#This Row],[% of water sources passed]]="no test",WWWW[[#This Row],[% Household passed]]="no test"),"No Test","Tested")</f>
        <v>No Test</v>
      </c>
      <c r="CC329" s="801">
        <f>WWWW[[#This Row],['#_Constructed/existing protected hand dug well]]-WWWW[[#This Row],['#_Non-functional protected hand dug well]]</f>
        <v>1</v>
      </c>
      <c r="CD329" s="801">
        <f>(WWWW[[#This Row],['#_Constructed/Existing tube wells/boreholes/handpumps_WASH_agency]]+WWWW[[#This Row],['#_Non-Cluster partner water tube-wells/boreholes/handpumps]])-WWWW[[#This Row],['#_Non-functional tube wells/boreholes/handpumps]]</f>
        <v>2</v>
      </c>
      <c r="CE329" s="801">
        <f>WWWW[[#This Row],['#_Constructed/Existingwater storage tank with gravity fed reticulation system]]-WWWW[[#This Row],['#_Non-functional storage tank gravity fed reticulation system]]</f>
        <v>0</v>
      </c>
      <c r="CF329" s="801">
        <f>(WWWW[[#This Row],['#_Water_Liters_supplied_by_Water boating or water trucking]]/90)/15</f>
        <v>0</v>
      </c>
      <c r="CG329" s="801">
        <f>WWWW[[#This Row],['#_Water_Liters_from_Constructed/Existing water distribution system from river or natural spring]]/90/15</f>
        <v>0</v>
      </c>
      <c r="CH329" s="473">
        <f>WWWW[[#This Row],['#_of water points in TLS/CFS /THF]]*500</f>
        <v>0</v>
      </c>
      <c r="CI32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2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29" s="800">
        <f>IF(WWWW[[#This Row],[Location Type 1]]="Village",WWWW[[#This Row],[Access to safe drinking water for Village]],WWWW[[#This Row],[Access to safe drinking water for Camp]])</f>
        <v>1</v>
      </c>
      <c r="CL329" s="798">
        <f>WWWW[[#This Row],[%Equitable and continuous access to sufficient quantity of safe drinking water]]*WWWW[[#This Row],[Total PoP ]]</f>
        <v>235</v>
      </c>
      <c r="CM329" s="800">
        <f>IF((WWWW[[#This Row],['#_Constructed/Existing protected/fenced ponds]]*250)/WWWW[[#This Row],[Total PoP ]]&gt;1,1,(WWWW[[#This Row],['#_Constructed/Existing protected/fenced ponds]]*250)/WWWW[[#This Row],[Total PoP ]])</f>
        <v>1</v>
      </c>
      <c r="CN329" s="798">
        <f>WWWW[[#This Row],[% Access to unimproved water points]]*WWWW[[#This Row],[Total PoP ]]</f>
        <v>235</v>
      </c>
      <c r="CO32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2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329" s="798">
        <f>WWWW[[#This Row],[HRP1]]/500</f>
        <v>0.47</v>
      </c>
      <c r="CR329" s="803">
        <f>1-WWWW[[#This Row],[% Equitable and continuous access to sufficient quantity of domestic water]]</f>
        <v>0</v>
      </c>
      <c r="CS329" s="798">
        <f>WWWW[[#This Row],[%equitable and continuous access to sufficient quantity of safe drinking and domestic water''s GAP]]*WWWW[[#This Row],[Total PoP ]]</f>
        <v>0</v>
      </c>
      <c r="CT329" s="801">
        <f>IF(WWWW[[#This Row],[Total required water points]]-WWWW[[#This Row],['#Water points coverage]]&lt;0,0,WWWW[[#This Row],[Total required water points]]-WWWW[[#This Row],['#Water points coverage]])</f>
        <v>0.53</v>
      </c>
      <c r="CU329" s="801">
        <f>ROUND(IF(WWWW[[#This Row],[Total PoP ]]&lt;500,1,WWWW[[#This Row],[Total PoP ]]/500),0)</f>
        <v>1</v>
      </c>
      <c r="CV329" s="801">
        <f>(WWWW[[#This Row],['#_Constructed latrines_by_WASHAgencies]]+WWWW[[#This Row],['#_Non Cluster partner latrines]])-WWWW[[#This Row],['#_Non-functional latrines]]</f>
        <v>8</v>
      </c>
      <c r="CW329" s="804">
        <f>WWWW[[#This Row],[HRP2]]/WWWW[[#This Row],[Total PoP ]]</f>
        <v>0.68085106382978722</v>
      </c>
      <c r="CX32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2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2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29" s="473">
        <f>IF(WWWW[[#This Row],['# of functional latrines in THF supported by WASH partners during the reporting period2]]="",0,WWWW[[#This Row],['# of functional latrines in THF supported by WASH partners during the reporting period2]]*50)</f>
        <v>0</v>
      </c>
      <c r="DB329" s="473">
        <f>WWWW[[#This Row],['# students access to functioning school latrines_HRP5]]+WWWW[[#This Row],['# People access to functioning latrines in THF_HRP5]]</f>
        <v>0</v>
      </c>
      <c r="DC329" s="801">
        <f>ROUND(IF(WWWW[[#This Row],[Location Type 1]]="camp",WWWW[[#This Row],[Total PoP ]]/20,IF(WWWW[[#This Row],[Location Type 1]]="Temporary Location",WWWW[[#This Row],[Total PoP ]]/50,(WWWW[[#This Row],[Total PoP ]]/6))),0)</f>
        <v>12</v>
      </c>
      <c r="DD329" s="801">
        <f>IF(WWWW[[#This Row],[Total required Latrines]]-(WWWW[[#This Row],['#_Constructed latrines_by_WASHAgencies]]+WWWW[[#This Row],['#_Non Cluster partner latrines]])&lt;0,0,WWWW[[#This Row],[Total required Latrines]]-(WWWW[[#This Row],['#_Constructed latrines_by_WASHAgencies]]+WWWW[[#This Row],['#_Non Cluster partner latrines]]))</f>
        <v>4</v>
      </c>
      <c r="DE329" s="803">
        <f>1-WWWW[[#This Row],[% people access to functioning Latrine]]</f>
        <v>0.31914893617021278</v>
      </c>
      <c r="DF329" s="802">
        <f>IF(OR(WWWW[[#This Row],['#_Non-functional latrines]]="",WWWW[[#This Row],['#_Non-functional latrines]]=0),0,WWWW[[#This Row],['#_Non-functional latrines]]/(WWWW[[#This Row],['#_Constructed latrines_by_WASHAgencies]]+WWWW[[#This Row],['#_Non Cluster partner latrines]]))</f>
        <v>0</v>
      </c>
      <c r="DG329" s="798">
        <f>IF(500*(WWWW[[#This Row],['#_male hygiene promoters]]+WWWW[[#This Row],['#_female hygiene promoters]])&gt;WWWW[[#This Row],[Total PoP ]],WWWW[[#This Row],[Total PoP ]],500*(WWWW[[#This Row],['#_male hygiene promoters]]+WWWW[[#This Row],['#_female hygiene promoters]]))</f>
        <v>235</v>
      </c>
      <c r="DH32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DI32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29" s="801">
        <f>IF(WWWW[[#This Row],['# People with access to soap]]&gt;WWWW[[#This Row],['# People with access to Sanity Pads]],WWWW[[#This Row],['# People with access to soap]],WWWW[[#This Row],['# People with access to Sanity Pads]])</f>
        <v>150</v>
      </c>
      <c r="DK329" s="80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329" s="803">
        <f>IF(WWWW[[#This Row],[HRP3]]/WWWW[[#This Row],[Total PoP ]]&gt;1,1,WWWW[[#This Row],[HRP3]]/WWWW[[#This Row],[Total PoP ]])</f>
        <v>1</v>
      </c>
      <c r="DM329" s="802">
        <f>1-WWWW[[#This Row],[Hygiene Coverage%]]</f>
        <v>0</v>
      </c>
      <c r="DN329" s="800">
        <f>WWWW[[#This Row],['# people reached by regular dedicated hygiene promotion_5]]/WWWW[[#This Row],[Total PoP ]]</f>
        <v>1</v>
      </c>
      <c r="DO32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2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29" s="801">
        <f>WWWW[[#This Row],['#_Constructed/Existing hand washing stations]]-WWWW[[#This Row],['#_Non-Functional_hand_washing_stations]]</f>
        <v>4</v>
      </c>
      <c r="DR329" s="798">
        <f>IF(WWWW[[#This Row],['# Functional hand washing stations during reporting period]]*20&gt;WWWW[[#This Row],[Total HH]],WWWW[[#This Row],[Total HH]],WWWW[[#This Row],['# Functional hand washing stations during reporting period]]*20)</f>
        <v>29</v>
      </c>
      <c r="DS329" s="798">
        <f>IF(WWWW[[#This Row],[Is sufficient soap available for TLS? (Yes/No)]]="yes",WWWW[[#This Row],['#_Constructed/Existing hand washing stations at TLS]],0)</f>
        <v>4</v>
      </c>
      <c r="DT329" s="479">
        <f>IF(WWWW[[#This Row],['# Functional hand washing stations during reporting period]]*100&gt;WWWW[[#This Row],[Total PoP ]],WWWW[[#This Row],[Total PoP ]],WWWW[[#This Row],['# Functional hand washing stations during reporting period]]*100)</f>
        <v>235</v>
      </c>
      <c r="DU329" s="479" t="str">
        <f>IF(OR(WWWW[[#This Row],['#_students at TLS_CFS]]="",WWWW[[#This Row],['#_students at TLS_CFS]]=0),"No","Yes")</f>
        <v>No</v>
      </c>
      <c r="DV32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29" s="794" t="str">
        <f>VLOOKUP(WWWW[[#This Row],[Site Name]],SiteDB6[[Site Name]:[CCCM Management]],6,FALSE)</f>
        <v>Yes</v>
      </c>
      <c r="DZ329" s="794" t="str">
        <f>VLOOKUP(WWWW[[#This Row],[Site Name]],SiteDB6[[Site Name]:[CCCM Focal Agency]],7,FALSE)</f>
        <v>KMSS-LSO</v>
      </c>
      <c r="EA329" s="794" t="str">
        <f>VLOOKUP(WWWW[[#This Row],[Site Name]],SiteDB6[[Site Name]:[Location Type 1]],9,FALSE)</f>
        <v>Camp</v>
      </c>
      <c r="EB329" s="794" t="str">
        <f>VLOOKUP(WWWW[[#This Row],[Site Name]],SiteDB6[[Site Name]:[Type of Accommodation]],10,FALSE)</f>
        <v>Camp</v>
      </c>
      <c r="EC329" s="794" t="str">
        <f>VLOOKUP(WWWW[[#This Row],[Site Name]],SiteDB6[[Site Name]:[Ethnic or GCA/NGCA]],11,FALSE)</f>
        <v>GCA</v>
      </c>
      <c r="ED329" s="794">
        <f>VLOOKUP(WWWW[[#This Row],[Site Name]],SiteDB6[[Site Name]:[Lat]],12,FALSE)</f>
        <v>23.24661</v>
      </c>
      <c r="EE329" s="794">
        <f>VLOOKUP(WWWW[[#This Row],[Site Name]],SiteDB6[[Site Name]:[Long]],13,FALSE)</f>
        <v>97.116680000000002</v>
      </c>
      <c r="EF329" s="794" t="str">
        <f>VLOOKUP(WWWW[[#This Row],[Site Name]],SiteDB6[[Site Name]:[Pcode]],3,FALSE)</f>
        <v>MMR015CMP209</v>
      </c>
      <c r="EG329" s="799" t="str">
        <f t="shared" si="7"/>
        <v>Covered</v>
      </c>
      <c r="EH329" s="799" t="str">
        <f>VLOOKUP(WWWW[[#This Row],[Site Name]],Site_DB!$C$389:$D$1120,2,FALSE)</f>
        <v>cccm_2019OCT</v>
      </c>
    </row>
    <row r="330" spans="1:138" hidden="1">
      <c r="A330" s="792" t="s">
        <v>3262</v>
      </c>
      <c r="B330" s="792" t="s">
        <v>3293</v>
      </c>
      <c r="C330" s="793" t="s">
        <v>3293</v>
      </c>
      <c r="D330" s="793" t="s">
        <v>3365</v>
      </c>
      <c r="E330" s="793" t="s">
        <v>711</v>
      </c>
      <c r="F330" s="793" t="s">
        <v>712</v>
      </c>
      <c r="G330" s="721" t="str">
        <f>VLOOKUP(WWWW[[#This Row],[Site Name]],SiteDB6[[Site Name]:[Location Type]],8,FALSE)</f>
        <v>Camp</v>
      </c>
      <c r="H330" s="793" t="s">
        <v>723</v>
      </c>
      <c r="I330" s="795">
        <v>76</v>
      </c>
      <c r="J330" s="795">
        <v>390</v>
      </c>
      <c r="K330" s="407" t="s">
        <v>3607</v>
      </c>
      <c r="L330" s="56" t="s">
        <v>3608</v>
      </c>
      <c r="M330" s="795"/>
      <c r="N330" s="720">
        <v>2</v>
      </c>
      <c r="O330" s="795"/>
      <c r="P330" s="795"/>
      <c r="Q330" s="807" t="s">
        <v>43</v>
      </c>
      <c r="R330" s="720">
        <v>7</v>
      </c>
      <c r="S330" s="720">
        <v>9</v>
      </c>
      <c r="T330" s="720">
        <v>0</v>
      </c>
      <c r="U330" s="720"/>
      <c r="V330" s="720"/>
      <c r="W330" s="720">
        <v>1</v>
      </c>
      <c r="X330" s="720"/>
      <c r="Y330" s="720"/>
      <c r="Z330" s="720"/>
      <c r="AA330" s="720">
        <v>1</v>
      </c>
      <c r="AB330" s="720"/>
      <c r="AC330" s="795"/>
      <c r="AD330" s="795"/>
      <c r="AE330" s="795"/>
      <c r="AF330" s="795"/>
      <c r="AG330" s="795">
        <v>1</v>
      </c>
      <c r="AH330" s="795">
        <v>2</v>
      </c>
      <c r="AI330" s="795"/>
      <c r="AJ330" s="795"/>
      <c r="AK330" s="795"/>
      <c r="AL330" s="795"/>
      <c r="AM330" s="795">
        <v>8</v>
      </c>
      <c r="AN330" s="795"/>
      <c r="AO330" s="799"/>
      <c r="AP330" s="795">
        <v>14</v>
      </c>
      <c r="AQ330" s="795">
        <v>6</v>
      </c>
      <c r="AR330" s="800"/>
      <c r="AS330" s="795"/>
      <c r="AT330" s="795"/>
      <c r="AU330" s="795"/>
      <c r="AV330" s="795"/>
      <c r="AW330" s="795">
        <v>14</v>
      </c>
      <c r="AX330" s="794" t="s">
        <v>43</v>
      </c>
      <c r="AY330" s="799" t="s">
        <v>140</v>
      </c>
      <c r="AZ330" s="795"/>
      <c r="BA330" s="795"/>
      <c r="BB330" s="795"/>
      <c r="BC330" s="523"/>
      <c r="BD330" s="523"/>
      <c r="BE330" s="794"/>
      <c r="BF330" s="795">
        <v>8</v>
      </c>
      <c r="BG330" s="795"/>
      <c r="BH330" s="795">
        <v>0</v>
      </c>
      <c r="BI330" s="795">
        <v>2</v>
      </c>
      <c r="BJ330" s="795"/>
      <c r="BK330" s="795">
        <v>1</v>
      </c>
      <c r="BL330" s="795">
        <v>1</v>
      </c>
      <c r="BM330" s="795"/>
      <c r="BN330" s="795"/>
      <c r="BO330" s="794" t="s">
        <v>43</v>
      </c>
      <c r="BP330" s="801"/>
      <c r="BQ330" s="800"/>
      <c r="BR330" s="794"/>
      <c r="BS330" s="472"/>
      <c r="BT330" s="472"/>
      <c r="BU330" s="720"/>
      <c r="BV330" s="472"/>
      <c r="BW330" s="523"/>
      <c r="BX330" s="523"/>
      <c r="BY330" s="523"/>
      <c r="BZ330" s="802" t="str">
        <f>IFERROR(WWWW[[#This Row],['#_Water sources passed]]/WWWW[[#This Row],['#_Water sources tested for fecal coliform ]],"no test")</f>
        <v>no test</v>
      </c>
      <c r="CA330" s="800" t="str">
        <f>IFERROR(WWWW[[#This Row],['#_Household passed]]/WWWW[[#This Row],['#_Household water samples tested for fecal coliform]],"no test")</f>
        <v>no test</v>
      </c>
      <c r="CB330" s="801" t="str">
        <f>IF(AND(WWWW[[#This Row],[% of water sources passed]]="no test",WWWW[[#This Row],[% Household passed]]="no test"),"No Test","Tested")</f>
        <v>No Test</v>
      </c>
      <c r="CC330" s="801">
        <f>WWWW[[#This Row],['#_Constructed/existing protected hand dug well]]-WWWW[[#This Row],['#_Non-functional protected hand dug well]]</f>
        <v>0</v>
      </c>
      <c r="CD330" s="801">
        <f>(WWWW[[#This Row],['#_Constructed/Existing tube wells/boreholes/handpumps_WASH_agency]]+WWWW[[#This Row],['#_Non-Cluster partner water tube-wells/boreholes/handpumps]])-WWWW[[#This Row],['#_Non-functional tube wells/boreholes/handpumps]]</f>
        <v>1</v>
      </c>
      <c r="CE330" s="801">
        <f>WWWW[[#This Row],['#_Constructed/Existingwater storage tank with gravity fed reticulation system]]-WWWW[[#This Row],['#_Non-functional storage tank gravity fed reticulation system]]</f>
        <v>1</v>
      </c>
      <c r="CF330" s="801">
        <f>(WWWW[[#This Row],['#_Water_Liters_supplied_by_Water boating or water trucking]]/90)/15</f>
        <v>0</v>
      </c>
      <c r="CG330" s="801">
        <f>WWWW[[#This Row],['#_Water_Liters_from_Constructed/Existing water distribution system from river or natural spring]]/90/15</f>
        <v>0</v>
      </c>
      <c r="CH330" s="473">
        <f>WWWW[[#This Row],['#_of water points in TLS/CFS /THF]]*500</f>
        <v>0</v>
      </c>
      <c r="CI33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0.81196581196581197</v>
      </c>
      <c r="CK330" s="800">
        <f>IF(WWWW[[#This Row],[Location Type 1]]="Village",WWWW[[#This Row],[Access to safe drinking water for Village]],WWWW[[#This Row],[Access to safe drinking water for Camp]])</f>
        <v>1</v>
      </c>
      <c r="CL330" s="798">
        <f>WWWW[[#This Row],[%Equitable and continuous access to sufficient quantity of safe drinking water]]*WWWW[[#This Row],[Total PoP ]]</f>
        <v>390</v>
      </c>
      <c r="CM330" s="800">
        <f>IF((WWWW[[#This Row],['#_Constructed/Existing protected/fenced ponds]]*250)/WWWW[[#This Row],[Total PoP ]]&gt;1,1,(WWWW[[#This Row],['#_Constructed/Existing protected/fenced ponds]]*250)/WWWW[[#This Row],[Total PoP ]])</f>
        <v>0</v>
      </c>
      <c r="CN330" s="798">
        <f>WWWW[[#This Row],[% Access to unimproved water points]]*WWWW[[#This Row],[Total PoP ]]</f>
        <v>0</v>
      </c>
      <c r="CO33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CQ330" s="798">
        <f>WWWW[[#This Row],[HRP1]]/500</f>
        <v>0.78</v>
      </c>
      <c r="CR330" s="803">
        <f>1-WWWW[[#This Row],[% Equitable and continuous access to sufficient quantity of domestic water]]</f>
        <v>0</v>
      </c>
      <c r="CS330" s="798">
        <f>WWWW[[#This Row],[%equitable and continuous access to sufficient quantity of safe drinking and domestic water''s GAP]]*WWWW[[#This Row],[Total PoP ]]</f>
        <v>0</v>
      </c>
      <c r="CT330" s="801">
        <f>IF(WWWW[[#This Row],[Total required water points]]-WWWW[[#This Row],['#Water points coverage]]&lt;0,0,WWWW[[#This Row],[Total required water points]]-WWWW[[#This Row],['#Water points coverage]])</f>
        <v>0.21999999999999997</v>
      </c>
      <c r="CU330" s="801">
        <f>ROUND(IF(WWWW[[#This Row],[Total PoP ]]&lt;500,1,WWWW[[#This Row],[Total PoP ]]/500),0)</f>
        <v>1</v>
      </c>
      <c r="CV330" s="801">
        <f>(WWWW[[#This Row],['#_Constructed latrines_by_WASHAgencies]]+WWWW[[#This Row],['#_Non Cluster partner latrines]])-WWWW[[#This Row],['#_Non-functional latrines]]</f>
        <v>20</v>
      </c>
      <c r="CW330" s="804">
        <f>WWWW[[#This Row],[HRP2]]/WWWW[[#This Row],[Total PoP ]]</f>
        <v>1</v>
      </c>
      <c r="CX33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390</v>
      </c>
      <c r="CY33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0" s="473">
        <f>IF(WWWW[[#This Row],['# of functional latrines in THF supported by WASH partners during the reporting period2]]="",0,WWWW[[#This Row],['# of functional latrines in THF supported by WASH partners during the reporting period2]]*50)</f>
        <v>0</v>
      </c>
      <c r="DB330" s="473">
        <f>WWWW[[#This Row],['# students access to functioning school latrines_HRP5]]+WWWW[[#This Row],['# People access to functioning latrines in THF_HRP5]]</f>
        <v>0</v>
      </c>
      <c r="DC330" s="801">
        <f>ROUND(IF(WWWW[[#This Row],[Location Type 1]]="camp",WWWW[[#This Row],[Total PoP ]]/20,IF(WWWW[[#This Row],[Location Type 1]]="Temporary Location",WWWW[[#This Row],[Total PoP ]]/50,(WWWW[[#This Row],[Total PoP ]]/6))),0)</f>
        <v>20</v>
      </c>
      <c r="DD330" s="801">
        <f>IF(WWWW[[#This Row],[Total required Latrines]]-(WWWW[[#This Row],['#_Constructed latrines_by_WASHAgencies]]+WWWW[[#This Row],['#_Non Cluster partner latrines]])&lt;0,0,WWWW[[#This Row],[Total required Latrines]]-(WWWW[[#This Row],['#_Constructed latrines_by_WASHAgencies]]+WWWW[[#This Row],['#_Non Cluster partner latrines]]))</f>
        <v>0</v>
      </c>
      <c r="DE330" s="803">
        <f>1-WWWW[[#This Row],[% people access to functioning Latrine]]</f>
        <v>0</v>
      </c>
      <c r="DF330" s="802">
        <f>IF(OR(WWWW[[#This Row],['#_Non-functional latrines]]="",WWWW[[#This Row],['#_Non-functional latrines]]=0),0,WWWW[[#This Row],['#_Non-functional latrines]]/(WWWW[[#This Row],['#_Constructed latrines_by_WASHAgencies]]+WWWW[[#This Row],['#_Non Cluster partner latrines]]))</f>
        <v>0</v>
      </c>
      <c r="DG330" s="798">
        <f>IF(500*(WWWW[[#This Row],['#_male hygiene promoters]]+WWWW[[#This Row],['#_female hygiene promoters]])&gt;WWWW[[#This Row],[Total PoP ]],WWWW[[#This Row],[Total PoP ]],500*(WWWW[[#This Row],['#_male hygiene promoters]]+WWWW[[#This Row],['#_female hygiene promoters]]))</f>
        <v>390</v>
      </c>
      <c r="DH33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0" s="801">
        <f>IF(WWWW[[#This Row],['# People with access to soap]]&gt;WWWW[[#This Row],['# People with access to Sanity Pads]],WWWW[[#This Row],['# People with access to soap]],WWWW[[#This Row],['# People with access to Sanity Pads]])</f>
        <v>0</v>
      </c>
      <c r="DK330" s="801">
        <f>IF(WWWW[[#This Row],['# people reached by regular dedicated hygiene promotion_5]]&gt;WWWW[[#This Row],['# People received regular supply of hygiene items_6]],WWWW[[#This Row],['# people reached by regular dedicated hygiene promotion_5]],WWWW[[#This Row],['# People received regular supply of hygiene items_6]])</f>
        <v>390</v>
      </c>
      <c r="DL330" s="803">
        <f>IF(WWWW[[#This Row],[HRP3]]/WWWW[[#This Row],[Total PoP ]]&gt;1,1,WWWW[[#This Row],[HRP3]]/WWWW[[#This Row],[Total PoP ]])</f>
        <v>1</v>
      </c>
      <c r="DM330" s="802">
        <f>1-WWWW[[#This Row],[Hygiene Coverage%]]</f>
        <v>0</v>
      </c>
      <c r="DN330" s="800">
        <f>WWWW[[#This Row],['# people reached by regular dedicated hygiene promotion_5]]/WWWW[[#This Row],[Total PoP ]]</f>
        <v>1</v>
      </c>
      <c r="DO33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0" s="801">
        <f>WWWW[[#This Row],['#_Constructed/Existing hand washing stations]]-WWWW[[#This Row],['#_Non-Functional_hand_washing_stations]]</f>
        <v>8</v>
      </c>
      <c r="DR330" s="798">
        <f>IF(WWWW[[#This Row],['# Functional hand washing stations during reporting period]]*20&gt;WWWW[[#This Row],[Total HH]],WWWW[[#This Row],[Total HH]],WWWW[[#This Row],['# Functional hand washing stations during reporting period]]*20)</f>
        <v>76</v>
      </c>
      <c r="DS330" s="798">
        <f>IF(WWWW[[#This Row],[Is sufficient soap available for TLS? (Yes/No)]]="yes",WWWW[[#This Row],['#_Constructed/Existing hand washing stations at TLS]],0)</f>
        <v>8</v>
      </c>
      <c r="DT330" s="479">
        <f>IF(WWWW[[#This Row],['# Functional hand washing stations during reporting period]]*100&gt;WWWW[[#This Row],[Total PoP ]],WWWW[[#This Row],[Total PoP ]],WWWW[[#This Row],['# Functional hand washing stations during reporting period]]*100)</f>
        <v>390</v>
      </c>
      <c r="DU330" s="479" t="str">
        <f>IF(OR(WWWW[[#This Row],['#_students at TLS_CFS]]="",WWWW[[#This Row],['#_students at TLS_CFS]]=0),"No","Yes")</f>
        <v>No</v>
      </c>
      <c r="DV33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0" s="794" t="str">
        <f>VLOOKUP(WWWW[[#This Row],[Site Name]],SiteDB6[[Site Name]:[CCCM Management]],6,FALSE)</f>
        <v>Yes</v>
      </c>
      <c r="DZ330" s="794" t="str">
        <f>VLOOKUP(WWWW[[#This Row],[Site Name]],SiteDB6[[Site Name]:[CCCM Focal Agency]],7,FALSE)</f>
        <v>KBC-NSS</v>
      </c>
      <c r="EA330" s="794" t="str">
        <f>VLOOKUP(WWWW[[#This Row],[Site Name]],SiteDB6[[Site Name]:[Location Type 1]],9,FALSE)</f>
        <v>Camp</v>
      </c>
      <c r="EB330" s="794" t="str">
        <f>VLOOKUP(WWWW[[#This Row],[Site Name]],SiteDB6[[Site Name]:[Type of Accommodation]],10,FALSE)</f>
        <v>Camp</v>
      </c>
      <c r="EC330" s="794" t="str">
        <f>VLOOKUP(WWWW[[#This Row],[Site Name]],SiteDB6[[Site Name]:[Ethnic or GCA/NGCA]],11,FALSE)</f>
        <v>GCA</v>
      </c>
      <c r="ED330" s="794">
        <f>VLOOKUP(WWWW[[#This Row],[Site Name]],SiteDB6[[Site Name]:[Lat]],12,FALSE)</f>
        <v>23.821380000000001</v>
      </c>
      <c r="EE330" s="794">
        <f>VLOOKUP(WWWW[[#This Row],[Site Name]],SiteDB6[[Site Name]:[Long]],13,FALSE)</f>
        <v>97.681970000000007</v>
      </c>
      <c r="EF330" s="794" t="str">
        <f>VLOOKUP(WWWW[[#This Row],[Site Name]],SiteDB6[[Site Name]:[Pcode]],3,FALSE)</f>
        <v>MMR015CMP004</v>
      </c>
      <c r="EG330" s="799" t="str">
        <f t="shared" si="7"/>
        <v>Covered</v>
      </c>
      <c r="EH330" s="799" t="str">
        <f>VLOOKUP(WWWW[[#This Row],[Site Name]],Site_DB!$C$389:$D$1120,2,FALSE)</f>
        <v>cccm_2019OCT</v>
      </c>
    </row>
    <row r="331" spans="1:138" hidden="1">
      <c r="A331" s="792" t="s">
        <v>3262</v>
      </c>
      <c r="B331" s="792" t="s">
        <v>3293</v>
      </c>
      <c r="C331" s="793" t="s">
        <v>3293</v>
      </c>
      <c r="D331" s="793" t="s">
        <v>3365</v>
      </c>
      <c r="E331" s="793" t="s">
        <v>711</v>
      </c>
      <c r="F331" s="793" t="s">
        <v>712</v>
      </c>
      <c r="G331" s="721" t="str">
        <f>VLOOKUP(WWWW[[#This Row],[Site Name]],SiteDB6[[Site Name]:[Location Type]],8,FALSE)</f>
        <v>Camp</v>
      </c>
      <c r="H331" s="404" t="s">
        <v>713</v>
      </c>
      <c r="I331" s="795">
        <v>43</v>
      </c>
      <c r="J331" s="795">
        <v>212</v>
      </c>
      <c r="K331" s="407" t="s">
        <v>3607</v>
      </c>
      <c r="L331" s="56" t="s">
        <v>3608</v>
      </c>
      <c r="M331" s="795"/>
      <c r="N331" s="720">
        <v>2</v>
      </c>
      <c r="O331" s="720"/>
      <c r="P331" s="795"/>
      <c r="Q331" s="807" t="s">
        <v>43</v>
      </c>
      <c r="R331" s="720">
        <v>3</v>
      </c>
      <c r="S331" s="720">
        <v>9</v>
      </c>
      <c r="T331" s="720">
        <v>1</v>
      </c>
      <c r="U331" s="720"/>
      <c r="V331" s="720"/>
      <c r="W331" s="720">
        <v>2</v>
      </c>
      <c r="X331" s="720"/>
      <c r="Y331" s="720"/>
      <c r="Z331" s="720"/>
      <c r="AA331" s="720"/>
      <c r="AB331" s="720"/>
      <c r="AC331" s="795"/>
      <c r="AD331" s="795"/>
      <c r="AE331" s="795">
        <v>1</v>
      </c>
      <c r="AF331" s="795"/>
      <c r="AG331" s="795">
        <v>1</v>
      </c>
      <c r="AH331" s="795">
        <v>2</v>
      </c>
      <c r="AI331" s="795"/>
      <c r="AJ331" s="795"/>
      <c r="AK331" s="795"/>
      <c r="AL331" s="795"/>
      <c r="AM331" s="795">
        <v>3</v>
      </c>
      <c r="AN331" s="795"/>
      <c r="AO331" s="799"/>
      <c r="AP331" s="795">
        <v>14</v>
      </c>
      <c r="AQ331" s="795"/>
      <c r="AR331" s="800"/>
      <c r="AS331" s="795"/>
      <c r="AT331" s="795"/>
      <c r="AU331" s="795"/>
      <c r="AV331" s="795"/>
      <c r="AW331" s="795">
        <v>14</v>
      </c>
      <c r="AX331" s="794" t="s">
        <v>43</v>
      </c>
      <c r="AY331" s="799" t="s">
        <v>140</v>
      </c>
      <c r="AZ331" s="795"/>
      <c r="BA331" s="795"/>
      <c r="BB331" s="795"/>
      <c r="BC331" s="523"/>
      <c r="BD331" s="523"/>
      <c r="BE331" s="794"/>
      <c r="BF331" s="795">
        <v>3</v>
      </c>
      <c r="BG331" s="795"/>
      <c r="BH331" s="795">
        <v>0</v>
      </c>
      <c r="BI331" s="795">
        <v>2</v>
      </c>
      <c r="BJ331" s="795"/>
      <c r="BK331" s="795">
        <v>1</v>
      </c>
      <c r="BL331" s="795">
        <v>1</v>
      </c>
      <c r="BM331" s="795"/>
      <c r="BN331" s="795"/>
      <c r="BO331" s="794" t="s">
        <v>43</v>
      </c>
      <c r="BP331" s="801"/>
      <c r="BQ331" s="800"/>
      <c r="BR331" s="794"/>
      <c r="BS331" s="472"/>
      <c r="BT331" s="472"/>
      <c r="BU331" s="720"/>
      <c r="BV331" s="472"/>
      <c r="BW331" s="523"/>
      <c r="BX331" s="523"/>
      <c r="BY331" s="523"/>
      <c r="BZ331" s="802" t="str">
        <f>IFERROR(WWWW[[#This Row],['#_Water sources passed]]/WWWW[[#This Row],['#_Water sources tested for fecal coliform ]],"no test")</f>
        <v>no test</v>
      </c>
      <c r="CA331" s="800" t="str">
        <f>IFERROR(WWWW[[#This Row],['#_Household passed]]/WWWW[[#This Row],['#_Household water samples tested for fecal coliform]],"no test")</f>
        <v>no test</v>
      </c>
      <c r="CB331" s="801" t="str">
        <f>IF(AND(WWWW[[#This Row],[% of water sources passed]]="no test",WWWW[[#This Row],[% Household passed]]="no test"),"No Test","Tested")</f>
        <v>No Test</v>
      </c>
      <c r="CC331" s="801">
        <f>WWWW[[#This Row],['#_Constructed/existing protected hand dug well]]-WWWW[[#This Row],['#_Non-functional protected hand dug well]]</f>
        <v>1</v>
      </c>
      <c r="CD331" s="801">
        <f>(WWWW[[#This Row],['#_Constructed/Existing tube wells/boreholes/handpumps_WASH_agency]]+WWWW[[#This Row],['#_Non-Cluster partner water tube-wells/boreholes/handpumps]])-WWWW[[#This Row],['#_Non-functional tube wells/boreholes/handpumps]]</f>
        <v>2</v>
      </c>
      <c r="CE331" s="801">
        <f>WWWW[[#This Row],['#_Constructed/Existingwater storage tank with gravity fed reticulation system]]-WWWW[[#This Row],['#_Non-functional storage tank gravity fed reticulation system]]</f>
        <v>0</v>
      </c>
      <c r="CF331" s="801">
        <f>(WWWW[[#This Row],['#_Water_Liters_supplied_by_Water boating or water trucking]]/90)/15</f>
        <v>0</v>
      </c>
      <c r="CG331" s="801">
        <f>WWWW[[#This Row],['#_Water_Liters_from_Constructed/Existing water distribution system from river or natural spring]]/90/15</f>
        <v>0</v>
      </c>
      <c r="CH331" s="473">
        <f>WWWW[[#This Row],['#_of water points in TLS/CFS /THF]]*500</f>
        <v>0</v>
      </c>
      <c r="CI33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1" s="800">
        <f>IF(WWWW[[#This Row],[Location Type 1]]="Village",WWWW[[#This Row],[Access to safe drinking water for Village]],WWWW[[#This Row],[Access to safe drinking water for Camp]])</f>
        <v>1</v>
      </c>
      <c r="CL331" s="798">
        <f>WWWW[[#This Row],[%Equitable and continuous access to sufficient quantity of safe drinking water]]*WWWW[[#This Row],[Total PoP ]]</f>
        <v>212</v>
      </c>
      <c r="CM331" s="800">
        <f>IF((WWWW[[#This Row],['#_Constructed/Existing protected/fenced ponds]]*250)/WWWW[[#This Row],[Total PoP ]]&gt;1,1,(WWWW[[#This Row],['#_Constructed/Existing protected/fenced ponds]]*250)/WWWW[[#This Row],[Total PoP ]])</f>
        <v>1</v>
      </c>
      <c r="CN331" s="798">
        <f>WWWW[[#This Row],[% Access to unimproved water points]]*WWWW[[#This Row],[Total PoP ]]</f>
        <v>212</v>
      </c>
      <c r="CO33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Q331" s="798">
        <f>WWWW[[#This Row],[HRP1]]/500</f>
        <v>0.42399999999999999</v>
      </c>
      <c r="CR331" s="803">
        <f>1-WWWW[[#This Row],[% Equitable and continuous access to sufficient quantity of domestic water]]</f>
        <v>0</v>
      </c>
      <c r="CS331" s="798">
        <f>WWWW[[#This Row],[%equitable and continuous access to sufficient quantity of safe drinking and domestic water''s GAP]]*WWWW[[#This Row],[Total PoP ]]</f>
        <v>0</v>
      </c>
      <c r="CT331" s="801">
        <f>IF(WWWW[[#This Row],[Total required water points]]-WWWW[[#This Row],['#Water points coverage]]&lt;0,0,WWWW[[#This Row],[Total required water points]]-WWWW[[#This Row],['#Water points coverage]])</f>
        <v>0.57600000000000007</v>
      </c>
      <c r="CU331" s="801">
        <f>ROUND(IF(WWWW[[#This Row],[Total PoP ]]&lt;500,1,WWWW[[#This Row],[Total PoP ]]/500),0)</f>
        <v>1</v>
      </c>
      <c r="CV331" s="801">
        <f>(WWWW[[#This Row],['#_Constructed latrines_by_WASHAgencies]]+WWWW[[#This Row],['#_Non Cluster partner latrines]])-WWWW[[#This Row],['#_Non-functional latrines]]</f>
        <v>14</v>
      </c>
      <c r="CW331" s="804">
        <f>WWWW[[#This Row],[HRP2]]/WWWW[[#This Row],[Total PoP ]]</f>
        <v>1</v>
      </c>
      <c r="CX33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212</v>
      </c>
      <c r="CY33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1" s="473">
        <f>IF(WWWW[[#This Row],['# of functional latrines in THF supported by WASH partners during the reporting period2]]="",0,WWWW[[#This Row],['# of functional latrines in THF supported by WASH partners during the reporting period2]]*50)</f>
        <v>0</v>
      </c>
      <c r="DB331" s="473">
        <f>WWWW[[#This Row],['# students access to functioning school latrines_HRP5]]+WWWW[[#This Row],['# People access to functioning latrines in THF_HRP5]]</f>
        <v>0</v>
      </c>
      <c r="DC331" s="801">
        <f>ROUND(IF(WWWW[[#This Row],[Location Type 1]]="camp",WWWW[[#This Row],[Total PoP ]]/20,IF(WWWW[[#This Row],[Location Type 1]]="Temporary Location",WWWW[[#This Row],[Total PoP ]]/50,(WWWW[[#This Row],[Total PoP ]]/6))),0)</f>
        <v>11</v>
      </c>
      <c r="DD331" s="801">
        <f>IF(WWWW[[#This Row],[Total required Latrines]]-(WWWW[[#This Row],['#_Constructed latrines_by_WASHAgencies]]+WWWW[[#This Row],['#_Non Cluster partner latrines]])&lt;0,0,WWWW[[#This Row],[Total required Latrines]]-(WWWW[[#This Row],['#_Constructed latrines_by_WASHAgencies]]+WWWW[[#This Row],['#_Non Cluster partner latrines]]))</f>
        <v>0</v>
      </c>
      <c r="DE331" s="803">
        <f>1-WWWW[[#This Row],[% people access to functioning Latrine]]</f>
        <v>0</v>
      </c>
      <c r="DF331" s="802">
        <f>IF(OR(WWWW[[#This Row],['#_Non-functional latrines]]="",WWWW[[#This Row],['#_Non-functional latrines]]=0),0,WWWW[[#This Row],['#_Non-functional latrines]]/(WWWW[[#This Row],['#_Constructed latrines_by_WASHAgencies]]+WWWW[[#This Row],['#_Non Cluster partner latrines]]))</f>
        <v>0</v>
      </c>
      <c r="DG331" s="798">
        <f>IF(500*(WWWW[[#This Row],['#_male hygiene promoters]]+WWWW[[#This Row],['#_female hygiene promoters]])&gt;WWWW[[#This Row],[Total PoP ]],WWWW[[#This Row],[Total PoP ]],500*(WWWW[[#This Row],['#_male hygiene promoters]]+WWWW[[#This Row],['#_female hygiene promoters]]))</f>
        <v>212</v>
      </c>
      <c r="DH33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1" s="801">
        <f>IF(WWWW[[#This Row],['# People with access to soap]]&gt;WWWW[[#This Row],['# People with access to Sanity Pads]],WWWW[[#This Row],['# People with access to soap]],WWWW[[#This Row],['# People with access to Sanity Pads]])</f>
        <v>0</v>
      </c>
      <c r="DK331" s="801">
        <f>IF(WWWW[[#This Row],['# people reached by regular dedicated hygiene promotion_5]]&gt;WWWW[[#This Row],['# People received regular supply of hygiene items_6]],WWWW[[#This Row],['# people reached by regular dedicated hygiene promotion_5]],WWWW[[#This Row],['# People received regular supply of hygiene items_6]])</f>
        <v>212</v>
      </c>
      <c r="DL331" s="803">
        <f>IF(WWWW[[#This Row],[HRP3]]/WWWW[[#This Row],[Total PoP ]]&gt;1,1,WWWW[[#This Row],[HRP3]]/WWWW[[#This Row],[Total PoP ]])</f>
        <v>1</v>
      </c>
      <c r="DM331" s="802">
        <f>1-WWWW[[#This Row],[Hygiene Coverage%]]</f>
        <v>0</v>
      </c>
      <c r="DN331" s="800">
        <f>WWWW[[#This Row],['# people reached by regular dedicated hygiene promotion_5]]/WWWW[[#This Row],[Total PoP ]]</f>
        <v>1</v>
      </c>
      <c r="DO33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1" s="801">
        <f>WWWW[[#This Row],['#_Constructed/Existing hand washing stations]]-WWWW[[#This Row],['#_Non-Functional_hand_washing_stations]]</f>
        <v>3</v>
      </c>
      <c r="DR331" s="798">
        <f>IF(WWWW[[#This Row],['# Functional hand washing stations during reporting period]]*20&gt;WWWW[[#This Row],[Total HH]],WWWW[[#This Row],[Total HH]],WWWW[[#This Row],['# Functional hand washing stations during reporting period]]*20)</f>
        <v>43</v>
      </c>
      <c r="DS331" s="798">
        <f>IF(WWWW[[#This Row],[Is sufficient soap available for TLS? (Yes/No)]]="yes",WWWW[[#This Row],['#_Constructed/Existing hand washing stations at TLS]],0)</f>
        <v>3</v>
      </c>
      <c r="DT331" s="479">
        <f>IF(WWWW[[#This Row],['# Functional hand washing stations during reporting period]]*100&gt;WWWW[[#This Row],[Total PoP ]],WWWW[[#This Row],[Total PoP ]],WWWW[[#This Row],['# Functional hand washing stations during reporting period]]*100)</f>
        <v>212</v>
      </c>
      <c r="DU331" s="479" t="str">
        <f>IF(OR(WWWW[[#This Row],['#_students at TLS_CFS]]="",WWWW[[#This Row],['#_students at TLS_CFS]]=0),"No","Yes")</f>
        <v>No</v>
      </c>
      <c r="DV33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1" s="794" t="str">
        <f>VLOOKUP(WWWW[[#This Row],[Site Name]],SiteDB6[[Site Name]:[CCCM Management]],6,FALSE)</f>
        <v>Yes</v>
      </c>
      <c r="DZ331" s="794" t="str">
        <f>VLOOKUP(WWWW[[#This Row],[Site Name]],SiteDB6[[Site Name]:[CCCM Focal Agency]],7,FALSE)</f>
        <v>KMSS-LSO</v>
      </c>
      <c r="EA331" s="794" t="str">
        <f>VLOOKUP(WWWW[[#This Row],[Site Name]],SiteDB6[[Site Name]:[Location Type 1]],9,FALSE)</f>
        <v>Camp</v>
      </c>
      <c r="EB331" s="794" t="str">
        <f>VLOOKUP(WWWW[[#This Row],[Site Name]],SiteDB6[[Site Name]:[Type of Accommodation]],10,FALSE)</f>
        <v>Camp</v>
      </c>
      <c r="EC331" s="794" t="str">
        <f>VLOOKUP(WWWW[[#This Row],[Site Name]],SiteDB6[[Site Name]:[Ethnic or GCA/NGCA]],11,FALSE)</f>
        <v>GCA</v>
      </c>
      <c r="ED331" s="794">
        <f>VLOOKUP(WWWW[[#This Row],[Site Name]],SiteDB6[[Site Name]:[Lat]],12,FALSE)</f>
        <v>23.828150000000001</v>
      </c>
      <c r="EE331" s="794">
        <f>VLOOKUP(WWWW[[#This Row],[Site Name]],SiteDB6[[Site Name]:[Long]],13,FALSE)</f>
        <v>97.670360000000002</v>
      </c>
      <c r="EF331" s="794" t="str">
        <f>VLOOKUP(WWWW[[#This Row],[Site Name]],SiteDB6[[Site Name]:[Pcode]],3,FALSE)</f>
        <v>MMR015CMP003</v>
      </c>
      <c r="EG331" s="799" t="str">
        <f t="shared" si="7"/>
        <v>Covered</v>
      </c>
      <c r="EH331" s="799" t="e">
        <f>VLOOKUP(WWWW[[#This Row],[Site Name]],Site_DB!$C$389:$D$1120,2,FALSE)</f>
        <v>#N/A</v>
      </c>
    </row>
    <row r="332" spans="1:138" hidden="1">
      <c r="A332" s="792" t="s">
        <v>3262</v>
      </c>
      <c r="B332" s="792" t="s">
        <v>312</v>
      </c>
      <c r="C332" s="793" t="s">
        <v>312</v>
      </c>
      <c r="D332" s="793"/>
      <c r="E332" s="793" t="s">
        <v>39</v>
      </c>
      <c r="F332" s="793" t="s">
        <v>198</v>
      </c>
      <c r="G332" s="721" t="str">
        <f>VLOOKUP(WWWW[[#This Row],[Site Name]],SiteDB6[[Site Name]:[Location Type]],8,FALSE)</f>
        <v>Camp</v>
      </c>
      <c r="H332" s="793" t="s">
        <v>1018</v>
      </c>
      <c r="I332" s="795">
        <v>190</v>
      </c>
      <c r="J332" s="795">
        <v>928</v>
      </c>
      <c r="K332" s="796"/>
      <c r="L332" s="797"/>
      <c r="M332" s="795"/>
      <c r="N332" s="795"/>
      <c r="O332" s="795"/>
      <c r="P332" s="795"/>
      <c r="Q332" s="798"/>
      <c r="R332" s="795"/>
      <c r="S332" s="795">
        <v>4</v>
      </c>
      <c r="T332" s="523"/>
      <c r="U332" s="795"/>
      <c r="V332" s="795"/>
      <c r="W332" s="795"/>
      <c r="X332" s="795"/>
      <c r="Y332" s="795"/>
      <c r="Z332" s="795"/>
      <c r="AA332" s="795"/>
      <c r="AB332" s="795"/>
      <c r="AC332" s="795"/>
      <c r="AD332" s="795"/>
      <c r="AE332" s="795"/>
      <c r="AF332" s="795"/>
      <c r="AG332" s="795"/>
      <c r="AH332" s="795"/>
      <c r="AI332" s="795"/>
      <c r="AJ332" s="795"/>
      <c r="AK332" s="795"/>
      <c r="AL332" s="795"/>
      <c r="AM332" s="795"/>
      <c r="AN332" s="795"/>
      <c r="AO332" s="799"/>
      <c r="AP332" s="795"/>
      <c r="AQ332" s="795"/>
      <c r="AR332" s="800"/>
      <c r="AS332" s="795"/>
      <c r="AT332" s="795"/>
      <c r="AU332" s="795"/>
      <c r="AV332" s="795"/>
      <c r="AW332" s="795"/>
      <c r="AX332" s="794"/>
      <c r="AY332" s="799"/>
      <c r="AZ332" s="795"/>
      <c r="BA332" s="795"/>
      <c r="BB332" s="795"/>
      <c r="BC332" s="523"/>
      <c r="BD332" s="523"/>
      <c r="BE332" s="794"/>
      <c r="BF332" s="795"/>
      <c r="BG332" s="795"/>
      <c r="BH332" s="795"/>
      <c r="BI332" s="795"/>
      <c r="BJ332" s="795"/>
      <c r="BK332" s="795"/>
      <c r="BL332" s="795"/>
      <c r="BM332" s="795"/>
      <c r="BN332" s="795"/>
      <c r="BO332" s="794"/>
      <c r="BP332" s="801"/>
      <c r="BQ332" s="800"/>
      <c r="BR332" s="794"/>
      <c r="BS332" s="472"/>
      <c r="BT332" s="472"/>
      <c r="BU332" s="720"/>
      <c r="BV332" s="472"/>
      <c r="BW332" s="523"/>
      <c r="BX332" s="523"/>
      <c r="BY332" s="523"/>
      <c r="BZ332" s="802" t="str">
        <f>IFERROR(WWWW[[#This Row],['#_Water sources passed]]/WWWW[[#This Row],['#_Water sources tested for fecal coliform ]],"no test")</f>
        <v>no test</v>
      </c>
      <c r="CA332" s="800" t="str">
        <f>IFERROR(WWWW[[#This Row],['#_Household passed]]/WWWW[[#This Row],['#_Household water samples tested for fecal coliform]],"no test")</f>
        <v>no test</v>
      </c>
      <c r="CB332" s="801" t="str">
        <f>IF(AND(WWWW[[#This Row],[% of water sources passed]]="no test",WWWW[[#This Row],[% Household passed]]="no test"),"No Test","Tested")</f>
        <v>No Test</v>
      </c>
      <c r="CC332" s="801">
        <f>WWWW[[#This Row],['#_Constructed/existing protected hand dug well]]-WWWW[[#This Row],['#_Non-functional protected hand dug well]]</f>
        <v>0</v>
      </c>
      <c r="CD332" s="801">
        <f>(WWWW[[#This Row],['#_Constructed/Existing tube wells/boreholes/handpumps_WASH_agency]]+WWWW[[#This Row],['#_Non-Cluster partner water tube-wells/boreholes/handpumps]])-WWWW[[#This Row],['#_Non-functional tube wells/boreholes/handpumps]]</f>
        <v>0</v>
      </c>
      <c r="CE332" s="801">
        <f>WWWW[[#This Row],['#_Constructed/Existingwater storage tank with gravity fed reticulation system]]-WWWW[[#This Row],['#_Non-functional storage tank gravity fed reticulation system]]</f>
        <v>0</v>
      </c>
      <c r="CF332" s="801">
        <f>(WWWW[[#This Row],['#_Water_Liters_supplied_by_Water boating or water trucking]]/90)/15</f>
        <v>0</v>
      </c>
      <c r="CG332" s="801">
        <f>WWWW[[#This Row],['#_Water_Liters_from_Constructed/Existing water distribution system from river or natural spring]]/90/15</f>
        <v>0</v>
      </c>
      <c r="CH332" s="473">
        <f>WWWW[[#This Row],['#_of water points in TLS/CFS /THF]]*500</f>
        <v>0</v>
      </c>
      <c r="CI33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2" s="800">
        <f>IF(WWWW[[#This Row],[Location Type 1]]="Village",WWWW[[#This Row],[Access to safe drinking water for Village]],WWWW[[#This Row],[Access to safe drinking water for Camp]])</f>
        <v>0</v>
      </c>
      <c r="CL332" s="798">
        <f>WWWW[[#This Row],[%Equitable and continuous access to sufficient quantity of safe drinking water]]*WWWW[[#This Row],[Total PoP ]]</f>
        <v>0</v>
      </c>
      <c r="CM332" s="800">
        <f>IF((WWWW[[#This Row],['#_Constructed/Existing protected/fenced ponds]]*250)/WWWW[[#This Row],[Total PoP ]]&gt;1,1,(WWWW[[#This Row],['#_Constructed/Existing protected/fenced ponds]]*250)/WWWW[[#This Row],[Total PoP ]])</f>
        <v>0</v>
      </c>
      <c r="CN332" s="798">
        <f>WWWW[[#This Row],[% Access to unimproved water points]]*WWWW[[#This Row],[Total PoP ]]</f>
        <v>0</v>
      </c>
      <c r="CO33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2" s="798">
        <f>WWWW[[#This Row],[HRP1]]/500</f>
        <v>0</v>
      </c>
      <c r="CR332" s="803">
        <f>1-WWWW[[#This Row],[% Equitable and continuous access to sufficient quantity of domestic water]]</f>
        <v>1</v>
      </c>
      <c r="CS332" s="798">
        <f>WWWW[[#This Row],[%equitable and continuous access to sufficient quantity of safe drinking and domestic water''s GAP]]*WWWW[[#This Row],[Total PoP ]]</f>
        <v>928</v>
      </c>
      <c r="CT332" s="801">
        <f>IF(WWWW[[#This Row],[Total required water points]]-WWWW[[#This Row],['#Water points coverage]]&lt;0,0,WWWW[[#This Row],[Total required water points]]-WWWW[[#This Row],['#Water points coverage]])</f>
        <v>2</v>
      </c>
      <c r="CU332" s="801">
        <f>ROUND(IF(WWWW[[#This Row],[Total PoP ]]&lt;500,1,WWWW[[#This Row],[Total PoP ]]/500),0)</f>
        <v>2</v>
      </c>
      <c r="CV332" s="801">
        <f>(WWWW[[#This Row],['#_Constructed latrines_by_WASHAgencies]]+WWWW[[#This Row],['#_Non Cluster partner latrines]])-WWWW[[#This Row],['#_Non-functional latrines]]</f>
        <v>0</v>
      </c>
      <c r="CW332" s="804">
        <f>WWWW[[#This Row],[HRP2]]/WWWW[[#This Row],[Total PoP ]]</f>
        <v>0</v>
      </c>
      <c r="CX33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2" s="473">
        <f>IF(WWWW[[#This Row],['# of functional latrines in THF supported by WASH partners during the reporting period2]]="",0,WWWW[[#This Row],['# of functional latrines in THF supported by WASH partners during the reporting period2]]*50)</f>
        <v>0</v>
      </c>
      <c r="DB332" s="473">
        <f>WWWW[[#This Row],['# students access to functioning school latrines_HRP5]]+WWWW[[#This Row],['# People access to functioning latrines in THF_HRP5]]</f>
        <v>0</v>
      </c>
      <c r="DC332" s="801">
        <f>ROUND(IF(WWWW[[#This Row],[Location Type 1]]="camp",WWWW[[#This Row],[Total PoP ]]/20,IF(WWWW[[#This Row],[Location Type 1]]="Temporary Location",WWWW[[#This Row],[Total PoP ]]/50,(WWWW[[#This Row],[Total PoP ]]/6))),0)</f>
        <v>46</v>
      </c>
      <c r="DD332" s="801">
        <f>IF(WWWW[[#This Row],[Total required Latrines]]-(WWWW[[#This Row],['#_Constructed latrines_by_WASHAgencies]]+WWWW[[#This Row],['#_Non Cluster partner latrines]])&lt;0,0,WWWW[[#This Row],[Total required Latrines]]-(WWWW[[#This Row],['#_Constructed latrines_by_WASHAgencies]]+WWWW[[#This Row],['#_Non Cluster partner latrines]]))</f>
        <v>46</v>
      </c>
      <c r="DE332" s="803">
        <f>1-WWWW[[#This Row],[% people access to functioning Latrine]]</f>
        <v>1</v>
      </c>
      <c r="DF332" s="802">
        <f>IF(OR(WWWW[[#This Row],['#_Non-functional latrines]]="",WWWW[[#This Row],['#_Non-functional latrines]]=0),0,WWWW[[#This Row],['#_Non-functional latrines]]/(WWWW[[#This Row],['#_Constructed latrines_by_WASHAgencies]]+WWWW[[#This Row],['#_Non Cluster partner latrines]]))</f>
        <v>0</v>
      </c>
      <c r="DG332" s="798">
        <f>IF(500*(WWWW[[#This Row],['#_male hygiene promoters]]+WWWW[[#This Row],['#_female hygiene promoters]])&gt;WWWW[[#This Row],[Total PoP ]],WWWW[[#This Row],[Total PoP ]],500*(WWWW[[#This Row],['#_male hygiene promoters]]+WWWW[[#This Row],['#_female hygiene promoters]]))</f>
        <v>0</v>
      </c>
      <c r="DH33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2" s="801">
        <f>IF(WWWW[[#This Row],['# People with access to soap]]&gt;WWWW[[#This Row],['# People with access to Sanity Pads]],WWWW[[#This Row],['# People with access to soap]],WWWW[[#This Row],['# People with access to Sanity Pads]])</f>
        <v>0</v>
      </c>
      <c r="DK33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2" s="803">
        <f>IF(WWWW[[#This Row],[HRP3]]/WWWW[[#This Row],[Total PoP ]]&gt;1,1,WWWW[[#This Row],[HRP3]]/WWWW[[#This Row],[Total PoP ]])</f>
        <v>0</v>
      </c>
      <c r="DM332" s="802">
        <f>1-WWWW[[#This Row],[Hygiene Coverage%]]</f>
        <v>1</v>
      </c>
      <c r="DN332" s="800">
        <f>WWWW[[#This Row],['# people reached by regular dedicated hygiene promotion_5]]/WWWW[[#This Row],[Total PoP ]]</f>
        <v>0</v>
      </c>
      <c r="DO33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2" s="801">
        <f>WWWW[[#This Row],['#_Constructed/Existing hand washing stations]]-WWWW[[#This Row],['#_Non-Functional_hand_washing_stations]]</f>
        <v>0</v>
      </c>
      <c r="DR332" s="798">
        <f>IF(WWWW[[#This Row],['# Functional hand washing stations during reporting period]]*20&gt;WWWW[[#This Row],[Total HH]],WWWW[[#This Row],[Total HH]],WWWW[[#This Row],['# Functional hand washing stations during reporting period]]*20)</f>
        <v>0</v>
      </c>
      <c r="DS332" s="798">
        <f>IF(WWWW[[#This Row],[Is sufficient soap available for TLS? (Yes/No)]]="yes",WWWW[[#This Row],['#_Constructed/Existing hand washing stations at TLS]],0)</f>
        <v>0</v>
      </c>
      <c r="DT332" s="479">
        <f>IF(WWWW[[#This Row],['# Functional hand washing stations during reporting period]]*100&gt;WWWW[[#This Row],[Total PoP ]],WWWW[[#This Row],[Total PoP ]],WWWW[[#This Row],['# Functional hand washing stations during reporting period]]*100)</f>
        <v>0</v>
      </c>
      <c r="DU332" s="479" t="str">
        <f>IF(OR(WWWW[[#This Row],['#_students at TLS_CFS]]="",WWWW[[#This Row],['#_students at TLS_CFS]]=0),"No","Yes")</f>
        <v>No</v>
      </c>
      <c r="DV33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2" s="794">
        <f>VLOOKUP(WWWW[[#This Row],[Site Name]],SiteDB6[[Site Name]:[CCCM Management]],6,FALSE)</f>
        <v>0</v>
      </c>
      <c r="DZ332" s="794" t="str">
        <f>VLOOKUP(WWWW[[#This Row],[Site Name]],SiteDB6[[Site Name]:[CCCM Focal Agency]],7,FALSE)</f>
        <v>uncovered</v>
      </c>
      <c r="EA332" s="794" t="str">
        <f>VLOOKUP(WWWW[[#This Row],[Site Name]],SiteDB6[[Site Name]:[Location Type 1]],9,FALSE)</f>
        <v>Camp</v>
      </c>
      <c r="EB332" s="794" t="str">
        <f>VLOOKUP(WWWW[[#This Row],[Site Name]],SiteDB6[[Site Name]:[Type of Accommodation]],10,FALSE)</f>
        <v>Host Families</v>
      </c>
      <c r="EC332" s="794" t="str">
        <f>VLOOKUP(WWWW[[#This Row],[Site Name]],SiteDB6[[Site Name]:[Ethnic or GCA/NGCA]],11,FALSE)</f>
        <v>GCA</v>
      </c>
      <c r="ED332" s="794">
        <f>VLOOKUP(WWWW[[#This Row],[Site Name]],SiteDB6[[Site Name]:[Lat]],12,FALSE)</f>
        <v>24.263786</v>
      </c>
      <c r="EE332" s="794">
        <f>VLOOKUP(WWWW[[#This Row],[Site Name]],SiteDB6[[Site Name]:[Long]],13,FALSE)</f>
        <v>97.228835000000004</v>
      </c>
      <c r="EF332" s="794" t="str">
        <f>VLOOKUP(WWWW[[#This Row],[Site Name]],SiteDB6[[Site Name]:[Pcode]],3,FALSE)</f>
        <v>MMR001CMP163</v>
      </c>
      <c r="EG332" s="799" t="str">
        <f t="shared" si="7"/>
        <v>Notcovered</v>
      </c>
      <c r="EH332" s="799" t="str">
        <f>VLOOKUP(WWWW[[#This Row],[Site Name]],Site_DB!$C$389:$D$1120,2,FALSE)</f>
        <v>cccm_2019OCT</v>
      </c>
    </row>
    <row r="333" spans="1:138" hidden="1">
      <c r="A333" s="792" t="s">
        <v>3262</v>
      </c>
      <c r="B333" s="792" t="s">
        <v>312</v>
      </c>
      <c r="C333" s="793" t="s">
        <v>312</v>
      </c>
      <c r="D333" s="793"/>
      <c r="E333" s="793" t="s">
        <v>39</v>
      </c>
      <c r="F333" s="793" t="s">
        <v>155</v>
      </c>
      <c r="G333" s="721" t="str">
        <f>VLOOKUP(WWWW[[#This Row],[Site Name]],SiteDB6[[Site Name]:[Location Type]],8,FALSE)</f>
        <v>Camp</v>
      </c>
      <c r="H333" s="793" t="s">
        <v>2004</v>
      </c>
      <c r="I333" s="795">
        <v>6</v>
      </c>
      <c r="J333" s="795">
        <v>32</v>
      </c>
      <c r="K333" s="796"/>
      <c r="L333" s="797"/>
      <c r="M333" s="795"/>
      <c r="N333" s="795"/>
      <c r="O333" s="795"/>
      <c r="P333" s="795"/>
      <c r="Q333" s="798"/>
      <c r="R333" s="795"/>
      <c r="S333" s="795"/>
      <c r="T333" s="523"/>
      <c r="U333" s="795"/>
      <c r="V333" s="795"/>
      <c r="W333" s="795"/>
      <c r="X333" s="795"/>
      <c r="Y333" s="795"/>
      <c r="Z333" s="795"/>
      <c r="AA333" s="795"/>
      <c r="AB333" s="795"/>
      <c r="AC333" s="795"/>
      <c r="AD333" s="795"/>
      <c r="AE333" s="795"/>
      <c r="AF333" s="795"/>
      <c r="AG333" s="795"/>
      <c r="AH333" s="795"/>
      <c r="AI333" s="795"/>
      <c r="AJ333" s="795"/>
      <c r="AK333" s="795"/>
      <c r="AL333" s="795"/>
      <c r="AM333" s="795"/>
      <c r="AN333" s="795"/>
      <c r="AO333" s="799"/>
      <c r="AP333" s="795"/>
      <c r="AQ333" s="795"/>
      <c r="AR333" s="800"/>
      <c r="AS333" s="795"/>
      <c r="AT333" s="795"/>
      <c r="AU333" s="795"/>
      <c r="AV333" s="795"/>
      <c r="AW333" s="795"/>
      <c r="AX333" s="794"/>
      <c r="AY333" s="799"/>
      <c r="AZ333" s="795"/>
      <c r="BA333" s="795"/>
      <c r="BB333" s="795"/>
      <c r="BC333" s="523"/>
      <c r="BD333" s="523"/>
      <c r="BE333" s="794"/>
      <c r="BF333" s="795"/>
      <c r="BG333" s="795"/>
      <c r="BH333" s="795"/>
      <c r="BI333" s="795"/>
      <c r="BJ333" s="795"/>
      <c r="BK333" s="795"/>
      <c r="BL333" s="795"/>
      <c r="BM333" s="795"/>
      <c r="BN333" s="795"/>
      <c r="BO333" s="794"/>
      <c r="BP333" s="801"/>
      <c r="BQ333" s="800"/>
      <c r="BR333" s="794"/>
      <c r="BS333" s="472"/>
      <c r="BT333" s="472"/>
      <c r="BU333" s="720"/>
      <c r="BV333" s="472"/>
      <c r="BW333" s="523"/>
      <c r="BX333" s="523"/>
      <c r="BY333" s="523"/>
      <c r="BZ333" s="802" t="str">
        <f>IFERROR(WWWW[[#This Row],['#_Water sources passed]]/WWWW[[#This Row],['#_Water sources tested for fecal coliform ]],"no test")</f>
        <v>no test</v>
      </c>
      <c r="CA333" s="800" t="str">
        <f>IFERROR(WWWW[[#This Row],['#_Household passed]]/WWWW[[#This Row],['#_Household water samples tested for fecal coliform]],"no test")</f>
        <v>no test</v>
      </c>
      <c r="CB333" s="801" t="str">
        <f>IF(AND(WWWW[[#This Row],[% of water sources passed]]="no test",WWWW[[#This Row],[% Household passed]]="no test"),"No Test","Tested")</f>
        <v>No Test</v>
      </c>
      <c r="CC333" s="801">
        <f>WWWW[[#This Row],['#_Constructed/existing protected hand dug well]]-WWWW[[#This Row],['#_Non-functional protected hand dug well]]</f>
        <v>0</v>
      </c>
      <c r="CD333" s="801">
        <f>(WWWW[[#This Row],['#_Constructed/Existing tube wells/boreholes/handpumps_WASH_agency]]+WWWW[[#This Row],['#_Non-Cluster partner water tube-wells/boreholes/handpumps]])-WWWW[[#This Row],['#_Non-functional tube wells/boreholes/handpumps]]</f>
        <v>0</v>
      </c>
      <c r="CE333" s="801">
        <f>WWWW[[#This Row],['#_Constructed/Existingwater storage tank with gravity fed reticulation system]]-WWWW[[#This Row],['#_Non-functional storage tank gravity fed reticulation system]]</f>
        <v>0</v>
      </c>
      <c r="CF333" s="801">
        <f>(WWWW[[#This Row],['#_Water_Liters_supplied_by_Water boating or water trucking]]/90)/15</f>
        <v>0</v>
      </c>
      <c r="CG333" s="801">
        <f>WWWW[[#This Row],['#_Water_Liters_from_Constructed/Existing water distribution system from river or natural spring]]/90/15</f>
        <v>0</v>
      </c>
      <c r="CH333" s="473">
        <f>WWWW[[#This Row],['#_of water points in TLS/CFS /THF]]*500</f>
        <v>0</v>
      </c>
      <c r="CI33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3" s="800">
        <f>IF(WWWW[[#This Row],[Location Type 1]]="Village",WWWW[[#This Row],[Access to safe drinking water for Village]],WWWW[[#This Row],[Access to safe drinking water for Camp]])</f>
        <v>0</v>
      </c>
      <c r="CL333" s="798">
        <f>WWWW[[#This Row],[%Equitable and continuous access to sufficient quantity of safe drinking water]]*WWWW[[#This Row],[Total PoP ]]</f>
        <v>0</v>
      </c>
      <c r="CM333" s="800">
        <f>IF((WWWW[[#This Row],['#_Constructed/Existing protected/fenced ponds]]*250)/WWWW[[#This Row],[Total PoP ]]&gt;1,1,(WWWW[[#This Row],['#_Constructed/Existing protected/fenced ponds]]*250)/WWWW[[#This Row],[Total PoP ]])</f>
        <v>0</v>
      </c>
      <c r="CN333" s="798">
        <f>WWWW[[#This Row],[% Access to unimproved water points]]*WWWW[[#This Row],[Total PoP ]]</f>
        <v>0</v>
      </c>
      <c r="CO33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3" s="798">
        <f>WWWW[[#This Row],[HRP1]]/500</f>
        <v>0</v>
      </c>
      <c r="CR333" s="803">
        <f>1-WWWW[[#This Row],[% Equitable and continuous access to sufficient quantity of domestic water]]</f>
        <v>1</v>
      </c>
      <c r="CS333" s="798">
        <f>WWWW[[#This Row],[%equitable and continuous access to sufficient quantity of safe drinking and domestic water''s GAP]]*WWWW[[#This Row],[Total PoP ]]</f>
        <v>32</v>
      </c>
      <c r="CT333" s="801">
        <f>IF(WWWW[[#This Row],[Total required water points]]-WWWW[[#This Row],['#Water points coverage]]&lt;0,0,WWWW[[#This Row],[Total required water points]]-WWWW[[#This Row],['#Water points coverage]])</f>
        <v>1</v>
      </c>
      <c r="CU333" s="801">
        <f>ROUND(IF(WWWW[[#This Row],[Total PoP ]]&lt;500,1,WWWW[[#This Row],[Total PoP ]]/500),0)</f>
        <v>1</v>
      </c>
      <c r="CV333" s="801">
        <f>(WWWW[[#This Row],['#_Constructed latrines_by_WASHAgencies]]+WWWW[[#This Row],['#_Non Cluster partner latrines]])-WWWW[[#This Row],['#_Non-functional latrines]]</f>
        <v>0</v>
      </c>
      <c r="CW333" s="804">
        <f>WWWW[[#This Row],[HRP2]]/WWWW[[#This Row],[Total PoP ]]</f>
        <v>0</v>
      </c>
      <c r="CX33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3" s="473">
        <f>IF(WWWW[[#This Row],['# of functional latrines in THF supported by WASH partners during the reporting period2]]="",0,WWWW[[#This Row],['# of functional latrines in THF supported by WASH partners during the reporting period2]]*50)</f>
        <v>0</v>
      </c>
      <c r="DB333" s="473">
        <f>WWWW[[#This Row],['# students access to functioning school latrines_HRP5]]+WWWW[[#This Row],['# People access to functioning latrines in THF_HRP5]]</f>
        <v>0</v>
      </c>
      <c r="DC333" s="801">
        <f>ROUND(IF(WWWW[[#This Row],[Location Type 1]]="camp",WWWW[[#This Row],[Total PoP ]]/20,IF(WWWW[[#This Row],[Location Type 1]]="Temporary Location",WWWW[[#This Row],[Total PoP ]]/50,(WWWW[[#This Row],[Total PoP ]]/6))),0)</f>
        <v>2</v>
      </c>
      <c r="DD333" s="801">
        <f>IF(WWWW[[#This Row],[Total required Latrines]]-(WWWW[[#This Row],['#_Constructed latrines_by_WASHAgencies]]+WWWW[[#This Row],['#_Non Cluster partner latrines]])&lt;0,0,WWWW[[#This Row],[Total required Latrines]]-(WWWW[[#This Row],['#_Constructed latrines_by_WASHAgencies]]+WWWW[[#This Row],['#_Non Cluster partner latrines]]))</f>
        <v>2</v>
      </c>
      <c r="DE333" s="803">
        <f>1-WWWW[[#This Row],[% people access to functioning Latrine]]</f>
        <v>1</v>
      </c>
      <c r="DF333" s="802">
        <f>IF(OR(WWWW[[#This Row],['#_Non-functional latrines]]="",WWWW[[#This Row],['#_Non-functional latrines]]=0),0,WWWW[[#This Row],['#_Non-functional latrines]]/(WWWW[[#This Row],['#_Constructed latrines_by_WASHAgencies]]+WWWW[[#This Row],['#_Non Cluster partner latrines]]))</f>
        <v>0</v>
      </c>
      <c r="DG333" s="798">
        <f>IF(500*(WWWW[[#This Row],['#_male hygiene promoters]]+WWWW[[#This Row],['#_female hygiene promoters]])&gt;WWWW[[#This Row],[Total PoP ]],WWWW[[#This Row],[Total PoP ]],500*(WWWW[[#This Row],['#_male hygiene promoters]]+WWWW[[#This Row],['#_female hygiene promoters]]))</f>
        <v>0</v>
      </c>
      <c r="DH33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3" s="801">
        <f>IF(WWWW[[#This Row],['# People with access to soap]]&gt;WWWW[[#This Row],['# People with access to Sanity Pads]],WWWW[[#This Row],['# People with access to soap]],WWWW[[#This Row],['# People with access to Sanity Pads]])</f>
        <v>0</v>
      </c>
      <c r="DK33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3" s="803">
        <f>IF(WWWW[[#This Row],[HRP3]]/WWWW[[#This Row],[Total PoP ]]&gt;1,1,WWWW[[#This Row],[HRP3]]/WWWW[[#This Row],[Total PoP ]])</f>
        <v>0</v>
      </c>
      <c r="DM333" s="802">
        <f>1-WWWW[[#This Row],[Hygiene Coverage%]]</f>
        <v>1</v>
      </c>
      <c r="DN333" s="800">
        <f>WWWW[[#This Row],['# people reached by regular dedicated hygiene promotion_5]]/WWWW[[#This Row],[Total PoP ]]</f>
        <v>0</v>
      </c>
      <c r="DO33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3" s="801">
        <f>WWWW[[#This Row],['#_Constructed/Existing hand washing stations]]-WWWW[[#This Row],['#_Non-Functional_hand_washing_stations]]</f>
        <v>0</v>
      </c>
      <c r="DR333" s="798">
        <f>IF(WWWW[[#This Row],['# Functional hand washing stations during reporting period]]*20&gt;WWWW[[#This Row],[Total HH]],WWWW[[#This Row],[Total HH]],WWWW[[#This Row],['# Functional hand washing stations during reporting period]]*20)</f>
        <v>0</v>
      </c>
      <c r="DS333" s="798">
        <f>IF(WWWW[[#This Row],[Is sufficient soap available for TLS? (Yes/No)]]="yes",WWWW[[#This Row],['#_Constructed/Existing hand washing stations at TLS]],0)</f>
        <v>0</v>
      </c>
      <c r="DT333" s="479">
        <f>IF(WWWW[[#This Row],['# Functional hand washing stations during reporting period]]*100&gt;WWWW[[#This Row],[Total PoP ]],WWWW[[#This Row],[Total PoP ]],WWWW[[#This Row],['# Functional hand washing stations during reporting period]]*100)</f>
        <v>0</v>
      </c>
      <c r="DU333" s="479" t="str">
        <f>IF(OR(WWWW[[#This Row],['#_students at TLS_CFS]]="",WWWW[[#This Row],['#_students at TLS_CFS]]=0),"No","Yes")</f>
        <v>No</v>
      </c>
      <c r="DV33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3" s="794">
        <f>VLOOKUP(WWWW[[#This Row],[Site Name]],SiteDB6[[Site Name]:[CCCM Management]],6,FALSE)</f>
        <v>0</v>
      </c>
      <c r="DZ333" s="794" t="str">
        <f>VLOOKUP(WWWW[[#This Row],[Site Name]],SiteDB6[[Site Name]:[CCCM Focal Agency]],7,FALSE)</f>
        <v>uncovered</v>
      </c>
      <c r="EA333" s="794" t="str">
        <f>VLOOKUP(WWWW[[#This Row],[Site Name]],SiteDB6[[Site Name]:[Location Type 1]],9,FALSE)</f>
        <v>Camp</v>
      </c>
      <c r="EB333" s="794" t="str">
        <f>VLOOKUP(WWWW[[#This Row],[Site Name]],SiteDB6[[Site Name]:[Type of Accommodation]],10,FALSE)</f>
        <v>Camp like setting</v>
      </c>
      <c r="EC333" s="794" t="str">
        <f>VLOOKUP(WWWW[[#This Row],[Site Name]],SiteDB6[[Site Name]:[Ethnic or GCA/NGCA]],11,FALSE)</f>
        <v>GCA</v>
      </c>
      <c r="ED333" s="794">
        <f>VLOOKUP(WWWW[[#This Row],[Site Name]],SiteDB6[[Site Name]:[Lat]],12,FALSE)</f>
        <v>0</v>
      </c>
      <c r="EE333" s="794">
        <f>VLOOKUP(WWWW[[#This Row],[Site Name]],SiteDB6[[Site Name]:[Long]],13,FALSE)</f>
        <v>0</v>
      </c>
      <c r="EF333" s="794" t="str">
        <f>VLOOKUP(WWWW[[#This Row],[Site Name]],SiteDB6[[Site Name]:[Pcode]],3,FALSE)</f>
        <v>MMR001CMP262</v>
      </c>
      <c r="EG333" s="799" t="str">
        <f t="shared" si="7"/>
        <v>Notcovered</v>
      </c>
      <c r="EH333" s="799" t="str">
        <f>VLOOKUP(WWWW[[#This Row],[Site Name]],Site_DB!$C$389:$D$1120,2,FALSE)</f>
        <v>cccm_2019OCT</v>
      </c>
    </row>
    <row r="334" spans="1:138" hidden="1">
      <c r="A334" s="792" t="s">
        <v>3262</v>
      </c>
      <c r="B334" s="792" t="s">
        <v>312</v>
      </c>
      <c r="C334" s="793" t="s">
        <v>312</v>
      </c>
      <c r="D334" s="793"/>
      <c r="E334" s="793" t="s">
        <v>39</v>
      </c>
      <c r="F334" s="793" t="s">
        <v>187</v>
      </c>
      <c r="G334" s="721" t="str">
        <f>VLOOKUP(WWWW[[#This Row],[Site Name]],SiteDB6[[Site Name]:[Location Type]],8,FALSE)</f>
        <v>Camp</v>
      </c>
      <c r="H334" s="793" t="s">
        <v>2852</v>
      </c>
      <c r="I334" s="795">
        <v>29</v>
      </c>
      <c r="J334" s="795">
        <v>140</v>
      </c>
      <c r="K334" s="796"/>
      <c r="L334" s="797"/>
      <c r="M334" s="795"/>
      <c r="N334" s="795"/>
      <c r="O334" s="795"/>
      <c r="P334" s="795"/>
      <c r="Q334" s="798"/>
      <c r="R334" s="795"/>
      <c r="S334" s="795">
        <v>4</v>
      </c>
      <c r="T334" s="523"/>
      <c r="U334" s="795"/>
      <c r="V334" s="795"/>
      <c r="W334" s="795"/>
      <c r="X334" s="795"/>
      <c r="Y334" s="795"/>
      <c r="Z334" s="795"/>
      <c r="AA334" s="795"/>
      <c r="AB334" s="795"/>
      <c r="AC334" s="795"/>
      <c r="AD334" s="795"/>
      <c r="AE334" s="795"/>
      <c r="AF334" s="795"/>
      <c r="AG334" s="795"/>
      <c r="AH334" s="795"/>
      <c r="AI334" s="795"/>
      <c r="AJ334" s="795"/>
      <c r="AK334" s="795"/>
      <c r="AL334" s="795"/>
      <c r="AM334" s="795"/>
      <c r="AN334" s="795"/>
      <c r="AO334" s="799"/>
      <c r="AP334" s="795"/>
      <c r="AQ334" s="795"/>
      <c r="AR334" s="800"/>
      <c r="AS334" s="795"/>
      <c r="AT334" s="795"/>
      <c r="AU334" s="795"/>
      <c r="AV334" s="795"/>
      <c r="AW334" s="795"/>
      <c r="AX334" s="794"/>
      <c r="AY334" s="799"/>
      <c r="AZ334" s="795"/>
      <c r="BA334" s="795"/>
      <c r="BB334" s="795"/>
      <c r="BC334" s="523"/>
      <c r="BD334" s="523"/>
      <c r="BE334" s="794"/>
      <c r="BF334" s="795"/>
      <c r="BG334" s="795"/>
      <c r="BH334" s="795"/>
      <c r="BI334" s="795"/>
      <c r="BJ334" s="795"/>
      <c r="BK334" s="795"/>
      <c r="BL334" s="795"/>
      <c r="BM334" s="795"/>
      <c r="BN334" s="795"/>
      <c r="BO334" s="794"/>
      <c r="BP334" s="801"/>
      <c r="BQ334" s="800"/>
      <c r="BR334" s="794"/>
      <c r="BS334" s="472"/>
      <c r="BT334" s="472"/>
      <c r="BU334" s="720"/>
      <c r="BV334" s="472"/>
      <c r="BW334" s="523"/>
      <c r="BX334" s="523"/>
      <c r="BY334" s="523"/>
      <c r="BZ334" s="802" t="str">
        <f>IFERROR(WWWW[[#This Row],['#_Water sources passed]]/WWWW[[#This Row],['#_Water sources tested for fecal coliform ]],"no test")</f>
        <v>no test</v>
      </c>
      <c r="CA334" s="800" t="str">
        <f>IFERROR(WWWW[[#This Row],['#_Household passed]]/WWWW[[#This Row],['#_Household water samples tested for fecal coliform]],"no test")</f>
        <v>no test</v>
      </c>
      <c r="CB334" s="801" t="str">
        <f>IF(AND(WWWW[[#This Row],[% of water sources passed]]="no test",WWWW[[#This Row],[% Household passed]]="no test"),"No Test","Tested")</f>
        <v>No Test</v>
      </c>
      <c r="CC334" s="801">
        <f>WWWW[[#This Row],['#_Constructed/existing protected hand dug well]]-WWWW[[#This Row],['#_Non-functional protected hand dug well]]</f>
        <v>0</v>
      </c>
      <c r="CD334" s="801">
        <f>(WWWW[[#This Row],['#_Constructed/Existing tube wells/boreholes/handpumps_WASH_agency]]+WWWW[[#This Row],['#_Non-Cluster partner water tube-wells/boreholes/handpumps]])-WWWW[[#This Row],['#_Non-functional tube wells/boreholes/handpumps]]</f>
        <v>0</v>
      </c>
      <c r="CE334" s="801">
        <f>WWWW[[#This Row],['#_Constructed/Existingwater storage tank with gravity fed reticulation system]]-WWWW[[#This Row],['#_Non-functional storage tank gravity fed reticulation system]]</f>
        <v>0</v>
      </c>
      <c r="CF334" s="801">
        <f>(WWWW[[#This Row],['#_Water_Liters_supplied_by_Water boating or water trucking]]/90)/15</f>
        <v>0</v>
      </c>
      <c r="CG334" s="801">
        <f>WWWW[[#This Row],['#_Water_Liters_from_Constructed/Existing water distribution system from river or natural spring]]/90/15</f>
        <v>0</v>
      </c>
      <c r="CH334" s="473">
        <f>WWWW[[#This Row],['#_of water points in TLS/CFS /THF]]*500</f>
        <v>0</v>
      </c>
      <c r="CI33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4" s="800">
        <f>IF(WWWW[[#This Row],[Location Type 1]]="Village",WWWW[[#This Row],[Access to safe drinking water for Village]],WWWW[[#This Row],[Access to safe drinking water for Camp]])</f>
        <v>0</v>
      </c>
      <c r="CL334" s="798">
        <f>WWWW[[#This Row],[%Equitable and continuous access to sufficient quantity of safe drinking water]]*WWWW[[#This Row],[Total PoP ]]</f>
        <v>0</v>
      </c>
      <c r="CM334" s="800">
        <f>IF((WWWW[[#This Row],['#_Constructed/Existing protected/fenced ponds]]*250)/WWWW[[#This Row],[Total PoP ]]&gt;1,1,(WWWW[[#This Row],['#_Constructed/Existing protected/fenced ponds]]*250)/WWWW[[#This Row],[Total PoP ]])</f>
        <v>0</v>
      </c>
      <c r="CN334" s="798">
        <f>WWWW[[#This Row],[% Access to unimproved water points]]*WWWW[[#This Row],[Total PoP ]]</f>
        <v>0</v>
      </c>
      <c r="CO33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4" s="798">
        <f>WWWW[[#This Row],[HRP1]]/500</f>
        <v>0</v>
      </c>
      <c r="CR334" s="803">
        <f>1-WWWW[[#This Row],[% Equitable and continuous access to sufficient quantity of domestic water]]</f>
        <v>1</v>
      </c>
      <c r="CS334" s="798">
        <f>WWWW[[#This Row],[%equitable and continuous access to sufficient quantity of safe drinking and domestic water''s GAP]]*WWWW[[#This Row],[Total PoP ]]</f>
        <v>140</v>
      </c>
      <c r="CT334" s="801">
        <f>IF(WWWW[[#This Row],[Total required water points]]-WWWW[[#This Row],['#Water points coverage]]&lt;0,0,WWWW[[#This Row],[Total required water points]]-WWWW[[#This Row],['#Water points coverage]])</f>
        <v>1</v>
      </c>
      <c r="CU334" s="801">
        <f>ROUND(IF(WWWW[[#This Row],[Total PoP ]]&lt;500,1,WWWW[[#This Row],[Total PoP ]]/500),0)</f>
        <v>1</v>
      </c>
      <c r="CV334" s="801">
        <f>(WWWW[[#This Row],['#_Constructed latrines_by_WASHAgencies]]+WWWW[[#This Row],['#_Non Cluster partner latrines]])-WWWW[[#This Row],['#_Non-functional latrines]]</f>
        <v>0</v>
      </c>
      <c r="CW334" s="804">
        <f>WWWW[[#This Row],[HRP2]]/WWWW[[#This Row],[Total PoP ]]</f>
        <v>0</v>
      </c>
      <c r="CX33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4" s="473">
        <f>IF(WWWW[[#This Row],['# of functional latrines in THF supported by WASH partners during the reporting period2]]="",0,WWWW[[#This Row],['# of functional latrines in THF supported by WASH partners during the reporting period2]]*50)</f>
        <v>0</v>
      </c>
      <c r="DB334" s="473">
        <f>WWWW[[#This Row],['# students access to functioning school latrines_HRP5]]+WWWW[[#This Row],['# People access to functioning latrines in THF_HRP5]]</f>
        <v>0</v>
      </c>
      <c r="DC334" s="801">
        <f>ROUND(IF(WWWW[[#This Row],[Location Type 1]]="camp",WWWW[[#This Row],[Total PoP ]]/20,IF(WWWW[[#This Row],[Location Type 1]]="Temporary Location",WWWW[[#This Row],[Total PoP ]]/50,(WWWW[[#This Row],[Total PoP ]]/6))),0)</f>
        <v>7</v>
      </c>
      <c r="DD334" s="801">
        <f>IF(WWWW[[#This Row],[Total required Latrines]]-(WWWW[[#This Row],['#_Constructed latrines_by_WASHAgencies]]+WWWW[[#This Row],['#_Non Cluster partner latrines]])&lt;0,0,WWWW[[#This Row],[Total required Latrines]]-(WWWW[[#This Row],['#_Constructed latrines_by_WASHAgencies]]+WWWW[[#This Row],['#_Non Cluster partner latrines]]))</f>
        <v>7</v>
      </c>
      <c r="DE334" s="803">
        <f>1-WWWW[[#This Row],[% people access to functioning Latrine]]</f>
        <v>1</v>
      </c>
      <c r="DF334" s="802">
        <f>IF(OR(WWWW[[#This Row],['#_Non-functional latrines]]="",WWWW[[#This Row],['#_Non-functional latrines]]=0),0,WWWW[[#This Row],['#_Non-functional latrines]]/(WWWW[[#This Row],['#_Constructed latrines_by_WASHAgencies]]+WWWW[[#This Row],['#_Non Cluster partner latrines]]))</f>
        <v>0</v>
      </c>
      <c r="DG334" s="798">
        <f>IF(500*(WWWW[[#This Row],['#_male hygiene promoters]]+WWWW[[#This Row],['#_female hygiene promoters]])&gt;WWWW[[#This Row],[Total PoP ]],WWWW[[#This Row],[Total PoP ]],500*(WWWW[[#This Row],['#_male hygiene promoters]]+WWWW[[#This Row],['#_female hygiene promoters]]))</f>
        <v>0</v>
      </c>
      <c r="DH33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4" s="801">
        <f>IF(WWWW[[#This Row],['# People with access to soap]]&gt;WWWW[[#This Row],['# People with access to Sanity Pads]],WWWW[[#This Row],['# People with access to soap]],WWWW[[#This Row],['# People with access to Sanity Pads]])</f>
        <v>0</v>
      </c>
      <c r="DK33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4" s="803">
        <f>IF(WWWW[[#This Row],[HRP3]]/WWWW[[#This Row],[Total PoP ]]&gt;1,1,WWWW[[#This Row],[HRP3]]/WWWW[[#This Row],[Total PoP ]])</f>
        <v>0</v>
      </c>
      <c r="DM334" s="802">
        <f>1-WWWW[[#This Row],[Hygiene Coverage%]]</f>
        <v>1</v>
      </c>
      <c r="DN334" s="800">
        <f>WWWW[[#This Row],['# people reached by regular dedicated hygiene promotion_5]]/WWWW[[#This Row],[Total PoP ]]</f>
        <v>0</v>
      </c>
      <c r="DO33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4" s="801">
        <f>WWWW[[#This Row],['#_Constructed/Existing hand washing stations]]-WWWW[[#This Row],['#_Non-Functional_hand_washing_stations]]</f>
        <v>0</v>
      </c>
      <c r="DR334" s="798">
        <f>IF(WWWW[[#This Row],['# Functional hand washing stations during reporting period]]*20&gt;WWWW[[#This Row],[Total HH]],WWWW[[#This Row],[Total HH]],WWWW[[#This Row],['# Functional hand washing stations during reporting period]]*20)</f>
        <v>0</v>
      </c>
      <c r="DS334" s="798">
        <f>IF(WWWW[[#This Row],[Is sufficient soap available for TLS? (Yes/No)]]="yes",WWWW[[#This Row],['#_Constructed/Existing hand washing stations at TLS]],0)</f>
        <v>0</v>
      </c>
      <c r="DT334" s="479">
        <f>IF(WWWW[[#This Row],['# Functional hand washing stations during reporting period]]*100&gt;WWWW[[#This Row],[Total PoP ]],WWWW[[#This Row],[Total PoP ]],WWWW[[#This Row],['# Functional hand washing stations during reporting period]]*100)</f>
        <v>0</v>
      </c>
      <c r="DU334" s="479" t="str">
        <f>IF(OR(WWWW[[#This Row],['#_students at TLS_CFS]]="",WWWW[[#This Row],['#_students at TLS_CFS]]=0),"No","Yes")</f>
        <v>No</v>
      </c>
      <c r="DV33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4" s="794">
        <f>VLOOKUP(WWWW[[#This Row],[Site Name]],SiteDB6[[Site Name]:[CCCM Management]],6,FALSE)</f>
        <v>0</v>
      </c>
      <c r="DZ334" s="794" t="str">
        <f>VLOOKUP(WWWW[[#This Row],[Site Name]],SiteDB6[[Site Name]:[CCCM Focal Agency]],7,FALSE)</f>
        <v>uncovered</v>
      </c>
      <c r="EA334" s="794" t="str">
        <f>VLOOKUP(WWWW[[#This Row],[Site Name]],SiteDB6[[Site Name]:[Location Type 1]],9,FALSE)</f>
        <v>Camp</v>
      </c>
      <c r="EB334" s="794" t="str">
        <f>VLOOKUP(WWWW[[#This Row],[Site Name]],SiteDB6[[Site Name]:[Type of Accommodation]],10,FALSE)</f>
        <v>Camp like setting</v>
      </c>
      <c r="EC334" s="794" t="str">
        <f>VLOOKUP(WWWW[[#This Row],[Site Name]],SiteDB6[[Site Name]:[Ethnic or GCA/NGCA]],11,FALSE)</f>
        <v>GCA</v>
      </c>
      <c r="ED334" s="794">
        <f>VLOOKUP(WWWW[[#This Row],[Site Name]],SiteDB6[[Site Name]:[Lat]],12,FALSE)</f>
        <v>26.299828999999999</v>
      </c>
      <c r="EE334" s="794">
        <f>VLOOKUP(WWWW[[#This Row],[Site Name]],SiteDB6[[Site Name]:[Long]],13,FALSE)</f>
        <v>97.487258999999995</v>
      </c>
      <c r="EF334" s="794" t="str">
        <f>VLOOKUP(WWWW[[#This Row],[Site Name]],SiteDB6[[Site Name]:[Pcode]],3,FALSE)</f>
        <v>MMR001CMP272</v>
      </c>
      <c r="EG334" s="799" t="str">
        <f t="shared" si="7"/>
        <v>Notcovered</v>
      </c>
      <c r="EH334" s="799" t="str">
        <f>VLOOKUP(WWWW[[#This Row],[Site Name]],Site_DB!$C$389:$D$1120,2,FALSE)</f>
        <v>cccm_2019OCT</v>
      </c>
    </row>
    <row r="335" spans="1:138" hidden="1">
      <c r="A335" s="792" t="s">
        <v>3262</v>
      </c>
      <c r="B335" s="792" t="s">
        <v>245</v>
      </c>
      <c r="C335" s="793" t="s">
        <v>245</v>
      </c>
      <c r="D335" s="793" t="s">
        <v>310</v>
      </c>
      <c r="E335" s="793" t="s">
        <v>39</v>
      </c>
      <c r="F335" s="793" t="s">
        <v>145</v>
      </c>
      <c r="G335" s="721" t="str">
        <f>VLOOKUP(WWWW[[#This Row],[Site Name]],SiteDB6[[Site Name]:[Location Type]],8,FALSE)</f>
        <v>Camp</v>
      </c>
      <c r="H335" s="404" t="s">
        <v>275</v>
      </c>
      <c r="I335" s="795">
        <v>36</v>
      </c>
      <c r="J335" s="795">
        <v>189</v>
      </c>
      <c r="K335" s="796">
        <v>43313</v>
      </c>
      <c r="L335" s="797">
        <v>44043</v>
      </c>
      <c r="M335" s="795"/>
      <c r="N335" s="795">
        <v>1</v>
      </c>
      <c r="O335" s="795"/>
      <c r="P335" s="795"/>
      <c r="Q335" s="798" t="s">
        <v>43</v>
      </c>
      <c r="R335" s="795">
        <v>2</v>
      </c>
      <c r="S335" s="795">
        <v>2</v>
      </c>
      <c r="T335" s="523">
        <v>2</v>
      </c>
      <c r="U335" s="795"/>
      <c r="V335" s="795"/>
      <c r="W335" s="795">
        <v>1</v>
      </c>
      <c r="X335" s="795">
        <v>1</v>
      </c>
      <c r="Y335" s="795"/>
      <c r="Z335" s="795"/>
      <c r="AA335" s="795">
        <v>0</v>
      </c>
      <c r="AB335" s="795"/>
      <c r="AC335" s="795"/>
      <c r="AD335" s="795">
        <v>0</v>
      </c>
      <c r="AE335" s="795">
        <v>0</v>
      </c>
      <c r="AF335" s="795">
        <v>0</v>
      </c>
      <c r="AG335" s="795">
        <v>0</v>
      </c>
      <c r="AH335" s="795">
        <v>0</v>
      </c>
      <c r="AI335" s="795"/>
      <c r="AJ335" s="795"/>
      <c r="AK335" s="795"/>
      <c r="AL335" s="795"/>
      <c r="AM335" s="795">
        <v>0</v>
      </c>
      <c r="AN335" s="795">
        <v>0</v>
      </c>
      <c r="AO335" s="799"/>
      <c r="AP335" s="795">
        <v>9</v>
      </c>
      <c r="AQ335" s="795">
        <v>1</v>
      </c>
      <c r="AR335" s="800"/>
      <c r="AS335" s="795"/>
      <c r="AT335" s="795"/>
      <c r="AU335" s="795"/>
      <c r="AV335" s="795"/>
      <c r="AW335" s="795">
        <v>0</v>
      </c>
      <c r="AX335" s="794" t="s">
        <v>43</v>
      </c>
      <c r="AY335" s="799" t="s">
        <v>140</v>
      </c>
      <c r="AZ335" s="795">
        <v>0</v>
      </c>
      <c r="BA335" s="795">
        <v>0</v>
      </c>
      <c r="BB335" s="795">
        <v>0</v>
      </c>
      <c r="BC335" s="523"/>
      <c r="BD335" s="523"/>
      <c r="BE335" s="794"/>
      <c r="BF335" s="795">
        <v>6</v>
      </c>
      <c r="BG335" s="795"/>
      <c r="BH335" s="795">
        <v>4</v>
      </c>
      <c r="BI335" s="795">
        <v>2</v>
      </c>
      <c r="BJ335" s="795"/>
      <c r="BK335" s="795">
        <v>0</v>
      </c>
      <c r="BL335" s="795">
        <v>0</v>
      </c>
      <c r="BM335" s="795"/>
      <c r="BN335" s="795"/>
      <c r="BO335" s="474" t="s">
        <v>139</v>
      </c>
      <c r="BP335" s="801"/>
      <c r="BQ335" s="800"/>
      <c r="BR335" s="794"/>
      <c r="BS335" s="472"/>
      <c r="BT335" s="472"/>
      <c r="BU335" s="720"/>
      <c r="BV335" s="472"/>
      <c r="BW335" s="523"/>
      <c r="BX335" s="523"/>
      <c r="BY335" s="523"/>
      <c r="BZ335" s="802" t="str">
        <f>IFERROR(WWWW[[#This Row],['#_Water sources passed]]/WWWW[[#This Row],['#_Water sources tested for fecal coliform ]],"no test")</f>
        <v>no test</v>
      </c>
      <c r="CA335" s="800" t="str">
        <f>IFERROR(WWWW[[#This Row],['#_Household passed]]/WWWW[[#This Row],['#_Household water samples tested for fecal coliform]],"no test")</f>
        <v>no test</v>
      </c>
      <c r="CB335" s="801" t="str">
        <f>IF(AND(WWWW[[#This Row],[% of water sources passed]]="no test",WWWW[[#This Row],[% Household passed]]="no test"),"No Test","Tested")</f>
        <v>No Test</v>
      </c>
      <c r="CC335" s="801">
        <f>WWWW[[#This Row],['#_Constructed/existing protected hand dug well]]-WWWW[[#This Row],['#_Non-functional protected hand dug well]]</f>
        <v>2</v>
      </c>
      <c r="CD335" s="801">
        <f>(WWWW[[#This Row],['#_Constructed/Existing tube wells/boreholes/handpumps_WASH_agency]]+WWWW[[#This Row],['#_Non-Cluster partner water tube-wells/boreholes/handpumps]])-WWWW[[#This Row],['#_Non-functional tube wells/boreholes/handpumps]]</f>
        <v>2</v>
      </c>
      <c r="CE335" s="801">
        <f>WWWW[[#This Row],['#_Constructed/Existingwater storage tank with gravity fed reticulation system]]-WWWW[[#This Row],['#_Non-functional storage tank gravity fed reticulation system]]</f>
        <v>0</v>
      </c>
      <c r="CF335" s="801">
        <f>(WWWW[[#This Row],['#_Water_Liters_supplied_by_Water boating or water trucking]]/90)/15</f>
        <v>0</v>
      </c>
      <c r="CG335" s="801">
        <f>WWWW[[#This Row],['#_Water_Liters_from_Constructed/Existing water distribution system from river or natural spring]]/90/15</f>
        <v>0</v>
      </c>
      <c r="CH335" s="473">
        <f>WWWW[[#This Row],['#_of water points in TLS/CFS /THF]]*500</f>
        <v>0</v>
      </c>
      <c r="CI33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3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35" s="800">
        <f>IF(WWWW[[#This Row],[Location Type 1]]="Village",WWWW[[#This Row],[Access to safe drinking water for Village]],WWWW[[#This Row],[Access to safe drinking water for Camp]])</f>
        <v>1</v>
      </c>
      <c r="CL335" s="798">
        <f>WWWW[[#This Row],[%Equitable and continuous access to sufficient quantity of safe drinking water]]*WWWW[[#This Row],[Total PoP ]]</f>
        <v>189</v>
      </c>
      <c r="CM335" s="800">
        <f>IF((WWWW[[#This Row],['#_Constructed/Existing protected/fenced ponds]]*250)/WWWW[[#This Row],[Total PoP ]]&gt;1,1,(WWWW[[#This Row],['#_Constructed/Existing protected/fenced ponds]]*250)/WWWW[[#This Row],[Total PoP ]])</f>
        <v>0</v>
      </c>
      <c r="CN335" s="798">
        <f>WWWW[[#This Row],[% Access to unimproved water points]]*WWWW[[#This Row],[Total PoP ]]</f>
        <v>0</v>
      </c>
      <c r="CO33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3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335" s="798">
        <f>WWWW[[#This Row],[HRP1]]/500</f>
        <v>0.378</v>
      </c>
      <c r="CR335" s="803">
        <f>1-WWWW[[#This Row],[% Equitable and continuous access to sufficient quantity of domestic water]]</f>
        <v>0</v>
      </c>
      <c r="CS335" s="798">
        <f>WWWW[[#This Row],[%equitable and continuous access to sufficient quantity of safe drinking and domestic water''s GAP]]*WWWW[[#This Row],[Total PoP ]]</f>
        <v>0</v>
      </c>
      <c r="CT335" s="801">
        <f>IF(WWWW[[#This Row],[Total required water points]]-WWWW[[#This Row],['#Water points coverage]]&lt;0,0,WWWW[[#This Row],[Total required water points]]-WWWW[[#This Row],['#Water points coverage]])</f>
        <v>0.622</v>
      </c>
      <c r="CU335" s="801">
        <f>ROUND(IF(WWWW[[#This Row],[Total PoP ]]&lt;500,1,WWWW[[#This Row],[Total PoP ]]/500),0)</f>
        <v>1</v>
      </c>
      <c r="CV335" s="801">
        <f>(WWWW[[#This Row],['#_Constructed latrines_by_WASHAgencies]]+WWWW[[#This Row],['#_Non Cluster partner latrines]])-WWWW[[#This Row],['#_Non-functional latrines]]</f>
        <v>10</v>
      </c>
      <c r="CW335" s="804">
        <f>WWWW[[#This Row],[HRP2]]/WWWW[[#This Row],[Total PoP ]]</f>
        <v>1</v>
      </c>
      <c r="CX33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189</v>
      </c>
      <c r="CY33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5" s="473">
        <f>IF(WWWW[[#This Row],['# of functional latrines in THF supported by WASH partners during the reporting period2]]="",0,WWWW[[#This Row],['# of functional latrines in THF supported by WASH partners during the reporting period2]]*50)</f>
        <v>0</v>
      </c>
      <c r="DB335" s="473">
        <f>WWWW[[#This Row],['# students access to functioning school latrines_HRP5]]+WWWW[[#This Row],['# People access to functioning latrines in THF_HRP5]]</f>
        <v>0</v>
      </c>
      <c r="DC335" s="801">
        <f>ROUND(IF(WWWW[[#This Row],[Location Type 1]]="camp",WWWW[[#This Row],[Total PoP ]]/20,IF(WWWW[[#This Row],[Location Type 1]]="Temporary Location",WWWW[[#This Row],[Total PoP ]]/50,(WWWW[[#This Row],[Total PoP ]]/6))),0)</f>
        <v>9</v>
      </c>
      <c r="DD335" s="801">
        <f>IF(WWWW[[#This Row],[Total required Latrines]]-(WWWW[[#This Row],['#_Constructed latrines_by_WASHAgencies]]+WWWW[[#This Row],['#_Non Cluster partner latrines]])&lt;0,0,WWWW[[#This Row],[Total required Latrines]]-(WWWW[[#This Row],['#_Constructed latrines_by_WASHAgencies]]+WWWW[[#This Row],['#_Non Cluster partner latrines]]))</f>
        <v>0</v>
      </c>
      <c r="DE335" s="803">
        <f>1-WWWW[[#This Row],[% people access to functioning Latrine]]</f>
        <v>0</v>
      </c>
      <c r="DF335" s="802">
        <f>IF(OR(WWWW[[#This Row],['#_Non-functional latrines]]="",WWWW[[#This Row],['#_Non-functional latrines]]=0),0,WWWW[[#This Row],['#_Non-functional latrines]]/(WWWW[[#This Row],['#_Constructed latrines_by_WASHAgencies]]+WWWW[[#This Row],['#_Non Cluster partner latrines]]))</f>
        <v>0</v>
      </c>
      <c r="DG335" s="798">
        <f>IF(500*(WWWW[[#This Row],['#_male hygiene promoters]]+WWWW[[#This Row],['#_female hygiene promoters]])&gt;WWWW[[#This Row],[Total PoP ]],WWWW[[#This Row],[Total PoP ]],500*(WWWW[[#This Row],['#_male hygiene promoters]]+WWWW[[#This Row],['#_female hygiene promoters]]))</f>
        <v>0</v>
      </c>
      <c r="DH33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5" s="801">
        <f>IF(WWWW[[#This Row],['# People with access to soap]]&gt;WWWW[[#This Row],['# People with access to Sanity Pads]],WWWW[[#This Row],['# People with access to soap]],WWWW[[#This Row],['# People with access to Sanity Pads]])</f>
        <v>0</v>
      </c>
      <c r="DK335"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5" s="803">
        <f>IF(WWWW[[#This Row],[HRP3]]/WWWW[[#This Row],[Total PoP ]]&gt;1,1,WWWW[[#This Row],[HRP3]]/WWWW[[#This Row],[Total PoP ]])</f>
        <v>0</v>
      </c>
      <c r="DM335" s="802">
        <f>1-WWWW[[#This Row],[Hygiene Coverage%]]</f>
        <v>1</v>
      </c>
      <c r="DN335" s="800">
        <f>WWWW[[#This Row],['# people reached by regular dedicated hygiene promotion_5]]/WWWW[[#This Row],[Total PoP ]]</f>
        <v>0</v>
      </c>
      <c r="DO33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5" s="801">
        <f>WWWW[[#This Row],['#_Constructed/Existing hand washing stations]]-WWWW[[#This Row],['#_Non-Functional_hand_washing_stations]]</f>
        <v>6</v>
      </c>
      <c r="DR335" s="798">
        <f>IF(WWWW[[#This Row],['# Functional hand washing stations during reporting period]]*20&gt;WWWW[[#This Row],[Total HH]],WWWW[[#This Row],[Total HH]],WWWW[[#This Row],['# Functional hand washing stations during reporting period]]*20)</f>
        <v>36</v>
      </c>
      <c r="DS335" s="798">
        <f>IF(WWWW[[#This Row],[Is sufficient soap available for TLS? (Yes/No)]]="yes",WWWW[[#This Row],['#_Constructed/Existing hand washing stations at TLS]],0)</f>
        <v>0</v>
      </c>
      <c r="DT335" s="479">
        <f>IF(WWWW[[#This Row],['# Functional hand washing stations during reporting period]]*100&gt;WWWW[[#This Row],[Total PoP ]],WWWW[[#This Row],[Total PoP ]],WWWW[[#This Row],['# Functional hand washing stations during reporting period]]*100)</f>
        <v>189</v>
      </c>
      <c r="DU335" s="479" t="str">
        <f>IF(OR(WWWW[[#This Row],['#_students at TLS_CFS]]="",WWWW[[#This Row],['#_students at TLS_CFS]]=0),"No","Yes")</f>
        <v>No</v>
      </c>
      <c r="DV33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5" s="794" t="str">
        <f>VLOOKUP(WWWW[[#This Row],[Site Name]],SiteDB6[[Site Name]:[CCCM Management]],6,FALSE)</f>
        <v>Yes</v>
      </c>
      <c r="DZ335" s="794" t="str">
        <f>VLOOKUP(WWWW[[#This Row],[Site Name]],SiteDB6[[Site Name]:[CCCM Focal Agency]],7,FALSE)</f>
        <v>Shalom</v>
      </c>
      <c r="EA335" s="794" t="str">
        <f>VLOOKUP(WWWW[[#This Row],[Site Name]],SiteDB6[[Site Name]:[Location Type 1]],9,FALSE)</f>
        <v>Camp</v>
      </c>
      <c r="EB335" s="794" t="str">
        <f>VLOOKUP(WWWW[[#This Row],[Site Name]],SiteDB6[[Site Name]:[Type of Accommodation]],10,FALSE)</f>
        <v>Camp</v>
      </c>
      <c r="EC335" s="794" t="str">
        <f>VLOOKUP(WWWW[[#This Row],[Site Name]],SiteDB6[[Site Name]:[Ethnic or GCA/NGCA]],11,FALSE)</f>
        <v>GCA</v>
      </c>
      <c r="ED335" s="794">
        <f>VLOOKUP(WWWW[[#This Row],[Site Name]],SiteDB6[[Site Name]:[Lat]],12,FALSE)</f>
        <v>25.345918166666699</v>
      </c>
      <c r="EE335" s="794">
        <f>VLOOKUP(WWWW[[#This Row],[Site Name]],SiteDB6[[Site Name]:[Long]],13,FALSE)</f>
        <v>97.437472666666693</v>
      </c>
      <c r="EF335" s="794" t="str">
        <f>VLOOKUP(WWWW[[#This Row],[Site Name]],SiteDB6[[Site Name]:[Pcode]],3,FALSE)</f>
        <v>MMR001CMP030</v>
      </c>
      <c r="EG335" s="799" t="str">
        <f t="shared" ref="EG335:EG366" si="8">IF(C335="none","Notcovered","Covered")</f>
        <v>Covered</v>
      </c>
      <c r="EH335" s="799" t="str">
        <f>VLOOKUP(WWWW[[#This Row],[Site Name]],Site_DB!$C$389:$D$1120,2,FALSE)</f>
        <v>cccm_2019OCT</v>
      </c>
    </row>
    <row r="336" spans="1:138" hidden="1">
      <c r="A336" s="792" t="s">
        <v>3262</v>
      </c>
      <c r="B336" s="792" t="s">
        <v>312</v>
      </c>
      <c r="C336" s="793" t="s">
        <v>312</v>
      </c>
      <c r="D336" s="793"/>
      <c r="E336" s="793" t="s">
        <v>39</v>
      </c>
      <c r="F336" s="793" t="s">
        <v>160</v>
      </c>
      <c r="G336" s="721" t="str">
        <f>VLOOKUP(WWWW[[#This Row],[Site Name]],SiteDB6[[Site Name]:[Location Type]],8,FALSE)</f>
        <v>Camp</v>
      </c>
      <c r="H336" s="793" t="s">
        <v>1043</v>
      </c>
      <c r="I336" s="795">
        <v>27</v>
      </c>
      <c r="J336" s="795">
        <v>121</v>
      </c>
      <c r="K336" s="796"/>
      <c r="L336" s="797"/>
      <c r="M336" s="795"/>
      <c r="N336" s="795"/>
      <c r="O336" s="795"/>
      <c r="P336" s="795"/>
      <c r="Q336" s="798"/>
      <c r="R336" s="795"/>
      <c r="S336" s="795"/>
      <c r="T336" s="523"/>
      <c r="U336" s="795"/>
      <c r="V336" s="795"/>
      <c r="W336" s="795"/>
      <c r="X336" s="795"/>
      <c r="Y336" s="795"/>
      <c r="Z336" s="795"/>
      <c r="AA336" s="795"/>
      <c r="AB336" s="795"/>
      <c r="AC336" s="795"/>
      <c r="AD336" s="795"/>
      <c r="AE336" s="795"/>
      <c r="AF336" s="795"/>
      <c r="AG336" s="795"/>
      <c r="AH336" s="795"/>
      <c r="AI336" s="795"/>
      <c r="AJ336" s="795"/>
      <c r="AK336" s="795"/>
      <c r="AL336" s="795"/>
      <c r="AM336" s="795"/>
      <c r="AN336" s="795"/>
      <c r="AO336" s="799"/>
      <c r="AP336" s="795"/>
      <c r="AQ336" s="795"/>
      <c r="AR336" s="800"/>
      <c r="AS336" s="795"/>
      <c r="AT336" s="795"/>
      <c r="AU336" s="795"/>
      <c r="AV336" s="795"/>
      <c r="AW336" s="795"/>
      <c r="AX336" s="794"/>
      <c r="AY336" s="799"/>
      <c r="AZ336" s="795"/>
      <c r="BA336" s="795"/>
      <c r="BB336" s="795"/>
      <c r="BC336" s="523"/>
      <c r="BD336" s="523"/>
      <c r="BE336" s="794"/>
      <c r="BF336" s="795"/>
      <c r="BG336" s="795"/>
      <c r="BH336" s="795"/>
      <c r="BI336" s="795"/>
      <c r="BJ336" s="795"/>
      <c r="BK336" s="795"/>
      <c r="BL336" s="795"/>
      <c r="BM336" s="795"/>
      <c r="BN336" s="795"/>
      <c r="BO336" s="794"/>
      <c r="BP336" s="801"/>
      <c r="BQ336" s="800"/>
      <c r="BR336" s="794"/>
      <c r="BS336" s="472"/>
      <c r="BT336" s="472"/>
      <c r="BU336" s="720"/>
      <c r="BV336" s="472"/>
      <c r="BW336" s="523"/>
      <c r="BX336" s="523"/>
      <c r="BY336" s="523"/>
      <c r="BZ336" s="802" t="str">
        <f>IFERROR(WWWW[[#This Row],['#_Water sources passed]]/WWWW[[#This Row],['#_Water sources tested for fecal coliform ]],"no test")</f>
        <v>no test</v>
      </c>
      <c r="CA336" s="800" t="str">
        <f>IFERROR(WWWW[[#This Row],['#_Household passed]]/WWWW[[#This Row],['#_Household water samples tested for fecal coliform]],"no test")</f>
        <v>no test</v>
      </c>
      <c r="CB336" s="801" t="str">
        <f>IF(AND(WWWW[[#This Row],[% of water sources passed]]="no test",WWWW[[#This Row],[% Household passed]]="no test"),"No Test","Tested")</f>
        <v>No Test</v>
      </c>
      <c r="CC336" s="801">
        <f>WWWW[[#This Row],['#_Constructed/existing protected hand dug well]]-WWWW[[#This Row],['#_Non-functional protected hand dug well]]</f>
        <v>0</v>
      </c>
      <c r="CD336" s="801">
        <f>(WWWW[[#This Row],['#_Constructed/Existing tube wells/boreholes/handpumps_WASH_agency]]+WWWW[[#This Row],['#_Non-Cluster partner water tube-wells/boreholes/handpumps]])-WWWW[[#This Row],['#_Non-functional tube wells/boreholes/handpumps]]</f>
        <v>0</v>
      </c>
      <c r="CE336" s="801">
        <f>WWWW[[#This Row],['#_Constructed/Existingwater storage tank with gravity fed reticulation system]]-WWWW[[#This Row],['#_Non-functional storage tank gravity fed reticulation system]]</f>
        <v>0</v>
      </c>
      <c r="CF336" s="801">
        <f>(WWWW[[#This Row],['#_Water_Liters_supplied_by_Water boating or water trucking]]/90)/15</f>
        <v>0</v>
      </c>
      <c r="CG336" s="801">
        <f>WWWW[[#This Row],['#_Water_Liters_from_Constructed/Existing water distribution system from river or natural spring]]/90/15</f>
        <v>0</v>
      </c>
      <c r="CH336" s="473">
        <f>WWWW[[#This Row],['#_of water points in TLS/CFS /THF]]*500</f>
        <v>0</v>
      </c>
      <c r="CI33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6" s="800">
        <f>IF(WWWW[[#This Row],[Location Type 1]]="Village",WWWW[[#This Row],[Access to safe drinking water for Village]],WWWW[[#This Row],[Access to safe drinking water for Camp]])</f>
        <v>0</v>
      </c>
      <c r="CL336" s="798">
        <f>WWWW[[#This Row],[%Equitable and continuous access to sufficient quantity of safe drinking water]]*WWWW[[#This Row],[Total PoP ]]</f>
        <v>0</v>
      </c>
      <c r="CM336" s="800">
        <f>IF((WWWW[[#This Row],['#_Constructed/Existing protected/fenced ponds]]*250)/WWWW[[#This Row],[Total PoP ]]&gt;1,1,(WWWW[[#This Row],['#_Constructed/Existing protected/fenced ponds]]*250)/WWWW[[#This Row],[Total PoP ]])</f>
        <v>0</v>
      </c>
      <c r="CN336" s="798">
        <f>WWWW[[#This Row],[% Access to unimproved water points]]*WWWW[[#This Row],[Total PoP ]]</f>
        <v>0</v>
      </c>
      <c r="CO33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6" s="798">
        <f>WWWW[[#This Row],[HRP1]]/500</f>
        <v>0</v>
      </c>
      <c r="CR336" s="803">
        <f>1-WWWW[[#This Row],[% Equitable and continuous access to sufficient quantity of domestic water]]</f>
        <v>1</v>
      </c>
      <c r="CS336" s="798">
        <f>WWWW[[#This Row],[%equitable and continuous access to sufficient quantity of safe drinking and domestic water''s GAP]]*WWWW[[#This Row],[Total PoP ]]</f>
        <v>121</v>
      </c>
      <c r="CT336" s="801">
        <f>IF(WWWW[[#This Row],[Total required water points]]-WWWW[[#This Row],['#Water points coverage]]&lt;0,0,WWWW[[#This Row],[Total required water points]]-WWWW[[#This Row],['#Water points coverage]])</f>
        <v>1</v>
      </c>
      <c r="CU336" s="801">
        <f>ROUND(IF(WWWW[[#This Row],[Total PoP ]]&lt;500,1,WWWW[[#This Row],[Total PoP ]]/500),0)</f>
        <v>1</v>
      </c>
      <c r="CV336" s="801">
        <f>(WWWW[[#This Row],['#_Constructed latrines_by_WASHAgencies]]+WWWW[[#This Row],['#_Non Cluster partner latrines]])-WWWW[[#This Row],['#_Non-functional latrines]]</f>
        <v>0</v>
      </c>
      <c r="CW336" s="804">
        <f>WWWW[[#This Row],[HRP2]]/WWWW[[#This Row],[Total PoP ]]</f>
        <v>0</v>
      </c>
      <c r="CX33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6" s="473">
        <f>IF(WWWW[[#This Row],['# of functional latrines in THF supported by WASH partners during the reporting period2]]="",0,WWWW[[#This Row],['# of functional latrines in THF supported by WASH partners during the reporting period2]]*50)</f>
        <v>0</v>
      </c>
      <c r="DB336" s="473">
        <f>WWWW[[#This Row],['# students access to functioning school latrines_HRP5]]+WWWW[[#This Row],['# People access to functioning latrines in THF_HRP5]]</f>
        <v>0</v>
      </c>
      <c r="DC336" s="801">
        <f>ROUND(IF(WWWW[[#This Row],[Location Type 1]]="camp",WWWW[[#This Row],[Total PoP ]]/20,IF(WWWW[[#This Row],[Location Type 1]]="Temporary Location",WWWW[[#This Row],[Total PoP ]]/50,(WWWW[[#This Row],[Total PoP ]]/6))),0)</f>
        <v>6</v>
      </c>
      <c r="DD336" s="801">
        <f>IF(WWWW[[#This Row],[Total required Latrines]]-(WWWW[[#This Row],['#_Constructed latrines_by_WASHAgencies]]+WWWW[[#This Row],['#_Non Cluster partner latrines]])&lt;0,0,WWWW[[#This Row],[Total required Latrines]]-(WWWW[[#This Row],['#_Constructed latrines_by_WASHAgencies]]+WWWW[[#This Row],['#_Non Cluster partner latrines]]))</f>
        <v>6</v>
      </c>
      <c r="DE336" s="803">
        <f>1-WWWW[[#This Row],[% people access to functioning Latrine]]</f>
        <v>1</v>
      </c>
      <c r="DF336" s="802">
        <f>IF(OR(WWWW[[#This Row],['#_Non-functional latrines]]="",WWWW[[#This Row],['#_Non-functional latrines]]=0),0,WWWW[[#This Row],['#_Non-functional latrines]]/(WWWW[[#This Row],['#_Constructed latrines_by_WASHAgencies]]+WWWW[[#This Row],['#_Non Cluster partner latrines]]))</f>
        <v>0</v>
      </c>
      <c r="DG336" s="798">
        <f>IF(500*(WWWW[[#This Row],['#_male hygiene promoters]]+WWWW[[#This Row],['#_female hygiene promoters]])&gt;WWWW[[#This Row],[Total PoP ]],WWWW[[#This Row],[Total PoP ]],500*(WWWW[[#This Row],['#_male hygiene promoters]]+WWWW[[#This Row],['#_female hygiene promoters]]))</f>
        <v>0</v>
      </c>
      <c r="DH33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6" s="801">
        <f>IF(WWWW[[#This Row],['# People with access to soap]]&gt;WWWW[[#This Row],['# People with access to Sanity Pads]],WWWW[[#This Row],['# People with access to soap]],WWWW[[#This Row],['# People with access to Sanity Pads]])</f>
        <v>0</v>
      </c>
      <c r="DK33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6" s="803">
        <f>IF(WWWW[[#This Row],[HRP3]]/WWWW[[#This Row],[Total PoP ]]&gt;1,1,WWWW[[#This Row],[HRP3]]/WWWW[[#This Row],[Total PoP ]])</f>
        <v>0</v>
      </c>
      <c r="DM336" s="802">
        <f>1-WWWW[[#This Row],[Hygiene Coverage%]]</f>
        <v>1</v>
      </c>
      <c r="DN336" s="800">
        <f>WWWW[[#This Row],['# people reached by regular dedicated hygiene promotion_5]]/WWWW[[#This Row],[Total PoP ]]</f>
        <v>0</v>
      </c>
      <c r="DO33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6" s="801">
        <f>WWWW[[#This Row],['#_Constructed/Existing hand washing stations]]-WWWW[[#This Row],['#_Non-Functional_hand_washing_stations]]</f>
        <v>0</v>
      </c>
      <c r="DR336" s="798">
        <f>IF(WWWW[[#This Row],['# Functional hand washing stations during reporting period]]*20&gt;WWWW[[#This Row],[Total HH]],WWWW[[#This Row],[Total HH]],WWWW[[#This Row],['# Functional hand washing stations during reporting period]]*20)</f>
        <v>0</v>
      </c>
      <c r="DS336" s="798">
        <f>IF(WWWW[[#This Row],[Is sufficient soap available for TLS? (Yes/No)]]="yes",WWWW[[#This Row],['#_Constructed/Existing hand washing stations at TLS]],0)</f>
        <v>0</v>
      </c>
      <c r="DT336" s="479">
        <f>IF(WWWW[[#This Row],['# Functional hand washing stations during reporting period]]*100&gt;WWWW[[#This Row],[Total PoP ]],WWWW[[#This Row],[Total PoP ]],WWWW[[#This Row],['# Functional hand washing stations during reporting period]]*100)</f>
        <v>0</v>
      </c>
      <c r="DU336" s="479" t="str">
        <f>IF(OR(WWWW[[#This Row],['#_students at TLS_CFS]]="",WWWW[[#This Row],['#_students at TLS_CFS]]=0),"No","Yes")</f>
        <v>No</v>
      </c>
      <c r="DV33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6" s="794">
        <f>VLOOKUP(WWWW[[#This Row],[Site Name]],SiteDB6[[Site Name]:[CCCM Management]],6,FALSE)</f>
        <v>0</v>
      </c>
      <c r="DZ336" s="794" t="str">
        <f>VLOOKUP(WWWW[[#This Row],[Site Name]],SiteDB6[[Site Name]:[CCCM Focal Agency]],7,FALSE)</f>
        <v>uncovered</v>
      </c>
      <c r="EA336" s="794" t="str">
        <f>VLOOKUP(WWWW[[#This Row],[Site Name]],SiteDB6[[Site Name]:[Location Type 1]],9,FALSE)</f>
        <v>Camp</v>
      </c>
      <c r="EB336" s="794" t="str">
        <f>VLOOKUP(WWWW[[#This Row],[Site Name]],SiteDB6[[Site Name]:[Type of Accommodation]],10,FALSE)</f>
        <v>Host Families</v>
      </c>
      <c r="EC336" s="794" t="str">
        <f>VLOOKUP(WWWW[[#This Row],[Site Name]],SiteDB6[[Site Name]:[Ethnic or GCA/NGCA]],11,FALSE)</f>
        <v>GCA</v>
      </c>
      <c r="ED336" s="794">
        <f>VLOOKUP(WWWW[[#This Row],[Site Name]],SiteDB6[[Site Name]:[Lat]],12,FALSE)</f>
        <v>24.996279999999999</v>
      </c>
      <c r="EE336" s="794">
        <f>VLOOKUP(WWWW[[#This Row],[Site Name]],SiteDB6[[Site Name]:[Long]],13,FALSE)</f>
        <v>96.52534</v>
      </c>
      <c r="EF336" s="794" t="str">
        <f>VLOOKUP(WWWW[[#This Row],[Site Name]],SiteDB6[[Site Name]:[Pcode]],3,FALSE)</f>
        <v>MMR001CMP232</v>
      </c>
      <c r="EG336" s="799" t="str">
        <f t="shared" si="8"/>
        <v>Notcovered</v>
      </c>
      <c r="EH336" s="799" t="str">
        <f>VLOOKUP(WWWW[[#This Row],[Site Name]],Site_DB!$C$389:$D$1120,2,FALSE)</f>
        <v>cccm_2019OCT</v>
      </c>
    </row>
    <row r="337" spans="1:138" hidden="1">
      <c r="A337" s="792" t="s">
        <v>3262</v>
      </c>
      <c r="B337" s="792" t="s">
        <v>312</v>
      </c>
      <c r="C337" s="793" t="s">
        <v>312</v>
      </c>
      <c r="D337" s="793"/>
      <c r="E337" s="793" t="s">
        <v>39</v>
      </c>
      <c r="F337" s="793" t="s">
        <v>208</v>
      </c>
      <c r="G337" s="721" t="str">
        <f>VLOOKUP(WWWW[[#This Row],[Site Name]],SiteDB6[[Site Name]:[Location Type]],8,FALSE)</f>
        <v>Camp</v>
      </c>
      <c r="H337" s="793" t="s">
        <v>3058</v>
      </c>
      <c r="I337" s="795"/>
      <c r="J337" s="795">
        <v>26</v>
      </c>
      <c r="K337" s="796"/>
      <c r="L337" s="797"/>
      <c r="M337" s="795"/>
      <c r="N337" s="795"/>
      <c r="O337" s="795"/>
      <c r="P337" s="795"/>
      <c r="Q337" s="798"/>
      <c r="R337" s="795"/>
      <c r="S337" s="795">
        <v>4</v>
      </c>
      <c r="T337" s="523"/>
      <c r="U337" s="795"/>
      <c r="V337" s="795"/>
      <c r="W337" s="795"/>
      <c r="X337" s="795"/>
      <c r="Y337" s="795"/>
      <c r="Z337" s="795"/>
      <c r="AA337" s="795"/>
      <c r="AB337" s="795"/>
      <c r="AC337" s="795"/>
      <c r="AD337" s="795"/>
      <c r="AE337" s="795"/>
      <c r="AF337" s="795"/>
      <c r="AG337" s="795"/>
      <c r="AH337" s="795"/>
      <c r="AI337" s="795"/>
      <c r="AJ337" s="795"/>
      <c r="AK337" s="795"/>
      <c r="AL337" s="795"/>
      <c r="AM337" s="795"/>
      <c r="AN337" s="795"/>
      <c r="AO337" s="799"/>
      <c r="AP337" s="795"/>
      <c r="AQ337" s="795"/>
      <c r="AR337" s="800"/>
      <c r="AS337" s="795"/>
      <c r="AT337" s="795"/>
      <c r="AU337" s="795"/>
      <c r="AV337" s="795"/>
      <c r="AW337" s="795"/>
      <c r="AX337" s="794"/>
      <c r="AY337" s="799"/>
      <c r="AZ337" s="795"/>
      <c r="BA337" s="795"/>
      <c r="BB337" s="795"/>
      <c r="BC337" s="523"/>
      <c r="BD337" s="523"/>
      <c r="BE337" s="794"/>
      <c r="BF337" s="795"/>
      <c r="BG337" s="795"/>
      <c r="BH337" s="795"/>
      <c r="BI337" s="795"/>
      <c r="BJ337" s="795"/>
      <c r="BK337" s="795"/>
      <c r="BL337" s="795"/>
      <c r="BM337" s="795"/>
      <c r="BN337" s="795"/>
      <c r="BO337" s="794"/>
      <c r="BP337" s="801"/>
      <c r="BQ337" s="800"/>
      <c r="BR337" s="794"/>
      <c r="BS337" s="472"/>
      <c r="BT337" s="472"/>
      <c r="BU337" s="720"/>
      <c r="BV337" s="472"/>
      <c r="BW337" s="523"/>
      <c r="BX337" s="523"/>
      <c r="BY337" s="523"/>
      <c r="BZ337" s="802" t="str">
        <f>IFERROR(WWWW[[#This Row],['#_Water sources passed]]/WWWW[[#This Row],['#_Water sources tested for fecal coliform ]],"no test")</f>
        <v>no test</v>
      </c>
      <c r="CA337" s="800" t="str">
        <f>IFERROR(WWWW[[#This Row],['#_Household passed]]/WWWW[[#This Row],['#_Household water samples tested for fecal coliform]],"no test")</f>
        <v>no test</v>
      </c>
      <c r="CB337" s="801" t="str">
        <f>IF(AND(WWWW[[#This Row],[% of water sources passed]]="no test",WWWW[[#This Row],[% Household passed]]="no test"),"No Test","Tested")</f>
        <v>No Test</v>
      </c>
      <c r="CC337" s="801">
        <f>WWWW[[#This Row],['#_Constructed/existing protected hand dug well]]-WWWW[[#This Row],['#_Non-functional protected hand dug well]]</f>
        <v>0</v>
      </c>
      <c r="CD337" s="801">
        <f>(WWWW[[#This Row],['#_Constructed/Existing tube wells/boreholes/handpumps_WASH_agency]]+WWWW[[#This Row],['#_Non-Cluster partner water tube-wells/boreholes/handpumps]])-WWWW[[#This Row],['#_Non-functional tube wells/boreholes/handpumps]]</f>
        <v>0</v>
      </c>
      <c r="CE337" s="801">
        <f>WWWW[[#This Row],['#_Constructed/Existingwater storage tank with gravity fed reticulation system]]-WWWW[[#This Row],['#_Non-functional storage tank gravity fed reticulation system]]</f>
        <v>0</v>
      </c>
      <c r="CF337" s="801">
        <f>(WWWW[[#This Row],['#_Water_Liters_supplied_by_Water boating or water trucking]]/90)/15</f>
        <v>0</v>
      </c>
      <c r="CG337" s="801">
        <f>WWWW[[#This Row],['#_Water_Liters_from_Constructed/Existing water distribution system from river or natural spring]]/90/15</f>
        <v>0</v>
      </c>
      <c r="CH337" s="473">
        <f>WWWW[[#This Row],['#_of water points in TLS/CFS /THF]]*500</f>
        <v>0</v>
      </c>
      <c r="CI33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7" s="800">
        <f>IF(WWWW[[#This Row],[Location Type 1]]="Village",WWWW[[#This Row],[Access to safe drinking water for Village]],WWWW[[#This Row],[Access to safe drinking water for Camp]])</f>
        <v>0</v>
      </c>
      <c r="CL337" s="798">
        <f>WWWW[[#This Row],[%Equitable and continuous access to sufficient quantity of safe drinking water]]*WWWW[[#This Row],[Total PoP ]]</f>
        <v>0</v>
      </c>
      <c r="CM337" s="800">
        <f>IF((WWWW[[#This Row],['#_Constructed/Existing protected/fenced ponds]]*250)/WWWW[[#This Row],[Total PoP ]]&gt;1,1,(WWWW[[#This Row],['#_Constructed/Existing protected/fenced ponds]]*250)/WWWW[[#This Row],[Total PoP ]])</f>
        <v>0</v>
      </c>
      <c r="CN337" s="798">
        <f>WWWW[[#This Row],[% Access to unimproved water points]]*WWWW[[#This Row],[Total PoP ]]</f>
        <v>0</v>
      </c>
      <c r="CO33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7" s="798">
        <f>WWWW[[#This Row],[HRP1]]/500</f>
        <v>0</v>
      </c>
      <c r="CR337" s="803">
        <f>1-WWWW[[#This Row],[% Equitable and continuous access to sufficient quantity of domestic water]]</f>
        <v>1</v>
      </c>
      <c r="CS337" s="798">
        <f>WWWW[[#This Row],[%equitable and continuous access to sufficient quantity of safe drinking and domestic water''s GAP]]*WWWW[[#This Row],[Total PoP ]]</f>
        <v>26</v>
      </c>
      <c r="CT337" s="801">
        <f>IF(WWWW[[#This Row],[Total required water points]]-WWWW[[#This Row],['#Water points coverage]]&lt;0,0,WWWW[[#This Row],[Total required water points]]-WWWW[[#This Row],['#Water points coverage]])</f>
        <v>1</v>
      </c>
      <c r="CU337" s="801">
        <f>ROUND(IF(WWWW[[#This Row],[Total PoP ]]&lt;500,1,WWWW[[#This Row],[Total PoP ]]/500),0)</f>
        <v>1</v>
      </c>
      <c r="CV337" s="801">
        <f>(WWWW[[#This Row],['#_Constructed latrines_by_WASHAgencies]]+WWWW[[#This Row],['#_Non Cluster partner latrines]])-WWWW[[#This Row],['#_Non-functional latrines]]</f>
        <v>0</v>
      </c>
      <c r="CW337" s="804">
        <f>WWWW[[#This Row],[HRP2]]/WWWW[[#This Row],[Total PoP ]]</f>
        <v>0</v>
      </c>
      <c r="CX33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7" s="473">
        <f>IF(WWWW[[#This Row],['# of functional latrines in THF supported by WASH partners during the reporting period2]]="",0,WWWW[[#This Row],['# of functional latrines in THF supported by WASH partners during the reporting period2]]*50)</f>
        <v>0</v>
      </c>
      <c r="DB337" s="473">
        <f>WWWW[[#This Row],['# students access to functioning school latrines_HRP5]]+WWWW[[#This Row],['# People access to functioning latrines in THF_HRP5]]</f>
        <v>0</v>
      </c>
      <c r="DC337" s="801">
        <f>ROUND(IF(WWWW[[#This Row],[Location Type 1]]="camp",WWWW[[#This Row],[Total PoP ]]/20,IF(WWWW[[#This Row],[Location Type 1]]="Temporary Location",WWWW[[#This Row],[Total PoP ]]/50,(WWWW[[#This Row],[Total PoP ]]/6))),0)</f>
        <v>1</v>
      </c>
      <c r="DD337" s="801">
        <f>IF(WWWW[[#This Row],[Total required Latrines]]-(WWWW[[#This Row],['#_Constructed latrines_by_WASHAgencies]]+WWWW[[#This Row],['#_Non Cluster partner latrines]])&lt;0,0,WWWW[[#This Row],[Total required Latrines]]-(WWWW[[#This Row],['#_Constructed latrines_by_WASHAgencies]]+WWWW[[#This Row],['#_Non Cluster partner latrines]]))</f>
        <v>1</v>
      </c>
      <c r="DE337" s="803">
        <f>1-WWWW[[#This Row],[% people access to functioning Latrine]]</f>
        <v>1</v>
      </c>
      <c r="DF337" s="802">
        <f>IF(OR(WWWW[[#This Row],['#_Non-functional latrines]]="",WWWW[[#This Row],['#_Non-functional latrines]]=0),0,WWWW[[#This Row],['#_Non-functional latrines]]/(WWWW[[#This Row],['#_Constructed latrines_by_WASHAgencies]]+WWWW[[#This Row],['#_Non Cluster partner latrines]]))</f>
        <v>0</v>
      </c>
      <c r="DG337" s="798">
        <f>IF(500*(WWWW[[#This Row],['#_male hygiene promoters]]+WWWW[[#This Row],['#_female hygiene promoters]])&gt;WWWW[[#This Row],[Total PoP ]],WWWW[[#This Row],[Total PoP ]],500*(WWWW[[#This Row],['#_male hygiene promoters]]+WWWW[[#This Row],['#_female hygiene promoters]]))</f>
        <v>0</v>
      </c>
      <c r="DH33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7" s="801">
        <f>IF(WWWW[[#This Row],['# People with access to soap]]&gt;WWWW[[#This Row],['# People with access to Sanity Pads]],WWWW[[#This Row],['# People with access to soap]],WWWW[[#This Row],['# People with access to Sanity Pads]])</f>
        <v>0</v>
      </c>
      <c r="DK337"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7" s="803">
        <f>IF(WWWW[[#This Row],[HRP3]]/WWWW[[#This Row],[Total PoP ]]&gt;1,1,WWWW[[#This Row],[HRP3]]/WWWW[[#This Row],[Total PoP ]])</f>
        <v>0</v>
      </c>
      <c r="DM337" s="802">
        <f>1-WWWW[[#This Row],[Hygiene Coverage%]]</f>
        <v>1</v>
      </c>
      <c r="DN337" s="800">
        <f>WWWW[[#This Row],['# people reached by regular dedicated hygiene promotion_5]]/WWWW[[#This Row],[Total PoP ]]</f>
        <v>0</v>
      </c>
      <c r="DO337" s="802"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337" s="800"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337" s="801">
        <f>WWWW[[#This Row],['#_Constructed/Existing hand washing stations]]-WWWW[[#This Row],['#_Non-Functional_hand_washing_stations]]</f>
        <v>0</v>
      </c>
      <c r="DR337" s="798">
        <f>IF(WWWW[[#This Row],['# Functional hand washing stations during reporting period]]*20&gt;WWWW[[#This Row],[Total HH]],WWWW[[#This Row],[Total HH]],WWWW[[#This Row],['# Functional hand washing stations during reporting period]]*20)</f>
        <v>0</v>
      </c>
      <c r="DS337" s="798">
        <f>IF(WWWW[[#This Row],[Is sufficient soap available for TLS? (Yes/No)]]="yes",WWWW[[#This Row],['#_Constructed/Existing hand washing stations at TLS]],0)</f>
        <v>0</v>
      </c>
      <c r="DT337" s="479">
        <f>IF(WWWW[[#This Row],['# Functional hand washing stations during reporting period]]*100&gt;WWWW[[#This Row],[Total PoP ]],WWWW[[#This Row],[Total PoP ]],WWWW[[#This Row],['# Functional hand washing stations during reporting period]]*100)</f>
        <v>0</v>
      </c>
      <c r="DU337" s="479" t="str">
        <f>IF(OR(WWWW[[#This Row],['#_students at TLS_CFS]]="",WWWW[[#This Row],['#_students at TLS_CFS]]=0),"No","Yes")</f>
        <v>No</v>
      </c>
      <c r="DV33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7" s="794">
        <f>VLOOKUP(WWWW[[#This Row],[Site Name]],SiteDB6[[Site Name]:[CCCM Management]],6,FALSE)</f>
        <v>0</v>
      </c>
      <c r="DZ337" s="794" t="str">
        <f>VLOOKUP(WWWW[[#This Row],[Site Name]],SiteDB6[[Site Name]:[CCCM Focal Agency]],7,FALSE)</f>
        <v>uncovered</v>
      </c>
      <c r="EA337" s="794" t="str">
        <f>VLOOKUP(WWWW[[#This Row],[Site Name]],SiteDB6[[Site Name]:[Location Type 1]],9,FALSE)</f>
        <v>Camp</v>
      </c>
      <c r="EB337" s="794" t="str">
        <f>VLOOKUP(WWWW[[#This Row],[Site Name]],SiteDB6[[Site Name]:[Type of Accommodation]],10,FALSE)</f>
        <v>Boarding School</v>
      </c>
      <c r="EC337" s="794" t="str">
        <f>VLOOKUP(WWWW[[#This Row],[Site Name]],SiteDB6[[Site Name]:[Ethnic or GCA/NGCA]],11,FALSE)</f>
        <v>GCA</v>
      </c>
      <c r="ED337" s="794">
        <f>VLOOKUP(WWWW[[#This Row],[Site Name]],SiteDB6[[Site Name]:[Lat]],12,FALSE)</f>
        <v>24.613662999999999</v>
      </c>
      <c r="EE337" s="794">
        <f>VLOOKUP(WWWW[[#This Row],[Site Name]],SiteDB6[[Site Name]:[Long]],13,FALSE)</f>
        <v>97.461727999999994</v>
      </c>
      <c r="EF337" s="794" t="str">
        <f>VLOOKUP(WWWW[[#This Row],[Site Name]],SiteDB6[[Site Name]:[Pcode]],3,FALSE)</f>
        <v>MMR001CMP274</v>
      </c>
      <c r="EG337" s="799" t="str">
        <f t="shared" si="8"/>
        <v>Notcovered</v>
      </c>
      <c r="EH337" s="799" t="str">
        <f>VLOOKUP(WWWW[[#This Row],[Site Name]],Site_DB!$C$389:$D$1120,2,FALSE)</f>
        <v>cccm_2019OCT</v>
      </c>
    </row>
    <row r="338" spans="1:138" hidden="1">
      <c r="A338" s="792" t="s">
        <v>3262</v>
      </c>
      <c r="B338" s="792" t="s">
        <v>312</v>
      </c>
      <c r="C338" s="793" t="s">
        <v>312</v>
      </c>
      <c r="D338" s="793"/>
      <c r="E338" s="793" t="s">
        <v>39</v>
      </c>
      <c r="F338" s="793" t="s">
        <v>176</v>
      </c>
      <c r="G338" s="721" t="str">
        <f>VLOOKUP(WWWW[[#This Row],[Site Name]],SiteDB6[[Site Name]:[Location Type]],8,FALSE)</f>
        <v>Camp</v>
      </c>
      <c r="H338" s="793" t="s">
        <v>1083</v>
      </c>
      <c r="I338" s="795">
        <v>10</v>
      </c>
      <c r="J338" s="795">
        <v>56</v>
      </c>
      <c r="K338" s="796"/>
      <c r="L338" s="797"/>
      <c r="M338" s="795"/>
      <c r="N338" s="795"/>
      <c r="O338" s="795"/>
      <c r="P338" s="795"/>
      <c r="Q338" s="798"/>
      <c r="R338" s="795"/>
      <c r="S338" s="795">
        <v>3</v>
      </c>
      <c r="T338" s="523"/>
      <c r="U338" s="795"/>
      <c r="V338" s="795"/>
      <c r="W338" s="795"/>
      <c r="X338" s="795"/>
      <c r="Y338" s="795"/>
      <c r="Z338" s="795"/>
      <c r="AA338" s="795"/>
      <c r="AB338" s="795"/>
      <c r="AC338" s="795"/>
      <c r="AD338" s="795"/>
      <c r="AE338" s="795"/>
      <c r="AF338" s="795"/>
      <c r="AG338" s="795"/>
      <c r="AH338" s="795"/>
      <c r="AI338" s="795"/>
      <c r="AJ338" s="795"/>
      <c r="AK338" s="795"/>
      <c r="AL338" s="795"/>
      <c r="AM338" s="795"/>
      <c r="AN338" s="795"/>
      <c r="AO338" s="799"/>
      <c r="AP338" s="795"/>
      <c r="AQ338" s="795"/>
      <c r="AR338" s="800"/>
      <c r="AS338" s="795"/>
      <c r="AT338" s="795"/>
      <c r="AU338" s="795"/>
      <c r="AV338" s="795"/>
      <c r="AW338" s="795"/>
      <c r="AX338" s="794"/>
      <c r="AY338" s="799"/>
      <c r="AZ338" s="795"/>
      <c r="BA338" s="795"/>
      <c r="BB338" s="795"/>
      <c r="BC338" s="523"/>
      <c r="BD338" s="523"/>
      <c r="BE338" s="794"/>
      <c r="BF338" s="795"/>
      <c r="BG338" s="795"/>
      <c r="BH338" s="795"/>
      <c r="BI338" s="795"/>
      <c r="BJ338" s="795"/>
      <c r="BK338" s="795"/>
      <c r="BL338" s="795"/>
      <c r="BM338" s="795"/>
      <c r="BN338" s="795"/>
      <c r="BO338" s="794"/>
      <c r="BP338" s="801"/>
      <c r="BQ338" s="800"/>
      <c r="BR338" s="794"/>
      <c r="BS338" s="472"/>
      <c r="BT338" s="472"/>
      <c r="BU338" s="720"/>
      <c r="BV338" s="472"/>
      <c r="BW338" s="523"/>
      <c r="BX338" s="523"/>
      <c r="BY338" s="523"/>
      <c r="BZ338" s="802" t="str">
        <f>IFERROR(WWWW[[#This Row],['#_Water sources passed]]/WWWW[[#This Row],['#_Water sources tested for fecal coliform ]],"no test")</f>
        <v>no test</v>
      </c>
      <c r="CA338" s="800" t="str">
        <f>IFERROR(WWWW[[#This Row],['#_Household passed]]/WWWW[[#This Row],['#_Household water samples tested for fecal coliform]],"no test")</f>
        <v>no test</v>
      </c>
      <c r="CB338" s="801" t="str">
        <f>IF(AND(WWWW[[#This Row],[% of water sources passed]]="no test",WWWW[[#This Row],[% Household passed]]="no test"),"No Test","Tested")</f>
        <v>No Test</v>
      </c>
      <c r="CC338" s="801">
        <f>WWWW[[#This Row],['#_Constructed/existing protected hand dug well]]-WWWW[[#This Row],['#_Non-functional protected hand dug well]]</f>
        <v>0</v>
      </c>
      <c r="CD338" s="801">
        <f>(WWWW[[#This Row],['#_Constructed/Existing tube wells/boreholes/handpumps_WASH_agency]]+WWWW[[#This Row],['#_Non-Cluster partner water tube-wells/boreholes/handpumps]])-WWWW[[#This Row],['#_Non-functional tube wells/boreholes/handpumps]]</f>
        <v>0</v>
      </c>
      <c r="CE338" s="801">
        <f>WWWW[[#This Row],['#_Constructed/Existingwater storage tank with gravity fed reticulation system]]-WWWW[[#This Row],['#_Non-functional storage tank gravity fed reticulation system]]</f>
        <v>0</v>
      </c>
      <c r="CF338" s="801">
        <f>(WWWW[[#This Row],['#_Water_Liters_supplied_by_Water boating or water trucking]]/90)/15</f>
        <v>0</v>
      </c>
      <c r="CG338" s="801">
        <f>WWWW[[#This Row],['#_Water_Liters_from_Constructed/Existing water distribution system from river or natural spring]]/90/15</f>
        <v>0</v>
      </c>
      <c r="CH338" s="473">
        <f>WWWW[[#This Row],['#_of water points in TLS/CFS /THF]]*500</f>
        <v>0</v>
      </c>
      <c r="CI33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8" s="800">
        <f>IF(WWWW[[#This Row],[Location Type 1]]="Village",WWWW[[#This Row],[Access to safe drinking water for Village]],WWWW[[#This Row],[Access to safe drinking water for Camp]])</f>
        <v>0</v>
      </c>
      <c r="CL338" s="798">
        <f>WWWW[[#This Row],[%Equitable and continuous access to sufficient quantity of safe drinking water]]*WWWW[[#This Row],[Total PoP ]]</f>
        <v>0</v>
      </c>
      <c r="CM338" s="800">
        <f>IF((WWWW[[#This Row],['#_Constructed/Existing protected/fenced ponds]]*250)/WWWW[[#This Row],[Total PoP ]]&gt;1,1,(WWWW[[#This Row],['#_Constructed/Existing protected/fenced ponds]]*250)/WWWW[[#This Row],[Total PoP ]])</f>
        <v>0</v>
      </c>
      <c r="CN338" s="798">
        <f>WWWW[[#This Row],[% Access to unimproved water points]]*WWWW[[#This Row],[Total PoP ]]</f>
        <v>0</v>
      </c>
      <c r="CO33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8" s="798">
        <f>WWWW[[#This Row],[HRP1]]/500</f>
        <v>0</v>
      </c>
      <c r="CR338" s="803">
        <f>1-WWWW[[#This Row],[% Equitable and continuous access to sufficient quantity of domestic water]]</f>
        <v>1</v>
      </c>
      <c r="CS338" s="798">
        <f>WWWW[[#This Row],[%equitable and continuous access to sufficient quantity of safe drinking and domestic water''s GAP]]*WWWW[[#This Row],[Total PoP ]]</f>
        <v>56</v>
      </c>
      <c r="CT338" s="801">
        <f>IF(WWWW[[#This Row],[Total required water points]]-WWWW[[#This Row],['#Water points coverage]]&lt;0,0,WWWW[[#This Row],[Total required water points]]-WWWW[[#This Row],['#Water points coverage]])</f>
        <v>1</v>
      </c>
      <c r="CU338" s="801">
        <f>ROUND(IF(WWWW[[#This Row],[Total PoP ]]&lt;500,1,WWWW[[#This Row],[Total PoP ]]/500),0)</f>
        <v>1</v>
      </c>
      <c r="CV338" s="801">
        <f>(WWWW[[#This Row],['#_Constructed latrines_by_WASHAgencies]]+WWWW[[#This Row],['#_Non Cluster partner latrines]])-WWWW[[#This Row],['#_Non-functional latrines]]</f>
        <v>0</v>
      </c>
      <c r="CW338" s="804">
        <f>WWWW[[#This Row],[HRP2]]/WWWW[[#This Row],[Total PoP ]]</f>
        <v>0</v>
      </c>
      <c r="CX33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8" s="473">
        <f>IF(WWWW[[#This Row],['# of functional latrines in THF supported by WASH partners during the reporting period2]]="",0,WWWW[[#This Row],['# of functional latrines in THF supported by WASH partners during the reporting period2]]*50)</f>
        <v>0</v>
      </c>
      <c r="DB338" s="473">
        <f>WWWW[[#This Row],['# students access to functioning school latrines_HRP5]]+WWWW[[#This Row],['# People access to functioning latrines in THF_HRP5]]</f>
        <v>0</v>
      </c>
      <c r="DC338" s="801">
        <f>ROUND(IF(WWWW[[#This Row],[Location Type 1]]="camp",WWWW[[#This Row],[Total PoP ]]/20,IF(WWWW[[#This Row],[Location Type 1]]="Temporary Location",WWWW[[#This Row],[Total PoP ]]/50,(WWWW[[#This Row],[Total PoP ]]/6))),0)</f>
        <v>3</v>
      </c>
      <c r="DD338" s="801">
        <f>IF(WWWW[[#This Row],[Total required Latrines]]-(WWWW[[#This Row],['#_Constructed latrines_by_WASHAgencies]]+WWWW[[#This Row],['#_Non Cluster partner latrines]])&lt;0,0,WWWW[[#This Row],[Total required Latrines]]-(WWWW[[#This Row],['#_Constructed latrines_by_WASHAgencies]]+WWWW[[#This Row],['#_Non Cluster partner latrines]]))</f>
        <v>3</v>
      </c>
      <c r="DE338" s="803">
        <f>1-WWWW[[#This Row],[% people access to functioning Latrine]]</f>
        <v>1</v>
      </c>
      <c r="DF338" s="802">
        <f>IF(OR(WWWW[[#This Row],['#_Non-functional latrines]]="",WWWW[[#This Row],['#_Non-functional latrines]]=0),0,WWWW[[#This Row],['#_Non-functional latrines]]/(WWWW[[#This Row],['#_Constructed latrines_by_WASHAgencies]]+WWWW[[#This Row],['#_Non Cluster partner latrines]]))</f>
        <v>0</v>
      </c>
      <c r="DG338" s="798">
        <f>IF(500*(WWWW[[#This Row],['#_male hygiene promoters]]+WWWW[[#This Row],['#_female hygiene promoters]])&gt;WWWW[[#This Row],[Total PoP ]],WWWW[[#This Row],[Total PoP ]],500*(WWWW[[#This Row],['#_male hygiene promoters]]+WWWW[[#This Row],['#_female hygiene promoters]]))</f>
        <v>0</v>
      </c>
      <c r="DH33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8" s="801">
        <f>IF(WWWW[[#This Row],['# People with access to soap]]&gt;WWWW[[#This Row],['# People with access to Sanity Pads]],WWWW[[#This Row],['# People with access to soap]],WWWW[[#This Row],['# People with access to Sanity Pads]])</f>
        <v>0</v>
      </c>
      <c r="DK33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8" s="803">
        <f>IF(WWWW[[#This Row],[HRP3]]/WWWW[[#This Row],[Total PoP ]]&gt;1,1,WWWW[[#This Row],[HRP3]]/WWWW[[#This Row],[Total PoP ]])</f>
        <v>0</v>
      </c>
      <c r="DM338" s="802">
        <f>1-WWWW[[#This Row],[Hygiene Coverage%]]</f>
        <v>1</v>
      </c>
      <c r="DN338" s="800">
        <f>WWWW[[#This Row],['# people reached by regular dedicated hygiene promotion_5]]/WWWW[[#This Row],[Total PoP ]]</f>
        <v>0</v>
      </c>
      <c r="DO33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8" s="801">
        <f>WWWW[[#This Row],['#_Constructed/Existing hand washing stations]]-WWWW[[#This Row],['#_Non-Functional_hand_washing_stations]]</f>
        <v>0</v>
      </c>
      <c r="DR338" s="798">
        <f>IF(WWWW[[#This Row],['# Functional hand washing stations during reporting period]]*20&gt;WWWW[[#This Row],[Total HH]],WWWW[[#This Row],[Total HH]],WWWW[[#This Row],['# Functional hand washing stations during reporting period]]*20)</f>
        <v>0</v>
      </c>
      <c r="DS338" s="798">
        <f>IF(WWWW[[#This Row],[Is sufficient soap available for TLS? (Yes/No)]]="yes",WWWW[[#This Row],['#_Constructed/Existing hand washing stations at TLS]],0)</f>
        <v>0</v>
      </c>
      <c r="DT338" s="479">
        <f>IF(WWWW[[#This Row],['# Functional hand washing stations during reporting period]]*100&gt;WWWW[[#This Row],[Total PoP ]],WWWW[[#This Row],[Total PoP ]],WWWW[[#This Row],['# Functional hand washing stations during reporting period]]*100)</f>
        <v>0</v>
      </c>
      <c r="DU338" s="479" t="str">
        <f>IF(OR(WWWW[[#This Row],['#_students at TLS_CFS]]="",WWWW[[#This Row],['#_students at TLS_CFS]]=0),"No","Yes")</f>
        <v>No</v>
      </c>
      <c r="DV33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8" s="794">
        <f>VLOOKUP(WWWW[[#This Row],[Site Name]],SiteDB6[[Site Name]:[CCCM Management]],6,FALSE)</f>
        <v>0</v>
      </c>
      <c r="DZ338" s="794" t="str">
        <f>VLOOKUP(WWWW[[#This Row],[Site Name]],SiteDB6[[Site Name]:[CCCM Focal Agency]],7,FALSE)</f>
        <v>uncovered</v>
      </c>
      <c r="EA338" s="794" t="str">
        <f>VLOOKUP(WWWW[[#This Row],[Site Name]],SiteDB6[[Site Name]:[Location Type 1]],9,FALSE)</f>
        <v>Camp</v>
      </c>
      <c r="EB338" s="794" t="str">
        <f>VLOOKUP(WWWW[[#This Row],[Site Name]],SiteDB6[[Site Name]:[Type of Accommodation]],10,FALSE)</f>
        <v>Host Families</v>
      </c>
      <c r="EC338" s="794" t="str">
        <f>VLOOKUP(WWWW[[#This Row],[Site Name]],SiteDB6[[Site Name]:[Ethnic or GCA/NGCA]],11,FALSE)</f>
        <v>GCA</v>
      </c>
      <c r="ED338" s="794">
        <f>VLOOKUP(WWWW[[#This Row],[Site Name]],SiteDB6[[Site Name]:[Lat]],12,FALSE)</f>
        <v>27.248964999999998</v>
      </c>
      <c r="EE338" s="794">
        <f>VLOOKUP(WWWW[[#This Row],[Site Name]],SiteDB6[[Site Name]:[Long]],13,FALSE)</f>
        <v>97.561105999999995</v>
      </c>
      <c r="EF338" s="794" t="str">
        <f>VLOOKUP(WWWW[[#This Row],[Site Name]],SiteDB6[[Site Name]:[Pcode]],3,FALSE)</f>
        <v>MMR001CMP227</v>
      </c>
      <c r="EG338" s="799" t="str">
        <f t="shared" si="8"/>
        <v>Notcovered</v>
      </c>
      <c r="EH338" s="799" t="str">
        <f>VLOOKUP(WWWW[[#This Row],[Site Name]],Site_DB!$C$389:$D$1120,2,FALSE)</f>
        <v>cccm_2019OCT</v>
      </c>
    </row>
    <row r="339" spans="1:138" hidden="1">
      <c r="A339" s="792" t="s">
        <v>3262</v>
      </c>
      <c r="B339" s="792" t="s">
        <v>312</v>
      </c>
      <c r="C339" s="793" t="s">
        <v>312</v>
      </c>
      <c r="D339" s="793"/>
      <c r="E339" s="793" t="s">
        <v>39</v>
      </c>
      <c r="F339" s="793" t="s">
        <v>208</v>
      </c>
      <c r="G339" s="721" t="str">
        <f>VLOOKUP(WWWW[[#This Row],[Site Name]],SiteDB6[[Site Name]:[Location Type]],8,FALSE)</f>
        <v>Camp</v>
      </c>
      <c r="H339" s="793" t="s">
        <v>1021</v>
      </c>
      <c r="I339" s="795">
        <v>3</v>
      </c>
      <c r="J339" s="795">
        <v>18</v>
      </c>
      <c r="K339" s="796"/>
      <c r="L339" s="797"/>
      <c r="M339" s="795"/>
      <c r="N339" s="795"/>
      <c r="O339" s="795"/>
      <c r="P339" s="795"/>
      <c r="Q339" s="798"/>
      <c r="R339" s="795"/>
      <c r="S339" s="795">
        <v>3</v>
      </c>
      <c r="T339" s="523"/>
      <c r="U339" s="795"/>
      <c r="V339" s="795"/>
      <c r="W339" s="795"/>
      <c r="X339" s="795"/>
      <c r="Y339" s="795"/>
      <c r="Z339" s="795"/>
      <c r="AA339" s="795"/>
      <c r="AB339" s="795"/>
      <c r="AC339" s="795"/>
      <c r="AD339" s="795"/>
      <c r="AE339" s="795"/>
      <c r="AF339" s="795"/>
      <c r="AG339" s="795"/>
      <c r="AH339" s="795"/>
      <c r="AI339" s="795"/>
      <c r="AJ339" s="795"/>
      <c r="AK339" s="795"/>
      <c r="AL339" s="795"/>
      <c r="AM339" s="795"/>
      <c r="AN339" s="795"/>
      <c r="AO339" s="799"/>
      <c r="AP339" s="795"/>
      <c r="AQ339" s="795"/>
      <c r="AR339" s="800"/>
      <c r="AS339" s="795"/>
      <c r="AT339" s="795"/>
      <c r="AU339" s="795"/>
      <c r="AV339" s="795"/>
      <c r="AW339" s="795"/>
      <c r="AX339" s="794"/>
      <c r="AY339" s="799"/>
      <c r="AZ339" s="795"/>
      <c r="BA339" s="795"/>
      <c r="BB339" s="795"/>
      <c r="BC339" s="523"/>
      <c r="BD339" s="523"/>
      <c r="BE339" s="794"/>
      <c r="BF339" s="795"/>
      <c r="BG339" s="795"/>
      <c r="BH339" s="795"/>
      <c r="BI339" s="795"/>
      <c r="BJ339" s="795"/>
      <c r="BK339" s="795"/>
      <c r="BL339" s="795"/>
      <c r="BM339" s="795"/>
      <c r="BN339" s="795"/>
      <c r="BO339" s="794"/>
      <c r="BP339" s="801"/>
      <c r="BQ339" s="800"/>
      <c r="BR339" s="794"/>
      <c r="BS339" s="472"/>
      <c r="BT339" s="472"/>
      <c r="BU339" s="720"/>
      <c r="BV339" s="472"/>
      <c r="BW339" s="523"/>
      <c r="BX339" s="523"/>
      <c r="BY339" s="523"/>
      <c r="BZ339" s="802" t="str">
        <f>IFERROR(WWWW[[#This Row],['#_Water sources passed]]/WWWW[[#This Row],['#_Water sources tested for fecal coliform ]],"no test")</f>
        <v>no test</v>
      </c>
      <c r="CA339" s="800" t="str">
        <f>IFERROR(WWWW[[#This Row],['#_Household passed]]/WWWW[[#This Row],['#_Household water samples tested for fecal coliform]],"no test")</f>
        <v>no test</v>
      </c>
      <c r="CB339" s="801" t="str">
        <f>IF(AND(WWWW[[#This Row],[% of water sources passed]]="no test",WWWW[[#This Row],[% Household passed]]="no test"),"No Test","Tested")</f>
        <v>No Test</v>
      </c>
      <c r="CC339" s="801">
        <f>WWWW[[#This Row],['#_Constructed/existing protected hand dug well]]-WWWW[[#This Row],['#_Non-functional protected hand dug well]]</f>
        <v>0</v>
      </c>
      <c r="CD339" s="801">
        <f>(WWWW[[#This Row],['#_Constructed/Existing tube wells/boreholes/handpumps_WASH_agency]]+WWWW[[#This Row],['#_Non-Cluster partner water tube-wells/boreholes/handpumps]])-WWWW[[#This Row],['#_Non-functional tube wells/boreholes/handpumps]]</f>
        <v>0</v>
      </c>
      <c r="CE339" s="801">
        <f>WWWW[[#This Row],['#_Constructed/Existingwater storage tank with gravity fed reticulation system]]-WWWW[[#This Row],['#_Non-functional storage tank gravity fed reticulation system]]</f>
        <v>0</v>
      </c>
      <c r="CF339" s="801">
        <f>(WWWW[[#This Row],['#_Water_Liters_supplied_by_Water boating or water trucking]]/90)/15</f>
        <v>0</v>
      </c>
      <c r="CG339" s="801">
        <f>WWWW[[#This Row],['#_Water_Liters_from_Constructed/Existing water distribution system from river or natural spring]]/90/15</f>
        <v>0</v>
      </c>
      <c r="CH339" s="473">
        <f>WWWW[[#This Row],['#_of water points in TLS/CFS /THF]]*500</f>
        <v>0</v>
      </c>
      <c r="CI33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3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39" s="800">
        <f>IF(WWWW[[#This Row],[Location Type 1]]="Village",WWWW[[#This Row],[Access to safe drinking water for Village]],WWWW[[#This Row],[Access to safe drinking water for Camp]])</f>
        <v>0</v>
      </c>
      <c r="CL339" s="798">
        <f>WWWW[[#This Row],[%Equitable and continuous access to sufficient quantity of safe drinking water]]*WWWW[[#This Row],[Total PoP ]]</f>
        <v>0</v>
      </c>
      <c r="CM339" s="800">
        <f>IF((WWWW[[#This Row],['#_Constructed/Existing protected/fenced ponds]]*250)/WWWW[[#This Row],[Total PoP ]]&gt;1,1,(WWWW[[#This Row],['#_Constructed/Existing protected/fenced ponds]]*250)/WWWW[[#This Row],[Total PoP ]])</f>
        <v>0</v>
      </c>
      <c r="CN339" s="798">
        <f>WWWW[[#This Row],[% Access to unimproved water points]]*WWWW[[#This Row],[Total PoP ]]</f>
        <v>0</v>
      </c>
      <c r="CO33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3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39" s="798">
        <f>WWWW[[#This Row],[HRP1]]/500</f>
        <v>0</v>
      </c>
      <c r="CR339" s="803">
        <f>1-WWWW[[#This Row],[% Equitable and continuous access to sufficient quantity of domestic water]]</f>
        <v>1</v>
      </c>
      <c r="CS339" s="798">
        <f>WWWW[[#This Row],[%equitable and continuous access to sufficient quantity of safe drinking and domestic water''s GAP]]*WWWW[[#This Row],[Total PoP ]]</f>
        <v>18</v>
      </c>
      <c r="CT339" s="801">
        <f>IF(WWWW[[#This Row],[Total required water points]]-WWWW[[#This Row],['#Water points coverage]]&lt;0,0,WWWW[[#This Row],[Total required water points]]-WWWW[[#This Row],['#Water points coverage]])</f>
        <v>1</v>
      </c>
      <c r="CU339" s="801">
        <f>ROUND(IF(WWWW[[#This Row],[Total PoP ]]&lt;500,1,WWWW[[#This Row],[Total PoP ]]/500),0)</f>
        <v>1</v>
      </c>
      <c r="CV339" s="801">
        <f>(WWWW[[#This Row],['#_Constructed latrines_by_WASHAgencies]]+WWWW[[#This Row],['#_Non Cluster partner latrines]])-WWWW[[#This Row],['#_Non-functional latrines]]</f>
        <v>0</v>
      </c>
      <c r="CW339" s="804">
        <f>WWWW[[#This Row],[HRP2]]/WWWW[[#This Row],[Total PoP ]]</f>
        <v>0</v>
      </c>
      <c r="CX33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3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3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39" s="473">
        <f>IF(WWWW[[#This Row],['# of functional latrines in THF supported by WASH partners during the reporting period2]]="",0,WWWW[[#This Row],['# of functional latrines in THF supported by WASH partners during the reporting period2]]*50)</f>
        <v>0</v>
      </c>
      <c r="DB339" s="473">
        <f>WWWW[[#This Row],['# students access to functioning school latrines_HRP5]]+WWWW[[#This Row],['# People access to functioning latrines in THF_HRP5]]</f>
        <v>0</v>
      </c>
      <c r="DC339" s="801">
        <f>ROUND(IF(WWWW[[#This Row],[Location Type 1]]="camp",WWWW[[#This Row],[Total PoP ]]/20,IF(WWWW[[#This Row],[Location Type 1]]="Temporary Location",WWWW[[#This Row],[Total PoP ]]/50,(WWWW[[#This Row],[Total PoP ]]/6))),0)</f>
        <v>1</v>
      </c>
      <c r="DD339" s="801">
        <f>IF(WWWW[[#This Row],[Total required Latrines]]-(WWWW[[#This Row],['#_Constructed latrines_by_WASHAgencies]]+WWWW[[#This Row],['#_Non Cluster partner latrines]])&lt;0,0,WWWW[[#This Row],[Total required Latrines]]-(WWWW[[#This Row],['#_Constructed latrines_by_WASHAgencies]]+WWWW[[#This Row],['#_Non Cluster partner latrines]]))</f>
        <v>1</v>
      </c>
      <c r="DE339" s="803">
        <f>1-WWWW[[#This Row],[% people access to functioning Latrine]]</f>
        <v>1</v>
      </c>
      <c r="DF339" s="802">
        <f>IF(OR(WWWW[[#This Row],['#_Non-functional latrines]]="",WWWW[[#This Row],['#_Non-functional latrines]]=0),0,WWWW[[#This Row],['#_Non-functional latrines]]/(WWWW[[#This Row],['#_Constructed latrines_by_WASHAgencies]]+WWWW[[#This Row],['#_Non Cluster partner latrines]]))</f>
        <v>0</v>
      </c>
      <c r="DG339" s="798">
        <f>IF(500*(WWWW[[#This Row],['#_male hygiene promoters]]+WWWW[[#This Row],['#_female hygiene promoters]])&gt;WWWW[[#This Row],[Total PoP ]],WWWW[[#This Row],[Total PoP ]],500*(WWWW[[#This Row],['#_male hygiene promoters]]+WWWW[[#This Row],['#_female hygiene promoters]]))</f>
        <v>0</v>
      </c>
      <c r="DH33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3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39" s="801">
        <f>IF(WWWW[[#This Row],['# People with access to soap]]&gt;WWWW[[#This Row],['# People with access to Sanity Pads]],WWWW[[#This Row],['# People with access to soap]],WWWW[[#This Row],['# People with access to Sanity Pads]])</f>
        <v>0</v>
      </c>
      <c r="DK339"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39" s="803">
        <f>IF(WWWW[[#This Row],[HRP3]]/WWWW[[#This Row],[Total PoP ]]&gt;1,1,WWWW[[#This Row],[HRP3]]/WWWW[[#This Row],[Total PoP ]])</f>
        <v>0</v>
      </c>
      <c r="DM339" s="802">
        <f>1-WWWW[[#This Row],[Hygiene Coverage%]]</f>
        <v>1</v>
      </c>
      <c r="DN339" s="800">
        <f>WWWW[[#This Row],['# people reached by regular dedicated hygiene promotion_5]]/WWWW[[#This Row],[Total PoP ]]</f>
        <v>0</v>
      </c>
      <c r="DO33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3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39" s="801">
        <f>WWWW[[#This Row],['#_Constructed/Existing hand washing stations]]-WWWW[[#This Row],['#_Non-Functional_hand_washing_stations]]</f>
        <v>0</v>
      </c>
      <c r="DR339" s="798">
        <f>IF(WWWW[[#This Row],['# Functional hand washing stations during reporting period]]*20&gt;WWWW[[#This Row],[Total HH]],WWWW[[#This Row],[Total HH]],WWWW[[#This Row],['# Functional hand washing stations during reporting period]]*20)</f>
        <v>0</v>
      </c>
      <c r="DS339" s="798">
        <f>IF(WWWW[[#This Row],[Is sufficient soap available for TLS? (Yes/No)]]="yes",WWWW[[#This Row],['#_Constructed/Existing hand washing stations at TLS]],0)</f>
        <v>0</v>
      </c>
      <c r="DT339" s="479">
        <f>IF(WWWW[[#This Row],['# Functional hand washing stations during reporting period]]*100&gt;WWWW[[#This Row],[Total PoP ]],WWWW[[#This Row],[Total PoP ]],WWWW[[#This Row],['# Functional hand washing stations during reporting period]]*100)</f>
        <v>0</v>
      </c>
      <c r="DU339" s="479" t="str">
        <f>IF(OR(WWWW[[#This Row],['#_students at TLS_CFS]]="",WWWW[[#This Row],['#_students at TLS_CFS]]=0),"No","Yes")</f>
        <v>No</v>
      </c>
      <c r="DV33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39" s="794">
        <f>VLOOKUP(WWWW[[#This Row],[Site Name]],SiteDB6[[Site Name]:[CCCM Management]],6,FALSE)</f>
        <v>0</v>
      </c>
      <c r="DZ339" s="794" t="str">
        <f>VLOOKUP(WWWW[[#This Row],[Site Name]],SiteDB6[[Site Name]:[CCCM Focal Agency]],7,FALSE)</f>
        <v>uncovered</v>
      </c>
      <c r="EA339" s="794" t="str">
        <f>VLOOKUP(WWWW[[#This Row],[Site Name]],SiteDB6[[Site Name]:[Location Type 1]],9,FALSE)</f>
        <v>Camp</v>
      </c>
      <c r="EB339" s="794" t="str">
        <f>VLOOKUP(WWWW[[#This Row],[Site Name]],SiteDB6[[Site Name]:[Type of Accommodation]],10,FALSE)</f>
        <v>Host Families</v>
      </c>
      <c r="EC339" s="794" t="str">
        <f>VLOOKUP(WWWW[[#This Row],[Site Name]],SiteDB6[[Site Name]:[Ethnic or GCA/NGCA]],11,FALSE)</f>
        <v>GCA</v>
      </c>
      <c r="ED339" s="794">
        <f>VLOOKUP(WWWW[[#This Row],[Site Name]],SiteDB6[[Site Name]:[Lat]],12,FALSE)</f>
        <v>24.377054000000001</v>
      </c>
      <c r="EE339" s="794">
        <f>VLOOKUP(WWWW[[#This Row],[Site Name]],SiteDB6[[Site Name]:[Long]],13,FALSE)</f>
        <v>97.343406999999999</v>
      </c>
      <c r="EF339" s="794" t="str">
        <f>VLOOKUP(WWWW[[#This Row],[Site Name]],SiteDB6[[Site Name]:[Pcode]],3,FALSE)</f>
        <v>MMR001CMP200</v>
      </c>
      <c r="EG339" s="799" t="str">
        <f t="shared" si="8"/>
        <v>Notcovered</v>
      </c>
      <c r="EH339" s="799" t="str">
        <f>VLOOKUP(WWWW[[#This Row],[Site Name]],Site_DB!$C$389:$D$1120,2,FALSE)</f>
        <v>cccm_2019OCT</v>
      </c>
    </row>
    <row r="340" spans="1:138" hidden="1">
      <c r="A340" s="792" t="s">
        <v>3262</v>
      </c>
      <c r="B340" s="792" t="s">
        <v>312</v>
      </c>
      <c r="C340" s="793" t="s">
        <v>312</v>
      </c>
      <c r="D340" s="793"/>
      <c r="E340" s="793" t="s">
        <v>39</v>
      </c>
      <c r="F340" s="793" t="s">
        <v>208</v>
      </c>
      <c r="G340" s="721" t="str">
        <f>VLOOKUP(WWWW[[#This Row],[Site Name]],SiteDB6[[Site Name]:[Location Type]],8,FALSE)</f>
        <v>Camp</v>
      </c>
      <c r="H340" s="793" t="s">
        <v>3063</v>
      </c>
      <c r="I340" s="795"/>
      <c r="J340" s="795">
        <v>31</v>
      </c>
      <c r="K340" s="796"/>
      <c r="L340" s="797"/>
      <c r="M340" s="795"/>
      <c r="N340" s="795"/>
      <c r="O340" s="795"/>
      <c r="P340" s="795"/>
      <c r="Q340" s="798"/>
      <c r="R340" s="795"/>
      <c r="S340" s="795"/>
      <c r="T340" s="523"/>
      <c r="U340" s="795"/>
      <c r="V340" s="795"/>
      <c r="W340" s="795"/>
      <c r="X340" s="795"/>
      <c r="Y340" s="795"/>
      <c r="Z340" s="795"/>
      <c r="AA340" s="795"/>
      <c r="AB340" s="795"/>
      <c r="AC340" s="795"/>
      <c r="AD340" s="795"/>
      <c r="AE340" s="795"/>
      <c r="AF340" s="795"/>
      <c r="AG340" s="795"/>
      <c r="AH340" s="795"/>
      <c r="AI340" s="795"/>
      <c r="AJ340" s="795"/>
      <c r="AK340" s="795"/>
      <c r="AL340" s="795"/>
      <c r="AM340" s="795"/>
      <c r="AN340" s="795"/>
      <c r="AO340" s="799"/>
      <c r="AP340" s="795"/>
      <c r="AQ340" s="795"/>
      <c r="AR340" s="800"/>
      <c r="AS340" s="795"/>
      <c r="AT340" s="795"/>
      <c r="AU340" s="795"/>
      <c r="AV340" s="795"/>
      <c r="AW340" s="795"/>
      <c r="AX340" s="794"/>
      <c r="AY340" s="799"/>
      <c r="AZ340" s="795"/>
      <c r="BA340" s="795"/>
      <c r="BB340" s="795"/>
      <c r="BC340" s="523"/>
      <c r="BD340" s="523"/>
      <c r="BE340" s="794"/>
      <c r="BF340" s="795"/>
      <c r="BG340" s="795"/>
      <c r="BH340" s="795"/>
      <c r="BI340" s="795"/>
      <c r="BJ340" s="795"/>
      <c r="BK340" s="795"/>
      <c r="BL340" s="795"/>
      <c r="BM340" s="795"/>
      <c r="BN340" s="795"/>
      <c r="BO340" s="794"/>
      <c r="BP340" s="801"/>
      <c r="BQ340" s="800"/>
      <c r="BR340" s="794"/>
      <c r="BS340" s="472"/>
      <c r="BT340" s="472"/>
      <c r="BU340" s="720"/>
      <c r="BV340" s="472"/>
      <c r="BW340" s="523"/>
      <c r="BX340" s="523"/>
      <c r="BY340" s="523"/>
      <c r="BZ340" s="802" t="str">
        <f>IFERROR(WWWW[[#This Row],['#_Water sources passed]]/WWWW[[#This Row],['#_Water sources tested for fecal coliform ]],"no test")</f>
        <v>no test</v>
      </c>
      <c r="CA340" s="800" t="str">
        <f>IFERROR(WWWW[[#This Row],['#_Household passed]]/WWWW[[#This Row],['#_Household water samples tested for fecal coliform]],"no test")</f>
        <v>no test</v>
      </c>
      <c r="CB340" s="801" t="str">
        <f>IF(AND(WWWW[[#This Row],[% of water sources passed]]="no test",WWWW[[#This Row],[% Household passed]]="no test"),"No Test","Tested")</f>
        <v>No Test</v>
      </c>
      <c r="CC340" s="801">
        <f>WWWW[[#This Row],['#_Constructed/existing protected hand dug well]]-WWWW[[#This Row],['#_Non-functional protected hand dug well]]</f>
        <v>0</v>
      </c>
      <c r="CD340" s="801">
        <f>(WWWW[[#This Row],['#_Constructed/Existing tube wells/boreholes/handpumps_WASH_agency]]+WWWW[[#This Row],['#_Non-Cluster partner water tube-wells/boreholes/handpumps]])-WWWW[[#This Row],['#_Non-functional tube wells/boreholes/handpumps]]</f>
        <v>0</v>
      </c>
      <c r="CE340" s="801">
        <f>WWWW[[#This Row],['#_Constructed/Existingwater storage tank with gravity fed reticulation system]]-WWWW[[#This Row],['#_Non-functional storage tank gravity fed reticulation system]]</f>
        <v>0</v>
      </c>
      <c r="CF340" s="801">
        <f>(WWWW[[#This Row],['#_Water_Liters_supplied_by_Water boating or water trucking]]/90)/15</f>
        <v>0</v>
      </c>
      <c r="CG340" s="801">
        <f>WWWW[[#This Row],['#_Water_Liters_from_Constructed/Existing water distribution system from river or natural spring]]/90/15</f>
        <v>0</v>
      </c>
      <c r="CH340" s="473">
        <f>WWWW[[#This Row],['#_of water points in TLS/CFS /THF]]*500</f>
        <v>0</v>
      </c>
      <c r="CI34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0" s="800">
        <f>IF(WWWW[[#This Row],[Location Type 1]]="Village",WWWW[[#This Row],[Access to safe drinking water for Village]],WWWW[[#This Row],[Access to safe drinking water for Camp]])</f>
        <v>0</v>
      </c>
      <c r="CL340" s="798">
        <f>WWWW[[#This Row],[%Equitable and continuous access to sufficient quantity of safe drinking water]]*WWWW[[#This Row],[Total PoP ]]</f>
        <v>0</v>
      </c>
      <c r="CM340" s="800">
        <f>IF((WWWW[[#This Row],['#_Constructed/Existing protected/fenced ponds]]*250)/WWWW[[#This Row],[Total PoP ]]&gt;1,1,(WWWW[[#This Row],['#_Constructed/Existing protected/fenced ponds]]*250)/WWWW[[#This Row],[Total PoP ]])</f>
        <v>0</v>
      </c>
      <c r="CN340" s="798">
        <f>WWWW[[#This Row],[% Access to unimproved water points]]*WWWW[[#This Row],[Total PoP ]]</f>
        <v>0</v>
      </c>
      <c r="CO34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0" s="798">
        <f>WWWW[[#This Row],[HRP1]]/500</f>
        <v>0</v>
      </c>
      <c r="CR340" s="803">
        <f>1-WWWW[[#This Row],[% Equitable and continuous access to sufficient quantity of domestic water]]</f>
        <v>1</v>
      </c>
      <c r="CS340" s="798">
        <f>WWWW[[#This Row],[%equitable and continuous access to sufficient quantity of safe drinking and domestic water''s GAP]]*WWWW[[#This Row],[Total PoP ]]</f>
        <v>31</v>
      </c>
      <c r="CT340" s="801">
        <f>IF(WWWW[[#This Row],[Total required water points]]-WWWW[[#This Row],['#Water points coverage]]&lt;0,0,WWWW[[#This Row],[Total required water points]]-WWWW[[#This Row],['#Water points coverage]])</f>
        <v>1</v>
      </c>
      <c r="CU340" s="801">
        <f>ROUND(IF(WWWW[[#This Row],[Total PoP ]]&lt;500,1,WWWW[[#This Row],[Total PoP ]]/500),0)</f>
        <v>1</v>
      </c>
      <c r="CV340" s="801">
        <f>(WWWW[[#This Row],['#_Constructed latrines_by_WASHAgencies]]+WWWW[[#This Row],['#_Non Cluster partner latrines]])-WWWW[[#This Row],['#_Non-functional latrines]]</f>
        <v>0</v>
      </c>
      <c r="CW340" s="804">
        <f>WWWW[[#This Row],[HRP2]]/WWWW[[#This Row],[Total PoP ]]</f>
        <v>0</v>
      </c>
      <c r="CX34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0" s="473">
        <f>IF(WWWW[[#This Row],['# of functional latrines in THF supported by WASH partners during the reporting period2]]="",0,WWWW[[#This Row],['# of functional latrines in THF supported by WASH partners during the reporting period2]]*50)</f>
        <v>0</v>
      </c>
      <c r="DB340" s="473">
        <f>WWWW[[#This Row],['# students access to functioning school latrines_HRP5]]+WWWW[[#This Row],['# People access to functioning latrines in THF_HRP5]]</f>
        <v>0</v>
      </c>
      <c r="DC340" s="801">
        <f>ROUND(IF(WWWW[[#This Row],[Location Type 1]]="camp",WWWW[[#This Row],[Total PoP ]]/20,IF(WWWW[[#This Row],[Location Type 1]]="Temporary Location",WWWW[[#This Row],[Total PoP ]]/50,(WWWW[[#This Row],[Total PoP ]]/6))),0)</f>
        <v>2</v>
      </c>
      <c r="DD340" s="801">
        <f>IF(WWWW[[#This Row],[Total required Latrines]]-(WWWW[[#This Row],['#_Constructed latrines_by_WASHAgencies]]+WWWW[[#This Row],['#_Non Cluster partner latrines]])&lt;0,0,WWWW[[#This Row],[Total required Latrines]]-(WWWW[[#This Row],['#_Constructed latrines_by_WASHAgencies]]+WWWW[[#This Row],['#_Non Cluster partner latrines]]))</f>
        <v>2</v>
      </c>
      <c r="DE340" s="803">
        <f>1-WWWW[[#This Row],[% people access to functioning Latrine]]</f>
        <v>1</v>
      </c>
      <c r="DF340" s="802">
        <f>IF(OR(WWWW[[#This Row],['#_Non-functional latrines]]="",WWWW[[#This Row],['#_Non-functional latrines]]=0),0,WWWW[[#This Row],['#_Non-functional latrines]]/(WWWW[[#This Row],['#_Constructed latrines_by_WASHAgencies]]+WWWW[[#This Row],['#_Non Cluster partner latrines]]))</f>
        <v>0</v>
      </c>
      <c r="DG340" s="798">
        <f>IF(500*(WWWW[[#This Row],['#_male hygiene promoters]]+WWWW[[#This Row],['#_female hygiene promoters]])&gt;WWWW[[#This Row],[Total PoP ]],WWWW[[#This Row],[Total PoP ]],500*(WWWW[[#This Row],['#_male hygiene promoters]]+WWWW[[#This Row],['#_female hygiene promoters]]))</f>
        <v>0</v>
      </c>
      <c r="DH34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0" s="801">
        <f>IF(WWWW[[#This Row],['# People with access to soap]]&gt;WWWW[[#This Row],['# People with access to Sanity Pads]],WWWW[[#This Row],['# People with access to soap]],WWWW[[#This Row],['# People with access to Sanity Pads]])</f>
        <v>0</v>
      </c>
      <c r="DK340"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0" s="803">
        <f>IF(WWWW[[#This Row],[HRP3]]/WWWW[[#This Row],[Total PoP ]]&gt;1,1,WWWW[[#This Row],[HRP3]]/WWWW[[#This Row],[Total PoP ]])</f>
        <v>0</v>
      </c>
      <c r="DM340" s="802">
        <f>1-WWWW[[#This Row],[Hygiene Coverage%]]</f>
        <v>1</v>
      </c>
      <c r="DN340" s="800">
        <f>WWWW[[#This Row],['# people reached by regular dedicated hygiene promotion_5]]/WWWW[[#This Row],[Total PoP ]]</f>
        <v>0</v>
      </c>
      <c r="DO340" s="802"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340" s="800"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340" s="801">
        <f>WWWW[[#This Row],['#_Constructed/Existing hand washing stations]]-WWWW[[#This Row],['#_Non-Functional_hand_washing_stations]]</f>
        <v>0</v>
      </c>
      <c r="DR340" s="798">
        <f>IF(WWWW[[#This Row],['# Functional hand washing stations during reporting period]]*20&gt;WWWW[[#This Row],[Total HH]],WWWW[[#This Row],[Total HH]],WWWW[[#This Row],['# Functional hand washing stations during reporting period]]*20)</f>
        <v>0</v>
      </c>
      <c r="DS340" s="798">
        <f>IF(WWWW[[#This Row],[Is sufficient soap available for TLS? (Yes/No)]]="yes",WWWW[[#This Row],['#_Constructed/Existing hand washing stations at TLS]],0)</f>
        <v>0</v>
      </c>
      <c r="DT340" s="479">
        <f>IF(WWWW[[#This Row],['# Functional hand washing stations during reporting period]]*100&gt;WWWW[[#This Row],[Total PoP ]],WWWW[[#This Row],[Total PoP ]],WWWW[[#This Row],['# Functional hand washing stations during reporting period]]*100)</f>
        <v>0</v>
      </c>
      <c r="DU340" s="479" t="str">
        <f>IF(OR(WWWW[[#This Row],['#_students at TLS_CFS]]="",WWWW[[#This Row],['#_students at TLS_CFS]]=0),"No","Yes")</f>
        <v>No</v>
      </c>
      <c r="DV34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0" s="794">
        <f>VLOOKUP(WWWW[[#This Row],[Site Name]],SiteDB6[[Site Name]:[CCCM Management]],6,FALSE)</f>
        <v>0</v>
      </c>
      <c r="DZ340" s="794" t="str">
        <f>VLOOKUP(WWWW[[#This Row],[Site Name]],SiteDB6[[Site Name]:[CCCM Focal Agency]],7,FALSE)</f>
        <v>uncovered</v>
      </c>
      <c r="EA340" s="794" t="str">
        <f>VLOOKUP(WWWW[[#This Row],[Site Name]],SiteDB6[[Site Name]:[Location Type 1]],9,FALSE)</f>
        <v>Camp</v>
      </c>
      <c r="EB340" s="794" t="str">
        <f>VLOOKUP(WWWW[[#This Row],[Site Name]],SiteDB6[[Site Name]:[Type of Accommodation]],10,FALSE)</f>
        <v>Boarding School</v>
      </c>
      <c r="EC340" s="794" t="str">
        <f>VLOOKUP(WWWW[[#This Row],[Site Name]],SiteDB6[[Site Name]:[Ethnic or GCA/NGCA]],11,FALSE)</f>
        <v>GCA</v>
      </c>
      <c r="ED340" s="794">
        <f>VLOOKUP(WWWW[[#This Row],[Site Name]],SiteDB6[[Site Name]:[Lat]],12,FALSE)</f>
        <v>24.721878</v>
      </c>
      <c r="EE340" s="794">
        <f>VLOOKUP(WWWW[[#This Row],[Site Name]],SiteDB6[[Site Name]:[Long]],13,FALSE)</f>
        <v>97.721878000000004</v>
      </c>
      <c r="EF340" s="794" t="str">
        <f>VLOOKUP(WWWW[[#This Row],[Site Name]],SiteDB6[[Site Name]:[Pcode]],3,FALSE)</f>
        <v>MMR001CMP275</v>
      </c>
      <c r="EG340" s="799" t="str">
        <f t="shared" si="8"/>
        <v>Notcovered</v>
      </c>
      <c r="EH340" s="799" t="str">
        <f>VLOOKUP(WWWW[[#This Row],[Site Name]],Site_DB!$C$389:$D$1120,2,FALSE)</f>
        <v>cccm_2019OCT</v>
      </c>
    </row>
    <row r="341" spans="1:138" hidden="1">
      <c r="A341" s="792" t="s">
        <v>3262</v>
      </c>
      <c r="B341" s="792" t="s">
        <v>312</v>
      </c>
      <c r="C341" s="793" t="s">
        <v>312</v>
      </c>
      <c r="D341" s="793"/>
      <c r="E341" s="793" t="s">
        <v>39</v>
      </c>
      <c r="F341" s="793" t="s">
        <v>145</v>
      </c>
      <c r="G341" s="721" t="str">
        <f>VLOOKUP(WWWW[[#This Row],[Site Name]],SiteDB6[[Site Name]:[Location Type]],8,FALSE)</f>
        <v>Camp</v>
      </c>
      <c r="H341" s="793" t="s">
        <v>1059</v>
      </c>
      <c r="I341" s="795">
        <v>80</v>
      </c>
      <c r="J341" s="795">
        <v>449</v>
      </c>
      <c r="K341" s="796"/>
      <c r="L341" s="797"/>
      <c r="M341" s="795"/>
      <c r="N341" s="795"/>
      <c r="O341" s="795"/>
      <c r="P341" s="795"/>
      <c r="Q341" s="798"/>
      <c r="R341" s="795"/>
      <c r="S341" s="795">
        <v>2</v>
      </c>
      <c r="T341" s="523"/>
      <c r="U341" s="795"/>
      <c r="V341" s="795"/>
      <c r="W341" s="795"/>
      <c r="X341" s="795"/>
      <c r="Y341" s="795"/>
      <c r="Z341" s="795"/>
      <c r="AA341" s="795"/>
      <c r="AB341" s="795"/>
      <c r="AC341" s="795"/>
      <c r="AD341" s="795"/>
      <c r="AE341" s="795"/>
      <c r="AF341" s="795"/>
      <c r="AG341" s="795"/>
      <c r="AH341" s="795"/>
      <c r="AI341" s="795"/>
      <c r="AJ341" s="795"/>
      <c r="AK341" s="795"/>
      <c r="AL341" s="795"/>
      <c r="AM341" s="795"/>
      <c r="AN341" s="795"/>
      <c r="AO341" s="799"/>
      <c r="AP341" s="795"/>
      <c r="AQ341" s="795"/>
      <c r="AR341" s="800"/>
      <c r="AS341" s="795"/>
      <c r="AT341" s="795"/>
      <c r="AU341" s="795"/>
      <c r="AV341" s="795"/>
      <c r="AW341" s="795"/>
      <c r="AX341" s="794"/>
      <c r="AY341" s="799"/>
      <c r="AZ341" s="795"/>
      <c r="BA341" s="795"/>
      <c r="BB341" s="795"/>
      <c r="BC341" s="523"/>
      <c r="BD341" s="523"/>
      <c r="BE341" s="794"/>
      <c r="BF341" s="795"/>
      <c r="BG341" s="795"/>
      <c r="BH341" s="795"/>
      <c r="BI341" s="795"/>
      <c r="BJ341" s="795"/>
      <c r="BK341" s="795"/>
      <c r="BL341" s="795"/>
      <c r="BM341" s="795"/>
      <c r="BN341" s="795"/>
      <c r="BO341" s="794"/>
      <c r="BP341" s="801"/>
      <c r="BQ341" s="800"/>
      <c r="BR341" s="794"/>
      <c r="BS341" s="472"/>
      <c r="BT341" s="472"/>
      <c r="BU341" s="720"/>
      <c r="BV341" s="472"/>
      <c r="BW341" s="523"/>
      <c r="BX341" s="523"/>
      <c r="BY341" s="523"/>
      <c r="BZ341" s="802" t="str">
        <f>IFERROR(WWWW[[#This Row],['#_Water sources passed]]/WWWW[[#This Row],['#_Water sources tested for fecal coliform ]],"no test")</f>
        <v>no test</v>
      </c>
      <c r="CA341" s="800" t="str">
        <f>IFERROR(WWWW[[#This Row],['#_Household passed]]/WWWW[[#This Row],['#_Household water samples tested for fecal coliform]],"no test")</f>
        <v>no test</v>
      </c>
      <c r="CB341" s="801" t="str">
        <f>IF(AND(WWWW[[#This Row],[% of water sources passed]]="no test",WWWW[[#This Row],[% Household passed]]="no test"),"No Test","Tested")</f>
        <v>No Test</v>
      </c>
      <c r="CC341" s="801">
        <f>WWWW[[#This Row],['#_Constructed/existing protected hand dug well]]-WWWW[[#This Row],['#_Non-functional protected hand dug well]]</f>
        <v>0</v>
      </c>
      <c r="CD341" s="801">
        <f>(WWWW[[#This Row],['#_Constructed/Existing tube wells/boreholes/handpumps_WASH_agency]]+WWWW[[#This Row],['#_Non-Cluster partner water tube-wells/boreholes/handpumps]])-WWWW[[#This Row],['#_Non-functional tube wells/boreholes/handpumps]]</f>
        <v>0</v>
      </c>
      <c r="CE341" s="801">
        <f>WWWW[[#This Row],['#_Constructed/Existingwater storage tank with gravity fed reticulation system]]-WWWW[[#This Row],['#_Non-functional storage tank gravity fed reticulation system]]</f>
        <v>0</v>
      </c>
      <c r="CF341" s="801">
        <f>(WWWW[[#This Row],['#_Water_Liters_supplied_by_Water boating or water trucking]]/90)/15</f>
        <v>0</v>
      </c>
      <c r="CG341" s="801">
        <f>WWWW[[#This Row],['#_Water_Liters_from_Constructed/Existing water distribution system from river or natural spring]]/90/15</f>
        <v>0</v>
      </c>
      <c r="CH341" s="473">
        <f>WWWW[[#This Row],['#_of water points in TLS/CFS /THF]]*500</f>
        <v>0</v>
      </c>
      <c r="CI34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1" s="800">
        <f>IF(WWWW[[#This Row],[Location Type 1]]="Village",WWWW[[#This Row],[Access to safe drinking water for Village]],WWWW[[#This Row],[Access to safe drinking water for Camp]])</f>
        <v>0</v>
      </c>
      <c r="CL341" s="798">
        <f>WWWW[[#This Row],[%Equitable and continuous access to sufficient quantity of safe drinking water]]*WWWW[[#This Row],[Total PoP ]]</f>
        <v>0</v>
      </c>
      <c r="CM341" s="800">
        <f>IF((WWWW[[#This Row],['#_Constructed/Existing protected/fenced ponds]]*250)/WWWW[[#This Row],[Total PoP ]]&gt;1,1,(WWWW[[#This Row],['#_Constructed/Existing protected/fenced ponds]]*250)/WWWW[[#This Row],[Total PoP ]])</f>
        <v>0</v>
      </c>
      <c r="CN341" s="798">
        <f>WWWW[[#This Row],[% Access to unimproved water points]]*WWWW[[#This Row],[Total PoP ]]</f>
        <v>0</v>
      </c>
      <c r="CO34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1" s="798">
        <f>WWWW[[#This Row],[HRP1]]/500</f>
        <v>0</v>
      </c>
      <c r="CR341" s="803">
        <f>1-WWWW[[#This Row],[% Equitable and continuous access to sufficient quantity of domestic water]]</f>
        <v>1</v>
      </c>
      <c r="CS341" s="798">
        <f>WWWW[[#This Row],[%equitable and continuous access to sufficient quantity of safe drinking and domestic water''s GAP]]*WWWW[[#This Row],[Total PoP ]]</f>
        <v>449</v>
      </c>
      <c r="CT341" s="801">
        <f>IF(WWWW[[#This Row],[Total required water points]]-WWWW[[#This Row],['#Water points coverage]]&lt;0,0,WWWW[[#This Row],[Total required water points]]-WWWW[[#This Row],['#Water points coverage]])</f>
        <v>1</v>
      </c>
      <c r="CU341" s="801">
        <f>ROUND(IF(WWWW[[#This Row],[Total PoP ]]&lt;500,1,WWWW[[#This Row],[Total PoP ]]/500),0)</f>
        <v>1</v>
      </c>
      <c r="CV341" s="801">
        <f>(WWWW[[#This Row],['#_Constructed latrines_by_WASHAgencies]]+WWWW[[#This Row],['#_Non Cluster partner latrines]])-WWWW[[#This Row],['#_Non-functional latrines]]</f>
        <v>0</v>
      </c>
      <c r="CW341" s="804">
        <f>WWWW[[#This Row],[HRP2]]/WWWW[[#This Row],[Total PoP ]]</f>
        <v>0</v>
      </c>
      <c r="CX34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1" s="473">
        <f>IF(WWWW[[#This Row],['# of functional latrines in THF supported by WASH partners during the reporting period2]]="",0,WWWW[[#This Row],['# of functional latrines in THF supported by WASH partners during the reporting period2]]*50)</f>
        <v>0</v>
      </c>
      <c r="DB341" s="473">
        <f>WWWW[[#This Row],['# students access to functioning school latrines_HRP5]]+WWWW[[#This Row],['# People access to functioning latrines in THF_HRP5]]</f>
        <v>0</v>
      </c>
      <c r="DC341" s="801">
        <f>ROUND(IF(WWWW[[#This Row],[Location Type 1]]="camp",WWWW[[#This Row],[Total PoP ]]/20,IF(WWWW[[#This Row],[Location Type 1]]="Temporary Location",WWWW[[#This Row],[Total PoP ]]/50,(WWWW[[#This Row],[Total PoP ]]/6))),0)</f>
        <v>22</v>
      </c>
      <c r="DD341" s="801">
        <f>IF(WWWW[[#This Row],[Total required Latrines]]-(WWWW[[#This Row],['#_Constructed latrines_by_WASHAgencies]]+WWWW[[#This Row],['#_Non Cluster partner latrines]])&lt;0,0,WWWW[[#This Row],[Total required Latrines]]-(WWWW[[#This Row],['#_Constructed latrines_by_WASHAgencies]]+WWWW[[#This Row],['#_Non Cluster partner latrines]]))</f>
        <v>22</v>
      </c>
      <c r="DE341" s="803">
        <f>1-WWWW[[#This Row],[% people access to functioning Latrine]]</f>
        <v>1</v>
      </c>
      <c r="DF341" s="802">
        <f>IF(OR(WWWW[[#This Row],['#_Non-functional latrines]]="",WWWW[[#This Row],['#_Non-functional latrines]]=0),0,WWWW[[#This Row],['#_Non-functional latrines]]/(WWWW[[#This Row],['#_Constructed latrines_by_WASHAgencies]]+WWWW[[#This Row],['#_Non Cluster partner latrines]]))</f>
        <v>0</v>
      </c>
      <c r="DG341" s="798">
        <f>IF(500*(WWWW[[#This Row],['#_male hygiene promoters]]+WWWW[[#This Row],['#_female hygiene promoters]])&gt;WWWW[[#This Row],[Total PoP ]],WWWW[[#This Row],[Total PoP ]],500*(WWWW[[#This Row],['#_male hygiene promoters]]+WWWW[[#This Row],['#_female hygiene promoters]]))</f>
        <v>0</v>
      </c>
      <c r="DH34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1" s="801">
        <f>IF(WWWW[[#This Row],['# People with access to soap]]&gt;WWWW[[#This Row],['# People with access to Sanity Pads]],WWWW[[#This Row],['# People with access to soap]],WWWW[[#This Row],['# People with access to Sanity Pads]])</f>
        <v>0</v>
      </c>
      <c r="DK341"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1" s="803">
        <f>IF(WWWW[[#This Row],[HRP3]]/WWWW[[#This Row],[Total PoP ]]&gt;1,1,WWWW[[#This Row],[HRP3]]/WWWW[[#This Row],[Total PoP ]])</f>
        <v>0</v>
      </c>
      <c r="DM341" s="802">
        <f>1-WWWW[[#This Row],[Hygiene Coverage%]]</f>
        <v>1</v>
      </c>
      <c r="DN341" s="800">
        <f>WWWW[[#This Row],['# people reached by regular dedicated hygiene promotion_5]]/WWWW[[#This Row],[Total PoP ]]</f>
        <v>0</v>
      </c>
      <c r="DO34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1" s="801">
        <f>WWWW[[#This Row],['#_Constructed/Existing hand washing stations]]-WWWW[[#This Row],['#_Non-Functional_hand_washing_stations]]</f>
        <v>0</v>
      </c>
      <c r="DR341" s="798">
        <f>IF(WWWW[[#This Row],['# Functional hand washing stations during reporting period]]*20&gt;WWWW[[#This Row],[Total HH]],WWWW[[#This Row],[Total HH]],WWWW[[#This Row],['# Functional hand washing stations during reporting period]]*20)</f>
        <v>0</v>
      </c>
      <c r="DS341" s="798">
        <f>IF(WWWW[[#This Row],[Is sufficient soap available for TLS? (Yes/No)]]="yes",WWWW[[#This Row],['#_Constructed/Existing hand washing stations at TLS]],0)</f>
        <v>0</v>
      </c>
      <c r="DT341" s="479">
        <f>IF(WWWW[[#This Row],['# Functional hand washing stations during reporting period]]*100&gt;WWWW[[#This Row],[Total PoP ]],WWWW[[#This Row],[Total PoP ]],WWWW[[#This Row],['# Functional hand washing stations during reporting period]]*100)</f>
        <v>0</v>
      </c>
      <c r="DU341" s="479" t="str">
        <f>IF(OR(WWWW[[#This Row],['#_students at TLS_CFS]]="",WWWW[[#This Row],['#_students at TLS_CFS]]=0),"No","Yes")</f>
        <v>No</v>
      </c>
      <c r="DV34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1" s="794">
        <f>VLOOKUP(WWWW[[#This Row],[Site Name]],SiteDB6[[Site Name]:[CCCM Management]],6,FALSE)</f>
        <v>0</v>
      </c>
      <c r="DZ341" s="794" t="str">
        <f>VLOOKUP(WWWW[[#This Row],[Site Name]],SiteDB6[[Site Name]:[CCCM Focal Agency]],7,FALSE)</f>
        <v>uncovered</v>
      </c>
      <c r="EA341" s="794" t="str">
        <f>VLOOKUP(WWWW[[#This Row],[Site Name]],SiteDB6[[Site Name]:[Location Type 1]],9,FALSE)</f>
        <v>Camp</v>
      </c>
      <c r="EB341" s="794" t="str">
        <f>VLOOKUP(WWWW[[#This Row],[Site Name]],SiteDB6[[Site Name]:[Type of Accommodation]],10,FALSE)</f>
        <v>Camp like setting</v>
      </c>
      <c r="EC341" s="794" t="str">
        <f>VLOOKUP(WWWW[[#This Row],[Site Name]],SiteDB6[[Site Name]:[Ethnic or GCA/NGCA]],11,FALSE)</f>
        <v>GCA</v>
      </c>
      <c r="ED341" s="794">
        <f>VLOOKUP(WWWW[[#This Row],[Site Name]],SiteDB6[[Site Name]:[Lat]],12,FALSE)</f>
        <v>25.391428000000001</v>
      </c>
      <c r="EE341" s="794">
        <f>VLOOKUP(WWWW[[#This Row],[Site Name]],SiteDB6[[Site Name]:[Long]],13,FALSE)</f>
        <v>97.898184999999998</v>
      </c>
      <c r="EF341" s="794" t="str">
        <f>VLOOKUP(WWWW[[#This Row],[Site Name]],SiteDB6[[Site Name]:[Pcode]],3,FALSE)</f>
        <v>MMR001CMP258</v>
      </c>
      <c r="EG341" s="799" t="str">
        <f t="shared" si="8"/>
        <v>Notcovered</v>
      </c>
      <c r="EH341" s="799" t="str">
        <f>VLOOKUP(WWWW[[#This Row],[Site Name]],Site_DB!$C$389:$D$1120,2,FALSE)</f>
        <v>cccm_2019OCT</v>
      </c>
    </row>
    <row r="342" spans="1:138" hidden="1">
      <c r="A342" s="792" t="s">
        <v>3262</v>
      </c>
      <c r="B342" s="792" t="s">
        <v>312</v>
      </c>
      <c r="C342" s="793" t="s">
        <v>312</v>
      </c>
      <c r="D342" s="793"/>
      <c r="E342" s="793" t="s">
        <v>711</v>
      </c>
      <c r="F342" s="793" t="s">
        <v>752</v>
      </c>
      <c r="G342" s="721" t="str">
        <f>VLOOKUP(WWWW[[#This Row],[Site Name]],SiteDB6[[Site Name]:[Location Type]],8,FALSE)</f>
        <v>Camp</v>
      </c>
      <c r="H342" s="793" t="s">
        <v>753</v>
      </c>
      <c r="I342" s="795">
        <v>37</v>
      </c>
      <c r="J342" s="795">
        <v>120</v>
      </c>
      <c r="K342" s="796"/>
      <c r="L342" s="797"/>
      <c r="M342" s="795"/>
      <c r="N342" s="795"/>
      <c r="O342" s="795"/>
      <c r="P342" s="795"/>
      <c r="Q342" s="798"/>
      <c r="R342" s="795"/>
      <c r="S342" s="795">
        <v>4</v>
      </c>
      <c r="T342" s="523"/>
      <c r="U342" s="795"/>
      <c r="V342" s="795"/>
      <c r="W342" s="795"/>
      <c r="X342" s="795"/>
      <c r="Y342" s="795"/>
      <c r="Z342" s="795"/>
      <c r="AA342" s="795"/>
      <c r="AB342" s="795"/>
      <c r="AC342" s="795"/>
      <c r="AD342" s="795"/>
      <c r="AE342" s="795"/>
      <c r="AF342" s="795"/>
      <c r="AG342" s="795"/>
      <c r="AH342" s="795"/>
      <c r="AI342" s="795"/>
      <c r="AJ342" s="795"/>
      <c r="AK342" s="795"/>
      <c r="AL342" s="795"/>
      <c r="AM342" s="795"/>
      <c r="AN342" s="795"/>
      <c r="AO342" s="799"/>
      <c r="AP342" s="795"/>
      <c r="AQ342" s="795"/>
      <c r="AR342" s="800"/>
      <c r="AS342" s="795"/>
      <c r="AT342" s="795"/>
      <c r="AU342" s="795"/>
      <c r="AV342" s="795"/>
      <c r="AW342" s="795"/>
      <c r="AX342" s="794"/>
      <c r="AY342" s="799"/>
      <c r="AZ342" s="795"/>
      <c r="BA342" s="795"/>
      <c r="BB342" s="795"/>
      <c r="BC342" s="523"/>
      <c r="BD342" s="523"/>
      <c r="BE342" s="794"/>
      <c r="BF342" s="795"/>
      <c r="BG342" s="795"/>
      <c r="BH342" s="795"/>
      <c r="BI342" s="795"/>
      <c r="BJ342" s="795"/>
      <c r="BK342" s="795"/>
      <c r="BL342" s="795"/>
      <c r="BM342" s="795"/>
      <c r="BN342" s="795"/>
      <c r="BO342" s="794"/>
      <c r="BP342" s="801"/>
      <c r="BQ342" s="800"/>
      <c r="BR342" s="794"/>
      <c r="BS342" s="472"/>
      <c r="BT342" s="472"/>
      <c r="BU342" s="720"/>
      <c r="BV342" s="472"/>
      <c r="BW342" s="523"/>
      <c r="BX342" s="523"/>
      <c r="BY342" s="523"/>
      <c r="BZ342" s="802" t="str">
        <f>IFERROR(WWWW[[#This Row],['#_Water sources passed]]/WWWW[[#This Row],['#_Water sources tested for fecal coliform ]],"no test")</f>
        <v>no test</v>
      </c>
      <c r="CA342" s="800" t="str">
        <f>IFERROR(WWWW[[#This Row],['#_Household passed]]/WWWW[[#This Row],['#_Household water samples tested for fecal coliform]],"no test")</f>
        <v>no test</v>
      </c>
      <c r="CB342" s="801" t="str">
        <f>IF(AND(WWWW[[#This Row],[% of water sources passed]]="no test",WWWW[[#This Row],[% Household passed]]="no test"),"No Test","Tested")</f>
        <v>No Test</v>
      </c>
      <c r="CC342" s="801">
        <f>WWWW[[#This Row],['#_Constructed/existing protected hand dug well]]-WWWW[[#This Row],['#_Non-functional protected hand dug well]]</f>
        <v>0</v>
      </c>
      <c r="CD342" s="801">
        <f>(WWWW[[#This Row],['#_Constructed/Existing tube wells/boreholes/handpumps_WASH_agency]]+WWWW[[#This Row],['#_Non-Cluster partner water tube-wells/boreholes/handpumps]])-WWWW[[#This Row],['#_Non-functional tube wells/boreholes/handpumps]]</f>
        <v>0</v>
      </c>
      <c r="CE342" s="801">
        <f>WWWW[[#This Row],['#_Constructed/Existingwater storage tank with gravity fed reticulation system]]-WWWW[[#This Row],['#_Non-functional storage tank gravity fed reticulation system]]</f>
        <v>0</v>
      </c>
      <c r="CF342" s="801">
        <f>(WWWW[[#This Row],['#_Water_Liters_supplied_by_Water boating or water trucking]]/90)/15</f>
        <v>0</v>
      </c>
      <c r="CG342" s="801">
        <f>WWWW[[#This Row],['#_Water_Liters_from_Constructed/Existing water distribution system from river or natural spring]]/90/15</f>
        <v>0</v>
      </c>
      <c r="CH342" s="473">
        <f>WWWW[[#This Row],['#_of water points in TLS/CFS /THF]]*500</f>
        <v>0</v>
      </c>
      <c r="CI34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2" s="800">
        <f>IF(WWWW[[#This Row],[Location Type 1]]="Village",WWWW[[#This Row],[Access to safe drinking water for Village]],WWWW[[#This Row],[Access to safe drinking water for Camp]])</f>
        <v>0</v>
      </c>
      <c r="CL342" s="798">
        <f>WWWW[[#This Row],[%Equitable and continuous access to sufficient quantity of safe drinking water]]*WWWW[[#This Row],[Total PoP ]]</f>
        <v>0</v>
      </c>
      <c r="CM342" s="800">
        <f>IF((WWWW[[#This Row],['#_Constructed/Existing protected/fenced ponds]]*250)/WWWW[[#This Row],[Total PoP ]]&gt;1,1,(WWWW[[#This Row],['#_Constructed/Existing protected/fenced ponds]]*250)/WWWW[[#This Row],[Total PoP ]])</f>
        <v>0</v>
      </c>
      <c r="CN342" s="798">
        <f>WWWW[[#This Row],[% Access to unimproved water points]]*WWWW[[#This Row],[Total PoP ]]</f>
        <v>0</v>
      </c>
      <c r="CO34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2" s="798">
        <f>WWWW[[#This Row],[HRP1]]/500</f>
        <v>0</v>
      </c>
      <c r="CR342" s="803">
        <f>1-WWWW[[#This Row],[% Equitable and continuous access to sufficient quantity of domestic water]]</f>
        <v>1</v>
      </c>
      <c r="CS342" s="798">
        <f>WWWW[[#This Row],[%equitable and continuous access to sufficient quantity of safe drinking and domestic water''s GAP]]*WWWW[[#This Row],[Total PoP ]]</f>
        <v>120</v>
      </c>
      <c r="CT342" s="801">
        <f>IF(WWWW[[#This Row],[Total required water points]]-WWWW[[#This Row],['#Water points coverage]]&lt;0,0,WWWW[[#This Row],[Total required water points]]-WWWW[[#This Row],['#Water points coverage]])</f>
        <v>1</v>
      </c>
      <c r="CU342" s="801">
        <f>ROUND(IF(WWWW[[#This Row],[Total PoP ]]&lt;500,1,WWWW[[#This Row],[Total PoP ]]/500),0)</f>
        <v>1</v>
      </c>
      <c r="CV342" s="801">
        <f>(WWWW[[#This Row],['#_Constructed latrines_by_WASHAgencies]]+WWWW[[#This Row],['#_Non Cluster partner latrines]])-WWWW[[#This Row],['#_Non-functional latrines]]</f>
        <v>0</v>
      </c>
      <c r="CW342" s="804">
        <f>WWWW[[#This Row],[HRP2]]/WWWW[[#This Row],[Total PoP ]]</f>
        <v>0</v>
      </c>
      <c r="CX34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2" s="473">
        <f>IF(WWWW[[#This Row],['# of functional latrines in THF supported by WASH partners during the reporting period2]]="",0,WWWW[[#This Row],['# of functional latrines in THF supported by WASH partners during the reporting period2]]*50)</f>
        <v>0</v>
      </c>
      <c r="DB342" s="473">
        <f>WWWW[[#This Row],['# students access to functioning school latrines_HRP5]]+WWWW[[#This Row],['# People access to functioning latrines in THF_HRP5]]</f>
        <v>0</v>
      </c>
      <c r="DC342" s="801">
        <f>ROUND(IF(WWWW[[#This Row],[Location Type 1]]="camp",WWWW[[#This Row],[Total PoP ]]/20,IF(WWWW[[#This Row],[Location Type 1]]="Temporary Location",WWWW[[#This Row],[Total PoP ]]/50,(WWWW[[#This Row],[Total PoP ]]/6))),0)</f>
        <v>6</v>
      </c>
      <c r="DD342" s="801">
        <f>IF(WWWW[[#This Row],[Total required Latrines]]-(WWWW[[#This Row],['#_Constructed latrines_by_WASHAgencies]]+WWWW[[#This Row],['#_Non Cluster partner latrines]])&lt;0,0,WWWW[[#This Row],[Total required Latrines]]-(WWWW[[#This Row],['#_Constructed latrines_by_WASHAgencies]]+WWWW[[#This Row],['#_Non Cluster partner latrines]]))</f>
        <v>6</v>
      </c>
      <c r="DE342" s="803">
        <f>1-WWWW[[#This Row],[% people access to functioning Latrine]]</f>
        <v>1</v>
      </c>
      <c r="DF342" s="802">
        <f>IF(OR(WWWW[[#This Row],['#_Non-functional latrines]]="",WWWW[[#This Row],['#_Non-functional latrines]]=0),0,WWWW[[#This Row],['#_Non-functional latrines]]/(WWWW[[#This Row],['#_Constructed latrines_by_WASHAgencies]]+WWWW[[#This Row],['#_Non Cluster partner latrines]]))</f>
        <v>0</v>
      </c>
      <c r="DG342" s="798">
        <f>IF(500*(WWWW[[#This Row],['#_male hygiene promoters]]+WWWW[[#This Row],['#_female hygiene promoters]])&gt;WWWW[[#This Row],[Total PoP ]],WWWW[[#This Row],[Total PoP ]],500*(WWWW[[#This Row],['#_male hygiene promoters]]+WWWW[[#This Row],['#_female hygiene promoters]]))</f>
        <v>0</v>
      </c>
      <c r="DH34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2" s="801">
        <f>IF(WWWW[[#This Row],['# People with access to soap]]&gt;WWWW[[#This Row],['# People with access to Sanity Pads]],WWWW[[#This Row],['# People with access to soap]],WWWW[[#This Row],['# People with access to Sanity Pads]])</f>
        <v>0</v>
      </c>
      <c r="DK34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2" s="803">
        <f>IF(WWWW[[#This Row],[HRP3]]/WWWW[[#This Row],[Total PoP ]]&gt;1,1,WWWW[[#This Row],[HRP3]]/WWWW[[#This Row],[Total PoP ]])</f>
        <v>0</v>
      </c>
      <c r="DM342" s="802">
        <f>1-WWWW[[#This Row],[Hygiene Coverage%]]</f>
        <v>1</v>
      </c>
      <c r="DN342" s="800">
        <f>WWWW[[#This Row],['# people reached by regular dedicated hygiene promotion_5]]/WWWW[[#This Row],[Total PoP ]]</f>
        <v>0</v>
      </c>
      <c r="DO34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2" s="801">
        <f>WWWW[[#This Row],['#_Constructed/Existing hand washing stations]]-WWWW[[#This Row],['#_Non-Functional_hand_washing_stations]]</f>
        <v>0</v>
      </c>
      <c r="DR342" s="798">
        <f>IF(WWWW[[#This Row],['# Functional hand washing stations during reporting period]]*20&gt;WWWW[[#This Row],[Total HH]],WWWW[[#This Row],[Total HH]],WWWW[[#This Row],['# Functional hand washing stations during reporting period]]*20)</f>
        <v>0</v>
      </c>
      <c r="DS342" s="798">
        <f>IF(WWWW[[#This Row],[Is sufficient soap available for TLS? (Yes/No)]]="yes",WWWW[[#This Row],['#_Constructed/Existing hand washing stations at TLS]],0)</f>
        <v>0</v>
      </c>
      <c r="DT342" s="479">
        <f>IF(WWWW[[#This Row],['# Functional hand washing stations during reporting period]]*100&gt;WWWW[[#This Row],[Total PoP ]],WWWW[[#This Row],[Total PoP ]],WWWW[[#This Row],['# Functional hand washing stations during reporting period]]*100)</f>
        <v>0</v>
      </c>
      <c r="DU342" s="479" t="str">
        <f>IF(OR(WWWW[[#This Row],['#_students at TLS_CFS]]="",WWWW[[#This Row],['#_students at TLS_CFS]]=0),"No","Yes")</f>
        <v>No</v>
      </c>
      <c r="DV34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2" s="794">
        <f>VLOOKUP(WWWW[[#This Row],[Site Name]],SiteDB6[[Site Name]:[CCCM Management]],6,FALSE)</f>
        <v>0</v>
      </c>
      <c r="DZ342" s="794" t="str">
        <f>VLOOKUP(WWWW[[#This Row],[Site Name]],SiteDB6[[Site Name]:[CCCM Focal Agency]],7,FALSE)</f>
        <v>uncovered</v>
      </c>
      <c r="EA342" s="794" t="str">
        <f>VLOOKUP(WWWW[[#This Row],[Site Name]],SiteDB6[[Site Name]:[Location Type 1]],9,FALSE)</f>
        <v>Camp</v>
      </c>
      <c r="EB342" s="794" t="str">
        <f>VLOOKUP(WWWW[[#This Row],[Site Name]],SiteDB6[[Site Name]:[Type of Accommodation]],10,FALSE)</f>
        <v>Camp like setting</v>
      </c>
      <c r="EC342" s="794" t="str">
        <f>VLOOKUP(WWWW[[#This Row],[Site Name]],SiteDB6[[Site Name]:[Ethnic or GCA/NGCA]],11,FALSE)</f>
        <v>GCA</v>
      </c>
      <c r="ED342" s="794">
        <f>VLOOKUP(WWWW[[#This Row],[Site Name]],SiteDB6[[Site Name]:[Lat]],12,FALSE)</f>
        <v>22.677008000000001</v>
      </c>
      <c r="EE342" s="794">
        <f>VLOOKUP(WWWW[[#This Row],[Site Name]],SiteDB6[[Site Name]:[Long]],13,FALSE)</f>
        <v>97.314762999999999</v>
      </c>
      <c r="EF342" s="794" t="str">
        <f>VLOOKUP(WWWW[[#This Row],[Site Name]],SiteDB6[[Site Name]:[Pcode]],3,FALSE)</f>
        <v>MMR015CMP244</v>
      </c>
      <c r="EG342" s="799" t="str">
        <f t="shared" si="8"/>
        <v>Notcovered</v>
      </c>
      <c r="EH342" s="799" t="str">
        <f>VLOOKUP(WWWW[[#This Row],[Site Name]],Site_DB!$C$389:$D$1120,2,FALSE)</f>
        <v>cccm_2019OCT</v>
      </c>
    </row>
    <row r="343" spans="1:138" hidden="1">
      <c r="A343" s="792" t="s">
        <v>3262</v>
      </c>
      <c r="B343" s="792" t="s">
        <v>312</v>
      </c>
      <c r="C343" s="793" t="s">
        <v>312</v>
      </c>
      <c r="D343" s="793"/>
      <c r="E343" s="793" t="s">
        <v>39</v>
      </c>
      <c r="F343" s="793" t="s">
        <v>40</v>
      </c>
      <c r="G343" s="721" t="str">
        <f>VLOOKUP(WWWW[[#This Row],[Site Name]],SiteDB6[[Site Name]:[Location Type]],8,FALSE)</f>
        <v>Camp</v>
      </c>
      <c r="H343" s="793" t="s">
        <v>1004</v>
      </c>
      <c r="I343" s="795">
        <v>80</v>
      </c>
      <c r="J343" s="795">
        <v>290</v>
      </c>
      <c r="K343" s="796"/>
      <c r="L343" s="797"/>
      <c r="M343" s="795"/>
      <c r="N343" s="795"/>
      <c r="O343" s="795"/>
      <c r="P343" s="795"/>
      <c r="Q343" s="798"/>
      <c r="R343" s="795"/>
      <c r="S343" s="795">
        <v>4</v>
      </c>
      <c r="T343" s="523"/>
      <c r="U343" s="795"/>
      <c r="V343" s="795"/>
      <c r="W343" s="795"/>
      <c r="X343" s="795"/>
      <c r="Y343" s="795"/>
      <c r="Z343" s="795"/>
      <c r="AA343" s="795"/>
      <c r="AB343" s="795"/>
      <c r="AC343" s="795"/>
      <c r="AD343" s="795"/>
      <c r="AE343" s="795"/>
      <c r="AF343" s="795"/>
      <c r="AG343" s="795"/>
      <c r="AH343" s="795"/>
      <c r="AI343" s="795"/>
      <c r="AJ343" s="795"/>
      <c r="AK343" s="795"/>
      <c r="AL343" s="795"/>
      <c r="AM343" s="795"/>
      <c r="AN343" s="795"/>
      <c r="AO343" s="799"/>
      <c r="AP343" s="795"/>
      <c r="AQ343" s="795"/>
      <c r="AR343" s="800"/>
      <c r="AS343" s="795"/>
      <c r="AT343" s="795"/>
      <c r="AU343" s="795"/>
      <c r="AV343" s="795"/>
      <c r="AW343" s="795"/>
      <c r="AX343" s="794"/>
      <c r="AY343" s="799"/>
      <c r="AZ343" s="795"/>
      <c r="BA343" s="795"/>
      <c r="BB343" s="795"/>
      <c r="BC343" s="523"/>
      <c r="BD343" s="523"/>
      <c r="BE343" s="794"/>
      <c r="BF343" s="795"/>
      <c r="BG343" s="795"/>
      <c r="BH343" s="795"/>
      <c r="BI343" s="795"/>
      <c r="BJ343" s="795"/>
      <c r="BK343" s="795"/>
      <c r="BL343" s="795"/>
      <c r="BM343" s="795"/>
      <c r="BN343" s="795"/>
      <c r="BO343" s="794"/>
      <c r="BP343" s="801"/>
      <c r="BQ343" s="800"/>
      <c r="BR343" s="794"/>
      <c r="BS343" s="472"/>
      <c r="BT343" s="472"/>
      <c r="BU343" s="720"/>
      <c r="BV343" s="472"/>
      <c r="BW343" s="523"/>
      <c r="BX343" s="523"/>
      <c r="BY343" s="523"/>
      <c r="BZ343" s="802" t="str">
        <f>IFERROR(WWWW[[#This Row],['#_Water sources passed]]/WWWW[[#This Row],['#_Water sources tested for fecal coliform ]],"no test")</f>
        <v>no test</v>
      </c>
      <c r="CA343" s="800" t="str">
        <f>IFERROR(WWWW[[#This Row],['#_Household passed]]/WWWW[[#This Row],['#_Household water samples tested for fecal coliform]],"no test")</f>
        <v>no test</v>
      </c>
      <c r="CB343" s="801" t="str">
        <f>IF(AND(WWWW[[#This Row],[% of water sources passed]]="no test",WWWW[[#This Row],[% Household passed]]="no test"),"No Test","Tested")</f>
        <v>No Test</v>
      </c>
      <c r="CC343" s="801">
        <f>WWWW[[#This Row],['#_Constructed/existing protected hand dug well]]-WWWW[[#This Row],['#_Non-functional protected hand dug well]]</f>
        <v>0</v>
      </c>
      <c r="CD343" s="801">
        <f>(WWWW[[#This Row],['#_Constructed/Existing tube wells/boreholes/handpumps_WASH_agency]]+WWWW[[#This Row],['#_Non-Cluster partner water tube-wells/boreholes/handpumps]])-WWWW[[#This Row],['#_Non-functional tube wells/boreholes/handpumps]]</f>
        <v>0</v>
      </c>
      <c r="CE343" s="801">
        <f>WWWW[[#This Row],['#_Constructed/Existingwater storage tank with gravity fed reticulation system]]-WWWW[[#This Row],['#_Non-functional storage tank gravity fed reticulation system]]</f>
        <v>0</v>
      </c>
      <c r="CF343" s="801">
        <f>(WWWW[[#This Row],['#_Water_Liters_supplied_by_Water boating or water trucking]]/90)/15</f>
        <v>0</v>
      </c>
      <c r="CG343" s="801">
        <f>WWWW[[#This Row],['#_Water_Liters_from_Constructed/Existing water distribution system from river or natural spring]]/90/15</f>
        <v>0</v>
      </c>
      <c r="CH343" s="473">
        <f>WWWW[[#This Row],['#_of water points in TLS/CFS /THF]]*500</f>
        <v>0</v>
      </c>
      <c r="CI34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3" s="800">
        <f>IF(WWWW[[#This Row],[Location Type 1]]="Village",WWWW[[#This Row],[Access to safe drinking water for Village]],WWWW[[#This Row],[Access to safe drinking water for Camp]])</f>
        <v>0</v>
      </c>
      <c r="CL343" s="798">
        <f>WWWW[[#This Row],[%Equitable and continuous access to sufficient quantity of safe drinking water]]*WWWW[[#This Row],[Total PoP ]]</f>
        <v>0</v>
      </c>
      <c r="CM343" s="800">
        <f>IF((WWWW[[#This Row],['#_Constructed/Existing protected/fenced ponds]]*250)/WWWW[[#This Row],[Total PoP ]]&gt;1,1,(WWWW[[#This Row],['#_Constructed/Existing protected/fenced ponds]]*250)/WWWW[[#This Row],[Total PoP ]])</f>
        <v>0</v>
      </c>
      <c r="CN343" s="798">
        <f>WWWW[[#This Row],[% Access to unimproved water points]]*WWWW[[#This Row],[Total PoP ]]</f>
        <v>0</v>
      </c>
      <c r="CO34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3" s="798">
        <f>WWWW[[#This Row],[HRP1]]/500</f>
        <v>0</v>
      </c>
      <c r="CR343" s="803">
        <f>1-WWWW[[#This Row],[% Equitable and continuous access to sufficient quantity of domestic water]]</f>
        <v>1</v>
      </c>
      <c r="CS343" s="798">
        <f>WWWW[[#This Row],[%equitable and continuous access to sufficient quantity of safe drinking and domestic water''s GAP]]*WWWW[[#This Row],[Total PoP ]]</f>
        <v>290</v>
      </c>
      <c r="CT343" s="801">
        <f>IF(WWWW[[#This Row],[Total required water points]]-WWWW[[#This Row],['#Water points coverage]]&lt;0,0,WWWW[[#This Row],[Total required water points]]-WWWW[[#This Row],['#Water points coverage]])</f>
        <v>1</v>
      </c>
      <c r="CU343" s="801">
        <f>ROUND(IF(WWWW[[#This Row],[Total PoP ]]&lt;500,1,WWWW[[#This Row],[Total PoP ]]/500),0)</f>
        <v>1</v>
      </c>
      <c r="CV343" s="801">
        <f>(WWWW[[#This Row],['#_Constructed latrines_by_WASHAgencies]]+WWWW[[#This Row],['#_Non Cluster partner latrines]])-WWWW[[#This Row],['#_Non-functional latrines]]</f>
        <v>0</v>
      </c>
      <c r="CW343" s="804">
        <f>WWWW[[#This Row],[HRP2]]/WWWW[[#This Row],[Total PoP ]]</f>
        <v>0</v>
      </c>
      <c r="CX34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3" s="473">
        <f>IF(WWWW[[#This Row],['# of functional latrines in THF supported by WASH partners during the reporting period2]]="",0,WWWW[[#This Row],['# of functional latrines in THF supported by WASH partners during the reporting period2]]*50)</f>
        <v>0</v>
      </c>
      <c r="DB343" s="473">
        <f>WWWW[[#This Row],['# students access to functioning school latrines_HRP5]]+WWWW[[#This Row],['# People access to functioning latrines in THF_HRP5]]</f>
        <v>0</v>
      </c>
      <c r="DC343" s="801">
        <f>ROUND(IF(WWWW[[#This Row],[Location Type 1]]="camp",WWWW[[#This Row],[Total PoP ]]/20,IF(WWWW[[#This Row],[Location Type 1]]="Temporary Location",WWWW[[#This Row],[Total PoP ]]/50,(WWWW[[#This Row],[Total PoP ]]/6))),0)</f>
        <v>15</v>
      </c>
      <c r="DD343" s="801">
        <f>IF(WWWW[[#This Row],[Total required Latrines]]-(WWWW[[#This Row],['#_Constructed latrines_by_WASHAgencies]]+WWWW[[#This Row],['#_Non Cluster partner latrines]])&lt;0,0,WWWW[[#This Row],[Total required Latrines]]-(WWWW[[#This Row],['#_Constructed latrines_by_WASHAgencies]]+WWWW[[#This Row],['#_Non Cluster partner latrines]]))</f>
        <v>15</v>
      </c>
      <c r="DE343" s="803">
        <f>1-WWWW[[#This Row],[% people access to functioning Latrine]]</f>
        <v>1</v>
      </c>
      <c r="DF343" s="802">
        <f>IF(OR(WWWW[[#This Row],['#_Non-functional latrines]]="",WWWW[[#This Row],['#_Non-functional latrines]]=0),0,WWWW[[#This Row],['#_Non-functional latrines]]/(WWWW[[#This Row],['#_Constructed latrines_by_WASHAgencies]]+WWWW[[#This Row],['#_Non Cluster partner latrines]]))</f>
        <v>0</v>
      </c>
      <c r="DG343" s="798">
        <f>IF(500*(WWWW[[#This Row],['#_male hygiene promoters]]+WWWW[[#This Row],['#_female hygiene promoters]])&gt;WWWW[[#This Row],[Total PoP ]],WWWW[[#This Row],[Total PoP ]],500*(WWWW[[#This Row],['#_male hygiene promoters]]+WWWW[[#This Row],['#_female hygiene promoters]]))</f>
        <v>0</v>
      </c>
      <c r="DH34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3" s="801">
        <f>IF(WWWW[[#This Row],['# People with access to soap]]&gt;WWWW[[#This Row],['# People with access to Sanity Pads]],WWWW[[#This Row],['# People with access to soap]],WWWW[[#This Row],['# People with access to Sanity Pads]])</f>
        <v>0</v>
      </c>
      <c r="DK34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3" s="803">
        <f>IF(WWWW[[#This Row],[HRP3]]/WWWW[[#This Row],[Total PoP ]]&gt;1,1,WWWW[[#This Row],[HRP3]]/WWWW[[#This Row],[Total PoP ]])</f>
        <v>0</v>
      </c>
      <c r="DM343" s="802">
        <f>1-WWWW[[#This Row],[Hygiene Coverage%]]</f>
        <v>1</v>
      </c>
      <c r="DN343" s="800">
        <f>WWWW[[#This Row],['# people reached by regular dedicated hygiene promotion_5]]/WWWW[[#This Row],[Total PoP ]]</f>
        <v>0</v>
      </c>
      <c r="DO34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3" s="801">
        <f>WWWW[[#This Row],['#_Constructed/Existing hand washing stations]]-WWWW[[#This Row],['#_Non-Functional_hand_washing_stations]]</f>
        <v>0</v>
      </c>
      <c r="DR343" s="798">
        <f>IF(WWWW[[#This Row],['# Functional hand washing stations during reporting period]]*20&gt;WWWW[[#This Row],[Total HH]],WWWW[[#This Row],[Total HH]],WWWW[[#This Row],['# Functional hand washing stations during reporting period]]*20)</f>
        <v>0</v>
      </c>
      <c r="DS343" s="798">
        <f>IF(WWWW[[#This Row],[Is sufficient soap available for TLS? (Yes/No)]]="yes",WWWW[[#This Row],['#_Constructed/Existing hand washing stations at TLS]],0)</f>
        <v>0</v>
      </c>
      <c r="DT343" s="479">
        <f>IF(WWWW[[#This Row],['# Functional hand washing stations during reporting period]]*100&gt;WWWW[[#This Row],[Total PoP ]],WWWW[[#This Row],[Total PoP ]],WWWW[[#This Row],['# Functional hand washing stations during reporting period]]*100)</f>
        <v>0</v>
      </c>
      <c r="DU343" s="479" t="str">
        <f>IF(OR(WWWW[[#This Row],['#_students at TLS_CFS]]="",WWWW[[#This Row],['#_students at TLS_CFS]]=0),"No","Yes")</f>
        <v>No</v>
      </c>
      <c r="DV34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3" s="794">
        <f>VLOOKUP(WWWW[[#This Row],[Site Name]],SiteDB6[[Site Name]:[CCCM Management]],6,FALSE)</f>
        <v>0</v>
      </c>
      <c r="DZ343" s="794" t="str">
        <f>VLOOKUP(WWWW[[#This Row],[Site Name]],SiteDB6[[Site Name]:[CCCM Focal Agency]],7,FALSE)</f>
        <v>uncovered</v>
      </c>
      <c r="EA343" s="794" t="str">
        <f>VLOOKUP(WWWW[[#This Row],[Site Name]],SiteDB6[[Site Name]:[Location Type 1]],9,FALSE)</f>
        <v>Camp</v>
      </c>
      <c r="EB343" s="794" t="str">
        <f>VLOOKUP(WWWW[[#This Row],[Site Name]],SiteDB6[[Site Name]:[Type of Accommodation]],10,FALSE)</f>
        <v>Host Families</v>
      </c>
      <c r="EC343" s="794" t="str">
        <f>VLOOKUP(WWWW[[#This Row],[Site Name]],SiteDB6[[Site Name]:[Ethnic or GCA/NGCA]],11,FALSE)</f>
        <v>GCA</v>
      </c>
      <c r="ED343" s="794">
        <f>VLOOKUP(WWWW[[#This Row],[Site Name]],SiteDB6[[Site Name]:[Lat]],12,FALSE)</f>
        <v>24.118618999999999</v>
      </c>
      <c r="EE343" s="794">
        <f>VLOOKUP(WWWW[[#This Row],[Site Name]],SiteDB6[[Site Name]:[Long]],13,FALSE)</f>
        <v>97.298055000000005</v>
      </c>
      <c r="EF343" s="794" t="str">
        <f>VLOOKUP(WWWW[[#This Row],[Site Name]],SiteDB6[[Site Name]:[Pcode]],3,FALSE)</f>
        <v>MMR001CMP196</v>
      </c>
      <c r="EG343" s="799" t="str">
        <f t="shared" si="8"/>
        <v>Notcovered</v>
      </c>
      <c r="EH343" s="799" t="str">
        <f>VLOOKUP(WWWW[[#This Row],[Site Name]],Site_DB!$C$389:$D$1120,2,FALSE)</f>
        <v>cccm_2019OCT</v>
      </c>
    </row>
    <row r="344" spans="1:138" hidden="1">
      <c r="A344" s="792" t="s">
        <v>3262</v>
      </c>
      <c r="B344" s="792" t="s">
        <v>245</v>
      </c>
      <c r="C344" s="793" t="s">
        <v>245</v>
      </c>
      <c r="D344" s="793" t="s">
        <v>310</v>
      </c>
      <c r="E344" s="793" t="s">
        <v>39</v>
      </c>
      <c r="F344" s="793" t="s">
        <v>151</v>
      </c>
      <c r="G344" s="721" t="str">
        <f>VLOOKUP(WWWW[[#This Row],[Site Name]],SiteDB6[[Site Name]:[Location Type]],8,FALSE)</f>
        <v>Camp</v>
      </c>
      <c r="H344" s="404" t="s">
        <v>256</v>
      </c>
      <c r="I344" s="795">
        <v>2</v>
      </c>
      <c r="J344" s="795">
        <v>14</v>
      </c>
      <c r="K344" s="796">
        <v>43313</v>
      </c>
      <c r="L344" s="797">
        <v>44043</v>
      </c>
      <c r="M344" s="795"/>
      <c r="N344" s="795">
        <v>0</v>
      </c>
      <c r="O344" s="795"/>
      <c r="P344" s="795"/>
      <c r="Q344" s="798"/>
      <c r="R344" s="795"/>
      <c r="S344" s="795"/>
      <c r="T344" s="523"/>
      <c r="U344" s="795"/>
      <c r="V344" s="795"/>
      <c r="W344" s="795">
        <v>0</v>
      </c>
      <c r="X344" s="795"/>
      <c r="Y344" s="795"/>
      <c r="Z344" s="795"/>
      <c r="AA344" s="795"/>
      <c r="AB344" s="795"/>
      <c r="AC344" s="795"/>
      <c r="AD344" s="795"/>
      <c r="AE344" s="795"/>
      <c r="AF344" s="795"/>
      <c r="AG344" s="795"/>
      <c r="AH344" s="795"/>
      <c r="AI344" s="795"/>
      <c r="AJ344" s="795"/>
      <c r="AK344" s="795"/>
      <c r="AL344" s="795"/>
      <c r="AM344" s="795"/>
      <c r="AN344" s="795"/>
      <c r="AO344" s="799"/>
      <c r="AP344" s="795">
        <v>0</v>
      </c>
      <c r="AQ344" s="795"/>
      <c r="AR344" s="800"/>
      <c r="AS344" s="795"/>
      <c r="AT344" s="795"/>
      <c r="AU344" s="795"/>
      <c r="AV344" s="795"/>
      <c r="AW344" s="795">
        <v>0</v>
      </c>
      <c r="AX344" s="794" t="s">
        <v>143</v>
      </c>
      <c r="AY344" s="799" t="s">
        <v>143</v>
      </c>
      <c r="AZ344" s="795"/>
      <c r="BA344" s="795"/>
      <c r="BB344" s="795"/>
      <c r="BC344" s="523"/>
      <c r="BD344" s="523"/>
      <c r="BE344" s="794"/>
      <c r="BF344" s="795"/>
      <c r="BG344" s="795"/>
      <c r="BH344" s="795">
        <v>0</v>
      </c>
      <c r="BI344" s="795"/>
      <c r="BJ344" s="795"/>
      <c r="BK344" s="795"/>
      <c r="BL344" s="795"/>
      <c r="BM344" s="795"/>
      <c r="BN344" s="795"/>
      <c r="BO344" s="794"/>
      <c r="BP344" s="801"/>
      <c r="BQ344" s="800"/>
      <c r="BR344" s="794"/>
      <c r="BS344" s="472"/>
      <c r="BT344" s="472"/>
      <c r="BU344" s="720"/>
      <c r="BV344" s="472"/>
      <c r="BW344" s="523"/>
      <c r="BX344" s="523"/>
      <c r="BY344" s="523"/>
      <c r="BZ344" s="802" t="str">
        <f>IFERROR(WWWW[[#This Row],['#_Water sources passed]]/WWWW[[#This Row],['#_Water sources tested for fecal coliform ]],"no test")</f>
        <v>no test</v>
      </c>
      <c r="CA344" s="800" t="str">
        <f>IFERROR(WWWW[[#This Row],['#_Household passed]]/WWWW[[#This Row],['#_Household water samples tested for fecal coliform]],"no test")</f>
        <v>no test</v>
      </c>
      <c r="CB344" s="801" t="str">
        <f>IF(AND(WWWW[[#This Row],[% of water sources passed]]="no test",WWWW[[#This Row],[% Household passed]]="no test"),"No Test","Tested")</f>
        <v>No Test</v>
      </c>
      <c r="CC344" s="801">
        <f>WWWW[[#This Row],['#_Constructed/existing protected hand dug well]]-WWWW[[#This Row],['#_Non-functional protected hand dug well]]</f>
        <v>0</v>
      </c>
      <c r="CD344" s="801">
        <f>(WWWW[[#This Row],['#_Constructed/Existing tube wells/boreholes/handpumps_WASH_agency]]+WWWW[[#This Row],['#_Non-Cluster partner water tube-wells/boreholes/handpumps]])-WWWW[[#This Row],['#_Non-functional tube wells/boreholes/handpumps]]</f>
        <v>0</v>
      </c>
      <c r="CE344" s="801">
        <f>WWWW[[#This Row],['#_Constructed/Existingwater storage tank with gravity fed reticulation system]]-WWWW[[#This Row],['#_Non-functional storage tank gravity fed reticulation system]]</f>
        <v>0</v>
      </c>
      <c r="CF344" s="801">
        <f>(WWWW[[#This Row],['#_Water_Liters_supplied_by_Water boating or water trucking]]/90)/15</f>
        <v>0</v>
      </c>
      <c r="CG344" s="801">
        <f>WWWW[[#This Row],['#_Water_Liters_from_Constructed/Existing water distribution system from river or natural spring]]/90/15</f>
        <v>0</v>
      </c>
      <c r="CH344" s="473">
        <f>WWWW[[#This Row],['#_of water points in TLS/CFS /THF]]*500</f>
        <v>0</v>
      </c>
      <c r="CI34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4" s="800">
        <f>IF(WWWW[[#This Row],[Location Type 1]]="Village",WWWW[[#This Row],[Access to safe drinking water for Village]],WWWW[[#This Row],[Access to safe drinking water for Camp]])</f>
        <v>0</v>
      </c>
      <c r="CL344" s="798">
        <f>WWWW[[#This Row],[%Equitable and continuous access to sufficient quantity of safe drinking water]]*WWWW[[#This Row],[Total PoP ]]</f>
        <v>0</v>
      </c>
      <c r="CM344" s="800">
        <f>IF((WWWW[[#This Row],['#_Constructed/Existing protected/fenced ponds]]*250)/WWWW[[#This Row],[Total PoP ]]&gt;1,1,(WWWW[[#This Row],['#_Constructed/Existing protected/fenced ponds]]*250)/WWWW[[#This Row],[Total PoP ]])</f>
        <v>0</v>
      </c>
      <c r="CN344" s="798">
        <f>WWWW[[#This Row],[% Access to unimproved water points]]*WWWW[[#This Row],[Total PoP ]]</f>
        <v>0</v>
      </c>
      <c r="CO34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4" s="798">
        <f>WWWW[[#This Row],[HRP1]]/500</f>
        <v>0</v>
      </c>
      <c r="CR344" s="803">
        <f>1-WWWW[[#This Row],[% Equitable and continuous access to sufficient quantity of domestic water]]</f>
        <v>1</v>
      </c>
      <c r="CS344" s="798">
        <f>WWWW[[#This Row],[%equitable and continuous access to sufficient quantity of safe drinking and domestic water''s GAP]]*WWWW[[#This Row],[Total PoP ]]</f>
        <v>14</v>
      </c>
      <c r="CT344" s="801">
        <f>IF(WWWW[[#This Row],[Total required water points]]-WWWW[[#This Row],['#Water points coverage]]&lt;0,0,WWWW[[#This Row],[Total required water points]]-WWWW[[#This Row],['#Water points coverage]])</f>
        <v>1</v>
      </c>
      <c r="CU344" s="801">
        <f>ROUND(IF(WWWW[[#This Row],[Total PoP ]]&lt;500,1,WWWW[[#This Row],[Total PoP ]]/500),0)</f>
        <v>1</v>
      </c>
      <c r="CV344" s="801">
        <f>(WWWW[[#This Row],['#_Constructed latrines_by_WASHAgencies]]+WWWW[[#This Row],['#_Non Cluster partner latrines]])-WWWW[[#This Row],['#_Non-functional latrines]]</f>
        <v>0</v>
      </c>
      <c r="CW344" s="804">
        <f>WWWW[[#This Row],[HRP2]]/WWWW[[#This Row],[Total PoP ]]</f>
        <v>0</v>
      </c>
      <c r="CX34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4" s="473">
        <f>IF(WWWW[[#This Row],['# of functional latrines in THF supported by WASH partners during the reporting period2]]="",0,WWWW[[#This Row],['# of functional latrines in THF supported by WASH partners during the reporting period2]]*50)</f>
        <v>0</v>
      </c>
      <c r="DB344" s="473">
        <f>WWWW[[#This Row],['# students access to functioning school latrines_HRP5]]+WWWW[[#This Row],['# People access to functioning latrines in THF_HRP5]]</f>
        <v>0</v>
      </c>
      <c r="DC344" s="801">
        <f>ROUND(IF(WWWW[[#This Row],[Location Type 1]]="camp",WWWW[[#This Row],[Total PoP ]]/20,IF(WWWW[[#This Row],[Location Type 1]]="Temporary Location",WWWW[[#This Row],[Total PoP ]]/50,(WWWW[[#This Row],[Total PoP ]]/6))),0)</f>
        <v>1</v>
      </c>
      <c r="DD344" s="801">
        <f>IF(WWWW[[#This Row],[Total required Latrines]]-(WWWW[[#This Row],['#_Constructed latrines_by_WASHAgencies]]+WWWW[[#This Row],['#_Non Cluster partner latrines]])&lt;0,0,WWWW[[#This Row],[Total required Latrines]]-(WWWW[[#This Row],['#_Constructed latrines_by_WASHAgencies]]+WWWW[[#This Row],['#_Non Cluster partner latrines]]))</f>
        <v>1</v>
      </c>
      <c r="DE344" s="803">
        <f>1-WWWW[[#This Row],[% people access to functioning Latrine]]</f>
        <v>1</v>
      </c>
      <c r="DF344" s="802">
        <f>IF(OR(WWWW[[#This Row],['#_Non-functional latrines]]="",WWWW[[#This Row],['#_Non-functional latrines]]=0),0,WWWW[[#This Row],['#_Non-functional latrines]]/(WWWW[[#This Row],['#_Constructed latrines_by_WASHAgencies]]+WWWW[[#This Row],['#_Non Cluster partner latrines]]))</f>
        <v>0</v>
      </c>
      <c r="DG344" s="798">
        <f>IF(500*(WWWW[[#This Row],['#_male hygiene promoters]]+WWWW[[#This Row],['#_female hygiene promoters]])&gt;WWWW[[#This Row],[Total PoP ]],WWWW[[#This Row],[Total PoP ]],500*(WWWW[[#This Row],['#_male hygiene promoters]]+WWWW[[#This Row],['#_female hygiene promoters]]))</f>
        <v>0</v>
      </c>
      <c r="DH34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4" s="801">
        <f>IF(WWWW[[#This Row],['# People with access to soap]]&gt;WWWW[[#This Row],['# People with access to Sanity Pads]],WWWW[[#This Row],['# People with access to soap]],WWWW[[#This Row],['# People with access to Sanity Pads]])</f>
        <v>0</v>
      </c>
      <c r="DK34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4" s="803">
        <f>IF(WWWW[[#This Row],[HRP3]]/WWWW[[#This Row],[Total PoP ]]&gt;1,1,WWWW[[#This Row],[HRP3]]/WWWW[[#This Row],[Total PoP ]])</f>
        <v>0</v>
      </c>
      <c r="DM344" s="802">
        <f>1-WWWW[[#This Row],[Hygiene Coverage%]]</f>
        <v>1</v>
      </c>
      <c r="DN344" s="800">
        <f>WWWW[[#This Row],['# people reached by regular dedicated hygiene promotion_5]]/WWWW[[#This Row],[Total PoP ]]</f>
        <v>0</v>
      </c>
      <c r="DO34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4" s="801">
        <f>WWWW[[#This Row],['#_Constructed/Existing hand washing stations]]-WWWW[[#This Row],['#_Non-Functional_hand_washing_stations]]</f>
        <v>0</v>
      </c>
      <c r="DR344" s="798">
        <f>IF(WWWW[[#This Row],['# Functional hand washing stations during reporting period]]*20&gt;WWWW[[#This Row],[Total HH]],WWWW[[#This Row],[Total HH]],WWWW[[#This Row],['# Functional hand washing stations during reporting period]]*20)</f>
        <v>0</v>
      </c>
      <c r="DS344" s="798">
        <f>IF(WWWW[[#This Row],[Is sufficient soap available for TLS? (Yes/No)]]="yes",WWWW[[#This Row],['#_Constructed/Existing hand washing stations at TLS]],0)</f>
        <v>0</v>
      </c>
      <c r="DT344" s="479">
        <f>IF(WWWW[[#This Row],['# Functional hand washing stations during reporting period]]*100&gt;WWWW[[#This Row],[Total PoP ]],WWWW[[#This Row],[Total PoP ]],WWWW[[#This Row],['# Functional hand washing stations during reporting period]]*100)</f>
        <v>0</v>
      </c>
      <c r="DU344" s="479" t="str">
        <f>IF(OR(WWWW[[#This Row],['#_students at TLS_CFS]]="",WWWW[[#This Row],['#_students at TLS_CFS]]=0),"No","Yes")</f>
        <v>No</v>
      </c>
      <c r="DV34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4" s="794" t="str">
        <f>VLOOKUP(WWWW[[#This Row],[Site Name]],SiteDB6[[Site Name]:[CCCM Management]],6,FALSE)</f>
        <v>Yes</v>
      </c>
      <c r="DZ344" s="794" t="str">
        <f>VLOOKUP(WWWW[[#This Row],[Site Name]],SiteDB6[[Site Name]:[CCCM Focal Agency]],7,FALSE)</f>
        <v>Shalom</v>
      </c>
      <c r="EA344" s="794" t="str">
        <f>VLOOKUP(WWWW[[#This Row],[Site Name]],SiteDB6[[Site Name]:[Location Type 1]],9,FALSE)</f>
        <v>Camp</v>
      </c>
      <c r="EB344" s="794" t="str">
        <f>VLOOKUP(WWWW[[#This Row],[Site Name]],SiteDB6[[Site Name]:[Type of Accommodation]],10,FALSE)</f>
        <v>Camp like setting</v>
      </c>
      <c r="EC344" s="794" t="str">
        <f>VLOOKUP(WWWW[[#This Row],[Site Name]],SiteDB6[[Site Name]:[Ethnic or GCA/NGCA]],11,FALSE)</f>
        <v>GCA</v>
      </c>
      <c r="ED344" s="794">
        <f>VLOOKUP(WWWW[[#This Row],[Site Name]],SiteDB6[[Site Name]:[Lat]],12,FALSE)</f>
        <v>25.615960999999999</v>
      </c>
      <c r="EE344" s="794">
        <f>VLOOKUP(WWWW[[#This Row],[Site Name]],SiteDB6[[Site Name]:[Long]],13,FALSE)</f>
        <v>96.316564</v>
      </c>
      <c r="EF344" s="794" t="str">
        <f>VLOOKUP(WWWW[[#This Row],[Site Name]],SiteDB6[[Site Name]:[Pcode]],3,FALSE)</f>
        <v>MMR001CMP191</v>
      </c>
      <c r="EG344" s="799" t="str">
        <f t="shared" si="8"/>
        <v>Covered</v>
      </c>
      <c r="EH344" s="799" t="str">
        <f>VLOOKUP(WWWW[[#This Row],[Site Name]],Site_DB!$C$389:$D$1120,2,FALSE)</f>
        <v>cccm_2019OCT</v>
      </c>
    </row>
    <row r="345" spans="1:138" hidden="1">
      <c r="A345" s="792" t="s">
        <v>3262</v>
      </c>
      <c r="B345" s="792" t="s">
        <v>312</v>
      </c>
      <c r="C345" s="793" t="s">
        <v>312</v>
      </c>
      <c r="D345" s="793"/>
      <c r="E345" s="793" t="s">
        <v>39</v>
      </c>
      <c r="F345" s="793" t="s">
        <v>160</v>
      </c>
      <c r="G345" s="721" t="str">
        <f>VLOOKUP(WWWW[[#This Row],[Site Name]],SiteDB6[[Site Name]:[Location Type]],8,FALSE)</f>
        <v>Camp</v>
      </c>
      <c r="H345" s="793" t="s">
        <v>1039</v>
      </c>
      <c r="I345" s="795">
        <v>14</v>
      </c>
      <c r="J345" s="795">
        <v>63</v>
      </c>
      <c r="K345" s="796"/>
      <c r="L345" s="797"/>
      <c r="M345" s="795"/>
      <c r="N345" s="795"/>
      <c r="O345" s="795"/>
      <c r="P345" s="795"/>
      <c r="Q345" s="798"/>
      <c r="R345" s="795"/>
      <c r="S345" s="795">
        <v>4</v>
      </c>
      <c r="T345" s="523"/>
      <c r="U345" s="795"/>
      <c r="V345" s="795"/>
      <c r="W345" s="795"/>
      <c r="X345" s="795"/>
      <c r="Y345" s="795"/>
      <c r="Z345" s="795"/>
      <c r="AA345" s="795"/>
      <c r="AB345" s="795"/>
      <c r="AC345" s="795"/>
      <c r="AD345" s="795"/>
      <c r="AE345" s="795"/>
      <c r="AF345" s="795"/>
      <c r="AG345" s="795"/>
      <c r="AH345" s="795"/>
      <c r="AI345" s="795"/>
      <c r="AJ345" s="795"/>
      <c r="AK345" s="795"/>
      <c r="AL345" s="795"/>
      <c r="AM345" s="795"/>
      <c r="AN345" s="795"/>
      <c r="AO345" s="799"/>
      <c r="AP345" s="795"/>
      <c r="AQ345" s="795"/>
      <c r="AR345" s="800"/>
      <c r="AS345" s="795"/>
      <c r="AT345" s="795"/>
      <c r="AU345" s="795"/>
      <c r="AV345" s="795"/>
      <c r="AW345" s="795"/>
      <c r="AX345" s="794"/>
      <c r="AY345" s="799"/>
      <c r="AZ345" s="795"/>
      <c r="BA345" s="795"/>
      <c r="BB345" s="795"/>
      <c r="BC345" s="523"/>
      <c r="BD345" s="523"/>
      <c r="BE345" s="794"/>
      <c r="BF345" s="795"/>
      <c r="BG345" s="795"/>
      <c r="BH345" s="795"/>
      <c r="BI345" s="795"/>
      <c r="BJ345" s="795"/>
      <c r="BK345" s="795"/>
      <c r="BL345" s="795"/>
      <c r="BM345" s="795"/>
      <c r="BN345" s="795"/>
      <c r="BO345" s="794"/>
      <c r="BP345" s="801"/>
      <c r="BQ345" s="800"/>
      <c r="BR345" s="794"/>
      <c r="BS345" s="472"/>
      <c r="BT345" s="472"/>
      <c r="BU345" s="720"/>
      <c r="BV345" s="472"/>
      <c r="BW345" s="523"/>
      <c r="BX345" s="523"/>
      <c r="BY345" s="523"/>
      <c r="BZ345" s="802" t="str">
        <f>IFERROR(WWWW[[#This Row],['#_Water sources passed]]/WWWW[[#This Row],['#_Water sources tested for fecal coliform ]],"no test")</f>
        <v>no test</v>
      </c>
      <c r="CA345" s="800" t="str">
        <f>IFERROR(WWWW[[#This Row],['#_Household passed]]/WWWW[[#This Row],['#_Household water samples tested for fecal coliform]],"no test")</f>
        <v>no test</v>
      </c>
      <c r="CB345" s="801" t="str">
        <f>IF(AND(WWWW[[#This Row],[% of water sources passed]]="no test",WWWW[[#This Row],[% Household passed]]="no test"),"No Test","Tested")</f>
        <v>No Test</v>
      </c>
      <c r="CC345" s="801">
        <f>WWWW[[#This Row],['#_Constructed/existing protected hand dug well]]-WWWW[[#This Row],['#_Non-functional protected hand dug well]]</f>
        <v>0</v>
      </c>
      <c r="CD345" s="801">
        <f>(WWWW[[#This Row],['#_Constructed/Existing tube wells/boreholes/handpumps_WASH_agency]]+WWWW[[#This Row],['#_Non-Cluster partner water tube-wells/boreholes/handpumps]])-WWWW[[#This Row],['#_Non-functional tube wells/boreholes/handpumps]]</f>
        <v>0</v>
      </c>
      <c r="CE345" s="801">
        <f>WWWW[[#This Row],['#_Constructed/Existingwater storage tank with gravity fed reticulation system]]-WWWW[[#This Row],['#_Non-functional storage tank gravity fed reticulation system]]</f>
        <v>0</v>
      </c>
      <c r="CF345" s="801">
        <f>(WWWW[[#This Row],['#_Water_Liters_supplied_by_Water boating or water trucking]]/90)/15</f>
        <v>0</v>
      </c>
      <c r="CG345" s="801">
        <f>WWWW[[#This Row],['#_Water_Liters_from_Constructed/Existing water distribution system from river or natural spring]]/90/15</f>
        <v>0</v>
      </c>
      <c r="CH345" s="473">
        <f>WWWW[[#This Row],['#_of water points in TLS/CFS /THF]]*500</f>
        <v>0</v>
      </c>
      <c r="CI34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5" s="800">
        <f>IF(WWWW[[#This Row],[Location Type 1]]="Village",WWWW[[#This Row],[Access to safe drinking water for Village]],WWWW[[#This Row],[Access to safe drinking water for Camp]])</f>
        <v>0</v>
      </c>
      <c r="CL345" s="798">
        <f>WWWW[[#This Row],[%Equitable and continuous access to sufficient quantity of safe drinking water]]*WWWW[[#This Row],[Total PoP ]]</f>
        <v>0</v>
      </c>
      <c r="CM345" s="800">
        <f>IF((WWWW[[#This Row],['#_Constructed/Existing protected/fenced ponds]]*250)/WWWW[[#This Row],[Total PoP ]]&gt;1,1,(WWWW[[#This Row],['#_Constructed/Existing protected/fenced ponds]]*250)/WWWW[[#This Row],[Total PoP ]])</f>
        <v>0</v>
      </c>
      <c r="CN345" s="798">
        <f>WWWW[[#This Row],[% Access to unimproved water points]]*WWWW[[#This Row],[Total PoP ]]</f>
        <v>0</v>
      </c>
      <c r="CO34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5" s="798">
        <f>WWWW[[#This Row],[HRP1]]/500</f>
        <v>0</v>
      </c>
      <c r="CR345" s="803">
        <f>1-WWWW[[#This Row],[% Equitable and continuous access to sufficient quantity of domestic water]]</f>
        <v>1</v>
      </c>
      <c r="CS345" s="798">
        <f>WWWW[[#This Row],[%equitable and continuous access to sufficient quantity of safe drinking and domestic water''s GAP]]*WWWW[[#This Row],[Total PoP ]]</f>
        <v>63</v>
      </c>
      <c r="CT345" s="801">
        <f>IF(WWWW[[#This Row],[Total required water points]]-WWWW[[#This Row],['#Water points coverage]]&lt;0,0,WWWW[[#This Row],[Total required water points]]-WWWW[[#This Row],['#Water points coverage]])</f>
        <v>1</v>
      </c>
      <c r="CU345" s="801">
        <f>ROUND(IF(WWWW[[#This Row],[Total PoP ]]&lt;500,1,WWWW[[#This Row],[Total PoP ]]/500),0)</f>
        <v>1</v>
      </c>
      <c r="CV345" s="801">
        <f>(WWWW[[#This Row],['#_Constructed latrines_by_WASHAgencies]]+WWWW[[#This Row],['#_Non Cluster partner latrines]])-WWWW[[#This Row],['#_Non-functional latrines]]</f>
        <v>0</v>
      </c>
      <c r="CW345" s="804">
        <f>WWWW[[#This Row],[HRP2]]/WWWW[[#This Row],[Total PoP ]]</f>
        <v>0</v>
      </c>
      <c r="CX34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5" s="473">
        <f>IF(WWWW[[#This Row],['# of functional latrines in THF supported by WASH partners during the reporting period2]]="",0,WWWW[[#This Row],['# of functional latrines in THF supported by WASH partners during the reporting period2]]*50)</f>
        <v>0</v>
      </c>
      <c r="DB345" s="473">
        <f>WWWW[[#This Row],['# students access to functioning school latrines_HRP5]]+WWWW[[#This Row],['# People access to functioning latrines in THF_HRP5]]</f>
        <v>0</v>
      </c>
      <c r="DC345" s="801">
        <f>ROUND(IF(WWWW[[#This Row],[Location Type 1]]="camp",WWWW[[#This Row],[Total PoP ]]/20,IF(WWWW[[#This Row],[Location Type 1]]="Temporary Location",WWWW[[#This Row],[Total PoP ]]/50,(WWWW[[#This Row],[Total PoP ]]/6))),0)</f>
        <v>3</v>
      </c>
      <c r="DD345" s="801">
        <f>IF(WWWW[[#This Row],[Total required Latrines]]-(WWWW[[#This Row],['#_Constructed latrines_by_WASHAgencies]]+WWWW[[#This Row],['#_Non Cluster partner latrines]])&lt;0,0,WWWW[[#This Row],[Total required Latrines]]-(WWWW[[#This Row],['#_Constructed latrines_by_WASHAgencies]]+WWWW[[#This Row],['#_Non Cluster partner latrines]]))</f>
        <v>3</v>
      </c>
      <c r="DE345" s="803">
        <f>1-WWWW[[#This Row],[% people access to functioning Latrine]]</f>
        <v>1</v>
      </c>
      <c r="DF345" s="802">
        <f>IF(OR(WWWW[[#This Row],['#_Non-functional latrines]]="",WWWW[[#This Row],['#_Non-functional latrines]]=0),0,WWWW[[#This Row],['#_Non-functional latrines]]/(WWWW[[#This Row],['#_Constructed latrines_by_WASHAgencies]]+WWWW[[#This Row],['#_Non Cluster partner latrines]]))</f>
        <v>0</v>
      </c>
      <c r="DG345" s="798">
        <f>IF(500*(WWWW[[#This Row],['#_male hygiene promoters]]+WWWW[[#This Row],['#_female hygiene promoters]])&gt;WWWW[[#This Row],[Total PoP ]],WWWW[[#This Row],[Total PoP ]],500*(WWWW[[#This Row],['#_male hygiene promoters]]+WWWW[[#This Row],['#_female hygiene promoters]]))</f>
        <v>0</v>
      </c>
      <c r="DH34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5" s="801">
        <f>IF(WWWW[[#This Row],['# People with access to soap]]&gt;WWWW[[#This Row],['# People with access to Sanity Pads]],WWWW[[#This Row],['# People with access to soap]],WWWW[[#This Row],['# People with access to Sanity Pads]])</f>
        <v>0</v>
      </c>
      <c r="DK345"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5" s="803">
        <f>IF(WWWW[[#This Row],[HRP3]]/WWWW[[#This Row],[Total PoP ]]&gt;1,1,WWWW[[#This Row],[HRP3]]/WWWW[[#This Row],[Total PoP ]])</f>
        <v>0</v>
      </c>
      <c r="DM345" s="802">
        <f>1-WWWW[[#This Row],[Hygiene Coverage%]]</f>
        <v>1</v>
      </c>
      <c r="DN345" s="800">
        <f>WWWW[[#This Row],['# people reached by regular dedicated hygiene promotion_5]]/WWWW[[#This Row],[Total PoP ]]</f>
        <v>0</v>
      </c>
      <c r="DO34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5" s="801">
        <f>WWWW[[#This Row],['#_Constructed/Existing hand washing stations]]-WWWW[[#This Row],['#_Non-Functional_hand_washing_stations]]</f>
        <v>0</v>
      </c>
      <c r="DR345" s="798">
        <f>IF(WWWW[[#This Row],['# Functional hand washing stations during reporting period]]*20&gt;WWWW[[#This Row],[Total HH]],WWWW[[#This Row],[Total HH]],WWWW[[#This Row],['# Functional hand washing stations during reporting period]]*20)</f>
        <v>0</v>
      </c>
      <c r="DS345" s="798">
        <f>IF(WWWW[[#This Row],[Is sufficient soap available for TLS? (Yes/No)]]="yes",WWWW[[#This Row],['#_Constructed/Existing hand washing stations at TLS]],0)</f>
        <v>0</v>
      </c>
      <c r="DT345" s="479">
        <f>IF(WWWW[[#This Row],['# Functional hand washing stations during reporting period]]*100&gt;WWWW[[#This Row],[Total PoP ]],WWWW[[#This Row],[Total PoP ]],WWWW[[#This Row],['# Functional hand washing stations during reporting period]]*100)</f>
        <v>0</v>
      </c>
      <c r="DU345" s="479" t="str">
        <f>IF(OR(WWWW[[#This Row],['#_students at TLS_CFS]]="",WWWW[[#This Row],['#_students at TLS_CFS]]=0),"No","Yes")</f>
        <v>No</v>
      </c>
      <c r="DV34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5" s="794">
        <f>VLOOKUP(WWWW[[#This Row],[Site Name]],SiteDB6[[Site Name]:[CCCM Management]],6,FALSE)</f>
        <v>0</v>
      </c>
      <c r="DZ345" s="794" t="str">
        <f>VLOOKUP(WWWW[[#This Row],[Site Name]],SiteDB6[[Site Name]:[CCCM Focal Agency]],7,FALSE)</f>
        <v>uncovered</v>
      </c>
      <c r="EA345" s="794" t="str">
        <f>VLOOKUP(WWWW[[#This Row],[Site Name]],SiteDB6[[Site Name]:[Location Type 1]],9,FALSE)</f>
        <v>Camp</v>
      </c>
      <c r="EB345" s="794" t="str">
        <f>VLOOKUP(WWWW[[#This Row],[Site Name]],SiteDB6[[Site Name]:[Type of Accommodation]],10,FALSE)</f>
        <v>Host Families</v>
      </c>
      <c r="EC345" s="794" t="str">
        <f>VLOOKUP(WWWW[[#This Row],[Site Name]],SiteDB6[[Site Name]:[Ethnic or GCA/NGCA]],11,FALSE)</f>
        <v>GCA</v>
      </c>
      <c r="ED345" s="794">
        <f>VLOOKUP(WWWW[[#This Row],[Site Name]],SiteDB6[[Site Name]:[Lat]],12,FALSE)</f>
        <v>24.764959999999999</v>
      </c>
      <c r="EE345" s="794">
        <f>VLOOKUP(WWWW[[#This Row],[Site Name]],SiteDB6[[Site Name]:[Long]],13,FALSE)</f>
        <v>96.366919999999993</v>
      </c>
      <c r="EF345" s="794" t="str">
        <f>VLOOKUP(WWWW[[#This Row],[Site Name]],SiteDB6[[Site Name]:[Pcode]],3,FALSE)</f>
        <v>MMR001CMP233</v>
      </c>
      <c r="EG345" s="799" t="str">
        <f t="shared" si="8"/>
        <v>Notcovered</v>
      </c>
      <c r="EH345" s="799" t="str">
        <f>VLOOKUP(WWWW[[#This Row],[Site Name]],Site_DB!$C$389:$D$1120,2,FALSE)</f>
        <v>cccm_2019OCT</v>
      </c>
    </row>
    <row r="346" spans="1:138" hidden="1">
      <c r="A346" s="792" t="s">
        <v>3262</v>
      </c>
      <c r="B346" s="792" t="s">
        <v>312</v>
      </c>
      <c r="C346" s="793" t="s">
        <v>312</v>
      </c>
      <c r="D346" s="793"/>
      <c r="E346" s="793" t="s">
        <v>39</v>
      </c>
      <c r="F346" s="793" t="s">
        <v>208</v>
      </c>
      <c r="G346" s="721" t="str">
        <f>VLOOKUP(WWWW[[#This Row],[Site Name]],SiteDB6[[Site Name]:[Location Type]],8,FALSE)</f>
        <v>Camp</v>
      </c>
      <c r="H346" s="793" t="s">
        <v>1013</v>
      </c>
      <c r="I346" s="795">
        <v>223</v>
      </c>
      <c r="J346" s="795">
        <v>1067</v>
      </c>
      <c r="K346" s="796"/>
      <c r="L346" s="797"/>
      <c r="M346" s="795"/>
      <c r="N346" s="795"/>
      <c r="O346" s="795"/>
      <c r="P346" s="795"/>
      <c r="Q346" s="798"/>
      <c r="R346" s="795"/>
      <c r="S346" s="795">
        <v>4</v>
      </c>
      <c r="T346" s="523"/>
      <c r="U346" s="795"/>
      <c r="V346" s="795"/>
      <c r="W346" s="795"/>
      <c r="X346" s="795"/>
      <c r="Y346" s="795"/>
      <c r="Z346" s="795"/>
      <c r="AA346" s="795"/>
      <c r="AB346" s="795"/>
      <c r="AC346" s="795"/>
      <c r="AD346" s="795"/>
      <c r="AE346" s="795"/>
      <c r="AF346" s="795"/>
      <c r="AG346" s="795"/>
      <c r="AH346" s="795"/>
      <c r="AI346" s="795"/>
      <c r="AJ346" s="795"/>
      <c r="AK346" s="795"/>
      <c r="AL346" s="795"/>
      <c r="AM346" s="795"/>
      <c r="AN346" s="795"/>
      <c r="AO346" s="799"/>
      <c r="AP346" s="795"/>
      <c r="AQ346" s="795"/>
      <c r="AR346" s="800"/>
      <c r="AS346" s="795"/>
      <c r="AT346" s="795"/>
      <c r="AU346" s="795"/>
      <c r="AV346" s="795"/>
      <c r="AW346" s="795"/>
      <c r="AX346" s="794"/>
      <c r="AY346" s="799"/>
      <c r="AZ346" s="795"/>
      <c r="BA346" s="795"/>
      <c r="BB346" s="795"/>
      <c r="BC346" s="523"/>
      <c r="BD346" s="523"/>
      <c r="BE346" s="794"/>
      <c r="BF346" s="795"/>
      <c r="BG346" s="795"/>
      <c r="BH346" s="795"/>
      <c r="BI346" s="795"/>
      <c r="BJ346" s="795"/>
      <c r="BK346" s="795"/>
      <c r="BL346" s="795"/>
      <c r="BM346" s="795"/>
      <c r="BN346" s="795"/>
      <c r="BO346" s="794"/>
      <c r="BP346" s="801"/>
      <c r="BQ346" s="800"/>
      <c r="BR346" s="794"/>
      <c r="BS346" s="472"/>
      <c r="BT346" s="472"/>
      <c r="BU346" s="720"/>
      <c r="BV346" s="472"/>
      <c r="BW346" s="523"/>
      <c r="BX346" s="523"/>
      <c r="BY346" s="523"/>
      <c r="BZ346" s="802" t="str">
        <f>IFERROR(WWWW[[#This Row],['#_Water sources passed]]/WWWW[[#This Row],['#_Water sources tested for fecal coliform ]],"no test")</f>
        <v>no test</v>
      </c>
      <c r="CA346" s="800" t="str">
        <f>IFERROR(WWWW[[#This Row],['#_Household passed]]/WWWW[[#This Row],['#_Household water samples tested for fecal coliform]],"no test")</f>
        <v>no test</v>
      </c>
      <c r="CB346" s="801" t="str">
        <f>IF(AND(WWWW[[#This Row],[% of water sources passed]]="no test",WWWW[[#This Row],[% Household passed]]="no test"),"No Test","Tested")</f>
        <v>No Test</v>
      </c>
      <c r="CC346" s="801">
        <f>WWWW[[#This Row],['#_Constructed/existing protected hand dug well]]-WWWW[[#This Row],['#_Non-functional protected hand dug well]]</f>
        <v>0</v>
      </c>
      <c r="CD346" s="801">
        <f>(WWWW[[#This Row],['#_Constructed/Existing tube wells/boreholes/handpumps_WASH_agency]]+WWWW[[#This Row],['#_Non-Cluster partner water tube-wells/boreholes/handpumps]])-WWWW[[#This Row],['#_Non-functional tube wells/boreholes/handpumps]]</f>
        <v>0</v>
      </c>
      <c r="CE346" s="801">
        <f>WWWW[[#This Row],['#_Constructed/Existingwater storage tank with gravity fed reticulation system]]-WWWW[[#This Row],['#_Non-functional storage tank gravity fed reticulation system]]</f>
        <v>0</v>
      </c>
      <c r="CF346" s="801">
        <f>(WWWW[[#This Row],['#_Water_Liters_supplied_by_Water boating or water trucking]]/90)/15</f>
        <v>0</v>
      </c>
      <c r="CG346" s="801">
        <f>WWWW[[#This Row],['#_Water_Liters_from_Constructed/Existing water distribution system from river or natural spring]]/90/15</f>
        <v>0</v>
      </c>
      <c r="CH346" s="473">
        <f>WWWW[[#This Row],['#_of water points in TLS/CFS /THF]]*500</f>
        <v>0</v>
      </c>
      <c r="CI34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6" s="800">
        <f>IF(WWWW[[#This Row],[Location Type 1]]="Village",WWWW[[#This Row],[Access to safe drinking water for Village]],WWWW[[#This Row],[Access to safe drinking water for Camp]])</f>
        <v>0</v>
      </c>
      <c r="CL346" s="798">
        <f>WWWW[[#This Row],[%Equitable and continuous access to sufficient quantity of safe drinking water]]*WWWW[[#This Row],[Total PoP ]]</f>
        <v>0</v>
      </c>
      <c r="CM346" s="800">
        <f>IF((WWWW[[#This Row],['#_Constructed/Existing protected/fenced ponds]]*250)/WWWW[[#This Row],[Total PoP ]]&gt;1,1,(WWWW[[#This Row],['#_Constructed/Existing protected/fenced ponds]]*250)/WWWW[[#This Row],[Total PoP ]])</f>
        <v>0</v>
      </c>
      <c r="CN346" s="798">
        <f>WWWW[[#This Row],[% Access to unimproved water points]]*WWWW[[#This Row],[Total PoP ]]</f>
        <v>0</v>
      </c>
      <c r="CO34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6" s="798">
        <f>WWWW[[#This Row],[HRP1]]/500</f>
        <v>0</v>
      </c>
      <c r="CR346" s="803">
        <f>1-WWWW[[#This Row],[% Equitable and continuous access to sufficient quantity of domestic water]]</f>
        <v>1</v>
      </c>
      <c r="CS346" s="798">
        <f>WWWW[[#This Row],[%equitable and continuous access to sufficient quantity of safe drinking and domestic water''s GAP]]*WWWW[[#This Row],[Total PoP ]]</f>
        <v>1067</v>
      </c>
      <c r="CT346" s="801">
        <f>IF(WWWW[[#This Row],[Total required water points]]-WWWW[[#This Row],['#Water points coverage]]&lt;0,0,WWWW[[#This Row],[Total required water points]]-WWWW[[#This Row],['#Water points coverage]])</f>
        <v>2</v>
      </c>
      <c r="CU346" s="801">
        <f>ROUND(IF(WWWW[[#This Row],[Total PoP ]]&lt;500,1,WWWW[[#This Row],[Total PoP ]]/500),0)</f>
        <v>2</v>
      </c>
      <c r="CV346" s="801">
        <f>(WWWW[[#This Row],['#_Constructed latrines_by_WASHAgencies]]+WWWW[[#This Row],['#_Non Cluster partner latrines]])-WWWW[[#This Row],['#_Non-functional latrines]]</f>
        <v>0</v>
      </c>
      <c r="CW346" s="804">
        <f>WWWW[[#This Row],[HRP2]]/WWWW[[#This Row],[Total PoP ]]</f>
        <v>0</v>
      </c>
      <c r="CX34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6" s="473">
        <f>IF(WWWW[[#This Row],['# of functional latrines in THF supported by WASH partners during the reporting period2]]="",0,WWWW[[#This Row],['# of functional latrines in THF supported by WASH partners during the reporting period2]]*50)</f>
        <v>0</v>
      </c>
      <c r="DB346" s="473">
        <f>WWWW[[#This Row],['# students access to functioning school latrines_HRP5]]+WWWW[[#This Row],['# People access to functioning latrines in THF_HRP5]]</f>
        <v>0</v>
      </c>
      <c r="DC346" s="801">
        <f>ROUND(IF(WWWW[[#This Row],[Location Type 1]]="camp",WWWW[[#This Row],[Total PoP ]]/20,IF(WWWW[[#This Row],[Location Type 1]]="Temporary Location",WWWW[[#This Row],[Total PoP ]]/50,(WWWW[[#This Row],[Total PoP ]]/6))),0)</f>
        <v>53</v>
      </c>
      <c r="DD346" s="801">
        <f>IF(WWWW[[#This Row],[Total required Latrines]]-(WWWW[[#This Row],['#_Constructed latrines_by_WASHAgencies]]+WWWW[[#This Row],['#_Non Cluster partner latrines]])&lt;0,0,WWWW[[#This Row],[Total required Latrines]]-(WWWW[[#This Row],['#_Constructed latrines_by_WASHAgencies]]+WWWW[[#This Row],['#_Non Cluster partner latrines]]))</f>
        <v>53</v>
      </c>
      <c r="DE346" s="803">
        <f>1-WWWW[[#This Row],[% people access to functioning Latrine]]</f>
        <v>1</v>
      </c>
      <c r="DF346" s="802">
        <f>IF(OR(WWWW[[#This Row],['#_Non-functional latrines]]="",WWWW[[#This Row],['#_Non-functional latrines]]=0),0,WWWW[[#This Row],['#_Non-functional latrines]]/(WWWW[[#This Row],['#_Constructed latrines_by_WASHAgencies]]+WWWW[[#This Row],['#_Non Cluster partner latrines]]))</f>
        <v>0</v>
      </c>
      <c r="DG346" s="798">
        <f>IF(500*(WWWW[[#This Row],['#_male hygiene promoters]]+WWWW[[#This Row],['#_female hygiene promoters]])&gt;WWWW[[#This Row],[Total PoP ]],WWWW[[#This Row],[Total PoP ]],500*(WWWW[[#This Row],['#_male hygiene promoters]]+WWWW[[#This Row],['#_female hygiene promoters]]))</f>
        <v>0</v>
      </c>
      <c r="DH34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6" s="801">
        <f>IF(WWWW[[#This Row],['# People with access to soap]]&gt;WWWW[[#This Row],['# People with access to Sanity Pads]],WWWW[[#This Row],['# People with access to soap]],WWWW[[#This Row],['# People with access to Sanity Pads]])</f>
        <v>0</v>
      </c>
      <c r="DK34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6" s="803">
        <f>IF(WWWW[[#This Row],[HRP3]]/WWWW[[#This Row],[Total PoP ]]&gt;1,1,WWWW[[#This Row],[HRP3]]/WWWW[[#This Row],[Total PoP ]])</f>
        <v>0</v>
      </c>
      <c r="DM346" s="802">
        <f>1-WWWW[[#This Row],[Hygiene Coverage%]]</f>
        <v>1</v>
      </c>
      <c r="DN346" s="800">
        <f>WWWW[[#This Row],['# people reached by regular dedicated hygiene promotion_5]]/WWWW[[#This Row],[Total PoP ]]</f>
        <v>0</v>
      </c>
      <c r="DO34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6" s="801">
        <f>WWWW[[#This Row],['#_Constructed/Existing hand washing stations]]-WWWW[[#This Row],['#_Non-Functional_hand_washing_stations]]</f>
        <v>0</v>
      </c>
      <c r="DR346" s="798">
        <f>IF(WWWW[[#This Row],['# Functional hand washing stations during reporting period]]*20&gt;WWWW[[#This Row],[Total HH]],WWWW[[#This Row],[Total HH]],WWWW[[#This Row],['# Functional hand washing stations during reporting period]]*20)</f>
        <v>0</v>
      </c>
      <c r="DS346" s="798">
        <f>IF(WWWW[[#This Row],[Is sufficient soap available for TLS? (Yes/No)]]="yes",WWWW[[#This Row],['#_Constructed/Existing hand washing stations at TLS]],0)</f>
        <v>0</v>
      </c>
      <c r="DT346" s="479">
        <f>IF(WWWW[[#This Row],['# Functional hand washing stations during reporting period]]*100&gt;WWWW[[#This Row],[Total PoP ]],WWWW[[#This Row],[Total PoP ]],WWWW[[#This Row],['# Functional hand washing stations during reporting period]]*100)</f>
        <v>0</v>
      </c>
      <c r="DU346" s="479" t="str">
        <f>IF(OR(WWWW[[#This Row],['#_students at TLS_CFS]]="",WWWW[[#This Row],['#_students at TLS_CFS]]=0),"No","Yes")</f>
        <v>No</v>
      </c>
      <c r="DV34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6" s="794">
        <f>VLOOKUP(WWWW[[#This Row],[Site Name]],SiteDB6[[Site Name]:[CCCM Management]],6,FALSE)</f>
        <v>0</v>
      </c>
      <c r="DZ346" s="794" t="str">
        <f>VLOOKUP(WWWW[[#This Row],[Site Name]],SiteDB6[[Site Name]:[CCCM Focal Agency]],7,FALSE)</f>
        <v>uncovered</v>
      </c>
      <c r="EA346" s="794" t="str">
        <f>VLOOKUP(WWWW[[#This Row],[Site Name]],SiteDB6[[Site Name]:[Location Type 1]],9,FALSE)</f>
        <v>Camp</v>
      </c>
      <c r="EB346" s="794" t="str">
        <f>VLOOKUP(WWWW[[#This Row],[Site Name]],SiteDB6[[Site Name]:[Type of Accommodation]],10,FALSE)</f>
        <v>Host Families</v>
      </c>
      <c r="EC346" s="794" t="str">
        <f>VLOOKUP(WWWW[[#This Row],[Site Name]],SiteDB6[[Site Name]:[Ethnic or GCA/NGCA]],11,FALSE)</f>
        <v>GCA</v>
      </c>
      <c r="ED346" s="794">
        <f>VLOOKUP(WWWW[[#This Row],[Site Name]],SiteDB6[[Site Name]:[Lat]],12,FALSE)</f>
        <v>24.251232000000002</v>
      </c>
      <c r="EE346" s="794">
        <f>VLOOKUP(WWWW[[#This Row],[Site Name]],SiteDB6[[Site Name]:[Long]],13,FALSE)</f>
        <v>97.348405</v>
      </c>
      <c r="EF346" s="794" t="str">
        <f>VLOOKUP(WWWW[[#This Row],[Site Name]],SiteDB6[[Site Name]:[Pcode]],3,FALSE)</f>
        <v>MMR001CMP197</v>
      </c>
      <c r="EG346" s="799" t="str">
        <f t="shared" si="8"/>
        <v>Notcovered</v>
      </c>
      <c r="EH346" s="799" t="str">
        <f>VLOOKUP(WWWW[[#This Row],[Site Name]],Site_DB!$C$389:$D$1120,2,FALSE)</f>
        <v>cccm_2019OCT</v>
      </c>
    </row>
    <row r="347" spans="1:138" hidden="1">
      <c r="A347" s="792" t="s">
        <v>3262</v>
      </c>
      <c r="B347" s="792" t="s">
        <v>245</v>
      </c>
      <c r="C347" s="793" t="s">
        <v>245</v>
      </c>
      <c r="D347" s="793" t="s">
        <v>310</v>
      </c>
      <c r="E347" s="793" t="s">
        <v>39</v>
      </c>
      <c r="F347" s="793" t="s">
        <v>151</v>
      </c>
      <c r="G347" s="721" t="str">
        <f>VLOOKUP(WWWW[[#This Row],[Site Name]],SiteDB6[[Site Name]:[Location Type]],8,FALSE)</f>
        <v>Camp</v>
      </c>
      <c r="H347" s="404" t="s">
        <v>257</v>
      </c>
      <c r="I347" s="795">
        <v>107</v>
      </c>
      <c r="J347" s="795">
        <v>519</v>
      </c>
      <c r="K347" s="796">
        <v>43313</v>
      </c>
      <c r="L347" s="797">
        <v>44043</v>
      </c>
      <c r="M347" s="795">
        <v>28</v>
      </c>
      <c r="N347" s="795">
        <v>1</v>
      </c>
      <c r="O347" s="795"/>
      <c r="P347" s="795"/>
      <c r="Q347" s="798" t="s">
        <v>43</v>
      </c>
      <c r="R347" s="795">
        <v>4</v>
      </c>
      <c r="S347" s="795">
        <v>1</v>
      </c>
      <c r="T347" s="523">
        <v>0</v>
      </c>
      <c r="U347" s="795"/>
      <c r="V347" s="795"/>
      <c r="W347" s="795">
        <v>0</v>
      </c>
      <c r="X347" s="795">
        <v>0</v>
      </c>
      <c r="Y347" s="795"/>
      <c r="Z347" s="795"/>
      <c r="AA347" s="795">
        <v>1</v>
      </c>
      <c r="AB347" s="795"/>
      <c r="AC347" s="795"/>
      <c r="AD347" s="795">
        <v>0</v>
      </c>
      <c r="AE347" s="795">
        <v>4</v>
      </c>
      <c r="AF347" s="795"/>
      <c r="AG347" s="795">
        <v>0</v>
      </c>
      <c r="AH347" s="795">
        <v>1</v>
      </c>
      <c r="AI347" s="795"/>
      <c r="AJ347" s="795"/>
      <c r="AK347" s="795"/>
      <c r="AL347" s="795"/>
      <c r="AM347" s="795">
        <v>0</v>
      </c>
      <c r="AN347" s="795">
        <v>0</v>
      </c>
      <c r="AO347" s="799"/>
      <c r="AP347" s="795">
        <v>32</v>
      </c>
      <c r="AQ347" s="795">
        <v>0</v>
      </c>
      <c r="AR347" s="800" t="s">
        <v>245</v>
      </c>
      <c r="AS347" s="795"/>
      <c r="AT347" s="795"/>
      <c r="AU347" s="795"/>
      <c r="AV347" s="795"/>
      <c r="AW347" s="795">
        <v>0</v>
      </c>
      <c r="AX347" s="794" t="s">
        <v>43</v>
      </c>
      <c r="AY347" s="799" t="s">
        <v>140</v>
      </c>
      <c r="AZ347" s="795">
        <v>2</v>
      </c>
      <c r="BA347" s="795">
        <v>0</v>
      </c>
      <c r="BB347" s="795">
        <v>2</v>
      </c>
      <c r="BC347" s="523"/>
      <c r="BD347" s="523"/>
      <c r="BE347" s="794"/>
      <c r="BF347" s="795">
        <v>5</v>
      </c>
      <c r="BG347" s="795"/>
      <c r="BH347" s="795">
        <v>0</v>
      </c>
      <c r="BI347" s="795">
        <v>5</v>
      </c>
      <c r="BJ347" s="795"/>
      <c r="BK347" s="795">
        <v>4</v>
      </c>
      <c r="BL347" s="795">
        <v>4</v>
      </c>
      <c r="BM347" s="795"/>
      <c r="BN347" s="795"/>
      <c r="BO347" s="794"/>
      <c r="BP347" s="801"/>
      <c r="BQ347" s="800"/>
      <c r="BR347" s="794"/>
      <c r="BS347" s="472"/>
      <c r="BT347" s="472"/>
      <c r="BU347" s="720"/>
      <c r="BV347" s="472"/>
      <c r="BW347" s="523"/>
      <c r="BX347" s="523"/>
      <c r="BY347" s="523"/>
      <c r="BZ347" s="802" t="str">
        <f>IFERROR(WWWW[[#This Row],['#_Water sources passed]]/WWWW[[#This Row],['#_Water sources tested for fecal coliform ]],"no test")</f>
        <v>no test</v>
      </c>
      <c r="CA347" s="800" t="str">
        <f>IFERROR(WWWW[[#This Row],['#_Household passed]]/WWWW[[#This Row],['#_Household water samples tested for fecal coliform]],"no test")</f>
        <v>no test</v>
      </c>
      <c r="CB347" s="801" t="str">
        <f>IF(AND(WWWW[[#This Row],[% of water sources passed]]="no test",WWWW[[#This Row],[% Household passed]]="no test"),"No Test","Tested")</f>
        <v>No Test</v>
      </c>
      <c r="CC347" s="801">
        <f>WWWW[[#This Row],['#_Constructed/existing protected hand dug well]]-WWWW[[#This Row],['#_Non-functional protected hand dug well]]</f>
        <v>0</v>
      </c>
      <c r="CD347" s="801">
        <f>(WWWW[[#This Row],['#_Constructed/Existing tube wells/boreholes/handpumps_WASH_agency]]+WWWW[[#This Row],['#_Non-Cluster partner water tube-wells/boreholes/handpumps]])-WWWW[[#This Row],['#_Non-functional tube wells/boreholes/handpumps]]</f>
        <v>0</v>
      </c>
      <c r="CE347" s="801">
        <f>WWWW[[#This Row],['#_Constructed/Existingwater storage tank with gravity fed reticulation system]]-WWWW[[#This Row],['#_Non-functional storage tank gravity fed reticulation system]]</f>
        <v>1</v>
      </c>
      <c r="CF347" s="801">
        <f>(WWWW[[#This Row],['#_Water_Liters_supplied_by_Water boating or water trucking]]/90)/15</f>
        <v>0</v>
      </c>
      <c r="CG347" s="801">
        <f>WWWW[[#This Row],['#_Water_Liters_from_Constructed/Existing water distribution system from river or natural spring]]/90/15</f>
        <v>0</v>
      </c>
      <c r="CH347" s="473">
        <f>WWWW[[#This Row],['#_of water points in TLS/CFS /THF]]*500</f>
        <v>0</v>
      </c>
      <c r="CI34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0.12845215157353887</v>
      </c>
      <c r="CJ34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0.12845215157353887</v>
      </c>
      <c r="CK347" s="800">
        <f>IF(WWWW[[#This Row],[Location Type 1]]="Village",WWWW[[#This Row],[Access to safe drinking water for Village]],WWWW[[#This Row],[Access to safe drinking water for Camp]])</f>
        <v>0.12845215157353887</v>
      </c>
      <c r="CL347" s="798">
        <f>WWWW[[#This Row],[%Equitable and continuous access to sufficient quantity of safe drinking water]]*WWWW[[#This Row],[Total PoP ]]</f>
        <v>66.666666666666671</v>
      </c>
      <c r="CM347" s="800">
        <f>IF((WWWW[[#This Row],['#_Constructed/Existing protected/fenced ponds]]*250)/WWWW[[#This Row],[Total PoP ]]&gt;1,1,(WWWW[[#This Row],['#_Constructed/Existing protected/fenced ponds]]*250)/WWWW[[#This Row],[Total PoP ]])</f>
        <v>1</v>
      </c>
      <c r="CN347" s="798">
        <f>WWWW[[#This Row],[% Access to unimproved water points]]*WWWW[[#This Row],[Total PoP ]]</f>
        <v>519</v>
      </c>
      <c r="CO34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4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Q347" s="798">
        <f>WWWW[[#This Row],[HRP1]]/500</f>
        <v>1.038</v>
      </c>
      <c r="CR347" s="803">
        <f>1-WWWW[[#This Row],[% Equitable and continuous access to sufficient quantity of domestic water]]</f>
        <v>0</v>
      </c>
      <c r="CS347" s="798">
        <f>WWWW[[#This Row],[%equitable and continuous access to sufficient quantity of safe drinking and domestic water''s GAP]]*WWWW[[#This Row],[Total PoP ]]</f>
        <v>0</v>
      </c>
      <c r="CT347" s="801">
        <f>IF(WWWW[[#This Row],[Total required water points]]-WWWW[[#This Row],['#Water points coverage]]&lt;0,0,WWWW[[#This Row],[Total required water points]]-WWWW[[#This Row],['#Water points coverage]])</f>
        <v>0</v>
      </c>
      <c r="CU347" s="801">
        <f>ROUND(IF(WWWW[[#This Row],[Total PoP ]]&lt;500,1,WWWW[[#This Row],[Total PoP ]]/500),0)</f>
        <v>1</v>
      </c>
      <c r="CV347" s="801">
        <f>(WWWW[[#This Row],['#_Constructed latrines_by_WASHAgencies]]+WWWW[[#This Row],['#_Non Cluster partner latrines]])-WWWW[[#This Row],['#_Non-functional latrines]]</f>
        <v>32</v>
      </c>
      <c r="CW347" s="804">
        <f>WWWW[[#This Row],[HRP2]]/WWWW[[#This Row],[Total PoP ]]</f>
        <v>1</v>
      </c>
      <c r="CX34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519</v>
      </c>
      <c r="CY34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28</v>
      </c>
      <c r="DA347" s="473">
        <f>IF(WWWW[[#This Row],['# of functional latrines in THF supported by WASH partners during the reporting period2]]="",0,WWWW[[#This Row],['# of functional latrines in THF supported by WASH partners during the reporting period2]]*50)</f>
        <v>0</v>
      </c>
      <c r="DB347" s="473">
        <f>WWWW[[#This Row],['# students access to functioning school latrines_HRP5]]+WWWW[[#This Row],['# People access to functioning latrines in THF_HRP5]]</f>
        <v>28</v>
      </c>
      <c r="DC347" s="801">
        <f>ROUND(IF(WWWW[[#This Row],[Location Type 1]]="camp",WWWW[[#This Row],[Total PoP ]]/20,IF(WWWW[[#This Row],[Location Type 1]]="Temporary Location",WWWW[[#This Row],[Total PoP ]]/50,(WWWW[[#This Row],[Total PoP ]]/6))),0)</f>
        <v>26</v>
      </c>
      <c r="DD347" s="801">
        <f>IF(WWWW[[#This Row],[Total required Latrines]]-(WWWW[[#This Row],['#_Constructed latrines_by_WASHAgencies]]+WWWW[[#This Row],['#_Non Cluster partner latrines]])&lt;0,0,WWWW[[#This Row],[Total required Latrines]]-(WWWW[[#This Row],['#_Constructed latrines_by_WASHAgencies]]+WWWW[[#This Row],['#_Non Cluster partner latrines]]))</f>
        <v>0</v>
      </c>
      <c r="DE347" s="803">
        <f>1-WWWW[[#This Row],[% people access to functioning Latrine]]</f>
        <v>0</v>
      </c>
      <c r="DF347" s="802">
        <f>IF(OR(WWWW[[#This Row],['#_Non-functional latrines]]="",WWWW[[#This Row],['#_Non-functional latrines]]=0),0,WWWW[[#This Row],['#_Non-functional latrines]]/(WWWW[[#This Row],['#_Constructed latrines_by_WASHAgencies]]+WWWW[[#This Row],['#_Non Cluster partner latrines]]))</f>
        <v>0</v>
      </c>
      <c r="DG347" s="798">
        <f>IF(500*(WWWW[[#This Row],['#_male hygiene promoters]]+WWWW[[#This Row],['#_female hygiene promoters]])&gt;WWWW[[#This Row],[Total PoP ]],WWWW[[#This Row],[Total PoP ]],500*(WWWW[[#This Row],['#_male hygiene promoters]]+WWWW[[#This Row],['#_female hygiene promoters]]))</f>
        <v>519</v>
      </c>
      <c r="DH34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7" s="801">
        <f>IF(WWWW[[#This Row],['# People with access to soap]]&gt;WWWW[[#This Row],['# People with access to Sanity Pads]],WWWW[[#This Row],['# People with access to soap]],WWWW[[#This Row],['# People with access to Sanity Pads]])</f>
        <v>0</v>
      </c>
      <c r="DK347" s="801">
        <f>IF(WWWW[[#This Row],['# people reached by regular dedicated hygiene promotion_5]]&gt;WWWW[[#This Row],['# People received regular supply of hygiene items_6]],WWWW[[#This Row],['# people reached by regular dedicated hygiene promotion_5]],WWWW[[#This Row],['# People received regular supply of hygiene items_6]])</f>
        <v>519</v>
      </c>
      <c r="DL347" s="803">
        <f>IF(WWWW[[#This Row],[HRP3]]/WWWW[[#This Row],[Total PoP ]]&gt;1,1,WWWW[[#This Row],[HRP3]]/WWWW[[#This Row],[Total PoP ]])</f>
        <v>1</v>
      </c>
      <c r="DM347" s="802">
        <f>1-WWWW[[#This Row],[Hygiene Coverage%]]</f>
        <v>0</v>
      </c>
      <c r="DN347" s="800">
        <f>WWWW[[#This Row],['# people reached by regular dedicated hygiene promotion_5]]/WWWW[[#This Row],[Total PoP ]]</f>
        <v>1</v>
      </c>
      <c r="DO34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7" s="801">
        <f>WWWW[[#This Row],['#_Constructed/Existing hand washing stations]]-WWWW[[#This Row],['#_Non-Functional_hand_washing_stations]]</f>
        <v>5</v>
      </c>
      <c r="DR347" s="798">
        <f>IF(WWWW[[#This Row],['# Functional hand washing stations during reporting period]]*20&gt;WWWW[[#This Row],[Total HH]],WWWW[[#This Row],[Total HH]],WWWW[[#This Row],['# Functional hand washing stations during reporting period]]*20)</f>
        <v>100</v>
      </c>
      <c r="DS347" s="798">
        <f>IF(WWWW[[#This Row],[Is sufficient soap available for TLS? (Yes/No)]]="yes",WWWW[[#This Row],['#_Constructed/Existing hand washing stations at TLS]],0)</f>
        <v>0</v>
      </c>
      <c r="DT347" s="479">
        <f>IF(WWWW[[#This Row],['# Functional hand washing stations during reporting period]]*100&gt;WWWW[[#This Row],[Total PoP ]],WWWW[[#This Row],[Total PoP ]],WWWW[[#This Row],['# Functional hand washing stations during reporting period]]*100)</f>
        <v>500</v>
      </c>
      <c r="DU347" s="479" t="str">
        <f>IF(OR(WWWW[[#This Row],['#_students at TLS_CFS]]="",WWWW[[#This Row],['#_students at TLS_CFS]]=0),"No","Yes")</f>
        <v>Yes</v>
      </c>
      <c r="DV34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28</v>
      </c>
      <c r="DY347" s="794" t="str">
        <f>VLOOKUP(WWWW[[#This Row],[Site Name]],SiteDB6[[Site Name]:[CCCM Management]],6,FALSE)</f>
        <v>Yes</v>
      </c>
      <c r="DZ347" s="794" t="str">
        <f>VLOOKUP(WWWW[[#This Row],[Site Name]],SiteDB6[[Site Name]:[CCCM Focal Agency]],7,FALSE)</f>
        <v>KBC-MYT</v>
      </c>
      <c r="EA347" s="794" t="str">
        <f>VLOOKUP(WWWW[[#This Row],[Site Name]],SiteDB6[[Site Name]:[Location Type 1]],9,FALSE)</f>
        <v>Camp</v>
      </c>
      <c r="EB347" s="794" t="str">
        <f>VLOOKUP(WWWW[[#This Row],[Site Name]],SiteDB6[[Site Name]:[Type of Accommodation]],10,FALSE)</f>
        <v>Camp</v>
      </c>
      <c r="EC347" s="794" t="str">
        <f>VLOOKUP(WWWW[[#This Row],[Site Name]],SiteDB6[[Site Name]:[Ethnic or GCA/NGCA]],11,FALSE)</f>
        <v>GCA</v>
      </c>
      <c r="ED347" s="794">
        <f>VLOOKUP(WWWW[[#This Row],[Site Name]],SiteDB6[[Site Name]:[Lat]],12,FALSE)</f>
        <v>25.611160000000002</v>
      </c>
      <c r="EE347" s="794">
        <f>VLOOKUP(WWWW[[#This Row],[Site Name]],SiteDB6[[Site Name]:[Long]],13,FALSE)</f>
        <v>96.312790000000007</v>
      </c>
      <c r="EF347" s="794" t="str">
        <f>VLOOKUP(WWWW[[#This Row],[Site Name]],SiteDB6[[Site Name]:[Pcode]],3,FALSE)</f>
        <v>MMR001CMP229</v>
      </c>
      <c r="EG347" s="799" t="str">
        <f t="shared" si="8"/>
        <v>Covered</v>
      </c>
      <c r="EH347" s="799" t="str">
        <f>VLOOKUP(WWWW[[#This Row],[Site Name]],Site_DB!$C$389:$D$1120,2,FALSE)</f>
        <v>cccm_2019OCT</v>
      </c>
    </row>
    <row r="348" spans="1:138" hidden="1">
      <c r="A348" s="792" t="s">
        <v>3262</v>
      </c>
      <c r="B348" s="792" t="s">
        <v>312</v>
      </c>
      <c r="C348" s="793" t="s">
        <v>312</v>
      </c>
      <c r="D348" s="793"/>
      <c r="E348" s="793" t="s">
        <v>39</v>
      </c>
      <c r="F348" s="793" t="s">
        <v>208</v>
      </c>
      <c r="G348" s="721" t="str">
        <f>VLOOKUP(WWWW[[#This Row],[Site Name]],SiteDB6[[Site Name]:[Location Type]],8,FALSE)</f>
        <v>Camp</v>
      </c>
      <c r="H348" s="793" t="s">
        <v>1023</v>
      </c>
      <c r="I348" s="795">
        <v>47</v>
      </c>
      <c r="J348" s="795">
        <v>153</v>
      </c>
      <c r="K348" s="796"/>
      <c r="L348" s="797"/>
      <c r="M348" s="795"/>
      <c r="N348" s="795"/>
      <c r="O348" s="795"/>
      <c r="P348" s="795"/>
      <c r="Q348" s="798"/>
      <c r="R348" s="795"/>
      <c r="S348" s="795">
        <v>1</v>
      </c>
      <c r="T348" s="523"/>
      <c r="U348" s="795"/>
      <c r="V348" s="795"/>
      <c r="W348" s="795"/>
      <c r="X348" s="795"/>
      <c r="Y348" s="795"/>
      <c r="Z348" s="795"/>
      <c r="AA348" s="795"/>
      <c r="AB348" s="795"/>
      <c r="AC348" s="795"/>
      <c r="AD348" s="795"/>
      <c r="AE348" s="795"/>
      <c r="AF348" s="795"/>
      <c r="AG348" s="795"/>
      <c r="AH348" s="795"/>
      <c r="AI348" s="795"/>
      <c r="AJ348" s="795"/>
      <c r="AK348" s="795"/>
      <c r="AL348" s="795"/>
      <c r="AM348" s="795"/>
      <c r="AN348" s="795"/>
      <c r="AO348" s="799"/>
      <c r="AP348" s="795"/>
      <c r="AQ348" s="795"/>
      <c r="AR348" s="800"/>
      <c r="AS348" s="795"/>
      <c r="AT348" s="795"/>
      <c r="AU348" s="795"/>
      <c r="AV348" s="795"/>
      <c r="AW348" s="795"/>
      <c r="AX348" s="794"/>
      <c r="AY348" s="799"/>
      <c r="AZ348" s="795"/>
      <c r="BA348" s="795"/>
      <c r="BB348" s="795"/>
      <c r="BC348" s="523"/>
      <c r="BD348" s="523"/>
      <c r="BE348" s="794"/>
      <c r="BF348" s="795"/>
      <c r="BG348" s="795"/>
      <c r="BH348" s="795"/>
      <c r="BI348" s="795"/>
      <c r="BJ348" s="795"/>
      <c r="BK348" s="795"/>
      <c r="BL348" s="795"/>
      <c r="BM348" s="795"/>
      <c r="BN348" s="795"/>
      <c r="BO348" s="794"/>
      <c r="BP348" s="801"/>
      <c r="BQ348" s="800"/>
      <c r="BR348" s="794"/>
      <c r="BS348" s="472"/>
      <c r="BT348" s="472"/>
      <c r="BU348" s="720"/>
      <c r="BV348" s="472"/>
      <c r="BW348" s="523"/>
      <c r="BX348" s="523"/>
      <c r="BY348" s="523"/>
      <c r="BZ348" s="802" t="str">
        <f>IFERROR(WWWW[[#This Row],['#_Water sources passed]]/WWWW[[#This Row],['#_Water sources tested for fecal coliform ]],"no test")</f>
        <v>no test</v>
      </c>
      <c r="CA348" s="800" t="str">
        <f>IFERROR(WWWW[[#This Row],['#_Household passed]]/WWWW[[#This Row],['#_Household water samples tested for fecal coliform]],"no test")</f>
        <v>no test</v>
      </c>
      <c r="CB348" s="801" t="str">
        <f>IF(AND(WWWW[[#This Row],[% of water sources passed]]="no test",WWWW[[#This Row],[% Household passed]]="no test"),"No Test","Tested")</f>
        <v>No Test</v>
      </c>
      <c r="CC348" s="801">
        <f>WWWW[[#This Row],['#_Constructed/existing protected hand dug well]]-WWWW[[#This Row],['#_Non-functional protected hand dug well]]</f>
        <v>0</v>
      </c>
      <c r="CD348" s="801">
        <f>(WWWW[[#This Row],['#_Constructed/Existing tube wells/boreholes/handpumps_WASH_agency]]+WWWW[[#This Row],['#_Non-Cluster partner water tube-wells/boreholes/handpumps]])-WWWW[[#This Row],['#_Non-functional tube wells/boreholes/handpumps]]</f>
        <v>0</v>
      </c>
      <c r="CE348" s="801">
        <f>WWWW[[#This Row],['#_Constructed/Existingwater storage tank with gravity fed reticulation system]]-WWWW[[#This Row],['#_Non-functional storage tank gravity fed reticulation system]]</f>
        <v>0</v>
      </c>
      <c r="CF348" s="801">
        <f>(WWWW[[#This Row],['#_Water_Liters_supplied_by_Water boating or water trucking]]/90)/15</f>
        <v>0</v>
      </c>
      <c r="CG348" s="801">
        <f>WWWW[[#This Row],['#_Water_Liters_from_Constructed/Existing water distribution system from river or natural spring]]/90/15</f>
        <v>0</v>
      </c>
      <c r="CH348" s="473">
        <f>WWWW[[#This Row],['#_of water points in TLS/CFS /THF]]*500</f>
        <v>0</v>
      </c>
      <c r="CI34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4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48" s="800">
        <f>IF(WWWW[[#This Row],[Location Type 1]]="Village",WWWW[[#This Row],[Access to safe drinking water for Village]],WWWW[[#This Row],[Access to safe drinking water for Camp]])</f>
        <v>0</v>
      </c>
      <c r="CL348" s="798">
        <f>WWWW[[#This Row],[%Equitable and continuous access to sufficient quantity of safe drinking water]]*WWWW[[#This Row],[Total PoP ]]</f>
        <v>0</v>
      </c>
      <c r="CM348" s="800">
        <f>IF((WWWW[[#This Row],['#_Constructed/Existing protected/fenced ponds]]*250)/WWWW[[#This Row],[Total PoP ]]&gt;1,1,(WWWW[[#This Row],['#_Constructed/Existing protected/fenced ponds]]*250)/WWWW[[#This Row],[Total PoP ]])</f>
        <v>0</v>
      </c>
      <c r="CN348" s="798">
        <f>WWWW[[#This Row],[% Access to unimproved water points]]*WWWW[[#This Row],[Total PoP ]]</f>
        <v>0</v>
      </c>
      <c r="CO34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4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48" s="798">
        <f>WWWW[[#This Row],[HRP1]]/500</f>
        <v>0</v>
      </c>
      <c r="CR348" s="803">
        <f>1-WWWW[[#This Row],[% Equitable and continuous access to sufficient quantity of domestic water]]</f>
        <v>1</v>
      </c>
      <c r="CS348" s="798">
        <f>WWWW[[#This Row],[%equitable and continuous access to sufficient quantity of safe drinking and domestic water''s GAP]]*WWWW[[#This Row],[Total PoP ]]</f>
        <v>153</v>
      </c>
      <c r="CT348" s="801">
        <f>IF(WWWW[[#This Row],[Total required water points]]-WWWW[[#This Row],['#Water points coverage]]&lt;0,0,WWWW[[#This Row],[Total required water points]]-WWWW[[#This Row],['#Water points coverage]])</f>
        <v>1</v>
      </c>
      <c r="CU348" s="801">
        <f>ROUND(IF(WWWW[[#This Row],[Total PoP ]]&lt;500,1,WWWW[[#This Row],[Total PoP ]]/500),0)</f>
        <v>1</v>
      </c>
      <c r="CV348" s="801">
        <f>(WWWW[[#This Row],['#_Constructed latrines_by_WASHAgencies]]+WWWW[[#This Row],['#_Non Cluster partner latrines]])-WWWW[[#This Row],['#_Non-functional latrines]]</f>
        <v>0</v>
      </c>
      <c r="CW348" s="804">
        <f>WWWW[[#This Row],[HRP2]]/WWWW[[#This Row],[Total PoP ]]</f>
        <v>0</v>
      </c>
      <c r="CX34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4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8" s="473">
        <f>IF(WWWW[[#This Row],['# of functional latrines in THF supported by WASH partners during the reporting period2]]="",0,WWWW[[#This Row],['# of functional latrines in THF supported by WASH partners during the reporting period2]]*50)</f>
        <v>0</v>
      </c>
      <c r="DB348" s="473">
        <f>WWWW[[#This Row],['# students access to functioning school latrines_HRP5]]+WWWW[[#This Row],['# People access to functioning latrines in THF_HRP5]]</f>
        <v>0</v>
      </c>
      <c r="DC348" s="801">
        <f>ROUND(IF(WWWW[[#This Row],[Location Type 1]]="camp",WWWW[[#This Row],[Total PoP ]]/20,IF(WWWW[[#This Row],[Location Type 1]]="Temporary Location",WWWW[[#This Row],[Total PoP ]]/50,(WWWW[[#This Row],[Total PoP ]]/6))),0)</f>
        <v>8</v>
      </c>
      <c r="DD348" s="801">
        <f>IF(WWWW[[#This Row],[Total required Latrines]]-(WWWW[[#This Row],['#_Constructed latrines_by_WASHAgencies]]+WWWW[[#This Row],['#_Non Cluster partner latrines]])&lt;0,0,WWWW[[#This Row],[Total required Latrines]]-(WWWW[[#This Row],['#_Constructed latrines_by_WASHAgencies]]+WWWW[[#This Row],['#_Non Cluster partner latrines]]))</f>
        <v>8</v>
      </c>
      <c r="DE348" s="803">
        <f>1-WWWW[[#This Row],[% people access to functioning Latrine]]</f>
        <v>1</v>
      </c>
      <c r="DF348" s="802">
        <f>IF(OR(WWWW[[#This Row],['#_Non-functional latrines]]="",WWWW[[#This Row],['#_Non-functional latrines]]=0),0,WWWW[[#This Row],['#_Non-functional latrines]]/(WWWW[[#This Row],['#_Constructed latrines_by_WASHAgencies]]+WWWW[[#This Row],['#_Non Cluster partner latrines]]))</f>
        <v>0</v>
      </c>
      <c r="DG348" s="798">
        <f>IF(500*(WWWW[[#This Row],['#_male hygiene promoters]]+WWWW[[#This Row],['#_female hygiene promoters]])&gt;WWWW[[#This Row],[Total PoP ]],WWWW[[#This Row],[Total PoP ]],500*(WWWW[[#This Row],['#_male hygiene promoters]]+WWWW[[#This Row],['#_female hygiene promoters]]))</f>
        <v>0</v>
      </c>
      <c r="DH34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8" s="801">
        <f>IF(WWWW[[#This Row],['# People with access to soap]]&gt;WWWW[[#This Row],['# People with access to Sanity Pads]],WWWW[[#This Row],['# People with access to soap]],WWWW[[#This Row],['# People with access to Sanity Pads]])</f>
        <v>0</v>
      </c>
      <c r="DK34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48" s="803">
        <f>IF(WWWW[[#This Row],[HRP3]]/WWWW[[#This Row],[Total PoP ]]&gt;1,1,WWWW[[#This Row],[HRP3]]/WWWW[[#This Row],[Total PoP ]])</f>
        <v>0</v>
      </c>
      <c r="DM348" s="802">
        <f>1-WWWW[[#This Row],[Hygiene Coverage%]]</f>
        <v>1</v>
      </c>
      <c r="DN348" s="800">
        <f>WWWW[[#This Row],['# people reached by regular dedicated hygiene promotion_5]]/WWWW[[#This Row],[Total PoP ]]</f>
        <v>0</v>
      </c>
      <c r="DO34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8" s="801">
        <f>WWWW[[#This Row],['#_Constructed/Existing hand washing stations]]-WWWW[[#This Row],['#_Non-Functional_hand_washing_stations]]</f>
        <v>0</v>
      </c>
      <c r="DR348" s="798">
        <f>IF(WWWW[[#This Row],['# Functional hand washing stations during reporting period]]*20&gt;WWWW[[#This Row],[Total HH]],WWWW[[#This Row],[Total HH]],WWWW[[#This Row],['# Functional hand washing stations during reporting period]]*20)</f>
        <v>0</v>
      </c>
      <c r="DS348" s="798">
        <f>IF(WWWW[[#This Row],[Is sufficient soap available for TLS? (Yes/No)]]="yes",WWWW[[#This Row],['#_Constructed/Existing hand washing stations at TLS]],0)</f>
        <v>0</v>
      </c>
      <c r="DT348" s="479">
        <f>IF(WWWW[[#This Row],['# Functional hand washing stations during reporting period]]*100&gt;WWWW[[#This Row],[Total PoP ]],WWWW[[#This Row],[Total PoP ]],WWWW[[#This Row],['# Functional hand washing stations during reporting period]]*100)</f>
        <v>0</v>
      </c>
      <c r="DU348" s="479" t="str">
        <f>IF(OR(WWWW[[#This Row],['#_students at TLS_CFS]]="",WWWW[[#This Row],['#_students at TLS_CFS]]=0),"No","Yes")</f>
        <v>No</v>
      </c>
      <c r="DV34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8" s="794">
        <f>VLOOKUP(WWWW[[#This Row],[Site Name]],SiteDB6[[Site Name]:[CCCM Management]],6,FALSE)</f>
        <v>0</v>
      </c>
      <c r="DZ348" s="794" t="str">
        <f>VLOOKUP(WWWW[[#This Row],[Site Name]],SiteDB6[[Site Name]:[CCCM Focal Agency]],7,FALSE)</f>
        <v>uncovered</v>
      </c>
      <c r="EA348" s="794" t="str">
        <f>VLOOKUP(WWWW[[#This Row],[Site Name]],SiteDB6[[Site Name]:[Location Type 1]],9,FALSE)</f>
        <v>Camp</v>
      </c>
      <c r="EB348" s="794" t="str">
        <f>VLOOKUP(WWWW[[#This Row],[Site Name]],SiteDB6[[Site Name]:[Type of Accommodation]],10,FALSE)</f>
        <v>Host Families</v>
      </c>
      <c r="EC348" s="794" t="str">
        <f>VLOOKUP(WWWW[[#This Row],[Site Name]],SiteDB6[[Site Name]:[Ethnic or GCA/NGCA]],11,FALSE)</f>
        <v>GCA</v>
      </c>
      <c r="ED348" s="794">
        <f>VLOOKUP(WWWW[[#This Row],[Site Name]],SiteDB6[[Site Name]:[Lat]],12,FALSE)</f>
        <v>24.404876999999999</v>
      </c>
      <c r="EE348" s="794">
        <f>VLOOKUP(WWWW[[#This Row],[Site Name]],SiteDB6[[Site Name]:[Long]],13,FALSE)</f>
        <v>97.407787999999996</v>
      </c>
      <c r="EF348" s="794" t="str">
        <f>VLOOKUP(WWWW[[#This Row],[Site Name]],SiteDB6[[Site Name]:[Pcode]],3,FALSE)</f>
        <v>MMR001CMP061</v>
      </c>
      <c r="EG348" s="799" t="str">
        <f t="shared" si="8"/>
        <v>Notcovered</v>
      </c>
      <c r="EH348" s="799" t="str">
        <f>VLOOKUP(WWWW[[#This Row],[Site Name]],Site_DB!$C$389:$D$1120,2,FALSE)</f>
        <v>cccm_2019OCT</v>
      </c>
    </row>
    <row r="349" spans="1:138" hidden="1">
      <c r="A349" s="792" t="s">
        <v>3262</v>
      </c>
      <c r="B349" s="792" t="s">
        <v>144</v>
      </c>
      <c r="C349" s="793" t="s">
        <v>144</v>
      </c>
      <c r="D349" s="793" t="s">
        <v>3280</v>
      </c>
      <c r="E349" s="793" t="s">
        <v>39</v>
      </c>
      <c r="F349" s="793" t="s">
        <v>145</v>
      </c>
      <c r="G349" s="721" t="str">
        <f>VLOOKUP(WWWW[[#This Row],[Site Name]],SiteDB6[[Site Name]:[Location Type]],8,FALSE)</f>
        <v>Camp</v>
      </c>
      <c r="H349" s="793" t="s">
        <v>146</v>
      </c>
      <c r="I349" s="795">
        <v>391</v>
      </c>
      <c r="J349" s="795">
        <v>1775</v>
      </c>
      <c r="K349" s="796">
        <v>43475</v>
      </c>
      <c r="L349" s="797" t="s">
        <v>3281</v>
      </c>
      <c r="M349" s="795"/>
      <c r="N349" s="795"/>
      <c r="O349" s="795"/>
      <c r="P349" s="795"/>
      <c r="Q349" s="798" t="s">
        <v>43</v>
      </c>
      <c r="R349" s="795"/>
      <c r="S349" s="795">
        <v>2</v>
      </c>
      <c r="T349" s="523">
        <v>0</v>
      </c>
      <c r="U349" s="795"/>
      <c r="V349" s="795"/>
      <c r="W349" s="795">
        <v>0</v>
      </c>
      <c r="X349" s="795"/>
      <c r="Y349" s="795"/>
      <c r="Z349" s="795"/>
      <c r="AA349" s="795">
        <v>4</v>
      </c>
      <c r="AB349" s="795"/>
      <c r="AC349" s="795"/>
      <c r="AD349" s="795"/>
      <c r="AE349" s="795"/>
      <c r="AF349" s="795"/>
      <c r="AG349" s="795"/>
      <c r="AH349" s="795">
        <v>0</v>
      </c>
      <c r="AI349" s="795"/>
      <c r="AJ349" s="795"/>
      <c r="AK349" s="795"/>
      <c r="AL349" s="795"/>
      <c r="AM349" s="795"/>
      <c r="AN349" s="795"/>
      <c r="AO349" s="799"/>
      <c r="AP349" s="795">
        <v>391</v>
      </c>
      <c r="AQ349" s="795"/>
      <c r="AR349" s="800"/>
      <c r="AS349" s="795"/>
      <c r="AT349" s="795"/>
      <c r="AU349" s="795"/>
      <c r="AV349" s="795"/>
      <c r="AW349" s="795">
        <v>413</v>
      </c>
      <c r="AX349" s="794" t="s">
        <v>43</v>
      </c>
      <c r="AY349" s="799" t="s">
        <v>140</v>
      </c>
      <c r="AZ349" s="795"/>
      <c r="BA349" s="795"/>
      <c r="BB349" s="795"/>
      <c r="BC349" s="523"/>
      <c r="BD349" s="523"/>
      <c r="BE349" s="794"/>
      <c r="BF349" s="795">
        <v>413</v>
      </c>
      <c r="BG349" s="795"/>
      <c r="BH349" s="795"/>
      <c r="BI349" s="795">
        <v>9</v>
      </c>
      <c r="BJ349" s="795"/>
      <c r="BK349" s="795"/>
      <c r="BL349" s="795">
        <v>5</v>
      </c>
      <c r="BM349" s="795"/>
      <c r="BN349" s="795"/>
      <c r="BO349" s="794"/>
      <c r="BP349" s="801"/>
      <c r="BQ349" s="800"/>
      <c r="BR349" s="794"/>
      <c r="BS349" s="472"/>
      <c r="BT349" s="472"/>
      <c r="BU349" s="523"/>
      <c r="BV349" s="472"/>
      <c r="BW349" s="523"/>
      <c r="BX349" s="523"/>
      <c r="BY349" s="523"/>
      <c r="BZ349" s="802" t="str">
        <f>IFERROR(WWWW[[#This Row],['#_Water sources passed]]/WWWW[[#This Row],['#_Water sources tested for fecal coliform ]],"no test")</f>
        <v>no test</v>
      </c>
      <c r="CA349" s="800" t="str">
        <f>IFERROR(WWWW[[#This Row],['#_Household passed]]/WWWW[[#This Row],['#_Household water samples tested for fecal coliform]],"no test")</f>
        <v>no test</v>
      </c>
      <c r="CB349" s="801" t="str">
        <f>IF(AND(WWWW[[#This Row],[% of water sources passed]]="no test",WWWW[[#This Row],[% Household passed]]="no test"),"No Test","Tested")</f>
        <v>No Test</v>
      </c>
      <c r="CC349" s="801">
        <f>WWWW[[#This Row],['#_Constructed/existing protected hand dug well]]-WWWW[[#This Row],['#_Non-functional protected hand dug well]]</f>
        <v>0</v>
      </c>
      <c r="CD349" s="801">
        <f>(WWWW[[#This Row],['#_Constructed/Existing tube wells/boreholes/handpumps_WASH_agency]]+WWWW[[#This Row],['#_Non-Cluster partner water tube-wells/boreholes/handpumps]])-WWWW[[#This Row],['#_Non-functional tube wells/boreholes/handpumps]]</f>
        <v>0</v>
      </c>
      <c r="CE349" s="801">
        <f>WWWW[[#This Row],['#_Constructed/Existingwater storage tank with gravity fed reticulation system]]-WWWW[[#This Row],['#_Non-functional storage tank gravity fed reticulation system]]</f>
        <v>4</v>
      </c>
      <c r="CF349" s="801">
        <f>(WWWW[[#This Row],['#_Water_Liters_supplied_by_Water boating or water trucking]]/90)/15</f>
        <v>0</v>
      </c>
      <c r="CG349" s="801">
        <f>WWWW[[#This Row],['#_Water_Liters_from_Constructed/Existing water distribution system from river or natural spring]]/90/15</f>
        <v>0</v>
      </c>
      <c r="CH349" s="473">
        <f>WWWW[[#This Row],['#_of water points in TLS/CFS /THF]]*500</f>
        <v>0</v>
      </c>
      <c r="CI34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0.15023474178403756</v>
      </c>
      <c r="CJ34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0.15023474178403756</v>
      </c>
      <c r="CK349" s="800">
        <f>IF(WWWW[[#This Row],[Location Type 1]]="Village",WWWW[[#This Row],[Access to safe drinking water for Village]],WWWW[[#This Row],[Access to safe drinking water for Camp]])</f>
        <v>0.15023474178403756</v>
      </c>
      <c r="CL349" s="798">
        <f>WWWW[[#This Row],[%Equitable and continuous access to sufficient quantity of safe drinking water]]*WWWW[[#This Row],[Total PoP ]]</f>
        <v>266.66666666666669</v>
      </c>
      <c r="CM349" s="800">
        <f>IF((WWWW[[#This Row],['#_Constructed/Existing protected/fenced ponds]]*250)/WWWW[[#This Row],[Total PoP ]]&gt;1,1,(WWWW[[#This Row],['#_Constructed/Existing protected/fenced ponds]]*250)/WWWW[[#This Row],[Total PoP ]])</f>
        <v>0</v>
      </c>
      <c r="CN349" s="798">
        <f>WWWW[[#This Row],[% Access to unimproved water points]]*WWWW[[#This Row],[Total PoP ]]</f>
        <v>0</v>
      </c>
      <c r="CO34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P34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Q349" s="798">
        <f>WWWW[[#This Row],[HRP1]]/500</f>
        <v>0.53333333333333333</v>
      </c>
      <c r="CR349" s="803">
        <f>1-WWWW[[#This Row],[% Equitable and continuous access to sufficient quantity of domestic water]]</f>
        <v>0.84976525821596249</v>
      </c>
      <c r="CS349" s="798">
        <f>WWWW[[#This Row],[%equitable and continuous access to sufficient quantity of safe drinking and domestic water''s GAP]]*WWWW[[#This Row],[Total PoP ]]</f>
        <v>1508.3333333333335</v>
      </c>
      <c r="CT349" s="801">
        <f>IF(WWWW[[#This Row],[Total required water points]]-WWWW[[#This Row],['#Water points coverage]]&lt;0,0,WWWW[[#This Row],[Total required water points]]-WWWW[[#This Row],['#Water points coverage]])</f>
        <v>3.4666666666666668</v>
      </c>
      <c r="CU349" s="801">
        <f>ROUND(IF(WWWW[[#This Row],[Total PoP ]]&lt;500,1,WWWW[[#This Row],[Total PoP ]]/500),0)</f>
        <v>4</v>
      </c>
      <c r="CV349" s="801">
        <f>(WWWW[[#This Row],['#_Constructed latrines_by_WASHAgencies]]+WWWW[[#This Row],['#_Non Cluster partner latrines]])-WWWW[[#This Row],['#_Non-functional latrines]]</f>
        <v>391</v>
      </c>
      <c r="CW349" s="804">
        <f>WWWW[[#This Row],[HRP2]]/WWWW[[#This Row],[Total PoP ]]</f>
        <v>1</v>
      </c>
      <c r="CX34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1775</v>
      </c>
      <c r="CY34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4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49" s="473">
        <f>IF(WWWW[[#This Row],['# of functional latrines in THF supported by WASH partners during the reporting period2]]="",0,WWWW[[#This Row],['# of functional latrines in THF supported by WASH partners during the reporting period2]]*50)</f>
        <v>0</v>
      </c>
      <c r="DB349" s="473">
        <f>WWWW[[#This Row],['# students access to functioning school latrines_HRP5]]+WWWW[[#This Row],['# People access to functioning latrines in THF_HRP5]]</f>
        <v>0</v>
      </c>
      <c r="DC349" s="801">
        <f>ROUND(IF(WWWW[[#This Row],[Location Type 1]]="camp",WWWW[[#This Row],[Total PoP ]]/20,IF(WWWW[[#This Row],[Location Type 1]]="Temporary Location",WWWW[[#This Row],[Total PoP ]]/50,(WWWW[[#This Row],[Total PoP ]]/6))),0)</f>
        <v>89</v>
      </c>
      <c r="DD349" s="801">
        <f>IF(WWWW[[#This Row],[Total required Latrines]]-(WWWW[[#This Row],['#_Constructed latrines_by_WASHAgencies]]+WWWW[[#This Row],['#_Non Cluster partner latrines]])&lt;0,0,WWWW[[#This Row],[Total required Latrines]]-(WWWW[[#This Row],['#_Constructed latrines_by_WASHAgencies]]+WWWW[[#This Row],['#_Non Cluster partner latrines]]))</f>
        <v>0</v>
      </c>
      <c r="DE349" s="803">
        <f>1-WWWW[[#This Row],[% people access to functioning Latrine]]</f>
        <v>0</v>
      </c>
      <c r="DF349" s="802">
        <f>IF(OR(WWWW[[#This Row],['#_Non-functional latrines]]="",WWWW[[#This Row],['#_Non-functional latrines]]=0),0,WWWW[[#This Row],['#_Non-functional latrines]]/(WWWW[[#This Row],['#_Constructed latrines_by_WASHAgencies]]+WWWW[[#This Row],['#_Non Cluster partner latrines]]))</f>
        <v>0</v>
      </c>
      <c r="DG349" s="798">
        <f>IF(500*(WWWW[[#This Row],['#_male hygiene promoters]]+WWWW[[#This Row],['#_female hygiene promoters]])&gt;WWWW[[#This Row],[Total PoP ]],WWWW[[#This Row],[Total PoP ]],500*(WWWW[[#This Row],['#_male hygiene promoters]]+WWWW[[#This Row],['#_female hygiene promoters]]))</f>
        <v>1775</v>
      </c>
      <c r="DH34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4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49" s="801">
        <f>IF(WWWW[[#This Row],['# People with access to soap]]&gt;WWWW[[#This Row],['# People with access to Sanity Pads]],WWWW[[#This Row],['# People with access to soap]],WWWW[[#This Row],['# People with access to Sanity Pads]])</f>
        <v>0</v>
      </c>
      <c r="DK349" s="801">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DL349" s="803">
        <f>IF(WWWW[[#This Row],[HRP3]]/WWWW[[#This Row],[Total PoP ]]&gt;1,1,WWWW[[#This Row],[HRP3]]/WWWW[[#This Row],[Total PoP ]])</f>
        <v>1</v>
      </c>
      <c r="DM349" s="802">
        <f>1-WWWW[[#This Row],[Hygiene Coverage%]]</f>
        <v>0</v>
      </c>
      <c r="DN349" s="800">
        <f>WWWW[[#This Row],['# people reached by regular dedicated hygiene promotion_5]]/WWWW[[#This Row],[Total PoP ]]</f>
        <v>1</v>
      </c>
      <c r="DO34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4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49" s="801">
        <f>WWWW[[#This Row],['#_Constructed/Existing hand washing stations]]-WWWW[[#This Row],['#_Non-Functional_hand_washing_stations]]</f>
        <v>413</v>
      </c>
      <c r="DR349" s="798">
        <f>IF(WWWW[[#This Row],['# Functional hand washing stations during reporting period]]*20&gt;WWWW[[#This Row],[Total HH]],WWWW[[#This Row],[Total HH]],WWWW[[#This Row],['# Functional hand washing stations during reporting period]]*20)</f>
        <v>391</v>
      </c>
      <c r="DS349" s="798">
        <f>IF(WWWW[[#This Row],[Is sufficient soap available for TLS? (Yes/No)]]="yes",WWWW[[#This Row],['#_Constructed/Existing hand washing stations at TLS]],0)</f>
        <v>0</v>
      </c>
      <c r="DT349" s="479">
        <f>IF(WWWW[[#This Row],['# Functional hand washing stations during reporting period]]*100&gt;WWWW[[#This Row],[Total PoP ]],WWWW[[#This Row],[Total PoP ]],WWWW[[#This Row],['# Functional hand washing stations during reporting period]]*100)</f>
        <v>1775</v>
      </c>
      <c r="DU349" s="479" t="str">
        <f>IF(OR(WWWW[[#This Row],['#_students at TLS_CFS]]="",WWWW[[#This Row],['#_students at TLS_CFS]]=0),"No","Yes")</f>
        <v>No</v>
      </c>
      <c r="DV34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49" s="794" t="str">
        <f>VLOOKUP(WWWW[[#This Row],[Site Name]],SiteDB6[[Site Name]:[CCCM Management]],6,FALSE)</f>
        <v>Yes</v>
      </c>
      <c r="DZ349" s="794" t="str">
        <f>VLOOKUP(WWWW[[#This Row],[Site Name]],SiteDB6[[Site Name]:[CCCM Focal Agency]],7,FALSE)</f>
        <v>KBC-MYT</v>
      </c>
      <c r="EA349" s="794" t="str">
        <f>VLOOKUP(WWWW[[#This Row],[Site Name]],SiteDB6[[Site Name]:[Location Type 1]],9,FALSE)</f>
        <v>Camp</v>
      </c>
      <c r="EB349" s="794" t="str">
        <f>VLOOKUP(WWWW[[#This Row],[Site Name]],SiteDB6[[Site Name]:[Type of Accommodation]],10,FALSE)</f>
        <v>Camp</v>
      </c>
      <c r="EC349" s="794" t="str">
        <f>VLOOKUP(WWWW[[#This Row],[Site Name]],SiteDB6[[Site Name]:[Ethnic or GCA/NGCA]],11,FALSE)</f>
        <v>NGCA</v>
      </c>
      <c r="ED349" s="794">
        <f>VLOOKUP(WWWW[[#This Row],[Site Name]],SiteDB6[[Site Name]:[Lat]],12,FALSE)</f>
        <v>0</v>
      </c>
      <c r="EE349" s="794">
        <f>VLOOKUP(WWWW[[#This Row],[Site Name]],SiteDB6[[Site Name]:[Long]],13,FALSE)</f>
        <v>0</v>
      </c>
      <c r="EF349" s="794" t="str">
        <f>VLOOKUP(WWWW[[#This Row],[Site Name]],SiteDB6[[Site Name]:[Pcode]],3,FALSE)</f>
        <v>MMR001CMP249</v>
      </c>
      <c r="EG349" s="799" t="str">
        <f t="shared" si="8"/>
        <v>Covered</v>
      </c>
      <c r="EH349" s="799" t="str">
        <f>VLOOKUP(WWWW[[#This Row],[Site Name]],Site_DB!$C$389:$D$1120,2,FALSE)</f>
        <v>cccm_2019OCT</v>
      </c>
    </row>
    <row r="350" spans="1:138" hidden="1">
      <c r="A350" s="792" t="s">
        <v>3262</v>
      </c>
      <c r="B350" s="792" t="s">
        <v>245</v>
      </c>
      <c r="C350" s="793" t="s">
        <v>245</v>
      </c>
      <c r="D350" s="793" t="s">
        <v>310</v>
      </c>
      <c r="E350" s="793" t="s">
        <v>39</v>
      </c>
      <c r="F350" s="793" t="s">
        <v>162</v>
      </c>
      <c r="G350" s="721" t="str">
        <f>VLOOKUP(WWWW[[#This Row],[Site Name]],SiteDB6[[Site Name]:[Location Type]],8,FALSE)</f>
        <v>Camp</v>
      </c>
      <c r="H350" s="793" t="s">
        <v>269</v>
      </c>
      <c r="I350" s="795">
        <v>54</v>
      </c>
      <c r="J350" s="795">
        <v>253</v>
      </c>
      <c r="K350" s="796">
        <v>43313</v>
      </c>
      <c r="L350" s="797">
        <v>44043</v>
      </c>
      <c r="M350" s="795"/>
      <c r="N350" s="795">
        <v>1</v>
      </c>
      <c r="O350" s="795"/>
      <c r="P350" s="795"/>
      <c r="Q350" s="798" t="s">
        <v>43</v>
      </c>
      <c r="R350" s="795">
        <v>2</v>
      </c>
      <c r="S350" s="795">
        <v>3</v>
      </c>
      <c r="T350" s="523">
        <v>1</v>
      </c>
      <c r="U350" s="795"/>
      <c r="V350" s="795"/>
      <c r="W350" s="795">
        <v>4</v>
      </c>
      <c r="X350" s="795">
        <v>0</v>
      </c>
      <c r="Y350" s="795"/>
      <c r="Z350" s="795"/>
      <c r="AA350" s="795"/>
      <c r="AB350" s="795"/>
      <c r="AC350" s="795"/>
      <c r="AD350" s="795"/>
      <c r="AE350" s="795"/>
      <c r="AF350" s="795"/>
      <c r="AG350" s="795"/>
      <c r="AH350" s="795"/>
      <c r="AI350" s="795"/>
      <c r="AJ350" s="795"/>
      <c r="AK350" s="795"/>
      <c r="AL350" s="795"/>
      <c r="AM350" s="795"/>
      <c r="AN350" s="795"/>
      <c r="AO350" s="799"/>
      <c r="AP350" s="795">
        <v>19</v>
      </c>
      <c r="AQ350" s="795">
        <v>0</v>
      </c>
      <c r="AR350" s="800"/>
      <c r="AS350" s="795"/>
      <c r="AT350" s="795"/>
      <c r="AU350" s="795"/>
      <c r="AV350" s="795"/>
      <c r="AW350" s="795"/>
      <c r="AX350" s="794" t="s">
        <v>43</v>
      </c>
      <c r="AY350" s="799" t="s">
        <v>140</v>
      </c>
      <c r="AZ350" s="795"/>
      <c r="BA350" s="795">
        <v>1</v>
      </c>
      <c r="BB350" s="795"/>
      <c r="BC350" s="523"/>
      <c r="BD350" s="523"/>
      <c r="BE350" s="794"/>
      <c r="BF350" s="795">
        <v>7</v>
      </c>
      <c r="BG350" s="795"/>
      <c r="BH350" s="795"/>
      <c r="BI350" s="795">
        <v>4</v>
      </c>
      <c r="BJ350" s="795"/>
      <c r="BK350" s="795">
        <v>2</v>
      </c>
      <c r="BL350" s="795">
        <v>3</v>
      </c>
      <c r="BM350" s="795"/>
      <c r="BN350" s="795"/>
      <c r="BO350" s="794"/>
      <c r="BP350" s="801"/>
      <c r="BQ350" s="800"/>
      <c r="BR350" s="794"/>
      <c r="BS350" s="472"/>
      <c r="BT350" s="472"/>
      <c r="BU350" s="720"/>
      <c r="BV350" s="472"/>
      <c r="BW350" s="523"/>
      <c r="BX350" s="523"/>
      <c r="BY350" s="523"/>
      <c r="BZ350" s="802" t="str">
        <f>IFERROR(WWWW[[#This Row],['#_Water sources passed]]/WWWW[[#This Row],['#_Water sources tested for fecal coliform ]],"no test")</f>
        <v>no test</v>
      </c>
      <c r="CA350" s="800" t="str">
        <f>IFERROR(WWWW[[#This Row],['#_Household passed]]/WWWW[[#This Row],['#_Household water samples tested for fecal coliform]],"no test")</f>
        <v>no test</v>
      </c>
      <c r="CB350" s="801" t="str">
        <f>IF(AND(WWWW[[#This Row],[% of water sources passed]]="no test",WWWW[[#This Row],[% Household passed]]="no test"),"No Test","Tested")</f>
        <v>No Test</v>
      </c>
      <c r="CC350" s="801">
        <f>WWWW[[#This Row],['#_Constructed/existing protected hand dug well]]-WWWW[[#This Row],['#_Non-functional protected hand dug well]]</f>
        <v>1</v>
      </c>
      <c r="CD350" s="801">
        <f>(WWWW[[#This Row],['#_Constructed/Existing tube wells/boreholes/handpumps_WASH_agency]]+WWWW[[#This Row],['#_Non-Cluster partner water tube-wells/boreholes/handpumps]])-WWWW[[#This Row],['#_Non-functional tube wells/boreholes/handpumps]]</f>
        <v>4</v>
      </c>
      <c r="CE350" s="801">
        <f>WWWW[[#This Row],['#_Constructed/Existingwater storage tank with gravity fed reticulation system]]-WWWW[[#This Row],['#_Non-functional storage tank gravity fed reticulation system]]</f>
        <v>0</v>
      </c>
      <c r="CF350" s="801">
        <f>(WWWW[[#This Row],['#_Water_Liters_supplied_by_Water boating or water trucking]]/90)/15</f>
        <v>0</v>
      </c>
      <c r="CG350" s="801">
        <f>WWWW[[#This Row],['#_Water_Liters_from_Constructed/Existing water distribution system from river or natural spring]]/90/15</f>
        <v>0</v>
      </c>
      <c r="CH350" s="473">
        <f>WWWW[[#This Row],['#_of water points in TLS/CFS /THF]]*500</f>
        <v>0</v>
      </c>
      <c r="CI35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0" s="800">
        <f>IF(WWWW[[#This Row],[Location Type 1]]="Village",WWWW[[#This Row],[Access to safe drinking water for Village]],WWWW[[#This Row],[Access to safe drinking water for Camp]])</f>
        <v>1</v>
      </c>
      <c r="CL350" s="798">
        <f>WWWW[[#This Row],[%Equitable and continuous access to sufficient quantity of safe drinking water]]*WWWW[[#This Row],[Total PoP ]]</f>
        <v>253</v>
      </c>
      <c r="CM350" s="800">
        <f>IF((WWWW[[#This Row],['#_Constructed/Existing protected/fenced ponds]]*250)/WWWW[[#This Row],[Total PoP ]]&gt;1,1,(WWWW[[#This Row],['#_Constructed/Existing protected/fenced ponds]]*250)/WWWW[[#This Row],[Total PoP ]])</f>
        <v>0</v>
      </c>
      <c r="CN350" s="798">
        <f>WWWW[[#This Row],[% Access to unimproved water points]]*WWWW[[#This Row],[Total PoP ]]</f>
        <v>0</v>
      </c>
      <c r="CO35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Q350" s="798">
        <f>WWWW[[#This Row],[HRP1]]/500</f>
        <v>0.50600000000000001</v>
      </c>
      <c r="CR350" s="803">
        <f>1-WWWW[[#This Row],[% Equitable and continuous access to sufficient quantity of domestic water]]</f>
        <v>0</v>
      </c>
      <c r="CS350" s="798">
        <f>WWWW[[#This Row],[%equitable and continuous access to sufficient quantity of safe drinking and domestic water''s GAP]]*WWWW[[#This Row],[Total PoP ]]</f>
        <v>0</v>
      </c>
      <c r="CT350" s="801">
        <f>IF(WWWW[[#This Row],[Total required water points]]-WWWW[[#This Row],['#Water points coverage]]&lt;0,0,WWWW[[#This Row],[Total required water points]]-WWWW[[#This Row],['#Water points coverage]])</f>
        <v>0.49399999999999999</v>
      </c>
      <c r="CU350" s="801">
        <f>ROUND(IF(WWWW[[#This Row],[Total PoP ]]&lt;500,1,WWWW[[#This Row],[Total PoP ]]/500),0)</f>
        <v>1</v>
      </c>
      <c r="CV350" s="801">
        <f>(WWWW[[#This Row],['#_Constructed latrines_by_WASHAgencies]]+WWWW[[#This Row],['#_Non Cluster partner latrines]])-WWWW[[#This Row],['#_Non-functional latrines]]</f>
        <v>19</v>
      </c>
      <c r="CW350" s="804">
        <f>WWWW[[#This Row],[HRP2]]/WWWW[[#This Row],[Total PoP ]]</f>
        <v>1</v>
      </c>
      <c r="CX35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253</v>
      </c>
      <c r="CY35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0" s="473">
        <f>IF(WWWW[[#This Row],['# of functional latrines in THF supported by WASH partners during the reporting period2]]="",0,WWWW[[#This Row],['# of functional latrines in THF supported by WASH partners during the reporting period2]]*50)</f>
        <v>0</v>
      </c>
      <c r="DB350" s="473">
        <f>WWWW[[#This Row],['# students access to functioning school latrines_HRP5]]+WWWW[[#This Row],['# People access to functioning latrines in THF_HRP5]]</f>
        <v>0</v>
      </c>
      <c r="DC350" s="801">
        <f>ROUND(IF(WWWW[[#This Row],[Location Type 1]]="camp",WWWW[[#This Row],[Total PoP ]]/20,IF(WWWW[[#This Row],[Location Type 1]]="Temporary Location",WWWW[[#This Row],[Total PoP ]]/50,(WWWW[[#This Row],[Total PoP ]]/6))),0)</f>
        <v>13</v>
      </c>
      <c r="DD350" s="801">
        <f>IF(WWWW[[#This Row],[Total required Latrines]]-(WWWW[[#This Row],['#_Constructed latrines_by_WASHAgencies]]+WWWW[[#This Row],['#_Non Cluster partner latrines]])&lt;0,0,WWWW[[#This Row],[Total required Latrines]]-(WWWW[[#This Row],['#_Constructed latrines_by_WASHAgencies]]+WWWW[[#This Row],['#_Non Cluster partner latrines]]))</f>
        <v>0</v>
      </c>
      <c r="DE350" s="803">
        <f>1-WWWW[[#This Row],[% people access to functioning Latrine]]</f>
        <v>0</v>
      </c>
      <c r="DF350" s="802">
        <f>IF(OR(WWWW[[#This Row],['#_Non-functional latrines]]="",WWWW[[#This Row],['#_Non-functional latrines]]=0),0,WWWW[[#This Row],['#_Non-functional latrines]]/(WWWW[[#This Row],['#_Constructed latrines_by_WASHAgencies]]+WWWW[[#This Row],['#_Non Cluster partner latrines]]))</f>
        <v>0</v>
      </c>
      <c r="DG350" s="798">
        <f>IF(500*(WWWW[[#This Row],['#_male hygiene promoters]]+WWWW[[#This Row],['#_female hygiene promoters]])&gt;WWWW[[#This Row],[Total PoP ]],WWWW[[#This Row],[Total PoP ]],500*(WWWW[[#This Row],['#_male hygiene promoters]]+WWWW[[#This Row],['#_female hygiene promoters]]))</f>
        <v>253</v>
      </c>
      <c r="DH35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0" s="801">
        <f>IF(WWWW[[#This Row],['# People with access to soap]]&gt;WWWW[[#This Row],['# People with access to Sanity Pads]],WWWW[[#This Row],['# People with access to soap]],WWWW[[#This Row],['# People with access to Sanity Pads]])</f>
        <v>0</v>
      </c>
      <c r="DK350" s="801">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L350" s="803">
        <f>IF(WWWW[[#This Row],[HRP3]]/WWWW[[#This Row],[Total PoP ]]&gt;1,1,WWWW[[#This Row],[HRP3]]/WWWW[[#This Row],[Total PoP ]])</f>
        <v>1</v>
      </c>
      <c r="DM350" s="802">
        <f>1-WWWW[[#This Row],[Hygiene Coverage%]]</f>
        <v>0</v>
      </c>
      <c r="DN350" s="800">
        <f>WWWW[[#This Row],['# people reached by regular dedicated hygiene promotion_5]]/WWWW[[#This Row],[Total PoP ]]</f>
        <v>1</v>
      </c>
      <c r="DO35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0" s="801">
        <f>WWWW[[#This Row],['#_Constructed/Existing hand washing stations]]-WWWW[[#This Row],['#_Non-Functional_hand_washing_stations]]</f>
        <v>7</v>
      </c>
      <c r="DR350" s="798">
        <f>IF(WWWW[[#This Row],['# Functional hand washing stations during reporting period]]*20&gt;WWWW[[#This Row],[Total HH]],WWWW[[#This Row],[Total HH]],WWWW[[#This Row],['# Functional hand washing stations during reporting period]]*20)</f>
        <v>54</v>
      </c>
      <c r="DS350" s="798">
        <f>IF(WWWW[[#This Row],[Is sufficient soap available for TLS? (Yes/No)]]="yes",WWWW[[#This Row],['#_Constructed/Existing hand washing stations at TLS]],0)</f>
        <v>0</v>
      </c>
      <c r="DT350" s="479">
        <f>IF(WWWW[[#This Row],['# Functional hand washing stations during reporting period]]*100&gt;WWWW[[#This Row],[Total PoP ]],WWWW[[#This Row],[Total PoP ]],WWWW[[#This Row],['# Functional hand washing stations during reporting period]]*100)</f>
        <v>253</v>
      </c>
      <c r="DU350" s="479" t="str">
        <f>IF(OR(WWWW[[#This Row],['#_students at TLS_CFS]]="",WWWW[[#This Row],['#_students at TLS_CFS]]=0),"No","Yes")</f>
        <v>No</v>
      </c>
      <c r="DV35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0" s="794" t="str">
        <f>VLOOKUP(WWWW[[#This Row],[Site Name]],SiteDB6[[Site Name]:[CCCM Management]],6,FALSE)</f>
        <v>Yes</v>
      </c>
      <c r="DZ350" s="794" t="str">
        <f>VLOOKUP(WWWW[[#This Row],[Site Name]],SiteDB6[[Site Name]:[CCCM Focal Agency]],7,FALSE)</f>
        <v>Shalom</v>
      </c>
      <c r="EA350" s="794" t="str">
        <f>VLOOKUP(WWWW[[#This Row],[Site Name]],SiteDB6[[Site Name]:[Location Type 1]],9,FALSE)</f>
        <v>Camp</v>
      </c>
      <c r="EB350" s="794" t="str">
        <f>VLOOKUP(WWWW[[#This Row],[Site Name]],SiteDB6[[Site Name]:[Type of Accommodation]],10,FALSE)</f>
        <v>Camp</v>
      </c>
      <c r="EC350" s="794" t="str">
        <f>VLOOKUP(WWWW[[#This Row],[Site Name]],SiteDB6[[Site Name]:[Ethnic or GCA/NGCA]],11,FALSE)</f>
        <v>GCA</v>
      </c>
      <c r="ED350" s="794">
        <f>VLOOKUP(WWWW[[#This Row],[Site Name]],SiteDB6[[Site Name]:[Lat]],12,FALSE)</f>
        <v>25.423209</v>
      </c>
      <c r="EE350" s="794">
        <f>VLOOKUP(WWWW[[#This Row],[Site Name]],SiteDB6[[Site Name]:[Long]],13,FALSE)</f>
        <v>97.379987</v>
      </c>
      <c r="EF350" s="794" t="str">
        <f>VLOOKUP(WWWW[[#This Row],[Site Name]],SiteDB6[[Site Name]:[Pcode]],3,FALSE)</f>
        <v>MMR001CMP023</v>
      </c>
      <c r="EG350" s="799" t="str">
        <f t="shared" si="8"/>
        <v>Covered</v>
      </c>
      <c r="EH350" s="799" t="str">
        <f>VLOOKUP(WWWW[[#This Row],[Site Name]],Site_DB!$C$389:$D$1120,2,FALSE)</f>
        <v>cccm_2019OCT</v>
      </c>
    </row>
    <row r="351" spans="1:138" hidden="1">
      <c r="A351" s="792" t="s">
        <v>3262</v>
      </c>
      <c r="B351" s="792" t="s">
        <v>38</v>
      </c>
      <c r="C351" s="793" t="s">
        <v>38</v>
      </c>
      <c r="D351" s="793" t="s">
        <v>244</v>
      </c>
      <c r="E351" s="793" t="s">
        <v>39</v>
      </c>
      <c r="F351" s="793" t="s">
        <v>151</v>
      </c>
      <c r="G351" s="721" t="str">
        <f>VLOOKUP(WWWW[[#This Row],[Site Name]],SiteDB6[[Site Name]:[Location Type]],8,FALSE)</f>
        <v>Camp</v>
      </c>
      <c r="H351" s="793" t="s">
        <v>2021</v>
      </c>
      <c r="I351" s="795">
        <v>16</v>
      </c>
      <c r="J351" s="795">
        <v>63</v>
      </c>
      <c r="K351" s="796">
        <v>43810</v>
      </c>
      <c r="L351" s="797">
        <v>44175</v>
      </c>
      <c r="M351" s="795">
        <v>73</v>
      </c>
      <c r="N351" s="795">
        <v>2</v>
      </c>
      <c r="O351" s="795"/>
      <c r="P351" s="795"/>
      <c r="Q351" s="798" t="s">
        <v>43</v>
      </c>
      <c r="R351" s="795">
        <v>2</v>
      </c>
      <c r="S351" s="795">
        <v>2</v>
      </c>
      <c r="T351" s="523">
        <v>4</v>
      </c>
      <c r="U351" s="795"/>
      <c r="V351" s="795"/>
      <c r="W351" s="795">
        <v>1</v>
      </c>
      <c r="X351" s="795"/>
      <c r="Y351" s="795"/>
      <c r="Z351" s="795">
        <v>1</v>
      </c>
      <c r="AA351" s="795">
        <v>1</v>
      </c>
      <c r="AB351" s="795"/>
      <c r="AC351" s="795"/>
      <c r="AD351" s="795"/>
      <c r="AE351" s="795"/>
      <c r="AF351" s="795"/>
      <c r="AG351" s="795"/>
      <c r="AH351" s="795">
        <v>1</v>
      </c>
      <c r="AI351" s="795"/>
      <c r="AJ351" s="795"/>
      <c r="AK351" s="795"/>
      <c r="AL351" s="795"/>
      <c r="AM351" s="795">
        <v>2</v>
      </c>
      <c r="AN351" s="795">
        <v>1</v>
      </c>
      <c r="AO351" s="799"/>
      <c r="AP351" s="795">
        <v>4</v>
      </c>
      <c r="AQ351" s="795"/>
      <c r="AR351" s="800"/>
      <c r="AS351" s="795"/>
      <c r="AT351" s="795">
        <v>1</v>
      </c>
      <c r="AU351" s="795"/>
      <c r="AV351" s="795"/>
      <c r="AW351" s="795"/>
      <c r="AX351" s="794" t="s">
        <v>43</v>
      </c>
      <c r="AY351" s="799" t="s">
        <v>139</v>
      </c>
      <c r="AZ351" s="795">
        <v>2</v>
      </c>
      <c r="BA351" s="795"/>
      <c r="BB351" s="795">
        <v>4</v>
      </c>
      <c r="BC351" s="523"/>
      <c r="BD351" s="523"/>
      <c r="BE351" s="794"/>
      <c r="BF351" s="795">
        <v>2</v>
      </c>
      <c r="BG351" s="795"/>
      <c r="BH351" s="795"/>
      <c r="BI351" s="795">
        <v>2</v>
      </c>
      <c r="BJ351" s="795"/>
      <c r="BK351" s="795"/>
      <c r="BL351" s="795">
        <v>1</v>
      </c>
      <c r="BM351" s="795"/>
      <c r="BN351" s="795"/>
      <c r="BO351" s="794"/>
      <c r="BP351" s="801"/>
      <c r="BQ351" s="800"/>
      <c r="BR351" s="794"/>
      <c r="BS351" s="472">
        <v>0.3</v>
      </c>
      <c r="BT351" s="472">
        <v>0.3</v>
      </c>
      <c r="BU351" s="523">
        <v>30</v>
      </c>
      <c r="BV351" s="472">
        <v>0.1</v>
      </c>
      <c r="BW351" s="523"/>
      <c r="BX351" s="523"/>
      <c r="BY351" s="523"/>
      <c r="BZ351" s="802" t="str">
        <f>IFERROR(WWWW[[#This Row],['#_Water sources passed]]/WWWW[[#This Row],['#_Water sources tested for fecal coliform ]],"no test")</f>
        <v>no test</v>
      </c>
      <c r="CA351" s="800" t="str">
        <f>IFERROR(WWWW[[#This Row],['#_Household passed]]/WWWW[[#This Row],['#_Household water samples tested for fecal coliform]],"no test")</f>
        <v>no test</v>
      </c>
      <c r="CB351" s="801" t="str">
        <f>IF(AND(WWWW[[#This Row],[% of water sources passed]]="no test",WWWW[[#This Row],[% Household passed]]="no test"),"No Test","Tested")</f>
        <v>No Test</v>
      </c>
      <c r="CC351" s="801">
        <f>WWWW[[#This Row],['#_Constructed/existing protected hand dug well]]-WWWW[[#This Row],['#_Non-functional protected hand dug well]]</f>
        <v>4</v>
      </c>
      <c r="CD351" s="801">
        <f>(WWWW[[#This Row],['#_Constructed/Existing tube wells/boreholes/handpumps_WASH_agency]]+WWWW[[#This Row],['#_Non-Cluster partner water tube-wells/boreholes/handpumps]])-WWWW[[#This Row],['#_Non-functional tube wells/boreholes/handpumps]]</f>
        <v>1</v>
      </c>
      <c r="CE351" s="801">
        <f>WWWW[[#This Row],['#_Constructed/Existingwater storage tank with gravity fed reticulation system]]-WWWW[[#This Row],['#_Non-functional storage tank gravity fed reticulation system]]</f>
        <v>1</v>
      </c>
      <c r="CF351" s="801">
        <f>(WWWW[[#This Row],['#_Water_Liters_supplied_by_Water boating or water trucking]]/90)/15</f>
        <v>0</v>
      </c>
      <c r="CG351" s="801">
        <f>WWWW[[#This Row],['#_Water_Liters_from_Constructed/Existing water distribution system from river or natural spring]]/90/15</f>
        <v>0</v>
      </c>
      <c r="CH351" s="473">
        <f>WWWW[[#This Row],['#_of water points in TLS/CFS /THF]]*500</f>
        <v>500</v>
      </c>
      <c r="CI35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1" s="800">
        <f>IF(WWWW[[#This Row],[Location Type 1]]="Village",WWWW[[#This Row],[Access to safe drinking water for Village]],WWWW[[#This Row],[Access to safe drinking water for Camp]])</f>
        <v>1</v>
      </c>
      <c r="CL351" s="798">
        <f>WWWW[[#This Row],[%Equitable and continuous access to sufficient quantity of safe drinking water]]*WWWW[[#This Row],[Total PoP ]]</f>
        <v>63</v>
      </c>
      <c r="CM351" s="800">
        <f>IF((WWWW[[#This Row],['#_Constructed/Existing protected/fenced ponds]]*250)/WWWW[[#This Row],[Total PoP ]]&gt;1,1,(WWWW[[#This Row],['#_Constructed/Existing protected/fenced ponds]]*250)/WWWW[[#This Row],[Total PoP ]])</f>
        <v>0</v>
      </c>
      <c r="CN351" s="798">
        <f>WWWW[[#This Row],[% Access to unimproved water points]]*WWWW[[#This Row],[Total PoP ]]</f>
        <v>0</v>
      </c>
      <c r="CO35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Q351" s="798">
        <f>WWWW[[#This Row],[HRP1]]/500</f>
        <v>0.126</v>
      </c>
      <c r="CR351" s="803">
        <f>1-WWWW[[#This Row],[% Equitable and continuous access to sufficient quantity of domestic water]]</f>
        <v>0</v>
      </c>
      <c r="CS351" s="798">
        <f>WWWW[[#This Row],[%equitable and continuous access to sufficient quantity of safe drinking and domestic water''s GAP]]*WWWW[[#This Row],[Total PoP ]]</f>
        <v>0</v>
      </c>
      <c r="CT351" s="801">
        <f>IF(WWWW[[#This Row],[Total required water points]]-WWWW[[#This Row],['#Water points coverage]]&lt;0,0,WWWW[[#This Row],[Total required water points]]-WWWW[[#This Row],['#Water points coverage]])</f>
        <v>0.874</v>
      </c>
      <c r="CU351" s="801">
        <f>ROUND(IF(WWWW[[#This Row],[Total PoP ]]&lt;500,1,WWWW[[#This Row],[Total PoP ]]/500),0)</f>
        <v>1</v>
      </c>
      <c r="CV351" s="801">
        <f>(WWWW[[#This Row],['#_Constructed latrines_by_WASHAgencies]]+WWWW[[#This Row],['#_Non Cluster partner latrines]])-WWWW[[#This Row],['#_Non-functional latrines]]</f>
        <v>4</v>
      </c>
      <c r="CW351" s="804">
        <f>WWWW[[#This Row],[HRP2]]/WWWW[[#This Row],[Total PoP ]]</f>
        <v>1</v>
      </c>
      <c r="CX35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63</v>
      </c>
      <c r="CY35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73</v>
      </c>
      <c r="DA351" s="473">
        <f>IF(WWWW[[#This Row],['# of functional latrines in THF supported by WASH partners during the reporting period2]]="",0,WWWW[[#This Row],['# of functional latrines in THF supported by WASH partners during the reporting period2]]*50)</f>
        <v>0</v>
      </c>
      <c r="DB351" s="473">
        <f>WWWW[[#This Row],['# students access to functioning school latrines_HRP5]]+WWWW[[#This Row],['# People access to functioning latrines in THF_HRP5]]</f>
        <v>73</v>
      </c>
      <c r="DC351" s="801">
        <f>ROUND(IF(WWWW[[#This Row],[Location Type 1]]="camp",WWWW[[#This Row],[Total PoP ]]/20,IF(WWWW[[#This Row],[Location Type 1]]="Temporary Location",WWWW[[#This Row],[Total PoP ]]/50,(WWWW[[#This Row],[Total PoP ]]/6))),0)</f>
        <v>3</v>
      </c>
      <c r="DD351" s="801">
        <f>IF(WWWW[[#This Row],[Total required Latrines]]-(WWWW[[#This Row],['#_Constructed latrines_by_WASHAgencies]]+WWWW[[#This Row],['#_Non Cluster partner latrines]])&lt;0,0,WWWW[[#This Row],[Total required Latrines]]-(WWWW[[#This Row],['#_Constructed latrines_by_WASHAgencies]]+WWWW[[#This Row],['#_Non Cluster partner latrines]]))</f>
        <v>0</v>
      </c>
      <c r="DE351" s="803">
        <f>1-WWWW[[#This Row],[% people access to functioning Latrine]]</f>
        <v>0</v>
      </c>
      <c r="DF351" s="802">
        <f>IF(OR(WWWW[[#This Row],['#_Non-functional latrines]]="",WWWW[[#This Row],['#_Non-functional latrines]]=0),0,WWWW[[#This Row],['#_Non-functional latrines]]/(WWWW[[#This Row],['#_Constructed latrines_by_WASHAgencies]]+WWWW[[#This Row],['#_Non Cluster partner latrines]]))</f>
        <v>0</v>
      </c>
      <c r="DG351" s="798">
        <f>IF(500*(WWWW[[#This Row],['#_male hygiene promoters]]+WWWW[[#This Row],['#_female hygiene promoters]])&gt;WWWW[[#This Row],[Total PoP ]],WWWW[[#This Row],[Total PoP ]],500*(WWWW[[#This Row],['#_male hygiene promoters]]+WWWW[[#This Row],['#_female hygiene promoters]]))</f>
        <v>63</v>
      </c>
      <c r="DH35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1" s="801">
        <f>IF(WWWW[[#This Row],['# People with access to soap]]&gt;WWWW[[#This Row],['# People with access to Sanity Pads]],WWWW[[#This Row],['# People with access to soap]],WWWW[[#This Row],['# People with access to Sanity Pads]])</f>
        <v>0</v>
      </c>
      <c r="DK351" s="801">
        <f>IF(WWWW[[#This Row],['# people reached by regular dedicated hygiene promotion_5]]&gt;WWWW[[#This Row],['# People received regular supply of hygiene items_6]],WWWW[[#This Row],['# people reached by regular dedicated hygiene promotion_5]],WWWW[[#This Row],['# People received regular supply of hygiene items_6]])</f>
        <v>63</v>
      </c>
      <c r="DL351" s="803">
        <f>IF(WWWW[[#This Row],[HRP3]]/WWWW[[#This Row],[Total PoP ]]&gt;1,1,WWWW[[#This Row],[HRP3]]/WWWW[[#This Row],[Total PoP ]])</f>
        <v>1</v>
      </c>
      <c r="DM351" s="802">
        <f>1-WWWW[[#This Row],[Hygiene Coverage%]]</f>
        <v>0</v>
      </c>
      <c r="DN351" s="800">
        <f>WWWW[[#This Row],['# people reached by regular dedicated hygiene promotion_5]]/WWWW[[#This Row],[Total PoP ]]</f>
        <v>1</v>
      </c>
      <c r="DO35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1" s="801">
        <f>WWWW[[#This Row],['#_Constructed/Existing hand washing stations]]-WWWW[[#This Row],['#_Non-Functional_hand_washing_stations]]</f>
        <v>2</v>
      </c>
      <c r="DR351" s="798">
        <f>IF(WWWW[[#This Row],['# Functional hand washing stations during reporting period]]*20&gt;WWWW[[#This Row],[Total HH]],WWWW[[#This Row],[Total HH]],WWWW[[#This Row],['# Functional hand washing stations during reporting period]]*20)</f>
        <v>16</v>
      </c>
      <c r="DS351" s="798">
        <f>IF(WWWW[[#This Row],[Is sufficient soap available for TLS? (Yes/No)]]="yes",WWWW[[#This Row],['#_Constructed/Existing hand washing stations at TLS]],0)</f>
        <v>0</v>
      </c>
      <c r="DT351" s="479">
        <f>IF(WWWW[[#This Row],['# Functional hand washing stations during reporting period]]*100&gt;WWWW[[#This Row],[Total PoP ]],WWWW[[#This Row],[Total PoP ]],WWWW[[#This Row],['# Functional hand washing stations during reporting period]]*100)</f>
        <v>63</v>
      </c>
      <c r="DU351" s="479" t="str">
        <f>IF(OR(WWWW[[#This Row],['#_students at TLS_CFS]]="",WWWW[[#This Row],['#_students at TLS_CFS]]=0),"No","Yes")</f>
        <v>Yes</v>
      </c>
      <c r="DV351" s="804">
        <f>IF(WWWW[[#This Row],['#_of_affected_people_surveyed_who_report_feeling_informed_about_the_different_WASH_services_available_to_them]]="","",WWWW[[#This Row],['#_of_affected_people_surveyed_who_report_feeling_informed_about_the_different_WASH_services_available_to_them]]/WWWW[[#This Row],[Total PoP ]])</f>
        <v>0.47619047619047616</v>
      </c>
      <c r="DW3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351" s="794">
        <f>VLOOKUP(WWWW[[#This Row],[Site Name]],SiteDB6[[Site Name]:[CCCM Management]],6,FALSE)</f>
        <v>0</v>
      </c>
      <c r="DZ351" s="794" t="str">
        <f>VLOOKUP(WWWW[[#This Row],[Site Name]],SiteDB6[[Site Name]:[CCCM Focal Agency]],7,FALSE)</f>
        <v>KMSS-MYT</v>
      </c>
      <c r="EA351" s="794" t="str">
        <f>VLOOKUP(WWWW[[#This Row],[Site Name]],SiteDB6[[Site Name]:[Location Type 1]],9,FALSE)</f>
        <v>Camp</v>
      </c>
      <c r="EB351" s="794" t="str">
        <f>VLOOKUP(WWWW[[#This Row],[Site Name]],SiteDB6[[Site Name]:[Type of Accommodation]],10,FALSE)</f>
        <v>Camp</v>
      </c>
      <c r="EC351" s="794" t="str">
        <f>VLOOKUP(WWWW[[#This Row],[Site Name]],SiteDB6[[Site Name]:[Ethnic or GCA/NGCA]],11,FALSE)</f>
        <v>GCA</v>
      </c>
      <c r="ED351" s="794">
        <f>VLOOKUP(WWWW[[#This Row],[Site Name]],SiteDB6[[Site Name]:[Lat]],12,FALSE)</f>
        <v>0</v>
      </c>
      <c r="EE351" s="794">
        <f>VLOOKUP(WWWW[[#This Row],[Site Name]],SiteDB6[[Site Name]:[Long]],13,FALSE)</f>
        <v>0</v>
      </c>
      <c r="EF351" s="794" t="str">
        <f>VLOOKUP(WWWW[[#This Row],[Site Name]],SiteDB6[[Site Name]:[Pcode]],3,FALSE)</f>
        <v>MMR001CMP270</v>
      </c>
      <c r="EG351" s="799" t="str">
        <f t="shared" si="8"/>
        <v>Covered</v>
      </c>
      <c r="EH351" s="799" t="str">
        <f>VLOOKUP(WWWW[[#This Row],[Site Name]],Site_DB!$C$389:$D$1120,2,FALSE)</f>
        <v>cccm_2019OCT</v>
      </c>
    </row>
    <row r="352" spans="1:138" hidden="1">
      <c r="A352" s="792" t="s">
        <v>3262</v>
      </c>
      <c r="B352" s="792" t="s">
        <v>38</v>
      </c>
      <c r="C352" s="793" t="s">
        <v>38</v>
      </c>
      <c r="D352" s="793" t="s">
        <v>244</v>
      </c>
      <c r="E352" s="793" t="s">
        <v>39</v>
      </c>
      <c r="F352" s="793" t="s">
        <v>1148</v>
      </c>
      <c r="G352" s="721" t="str">
        <f>VLOOKUP(WWWW[[#This Row],[Site Name]],SiteDB6[[Site Name]:[Location Type]],8,FALSE)</f>
        <v>Camp</v>
      </c>
      <c r="H352" s="793" t="s">
        <v>2296</v>
      </c>
      <c r="I352" s="795">
        <v>155</v>
      </c>
      <c r="J352" s="795">
        <f>WWWW[[#This Row],[Total HH]]*5</f>
        <v>775</v>
      </c>
      <c r="K352" s="407">
        <v>43810</v>
      </c>
      <c r="L352" s="56">
        <v>44175</v>
      </c>
      <c r="M352" s="795">
        <v>113</v>
      </c>
      <c r="N352" s="795">
        <v>1</v>
      </c>
      <c r="O352" s="795"/>
      <c r="P352" s="795"/>
      <c r="Q352" s="798" t="s">
        <v>43</v>
      </c>
      <c r="R352" s="795">
        <v>1</v>
      </c>
      <c r="S352" s="795">
        <v>3</v>
      </c>
      <c r="T352" s="523"/>
      <c r="U352" s="795"/>
      <c r="V352" s="795"/>
      <c r="W352" s="795">
        <v>1</v>
      </c>
      <c r="X352" s="795"/>
      <c r="Y352" s="795"/>
      <c r="Z352" s="795">
        <v>1</v>
      </c>
      <c r="AA352" s="795">
        <v>1</v>
      </c>
      <c r="AB352" s="795"/>
      <c r="AC352" s="795"/>
      <c r="AD352" s="795"/>
      <c r="AE352" s="795"/>
      <c r="AF352" s="795"/>
      <c r="AG352" s="795"/>
      <c r="AH352" s="795"/>
      <c r="AI352" s="795">
        <v>8</v>
      </c>
      <c r="AJ352" s="795">
        <v>3</v>
      </c>
      <c r="AK352" s="795">
        <v>5</v>
      </c>
      <c r="AL352" s="795">
        <v>2</v>
      </c>
      <c r="AM352" s="795"/>
      <c r="AN352" s="795"/>
      <c r="AO352" s="799"/>
      <c r="AP352" s="795">
        <v>16</v>
      </c>
      <c r="AQ352" s="795"/>
      <c r="AR352" s="800"/>
      <c r="AS352" s="795"/>
      <c r="AT352" s="795"/>
      <c r="AU352" s="795"/>
      <c r="AV352" s="795"/>
      <c r="AW352" s="795"/>
      <c r="AX352" s="794" t="s">
        <v>43</v>
      </c>
      <c r="AY352" s="799" t="s">
        <v>140</v>
      </c>
      <c r="AZ352" s="795">
        <v>2</v>
      </c>
      <c r="BA352" s="795"/>
      <c r="BB352" s="795"/>
      <c r="BC352" s="523"/>
      <c r="BD352" s="523"/>
      <c r="BE352" s="794"/>
      <c r="BF352" s="795"/>
      <c r="BG352" s="795"/>
      <c r="BH352" s="795"/>
      <c r="BI352" s="795">
        <v>7</v>
      </c>
      <c r="BJ352" s="795"/>
      <c r="BK352" s="795"/>
      <c r="BL352" s="795"/>
      <c r="BM352" s="795">
        <v>6</v>
      </c>
      <c r="BN352" s="795"/>
      <c r="BO352" s="794" t="s">
        <v>139</v>
      </c>
      <c r="BP352" s="801"/>
      <c r="BQ352" s="800"/>
      <c r="BR352" s="794"/>
      <c r="BS352" s="472"/>
      <c r="BT352" s="472"/>
      <c r="BU352" s="720"/>
      <c r="BV352" s="472"/>
      <c r="BW352" s="523"/>
      <c r="BX352" s="523"/>
      <c r="BY352" s="523"/>
      <c r="BZ352" s="802">
        <f>IFERROR(WWWW[[#This Row],['#_Water sources passed]]/WWWW[[#This Row],['#_Water sources tested for fecal coliform ]],"no test")</f>
        <v>0.375</v>
      </c>
      <c r="CA352" s="800">
        <f>IFERROR(WWWW[[#This Row],['#_Household passed]]/WWWW[[#This Row],['#_Household water samples tested for fecal coliform]],"no test")</f>
        <v>0.4</v>
      </c>
      <c r="CB352" s="801" t="str">
        <f>IF(AND(WWWW[[#This Row],[% of water sources passed]]="no test",WWWW[[#This Row],[% Household passed]]="no test"),"No Test","Tested")</f>
        <v>Tested</v>
      </c>
      <c r="CC352" s="801">
        <f>WWWW[[#This Row],['#_Constructed/existing protected hand dug well]]-WWWW[[#This Row],['#_Non-functional protected hand dug well]]</f>
        <v>0</v>
      </c>
      <c r="CD352" s="801">
        <f>(WWWW[[#This Row],['#_Constructed/Existing tube wells/boreholes/handpumps_WASH_agency]]+WWWW[[#This Row],['#_Non-Cluster partner water tube-wells/boreholes/handpumps]])-WWWW[[#This Row],['#_Non-functional tube wells/boreholes/handpumps]]</f>
        <v>1</v>
      </c>
      <c r="CE352" s="801">
        <f>WWWW[[#This Row],['#_Constructed/Existingwater storage tank with gravity fed reticulation system]]-WWWW[[#This Row],['#_Non-functional storage tank gravity fed reticulation system]]</f>
        <v>1</v>
      </c>
      <c r="CF352" s="801">
        <f>(WWWW[[#This Row],['#_Water_Liters_supplied_by_Water boating or water trucking]]/90)/15</f>
        <v>0</v>
      </c>
      <c r="CG352" s="801">
        <f>WWWW[[#This Row],['#_Water_Liters_from_Constructed/Existing water distribution system from river or natural spring]]/90/15</f>
        <v>0</v>
      </c>
      <c r="CH352" s="473">
        <f>WWWW[[#This Row],['#_of water points in TLS/CFS /THF]]*500</f>
        <v>0</v>
      </c>
      <c r="CI35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0.73118279569892464</v>
      </c>
      <c r="CJ35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0.40860215053763443</v>
      </c>
      <c r="CK352" s="800">
        <f>IF(WWWW[[#This Row],[Location Type 1]]="Village",WWWW[[#This Row],[Access to safe drinking water for Village]],WWWW[[#This Row],[Access to safe drinking water for Camp]])</f>
        <v>0.73118279569892464</v>
      </c>
      <c r="CL352" s="798">
        <f>WWWW[[#This Row],[%Equitable and continuous access to sufficient quantity of safe drinking water]]*WWWW[[#This Row],[Total PoP ]]</f>
        <v>566.66666666666663</v>
      </c>
      <c r="CM352" s="800">
        <f>IF((WWWW[[#This Row],['#_Constructed/Existing protected/fenced ponds]]*250)/WWWW[[#This Row],[Total PoP ]]&gt;1,1,(WWWW[[#This Row],['#_Constructed/Existing protected/fenced ponds]]*250)/WWWW[[#This Row],[Total PoP ]])</f>
        <v>0</v>
      </c>
      <c r="CN352" s="798">
        <f>WWWW[[#This Row],[% Access to unimproved water points]]*WWWW[[#This Row],[Total PoP ]]</f>
        <v>0</v>
      </c>
      <c r="CO35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0.73118279569892464</v>
      </c>
      <c r="CP35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566.66666666666663</v>
      </c>
      <c r="CQ352" s="798">
        <f>WWWW[[#This Row],[HRP1]]/500</f>
        <v>1.1333333333333333</v>
      </c>
      <c r="CR352" s="803">
        <f>1-WWWW[[#This Row],[% Equitable and continuous access to sufficient quantity of domestic water]]</f>
        <v>0.26881720430107536</v>
      </c>
      <c r="CS352" s="798">
        <f>WWWW[[#This Row],[%equitable and continuous access to sufficient quantity of safe drinking and domestic water''s GAP]]*WWWW[[#This Row],[Total PoP ]]</f>
        <v>208.3333333333334</v>
      </c>
      <c r="CT352" s="801">
        <f>IF(WWWW[[#This Row],[Total required water points]]-WWWW[[#This Row],['#Water points coverage]]&lt;0,0,WWWW[[#This Row],[Total required water points]]-WWWW[[#This Row],['#Water points coverage]])</f>
        <v>0.8666666666666667</v>
      </c>
      <c r="CU352" s="801">
        <f>ROUND(IF(WWWW[[#This Row],[Total PoP ]]&lt;500,1,WWWW[[#This Row],[Total PoP ]]/500),0)</f>
        <v>2</v>
      </c>
      <c r="CV352" s="801">
        <f>(WWWW[[#This Row],['#_Constructed latrines_by_WASHAgencies]]+WWWW[[#This Row],['#_Non Cluster partner latrines]])-WWWW[[#This Row],['#_Non-functional latrines]]</f>
        <v>16</v>
      </c>
      <c r="CW352" s="804">
        <f>WWWW[[#This Row],[HRP2]]/WWWW[[#This Row],[Total PoP ]]</f>
        <v>0.46451612903225808</v>
      </c>
      <c r="CX35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CY35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2" s="473">
        <f>IF(WWWW[[#This Row],['# of functional latrines in THF supported by WASH partners during the reporting period2]]="",0,WWWW[[#This Row],['# of functional latrines in THF supported by WASH partners during the reporting period2]]*50)</f>
        <v>0</v>
      </c>
      <c r="DB352" s="473">
        <f>WWWW[[#This Row],['# students access to functioning school latrines_HRP5]]+WWWW[[#This Row],['# People access to functioning latrines in THF_HRP5]]</f>
        <v>0</v>
      </c>
      <c r="DC352" s="801">
        <f>ROUND(IF(WWWW[[#This Row],[Location Type 1]]="camp",WWWW[[#This Row],[Total PoP ]]/20,IF(WWWW[[#This Row],[Location Type 1]]="Temporary Location",WWWW[[#This Row],[Total PoP ]]/50,(WWWW[[#This Row],[Total PoP ]]/6))),0)</f>
        <v>39</v>
      </c>
      <c r="DD352" s="801">
        <f>IF(WWWW[[#This Row],[Total required Latrines]]-(WWWW[[#This Row],['#_Constructed latrines_by_WASHAgencies]]+WWWW[[#This Row],['#_Non Cluster partner latrines]])&lt;0,0,WWWW[[#This Row],[Total required Latrines]]-(WWWW[[#This Row],['#_Constructed latrines_by_WASHAgencies]]+WWWW[[#This Row],['#_Non Cluster partner latrines]]))</f>
        <v>23</v>
      </c>
      <c r="DE352" s="803">
        <f>1-WWWW[[#This Row],[% people access to functioning Latrine]]</f>
        <v>0.53548387096774186</v>
      </c>
      <c r="DF352" s="802">
        <f>IF(OR(WWWW[[#This Row],['#_Non-functional latrines]]="",WWWW[[#This Row],['#_Non-functional latrines]]=0),0,WWWW[[#This Row],['#_Non-functional latrines]]/(WWWW[[#This Row],['#_Constructed latrines_by_WASHAgencies]]+WWWW[[#This Row],['#_Non Cluster partner latrines]]))</f>
        <v>0</v>
      </c>
      <c r="DG352" s="798">
        <f>IF(500*(WWWW[[#This Row],['#_male hygiene promoters]]+WWWW[[#This Row],['#_female hygiene promoters]])&gt;WWWW[[#This Row],[Total PoP ]],WWWW[[#This Row],[Total PoP ]],500*(WWWW[[#This Row],['#_male hygiene promoters]]+WWWW[[#This Row],['#_female hygiene promoters]]))</f>
        <v>0</v>
      </c>
      <c r="DH35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2" s="801">
        <f>IF(WWWW[[#This Row],['# People with access to soap]]&gt;WWWW[[#This Row],['# People with access to Sanity Pads]],WWWW[[#This Row],['# People with access to soap]],WWWW[[#This Row],['# People with access to Sanity Pads]])</f>
        <v>30</v>
      </c>
      <c r="DK352" s="80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352" s="803">
        <f>IF(WWWW[[#This Row],[HRP3]]/WWWW[[#This Row],[Total PoP ]]&gt;1,1,WWWW[[#This Row],[HRP3]]/WWWW[[#This Row],[Total PoP ]])</f>
        <v>3.870967741935484E-2</v>
      </c>
      <c r="DM352" s="802">
        <f>1-WWWW[[#This Row],[Hygiene Coverage%]]</f>
        <v>0.96129032258064517</v>
      </c>
      <c r="DN352" s="800">
        <f>WWWW[[#This Row],['# people reached by regular dedicated hygiene promotion_5]]/WWWW[[#This Row],[Total PoP ]]</f>
        <v>0</v>
      </c>
      <c r="DO35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0.15483870967741936</v>
      </c>
      <c r="DP35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2" s="801">
        <f>WWWW[[#This Row],['#_Constructed/Existing hand washing stations]]-WWWW[[#This Row],['#_Non-Functional_hand_washing_stations]]</f>
        <v>0</v>
      </c>
      <c r="DR352" s="798">
        <f>IF(WWWW[[#This Row],['# Functional hand washing stations during reporting period]]*20&gt;WWWW[[#This Row],[Total HH]],WWWW[[#This Row],[Total HH]],WWWW[[#This Row],['# Functional hand washing stations during reporting period]]*20)</f>
        <v>0</v>
      </c>
      <c r="DS352" s="798">
        <f>IF(WWWW[[#This Row],[Is sufficient soap available for TLS? (Yes/No)]]="yes",WWWW[[#This Row],['#_Constructed/Existing hand washing stations at TLS]],0)</f>
        <v>0</v>
      </c>
      <c r="DT352" s="479">
        <f>IF(WWWW[[#This Row],['# Functional hand washing stations during reporting period]]*100&gt;WWWW[[#This Row],[Total PoP ]],WWWW[[#This Row],[Total PoP ]],WWWW[[#This Row],['# Functional hand washing stations during reporting period]]*100)</f>
        <v>0</v>
      </c>
      <c r="DU352" s="479" t="str">
        <f>IF(OR(WWWW[[#This Row],['#_students at TLS_CFS]]="",WWWW[[#This Row],['#_students at TLS_CFS]]=0),"No","Yes")</f>
        <v>Yes</v>
      </c>
      <c r="DV35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2" s="794" t="str">
        <f>VLOOKUP(WWWW[[#This Row],[Site Name]],SiteDB6[[Site Name]:[CCCM Management]],6,FALSE)</f>
        <v>Yes</v>
      </c>
      <c r="DZ352" s="794" t="str">
        <f>VLOOKUP(WWWW[[#This Row],[Site Name]],SiteDB6[[Site Name]:[CCCM Focal Agency]],7,FALSE)</f>
        <v>KMSS-MYT</v>
      </c>
      <c r="EA352" s="794" t="str">
        <f>VLOOKUP(WWWW[[#This Row],[Site Name]],SiteDB6[[Site Name]:[Location Type 1]],9,FALSE)</f>
        <v>Camp</v>
      </c>
      <c r="EB352" s="794" t="str">
        <f>VLOOKUP(WWWW[[#This Row],[Site Name]],SiteDB6[[Site Name]:[Type of Accommodation]],10,FALSE)</f>
        <v>Camp</v>
      </c>
      <c r="EC352" s="794" t="str">
        <f>VLOOKUP(WWWW[[#This Row],[Site Name]],SiteDB6[[Site Name]:[Ethnic or GCA/NGCA]],11,FALSE)</f>
        <v>GCA</v>
      </c>
      <c r="ED352" s="794">
        <f>VLOOKUP(WWWW[[#This Row],[Site Name]],SiteDB6[[Site Name]:[Lat]],12,FALSE)</f>
        <v>26.350176000000001</v>
      </c>
      <c r="EE352" s="794">
        <f>VLOOKUP(WWWW[[#This Row],[Site Name]],SiteDB6[[Site Name]:[Long]],13,FALSE)</f>
        <v>96.711387999999999</v>
      </c>
      <c r="EF352" s="794" t="str">
        <f>VLOOKUP(WWWW[[#This Row],[Site Name]],SiteDB6[[Site Name]:[Pcode]],3,FALSE)</f>
        <v>MMR001CMP251</v>
      </c>
      <c r="EG352" s="799" t="str">
        <f t="shared" si="8"/>
        <v>Covered</v>
      </c>
      <c r="EH352" s="799" t="str">
        <f>VLOOKUP(WWWW[[#This Row],[Site Name]],Site_DB!$C$389:$D$1120,2,FALSE)</f>
        <v>cccm_2019OCT</v>
      </c>
    </row>
    <row r="353" spans="1:138" hidden="1">
      <c r="A353" s="792" t="s">
        <v>3262</v>
      </c>
      <c r="B353" s="792" t="s">
        <v>312</v>
      </c>
      <c r="C353" s="793" t="s">
        <v>312</v>
      </c>
      <c r="D353" s="793"/>
      <c r="E353" s="793" t="s">
        <v>39</v>
      </c>
      <c r="F353" s="793" t="s">
        <v>187</v>
      </c>
      <c r="G353" s="721" t="str">
        <f>VLOOKUP(WWWW[[#This Row],[Site Name]],SiteDB6[[Site Name]:[Location Type]],8,FALSE)</f>
        <v>Camp</v>
      </c>
      <c r="H353" s="793" t="s">
        <v>187</v>
      </c>
      <c r="I353" s="795">
        <v>5</v>
      </c>
      <c r="J353" s="795">
        <v>32</v>
      </c>
      <c r="K353" s="796"/>
      <c r="L353" s="797"/>
      <c r="M353" s="795">
        <v>113</v>
      </c>
      <c r="N353" s="795">
        <v>1</v>
      </c>
      <c r="O353" s="795"/>
      <c r="P353" s="795"/>
      <c r="Q353" s="798" t="s">
        <v>43</v>
      </c>
      <c r="R353" s="795">
        <v>1</v>
      </c>
      <c r="S353" s="795">
        <v>3</v>
      </c>
      <c r="T353" s="523"/>
      <c r="U353" s="795"/>
      <c r="V353" s="795"/>
      <c r="W353" s="795"/>
      <c r="X353" s="795"/>
      <c r="Y353" s="795"/>
      <c r="Z353" s="795"/>
      <c r="AA353" s="795"/>
      <c r="AB353" s="795"/>
      <c r="AC353" s="795"/>
      <c r="AD353" s="795"/>
      <c r="AE353" s="795"/>
      <c r="AF353" s="795"/>
      <c r="AG353" s="795"/>
      <c r="AH353" s="795"/>
      <c r="AI353" s="795"/>
      <c r="AJ353" s="795"/>
      <c r="AK353" s="795"/>
      <c r="AL353" s="795"/>
      <c r="AM353" s="795"/>
      <c r="AN353" s="795"/>
      <c r="AO353" s="799"/>
      <c r="AP353" s="795"/>
      <c r="AQ353" s="795"/>
      <c r="AR353" s="800"/>
      <c r="AS353" s="795"/>
      <c r="AT353" s="795"/>
      <c r="AU353" s="795"/>
      <c r="AV353" s="795"/>
      <c r="AW353" s="795"/>
      <c r="AX353" s="794"/>
      <c r="AY353" s="799"/>
      <c r="AZ353" s="795"/>
      <c r="BA353" s="795"/>
      <c r="BB353" s="795"/>
      <c r="BC353" s="523"/>
      <c r="BD353" s="523"/>
      <c r="BE353" s="794"/>
      <c r="BF353" s="795"/>
      <c r="BG353" s="795"/>
      <c r="BH353" s="795"/>
      <c r="BI353" s="795"/>
      <c r="BJ353" s="795"/>
      <c r="BK353" s="795"/>
      <c r="BL353" s="795"/>
      <c r="BM353" s="795"/>
      <c r="BN353" s="795"/>
      <c r="BO353" s="794"/>
      <c r="BP353" s="801"/>
      <c r="BQ353" s="800"/>
      <c r="BR353" s="794"/>
      <c r="BS353" s="472"/>
      <c r="BT353" s="472"/>
      <c r="BU353" s="720"/>
      <c r="BV353" s="472"/>
      <c r="BW353" s="523"/>
      <c r="BX353" s="523"/>
      <c r="BY353" s="523"/>
      <c r="BZ353" s="802" t="str">
        <f>IFERROR(WWWW[[#This Row],['#_Water sources passed]]/WWWW[[#This Row],['#_Water sources tested for fecal coliform ]],"no test")</f>
        <v>no test</v>
      </c>
      <c r="CA353" s="800" t="str">
        <f>IFERROR(WWWW[[#This Row],['#_Household passed]]/WWWW[[#This Row],['#_Household water samples tested for fecal coliform]],"no test")</f>
        <v>no test</v>
      </c>
      <c r="CB353" s="801" t="str">
        <f>IF(AND(WWWW[[#This Row],[% of water sources passed]]="no test",WWWW[[#This Row],[% Household passed]]="no test"),"No Test","Tested")</f>
        <v>No Test</v>
      </c>
      <c r="CC353" s="801">
        <f>WWWW[[#This Row],['#_Constructed/existing protected hand dug well]]-WWWW[[#This Row],['#_Non-functional protected hand dug well]]</f>
        <v>0</v>
      </c>
      <c r="CD353" s="801">
        <f>(WWWW[[#This Row],['#_Constructed/Existing tube wells/boreholes/handpumps_WASH_agency]]+WWWW[[#This Row],['#_Non-Cluster partner water tube-wells/boreholes/handpumps]])-WWWW[[#This Row],['#_Non-functional tube wells/boreholes/handpumps]]</f>
        <v>0</v>
      </c>
      <c r="CE353" s="801">
        <f>WWWW[[#This Row],['#_Constructed/Existingwater storage tank with gravity fed reticulation system]]-WWWW[[#This Row],['#_Non-functional storage tank gravity fed reticulation system]]</f>
        <v>0</v>
      </c>
      <c r="CF353" s="801">
        <f>(WWWW[[#This Row],['#_Water_Liters_supplied_by_Water boating or water trucking]]/90)/15</f>
        <v>0</v>
      </c>
      <c r="CG353" s="801">
        <f>WWWW[[#This Row],['#_Water_Liters_from_Constructed/Existing water distribution system from river or natural spring]]/90/15</f>
        <v>0</v>
      </c>
      <c r="CH353" s="473">
        <f>WWWW[[#This Row],['#_of water points in TLS/CFS /THF]]*500</f>
        <v>0</v>
      </c>
      <c r="CI35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3" s="800">
        <f>IF(WWWW[[#This Row],[Location Type 1]]="Village",WWWW[[#This Row],[Access to safe drinking water for Village]],WWWW[[#This Row],[Access to safe drinking water for Camp]])</f>
        <v>0</v>
      </c>
      <c r="CL353" s="798">
        <f>WWWW[[#This Row],[%Equitable and continuous access to sufficient quantity of safe drinking water]]*WWWW[[#This Row],[Total PoP ]]</f>
        <v>0</v>
      </c>
      <c r="CM353" s="800">
        <f>IF((WWWW[[#This Row],['#_Constructed/Existing protected/fenced ponds]]*250)/WWWW[[#This Row],[Total PoP ]]&gt;1,1,(WWWW[[#This Row],['#_Constructed/Existing protected/fenced ponds]]*250)/WWWW[[#This Row],[Total PoP ]])</f>
        <v>0</v>
      </c>
      <c r="CN353" s="798">
        <f>WWWW[[#This Row],[% Access to unimproved water points]]*WWWW[[#This Row],[Total PoP ]]</f>
        <v>0</v>
      </c>
      <c r="CO35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3" s="798">
        <f>WWWW[[#This Row],[HRP1]]/500</f>
        <v>0</v>
      </c>
      <c r="CR353" s="803">
        <f>1-WWWW[[#This Row],[% Equitable and continuous access to sufficient quantity of domestic water]]</f>
        <v>1</v>
      </c>
      <c r="CS353" s="798">
        <f>WWWW[[#This Row],[%equitable and continuous access to sufficient quantity of safe drinking and domestic water''s GAP]]*WWWW[[#This Row],[Total PoP ]]</f>
        <v>32</v>
      </c>
      <c r="CT353" s="801">
        <f>IF(WWWW[[#This Row],[Total required water points]]-WWWW[[#This Row],['#Water points coverage]]&lt;0,0,WWWW[[#This Row],[Total required water points]]-WWWW[[#This Row],['#Water points coverage]])</f>
        <v>1</v>
      </c>
      <c r="CU353" s="801">
        <f>ROUND(IF(WWWW[[#This Row],[Total PoP ]]&lt;500,1,WWWW[[#This Row],[Total PoP ]]/500),0)</f>
        <v>1</v>
      </c>
      <c r="CV353" s="801">
        <f>(WWWW[[#This Row],['#_Constructed latrines_by_WASHAgencies]]+WWWW[[#This Row],['#_Non Cluster partner latrines]])-WWWW[[#This Row],['#_Non-functional latrines]]</f>
        <v>0</v>
      </c>
      <c r="CW353" s="804">
        <f>WWWW[[#This Row],[HRP2]]/WWWW[[#This Row],[Total PoP ]]</f>
        <v>0</v>
      </c>
      <c r="CX35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3" s="473">
        <f>IF(WWWW[[#This Row],['# of functional latrines in THF supported by WASH partners during the reporting period2]]="",0,WWWW[[#This Row],['# of functional latrines in THF supported by WASH partners during the reporting period2]]*50)</f>
        <v>0</v>
      </c>
      <c r="DB353" s="473">
        <f>WWWW[[#This Row],['# students access to functioning school latrines_HRP5]]+WWWW[[#This Row],['# People access to functioning latrines in THF_HRP5]]</f>
        <v>0</v>
      </c>
      <c r="DC353" s="801">
        <f>ROUND(IF(WWWW[[#This Row],[Location Type 1]]="camp",WWWW[[#This Row],[Total PoP ]]/20,IF(WWWW[[#This Row],[Location Type 1]]="Temporary Location",WWWW[[#This Row],[Total PoP ]]/50,(WWWW[[#This Row],[Total PoP ]]/6))),0)</f>
        <v>2</v>
      </c>
      <c r="DD353" s="801">
        <f>IF(WWWW[[#This Row],[Total required Latrines]]-(WWWW[[#This Row],['#_Constructed latrines_by_WASHAgencies]]+WWWW[[#This Row],['#_Non Cluster partner latrines]])&lt;0,0,WWWW[[#This Row],[Total required Latrines]]-(WWWW[[#This Row],['#_Constructed latrines_by_WASHAgencies]]+WWWW[[#This Row],['#_Non Cluster partner latrines]]))</f>
        <v>2</v>
      </c>
      <c r="DE353" s="803">
        <f>1-WWWW[[#This Row],[% people access to functioning Latrine]]</f>
        <v>1</v>
      </c>
      <c r="DF353" s="802">
        <f>IF(OR(WWWW[[#This Row],['#_Non-functional latrines]]="",WWWW[[#This Row],['#_Non-functional latrines]]=0),0,WWWW[[#This Row],['#_Non-functional latrines]]/(WWWW[[#This Row],['#_Constructed latrines_by_WASHAgencies]]+WWWW[[#This Row],['#_Non Cluster partner latrines]]))</f>
        <v>0</v>
      </c>
      <c r="DG353" s="798">
        <f>IF(500*(WWWW[[#This Row],['#_male hygiene promoters]]+WWWW[[#This Row],['#_female hygiene promoters]])&gt;WWWW[[#This Row],[Total PoP ]],WWWW[[#This Row],[Total PoP ]],500*(WWWW[[#This Row],['#_male hygiene promoters]]+WWWW[[#This Row],['#_female hygiene promoters]]))</f>
        <v>0</v>
      </c>
      <c r="DH35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3" s="801">
        <f>IF(WWWW[[#This Row],['# People with access to soap]]&gt;WWWW[[#This Row],['# People with access to Sanity Pads]],WWWW[[#This Row],['# People with access to soap]],WWWW[[#This Row],['# People with access to Sanity Pads]])</f>
        <v>0</v>
      </c>
      <c r="DK35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3" s="803">
        <f>IF(WWWW[[#This Row],[HRP3]]/WWWW[[#This Row],[Total PoP ]]&gt;1,1,WWWW[[#This Row],[HRP3]]/WWWW[[#This Row],[Total PoP ]])</f>
        <v>0</v>
      </c>
      <c r="DM353" s="802">
        <f>1-WWWW[[#This Row],[Hygiene Coverage%]]</f>
        <v>1</v>
      </c>
      <c r="DN353" s="800">
        <f>WWWW[[#This Row],['# people reached by regular dedicated hygiene promotion_5]]/WWWW[[#This Row],[Total PoP ]]</f>
        <v>0</v>
      </c>
      <c r="DO35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3" s="801">
        <f>WWWW[[#This Row],['#_Constructed/Existing hand washing stations]]-WWWW[[#This Row],['#_Non-Functional_hand_washing_stations]]</f>
        <v>0</v>
      </c>
      <c r="DR353" s="798">
        <f>IF(WWWW[[#This Row],['# Functional hand washing stations during reporting period]]*20&gt;WWWW[[#This Row],[Total HH]],WWWW[[#This Row],[Total HH]],WWWW[[#This Row],['# Functional hand washing stations during reporting period]]*20)</f>
        <v>0</v>
      </c>
      <c r="DS353" s="798">
        <f>IF(WWWW[[#This Row],[Is sufficient soap available for TLS? (Yes/No)]]="yes",WWWW[[#This Row],['#_Constructed/Existing hand washing stations at TLS]],0)</f>
        <v>0</v>
      </c>
      <c r="DT353" s="479">
        <f>IF(WWWW[[#This Row],['# Functional hand washing stations during reporting period]]*100&gt;WWWW[[#This Row],[Total PoP ]],WWWW[[#This Row],[Total PoP ]],WWWW[[#This Row],['# Functional hand washing stations during reporting period]]*100)</f>
        <v>0</v>
      </c>
      <c r="DU353" s="479" t="str">
        <f>IF(OR(WWWW[[#This Row],['#_students at TLS_CFS]]="",WWWW[[#This Row],['#_students at TLS_CFS]]=0),"No","Yes")</f>
        <v>Yes</v>
      </c>
      <c r="DV35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3" s="794">
        <f>VLOOKUP(WWWW[[#This Row],[Site Name]],SiteDB6[[Site Name]:[CCCM Management]],6,FALSE)</f>
        <v>0</v>
      </c>
      <c r="DZ353" s="794" t="str">
        <f>VLOOKUP(WWWW[[#This Row],[Site Name]],SiteDB6[[Site Name]:[CCCM Focal Agency]],7,FALSE)</f>
        <v>uncovered</v>
      </c>
      <c r="EA353" s="794" t="str">
        <f>VLOOKUP(WWWW[[#This Row],[Site Name]],SiteDB6[[Site Name]:[Location Type 1]],9,FALSE)</f>
        <v>Camp</v>
      </c>
      <c r="EB353" s="794" t="str">
        <f>VLOOKUP(WWWW[[#This Row],[Site Name]],SiteDB6[[Site Name]:[Type of Accommodation]],10,FALSE)</f>
        <v>Camp like setting</v>
      </c>
      <c r="EC353" s="794" t="str">
        <f>VLOOKUP(WWWW[[#This Row],[Site Name]],SiteDB6[[Site Name]:[Ethnic or GCA/NGCA]],11,FALSE)</f>
        <v>GCA</v>
      </c>
      <c r="ED353" s="794">
        <f>VLOOKUP(WWWW[[#This Row],[Site Name]],SiteDB6[[Site Name]:[Lat]],12,FALSE)</f>
        <v>26.541930000000001</v>
      </c>
      <c r="EE353" s="794">
        <f>VLOOKUP(WWWW[[#This Row],[Site Name]],SiteDB6[[Site Name]:[Long]],13,FALSE)</f>
        <v>97.568836000000005</v>
      </c>
      <c r="EF353" s="794" t="str">
        <f>VLOOKUP(WWWW[[#This Row],[Site Name]],SiteDB6[[Site Name]:[Pcode]],3,FALSE)</f>
        <v>MMR001CMP206</v>
      </c>
      <c r="EG353" s="799" t="str">
        <f t="shared" si="8"/>
        <v>Notcovered</v>
      </c>
      <c r="EH353" s="799" t="str">
        <f>VLOOKUP(WWWW[[#This Row],[Site Name]],Site_DB!$C$389:$D$1120,2,FALSE)</f>
        <v>cccm_2019OCT</v>
      </c>
    </row>
    <row r="354" spans="1:138" hidden="1">
      <c r="A354" s="792" t="s">
        <v>3262</v>
      </c>
      <c r="B354" s="792" t="s">
        <v>38</v>
      </c>
      <c r="C354" s="793" t="s">
        <v>38</v>
      </c>
      <c r="D354" s="793" t="s">
        <v>244</v>
      </c>
      <c r="E354" s="793" t="s">
        <v>39</v>
      </c>
      <c r="F354" s="793" t="s">
        <v>1148</v>
      </c>
      <c r="G354" s="721" t="str">
        <f>VLOOKUP(WWWW[[#This Row],[Site Name]],SiteDB6[[Site Name]:[Location Type]],8,FALSE)</f>
        <v>Camp</v>
      </c>
      <c r="H354" s="793" t="s">
        <v>1150</v>
      </c>
      <c r="I354" s="795">
        <v>35</v>
      </c>
      <c r="J354" s="795">
        <f>WWWW[[#This Row],[Total HH]]*5</f>
        <v>175</v>
      </c>
      <c r="K354" s="407">
        <v>43810</v>
      </c>
      <c r="L354" s="56">
        <v>44175</v>
      </c>
      <c r="M354" s="795"/>
      <c r="N354" s="795">
        <v>1</v>
      </c>
      <c r="O354" s="795"/>
      <c r="P354" s="795"/>
      <c r="Q354" s="798" t="s">
        <v>43</v>
      </c>
      <c r="R354" s="795">
        <v>2</v>
      </c>
      <c r="S354" s="795">
        <v>1</v>
      </c>
      <c r="T354" s="523"/>
      <c r="U354" s="795"/>
      <c r="V354" s="795"/>
      <c r="W354" s="795">
        <v>1</v>
      </c>
      <c r="X354" s="795"/>
      <c r="Y354" s="795"/>
      <c r="Z354" s="795"/>
      <c r="AA354" s="795">
        <v>1</v>
      </c>
      <c r="AB354" s="795"/>
      <c r="AC354" s="795"/>
      <c r="AD354" s="795"/>
      <c r="AE354" s="795"/>
      <c r="AF354" s="795"/>
      <c r="AG354" s="795"/>
      <c r="AH354" s="795"/>
      <c r="AI354" s="795">
        <v>1</v>
      </c>
      <c r="AJ354" s="795"/>
      <c r="AK354" s="795">
        <v>2</v>
      </c>
      <c r="AL354" s="795">
        <v>1</v>
      </c>
      <c r="AM354" s="795"/>
      <c r="AN354" s="795"/>
      <c r="AO354" s="799"/>
      <c r="AP354" s="795">
        <v>4</v>
      </c>
      <c r="AQ354" s="795"/>
      <c r="AR354" s="800"/>
      <c r="AS354" s="795"/>
      <c r="AT354" s="795"/>
      <c r="AU354" s="795"/>
      <c r="AV354" s="795"/>
      <c r="AW354" s="795"/>
      <c r="AX354" s="794" t="s">
        <v>43</v>
      </c>
      <c r="AY354" s="799" t="s">
        <v>139</v>
      </c>
      <c r="AZ354" s="795"/>
      <c r="BA354" s="795"/>
      <c r="BB354" s="795"/>
      <c r="BC354" s="523"/>
      <c r="BD354" s="523"/>
      <c r="BE354" s="794"/>
      <c r="BF354" s="795"/>
      <c r="BG354" s="795"/>
      <c r="BH354" s="795">
        <v>2</v>
      </c>
      <c r="BI354" s="795">
        <v>2</v>
      </c>
      <c r="BJ354" s="795"/>
      <c r="BK354" s="795"/>
      <c r="BL354" s="795"/>
      <c r="BM354" s="795">
        <v>6</v>
      </c>
      <c r="BN354" s="795"/>
      <c r="BO354" s="794" t="s">
        <v>139</v>
      </c>
      <c r="BP354" s="801"/>
      <c r="BQ354" s="800"/>
      <c r="BR354" s="794"/>
      <c r="BS354" s="472"/>
      <c r="BT354" s="472"/>
      <c r="BU354" s="720"/>
      <c r="BV354" s="472"/>
      <c r="BW354" s="523"/>
      <c r="BX354" s="523"/>
      <c r="BY354" s="523"/>
      <c r="BZ354" s="802">
        <f>IFERROR(WWWW[[#This Row],['#_Water sources passed]]/WWWW[[#This Row],['#_Water sources tested for fecal coliform ]],"no test")</f>
        <v>0</v>
      </c>
      <c r="CA354" s="800">
        <f>IFERROR(WWWW[[#This Row],['#_Household passed]]/WWWW[[#This Row],['#_Household water samples tested for fecal coliform]],"no test")</f>
        <v>0.5</v>
      </c>
      <c r="CB354" s="801" t="str">
        <f>IF(AND(WWWW[[#This Row],[% of water sources passed]]="no test",WWWW[[#This Row],[% Household passed]]="no test"),"No Test","Tested")</f>
        <v>Tested</v>
      </c>
      <c r="CC354" s="801">
        <f>WWWW[[#This Row],['#_Constructed/existing protected hand dug well]]-WWWW[[#This Row],['#_Non-functional protected hand dug well]]</f>
        <v>0</v>
      </c>
      <c r="CD354" s="801">
        <f>(WWWW[[#This Row],['#_Constructed/Existing tube wells/boreholes/handpumps_WASH_agency]]+WWWW[[#This Row],['#_Non-Cluster partner water tube-wells/boreholes/handpumps]])-WWWW[[#This Row],['#_Non-functional tube wells/boreholes/handpumps]]</f>
        <v>1</v>
      </c>
      <c r="CE354" s="801">
        <f>WWWW[[#This Row],['#_Constructed/Existingwater storage tank with gravity fed reticulation system]]-WWWW[[#This Row],['#_Non-functional storage tank gravity fed reticulation system]]</f>
        <v>1</v>
      </c>
      <c r="CF354" s="801">
        <f>(WWWW[[#This Row],['#_Water_Liters_supplied_by_Water boating or water trucking]]/90)/15</f>
        <v>0</v>
      </c>
      <c r="CG354" s="801">
        <f>WWWW[[#This Row],['#_Water_Liters_from_Constructed/Existing water distribution system from river or natural spring]]/90/15</f>
        <v>0</v>
      </c>
      <c r="CH354" s="473">
        <f>WWWW[[#This Row],['#_of water points in TLS/CFS /THF]]*500</f>
        <v>0</v>
      </c>
      <c r="CI35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4" s="800">
        <f>IF(WWWW[[#This Row],[Location Type 1]]="Village",WWWW[[#This Row],[Access to safe drinking water for Village]],WWWW[[#This Row],[Access to safe drinking water for Camp]])</f>
        <v>1</v>
      </c>
      <c r="CL354" s="798">
        <f>WWWW[[#This Row],[%Equitable and continuous access to sufficient quantity of safe drinking water]]*WWWW[[#This Row],[Total PoP ]]</f>
        <v>175</v>
      </c>
      <c r="CM354" s="800">
        <f>IF((WWWW[[#This Row],['#_Constructed/Existing protected/fenced ponds]]*250)/WWWW[[#This Row],[Total PoP ]]&gt;1,1,(WWWW[[#This Row],['#_Constructed/Existing protected/fenced ponds]]*250)/WWWW[[#This Row],[Total PoP ]])</f>
        <v>0</v>
      </c>
      <c r="CN354" s="798">
        <f>WWWW[[#This Row],[% Access to unimproved water points]]*WWWW[[#This Row],[Total PoP ]]</f>
        <v>0</v>
      </c>
      <c r="CO35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Q354" s="798">
        <f>WWWW[[#This Row],[HRP1]]/500</f>
        <v>0.35</v>
      </c>
      <c r="CR354" s="803">
        <f>1-WWWW[[#This Row],[% Equitable and continuous access to sufficient quantity of domestic water]]</f>
        <v>0</v>
      </c>
      <c r="CS354" s="798">
        <f>WWWW[[#This Row],[%equitable and continuous access to sufficient quantity of safe drinking and domestic water''s GAP]]*WWWW[[#This Row],[Total PoP ]]</f>
        <v>0</v>
      </c>
      <c r="CT354" s="801">
        <f>IF(WWWW[[#This Row],[Total required water points]]-WWWW[[#This Row],['#Water points coverage]]&lt;0,0,WWWW[[#This Row],[Total required water points]]-WWWW[[#This Row],['#Water points coverage]])</f>
        <v>0.65</v>
      </c>
      <c r="CU354" s="801">
        <f>ROUND(IF(WWWW[[#This Row],[Total PoP ]]&lt;500,1,WWWW[[#This Row],[Total PoP ]]/500),0)</f>
        <v>1</v>
      </c>
      <c r="CV354" s="801">
        <f>(WWWW[[#This Row],['#_Constructed latrines_by_WASHAgencies]]+WWWW[[#This Row],['#_Non Cluster partner latrines]])-WWWW[[#This Row],['#_Non-functional latrines]]</f>
        <v>4</v>
      </c>
      <c r="CW354" s="804">
        <f>WWWW[[#This Row],[HRP2]]/WWWW[[#This Row],[Total PoP ]]</f>
        <v>0.45714285714285713</v>
      </c>
      <c r="CX35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5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4" s="473">
        <f>IF(WWWW[[#This Row],['# of functional latrines in THF supported by WASH partners during the reporting period2]]="",0,WWWW[[#This Row],['# of functional latrines in THF supported by WASH partners during the reporting period2]]*50)</f>
        <v>0</v>
      </c>
      <c r="DB354" s="473">
        <f>WWWW[[#This Row],['# students access to functioning school latrines_HRP5]]+WWWW[[#This Row],['# People access to functioning latrines in THF_HRP5]]</f>
        <v>0</v>
      </c>
      <c r="DC354" s="801">
        <f>ROUND(IF(WWWW[[#This Row],[Location Type 1]]="camp",WWWW[[#This Row],[Total PoP ]]/20,IF(WWWW[[#This Row],[Location Type 1]]="Temporary Location",WWWW[[#This Row],[Total PoP ]]/50,(WWWW[[#This Row],[Total PoP ]]/6))),0)</f>
        <v>9</v>
      </c>
      <c r="DD354" s="801">
        <f>IF(WWWW[[#This Row],[Total required Latrines]]-(WWWW[[#This Row],['#_Constructed latrines_by_WASHAgencies]]+WWWW[[#This Row],['#_Non Cluster partner latrines]])&lt;0,0,WWWW[[#This Row],[Total required Latrines]]-(WWWW[[#This Row],['#_Constructed latrines_by_WASHAgencies]]+WWWW[[#This Row],['#_Non Cluster partner latrines]]))</f>
        <v>5</v>
      </c>
      <c r="DE354" s="803">
        <f>1-WWWW[[#This Row],[% people access to functioning Latrine]]</f>
        <v>0.54285714285714293</v>
      </c>
      <c r="DF354" s="802">
        <f>IF(OR(WWWW[[#This Row],['#_Non-functional latrines]]="",WWWW[[#This Row],['#_Non-functional latrines]]=0),0,WWWW[[#This Row],['#_Non-functional latrines]]/(WWWW[[#This Row],['#_Constructed latrines_by_WASHAgencies]]+WWWW[[#This Row],['#_Non Cluster partner latrines]]))</f>
        <v>0</v>
      </c>
      <c r="DG354" s="798">
        <f>IF(500*(WWWW[[#This Row],['#_male hygiene promoters]]+WWWW[[#This Row],['#_female hygiene promoters]])&gt;WWWW[[#This Row],[Total PoP ]],WWWW[[#This Row],[Total PoP ]],500*(WWWW[[#This Row],['#_male hygiene promoters]]+WWWW[[#This Row],['#_female hygiene promoters]]))</f>
        <v>0</v>
      </c>
      <c r="DH35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4" s="801">
        <f>IF(WWWW[[#This Row],['# People with access to soap]]&gt;WWWW[[#This Row],['# People with access to Sanity Pads]],WWWW[[#This Row],['# People with access to soap]],WWWW[[#This Row],['# People with access to Sanity Pads]])</f>
        <v>30</v>
      </c>
      <c r="DK354" s="80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354" s="803">
        <f>IF(WWWW[[#This Row],[HRP3]]/WWWW[[#This Row],[Total PoP ]]&gt;1,1,WWWW[[#This Row],[HRP3]]/WWWW[[#This Row],[Total PoP ]])</f>
        <v>0.17142857142857143</v>
      </c>
      <c r="DM354" s="802">
        <f>1-WWWW[[#This Row],[Hygiene Coverage%]]</f>
        <v>0.82857142857142851</v>
      </c>
      <c r="DN354" s="800">
        <f>WWWW[[#This Row],['# people reached by regular dedicated hygiene promotion_5]]/WWWW[[#This Row],[Total PoP ]]</f>
        <v>0</v>
      </c>
      <c r="DO35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0.68571428571428572</v>
      </c>
      <c r="DP35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4" s="801">
        <f>WWWW[[#This Row],['#_Constructed/Existing hand washing stations]]-WWWW[[#This Row],['#_Non-Functional_hand_washing_stations]]</f>
        <v>0</v>
      </c>
      <c r="DR354" s="798">
        <f>IF(WWWW[[#This Row],['# Functional hand washing stations during reporting period]]*20&gt;WWWW[[#This Row],[Total HH]],WWWW[[#This Row],[Total HH]],WWWW[[#This Row],['# Functional hand washing stations during reporting period]]*20)</f>
        <v>0</v>
      </c>
      <c r="DS354" s="798">
        <f>IF(WWWW[[#This Row],[Is sufficient soap available for TLS? (Yes/No)]]="yes",WWWW[[#This Row],['#_Constructed/Existing hand washing stations at TLS]],0)</f>
        <v>0</v>
      </c>
      <c r="DT354" s="479">
        <f>IF(WWWW[[#This Row],['# Functional hand washing stations during reporting period]]*100&gt;WWWW[[#This Row],[Total PoP ]],WWWW[[#This Row],[Total PoP ]],WWWW[[#This Row],['# Functional hand washing stations during reporting period]]*100)</f>
        <v>0</v>
      </c>
      <c r="DU354" s="479" t="str">
        <f>IF(OR(WWWW[[#This Row],['#_students at TLS_CFS]]="",WWWW[[#This Row],['#_students at TLS_CFS]]=0),"No","Yes")</f>
        <v>No</v>
      </c>
      <c r="DV35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4" s="794" t="str">
        <f>VLOOKUP(WWWW[[#This Row],[Site Name]],SiteDB6[[Site Name]:[CCCM Management]],6,FALSE)</f>
        <v>Yes</v>
      </c>
      <c r="DZ354" s="794" t="str">
        <f>VLOOKUP(WWWW[[#This Row],[Site Name]],SiteDB6[[Site Name]:[CCCM Focal Agency]],7,FALSE)</f>
        <v>KMSS-MYT</v>
      </c>
      <c r="EA354" s="794" t="str">
        <f>VLOOKUP(WWWW[[#This Row],[Site Name]],SiteDB6[[Site Name]:[Location Type 1]],9,FALSE)</f>
        <v>Camp</v>
      </c>
      <c r="EB354" s="794" t="str">
        <f>VLOOKUP(WWWW[[#This Row],[Site Name]],SiteDB6[[Site Name]:[Type of Accommodation]],10,FALSE)</f>
        <v>Camp</v>
      </c>
      <c r="EC354" s="794" t="str">
        <f>VLOOKUP(WWWW[[#This Row],[Site Name]],SiteDB6[[Site Name]:[Ethnic or GCA/NGCA]],11,FALSE)</f>
        <v>GCA</v>
      </c>
      <c r="ED354" s="794">
        <f>VLOOKUP(WWWW[[#This Row],[Site Name]],SiteDB6[[Site Name]:[Lat]],12,FALSE)</f>
        <v>26.351690999999999</v>
      </c>
      <c r="EE354" s="794">
        <f>VLOOKUP(WWWW[[#This Row],[Site Name]],SiteDB6[[Site Name]:[Long]],13,FALSE)</f>
        <v>96.690871999999999</v>
      </c>
      <c r="EF354" s="794" t="str">
        <f>VLOOKUP(WWWW[[#This Row],[Site Name]],SiteDB6[[Site Name]:[Pcode]],3,FALSE)</f>
        <v>MMR001CMP254</v>
      </c>
      <c r="EG354" s="799" t="str">
        <f t="shared" si="8"/>
        <v>Covered</v>
      </c>
      <c r="EH354" s="799" t="str">
        <f>VLOOKUP(WWWW[[#This Row],[Site Name]],Site_DB!$C$389:$D$1120,2,FALSE)</f>
        <v>cccm_2019OCT</v>
      </c>
    </row>
    <row r="355" spans="1:138" hidden="1">
      <c r="A355" s="792" t="s">
        <v>3262</v>
      </c>
      <c r="B355" s="792" t="s">
        <v>312</v>
      </c>
      <c r="C355" s="793" t="s">
        <v>312</v>
      </c>
      <c r="D355" s="793"/>
      <c r="E355" s="793" t="s">
        <v>39</v>
      </c>
      <c r="F355" s="793" t="s">
        <v>1148</v>
      </c>
      <c r="G355" s="721" t="str">
        <f>VLOOKUP(WWWW[[#This Row],[Site Name]],SiteDB6[[Site Name]:[Location Type]],8,FALSE)</f>
        <v>Camp</v>
      </c>
      <c r="H355" s="793" t="s">
        <v>2177</v>
      </c>
      <c r="I355" s="795">
        <v>127</v>
      </c>
      <c r="J355" s="795">
        <v>450</v>
      </c>
      <c r="K355" s="796"/>
      <c r="L355" s="797"/>
      <c r="M355" s="795"/>
      <c r="N355" s="795"/>
      <c r="O355" s="795"/>
      <c r="P355" s="795"/>
      <c r="Q355" s="798"/>
      <c r="R355" s="795"/>
      <c r="S355" s="795"/>
      <c r="T355" s="523"/>
      <c r="U355" s="795"/>
      <c r="V355" s="795"/>
      <c r="W355" s="795"/>
      <c r="X355" s="795"/>
      <c r="Y355" s="795"/>
      <c r="Z355" s="795"/>
      <c r="AA355" s="795"/>
      <c r="AB355" s="795"/>
      <c r="AC355" s="795"/>
      <c r="AD355" s="795"/>
      <c r="AE355" s="795"/>
      <c r="AF355" s="795"/>
      <c r="AG355" s="795"/>
      <c r="AH355" s="795"/>
      <c r="AI355" s="795"/>
      <c r="AJ355" s="795"/>
      <c r="AK355" s="795"/>
      <c r="AL355" s="795"/>
      <c r="AM355" s="795"/>
      <c r="AN355" s="795"/>
      <c r="AO355" s="799"/>
      <c r="AP355" s="795"/>
      <c r="AQ355" s="795"/>
      <c r="AR355" s="800"/>
      <c r="AS355" s="795"/>
      <c r="AT355" s="795"/>
      <c r="AU355" s="795"/>
      <c r="AV355" s="795"/>
      <c r="AW355" s="795"/>
      <c r="AX355" s="794"/>
      <c r="AY355" s="799"/>
      <c r="AZ355" s="795"/>
      <c r="BA355" s="795"/>
      <c r="BB355" s="795"/>
      <c r="BC355" s="523"/>
      <c r="BD355" s="523"/>
      <c r="BE355" s="794"/>
      <c r="BF355" s="795"/>
      <c r="BG355" s="795"/>
      <c r="BH355" s="795"/>
      <c r="BI355" s="795"/>
      <c r="BJ355" s="795"/>
      <c r="BK355" s="795"/>
      <c r="BL355" s="795"/>
      <c r="BM355" s="795"/>
      <c r="BN355" s="795"/>
      <c r="BO355" s="794"/>
      <c r="BP355" s="801"/>
      <c r="BQ355" s="800"/>
      <c r="BR355" s="794"/>
      <c r="BS355" s="472"/>
      <c r="BT355" s="472"/>
      <c r="BU355" s="720"/>
      <c r="BV355" s="472"/>
      <c r="BW355" s="523"/>
      <c r="BX355" s="523"/>
      <c r="BY355" s="523"/>
      <c r="BZ355" s="802" t="str">
        <f>IFERROR(WWWW[[#This Row],['#_Water sources passed]]/WWWW[[#This Row],['#_Water sources tested for fecal coliform ]],"no test")</f>
        <v>no test</v>
      </c>
      <c r="CA355" s="800" t="str">
        <f>IFERROR(WWWW[[#This Row],['#_Household passed]]/WWWW[[#This Row],['#_Household water samples tested for fecal coliform]],"no test")</f>
        <v>no test</v>
      </c>
      <c r="CB355" s="801" t="str">
        <f>IF(AND(WWWW[[#This Row],[% of water sources passed]]="no test",WWWW[[#This Row],[% Household passed]]="no test"),"No Test","Tested")</f>
        <v>No Test</v>
      </c>
      <c r="CC355" s="801">
        <f>WWWW[[#This Row],['#_Constructed/existing protected hand dug well]]-WWWW[[#This Row],['#_Non-functional protected hand dug well]]</f>
        <v>0</v>
      </c>
      <c r="CD355" s="801">
        <f>(WWWW[[#This Row],['#_Constructed/Existing tube wells/boreholes/handpumps_WASH_agency]]+WWWW[[#This Row],['#_Non-Cluster partner water tube-wells/boreholes/handpumps]])-WWWW[[#This Row],['#_Non-functional tube wells/boreholes/handpumps]]</f>
        <v>0</v>
      </c>
      <c r="CE355" s="801">
        <f>WWWW[[#This Row],['#_Constructed/Existingwater storage tank with gravity fed reticulation system]]-WWWW[[#This Row],['#_Non-functional storage tank gravity fed reticulation system]]</f>
        <v>0</v>
      </c>
      <c r="CF355" s="801">
        <f>(WWWW[[#This Row],['#_Water_Liters_supplied_by_Water boating or water trucking]]/90)/15</f>
        <v>0</v>
      </c>
      <c r="CG355" s="801">
        <f>WWWW[[#This Row],['#_Water_Liters_from_Constructed/Existing water distribution system from river or natural spring]]/90/15</f>
        <v>0</v>
      </c>
      <c r="CH355" s="473">
        <f>WWWW[[#This Row],['#_of water points in TLS/CFS /THF]]*500</f>
        <v>0</v>
      </c>
      <c r="CI35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5" s="800">
        <f>IF(WWWW[[#This Row],[Location Type 1]]="Village",WWWW[[#This Row],[Access to safe drinking water for Village]],WWWW[[#This Row],[Access to safe drinking water for Camp]])</f>
        <v>0</v>
      </c>
      <c r="CL355" s="798">
        <f>WWWW[[#This Row],[%Equitable and continuous access to sufficient quantity of safe drinking water]]*WWWW[[#This Row],[Total PoP ]]</f>
        <v>0</v>
      </c>
      <c r="CM355" s="800">
        <f>IF((WWWW[[#This Row],['#_Constructed/Existing protected/fenced ponds]]*250)/WWWW[[#This Row],[Total PoP ]]&gt;1,1,(WWWW[[#This Row],['#_Constructed/Existing protected/fenced ponds]]*250)/WWWW[[#This Row],[Total PoP ]])</f>
        <v>0</v>
      </c>
      <c r="CN355" s="798">
        <f>WWWW[[#This Row],[% Access to unimproved water points]]*WWWW[[#This Row],[Total PoP ]]</f>
        <v>0</v>
      </c>
      <c r="CO35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5" s="798">
        <f>WWWW[[#This Row],[HRP1]]/500</f>
        <v>0</v>
      </c>
      <c r="CR355" s="803">
        <f>1-WWWW[[#This Row],[% Equitable and continuous access to sufficient quantity of domestic water]]</f>
        <v>1</v>
      </c>
      <c r="CS355" s="798">
        <f>WWWW[[#This Row],[%equitable and continuous access to sufficient quantity of safe drinking and domestic water''s GAP]]*WWWW[[#This Row],[Total PoP ]]</f>
        <v>450</v>
      </c>
      <c r="CT355" s="801">
        <f>IF(WWWW[[#This Row],[Total required water points]]-WWWW[[#This Row],['#Water points coverage]]&lt;0,0,WWWW[[#This Row],[Total required water points]]-WWWW[[#This Row],['#Water points coverage]])</f>
        <v>1</v>
      </c>
      <c r="CU355" s="801">
        <f>ROUND(IF(WWWW[[#This Row],[Total PoP ]]&lt;500,1,WWWW[[#This Row],[Total PoP ]]/500),0)</f>
        <v>1</v>
      </c>
      <c r="CV355" s="801">
        <f>(WWWW[[#This Row],['#_Constructed latrines_by_WASHAgencies]]+WWWW[[#This Row],['#_Non Cluster partner latrines]])-WWWW[[#This Row],['#_Non-functional latrines]]</f>
        <v>0</v>
      </c>
      <c r="CW355" s="804">
        <f>WWWW[[#This Row],[HRP2]]/WWWW[[#This Row],[Total PoP ]]</f>
        <v>0</v>
      </c>
      <c r="CX35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5" s="473">
        <f>IF(WWWW[[#This Row],['# of functional latrines in THF supported by WASH partners during the reporting period2]]="",0,WWWW[[#This Row],['# of functional latrines in THF supported by WASH partners during the reporting period2]]*50)</f>
        <v>0</v>
      </c>
      <c r="DB355" s="473">
        <f>WWWW[[#This Row],['# students access to functioning school latrines_HRP5]]+WWWW[[#This Row],['# People access to functioning latrines in THF_HRP5]]</f>
        <v>0</v>
      </c>
      <c r="DC355" s="801">
        <f>ROUND(IF(WWWW[[#This Row],[Location Type 1]]="camp",WWWW[[#This Row],[Total PoP ]]/20,IF(WWWW[[#This Row],[Location Type 1]]="Temporary Location",WWWW[[#This Row],[Total PoP ]]/50,(WWWW[[#This Row],[Total PoP ]]/6))),0)</f>
        <v>23</v>
      </c>
      <c r="DD355" s="801">
        <f>IF(WWWW[[#This Row],[Total required Latrines]]-(WWWW[[#This Row],['#_Constructed latrines_by_WASHAgencies]]+WWWW[[#This Row],['#_Non Cluster partner latrines]])&lt;0,0,WWWW[[#This Row],[Total required Latrines]]-(WWWW[[#This Row],['#_Constructed latrines_by_WASHAgencies]]+WWWW[[#This Row],['#_Non Cluster partner latrines]]))</f>
        <v>23</v>
      </c>
      <c r="DE355" s="803">
        <f>1-WWWW[[#This Row],[% people access to functioning Latrine]]</f>
        <v>1</v>
      </c>
      <c r="DF355" s="802">
        <f>IF(OR(WWWW[[#This Row],['#_Non-functional latrines]]="",WWWW[[#This Row],['#_Non-functional latrines]]=0),0,WWWW[[#This Row],['#_Non-functional latrines]]/(WWWW[[#This Row],['#_Constructed latrines_by_WASHAgencies]]+WWWW[[#This Row],['#_Non Cluster partner latrines]]))</f>
        <v>0</v>
      </c>
      <c r="DG355" s="798">
        <f>IF(500*(WWWW[[#This Row],['#_male hygiene promoters]]+WWWW[[#This Row],['#_female hygiene promoters]])&gt;WWWW[[#This Row],[Total PoP ]],WWWW[[#This Row],[Total PoP ]],500*(WWWW[[#This Row],['#_male hygiene promoters]]+WWWW[[#This Row],['#_female hygiene promoters]]))</f>
        <v>0</v>
      </c>
      <c r="DH35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5" s="801">
        <f>IF(WWWW[[#This Row],['# People with access to soap]]&gt;WWWW[[#This Row],['# People with access to Sanity Pads]],WWWW[[#This Row],['# People with access to soap]],WWWW[[#This Row],['# People with access to Sanity Pads]])</f>
        <v>0</v>
      </c>
      <c r="DK355"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5" s="803">
        <f>IF(WWWW[[#This Row],[HRP3]]/WWWW[[#This Row],[Total PoP ]]&gt;1,1,WWWW[[#This Row],[HRP3]]/WWWW[[#This Row],[Total PoP ]])</f>
        <v>0</v>
      </c>
      <c r="DM355" s="802">
        <f>1-WWWW[[#This Row],[Hygiene Coverage%]]</f>
        <v>1</v>
      </c>
      <c r="DN355" s="800">
        <f>WWWW[[#This Row],['# people reached by regular dedicated hygiene promotion_5]]/WWWW[[#This Row],[Total PoP ]]</f>
        <v>0</v>
      </c>
      <c r="DO35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5" s="801">
        <f>WWWW[[#This Row],['#_Constructed/Existing hand washing stations]]-WWWW[[#This Row],['#_Non-Functional_hand_washing_stations]]</f>
        <v>0</v>
      </c>
      <c r="DR355" s="798">
        <f>IF(WWWW[[#This Row],['# Functional hand washing stations during reporting period]]*20&gt;WWWW[[#This Row],[Total HH]],WWWW[[#This Row],[Total HH]],WWWW[[#This Row],['# Functional hand washing stations during reporting period]]*20)</f>
        <v>0</v>
      </c>
      <c r="DS355" s="798">
        <f>IF(WWWW[[#This Row],[Is sufficient soap available for TLS? (Yes/No)]]="yes",WWWW[[#This Row],['#_Constructed/Existing hand washing stations at TLS]],0)</f>
        <v>0</v>
      </c>
      <c r="DT355" s="479">
        <f>IF(WWWW[[#This Row],['# Functional hand washing stations during reporting period]]*100&gt;WWWW[[#This Row],[Total PoP ]],WWWW[[#This Row],[Total PoP ]],WWWW[[#This Row],['# Functional hand washing stations during reporting period]]*100)</f>
        <v>0</v>
      </c>
      <c r="DU355" s="479" t="str">
        <f>IF(OR(WWWW[[#This Row],['#_students at TLS_CFS]]="",WWWW[[#This Row],['#_students at TLS_CFS]]=0),"No","Yes")</f>
        <v>No</v>
      </c>
      <c r="DV35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5" s="794" t="str">
        <f>VLOOKUP(WWWW[[#This Row],[Site Name]],SiteDB6[[Site Name]:[CCCM Management]],6,FALSE)</f>
        <v>Yes</v>
      </c>
      <c r="DZ355" s="794" t="str">
        <f>VLOOKUP(WWWW[[#This Row],[Site Name]],SiteDB6[[Site Name]:[CCCM Focal Agency]],7,FALSE)</f>
        <v>KBC-MYT</v>
      </c>
      <c r="EA355" s="794" t="str">
        <f>VLOOKUP(WWWW[[#This Row],[Site Name]],SiteDB6[[Site Name]:[Location Type 1]],9,FALSE)</f>
        <v>Camp</v>
      </c>
      <c r="EB355" s="794" t="str">
        <f>VLOOKUP(WWWW[[#This Row],[Site Name]],SiteDB6[[Site Name]:[Type of Accommodation]],10,FALSE)</f>
        <v>Camp</v>
      </c>
      <c r="EC355" s="794" t="str">
        <f>VLOOKUP(WWWW[[#This Row],[Site Name]],SiteDB6[[Site Name]:[Ethnic or GCA/NGCA]],11,FALSE)</f>
        <v>GCA</v>
      </c>
      <c r="ED355" s="794">
        <f>VLOOKUP(WWWW[[#This Row],[Site Name]],SiteDB6[[Site Name]:[Lat]],12,FALSE)</f>
        <v>0</v>
      </c>
      <c r="EE355" s="794">
        <f>VLOOKUP(WWWW[[#This Row],[Site Name]],SiteDB6[[Site Name]:[Long]],13,FALSE)</f>
        <v>0</v>
      </c>
      <c r="EF355" s="794" t="str">
        <f>VLOOKUP(WWWW[[#This Row],[Site Name]],SiteDB6[[Site Name]:[Pcode]],3,FALSE)</f>
        <v>MMR001CMP253</v>
      </c>
      <c r="EG355" s="799" t="str">
        <f t="shared" si="8"/>
        <v>Notcovered</v>
      </c>
      <c r="EH355" s="799" t="str">
        <f>VLOOKUP(WWWW[[#This Row],[Site Name]],Site_DB!$C$389:$D$1120,2,FALSE)</f>
        <v>cccm_2019OCT</v>
      </c>
    </row>
    <row r="356" spans="1:138" hidden="1">
      <c r="A356" s="792" t="s">
        <v>3262</v>
      </c>
      <c r="B356" s="792" t="s">
        <v>312</v>
      </c>
      <c r="C356" s="793" t="s">
        <v>312</v>
      </c>
      <c r="D356" s="793"/>
      <c r="E356" s="793" t="s">
        <v>39</v>
      </c>
      <c r="F356" s="793" t="s">
        <v>176</v>
      </c>
      <c r="G356" s="721" t="str">
        <f>VLOOKUP(WWWW[[#This Row],[Site Name]],SiteDB6[[Site Name]:[Location Type]],8,FALSE)</f>
        <v>Camp</v>
      </c>
      <c r="H356" s="793" t="s">
        <v>1089</v>
      </c>
      <c r="I356" s="795">
        <v>14</v>
      </c>
      <c r="J356" s="795">
        <v>75</v>
      </c>
      <c r="K356" s="796"/>
      <c r="L356" s="797"/>
      <c r="M356" s="795"/>
      <c r="N356" s="795"/>
      <c r="O356" s="795"/>
      <c r="P356" s="795"/>
      <c r="Q356" s="798"/>
      <c r="R356" s="795"/>
      <c r="S356" s="795">
        <v>5</v>
      </c>
      <c r="T356" s="523"/>
      <c r="U356" s="795"/>
      <c r="V356" s="795"/>
      <c r="W356" s="795"/>
      <c r="X356" s="795"/>
      <c r="Y356" s="795"/>
      <c r="Z356" s="795"/>
      <c r="AA356" s="795"/>
      <c r="AB356" s="795"/>
      <c r="AC356" s="795"/>
      <c r="AD356" s="795"/>
      <c r="AE356" s="795"/>
      <c r="AF356" s="795"/>
      <c r="AG356" s="795"/>
      <c r="AH356" s="795"/>
      <c r="AI356" s="795"/>
      <c r="AJ356" s="795"/>
      <c r="AK356" s="795"/>
      <c r="AL356" s="795"/>
      <c r="AM356" s="795"/>
      <c r="AN356" s="795"/>
      <c r="AO356" s="799"/>
      <c r="AP356" s="795"/>
      <c r="AQ356" s="795"/>
      <c r="AR356" s="800"/>
      <c r="AS356" s="795"/>
      <c r="AT356" s="795"/>
      <c r="AU356" s="795"/>
      <c r="AV356" s="795"/>
      <c r="AW356" s="795"/>
      <c r="AX356" s="794"/>
      <c r="AY356" s="799"/>
      <c r="AZ356" s="795"/>
      <c r="BA356" s="795"/>
      <c r="BB356" s="795"/>
      <c r="BC356" s="523"/>
      <c r="BD356" s="523"/>
      <c r="BE356" s="794"/>
      <c r="BF356" s="795"/>
      <c r="BG356" s="795"/>
      <c r="BH356" s="795"/>
      <c r="BI356" s="795"/>
      <c r="BJ356" s="795"/>
      <c r="BK356" s="795"/>
      <c r="BL356" s="795"/>
      <c r="BM356" s="795"/>
      <c r="BN356" s="795"/>
      <c r="BO356" s="794"/>
      <c r="BP356" s="801"/>
      <c r="BQ356" s="800"/>
      <c r="BR356" s="794"/>
      <c r="BS356" s="472"/>
      <c r="BT356" s="472"/>
      <c r="BU356" s="720"/>
      <c r="BV356" s="472"/>
      <c r="BW356" s="523"/>
      <c r="BX356" s="523"/>
      <c r="BY356" s="523"/>
      <c r="BZ356" s="802" t="str">
        <f>IFERROR(WWWW[[#This Row],['#_Water sources passed]]/WWWW[[#This Row],['#_Water sources tested for fecal coliform ]],"no test")</f>
        <v>no test</v>
      </c>
      <c r="CA356" s="800" t="str">
        <f>IFERROR(WWWW[[#This Row],['#_Household passed]]/WWWW[[#This Row],['#_Household water samples tested for fecal coliform]],"no test")</f>
        <v>no test</v>
      </c>
      <c r="CB356" s="801" t="str">
        <f>IF(AND(WWWW[[#This Row],[% of water sources passed]]="no test",WWWW[[#This Row],[% Household passed]]="no test"),"No Test","Tested")</f>
        <v>No Test</v>
      </c>
      <c r="CC356" s="801">
        <f>WWWW[[#This Row],['#_Constructed/existing protected hand dug well]]-WWWW[[#This Row],['#_Non-functional protected hand dug well]]</f>
        <v>0</v>
      </c>
      <c r="CD356" s="801">
        <f>(WWWW[[#This Row],['#_Constructed/Existing tube wells/boreholes/handpumps_WASH_agency]]+WWWW[[#This Row],['#_Non-Cluster partner water tube-wells/boreholes/handpumps]])-WWWW[[#This Row],['#_Non-functional tube wells/boreholes/handpumps]]</f>
        <v>0</v>
      </c>
      <c r="CE356" s="801">
        <f>WWWW[[#This Row],['#_Constructed/Existingwater storage tank with gravity fed reticulation system]]-WWWW[[#This Row],['#_Non-functional storage tank gravity fed reticulation system]]</f>
        <v>0</v>
      </c>
      <c r="CF356" s="801">
        <f>(WWWW[[#This Row],['#_Water_Liters_supplied_by_Water boating or water trucking]]/90)/15</f>
        <v>0</v>
      </c>
      <c r="CG356" s="801">
        <f>WWWW[[#This Row],['#_Water_Liters_from_Constructed/Existing water distribution system from river or natural spring]]/90/15</f>
        <v>0</v>
      </c>
      <c r="CH356" s="473">
        <f>WWWW[[#This Row],['#_of water points in TLS/CFS /THF]]*500</f>
        <v>0</v>
      </c>
      <c r="CI35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5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56" s="800">
        <f>IF(WWWW[[#This Row],[Location Type 1]]="Village",WWWW[[#This Row],[Access to safe drinking water for Village]],WWWW[[#This Row],[Access to safe drinking water for Camp]])</f>
        <v>0</v>
      </c>
      <c r="CL356" s="798">
        <f>WWWW[[#This Row],[%Equitable and continuous access to sufficient quantity of safe drinking water]]*WWWW[[#This Row],[Total PoP ]]</f>
        <v>0</v>
      </c>
      <c r="CM356" s="800">
        <f>IF((WWWW[[#This Row],['#_Constructed/Existing protected/fenced ponds]]*250)/WWWW[[#This Row],[Total PoP ]]&gt;1,1,(WWWW[[#This Row],['#_Constructed/Existing protected/fenced ponds]]*250)/WWWW[[#This Row],[Total PoP ]])</f>
        <v>0</v>
      </c>
      <c r="CN356" s="798">
        <f>WWWW[[#This Row],[% Access to unimproved water points]]*WWWW[[#This Row],[Total PoP ]]</f>
        <v>0</v>
      </c>
      <c r="CO35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5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56" s="798">
        <f>WWWW[[#This Row],[HRP1]]/500</f>
        <v>0</v>
      </c>
      <c r="CR356" s="803">
        <f>1-WWWW[[#This Row],[% Equitable and continuous access to sufficient quantity of domestic water]]</f>
        <v>1</v>
      </c>
      <c r="CS356" s="798">
        <f>WWWW[[#This Row],[%equitable and continuous access to sufficient quantity of safe drinking and domestic water''s GAP]]*WWWW[[#This Row],[Total PoP ]]</f>
        <v>75</v>
      </c>
      <c r="CT356" s="801">
        <f>IF(WWWW[[#This Row],[Total required water points]]-WWWW[[#This Row],['#Water points coverage]]&lt;0,0,WWWW[[#This Row],[Total required water points]]-WWWW[[#This Row],['#Water points coverage]])</f>
        <v>1</v>
      </c>
      <c r="CU356" s="801">
        <f>ROUND(IF(WWWW[[#This Row],[Total PoP ]]&lt;500,1,WWWW[[#This Row],[Total PoP ]]/500),0)</f>
        <v>1</v>
      </c>
      <c r="CV356" s="801">
        <f>(WWWW[[#This Row],['#_Constructed latrines_by_WASHAgencies]]+WWWW[[#This Row],['#_Non Cluster partner latrines]])-WWWW[[#This Row],['#_Non-functional latrines]]</f>
        <v>0</v>
      </c>
      <c r="CW356" s="804">
        <f>WWWW[[#This Row],[HRP2]]/WWWW[[#This Row],[Total PoP ]]</f>
        <v>0</v>
      </c>
      <c r="CX35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5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6" s="473">
        <f>IF(WWWW[[#This Row],['# of functional latrines in THF supported by WASH partners during the reporting period2]]="",0,WWWW[[#This Row],['# of functional latrines in THF supported by WASH partners during the reporting period2]]*50)</f>
        <v>0</v>
      </c>
      <c r="DB356" s="473">
        <f>WWWW[[#This Row],['# students access to functioning school latrines_HRP5]]+WWWW[[#This Row],['# People access to functioning latrines in THF_HRP5]]</f>
        <v>0</v>
      </c>
      <c r="DC356" s="801">
        <f>ROUND(IF(WWWW[[#This Row],[Location Type 1]]="camp",WWWW[[#This Row],[Total PoP ]]/20,IF(WWWW[[#This Row],[Location Type 1]]="Temporary Location",WWWW[[#This Row],[Total PoP ]]/50,(WWWW[[#This Row],[Total PoP ]]/6))),0)</f>
        <v>4</v>
      </c>
      <c r="DD356" s="801">
        <f>IF(WWWW[[#This Row],[Total required Latrines]]-(WWWW[[#This Row],['#_Constructed latrines_by_WASHAgencies]]+WWWW[[#This Row],['#_Non Cluster partner latrines]])&lt;0,0,WWWW[[#This Row],[Total required Latrines]]-(WWWW[[#This Row],['#_Constructed latrines_by_WASHAgencies]]+WWWW[[#This Row],['#_Non Cluster partner latrines]]))</f>
        <v>4</v>
      </c>
      <c r="DE356" s="803">
        <f>1-WWWW[[#This Row],[% people access to functioning Latrine]]</f>
        <v>1</v>
      </c>
      <c r="DF356" s="802">
        <f>IF(OR(WWWW[[#This Row],['#_Non-functional latrines]]="",WWWW[[#This Row],['#_Non-functional latrines]]=0),0,WWWW[[#This Row],['#_Non-functional latrines]]/(WWWW[[#This Row],['#_Constructed latrines_by_WASHAgencies]]+WWWW[[#This Row],['#_Non Cluster partner latrines]]))</f>
        <v>0</v>
      </c>
      <c r="DG356" s="798">
        <f>IF(500*(WWWW[[#This Row],['#_male hygiene promoters]]+WWWW[[#This Row],['#_female hygiene promoters]])&gt;WWWW[[#This Row],[Total PoP ]],WWWW[[#This Row],[Total PoP ]],500*(WWWW[[#This Row],['#_male hygiene promoters]]+WWWW[[#This Row],['#_female hygiene promoters]]))</f>
        <v>0</v>
      </c>
      <c r="DH35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6" s="801">
        <f>IF(WWWW[[#This Row],['# People with access to soap]]&gt;WWWW[[#This Row],['# People with access to Sanity Pads]],WWWW[[#This Row],['# People with access to soap]],WWWW[[#This Row],['# People with access to Sanity Pads]])</f>
        <v>0</v>
      </c>
      <c r="DK35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56" s="803">
        <f>IF(WWWW[[#This Row],[HRP3]]/WWWW[[#This Row],[Total PoP ]]&gt;1,1,WWWW[[#This Row],[HRP3]]/WWWW[[#This Row],[Total PoP ]])</f>
        <v>0</v>
      </c>
      <c r="DM356" s="802">
        <f>1-WWWW[[#This Row],[Hygiene Coverage%]]</f>
        <v>1</v>
      </c>
      <c r="DN356" s="800">
        <f>WWWW[[#This Row],['# people reached by regular dedicated hygiene promotion_5]]/WWWW[[#This Row],[Total PoP ]]</f>
        <v>0</v>
      </c>
      <c r="DO35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6" s="801">
        <f>WWWW[[#This Row],['#_Constructed/Existing hand washing stations]]-WWWW[[#This Row],['#_Non-Functional_hand_washing_stations]]</f>
        <v>0</v>
      </c>
      <c r="DR356" s="798">
        <f>IF(WWWW[[#This Row],['# Functional hand washing stations during reporting period]]*20&gt;WWWW[[#This Row],[Total HH]],WWWW[[#This Row],[Total HH]],WWWW[[#This Row],['# Functional hand washing stations during reporting period]]*20)</f>
        <v>0</v>
      </c>
      <c r="DS356" s="798">
        <f>IF(WWWW[[#This Row],[Is sufficient soap available for TLS? (Yes/No)]]="yes",WWWW[[#This Row],['#_Constructed/Existing hand washing stations at TLS]],0)</f>
        <v>0</v>
      </c>
      <c r="DT356" s="479">
        <f>IF(WWWW[[#This Row],['# Functional hand washing stations during reporting period]]*100&gt;WWWW[[#This Row],[Total PoP ]],WWWW[[#This Row],[Total PoP ]],WWWW[[#This Row],['# Functional hand washing stations during reporting period]]*100)</f>
        <v>0</v>
      </c>
      <c r="DU356" s="479" t="str">
        <f>IF(OR(WWWW[[#This Row],['#_students at TLS_CFS]]="",WWWW[[#This Row],['#_students at TLS_CFS]]=0),"No","Yes")</f>
        <v>No</v>
      </c>
      <c r="DV35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6" s="794">
        <f>VLOOKUP(WWWW[[#This Row],[Site Name]],SiteDB6[[Site Name]:[CCCM Management]],6,FALSE)</f>
        <v>0</v>
      </c>
      <c r="DZ356" s="794" t="str">
        <f>VLOOKUP(WWWW[[#This Row],[Site Name]],SiteDB6[[Site Name]:[CCCM Focal Agency]],7,FALSE)</f>
        <v>uncovered</v>
      </c>
      <c r="EA356" s="794" t="str">
        <f>VLOOKUP(WWWW[[#This Row],[Site Name]],SiteDB6[[Site Name]:[Location Type 1]],9,FALSE)</f>
        <v>Camp</v>
      </c>
      <c r="EB356" s="794" t="str">
        <f>VLOOKUP(WWWW[[#This Row],[Site Name]],SiteDB6[[Site Name]:[Type of Accommodation]],10,FALSE)</f>
        <v>Host Families</v>
      </c>
      <c r="EC356" s="794" t="str">
        <f>VLOOKUP(WWWW[[#This Row],[Site Name]],SiteDB6[[Site Name]:[Ethnic or GCA/NGCA]],11,FALSE)</f>
        <v>GCA</v>
      </c>
      <c r="ED356" s="794">
        <f>VLOOKUP(WWWW[[#This Row],[Site Name]],SiteDB6[[Site Name]:[Lat]],12,FALSE)</f>
        <v>27.311699999999998</v>
      </c>
      <c r="EE356" s="794">
        <f>VLOOKUP(WWWW[[#This Row],[Site Name]],SiteDB6[[Site Name]:[Long]],13,FALSE)</f>
        <v>97.415289999999999</v>
      </c>
      <c r="EF356" s="794" t="str">
        <f>VLOOKUP(WWWW[[#This Row],[Site Name]],SiteDB6[[Site Name]:[Pcode]],3,FALSE)</f>
        <v>MMR001CMP075</v>
      </c>
      <c r="EG356" s="799" t="str">
        <f t="shared" si="8"/>
        <v>Notcovered</v>
      </c>
      <c r="EH356" s="799" t="str">
        <f>VLOOKUP(WWWW[[#This Row],[Site Name]],Site_DB!$C$389:$D$1120,2,FALSE)</f>
        <v>cccm_2019OCT</v>
      </c>
    </row>
    <row r="357" spans="1:138" hidden="1">
      <c r="A357" s="792" t="s">
        <v>3262</v>
      </c>
      <c r="B357" s="792" t="s">
        <v>38</v>
      </c>
      <c r="C357" s="793" t="s">
        <v>38</v>
      </c>
      <c r="D357" s="793" t="s">
        <v>244</v>
      </c>
      <c r="E357" s="793" t="s">
        <v>39</v>
      </c>
      <c r="F357" s="793" t="s">
        <v>151</v>
      </c>
      <c r="G357" s="721" t="str">
        <f>VLOOKUP(WWWW[[#This Row],[Site Name]],SiteDB6[[Site Name]:[Location Type]],8,FALSE)</f>
        <v>Camp</v>
      </c>
      <c r="H357" s="793" t="s">
        <v>2019</v>
      </c>
      <c r="I357" s="523">
        <v>47</v>
      </c>
      <c r="J357" s="523">
        <v>218</v>
      </c>
      <c r="K357" s="407">
        <v>43810</v>
      </c>
      <c r="L357" s="56">
        <v>44175</v>
      </c>
      <c r="M357" s="523">
        <v>56</v>
      </c>
      <c r="N357" s="795"/>
      <c r="O357" s="795"/>
      <c r="P357" s="795"/>
      <c r="Q357" s="798" t="s">
        <v>43</v>
      </c>
      <c r="R357" s="795">
        <v>1</v>
      </c>
      <c r="S357" s="795">
        <v>2</v>
      </c>
      <c r="T357" s="523">
        <v>1</v>
      </c>
      <c r="U357" s="795"/>
      <c r="V357" s="795"/>
      <c r="W357" s="795"/>
      <c r="X357" s="795">
        <v>1</v>
      </c>
      <c r="Y357" s="795"/>
      <c r="Z357" s="795"/>
      <c r="AA357" s="795">
        <v>1</v>
      </c>
      <c r="AB357" s="795"/>
      <c r="AC357" s="795"/>
      <c r="AD357" s="795"/>
      <c r="AE357" s="795"/>
      <c r="AF357" s="795"/>
      <c r="AG357" s="795"/>
      <c r="AH357" s="795"/>
      <c r="AI357" s="795"/>
      <c r="AJ357" s="795"/>
      <c r="AK357" s="795"/>
      <c r="AL357" s="795"/>
      <c r="AM357" s="795">
        <v>2</v>
      </c>
      <c r="AN357" s="795"/>
      <c r="AO357" s="799"/>
      <c r="AP357" s="795">
        <v>8</v>
      </c>
      <c r="AQ357" s="795">
        <v>4</v>
      </c>
      <c r="AR357" s="800"/>
      <c r="AS357" s="795"/>
      <c r="AT357" s="795">
        <v>6</v>
      </c>
      <c r="AU357" s="795"/>
      <c r="AV357" s="795"/>
      <c r="AW357" s="795"/>
      <c r="AX357" s="794" t="s">
        <v>43</v>
      </c>
      <c r="AY357" s="799" t="s">
        <v>139</v>
      </c>
      <c r="AZ357" s="795">
        <v>2</v>
      </c>
      <c r="BA357" s="795"/>
      <c r="BB357" s="795">
        <v>8</v>
      </c>
      <c r="BC357" s="523"/>
      <c r="BD357" s="523"/>
      <c r="BE357" s="794"/>
      <c r="BF357" s="795">
        <v>2</v>
      </c>
      <c r="BG357" s="795"/>
      <c r="BH357" s="795">
        <v>2</v>
      </c>
      <c r="BI357" s="795">
        <v>2</v>
      </c>
      <c r="BJ357" s="795"/>
      <c r="BK357" s="795"/>
      <c r="BL357" s="795">
        <v>1</v>
      </c>
      <c r="BM357" s="795">
        <v>6</v>
      </c>
      <c r="BN357" s="795"/>
      <c r="BO357" s="794"/>
      <c r="BP357" s="801"/>
      <c r="BQ357" s="800"/>
      <c r="BR357" s="794"/>
      <c r="BS357" s="472">
        <v>0.4</v>
      </c>
      <c r="BT357" s="472">
        <v>0.3</v>
      </c>
      <c r="BU357" s="523"/>
      <c r="BV357" s="472">
        <v>0.1</v>
      </c>
      <c r="BW357" s="523">
        <v>8</v>
      </c>
      <c r="BX357" s="523">
        <v>6</v>
      </c>
      <c r="BY357" s="523">
        <v>2</v>
      </c>
      <c r="BZ357" s="802" t="str">
        <f>IFERROR(WWWW[[#This Row],['#_Water sources passed]]/WWWW[[#This Row],['#_Water sources tested for fecal coliform ]],"no test")</f>
        <v>no test</v>
      </c>
      <c r="CA357" s="800" t="str">
        <f>IFERROR(WWWW[[#This Row],['#_Household passed]]/WWWW[[#This Row],['#_Household water samples tested for fecal coliform]],"no test")</f>
        <v>no test</v>
      </c>
      <c r="CB357" s="801" t="str">
        <f>IF(AND(WWWW[[#This Row],[% of water sources passed]]="no test",WWWW[[#This Row],[% Household passed]]="no test"),"No Test","Tested")</f>
        <v>No Test</v>
      </c>
      <c r="CC357" s="801">
        <f>WWWW[[#This Row],['#_Constructed/existing protected hand dug well]]-WWWW[[#This Row],['#_Non-functional protected hand dug well]]</f>
        <v>1</v>
      </c>
      <c r="CD357" s="801">
        <f>(WWWW[[#This Row],['#_Constructed/Existing tube wells/boreholes/handpumps_WASH_agency]]+WWWW[[#This Row],['#_Non-Cluster partner water tube-wells/boreholes/handpumps]])-WWWW[[#This Row],['#_Non-functional tube wells/boreholes/handpumps]]</f>
        <v>1</v>
      </c>
      <c r="CE357" s="801">
        <f>WWWW[[#This Row],['#_Constructed/Existingwater storage tank with gravity fed reticulation system]]-WWWW[[#This Row],['#_Non-functional storage tank gravity fed reticulation system]]</f>
        <v>1</v>
      </c>
      <c r="CF357" s="801">
        <f>(WWWW[[#This Row],['#_Water_Liters_supplied_by_Water boating or water trucking]]/90)/15</f>
        <v>0</v>
      </c>
      <c r="CG357" s="801">
        <f>WWWW[[#This Row],['#_Water_Liters_from_Constructed/Existing water distribution system from river or natural spring]]/90/15</f>
        <v>0</v>
      </c>
      <c r="CH357" s="473">
        <f>WWWW[[#This Row],['#_of water points in TLS/CFS /THF]]*500</f>
        <v>0</v>
      </c>
      <c r="CI35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7" s="800">
        <f>IF(WWWW[[#This Row],[Location Type 1]]="Village",WWWW[[#This Row],[Access to safe drinking water for Village]],WWWW[[#This Row],[Access to safe drinking water for Camp]])</f>
        <v>1</v>
      </c>
      <c r="CL357" s="798">
        <f>WWWW[[#This Row],[%Equitable and continuous access to sufficient quantity of safe drinking water]]*WWWW[[#This Row],[Total PoP ]]</f>
        <v>218</v>
      </c>
      <c r="CM357" s="800">
        <f>IF((WWWW[[#This Row],['#_Constructed/Existing protected/fenced ponds]]*250)/WWWW[[#This Row],[Total PoP ]]&gt;1,1,(WWWW[[#This Row],['#_Constructed/Existing protected/fenced ponds]]*250)/WWWW[[#This Row],[Total PoP ]])</f>
        <v>0</v>
      </c>
      <c r="CN357" s="798">
        <f>WWWW[[#This Row],[% Access to unimproved water points]]*WWWW[[#This Row],[Total PoP ]]</f>
        <v>0</v>
      </c>
      <c r="CO35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357" s="798">
        <f>WWWW[[#This Row],[HRP1]]/500</f>
        <v>0.436</v>
      </c>
      <c r="CR357" s="803">
        <f>1-WWWW[[#This Row],[% Equitable and continuous access to sufficient quantity of domestic water]]</f>
        <v>0</v>
      </c>
      <c r="CS357" s="798">
        <f>WWWW[[#This Row],[%equitable and continuous access to sufficient quantity of safe drinking and domestic water''s GAP]]*WWWW[[#This Row],[Total PoP ]]</f>
        <v>0</v>
      </c>
      <c r="CT357" s="801">
        <f>IF(WWWW[[#This Row],[Total required water points]]-WWWW[[#This Row],['#Water points coverage]]&lt;0,0,WWWW[[#This Row],[Total required water points]]-WWWW[[#This Row],['#Water points coverage]])</f>
        <v>0.56400000000000006</v>
      </c>
      <c r="CU357" s="801">
        <f>ROUND(IF(WWWW[[#This Row],[Total PoP ]]&lt;500,1,WWWW[[#This Row],[Total PoP ]]/500),0)</f>
        <v>1</v>
      </c>
      <c r="CV357" s="801">
        <f>(WWWW[[#This Row],['#_Constructed latrines_by_WASHAgencies]]+WWWW[[#This Row],['#_Non Cluster partner latrines]])-WWWW[[#This Row],['#_Non-functional latrines]]</f>
        <v>12</v>
      </c>
      <c r="CW357" s="804">
        <f>WWWW[[#This Row],[HRP2]]/WWWW[[#This Row],[Total PoP ]]</f>
        <v>1</v>
      </c>
      <c r="CX35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35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56</v>
      </c>
      <c r="DA357" s="473">
        <f>IF(WWWW[[#This Row],['# of functional latrines in THF supported by WASH partners during the reporting period2]]="",0,WWWW[[#This Row],['# of functional latrines in THF supported by WASH partners during the reporting period2]]*50)</f>
        <v>0</v>
      </c>
      <c r="DB357" s="473">
        <f>WWWW[[#This Row],['# students access to functioning school latrines_HRP5]]+WWWW[[#This Row],['# People access to functioning latrines in THF_HRP5]]</f>
        <v>56</v>
      </c>
      <c r="DC357" s="801">
        <f>ROUND(IF(WWWW[[#This Row],[Location Type 1]]="camp",WWWW[[#This Row],[Total PoP ]]/20,IF(WWWW[[#This Row],[Location Type 1]]="Temporary Location",WWWW[[#This Row],[Total PoP ]]/50,(WWWW[[#This Row],[Total PoP ]]/6))),0)</f>
        <v>11</v>
      </c>
      <c r="DD357" s="801">
        <f>IF(WWWW[[#This Row],[Total required Latrines]]-(WWWW[[#This Row],['#_Constructed latrines_by_WASHAgencies]]+WWWW[[#This Row],['#_Non Cluster partner latrines]])&lt;0,0,WWWW[[#This Row],[Total required Latrines]]-(WWWW[[#This Row],['#_Constructed latrines_by_WASHAgencies]]+WWWW[[#This Row],['#_Non Cluster partner latrines]]))</f>
        <v>0</v>
      </c>
      <c r="DE357" s="803">
        <f>1-WWWW[[#This Row],[% people access to functioning Latrine]]</f>
        <v>0</v>
      </c>
      <c r="DF357" s="802">
        <f>IF(OR(WWWW[[#This Row],['#_Non-functional latrines]]="",WWWW[[#This Row],['#_Non-functional latrines]]=0),0,WWWW[[#This Row],['#_Non-functional latrines]]/(WWWW[[#This Row],['#_Constructed latrines_by_WASHAgencies]]+WWWW[[#This Row],['#_Non Cluster partner latrines]]))</f>
        <v>0</v>
      </c>
      <c r="DG357" s="798">
        <f>IF(500*(WWWW[[#This Row],['#_male hygiene promoters]]+WWWW[[#This Row],['#_female hygiene promoters]])&gt;WWWW[[#This Row],[Total PoP ]],WWWW[[#This Row],[Total PoP ]],500*(WWWW[[#This Row],['#_male hygiene promoters]]+WWWW[[#This Row],['#_female hygiene promoters]]))</f>
        <v>218</v>
      </c>
      <c r="DH35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35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7" s="801">
        <f>IF(WWWW[[#This Row],['# People with access to soap]]&gt;WWWW[[#This Row],['# People with access to Sanity Pads]],WWWW[[#This Row],['# People with access to soap]],WWWW[[#This Row],['# People with access to Sanity Pads]])</f>
        <v>30</v>
      </c>
      <c r="DK357" s="80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357" s="803">
        <f>IF(WWWW[[#This Row],[HRP3]]/WWWW[[#This Row],[Total PoP ]]&gt;1,1,WWWW[[#This Row],[HRP3]]/WWWW[[#This Row],[Total PoP ]])</f>
        <v>1</v>
      </c>
      <c r="DM357" s="802">
        <f>1-WWWW[[#This Row],[Hygiene Coverage%]]</f>
        <v>0</v>
      </c>
      <c r="DN357" s="800">
        <f>WWWW[[#This Row],['# people reached by regular dedicated hygiene promotion_5]]/WWWW[[#This Row],[Total PoP ]]</f>
        <v>1</v>
      </c>
      <c r="DO35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0.51063829787234039</v>
      </c>
      <c r="DP35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7" s="801">
        <f>WWWW[[#This Row],['#_Constructed/Existing hand washing stations]]-WWWW[[#This Row],['#_Non-Functional_hand_washing_stations]]</f>
        <v>2</v>
      </c>
      <c r="DR357" s="798">
        <f>IF(WWWW[[#This Row],['# Functional hand washing stations during reporting period]]*20&gt;WWWW[[#This Row],[Total HH]],WWWW[[#This Row],[Total HH]],WWWW[[#This Row],['# Functional hand washing stations during reporting period]]*20)</f>
        <v>40</v>
      </c>
      <c r="DS357" s="798">
        <f>IF(WWWW[[#This Row],[Is sufficient soap available for TLS? (Yes/No)]]="yes",WWWW[[#This Row],['#_Constructed/Existing hand washing stations at TLS]],0)</f>
        <v>0</v>
      </c>
      <c r="DT357" s="479">
        <f>IF(WWWW[[#This Row],['# Functional hand washing stations during reporting period]]*100&gt;WWWW[[#This Row],[Total PoP ]],WWWW[[#This Row],[Total PoP ]],WWWW[[#This Row],['# Functional hand washing stations during reporting period]]*100)</f>
        <v>200</v>
      </c>
      <c r="DU357" s="479" t="str">
        <f>IF(OR(WWWW[[#This Row],['#_students at TLS_CFS]]="",WWWW[[#This Row],['#_students at TLS_CFS]]=0),"No","Yes")</f>
        <v>Yes</v>
      </c>
      <c r="DV35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v>
      </c>
      <c r="DX3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56</v>
      </c>
      <c r="DY357" s="794">
        <f>VLOOKUP(WWWW[[#This Row],[Site Name]],SiteDB6[[Site Name]:[CCCM Management]],6,FALSE)</f>
        <v>0</v>
      </c>
      <c r="DZ357" s="794" t="str">
        <f>VLOOKUP(WWWW[[#This Row],[Site Name]],SiteDB6[[Site Name]:[CCCM Focal Agency]],7,FALSE)</f>
        <v>KMSS-MYT</v>
      </c>
      <c r="EA357" s="794" t="str">
        <f>VLOOKUP(WWWW[[#This Row],[Site Name]],SiteDB6[[Site Name]:[Location Type 1]],9,FALSE)</f>
        <v>Camp</v>
      </c>
      <c r="EB357" s="794" t="str">
        <f>VLOOKUP(WWWW[[#This Row],[Site Name]],SiteDB6[[Site Name]:[Type of Accommodation]],10,FALSE)</f>
        <v>Camp</v>
      </c>
      <c r="EC357" s="794" t="str">
        <f>VLOOKUP(WWWW[[#This Row],[Site Name]],SiteDB6[[Site Name]:[Ethnic or GCA/NGCA]],11,FALSE)</f>
        <v>GCA</v>
      </c>
      <c r="ED357" s="794">
        <f>VLOOKUP(WWWW[[#This Row],[Site Name]],SiteDB6[[Site Name]:[Lat]],12,FALSE)</f>
        <v>0</v>
      </c>
      <c r="EE357" s="794">
        <f>VLOOKUP(WWWW[[#This Row],[Site Name]],SiteDB6[[Site Name]:[Long]],13,FALSE)</f>
        <v>0</v>
      </c>
      <c r="EF357" s="794" t="str">
        <f>VLOOKUP(WWWW[[#This Row],[Site Name]],SiteDB6[[Site Name]:[Pcode]],3,FALSE)</f>
        <v>MMR001CMP268</v>
      </c>
      <c r="EG357" s="799" t="str">
        <f t="shared" si="8"/>
        <v>Covered</v>
      </c>
      <c r="EH357" s="799" t="str">
        <f>VLOOKUP(WWWW[[#This Row],[Site Name]],Site_DB!$C$389:$D$1120,2,FALSE)</f>
        <v>cccm_2019OCT</v>
      </c>
    </row>
    <row r="358" spans="1:138" hidden="1">
      <c r="A358" s="792" t="s">
        <v>3262</v>
      </c>
      <c r="B358" s="792" t="s">
        <v>245</v>
      </c>
      <c r="C358" s="793" t="s">
        <v>245</v>
      </c>
      <c r="D358" s="793" t="s">
        <v>310</v>
      </c>
      <c r="E358" s="793" t="s">
        <v>39</v>
      </c>
      <c r="F358" s="793" t="s">
        <v>151</v>
      </c>
      <c r="G358" s="721" t="str">
        <f>VLOOKUP(WWWW[[#This Row],[Site Name]],SiteDB6[[Site Name]:[Location Type]],8,FALSE)</f>
        <v>Camp</v>
      </c>
      <c r="H358" s="793" t="s">
        <v>246</v>
      </c>
      <c r="I358" s="795">
        <v>123</v>
      </c>
      <c r="J358" s="795">
        <v>672</v>
      </c>
      <c r="K358" s="796">
        <v>43313</v>
      </c>
      <c r="L358" s="797">
        <v>44043</v>
      </c>
      <c r="M358" s="795">
        <v>23</v>
      </c>
      <c r="N358" s="795">
        <v>2</v>
      </c>
      <c r="O358" s="795"/>
      <c r="P358" s="795"/>
      <c r="Q358" s="798" t="s">
        <v>43</v>
      </c>
      <c r="R358" s="795">
        <v>1</v>
      </c>
      <c r="S358" s="795">
        <v>2</v>
      </c>
      <c r="T358" s="523">
        <v>0</v>
      </c>
      <c r="U358" s="795"/>
      <c r="V358" s="795"/>
      <c r="W358" s="795">
        <v>0</v>
      </c>
      <c r="X358" s="795">
        <v>0</v>
      </c>
      <c r="Y358" s="795"/>
      <c r="Z358" s="795"/>
      <c r="AA358" s="795">
        <v>1</v>
      </c>
      <c r="AB358" s="795"/>
      <c r="AC358" s="795"/>
      <c r="AD358" s="795">
        <v>0</v>
      </c>
      <c r="AE358" s="795">
        <v>1</v>
      </c>
      <c r="AF358" s="795"/>
      <c r="AG358" s="795">
        <v>0</v>
      </c>
      <c r="AH358" s="795">
        <v>0</v>
      </c>
      <c r="AI358" s="795"/>
      <c r="AJ358" s="795"/>
      <c r="AK358" s="795"/>
      <c r="AL358" s="795"/>
      <c r="AM358" s="795">
        <v>0</v>
      </c>
      <c r="AN358" s="795">
        <v>0</v>
      </c>
      <c r="AO358" s="799"/>
      <c r="AP358" s="795">
        <v>23</v>
      </c>
      <c r="AQ358" s="795">
        <v>13</v>
      </c>
      <c r="AR358" s="800" t="s">
        <v>1244</v>
      </c>
      <c r="AS358" s="795"/>
      <c r="AT358" s="795"/>
      <c r="AU358" s="795"/>
      <c r="AV358" s="795"/>
      <c r="AW358" s="795">
        <v>0</v>
      </c>
      <c r="AX358" s="794" t="s">
        <v>43</v>
      </c>
      <c r="AY358" s="799" t="s">
        <v>140</v>
      </c>
      <c r="AZ358" s="795">
        <v>0</v>
      </c>
      <c r="BA358" s="795">
        <v>0</v>
      </c>
      <c r="BB358" s="795">
        <v>0</v>
      </c>
      <c r="BC358" s="523"/>
      <c r="BD358" s="523"/>
      <c r="BE358" s="794"/>
      <c r="BF358" s="795">
        <v>4</v>
      </c>
      <c r="BG358" s="795"/>
      <c r="BH358" s="795">
        <v>0</v>
      </c>
      <c r="BI358" s="795">
        <v>4</v>
      </c>
      <c r="BJ358" s="795"/>
      <c r="BK358" s="795">
        <v>1</v>
      </c>
      <c r="BL358" s="795">
        <v>2</v>
      </c>
      <c r="BM358" s="795"/>
      <c r="BN358" s="795"/>
      <c r="BO358" s="794"/>
      <c r="BP358" s="801"/>
      <c r="BQ358" s="800"/>
      <c r="BR358" s="794"/>
      <c r="BS358" s="472"/>
      <c r="BT358" s="472"/>
      <c r="BU358" s="720"/>
      <c r="BV358" s="472"/>
      <c r="BW358" s="523"/>
      <c r="BX358" s="523"/>
      <c r="BY358" s="523"/>
      <c r="BZ358" s="802" t="str">
        <f>IFERROR(WWWW[[#This Row],['#_Water sources passed]]/WWWW[[#This Row],['#_Water sources tested for fecal coliform ]],"no test")</f>
        <v>no test</v>
      </c>
      <c r="CA358" s="800" t="str">
        <f>IFERROR(WWWW[[#This Row],['#_Household passed]]/WWWW[[#This Row],['#_Household water samples tested for fecal coliform]],"no test")</f>
        <v>no test</v>
      </c>
      <c r="CB358" s="801" t="str">
        <f>IF(AND(WWWW[[#This Row],[% of water sources passed]]="no test",WWWW[[#This Row],[% Household passed]]="no test"),"No Test","Tested")</f>
        <v>No Test</v>
      </c>
      <c r="CC358" s="801">
        <f>WWWW[[#This Row],['#_Constructed/existing protected hand dug well]]-WWWW[[#This Row],['#_Non-functional protected hand dug well]]</f>
        <v>0</v>
      </c>
      <c r="CD358" s="801">
        <f>(WWWW[[#This Row],['#_Constructed/Existing tube wells/boreholes/handpumps_WASH_agency]]+WWWW[[#This Row],['#_Non-Cluster partner water tube-wells/boreholes/handpumps]])-WWWW[[#This Row],['#_Non-functional tube wells/boreholes/handpumps]]</f>
        <v>0</v>
      </c>
      <c r="CE358" s="801">
        <f>WWWW[[#This Row],['#_Constructed/Existingwater storage tank with gravity fed reticulation system]]-WWWW[[#This Row],['#_Non-functional storage tank gravity fed reticulation system]]</f>
        <v>1</v>
      </c>
      <c r="CF358" s="801">
        <f>(WWWW[[#This Row],['#_Water_Liters_supplied_by_Water boating or water trucking]]/90)/15</f>
        <v>0</v>
      </c>
      <c r="CG358" s="801">
        <f>WWWW[[#This Row],['#_Water_Liters_from_Constructed/Existing water distribution system from river or natural spring]]/90/15</f>
        <v>0</v>
      </c>
      <c r="CH358" s="473">
        <f>WWWW[[#This Row],['#_of water points in TLS/CFS /THF]]*500</f>
        <v>0</v>
      </c>
      <c r="CI35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9.9206349206349215E-2</v>
      </c>
      <c r="CJ35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9.9206349206349215E-2</v>
      </c>
      <c r="CK358" s="800">
        <f>IF(WWWW[[#This Row],[Location Type 1]]="Village",WWWW[[#This Row],[Access to safe drinking water for Village]],WWWW[[#This Row],[Access to safe drinking water for Camp]])</f>
        <v>9.9206349206349215E-2</v>
      </c>
      <c r="CL358" s="798">
        <f>WWWW[[#This Row],[%Equitable and continuous access to sufficient quantity of safe drinking water]]*WWWW[[#This Row],[Total PoP ]]</f>
        <v>66.666666666666671</v>
      </c>
      <c r="CM358" s="800">
        <f>IF((WWWW[[#This Row],['#_Constructed/Existing protected/fenced ponds]]*250)/WWWW[[#This Row],[Total PoP ]]&gt;1,1,(WWWW[[#This Row],['#_Constructed/Existing protected/fenced ponds]]*250)/WWWW[[#This Row],[Total PoP ]])</f>
        <v>0.37202380952380953</v>
      </c>
      <c r="CN358" s="798">
        <f>WWWW[[#This Row],[% Access to unimproved water points]]*WWWW[[#This Row],[Total PoP ]]</f>
        <v>250</v>
      </c>
      <c r="CO35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0.47123015873015872</v>
      </c>
      <c r="CP35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Q358" s="798">
        <f>WWWW[[#This Row],[HRP1]]/500</f>
        <v>0.63333333333333341</v>
      </c>
      <c r="CR358" s="803">
        <f>1-WWWW[[#This Row],[% Equitable and continuous access to sufficient quantity of domestic water]]</f>
        <v>0.52876984126984128</v>
      </c>
      <c r="CS358" s="798">
        <f>WWWW[[#This Row],[%equitable and continuous access to sufficient quantity of safe drinking and domestic water''s GAP]]*WWWW[[#This Row],[Total PoP ]]</f>
        <v>355.33333333333331</v>
      </c>
      <c r="CT358" s="801">
        <f>IF(WWWW[[#This Row],[Total required water points]]-WWWW[[#This Row],['#Water points coverage]]&lt;0,0,WWWW[[#This Row],[Total required water points]]-WWWW[[#This Row],['#Water points coverage]])</f>
        <v>0.36666666666666659</v>
      </c>
      <c r="CU358" s="801">
        <f>ROUND(IF(WWWW[[#This Row],[Total PoP ]]&lt;500,1,WWWW[[#This Row],[Total PoP ]]/500),0)</f>
        <v>1</v>
      </c>
      <c r="CV358" s="801">
        <f>(WWWW[[#This Row],['#_Constructed latrines_by_WASHAgencies]]+WWWW[[#This Row],['#_Non Cluster partner latrines]])-WWWW[[#This Row],['#_Non-functional latrines]]</f>
        <v>36</v>
      </c>
      <c r="CW358" s="804">
        <f>WWWW[[#This Row],[HRP2]]/WWWW[[#This Row],[Total PoP ]]</f>
        <v>1</v>
      </c>
      <c r="CX35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672</v>
      </c>
      <c r="CY35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8" s="473">
        <f>IF(WWWW[[#This Row],['# of functional latrines in THF supported by WASH partners during the reporting period2]]="",0,WWWW[[#This Row],['# of functional latrines in THF supported by WASH partners during the reporting period2]]*50)</f>
        <v>0</v>
      </c>
      <c r="DB358" s="473">
        <f>WWWW[[#This Row],['# students access to functioning school latrines_HRP5]]+WWWW[[#This Row],['# People access to functioning latrines in THF_HRP5]]</f>
        <v>0</v>
      </c>
      <c r="DC358" s="801">
        <f>ROUND(IF(WWWW[[#This Row],[Location Type 1]]="camp",WWWW[[#This Row],[Total PoP ]]/20,IF(WWWW[[#This Row],[Location Type 1]]="Temporary Location",WWWW[[#This Row],[Total PoP ]]/50,(WWWW[[#This Row],[Total PoP ]]/6))),0)</f>
        <v>34</v>
      </c>
      <c r="DD358" s="801">
        <f>IF(WWWW[[#This Row],[Total required Latrines]]-(WWWW[[#This Row],['#_Constructed latrines_by_WASHAgencies]]+WWWW[[#This Row],['#_Non Cluster partner latrines]])&lt;0,0,WWWW[[#This Row],[Total required Latrines]]-(WWWW[[#This Row],['#_Constructed latrines_by_WASHAgencies]]+WWWW[[#This Row],['#_Non Cluster partner latrines]]))</f>
        <v>0</v>
      </c>
      <c r="DE358" s="803">
        <f>1-WWWW[[#This Row],[% people access to functioning Latrine]]</f>
        <v>0</v>
      </c>
      <c r="DF358" s="802">
        <f>IF(OR(WWWW[[#This Row],['#_Non-functional latrines]]="",WWWW[[#This Row],['#_Non-functional latrines]]=0),0,WWWW[[#This Row],['#_Non-functional latrines]]/(WWWW[[#This Row],['#_Constructed latrines_by_WASHAgencies]]+WWWW[[#This Row],['#_Non Cluster partner latrines]]))</f>
        <v>0</v>
      </c>
      <c r="DG358" s="798">
        <f>IF(500*(WWWW[[#This Row],['#_male hygiene promoters]]+WWWW[[#This Row],['#_female hygiene promoters]])&gt;WWWW[[#This Row],[Total PoP ]],WWWW[[#This Row],[Total PoP ]],500*(WWWW[[#This Row],['#_male hygiene promoters]]+WWWW[[#This Row],['#_female hygiene promoters]]))</f>
        <v>672</v>
      </c>
      <c r="DH35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8" s="801">
        <f>IF(WWWW[[#This Row],['# People with access to soap]]&gt;WWWW[[#This Row],['# People with access to Sanity Pads]],WWWW[[#This Row],['# People with access to soap]],WWWW[[#This Row],['# People with access to Sanity Pads]])</f>
        <v>0</v>
      </c>
      <c r="DK358" s="801">
        <f>IF(WWWW[[#This Row],['# people reached by regular dedicated hygiene promotion_5]]&gt;WWWW[[#This Row],['# People received regular supply of hygiene items_6]],WWWW[[#This Row],['# people reached by regular dedicated hygiene promotion_5]],WWWW[[#This Row],['# People received regular supply of hygiene items_6]])</f>
        <v>672</v>
      </c>
      <c r="DL358" s="803">
        <f>IF(WWWW[[#This Row],[HRP3]]/WWWW[[#This Row],[Total PoP ]]&gt;1,1,WWWW[[#This Row],[HRP3]]/WWWW[[#This Row],[Total PoP ]])</f>
        <v>1</v>
      </c>
      <c r="DM358" s="802">
        <f>1-WWWW[[#This Row],[Hygiene Coverage%]]</f>
        <v>0</v>
      </c>
      <c r="DN358" s="800">
        <f>WWWW[[#This Row],['# people reached by regular dedicated hygiene promotion_5]]/WWWW[[#This Row],[Total PoP ]]</f>
        <v>1</v>
      </c>
      <c r="DO35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8" s="801">
        <f>WWWW[[#This Row],['#_Constructed/Existing hand washing stations]]-WWWW[[#This Row],['#_Non-Functional_hand_washing_stations]]</f>
        <v>4</v>
      </c>
      <c r="DR358" s="798">
        <f>IF(WWWW[[#This Row],['# Functional hand washing stations during reporting period]]*20&gt;WWWW[[#This Row],[Total HH]],WWWW[[#This Row],[Total HH]],WWWW[[#This Row],['# Functional hand washing stations during reporting period]]*20)</f>
        <v>80</v>
      </c>
      <c r="DS358" s="798">
        <f>IF(WWWW[[#This Row],[Is sufficient soap available for TLS? (Yes/No)]]="yes",WWWW[[#This Row],['#_Constructed/Existing hand washing stations at TLS]],0)</f>
        <v>0</v>
      </c>
      <c r="DT358" s="479">
        <f>IF(WWWW[[#This Row],['# Functional hand washing stations during reporting period]]*100&gt;WWWW[[#This Row],[Total PoP ]],WWWW[[#This Row],[Total PoP ]],WWWW[[#This Row],['# Functional hand washing stations during reporting period]]*100)</f>
        <v>400</v>
      </c>
      <c r="DU358" s="479" t="str">
        <f>IF(OR(WWWW[[#This Row],['#_students at TLS_CFS]]="",WWWW[[#This Row],['#_students at TLS_CFS]]=0),"No","Yes")</f>
        <v>Yes</v>
      </c>
      <c r="DV35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8" s="794" t="str">
        <f>VLOOKUP(WWWW[[#This Row],[Site Name]],SiteDB6[[Site Name]:[CCCM Management]],6,FALSE)</f>
        <v>Yes</v>
      </c>
      <c r="DZ358" s="794" t="str">
        <f>VLOOKUP(WWWW[[#This Row],[Site Name]],SiteDB6[[Site Name]:[CCCM Focal Agency]],7,FALSE)</f>
        <v>KBC-MYT</v>
      </c>
      <c r="EA358" s="794" t="str">
        <f>VLOOKUP(WWWW[[#This Row],[Site Name]],SiteDB6[[Site Name]:[Location Type 1]],9,FALSE)</f>
        <v>Camp</v>
      </c>
      <c r="EB358" s="794" t="str">
        <f>VLOOKUP(WWWW[[#This Row],[Site Name]],SiteDB6[[Site Name]:[Type of Accommodation]],10,FALSE)</f>
        <v>camp</v>
      </c>
      <c r="EC358" s="794" t="str">
        <f>VLOOKUP(WWWW[[#This Row],[Site Name]],SiteDB6[[Site Name]:[Ethnic or GCA/NGCA]],11,FALSE)</f>
        <v>GCA</v>
      </c>
      <c r="ED358" s="794">
        <f>VLOOKUP(WWWW[[#This Row],[Site Name]],SiteDB6[[Site Name]:[Lat]],12,FALSE)</f>
        <v>0</v>
      </c>
      <c r="EE358" s="794">
        <f>VLOOKUP(WWWW[[#This Row],[Site Name]],SiteDB6[[Site Name]:[Long]],13,FALSE)</f>
        <v>0</v>
      </c>
      <c r="EF358" s="794" t="str">
        <f>VLOOKUP(WWWW[[#This Row],[Site Name]],SiteDB6[[Site Name]:[Pcode]],3,FALSE)</f>
        <v>MMR001CMP250</v>
      </c>
      <c r="EG358" s="799" t="str">
        <f t="shared" si="8"/>
        <v>Covered</v>
      </c>
      <c r="EH358" s="799" t="str">
        <f>VLOOKUP(WWWW[[#This Row],[Site Name]],Site_DB!$C$389:$D$1120,2,FALSE)</f>
        <v>cccm_2019OCT</v>
      </c>
    </row>
    <row r="359" spans="1:138" hidden="1">
      <c r="A359" s="792" t="s">
        <v>3262</v>
      </c>
      <c r="B359" s="792" t="s">
        <v>245</v>
      </c>
      <c r="C359" s="793" t="s">
        <v>245</v>
      </c>
      <c r="D359" s="793" t="s">
        <v>310</v>
      </c>
      <c r="E359" s="793" t="s">
        <v>39</v>
      </c>
      <c r="F359" s="793" t="s">
        <v>151</v>
      </c>
      <c r="G359" s="721" t="str">
        <f>VLOOKUP(WWWW[[#This Row],[Site Name]],SiteDB6[[Site Name]:[Location Type]],8,FALSE)</f>
        <v>Camp</v>
      </c>
      <c r="H359" s="793" t="s">
        <v>258</v>
      </c>
      <c r="I359" s="795">
        <v>18</v>
      </c>
      <c r="J359" s="795">
        <v>103</v>
      </c>
      <c r="K359" s="796">
        <v>43313</v>
      </c>
      <c r="L359" s="797">
        <v>44043</v>
      </c>
      <c r="M359" s="795"/>
      <c r="N359" s="795">
        <v>1</v>
      </c>
      <c r="O359" s="795"/>
      <c r="P359" s="795"/>
      <c r="Q359" s="798" t="s">
        <v>43</v>
      </c>
      <c r="R359" s="795">
        <v>1</v>
      </c>
      <c r="S359" s="795">
        <v>2</v>
      </c>
      <c r="T359" s="523">
        <v>0</v>
      </c>
      <c r="U359" s="795"/>
      <c r="V359" s="795"/>
      <c r="W359" s="795">
        <v>0</v>
      </c>
      <c r="X359" s="795">
        <v>0</v>
      </c>
      <c r="Y359" s="795"/>
      <c r="Z359" s="795"/>
      <c r="AA359" s="795">
        <v>2</v>
      </c>
      <c r="AB359" s="795"/>
      <c r="AC359" s="795"/>
      <c r="AD359" s="795">
        <v>0</v>
      </c>
      <c r="AE359" s="795">
        <v>2</v>
      </c>
      <c r="AF359" s="795"/>
      <c r="AG359" s="795">
        <v>1</v>
      </c>
      <c r="AH359" s="795">
        <v>0</v>
      </c>
      <c r="AI359" s="795"/>
      <c r="AJ359" s="795"/>
      <c r="AK359" s="795"/>
      <c r="AL359" s="795"/>
      <c r="AM359" s="795">
        <v>0</v>
      </c>
      <c r="AN359" s="795">
        <v>0</v>
      </c>
      <c r="AO359" s="799"/>
      <c r="AP359" s="795">
        <v>4</v>
      </c>
      <c r="AQ359" s="795">
        <v>0</v>
      </c>
      <c r="AR359" s="800" t="s">
        <v>245</v>
      </c>
      <c r="AS359" s="795"/>
      <c r="AT359" s="795"/>
      <c r="AU359" s="795"/>
      <c r="AV359" s="795"/>
      <c r="AW359" s="795">
        <v>0</v>
      </c>
      <c r="AX359" s="794" t="s">
        <v>43</v>
      </c>
      <c r="AY359" s="799" t="s">
        <v>140</v>
      </c>
      <c r="AZ359" s="795">
        <v>0</v>
      </c>
      <c r="BA359" s="795">
        <v>0</v>
      </c>
      <c r="BB359" s="795">
        <v>0</v>
      </c>
      <c r="BC359" s="523"/>
      <c r="BD359" s="523"/>
      <c r="BE359" s="794"/>
      <c r="BF359" s="795">
        <v>2</v>
      </c>
      <c r="BG359" s="795"/>
      <c r="BH359" s="795">
        <v>0</v>
      </c>
      <c r="BI359" s="795">
        <v>2</v>
      </c>
      <c r="BJ359" s="795"/>
      <c r="BK359" s="795">
        <v>1</v>
      </c>
      <c r="BL359" s="795">
        <v>2</v>
      </c>
      <c r="BM359" s="795"/>
      <c r="BN359" s="795"/>
      <c r="BO359" s="794"/>
      <c r="BP359" s="801"/>
      <c r="BQ359" s="800"/>
      <c r="BR359" s="794"/>
      <c r="BS359" s="472"/>
      <c r="BT359" s="472"/>
      <c r="BU359" s="720"/>
      <c r="BV359" s="472"/>
      <c r="BW359" s="523"/>
      <c r="BX359" s="523"/>
      <c r="BY359" s="523"/>
      <c r="BZ359" s="802" t="str">
        <f>IFERROR(WWWW[[#This Row],['#_Water sources passed]]/WWWW[[#This Row],['#_Water sources tested for fecal coliform ]],"no test")</f>
        <v>no test</v>
      </c>
      <c r="CA359" s="800" t="str">
        <f>IFERROR(WWWW[[#This Row],['#_Household passed]]/WWWW[[#This Row],['#_Household water samples tested for fecal coliform]],"no test")</f>
        <v>no test</v>
      </c>
      <c r="CB359" s="801" t="str">
        <f>IF(AND(WWWW[[#This Row],[% of water sources passed]]="no test",WWWW[[#This Row],[% Household passed]]="no test"),"No Test","Tested")</f>
        <v>No Test</v>
      </c>
      <c r="CC359" s="801">
        <f>WWWW[[#This Row],['#_Constructed/existing protected hand dug well]]-WWWW[[#This Row],['#_Non-functional protected hand dug well]]</f>
        <v>0</v>
      </c>
      <c r="CD359" s="801">
        <f>(WWWW[[#This Row],['#_Constructed/Existing tube wells/boreholes/handpumps_WASH_agency]]+WWWW[[#This Row],['#_Non-Cluster partner water tube-wells/boreholes/handpumps]])-WWWW[[#This Row],['#_Non-functional tube wells/boreholes/handpumps]]</f>
        <v>0</v>
      </c>
      <c r="CE359" s="801">
        <f>WWWW[[#This Row],['#_Constructed/Existingwater storage tank with gravity fed reticulation system]]-WWWW[[#This Row],['#_Non-functional storage tank gravity fed reticulation system]]</f>
        <v>2</v>
      </c>
      <c r="CF359" s="801">
        <f>(WWWW[[#This Row],['#_Water_Liters_supplied_by_Water boating or water trucking]]/90)/15</f>
        <v>0</v>
      </c>
      <c r="CG359" s="801">
        <f>WWWW[[#This Row],['#_Water_Liters_from_Constructed/Existing water distribution system from river or natural spring]]/90/15</f>
        <v>0</v>
      </c>
      <c r="CH359" s="473">
        <f>WWWW[[#This Row],['#_of water points in TLS/CFS /THF]]*500</f>
        <v>0</v>
      </c>
      <c r="CI35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5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59" s="800">
        <f>IF(WWWW[[#This Row],[Location Type 1]]="Village",WWWW[[#This Row],[Access to safe drinking water for Village]],WWWW[[#This Row],[Access to safe drinking water for Camp]])</f>
        <v>1</v>
      </c>
      <c r="CL359" s="798">
        <f>WWWW[[#This Row],[%Equitable and continuous access to sufficient quantity of safe drinking water]]*WWWW[[#This Row],[Total PoP ]]</f>
        <v>103</v>
      </c>
      <c r="CM359" s="800">
        <f>IF((WWWW[[#This Row],['#_Constructed/Existing protected/fenced ponds]]*250)/WWWW[[#This Row],[Total PoP ]]&gt;1,1,(WWWW[[#This Row],['#_Constructed/Existing protected/fenced ponds]]*250)/WWWW[[#This Row],[Total PoP ]])</f>
        <v>1</v>
      </c>
      <c r="CN359" s="798">
        <f>WWWW[[#This Row],[% Access to unimproved water points]]*WWWW[[#This Row],[Total PoP ]]</f>
        <v>103</v>
      </c>
      <c r="CO35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5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359" s="798">
        <f>WWWW[[#This Row],[HRP1]]/500</f>
        <v>0.20599999999999999</v>
      </c>
      <c r="CR359" s="803">
        <f>1-WWWW[[#This Row],[% Equitable and continuous access to sufficient quantity of domestic water]]</f>
        <v>0</v>
      </c>
      <c r="CS359" s="798">
        <f>WWWW[[#This Row],[%equitable and continuous access to sufficient quantity of safe drinking and domestic water''s GAP]]*WWWW[[#This Row],[Total PoP ]]</f>
        <v>0</v>
      </c>
      <c r="CT359" s="801">
        <f>IF(WWWW[[#This Row],[Total required water points]]-WWWW[[#This Row],['#Water points coverage]]&lt;0,0,WWWW[[#This Row],[Total required water points]]-WWWW[[#This Row],['#Water points coverage]])</f>
        <v>0.79400000000000004</v>
      </c>
      <c r="CU359" s="801">
        <f>ROUND(IF(WWWW[[#This Row],[Total PoP ]]&lt;500,1,WWWW[[#This Row],[Total PoP ]]/500),0)</f>
        <v>1</v>
      </c>
      <c r="CV359" s="801">
        <f>(WWWW[[#This Row],['#_Constructed latrines_by_WASHAgencies]]+WWWW[[#This Row],['#_Non Cluster partner latrines]])-WWWW[[#This Row],['#_Non-functional latrines]]</f>
        <v>4</v>
      </c>
      <c r="CW359" s="804">
        <f>WWWW[[#This Row],[HRP2]]/WWWW[[#This Row],[Total PoP ]]</f>
        <v>0.77669902912621358</v>
      </c>
      <c r="CX35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5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5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59" s="473">
        <f>IF(WWWW[[#This Row],['# of functional latrines in THF supported by WASH partners during the reporting period2]]="",0,WWWW[[#This Row],['# of functional latrines in THF supported by WASH partners during the reporting period2]]*50)</f>
        <v>0</v>
      </c>
      <c r="DB359" s="473">
        <f>WWWW[[#This Row],['# students access to functioning school latrines_HRP5]]+WWWW[[#This Row],['# People access to functioning latrines in THF_HRP5]]</f>
        <v>0</v>
      </c>
      <c r="DC359" s="801">
        <f>ROUND(IF(WWWW[[#This Row],[Location Type 1]]="camp",WWWW[[#This Row],[Total PoP ]]/20,IF(WWWW[[#This Row],[Location Type 1]]="Temporary Location",WWWW[[#This Row],[Total PoP ]]/50,(WWWW[[#This Row],[Total PoP ]]/6))),0)</f>
        <v>5</v>
      </c>
      <c r="DD359" s="801">
        <f>IF(WWWW[[#This Row],[Total required Latrines]]-(WWWW[[#This Row],['#_Constructed latrines_by_WASHAgencies]]+WWWW[[#This Row],['#_Non Cluster partner latrines]])&lt;0,0,WWWW[[#This Row],[Total required Latrines]]-(WWWW[[#This Row],['#_Constructed latrines_by_WASHAgencies]]+WWWW[[#This Row],['#_Non Cluster partner latrines]]))</f>
        <v>1</v>
      </c>
      <c r="DE359" s="803">
        <f>1-WWWW[[#This Row],[% people access to functioning Latrine]]</f>
        <v>0.22330097087378642</v>
      </c>
      <c r="DF359" s="802">
        <f>IF(OR(WWWW[[#This Row],['#_Non-functional latrines]]="",WWWW[[#This Row],['#_Non-functional latrines]]=0),0,WWWW[[#This Row],['#_Non-functional latrines]]/(WWWW[[#This Row],['#_Constructed latrines_by_WASHAgencies]]+WWWW[[#This Row],['#_Non Cluster partner latrines]]))</f>
        <v>0</v>
      </c>
      <c r="DG359" s="798">
        <f>IF(500*(WWWW[[#This Row],['#_male hygiene promoters]]+WWWW[[#This Row],['#_female hygiene promoters]])&gt;WWWW[[#This Row],[Total PoP ]],WWWW[[#This Row],[Total PoP ]],500*(WWWW[[#This Row],['#_male hygiene promoters]]+WWWW[[#This Row],['#_female hygiene promoters]]))</f>
        <v>103</v>
      </c>
      <c r="DH35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5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59" s="801">
        <f>IF(WWWW[[#This Row],['# People with access to soap]]&gt;WWWW[[#This Row],['# People with access to Sanity Pads]],WWWW[[#This Row],['# People with access to soap]],WWWW[[#This Row],['# People with access to Sanity Pads]])</f>
        <v>0</v>
      </c>
      <c r="DK359" s="80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359" s="803">
        <f>IF(WWWW[[#This Row],[HRP3]]/WWWW[[#This Row],[Total PoP ]]&gt;1,1,WWWW[[#This Row],[HRP3]]/WWWW[[#This Row],[Total PoP ]])</f>
        <v>1</v>
      </c>
      <c r="DM359" s="802">
        <f>1-WWWW[[#This Row],[Hygiene Coverage%]]</f>
        <v>0</v>
      </c>
      <c r="DN359" s="800">
        <f>WWWW[[#This Row],['# people reached by regular dedicated hygiene promotion_5]]/WWWW[[#This Row],[Total PoP ]]</f>
        <v>1</v>
      </c>
      <c r="DO35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5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59" s="801">
        <f>WWWW[[#This Row],['#_Constructed/Existing hand washing stations]]-WWWW[[#This Row],['#_Non-Functional_hand_washing_stations]]</f>
        <v>2</v>
      </c>
      <c r="DR359" s="798">
        <f>IF(WWWW[[#This Row],['# Functional hand washing stations during reporting period]]*20&gt;WWWW[[#This Row],[Total HH]],WWWW[[#This Row],[Total HH]],WWWW[[#This Row],['# Functional hand washing stations during reporting period]]*20)</f>
        <v>18</v>
      </c>
      <c r="DS359" s="798">
        <f>IF(WWWW[[#This Row],[Is sufficient soap available for TLS? (Yes/No)]]="yes",WWWW[[#This Row],['#_Constructed/Existing hand washing stations at TLS]],0)</f>
        <v>0</v>
      </c>
      <c r="DT359" s="479">
        <f>IF(WWWW[[#This Row],['# Functional hand washing stations during reporting period]]*100&gt;WWWW[[#This Row],[Total PoP ]],WWWW[[#This Row],[Total PoP ]],WWWW[[#This Row],['# Functional hand washing stations during reporting period]]*100)</f>
        <v>103</v>
      </c>
      <c r="DU359" s="479" t="str">
        <f>IF(OR(WWWW[[#This Row],['#_students at TLS_CFS]]="",WWWW[[#This Row],['#_students at TLS_CFS]]=0),"No","Yes")</f>
        <v>No</v>
      </c>
      <c r="DV35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59" s="794" t="str">
        <f>VLOOKUP(WWWW[[#This Row],[Site Name]],SiteDB6[[Site Name]:[CCCM Management]],6,FALSE)</f>
        <v>Yes</v>
      </c>
      <c r="DZ359" s="794" t="str">
        <f>VLOOKUP(WWWW[[#This Row],[Site Name]],SiteDB6[[Site Name]:[CCCM Focal Agency]],7,FALSE)</f>
        <v>Shalom</v>
      </c>
      <c r="EA359" s="794" t="str">
        <f>VLOOKUP(WWWW[[#This Row],[Site Name]],SiteDB6[[Site Name]:[Location Type 1]],9,FALSE)</f>
        <v>Camp</v>
      </c>
      <c r="EB359" s="794" t="str">
        <f>VLOOKUP(WWWW[[#This Row],[Site Name]],SiteDB6[[Site Name]:[Type of Accommodation]],10,FALSE)</f>
        <v>Camp</v>
      </c>
      <c r="EC359" s="794" t="str">
        <f>VLOOKUP(WWWW[[#This Row],[Site Name]],SiteDB6[[Site Name]:[Ethnic or GCA/NGCA]],11,FALSE)</f>
        <v>GCA</v>
      </c>
      <c r="ED359" s="794">
        <f>VLOOKUP(WWWW[[#This Row],[Site Name]],SiteDB6[[Site Name]:[Lat]],12,FALSE)</f>
        <v>25.566510000000001</v>
      </c>
      <c r="EE359" s="794">
        <f>VLOOKUP(WWWW[[#This Row],[Site Name]],SiteDB6[[Site Name]:[Long]],13,FALSE)</f>
        <v>96.269199999999998</v>
      </c>
      <c r="EF359" s="794" t="str">
        <f>VLOOKUP(WWWW[[#This Row],[Site Name]],SiteDB6[[Site Name]:[Pcode]],3,FALSE)</f>
        <v>MMR001CMP181</v>
      </c>
      <c r="EG359" s="799" t="str">
        <f t="shared" si="8"/>
        <v>Covered</v>
      </c>
      <c r="EH359" s="799" t="str">
        <f>VLOOKUP(WWWW[[#This Row],[Site Name]],Site_DB!$C$389:$D$1120,2,FALSE)</f>
        <v>cccm_2019OCT</v>
      </c>
    </row>
    <row r="360" spans="1:138" hidden="1">
      <c r="A360" s="792" t="s">
        <v>3262</v>
      </c>
      <c r="B360" s="792" t="s">
        <v>245</v>
      </c>
      <c r="C360" s="793" t="s">
        <v>245</v>
      </c>
      <c r="D360" s="793" t="s">
        <v>310</v>
      </c>
      <c r="E360" s="793" t="s">
        <v>39</v>
      </c>
      <c r="F360" s="793" t="s">
        <v>151</v>
      </c>
      <c r="G360" s="721" t="str">
        <f>VLOOKUP(WWWW[[#This Row],[Site Name]],SiteDB6[[Site Name]:[Location Type]],8,FALSE)</f>
        <v>Camp</v>
      </c>
      <c r="H360" s="404" t="s">
        <v>259</v>
      </c>
      <c r="I360" s="795">
        <v>12</v>
      </c>
      <c r="J360" s="795">
        <v>60</v>
      </c>
      <c r="K360" s="796">
        <v>43313</v>
      </c>
      <c r="L360" s="797">
        <v>44043</v>
      </c>
      <c r="M360" s="795"/>
      <c r="N360" s="795">
        <v>1</v>
      </c>
      <c r="O360" s="795"/>
      <c r="P360" s="795"/>
      <c r="Q360" s="798" t="s">
        <v>43</v>
      </c>
      <c r="R360" s="795">
        <v>3</v>
      </c>
      <c r="S360" s="795">
        <v>4</v>
      </c>
      <c r="T360" s="523">
        <v>0</v>
      </c>
      <c r="U360" s="795"/>
      <c r="V360" s="795"/>
      <c r="W360" s="795">
        <v>0</v>
      </c>
      <c r="X360" s="795">
        <v>0</v>
      </c>
      <c r="Y360" s="795"/>
      <c r="Z360" s="795"/>
      <c r="AA360" s="795">
        <v>0</v>
      </c>
      <c r="AB360" s="795"/>
      <c r="AC360" s="795"/>
      <c r="AD360" s="795">
        <v>0</v>
      </c>
      <c r="AE360" s="795">
        <v>0</v>
      </c>
      <c r="AF360" s="795"/>
      <c r="AG360" s="795">
        <v>0</v>
      </c>
      <c r="AH360" s="795">
        <v>1</v>
      </c>
      <c r="AI360" s="795"/>
      <c r="AJ360" s="795"/>
      <c r="AK360" s="795"/>
      <c r="AL360" s="795"/>
      <c r="AM360" s="795">
        <v>0</v>
      </c>
      <c r="AN360" s="795">
        <v>0</v>
      </c>
      <c r="AO360" s="799"/>
      <c r="AP360" s="795">
        <v>2</v>
      </c>
      <c r="AQ360" s="795">
        <v>0</v>
      </c>
      <c r="AR360" s="800" t="s">
        <v>245</v>
      </c>
      <c r="AS360" s="795"/>
      <c r="AT360" s="795"/>
      <c r="AU360" s="795"/>
      <c r="AV360" s="795"/>
      <c r="AW360" s="795">
        <v>0</v>
      </c>
      <c r="AX360" s="794" t="s">
        <v>43</v>
      </c>
      <c r="AY360" s="799" t="s">
        <v>139</v>
      </c>
      <c r="AZ360" s="795">
        <v>0</v>
      </c>
      <c r="BA360" s="795">
        <v>0</v>
      </c>
      <c r="BB360" s="795">
        <v>0</v>
      </c>
      <c r="BC360" s="523"/>
      <c r="BD360" s="523"/>
      <c r="BE360" s="794"/>
      <c r="BF360" s="795">
        <v>1</v>
      </c>
      <c r="BG360" s="795"/>
      <c r="BH360" s="795">
        <v>0</v>
      </c>
      <c r="BI360" s="795">
        <v>2</v>
      </c>
      <c r="BJ360" s="795"/>
      <c r="BK360" s="795">
        <v>3</v>
      </c>
      <c r="BL360" s="795">
        <v>4</v>
      </c>
      <c r="BM360" s="795"/>
      <c r="BN360" s="795"/>
      <c r="BO360" s="794"/>
      <c r="BP360" s="801"/>
      <c r="BQ360" s="800"/>
      <c r="BR360" s="794"/>
      <c r="BS360" s="472"/>
      <c r="BT360" s="472"/>
      <c r="BU360" s="720"/>
      <c r="BV360" s="472"/>
      <c r="BW360" s="523"/>
      <c r="BX360" s="523"/>
      <c r="BY360" s="523"/>
      <c r="BZ360" s="802" t="str">
        <f>IFERROR(WWWW[[#This Row],['#_Water sources passed]]/WWWW[[#This Row],['#_Water sources tested for fecal coliform ]],"no test")</f>
        <v>no test</v>
      </c>
      <c r="CA360" s="800" t="str">
        <f>IFERROR(WWWW[[#This Row],['#_Household passed]]/WWWW[[#This Row],['#_Household water samples tested for fecal coliform]],"no test")</f>
        <v>no test</v>
      </c>
      <c r="CB360" s="801" t="str">
        <f>IF(AND(WWWW[[#This Row],[% of water sources passed]]="no test",WWWW[[#This Row],[% Household passed]]="no test"),"No Test","Tested")</f>
        <v>No Test</v>
      </c>
      <c r="CC360" s="801">
        <f>WWWW[[#This Row],['#_Constructed/existing protected hand dug well]]-WWWW[[#This Row],['#_Non-functional protected hand dug well]]</f>
        <v>0</v>
      </c>
      <c r="CD360" s="801">
        <f>(WWWW[[#This Row],['#_Constructed/Existing tube wells/boreholes/handpumps_WASH_agency]]+WWWW[[#This Row],['#_Non-Cluster partner water tube-wells/boreholes/handpumps]])-WWWW[[#This Row],['#_Non-functional tube wells/boreholes/handpumps]]</f>
        <v>0</v>
      </c>
      <c r="CE360" s="801">
        <f>WWWW[[#This Row],['#_Constructed/Existingwater storage tank with gravity fed reticulation system]]-WWWW[[#This Row],['#_Non-functional storage tank gravity fed reticulation system]]</f>
        <v>0</v>
      </c>
      <c r="CF360" s="801">
        <f>(WWWW[[#This Row],['#_Water_Liters_supplied_by_Water boating or water trucking]]/90)/15</f>
        <v>0</v>
      </c>
      <c r="CG360" s="801">
        <f>WWWW[[#This Row],['#_Water_Liters_from_Constructed/Existing water distribution system from river or natural spring]]/90/15</f>
        <v>0</v>
      </c>
      <c r="CH360" s="473">
        <f>WWWW[[#This Row],['#_of water points in TLS/CFS /THF]]*500</f>
        <v>0</v>
      </c>
      <c r="CI36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6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60" s="800">
        <f>IF(WWWW[[#This Row],[Location Type 1]]="Village",WWWW[[#This Row],[Access to safe drinking water for Village]],WWWW[[#This Row],[Access to safe drinking water for Camp]])</f>
        <v>0</v>
      </c>
      <c r="CL360" s="798">
        <f>WWWW[[#This Row],[%Equitable and continuous access to sufficient quantity of safe drinking water]]*WWWW[[#This Row],[Total PoP ]]</f>
        <v>0</v>
      </c>
      <c r="CM360" s="800">
        <f>IF((WWWW[[#This Row],['#_Constructed/Existing protected/fenced ponds]]*250)/WWWW[[#This Row],[Total PoP ]]&gt;1,1,(WWWW[[#This Row],['#_Constructed/Existing protected/fenced ponds]]*250)/WWWW[[#This Row],[Total PoP ]])</f>
        <v>0</v>
      </c>
      <c r="CN360" s="798">
        <f>WWWW[[#This Row],[% Access to unimproved water points]]*WWWW[[#This Row],[Total PoP ]]</f>
        <v>0</v>
      </c>
      <c r="CO36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6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60" s="798">
        <f>WWWW[[#This Row],[HRP1]]/500</f>
        <v>0</v>
      </c>
      <c r="CR360" s="803">
        <f>1-WWWW[[#This Row],[% Equitable and continuous access to sufficient quantity of domestic water]]</f>
        <v>1</v>
      </c>
      <c r="CS360" s="798">
        <f>WWWW[[#This Row],[%equitable and continuous access to sufficient quantity of safe drinking and domestic water''s GAP]]*WWWW[[#This Row],[Total PoP ]]</f>
        <v>60</v>
      </c>
      <c r="CT360" s="801">
        <f>IF(WWWW[[#This Row],[Total required water points]]-WWWW[[#This Row],['#Water points coverage]]&lt;0,0,WWWW[[#This Row],[Total required water points]]-WWWW[[#This Row],['#Water points coverage]])</f>
        <v>1</v>
      </c>
      <c r="CU360" s="801">
        <f>ROUND(IF(WWWW[[#This Row],[Total PoP ]]&lt;500,1,WWWW[[#This Row],[Total PoP ]]/500),0)</f>
        <v>1</v>
      </c>
      <c r="CV360" s="801">
        <f>(WWWW[[#This Row],['#_Constructed latrines_by_WASHAgencies]]+WWWW[[#This Row],['#_Non Cluster partner latrines]])-WWWW[[#This Row],['#_Non-functional latrines]]</f>
        <v>2</v>
      </c>
      <c r="CW360" s="804">
        <f>WWWW[[#This Row],[HRP2]]/WWWW[[#This Row],[Total PoP ]]</f>
        <v>0.66666666666666663</v>
      </c>
      <c r="CX36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36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0" s="473">
        <f>IF(WWWW[[#This Row],['# of functional latrines in THF supported by WASH partners during the reporting period2]]="",0,WWWW[[#This Row],['# of functional latrines in THF supported by WASH partners during the reporting period2]]*50)</f>
        <v>0</v>
      </c>
      <c r="DB360" s="473">
        <f>WWWW[[#This Row],['# students access to functioning school latrines_HRP5]]+WWWW[[#This Row],['# People access to functioning latrines in THF_HRP5]]</f>
        <v>0</v>
      </c>
      <c r="DC360" s="801">
        <f>ROUND(IF(WWWW[[#This Row],[Location Type 1]]="camp",WWWW[[#This Row],[Total PoP ]]/20,IF(WWWW[[#This Row],[Location Type 1]]="Temporary Location",WWWW[[#This Row],[Total PoP ]]/50,(WWWW[[#This Row],[Total PoP ]]/6))),0)</f>
        <v>3</v>
      </c>
      <c r="DD360" s="801">
        <f>IF(WWWW[[#This Row],[Total required Latrines]]-(WWWW[[#This Row],['#_Constructed latrines_by_WASHAgencies]]+WWWW[[#This Row],['#_Non Cluster partner latrines]])&lt;0,0,WWWW[[#This Row],[Total required Latrines]]-(WWWW[[#This Row],['#_Constructed latrines_by_WASHAgencies]]+WWWW[[#This Row],['#_Non Cluster partner latrines]]))</f>
        <v>1</v>
      </c>
      <c r="DE360" s="803">
        <f>1-WWWW[[#This Row],[% people access to functioning Latrine]]</f>
        <v>0.33333333333333337</v>
      </c>
      <c r="DF360" s="802">
        <f>IF(OR(WWWW[[#This Row],['#_Non-functional latrines]]="",WWWW[[#This Row],['#_Non-functional latrines]]=0),0,WWWW[[#This Row],['#_Non-functional latrines]]/(WWWW[[#This Row],['#_Constructed latrines_by_WASHAgencies]]+WWWW[[#This Row],['#_Non Cluster partner latrines]]))</f>
        <v>0</v>
      </c>
      <c r="DG360" s="798">
        <f>IF(500*(WWWW[[#This Row],['#_male hygiene promoters]]+WWWW[[#This Row],['#_female hygiene promoters]])&gt;WWWW[[#This Row],[Total PoP ]],WWWW[[#This Row],[Total PoP ]],500*(WWWW[[#This Row],['#_male hygiene promoters]]+WWWW[[#This Row],['#_female hygiene promoters]]))</f>
        <v>60</v>
      </c>
      <c r="DH36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0" s="801">
        <f>IF(WWWW[[#This Row],['# People with access to soap]]&gt;WWWW[[#This Row],['# People with access to Sanity Pads]],WWWW[[#This Row],['# People with access to soap]],WWWW[[#This Row],['# People with access to Sanity Pads]])</f>
        <v>0</v>
      </c>
      <c r="DK360" s="801">
        <f>IF(WWWW[[#This Row],['# people reached by regular dedicated hygiene promotion_5]]&gt;WWWW[[#This Row],['# People received regular supply of hygiene items_6]],WWWW[[#This Row],['# people reached by regular dedicated hygiene promotion_5]],WWWW[[#This Row],['# People received regular supply of hygiene items_6]])</f>
        <v>60</v>
      </c>
      <c r="DL360" s="803">
        <f>IF(WWWW[[#This Row],[HRP3]]/WWWW[[#This Row],[Total PoP ]]&gt;1,1,WWWW[[#This Row],[HRP3]]/WWWW[[#This Row],[Total PoP ]])</f>
        <v>1</v>
      </c>
      <c r="DM360" s="802">
        <f>1-WWWW[[#This Row],[Hygiene Coverage%]]</f>
        <v>0</v>
      </c>
      <c r="DN360" s="800">
        <f>WWWW[[#This Row],['# people reached by regular dedicated hygiene promotion_5]]/WWWW[[#This Row],[Total PoP ]]</f>
        <v>1</v>
      </c>
      <c r="DO36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0" s="801">
        <f>WWWW[[#This Row],['#_Constructed/Existing hand washing stations]]-WWWW[[#This Row],['#_Non-Functional_hand_washing_stations]]</f>
        <v>1</v>
      </c>
      <c r="DR360" s="798">
        <f>IF(WWWW[[#This Row],['# Functional hand washing stations during reporting period]]*20&gt;WWWW[[#This Row],[Total HH]],WWWW[[#This Row],[Total HH]],WWWW[[#This Row],['# Functional hand washing stations during reporting period]]*20)</f>
        <v>12</v>
      </c>
      <c r="DS360" s="798">
        <f>IF(WWWW[[#This Row],[Is sufficient soap available for TLS? (Yes/No)]]="yes",WWWW[[#This Row],['#_Constructed/Existing hand washing stations at TLS]],0)</f>
        <v>0</v>
      </c>
      <c r="DT360" s="479">
        <f>IF(WWWW[[#This Row],['# Functional hand washing stations during reporting period]]*100&gt;WWWW[[#This Row],[Total PoP ]],WWWW[[#This Row],[Total PoP ]],WWWW[[#This Row],['# Functional hand washing stations during reporting period]]*100)</f>
        <v>60</v>
      </c>
      <c r="DU360" s="479" t="str">
        <f>IF(OR(WWWW[[#This Row],['#_students at TLS_CFS]]="",WWWW[[#This Row],['#_students at TLS_CFS]]=0),"No","Yes")</f>
        <v>No</v>
      </c>
      <c r="DV36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0" s="794" t="str">
        <f>VLOOKUP(WWWW[[#This Row],[Site Name]],SiteDB6[[Site Name]:[CCCM Management]],6,FALSE)</f>
        <v>Yes</v>
      </c>
      <c r="DZ360" s="794" t="str">
        <f>VLOOKUP(WWWW[[#This Row],[Site Name]],SiteDB6[[Site Name]:[CCCM Focal Agency]],7,FALSE)</f>
        <v>Shalom</v>
      </c>
      <c r="EA360" s="794" t="str">
        <f>VLOOKUP(WWWW[[#This Row],[Site Name]],SiteDB6[[Site Name]:[Location Type 1]],9,FALSE)</f>
        <v>Camp</v>
      </c>
      <c r="EB360" s="794" t="str">
        <f>VLOOKUP(WWWW[[#This Row],[Site Name]],SiteDB6[[Site Name]:[Type of Accommodation]],10,FALSE)</f>
        <v>Camp</v>
      </c>
      <c r="EC360" s="794" t="str">
        <f>VLOOKUP(WWWW[[#This Row],[Site Name]],SiteDB6[[Site Name]:[Ethnic or GCA/NGCA]],11,FALSE)</f>
        <v>GCA</v>
      </c>
      <c r="ED360" s="794">
        <f>VLOOKUP(WWWW[[#This Row],[Site Name]],SiteDB6[[Site Name]:[Lat]],12,FALSE)</f>
        <v>25.61842</v>
      </c>
      <c r="EE360" s="794">
        <f>VLOOKUP(WWWW[[#This Row],[Site Name]],SiteDB6[[Site Name]:[Long]],13,FALSE)</f>
        <v>96.316400000000002</v>
      </c>
      <c r="EF360" s="794" t="str">
        <f>VLOOKUP(WWWW[[#This Row],[Site Name]],SiteDB6[[Site Name]:[Pcode]],3,FALSE)</f>
        <v>MMR001CMP167</v>
      </c>
      <c r="EG360" s="799" t="str">
        <f t="shared" si="8"/>
        <v>Covered</v>
      </c>
      <c r="EH360" s="799" t="str">
        <f>VLOOKUP(WWWW[[#This Row],[Site Name]],Site_DB!$C$389:$D$1120,2,FALSE)</f>
        <v>cccm_2019OCT</v>
      </c>
    </row>
    <row r="361" spans="1:138" hidden="1">
      <c r="A361" s="792" t="s">
        <v>3262</v>
      </c>
      <c r="B361" s="792" t="s">
        <v>38</v>
      </c>
      <c r="C361" s="793" t="s">
        <v>38</v>
      </c>
      <c r="D361" s="793" t="s">
        <v>3372</v>
      </c>
      <c r="E361" s="793" t="s">
        <v>39</v>
      </c>
      <c r="F361" s="793" t="s">
        <v>151</v>
      </c>
      <c r="G361" s="721" t="str">
        <f>VLOOKUP(WWWW[[#This Row],[Site Name]],SiteDB6[[Site Name]:[Location Type]],8,FALSE)</f>
        <v>Camp_not registered</v>
      </c>
      <c r="H361" s="793" t="s">
        <v>2071</v>
      </c>
      <c r="I361" s="523">
        <v>72</v>
      </c>
      <c r="J361" s="523">
        <v>329</v>
      </c>
      <c r="K361" s="407" t="s">
        <v>3619</v>
      </c>
      <c r="L361" s="56" t="s">
        <v>3620</v>
      </c>
      <c r="M361" s="523">
        <v>75</v>
      </c>
      <c r="N361" s="795"/>
      <c r="O361" s="795"/>
      <c r="P361" s="795"/>
      <c r="Q361" s="798" t="s">
        <v>43</v>
      </c>
      <c r="R361" s="795"/>
      <c r="S361" s="795"/>
      <c r="T361" s="523">
        <v>2</v>
      </c>
      <c r="U361" s="795"/>
      <c r="V361" s="795"/>
      <c r="W361" s="795"/>
      <c r="X361" s="795"/>
      <c r="Y361" s="795"/>
      <c r="Z361" s="795"/>
      <c r="AA361" s="795">
        <v>1</v>
      </c>
      <c r="AB361" s="795"/>
      <c r="AC361" s="795"/>
      <c r="AD361" s="795"/>
      <c r="AE361" s="795"/>
      <c r="AF361" s="795"/>
      <c r="AG361" s="795"/>
      <c r="AH361" s="795"/>
      <c r="AI361" s="795"/>
      <c r="AJ361" s="795"/>
      <c r="AK361" s="795"/>
      <c r="AL361" s="795"/>
      <c r="AM361" s="795"/>
      <c r="AN361" s="795"/>
      <c r="AO361" s="799"/>
      <c r="AP361" s="795">
        <v>12</v>
      </c>
      <c r="AQ361" s="795"/>
      <c r="AR361" s="800"/>
      <c r="AS361" s="795"/>
      <c r="AT361" s="795"/>
      <c r="AU361" s="795"/>
      <c r="AV361" s="795"/>
      <c r="AW361" s="795"/>
      <c r="AX361" s="794" t="s">
        <v>43</v>
      </c>
      <c r="AY361" s="799" t="s">
        <v>140</v>
      </c>
      <c r="AZ361" s="795">
        <v>3</v>
      </c>
      <c r="BA361" s="795"/>
      <c r="BB361" s="795"/>
      <c r="BC361" s="523"/>
      <c r="BD361" s="523"/>
      <c r="BE361" s="794"/>
      <c r="BF361" s="795"/>
      <c r="BG361" s="795"/>
      <c r="BH361" s="795"/>
      <c r="BI361" s="795">
        <v>2</v>
      </c>
      <c r="BJ361" s="795"/>
      <c r="BK361" s="795">
        <v>1</v>
      </c>
      <c r="BL361" s="795"/>
      <c r="BM361" s="795"/>
      <c r="BN361" s="795"/>
      <c r="BO361" s="794"/>
      <c r="BP361" s="801"/>
      <c r="BQ361" s="800"/>
      <c r="BR361" s="794"/>
      <c r="BS361" s="472"/>
      <c r="BT361" s="472"/>
      <c r="BU361" s="523"/>
      <c r="BV361" s="472"/>
      <c r="BW361" s="523"/>
      <c r="BX361" s="523"/>
      <c r="BY361" s="523"/>
      <c r="BZ361" s="802" t="str">
        <f>IFERROR(WWWW[[#This Row],['#_Water sources passed]]/WWWW[[#This Row],['#_Water sources tested for fecal coliform ]],"no test")</f>
        <v>no test</v>
      </c>
      <c r="CA361" s="800" t="str">
        <f>IFERROR(WWWW[[#This Row],['#_Household passed]]/WWWW[[#This Row],['#_Household water samples tested for fecal coliform]],"no test")</f>
        <v>no test</v>
      </c>
      <c r="CB361" s="801" t="str">
        <f>IF(AND(WWWW[[#This Row],[% of water sources passed]]="no test",WWWW[[#This Row],[% Household passed]]="no test"),"No Test","Tested")</f>
        <v>No Test</v>
      </c>
      <c r="CC361" s="801">
        <f>WWWW[[#This Row],['#_Constructed/existing protected hand dug well]]-WWWW[[#This Row],['#_Non-functional protected hand dug well]]</f>
        <v>2</v>
      </c>
      <c r="CD361" s="801">
        <f>(WWWW[[#This Row],['#_Constructed/Existing tube wells/boreholes/handpumps_WASH_agency]]+WWWW[[#This Row],['#_Non-Cluster partner water tube-wells/boreholes/handpumps]])-WWWW[[#This Row],['#_Non-functional tube wells/boreholes/handpumps]]</f>
        <v>0</v>
      </c>
      <c r="CE361" s="801">
        <f>WWWW[[#This Row],['#_Constructed/Existingwater storage tank with gravity fed reticulation system]]-WWWW[[#This Row],['#_Non-functional storage tank gravity fed reticulation system]]</f>
        <v>1</v>
      </c>
      <c r="CF361" s="801">
        <f>(WWWW[[#This Row],['#_Water_Liters_supplied_by_Water boating or water trucking]]/90)/15</f>
        <v>0</v>
      </c>
      <c r="CG361" s="801">
        <f>WWWW[[#This Row],['#_Water_Liters_from_Constructed/Existing water distribution system from river or natural spring]]/90/15</f>
        <v>0</v>
      </c>
      <c r="CH361" s="473">
        <f>WWWW[[#This Row],['#_of water points in TLS/CFS /THF]]*500</f>
        <v>0</v>
      </c>
      <c r="CI36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1" s="800">
        <f>IF(WWWW[[#This Row],[Location Type 1]]="Village",WWWW[[#This Row],[Access to safe drinking water for Village]],WWWW[[#This Row],[Access to safe drinking water for Camp]])</f>
        <v>1</v>
      </c>
      <c r="CL361" s="798">
        <f>WWWW[[#This Row],[%Equitable and continuous access to sufficient quantity of safe drinking water]]*WWWW[[#This Row],[Total PoP ]]</f>
        <v>329</v>
      </c>
      <c r="CM361" s="800">
        <f>IF((WWWW[[#This Row],['#_Constructed/Existing protected/fenced ponds]]*250)/WWWW[[#This Row],[Total PoP ]]&gt;1,1,(WWWW[[#This Row],['#_Constructed/Existing protected/fenced ponds]]*250)/WWWW[[#This Row],[Total PoP ]])</f>
        <v>0</v>
      </c>
      <c r="CN361" s="798">
        <f>WWWW[[#This Row],[% Access to unimproved water points]]*WWWW[[#This Row],[Total PoP ]]</f>
        <v>0</v>
      </c>
      <c r="CO36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Q361" s="798">
        <f>WWWW[[#This Row],[HRP1]]/500</f>
        <v>0.65800000000000003</v>
      </c>
      <c r="CR361" s="803">
        <f>1-WWWW[[#This Row],[% Equitable and continuous access to sufficient quantity of domestic water]]</f>
        <v>0</v>
      </c>
      <c r="CS361" s="798">
        <f>WWWW[[#This Row],[%equitable and continuous access to sufficient quantity of safe drinking and domestic water''s GAP]]*WWWW[[#This Row],[Total PoP ]]</f>
        <v>0</v>
      </c>
      <c r="CT361" s="801">
        <f>IF(WWWW[[#This Row],[Total required water points]]-WWWW[[#This Row],['#Water points coverage]]&lt;0,0,WWWW[[#This Row],[Total required water points]]-WWWW[[#This Row],['#Water points coverage]])</f>
        <v>0.34199999999999997</v>
      </c>
      <c r="CU361" s="801">
        <f>ROUND(IF(WWWW[[#This Row],[Total PoP ]]&lt;500,1,WWWW[[#This Row],[Total PoP ]]/500),0)</f>
        <v>1</v>
      </c>
      <c r="CV361" s="801">
        <f>(WWWW[[#This Row],['#_Constructed latrines_by_WASHAgencies]]+WWWW[[#This Row],['#_Non Cluster partner latrines]])-WWWW[[#This Row],['#_Non-functional latrines]]</f>
        <v>12</v>
      </c>
      <c r="CW361" s="804">
        <f>WWWW[[#This Row],[HRP2]]/WWWW[[#This Row],[Total PoP ]]</f>
        <v>0.91185410334346506</v>
      </c>
      <c r="CX36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CY36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1" s="473">
        <f>IF(WWWW[[#This Row],['# of functional latrines in THF supported by WASH partners during the reporting period2]]="",0,WWWW[[#This Row],['# of functional latrines in THF supported by WASH partners during the reporting period2]]*50)</f>
        <v>0</v>
      </c>
      <c r="DB361" s="473">
        <f>WWWW[[#This Row],['# students access to functioning school latrines_HRP5]]+WWWW[[#This Row],['# People access to functioning latrines in THF_HRP5]]</f>
        <v>0</v>
      </c>
      <c r="DC361" s="801">
        <f>ROUND(IF(WWWW[[#This Row],[Location Type 1]]="camp",WWWW[[#This Row],[Total PoP ]]/20,IF(WWWW[[#This Row],[Location Type 1]]="Temporary Location",WWWW[[#This Row],[Total PoP ]]/50,(WWWW[[#This Row],[Total PoP ]]/6))),0)</f>
        <v>16</v>
      </c>
      <c r="DD361" s="801">
        <f>IF(WWWW[[#This Row],[Total required Latrines]]-(WWWW[[#This Row],['#_Constructed latrines_by_WASHAgencies]]+WWWW[[#This Row],['#_Non Cluster partner latrines]])&lt;0,0,WWWW[[#This Row],[Total required Latrines]]-(WWWW[[#This Row],['#_Constructed latrines_by_WASHAgencies]]+WWWW[[#This Row],['#_Non Cluster partner latrines]]))</f>
        <v>4</v>
      </c>
      <c r="DE361" s="803">
        <f>1-WWWW[[#This Row],[% people access to functioning Latrine]]</f>
        <v>8.8145896656534939E-2</v>
      </c>
      <c r="DF361" s="802">
        <f>IF(OR(WWWW[[#This Row],['#_Non-functional latrines]]="",WWWW[[#This Row],['#_Non-functional latrines]]=0),0,WWWW[[#This Row],['#_Non-functional latrines]]/(WWWW[[#This Row],['#_Constructed latrines_by_WASHAgencies]]+WWWW[[#This Row],['#_Non Cluster partner latrines]]))</f>
        <v>0</v>
      </c>
      <c r="DG361" s="798">
        <f>IF(500*(WWWW[[#This Row],['#_male hygiene promoters]]+WWWW[[#This Row],['#_female hygiene promoters]])&gt;WWWW[[#This Row],[Total PoP ]],WWWW[[#This Row],[Total PoP ]],500*(WWWW[[#This Row],['#_male hygiene promoters]]+WWWW[[#This Row],['#_female hygiene promoters]]))</f>
        <v>329</v>
      </c>
      <c r="DH36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1" s="801">
        <f>IF(WWWW[[#This Row],['# People with access to soap]]&gt;WWWW[[#This Row],['# People with access to Sanity Pads]],WWWW[[#This Row],['# People with access to soap]],WWWW[[#This Row],['# People with access to Sanity Pads]])</f>
        <v>0</v>
      </c>
      <c r="DK361" s="801">
        <f>IF(WWWW[[#This Row],['# people reached by regular dedicated hygiene promotion_5]]&gt;WWWW[[#This Row],['# People received regular supply of hygiene items_6]],WWWW[[#This Row],['# people reached by regular dedicated hygiene promotion_5]],WWWW[[#This Row],['# People received regular supply of hygiene items_6]])</f>
        <v>329</v>
      </c>
      <c r="DL361" s="803">
        <f>IF(WWWW[[#This Row],[HRP3]]/WWWW[[#This Row],[Total PoP ]]&gt;1,1,WWWW[[#This Row],[HRP3]]/WWWW[[#This Row],[Total PoP ]])</f>
        <v>1</v>
      </c>
      <c r="DM361" s="802">
        <f>1-WWWW[[#This Row],[Hygiene Coverage%]]</f>
        <v>0</v>
      </c>
      <c r="DN361" s="800">
        <f>WWWW[[#This Row],['# people reached by regular dedicated hygiene promotion_5]]/WWWW[[#This Row],[Total PoP ]]</f>
        <v>1</v>
      </c>
      <c r="DO36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1" s="801">
        <f>WWWW[[#This Row],['#_Constructed/Existing hand washing stations]]-WWWW[[#This Row],['#_Non-Functional_hand_washing_stations]]</f>
        <v>0</v>
      </c>
      <c r="DR361" s="798">
        <f>IF(WWWW[[#This Row],['# Functional hand washing stations during reporting period]]*20&gt;WWWW[[#This Row],[Total HH]],WWWW[[#This Row],[Total HH]],WWWW[[#This Row],['# Functional hand washing stations during reporting period]]*20)</f>
        <v>0</v>
      </c>
      <c r="DS361" s="798">
        <f>IF(WWWW[[#This Row],[Is sufficient soap available for TLS? (Yes/No)]]="yes",WWWW[[#This Row],['#_Constructed/Existing hand washing stations at TLS]],0)</f>
        <v>0</v>
      </c>
      <c r="DT361" s="479">
        <f>IF(WWWW[[#This Row],['# Functional hand washing stations during reporting period]]*100&gt;WWWW[[#This Row],[Total PoP ]],WWWW[[#This Row],[Total PoP ]],WWWW[[#This Row],['# Functional hand washing stations during reporting period]]*100)</f>
        <v>0</v>
      </c>
      <c r="DU361" s="479" t="str">
        <f>IF(OR(WWWW[[#This Row],['#_students at TLS_CFS]]="",WWWW[[#This Row],['#_students at TLS_CFS]]=0),"No","Yes")</f>
        <v>Yes</v>
      </c>
      <c r="DV36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1" s="794">
        <f>VLOOKUP(WWWW[[#This Row],[Site Name]],SiteDB6[[Site Name]:[CCCM Management]],6,FALSE)</f>
        <v>0</v>
      </c>
      <c r="DZ361" s="794">
        <f>VLOOKUP(WWWW[[#This Row],[Site Name]],SiteDB6[[Site Name]:[CCCM Focal Agency]],7,FALSE)</f>
        <v>0</v>
      </c>
      <c r="EA361" s="794" t="str">
        <f>VLOOKUP(WWWW[[#This Row],[Site Name]],SiteDB6[[Site Name]:[Location Type 1]],9,FALSE)</f>
        <v>Camp</v>
      </c>
      <c r="EB361" s="794" t="str">
        <f>VLOOKUP(WWWW[[#This Row],[Site Name]],SiteDB6[[Site Name]:[Type of Accommodation]],10,FALSE)</f>
        <v>Camp like setting</v>
      </c>
      <c r="EC361" s="794" t="str">
        <f>VLOOKUP(WWWW[[#This Row],[Site Name]],SiteDB6[[Site Name]:[Ethnic or GCA/NGCA]],11,FALSE)</f>
        <v>GCA</v>
      </c>
      <c r="ED361" s="794">
        <f>VLOOKUP(WWWW[[#This Row],[Site Name]],SiteDB6[[Site Name]:[Lat]],12,FALSE)</f>
        <v>0</v>
      </c>
      <c r="EE361" s="794">
        <f>VLOOKUP(WWWW[[#This Row],[Site Name]],SiteDB6[[Site Name]:[Long]],13,FALSE)</f>
        <v>0</v>
      </c>
      <c r="EF361" s="794">
        <f>VLOOKUP(WWWW[[#This Row],[Site Name]],SiteDB6[[Site Name]:[Pcode]],3,FALSE)</f>
        <v>0</v>
      </c>
      <c r="EG361" s="799" t="str">
        <f t="shared" si="8"/>
        <v>Covered</v>
      </c>
      <c r="EH361" s="799">
        <f>VLOOKUP(WWWW[[#This Row],[Site Name]],Site_DB!$C$389:$D$1120,2,FALSE)</f>
        <v>0</v>
      </c>
    </row>
    <row r="362" spans="1:138" hidden="1">
      <c r="A362" s="792" t="s">
        <v>3262</v>
      </c>
      <c r="B362" s="792" t="s">
        <v>245</v>
      </c>
      <c r="C362" s="793" t="s">
        <v>245</v>
      </c>
      <c r="D362" s="793" t="s">
        <v>310</v>
      </c>
      <c r="E362" s="793" t="s">
        <v>39</v>
      </c>
      <c r="F362" s="793" t="s">
        <v>149</v>
      </c>
      <c r="G362" s="721" t="str">
        <f>VLOOKUP(WWWW[[#This Row],[Site Name]],SiteDB6[[Site Name]:[Location Type]],8,FALSE)</f>
        <v>Camp</v>
      </c>
      <c r="H362" s="404" t="s">
        <v>248</v>
      </c>
      <c r="I362" s="720">
        <v>162</v>
      </c>
      <c r="J362" s="720">
        <v>830</v>
      </c>
      <c r="K362" s="407">
        <v>43313</v>
      </c>
      <c r="L362" s="56">
        <v>44043</v>
      </c>
      <c r="M362" s="795"/>
      <c r="N362" s="795">
        <v>1</v>
      </c>
      <c r="O362" s="795"/>
      <c r="P362" s="795"/>
      <c r="Q362" s="798" t="s">
        <v>43</v>
      </c>
      <c r="R362" s="795">
        <v>2</v>
      </c>
      <c r="S362" s="795">
        <v>3</v>
      </c>
      <c r="T362" s="523">
        <v>0</v>
      </c>
      <c r="U362" s="795"/>
      <c r="V362" s="795"/>
      <c r="W362" s="795">
        <v>0</v>
      </c>
      <c r="X362" s="795"/>
      <c r="Y362" s="795"/>
      <c r="Z362" s="795"/>
      <c r="AA362" s="795">
        <v>1</v>
      </c>
      <c r="AB362" s="795"/>
      <c r="AC362" s="795"/>
      <c r="AD362" s="795"/>
      <c r="AE362" s="795"/>
      <c r="AF362" s="795"/>
      <c r="AG362" s="795"/>
      <c r="AH362" s="795">
        <v>1</v>
      </c>
      <c r="AI362" s="795"/>
      <c r="AJ362" s="795"/>
      <c r="AK362" s="795"/>
      <c r="AL362" s="795"/>
      <c r="AM362" s="795"/>
      <c r="AN362" s="795"/>
      <c r="AO362" s="799"/>
      <c r="AP362" s="795">
        <v>38</v>
      </c>
      <c r="AQ362" s="795">
        <v>12</v>
      </c>
      <c r="AR362" s="800" t="s">
        <v>1244</v>
      </c>
      <c r="AS362" s="795"/>
      <c r="AT362" s="795"/>
      <c r="AU362" s="795"/>
      <c r="AV362" s="795"/>
      <c r="AW362" s="795">
        <v>0</v>
      </c>
      <c r="AX362" s="794" t="s">
        <v>139</v>
      </c>
      <c r="AY362" s="799" t="s">
        <v>1195</v>
      </c>
      <c r="AZ362" s="795">
        <v>0</v>
      </c>
      <c r="BA362" s="795">
        <v>0</v>
      </c>
      <c r="BB362" s="795">
        <v>0</v>
      </c>
      <c r="BC362" s="523"/>
      <c r="BD362" s="523"/>
      <c r="BE362" s="794"/>
      <c r="BF362" s="795">
        <v>14</v>
      </c>
      <c r="BG362" s="795"/>
      <c r="BH362" s="795">
        <v>0</v>
      </c>
      <c r="BI362" s="795">
        <v>9</v>
      </c>
      <c r="BJ362" s="795"/>
      <c r="BK362" s="795">
        <v>2</v>
      </c>
      <c r="BL362" s="795">
        <v>3</v>
      </c>
      <c r="BM362" s="795"/>
      <c r="BN362" s="720">
        <v>207</v>
      </c>
      <c r="BO362" s="806" t="s">
        <v>139</v>
      </c>
      <c r="BP362" s="801"/>
      <c r="BQ362" s="800"/>
      <c r="BR362" s="794"/>
      <c r="BS362" s="472"/>
      <c r="BT362" s="472"/>
      <c r="BU362" s="720"/>
      <c r="BV362" s="472"/>
      <c r="BW362" s="523"/>
      <c r="BX362" s="523"/>
      <c r="BY362" s="523"/>
      <c r="BZ362" s="802" t="str">
        <f>IFERROR(WWWW[[#This Row],['#_Water sources passed]]/WWWW[[#This Row],['#_Water sources tested for fecal coliform ]],"no test")</f>
        <v>no test</v>
      </c>
      <c r="CA362" s="800" t="str">
        <f>IFERROR(WWWW[[#This Row],['#_Household passed]]/WWWW[[#This Row],['#_Household water samples tested for fecal coliform]],"no test")</f>
        <v>no test</v>
      </c>
      <c r="CB362" s="801" t="str">
        <f>IF(AND(WWWW[[#This Row],[% of water sources passed]]="no test",WWWW[[#This Row],[% Household passed]]="no test"),"No Test","Tested")</f>
        <v>No Test</v>
      </c>
      <c r="CC362" s="801">
        <f>WWWW[[#This Row],['#_Constructed/existing protected hand dug well]]-WWWW[[#This Row],['#_Non-functional protected hand dug well]]</f>
        <v>0</v>
      </c>
      <c r="CD362" s="801">
        <f>(WWWW[[#This Row],['#_Constructed/Existing tube wells/boreholes/handpumps_WASH_agency]]+WWWW[[#This Row],['#_Non-Cluster partner water tube-wells/boreholes/handpumps]])-WWWW[[#This Row],['#_Non-functional tube wells/boreholes/handpumps]]</f>
        <v>0</v>
      </c>
      <c r="CE362" s="801">
        <f>WWWW[[#This Row],['#_Constructed/Existingwater storage tank with gravity fed reticulation system]]-WWWW[[#This Row],['#_Non-functional storage tank gravity fed reticulation system]]</f>
        <v>1</v>
      </c>
      <c r="CF362" s="801">
        <f>(WWWW[[#This Row],['#_Water_Liters_supplied_by_Water boating or water trucking]]/90)/15</f>
        <v>0</v>
      </c>
      <c r="CG362" s="801">
        <f>WWWW[[#This Row],['#_Water_Liters_from_Constructed/Existing water distribution system from river or natural spring]]/90/15</f>
        <v>0</v>
      </c>
      <c r="CH362" s="473">
        <f>WWWW[[#This Row],['#_of water points in TLS/CFS /THF]]*500</f>
        <v>0</v>
      </c>
      <c r="CI36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8.0321285140562249E-2</v>
      </c>
      <c r="CJ36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8.0321285140562249E-2</v>
      </c>
      <c r="CK362" s="800">
        <f>IF(WWWW[[#This Row],[Location Type 1]]="Village",WWWW[[#This Row],[Access to safe drinking water for Village]],WWWW[[#This Row],[Access to safe drinking water for Camp]])</f>
        <v>8.0321285140562249E-2</v>
      </c>
      <c r="CL362" s="798">
        <f>WWWW[[#This Row],[%Equitable and continuous access to sufficient quantity of safe drinking water]]*WWWW[[#This Row],[Total PoP ]]</f>
        <v>66.666666666666671</v>
      </c>
      <c r="CM362" s="800">
        <f>IF((WWWW[[#This Row],['#_Constructed/Existing protected/fenced ponds]]*250)/WWWW[[#This Row],[Total PoP ]]&gt;1,1,(WWWW[[#This Row],['#_Constructed/Existing protected/fenced ponds]]*250)/WWWW[[#This Row],[Total PoP ]])</f>
        <v>0</v>
      </c>
      <c r="CN362" s="798">
        <f>WWWW[[#This Row],[% Access to unimproved water points]]*WWWW[[#This Row],[Total PoP ]]</f>
        <v>0</v>
      </c>
      <c r="CO36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P36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2" s="798">
        <f>WWWW[[#This Row],[HRP1]]/500</f>
        <v>0.13333333333333333</v>
      </c>
      <c r="CR362" s="803">
        <f>1-WWWW[[#This Row],[% Equitable and continuous access to sufficient quantity of domestic water]]</f>
        <v>0.91967871485943775</v>
      </c>
      <c r="CS362" s="798">
        <f>WWWW[[#This Row],[%equitable and continuous access to sufficient quantity of safe drinking and domestic water''s GAP]]*WWWW[[#This Row],[Total PoP ]]</f>
        <v>763.33333333333337</v>
      </c>
      <c r="CT362" s="801">
        <f>IF(WWWW[[#This Row],[Total required water points]]-WWWW[[#This Row],['#Water points coverage]]&lt;0,0,WWWW[[#This Row],[Total required water points]]-WWWW[[#This Row],['#Water points coverage]])</f>
        <v>1.8666666666666667</v>
      </c>
      <c r="CU362" s="801">
        <f>ROUND(IF(WWWW[[#This Row],[Total PoP ]]&lt;500,1,WWWW[[#This Row],[Total PoP ]]/500),0)</f>
        <v>2</v>
      </c>
      <c r="CV362" s="801">
        <f>(WWWW[[#This Row],['#_Constructed latrines_by_WASHAgencies]]+WWWW[[#This Row],['#_Non Cluster partner latrines]])-WWWW[[#This Row],['#_Non-functional latrines]]</f>
        <v>50</v>
      </c>
      <c r="CW362" s="804">
        <f>WWWW[[#This Row],[HRP2]]/WWWW[[#This Row],[Total PoP ]]</f>
        <v>1</v>
      </c>
      <c r="CX36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830</v>
      </c>
      <c r="CY36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2" s="473">
        <f>IF(WWWW[[#This Row],['# of functional latrines in THF supported by WASH partners during the reporting period2]]="",0,WWWW[[#This Row],['# of functional latrines in THF supported by WASH partners during the reporting period2]]*50)</f>
        <v>0</v>
      </c>
      <c r="DB362" s="473">
        <f>WWWW[[#This Row],['# students access to functioning school latrines_HRP5]]+WWWW[[#This Row],['# People access to functioning latrines in THF_HRP5]]</f>
        <v>0</v>
      </c>
      <c r="DC362" s="801">
        <f>ROUND(IF(WWWW[[#This Row],[Location Type 1]]="camp",WWWW[[#This Row],[Total PoP ]]/20,IF(WWWW[[#This Row],[Location Type 1]]="Temporary Location",WWWW[[#This Row],[Total PoP ]]/50,(WWWW[[#This Row],[Total PoP ]]/6))),0)</f>
        <v>42</v>
      </c>
      <c r="DD362" s="801">
        <f>IF(WWWW[[#This Row],[Total required Latrines]]-(WWWW[[#This Row],['#_Constructed latrines_by_WASHAgencies]]+WWWW[[#This Row],['#_Non Cluster partner latrines]])&lt;0,0,WWWW[[#This Row],[Total required Latrines]]-(WWWW[[#This Row],['#_Constructed latrines_by_WASHAgencies]]+WWWW[[#This Row],['#_Non Cluster partner latrines]]))</f>
        <v>0</v>
      </c>
      <c r="DE362" s="803">
        <f>1-WWWW[[#This Row],[% people access to functioning Latrine]]</f>
        <v>0</v>
      </c>
      <c r="DF362" s="802">
        <f>IF(OR(WWWW[[#This Row],['#_Non-functional latrines]]="",WWWW[[#This Row],['#_Non-functional latrines]]=0),0,WWWW[[#This Row],['#_Non-functional latrines]]/(WWWW[[#This Row],['#_Constructed latrines_by_WASHAgencies]]+WWWW[[#This Row],['#_Non Cluster partner latrines]]))</f>
        <v>0</v>
      </c>
      <c r="DG362" s="798">
        <f>IF(500*(WWWW[[#This Row],['#_male hygiene promoters]]+WWWW[[#This Row],['#_female hygiene promoters]])&gt;WWWW[[#This Row],[Total PoP ]],WWWW[[#This Row],[Total PoP ]],500*(WWWW[[#This Row],['#_male hygiene promoters]]+WWWW[[#This Row],['#_female hygiene promoters]]))</f>
        <v>830</v>
      </c>
      <c r="DH36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207</v>
      </c>
      <c r="DJ362" s="801">
        <f>IF(WWWW[[#This Row],['# People with access to soap]]&gt;WWWW[[#This Row],['# People with access to Sanity Pads]],WWWW[[#This Row],['# People with access to soap]],WWWW[[#This Row],['# People with access to Sanity Pads]])</f>
        <v>207</v>
      </c>
      <c r="DK362" s="801">
        <f>IF(WWWW[[#This Row],['# people reached by regular dedicated hygiene promotion_5]]&gt;WWWW[[#This Row],['# People received regular supply of hygiene items_6]],WWWW[[#This Row],['# people reached by regular dedicated hygiene promotion_5]],WWWW[[#This Row],['# People received regular supply of hygiene items_6]])</f>
        <v>830</v>
      </c>
      <c r="DL362" s="803">
        <f>IF(WWWW[[#This Row],[HRP3]]/WWWW[[#This Row],[Total PoP ]]&gt;1,1,WWWW[[#This Row],[HRP3]]/WWWW[[#This Row],[Total PoP ]])</f>
        <v>1</v>
      </c>
      <c r="DM362" s="802">
        <f>1-WWWW[[#This Row],[Hygiene Coverage%]]</f>
        <v>0</v>
      </c>
      <c r="DN362" s="800">
        <f>WWWW[[#This Row],['# people reached by regular dedicated hygiene promotion_5]]/WWWW[[#This Row],[Total PoP ]]</f>
        <v>1</v>
      </c>
      <c r="DO36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62" s="801">
        <f>WWWW[[#This Row],['#_Constructed/Existing hand washing stations]]-WWWW[[#This Row],['#_Non-Functional_hand_washing_stations]]</f>
        <v>14</v>
      </c>
      <c r="DR362" s="798">
        <f>IF(WWWW[[#This Row],['# Functional hand washing stations during reporting period]]*20&gt;WWWW[[#This Row],[Total HH]],WWWW[[#This Row],[Total HH]],WWWW[[#This Row],['# Functional hand washing stations during reporting period]]*20)</f>
        <v>162</v>
      </c>
      <c r="DS362" s="798">
        <f>IF(WWWW[[#This Row],[Is sufficient soap available for TLS? (Yes/No)]]="yes",WWWW[[#This Row],['#_Constructed/Existing hand washing stations at TLS]],0)</f>
        <v>0</v>
      </c>
      <c r="DT362" s="479">
        <f>IF(WWWW[[#This Row],['# Functional hand washing stations during reporting period]]*100&gt;WWWW[[#This Row],[Total PoP ]],WWWW[[#This Row],[Total PoP ]],WWWW[[#This Row],['# Functional hand washing stations during reporting period]]*100)</f>
        <v>830</v>
      </c>
      <c r="DU362" s="479" t="str">
        <f>IF(OR(WWWW[[#This Row],['#_students at TLS_CFS]]="",WWWW[[#This Row],['#_students at TLS_CFS]]=0),"No","Yes")</f>
        <v>No</v>
      </c>
      <c r="DV36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2" s="794" t="str">
        <f>VLOOKUP(WWWW[[#This Row],[Site Name]],SiteDB6[[Site Name]:[CCCM Management]],6,FALSE)</f>
        <v>Yes</v>
      </c>
      <c r="DZ362" s="794" t="str">
        <f>VLOOKUP(WWWW[[#This Row],[Site Name]],SiteDB6[[Site Name]:[CCCM Focal Agency]],7,FALSE)</f>
        <v>Shalom</v>
      </c>
      <c r="EA362" s="794" t="str">
        <f>VLOOKUP(WWWW[[#This Row],[Site Name]],SiteDB6[[Site Name]:[Location Type 1]],9,FALSE)</f>
        <v>Camp</v>
      </c>
      <c r="EB362" s="794" t="str">
        <f>VLOOKUP(WWWW[[#This Row],[Site Name]],SiteDB6[[Site Name]:[Type of Accommodation]],10,FALSE)</f>
        <v>Camp</v>
      </c>
      <c r="EC362" s="794" t="str">
        <f>VLOOKUP(WWWW[[#This Row],[Site Name]],SiteDB6[[Site Name]:[Ethnic or GCA/NGCA]],11,FALSE)</f>
        <v>GCA</v>
      </c>
      <c r="ED362" s="794">
        <f>VLOOKUP(WWWW[[#This Row],[Site Name]],SiteDB6[[Site Name]:[Lat]],12,FALSE)</f>
        <v>25.889410000000002</v>
      </c>
      <c r="EE362" s="794">
        <f>VLOOKUP(WWWW[[#This Row],[Site Name]],SiteDB6[[Site Name]:[Long]],13,FALSE)</f>
        <v>98.131550000000004</v>
      </c>
      <c r="EF362" s="794" t="str">
        <f>VLOOKUP(WWWW[[#This Row],[Site Name]],SiteDB6[[Site Name]:[Pcode]],3,FALSE)</f>
        <v>MMR001CMP042</v>
      </c>
      <c r="EG362" s="799" t="str">
        <f t="shared" si="8"/>
        <v>Covered</v>
      </c>
      <c r="EH362" s="799" t="str">
        <f>VLOOKUP(WWWW[[#This Row],[Site Name]],Site_DB!$C$389:$D$1120,2,FALSE)</f>
        <v>cccm_2019OCT</v>
      </c>
    </row>
    <row r="363" spans="1:138" hidden="1">
      <c r="A363" s="792" t="s">
        <v>3262</v>
      </c>
      <c r="B363" s="792" t="s">
        <v>312</v>
      </c>
      <c r="C363" s="793" t="s">
        <v>312</v>
      </c>
      <c r="D363" s="793"/>
      <c r="E363" s="793" t="s">
        <v>39</v>
      </c>
      <c r="F363" s="793" t="s">
        <v>151</v>
      </c>
      <c r="G363" s="721" t="str">
        <f>VLOOKUP(WWWW[[#This Row],[Site Name]],SiteDB6[[Site Name]:[Location Type]],8,FALSE)</f>
        <v>Camp</v>
      </c>
      <c r="H363" s="793" t="s">
        <v>260</v>
      </c>
      <c r="I363" s="795">
        <v>3</v>
      </c>
      <c r="J363" s="795">
        <v>15</v>
      </c>
      <c r="K363" s="796"/>
      <c r="L363" s="797"/>
      <c r="M363" s="795"/>
      <c r="N363" s="795">
        <v>0</v>
      </c>
      <c r="O363" s="795"/>
      <c r="P363" s="795"/>
      <c r="Q363" s="798" t="s">
        <v>43</v>
      </c>
      <c r="R363" s="795"/>
      <c r="S363" s="795">
        <v>5</v>
      </c>
      <c r="T363" s="523">
        <v>1</v>
      </c>
      <c r="U363" s="795"/>
      <c r="V363" s="795"/>
      <c r="W363" s="795">
        <v>1</v>
      </c>
      <c r="X363" s="795"/>
      <c r="Y363" s="795"/>
      <c r="Z363" s="795"/>
      <c r="AA363" s="795">
        <v>0</v>
      </c>
      <c r="AB363" s="795"/>
      <c r="AC363" s="795"/>
      <c r="AD363" s="795"/>
      <c r="AE363" s="795"/>
      <c r="AF363" s="795"/>
      <c r="AG363" s="795"/>
      <c r="AH363" s="795">
        <v>1</v>
      </c>
      <c r="AI363" s="795"/>
      <c r="AJ363" s="795"/>
      <c r="AK363" s="795"/>
      <c r="AL363" s="795"/>
      <c r="AM363" s="795"/>
      <c r="AN363" s="795"/>
      <c r="AO363" s="799"/>
      <c r="AP363" s="795">
        <v>0</v>
      </c>
      <c r="AQ363" s="795"/>
      <c r="AR363" s="800"/>
      <c r="AS363" s="795"/>
      <c r="AT363" s="795"/>
      <c r="AU363" s="795"/>
      <c r="AV363" s="795"/>
      <c r="AW363" s="795">
        <v>0</v>
      </c>
      <c r="AX363" s="794" t="s">
        <v>43</v>
      </c>
      <c r="AY363" s="799" t="s">
        <v>1195</v>
      </c>
      <c r="AZ363" s="795"/>
      <c r="BA363" s="795"/>
      <c r="BB363" s="795"/>
      <c r="BC363" s="523"/>
      <c r="BD363" s="523"/>
      <c r="BE363" s="794"/>
      <c r="BF363" s="795"/>
      <c r="BG363" s="795"/>
      <c r="BH363" s="795">
        <v>0</v>
      </c>
      <c r="BI363" s="795"/>
      <c r="BJ363" s="795"/>
      <c r="BK363" s="795"/>
      <c r="BL363" s="795"/>
      <c r="BM363" s="795"/>
      <c r="BN363" s="795"/>
      <c r="BO363" s="794"/>
      <c r="BP363" s="801"/>
      <c r="BQ363" s="800"/>
      <c r="BR363" s="794"/>
      <c r="BS363" s="472"/>
      <c r="BT363" s="472"/>
      <c r="BU363" s="720"/>
      <c r="BV363" s="472"/>
      <c r="BW363" s="523"/>
      <c r="BX363" s="523"/>
      <c r="BY363" s="523"/>
      <c r="BZ363" s="802" t="str">
        <f>IFERROR(WWWW[[#This Row],['#_Water sources passed]]/WWWW[[#This Row],['#_Water sources tested for fecal coliform ]],"no test")</f>
        <v>no test</v>
      </c>
      <c r="CA363" s="800" t="str">
        <f>IFERROR(WWWW[[#This Row],['#_Household passed]]/WWWW[[#This Row],['#_Household water samples tested for fecal coliform]],"no test")</f>
        <v>no test</v>
      </c>
      <c r="CB363" s="801" t="str">
        <f>IF(AND(WWWW[[#This Row],[% of water sources passed]]="no test",WWWW[[#This Row],[% Household passed]]="no test"),"No Test","Tested")</f>
        <v>No Test</v>
      </c>
      <c r="CC363" s="801">
        <f>WWWW[[#This Row],['#_Constructed/existing protected hand dug well]]-WWWW[[#This Row],['#_Non-functional protected hand dug well]]</f>
        <v>1</v>
      </c>
      <c r="CD363" s="801">
        <f>(WWWW[[#This Row],['#_Constructed/Existing tube wells/boreholes/handpumps_WASH_agency]]+WWWW[[#This Row],['#_Non-Cluster partner water tube-wells/boreholes/handpumps]])-WWWW[[#This Row],['#_Non-functional tube wells/boreholes/handpumps]]</f>
        <v>1</v>
      </c>
      <c r="CE363" s="801">
        <f>WWWW[[#This Row],['#_Constructed/Existingwater storage tank with gravity fed reticulation system]]-WWWW[[#This Row],['#_Non-functional storage tank gravity fed reticulation system]]</f>
        <v>0</v>
      </c>
      <c r="CF363" s="801">
        <f>(WWWW[[#This Row],['#_Water_Liters_supplied_by_Water boating or water trucking]]/90)/15</f>
        <v>0</v>
      </c>
      <c r="CG363" s="801">
        <f>WWWW[[#This Row],['#_Water_Liters_from_Constructed/Existing water distribution system from river or natural spring]]/90/15</f>
        <v>0</v>
      </c>
      <c r="CH363" s="473">
        <f>WWWW[[#This Row],['#_of water points in TLS/CFS /THF]]*500</f>
        <v>0</v>
      </c>
      <c r="CI36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3" s="800">
        <f>IF(WWWW[[#This Row],[Location Type 1]]="Village",WWWW[[#This Row],[Access to safe drinking water for Village]],WWWW[[#This Row],[Access to safe drinking water for Camp]])</f>
        <v>1</v>
      </c>
      <c r="CL363" s="798">
        <f>WWWW[[#This Row],[%Equitable and continuous access to sufficient quantity of safe drinking water]]*WWWW[[#This Row],[Total PoP ]]</f>
        <v>15</v>
      </c>
      <c r="CM363" s="800">
        <f>IF((WWWW[[#This Row],['#_Constructed/Existing protected/fenced ponds]]*250)/WWWW[[#This Row],[Total PoP ]]&gt;1,1,(WWWW[[#This Row],['#_Constructed/Existing protected/fenced ponds]]*250)/WWWW[[#This Row],[Total PoP ]])</f>
        <v>0</v>
      </c>
      <c r="CN363" s="798">
        <f>WWWW[[#This Row],[% Access to unimproved water points]]*WWWW[[#This Row],[Total PoP ]]</f>
        <v>0</v>
      </c>
      <c r="CO36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Q363" s="798">
        <f>WWWW[[#This Row],[HRP1]]/500</f>
        <v>0.03</v>
      </c>
      <c r="CR363" s="803">
        <f>1-WWWW[[#This Row],[% Equitable and continuous access to sufficient quantity of domestic water]]</f>
        <v>0</v>
      </c>
      <c r="CS363" s="798">
        <f>WWWW[[#This Row],[%equitable and continuous access to sufficient quantity of safe drinking and domestic water''s GAP]]*WWWW[[#This Row],[Total PoP ]]</f>
        <v>0</v>
      </c>
      <c r="CT363" s="801">
        <f>IF(WWWW[[#This Row],[Total required water points]]-WWWW[[#This Row],['#Water points coverage]]&lt;0,0,WWWW[[#This Row],[Total required water points]]-WWWW[[#This Row],['#Water points coverage]])</f>
        <v>0.97</v>
      </c>
      <c r="CU363" s="801">
        <f>ROUND(IF(WWWW[[#This Row],[Total PoP ]]&lt;500,1,WWWW[[#This Row],[Total PoP ]]/500),0)</f>
        <v>1</v>
      </c>
      <c r="CV363" s="801">
        <f>(WWWW[[#This Row],['#_Constructed latrines_by_WASHAgencies]]+WWWW[[#This Row],['#_Non Cluster partner latrines]])-WWWW[[#This Row],['#_Non-functional latrines]]</f>
        <v>0</v>
      </c>
      <c r="CW363" s="804">
        <f>WWWW[[#This Row],[HRP2]]/WWWW[[#This Row],[Total PoP ]]</f>
        <v>0</v>
      </c>
      <c r="CX36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6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3" s="473">
        <f>IF(WWWW[[#This Row],['# of functional latrines in THF supported by WASH partners during the reporting period2]]="",0,WWWW[[#This Row],['# of functional latrines in THF supported by WASH partners during the reporting period2]]*50)</f>
        <v>0</v>
      </c>
      <c r="DB363" s="473">
        <f>WWWW[[#This Row],['# students access to functioning school latrines_HRP5]]+WWWW[[#This Row],['# People access to functioning latrines in THF_HRP5]]</f>
        <v>0</v>
      </c>
      <c r="DC363" s="801">
        <f>ROUND(IF(WWWW[[#This Row],[Location Type 1]]="camp",WWWW[[#This Row],[Total PoP ]]/20,IF(WWWW[[#This Row],[Location Type 1]]="Temporary Location",WWWW[[#This Row],[Total PoP ]]/50,(WWWW[[#This Row],[Total PoP ]]/6))),0)</f>
        <v>1</v>
      </c>
      <c r="DD363" s="801">
        <f>IF(WWWW[[#This Row],[Total required Latrines]]-(WWWW[[#This Row],['#_Constructed latrines_by_WASHAgencies]]+WWWW[[#This Row],['#_Non Cluster partner latrines]])&lt;0,0,WWWW[[#This Row],[Total required Latrines]]-(WWWW[[#This Row],['#_Constructed latrines_by_WASHAgencies]]+WWWW[[#This Row],['#_Non Cluster partner latrines]]))</f>
        <v>1</v>
      </c>
      <c r="DE363" s="803">
        <f>1-WWWW[[#This Row],[% people access to functioning Latrine]]</f>
        <v>1</v>
      </c>
      <c r="DF363" s="802">
        <f>IF(OR(WWWW[[#This Row],['#_Non-functional latrines]]="",WWWW[[#This Row],['#_Non-functional latrines]]=0),0,WWWW[[#This Row],['#_Non-functional latrines]]/(WWWW[[#This Row],['#_Constructed latrines_by_WASHAgencies]]+WWWW[[#This Row],['#_Non Cluster partner latrines]]))</f>
        <v>0</v>
      </c>
      <c r="DG363" s="798">
        <f>IF(500*(WWWW[[#This Row],['#_male hygiene promoters]]+WWWW[[#This Row],['#_female hygiene promoters]])&gt;WWWW[[#This Row],[Total PoP ]],WWWW[[#This Row],[Total PoP ]],500*(WWWW[[#This Row],['#_male hygiene promoters]]+WWWW[[#This Row],['#_female hygiene promoters]]))</f>
        <v>0</v>
      </c>
      <c r="DH36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3" s="801">
        <f>IF(WWWW[[#This Row],['# People with access to soap]]&gt;WWWW[[#This Row],['# People with access to Sanity Pads]],WWWW[[#This Row],['# People with access to soap]],WWWW[[#This Row],['# People with access to Sanity Pads]])</f>
        <v>0</v>
      </c>
      <c r="DK36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3" s="803">
        <f>IF(WWWW[[#This Row],[HRP3]]/WWWW[[#This Row],[Total PoP ]]&gt;1,1,WWWW[[#This Row],[HRP3]]/WWWW[[#This Row],[Total PoP ]])</f>
        <v>0</v>
      </c>
      <c r="DM363" s="802">
        <f>1-WWWW[[#This Row],[Hygiene Coverage%]]</f>
        <v>1</v>
      </c>
      <c r="DN363" s="800">
        <f>WWWW[[#This Row],['# people reached by regular dedicated hygiene promotion_5]]/WWWW[[#This Row],[Total PoP ]]</f>
        <v>0</v>
      </c>
      <c r="DO36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3" s="801">
        <f>WWWW[[#This Row],['#_Constructed/Existing hand washing stations]]-WWWW[[#This Row],['#_Non-Functional_hand_washing_stations]]</f>
        <v>0</v>
      </c>
      <c r="DR363" s="798">
        <f>IF(WWWW[[#This Row],['# Functional hand washing stations during reporting period]]*20&gt;WWWW[[#This Row],[Total HH]],WWWW[[#This Row],[Total HH]],WWWW[[#This Row],['# Functional hand washing stations during reporting period]]*20)</f>
        <v>0</v>
      </c>
      <c r="DS363" s="798">
        <f>IF(WWWW[[#This Row],[Is sufficient soap available for TLS? (Yes/No)]]="yes",WWWW[[#This Row],['#_Constructed/Existing hand washing stations at TLS]],0)</f>
        <v>0</v>
      </c>
      <c r="DT363" s="479">
        <f>IF(WWWW[[#This Row],['# Functional hand washing stations during reporting period]]*100&gt;WWWW[[#This Row],[Total PoP ]],WWWW[[#This Row],[Total PoP ]],WWWW[[#This Row],['# Functional hand washing stations during reporting period]]*100)</f>
        <v>0</v>
      </c>
      <c r="DU363" s="479" t="str">
        <f>IF(OR(WWWW[[#This Row],['#_students at TLS_CFS]]="",WWWW[[#This Row],['#_students at TLS_CFS]]=0),"No","Yes")</f>
        <v>No</v>
      </c>
      <c r="DV36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3" s="794" t="str">
        <f>VLOOKUP(WWWW[[#This Row],[Site Name]],SiteDB6[[Site Name]:[CCCM Management]],6,FALSE)</f>
        <v>Yes</v>
      </c>
      <c r="DZ363" s="794" t="str">
        <f>VLOOKUP(WWWW[[#This Row],[Site Name]],SiteDB6[[Site Name]:[CCCM Focal Agency]],7,FALSE)</f>
        <v>Shalom</v>
      </c>
      <c r="EA363" s="794" t="str">
        <f>VLOOKUP(WWWW[[#This Row],[Site Name]],SiteDB6[[Site Name]:[Location Type 1]],9,FALSE)</f>
        <v>Camp</v>
      </c>
      <c r="EB363" s="794" t="str">
        <f>VLOOKUP(WWWW[[#This Row],[Site Name]],SiteDB6[[Site Name]:[Type of Accommodation]],10,FALSE)</f>
        <v>Camp like setting</v>
      </c>
      <c r="EC363" s="794" t="str">
        <f>VLOOKUP(WWWW[[#This Row],[Site Name]],SiteDB6[[Site Name]:[Ethnic or GCA/NGCA]],11,FALSE)</f>
        <v>GCA</v>
      </c>
      <c r="ED363" s="794">
        <f>VLOOKUP(WWWW[[#This Row],[Site Name]],SiteDB6[[Site Name]:[Lat]],12,FALSE)</f>
        <v>25.6145</v>
      </c>
      <c r="EE363" s="794">
        <f>VLOOKUP(WWWW[[#This Row],[Site Name]],SiteDB6[[Site Name]:[Long]],13,FALSE)</f>
        <v>96.319829999999996</v>
      </c>
      <c r="EF363" s="794" t="str">
        <f>VLOOKUP(WWWW[[#This Row],[Site Name]],SiteDB6[[Site Name]:[Pcode]],3,FALSE)</f>
        <v>MMR001CMP091</v>
      </c>
      <c r="EG363" s="799" t="str">
        <f t="shared" si="8"/>
        <v>Notcovered</v>
      </c>
      <c r="EH363" s="799" t="str">
        <f>VLOOKUP(WWWW[[#This Row],[Site Name]],Site_DB!$C$389:$D$1120,2,FALSE)</f>
        <v>cccm_2019OCT</v>
      </c>
    </row>
    <row r="364" spans="1:138" hidden="1">
      <c r="A364" s="792" t="s">
        <v>3262</v>
      </c>
      <c r="B364" s="792" t="s">
        <v>144</v>
      </c>
      <c r="C364" s="793" t="s">
        <v>144</v>
      </c>
      <c r="D364" s="793"/>
      <c r="E364" s="793" t="s">
        <v>39</v>
      </c>
      <c r="F364" s="793" t="s">
        <v>145</v>
      </c>
      <c r="G364" s="721" t="str">
        <f>VLOOKUP(WWWW[[#This Row],[Site Name]],SiteDB6[[Site Name]:[Location Type]],8,FALSE)</f>
        <v>Camp</v>
      </c>
      <c r="H364" s="404" t="s">
        <v>185</v>
      </c>
      <c r="I364" s="795">
        <v>179</v>
      </c>
      <c r="J364" s="795">
        <v>958</v>
      </c>
      <c r="K364" s="796"/>
      <c r="L364" s="797"/>
      <c r="M364" s="795"/>
      <c r="N364" s="795"/>
      <c r="O364" s="795"/>
      <c r="P364" s="795"/>
      <c r="Q364" s="798" t="s">
        <v>43</v>
      </c>
      <c r="R364" s="795"/>
      <c r="S364" s="795"/>
      <c r="T364" s="523">
        <v>0</v>
      </c>
      <c r="U364" s="795"/>
      <c r="V364" s="795"/>
      <c r="W364" s="795">
        <v>0</v>
      </c>
      <c r="X364" s="795"/>
      <c r="Y364" s="795"/>
      <c r="Z364" s="795"/>
      <c r="AA364" s="795">
        <v>1</v>
      </c>
      <c r="AB364" s="795"/>
      <c r="AC364" s="795"/>
      <c r="AD364" s="795"/>
      <c r="AE364" s="795"/>
      <c r="AF364" s="795"/>
      <c r="AG364" s="795"/>
      <c r="AH364" s="795">
        <v>0</v>
      </c>
      <c r="AI364" s="795"/>
      <c r="AJ364" s="795"/>
      <c r="AK364" s="795"/>
      <c r="AL364" s="795"/>
      <c r="AM364" s="795"/>
      <c r="AN364" s="795"/>
      <c r="AO364" s="799"/>
      <c r="AP364" s="795">
        <v>158</v>
      </c>
      <c r="AQ364" s="795"/>
      <c r="AR364" s="800"/>
      <c r="AS364" s="795"/>
      <c r="AT364" s="795"/>
      <c r="AU364" s="795"/>
      <c r="AV364" s="795"/>
      <c r="AW364" s="795">
        <v>158</v>
      </c>
      <c r="AX364" s="794" t="s">
        <v>43</v>
      </c>
      <c r="AY364" s="799" t="s">
        <v>140</v>
      </c>
      <c r="AZ364" s="795"/>
      <c r="BA364" s="795"/>
      <c r="BB364" s="795"/>
      <c r="BC364" s="523"/>
      <c r="BD364" s="523"/>
      <c r="BE364" s="794"/>
      <c r="BF364" s="795">
        <v>158</v>
      </c>
      <c r="BG364" s="795"/>
      <c r="BH364" s="795"/>
      <c r="BI364" s="795">
        <v>4</v>
      </c>
      <c r="BJ364" s="795"/>
      <c r="BK364" s="795"/>
      <c r="BL364" s="795"/>
      <c r="BM364" s="795"/>
      <c r="BN364" s="795"/>
      <c r="BO364" s="794"/>
      <c r="BP364" s="801"/>
      <c r="BQ364" s="800"/>
      <c r="BR364" s="794"/>
      <c r="BS364" s="472"/>
      <c r="BT364" s="472"/>
      <c r="BU364" s="523"/>
      <c r="BV364" s="472"/>
      <c r="BW364" s="523"/>
      <c r="BX364" s="523"/>
      <c r="BY364" s="523"/>
      <c r="BZ364" s="802" t="str">
        <f>IFERROR(WWWW[[#This Row],['#_Water sources passed]]/WWWW[[#This Row],['#_Water sources tested for fecal coliform ]],"no test")</f>
        <v>no test</v>
      </c>
      <c r="CA364" s="800" t="str">
        <f>IFERROR(WWWW[[#This Row],['#_Household passed]]/WWWW[[#This Row],['#_Household water samples tested for fecal coliform]],"no test")</f>
        <v>no test</v>
      </c>
      <c r="CB364" s="801" t="str">
        <f>IF(AND(WWWW[[#This Row],[% of water sources passed]]="no test",WWWW[[#This Row],[% Household passed]]="no test"),"No Test","Tested")</f>
        <v>No Test</v>
      </c>
      <c r="CC364" s="801">
        <f>WWWW[[#This Row],['#_Constructed/existing protected hand dug well]]-WWWW[[#This Row],['#_Non-functional protected hand dug well]]</f>
        <v>0</v>
      </c>
      <c r="CD364" s="801">
        <f>(WWWW[[#This Row],['#_Constructed/Existing tube wells/boreholes/handpumps_WASH_agency]]+WWWW[[#This Row],['#_Non-Cluster partner water tube-wells/boreholes/handpumps]])-WWWW[[#This Row],['#_Non-functional tube wells/boreholes/handpumps]]</f>
        <v>0</v>
      </c>
      <c r="CE364" s="801">
        <f>WWWW[[#This Row],['#_Constructed/Existingwater storage tank with gravity fed reticulation system]]-WWWW[[#This Row],['#_Non-functional storage tank gravity fed reticulation system]]</f>
        <v>1</v>
      </c>
      <c r="CF364" s="801">
        <f>(WWWW[[#This Row],['#_Water_Liters_supplied_by_Water boating or water trucking]]/90)/15</f>
        <v>0</v>
      </c>
      <c r="CG364" s="801">
        <f>WWWW[[#This Row],['#_Water_Liters_from_Constructed/Existing water distribution system from river or natural spring]]/90/15</f>
        <v>0</v>
      </c>
      <c r="CH364" s="473">
        <f>WWWW[[#This Row],['#_of water points in TLS/CFS /THF]]*500</f>
        <v>0</v>
      </c>
      <c r="CI36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6.9589422407794019E-2</v>
      </c>
      <c r="CJ36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6.9589422407794019E-2</v>
      </c>
      <c r="CK364" s="800">
        <f>IF(WWWW[[#This Row],[Location Type 1]]="Village",WWWW[[#This Row],[Access to safe drinking water for Village]],WWWW[[#This Row],[Access to safe drinking water for Camp]])</f>
        <v>6.9589422407794019E-2</v>
      </c>
      <c r="CL364" s="798">
        <f>WWWW[[#This Row],[%Equitable and continuous access to sufficient quantity of safe drinking water]]*WWWW[[#This Row],[Total PoP ]]</f>
        <v>66.666666666666671</v>
      </c>
      <c r="CM364" s="800">
        <f>IF((WWWW[[#This Row],['#_Constructed/Existing protected/fenced ponds]]*250)/WWWW[[#This Row],[Total PoP ]]&gt;1,1,(WWWW[[#This Row],['#_Constructed/Existing protected/fenced ponds]]*250)/WWWW[[#This Row],[Total PoP ]])</f>
        <v>0</v>
      </c>
      <c r="CN364" s="798">
        <f>WWWW[[#This Row],[% Access to unimproved water points]]*WWWW[[#This Row],[Total PoP ]]</f>
        <v>0</v>
      </c>
      <c r="CO36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6.9589422407794019E-2</v>
      </c>
      <c r="CP36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4" s="798">
        <f>WWWW[[#This Row],[HRP1]]/500</f>
        <v>0.13333333333333333</v>
      </c>
      <c r="CR364" s="803">
        <f>1-WWWW[[#This Row],[% Equitable and continuous access to sufficient quantity of domestic water]]</f>
        <v>0.93041057759220602</v>
      </c>
      <c r="CS364" s="798">
        <f>WWWW[[#This Row],[%equitable and continuous access to sufficient quantity of safe drinking and domestic water''s GAP]]*WWWW[[#This Row],[Total PoP ]]</f>
        <v>891.33333333333337</v>
      </c>
      <c r="CT364" s="801">
        <f>IF(WWWW[[#This Row],[Total required water points]]-WWWW[[#This Row],['#Water points coverage]]&lt;0,0,WWWW[[#This Row],[Total required water points]]-WWWW[[#This Row],['#Water points coverage]])</f>
        <v>1.8666666666666667</v>
      </c>
      <c r="CU364" s="801">
        <f>ROUND(IF(WWWW[[#This Row],[Total PoP ]]&lt;500,1,WWWW[[#This Row],[Total PoP ]]/500),0)</f>
        <v>2</v>
      </c>
      <c r="CV364" s="801">
        <f>(WWWW[[#This Row],['#_Constructed latrines_by_WASHAgencies]]+WWWW[[#This Row],['#_Non Cluster partner latrines]])-WWWW[[#This Row],['#_Non-functional latrines]]</f>
        <v>158</v>
      </c>
      <c r="CW364" s="804">
        <f>WWWW[[#This Row],[HRP2]]/WWWW[[#This Row],[Total PoP ]]</f>
        <v>1</v>
      </c>
      <c r="CX36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CY36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4" s="473">
        <f>IF(WWWW[[#This Row],['# of functional latrines in THF supported by WASH partners during the reporting period2]]="",0,WWWW[[#This Row],['# of functional latrines in THF supported by WASH partners during the reporting period2]]*50)</f>
        <v>0</v>
      </c>
      <c r="DB364" s="473">
        <f>WWWW[[#This Row],['# students access to functioning school latrines_HRP5]]+WWWW[[#This Row],['# People access to functioning latrines in THF_HRP5]]</f>
        <v>0</v>
      </c>
      <c r="DC364" s="801">
        <f>ROUND(IF(WWWW[[#This Row],[Location Type 1]]="camp",WWWW[[#This Row],[Total PoP ]]/20,IF(WWWW[[#This Row],[Location Type 1]]="Temporary Location",WWWW[[#This Row],[Total PoP ]]/50,(WWWW[[#This Row],[Total PoP ]]/6))),0)</f>
        <v>48</v>
      </c>
      <c r="DD364" s="801">
        <f>IF(WWWW[[#This Row],[Total required Latrines]]-(WWWW[[#This Row],['#_Constructed latrines_by_WASHAgencies]]+WWWW[[#This Row],['#_Non Cluster partner latrines]])&lt;0,0,WWWW[[#This Row],[Total required Latrines]]-(WWWW[[#This Row],['#_Constructed latrines_by_WASHAgencies]]+WWWW[[#This Row],['#_Non Cluster partner latrines]]))</f>
        <v>0</v>
      </c>
      <c r="DE364" s="803">
        <f>1-WWWW[[#This Row],[% people access to functioning Latrine]]</f>
        <v>0</v>
      </c>
      <c r="DF364" s="802">
        <f>IF(OR(WWWW[[#This Row],['#_Non-functional latrines]]="",WWWW[[#This Row],['#_Non-functional latrines]]=0),0,WWWW[[#This Row],['#_Non-functional latrines]]/(WWWW[[#This Row],['#_Constructed latrines_by_WASHAgencies]]+WWWW[[#This Row],['#_Non Cluster partner latrines]]))</f>
        <v>0</v>
      </c>
      <c r="DG364" s="798">
        <f>IF(500*(WWWW[[#This Row],['#_male hygiene promoters]]+WWWW[[#This Row],['#_female hygiene promoters]])&gt;WWWW[[#This Row],[Total PoP ]],WWWW[[#This Row],[Total PoP ]],500*(WWWW[[#This Row],['#_male hygiene promoters]]+WWWW[[#This Row],['#_female hygiene promoters]]))</f>
        <v>0</v>
      </c>
      <c r="DH36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4" s="801">
        <f>IF(WWWW[[#This Row],['# People with access to soap]]&gt;WWWW[[#This Row],['# People with access to Sanity Pads]],WWWW[[#This Row],['# People with access to soap]],WWWW[[#This Row],['# People with access to Sanity Pads]])</f>
        <v>0</v>
      </c>
      <c r="DK36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4" s="803">
        <f>IF(WWWW[[#This Row],[HRP3]]/WWWW[[#This Row],[Total PoP ]]&gt;1,1,WWWW[[#This Row],[HRP3]]/WWWW[[#This Row],[Total PoP ]])</f>
        <v>0</v>
      </c>
      <c r="DM364" s="802">
        <f>1-WWWW[[#This Row],[Hygiene Coverage%]]</f>
        <v>1</v>
      </c>
      <c r="DN364" s="800">
        <f>WWWW[[#This Row],['# people reached by regular dedicated hygiene promotion_5]]/WWWW[[#This Row],[Total PoP ]]</f>
        <v>0</v>
      </c>
      <c r="DO36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4" s="801">
        <f>WWWW[[#This Row],['#_Constructed/Existing hand washing stations]]-WWWW[[#This Row],['#_Non-Functional_hand_washing_stations]]</f>
        <v>158</v>
      </c>
      <c r="DR364" s="798">
        <f>IF(WWWW[[#This Row],['# Functional hand washing stations during reporting period]]*20&gt;WWWW[[#This Row],[Total HH]],WWWW[[#This Row],[Total HH]],WWWW[[#This Row],['# Functional hand washing stations during reporting period]]*20)</f>
        <v>179</v>
      </c>
      <c r="DS364" s="798">
        <f>IF(WWWW[[#This Row],[Is sufficient soap available for TLS? (Yes/No)]]="yes",WWWW[[#This Row],['#_Constructed/Existing hand washing stations at TLS]],0)</f>
        <v>0</v>
      </c>
      <c r="DT364" s="479">
        <f>IF(WWWW[[#This Row],['# Functional hand washing stations during reporting period]]*100&gt;WWWW[[#This Row],[Total PoP ]],WWWW[[#This Row],[Total PoP ]],WWWW[[#This Row],['# Functional hand washing stations during reporting period]]*100)</f>
        <v>958</v>
      </c>
      <c r="DU364" s="479" t="str">
        <f>IF(OR(WWWW[[#This Row],['#_students at TLS_CFS]]="",WWWW[[#This Row],['#_students at TLS_CFS]]=0),"No","Yes")</f>
        <v>No</v>
      </c>
      <c r="DV36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4" s="794" t="str">
        <f>VLOOKUP(WWWW[[#This Row],[Site Name]],SiteDB6[[Site Name]:[CCCM Management]],6,FALSE)</f>
        <v>Yes</v>
      </c>
      <c r="DZ364" s="794" t="str">
        <f>VLOOKUP(WWWW[[#This Row],[Site Name]],SiteDB6[[Site Name]:[CCCM Focal Agency]],7,FALSE)</f>
        <v>KBC-MYT</v>
      </c>
      <c r="EA364" s="794" t="str">
        <f>VLOOKUP(WWWW[[#This Row],[Site Name]],SiteDB6[[Site Name]:[Location Type 1]],9,FALSE)</f>
        <v>Camp</v>
      </c>
      <c r="EB364" s="794" t="str">
        <f>VLOOKUP(WWWW[[#This Row],[Site Name]],SiteDB6[[Site Name]:[Type of Accommodation]],10,FALSE)</f>
        <v>Camp</v>
      </c>
      <c r="EC364" s="794" t="str">
        <f>VLOOKUP(WWWW[[#This Row],[Site Name]],SiteDB6[[Site Name]:[Ethnic or GCA/NGCA]],11,FALSE)</f>
        <v>GCA</v>
      </c>
      <c r="ED364" s="794">
        <f>VLOOKUP(WWWW[[#This Row],[Site Name]],SiteDB6[[Site Name]:[Lat]],12,FALSE)</f>
        <v>25.418084</v>
      </c>
      <c r="EE364" s="794">
        <f>VLOOKUP(WWWW[[#This Row],[Site Name]],SiteDB6[[Site Name]:[Long]],13,FALSE)</f>
        <v>98.025662999999994</v>
      </c>
      <c r="EF364" s="794" t="str">
        <f>VLOOKUP(WWWW[[#This Row],[Site Name]],SiteDB6[[Site Name]:[Pcode]],3,FALSE)</f>
        <v>MMR001CMP041</v>
      </c>
      <c r="EG364" s="799" t="str">
        <f t="shared" si="8"/>
        <v>Covered</v>
      </c>
      <c r="EH364" s="799" t="str">
        <f>VLOOKUP(WWWW[[#This Row],[Site Name]],Site_DB!$C$389:$D$1120,2,FALSE)</f>
        <v>cccm_2019OCT</v>
      </c>
    </row>
    <row r="365" spans="1:138" hidden="1">
      <c r="A365" s="792" t="s">
        <v>3262</v>
      </c>
      <c r="B365" s="792" t="s">
        <v>312</v>
      </c>
      <c r="C365" s="793" t="s">
        <v>312</v>
      </c>
      <c r="D365" s="793"/>
      <c r="E365" s="793" t="s">
        <v>39</v>
      </c>
      <c r="F365" s="793" t="s">
        <v>151</v>
      </c>
      <c r="G365" s="721" t="str">
        <f>VLOOKUP(WWWW[[#This Row],[Site Name]],SiteDB6[[Site Name]:[Location Type]],8,FALSE)</f>
        <v>Camp</v>
      </c>
      <c r="H365" s="793" t="s">
        <v>193</v>
      </c>
      <c r="I365" s="795">
        <v>10</v>
      </c>
      <c r="J365" s="795">
        <v>18</v>
      </c>
      <c r="K365" s="796"/>
      <c r="L365" s="797"/>
      <c r="M365" s="795"/>
      <c r="N365" s="795"/>
      <c r="O365" s="795"/>
      <c r="P365" s="795"/>
      <c r="Q365" s="798"/>
      <c r="R365" s="795"/>
      <c r="S365" s="795">
        <v>4</v>
      </c>
      <c r="T365" s="523"/>
      <c r="U365" s="795"/>
      <c r="V365" s="795"/>
      <c r="W365" s="795"/>
      <c r="X365" s="795"/>
      <c r="Y365" s="795"/>
      <c r="Z365" s="795"/>
      <c r="AA365" s="795"/>
      <c r="AB365" s="795"/>
      <c r="AC365" s="795"/>
      <c r="AD365" s="795"/>
      <c r="AE365" s="795"/>
      <c r="AF365" s="795"/>
      <c r="AG365" s="795"/>
      <c r="AH365" s="795"/>
      <c r="AI365" s="795"/>
      <c r="AJ365" s="795"/>
      <c r="AK365" s="795"/>
      <c r="AL365" s="795"/>
      <c r="AM365" s="795"/>
      <c r="AN365" s="795"/>
      <c r="AO365" s="799"/>
      <c r="AP365" s="795"/>
      <c r="AQ365" s="795"/>
      <c r="AR365" s="800"/>
      <c r="AS365" s="795"/>
      <c r="AT365" s="795"/>
      <c r="AU365" s="795"/>
      <c r="AV365" s="795"/>
      <c r="AW365" s="795"/>
      <c r="AX365" s="794"/>
      <c r="AY365" s="799"/>
      <c r="AZ365" s="795"/>
      <c r="BA365" s="795"/>
      <c r="BB365" s="795"/>
      <c r="BC365" s="523"/>
      <c r="BD365" s="523"/>
      <c r="BE365" s="794"/>
      <c r="BF365" s="795"/>
      <c r="BG365" s="795"/>
      <c r="BH365" s="795"/>
      <c r="BI365" s="795"/>
      <c r="BJ365" s="795"/>
      <c r="BK365" s="795"/>
      <c r="BL365" s="795"/>
      <c r="BM365" s="795"/>
      <c r="BN365" s="795"/>
      <c r="BO365" s="794"/>
      <c r="BP365" s="801"/>
      <c r="BQ365" s="800"/>
      <c r="BR365" s="794"/>
      <c r="BS365" s="472"/>
      <c r="BT365" s="472"/>
      <c r="BU365" s="720"/>
      <c r="BV365" s="472"/>
      <c r="BW365" s="523"/>
      <c r="BX365" s="523"/>
      <c r="BY365" s="523"/>
      <c r="BZ365" s="802" t="str">
        <f>IFERROR(WWWW[[#This Row],['#_Water sources passed]]/WWWW[[#This Row],['#_Water sources tested for fecal coliform ]],"no test")</f>
        <v>no test</v>
      </c>
      <c r="CA365" s="800" t="str">
        <f>IFERROR(WWWW[[#This Row],['#_Household passed]]/WWWW[[#This Row],['#_Household water samples tested for fecal coliform]],"no test")</f>
        <v>no test</v>
      </c>
      <c r="CB365" s="801" t="str">
        <f>IF(AND(WWWW[[#This Row],[% of water sources passed]]="no test",WWWW[[#This Row],[% Household passed]]="no test"),"No Test","Tested")</f>
        <v>No Test</v>
      </c>
      <c r="CC365" s="801">
        <f>WWWW[[#This Row],['#_Constructed/existing protected hand dug well]]-WWWW[[#This Row],['#_Non-functional protected hand dug well]]</f>
        <v>0</v>
      </c>
      <c r="CD365" s="801">
        <f>(WWWW[[#This Row],['#_Constructed/Existing tube wells/boreholes/handpumps_WASH_agency]]+WWWW[[#This Row],['#_Non-Cluster partner water tube-wells/boreholes/handpumps]])-WWWW[[#This Row],['#_Non-functional tube wells/boreholes/handpumps]]</f>
        <v>0</v>
      </c>
      <c r="CE365" s="801">
        <f>WWWW[[#This Row],['#_Constructed/Existingwater storage tank with gravity fed reticulation system]]-WWWW[[#This Row],['#_Non-functional storage tank gravity fed reticulation system]]</f>
        <v>0</v>
      </c>
      <c r="CF365" s="801">
        <f>(WWWW[[#This Row],['#_Water_Liters_supplied_by_Water boating or water trucking]]/90)/15</f>
        <v>0</v>
      </c>
      <c r="CG365" s="801">
        <f>WWWW[[#This Row],['#_Water_Liters_from_Constructed/Existing water distribution system from river or natural spring]]/90/15</f>
        <v>0</v>
      </c>
      <c r="CH365" s="473">
        <f>WWWW[[#This Row],['#_of water points in TLS/CFS /THF]]*500</f>
        <v>0</v>
      </c>
      <c r="CI36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6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65" s="800">
        <f>IF(WWWW[[#This Row],[Location Type 1]]="Village",WWWW[[#This Row],[Access to safe drinking water for Village]],WWWW[[#This Row],[Access to safe drinking water for Camp]])</f>
        <v>0</v>
      </c>
      <c r="CL365" s="798">
        <f>WWWW[[#This Row],[%Equitable and continuous access to sufficient quantity of safe drinking water]]*WWWW[[#This Row],[Total PoP ]]</f>
        <v>0</v>
      </c>
      <c r="CM365" s="800">
        <f>IF((WWWW[[#This Row],['#_Constructed/Existing protected/fenced ponds]]*250)/WWWW[[#This Row],[Total PoP ]]&gt;1,1,(WWWW[[#This Row],['#_Constructed/Existing protected/fenced ponds]]*250)/WWWW[[#This Row],[Total PoP ]])</f>
        <v>0</v>
      </c>
      <c r="CN365" s="798">
        <f>WWWW[[#This Row],[% Access to unimproved water points]]*WWWW[[#This Row],[Total PoP ]]</f>
        <v>0</v>
      </c>
      <c r="CO36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6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65" s="798">
        <f>WWWW[[#This Row],[HRP1]]/500</f>
        <v>0</v>
      </c>
      <c r="CR365" s="803">
        <f>1-WWWW[[#This Row],[% Equitable and continuous access to sufficient quantity of domestic water]]</f>
        <v>1</v>
      </c>
      <c r="CS365" s="798">
        <f>WWWW[[#This Row],[%equitable and continuous access to sufficient quantity of safe drinking and domestic water''s GAP]]*WWWW[[#This Row],[Total PoP ]]</f>
        <v>18</v>
      </c>
      <c r="CT365" s="801">
        <f>IF(WWWW[[#This Row],[Total required water points]]-WWWW[[#This Row],['#Water points coverage]]&lt;0,0,WWWW[[#This Row],[Total required water points]]-WWWW[[#This Row],['#Water points coverage]])</f>
        <v>1</v>
      </c>
      <c r="CU365" s="801">
        <f>ROUND(IF(WWWW[[#This Row],[Total PoP ]]&lt;500,1,WWWW[[#This Row],[Total PoP ]]/500),0)</f>
        <v>1</v>
      </c>
      <c r="CV365" s="801">
        <f>(WWWW[[#This Row],['#_Constructed latrines_by_WASHAgencies]]+WWWW[[#This Row],['#_Non Cluster partner latrines]])-WWWW[[#This Row],['#_Non-functional latrines]]</f>
        <v>0</v>
      </c>
      <c r="CW365" s="804">
        <f>WWWW[[#This Row],[HRP2]]/WWWW[[#This Row],[Total PoP ]]</f>
        <v>0</v>
      </c>
      <c r="CX36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6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5" s="473">
        <f>IF(WWWW[[#This Row],['# of functional latrines in THF supported by WASH partners during the reporting period2]]="",0,WWWW[[#This Row],['# of functional latrines in THF supported by WASH partners during the reporting period2]]*50)</f>
        <v>0</v>
      </c>
      <c r="DB365" s="473">
        <f>WWWW[[#This Row],['# students access to functioning school latrines_HRP5]]+WWWW[[#This Row],['# People access to functioning latrines in THF_HRP5]]</f>
        <v>0</v>
      </c>
      <c r="DC365" s="801">
        <f>ROUND(IF(WWWW[[#This Row],[Location Type 1]]="camp",WWWW[[#This Row],[Total PoP ]]/20,IF(WWWW[[#This Row],[Location Type 1]]="Temporary Location",WWWW[[#This Row],[Total PoP ]]/50,(WWWW[[#This Row],[Total PoP ]]/6))),0)</f>
        <v>1</v>
      </c>
      <c r="DD365" s="801">
        <f>IF(WWWW[[#This Row],[Total required Latrines]]-(WWWW[[#This Row],['#_Constructed latrines_by_WASHAgencies]]+WWWW[[#This Row],['#_Non Cluster partner latrines]])&lt;0,0,WWWW[[#This Row],[Total required Latrines]]-(WWWW[[#This Row],['#_Constructed latrines_by_WASHAgencies]]+WWWW[[#This Row],['#_Non Cluster partner latrines]]))</f>
        <v>1</v>
      </c>
      <c r="DE365" s="803">
        <f>1-WWWW[[#This Row],[% people access to functioning Latrine]]</f>
        <v>1</v>
      </c>
      <c r="DF365" s="802">
        <f>IF(OR(WWWW[[#This Row],['#_Non-functional latrines]]="",WWWW[[#This Row],['#_Non-functional latrines]]=0),0,WWWW[[#This Row],['#_Non-functional latrines]]/(WWWW[[#This Row],['#_Constructed latrines_by_WASHAgencies]]+WWWW[[#This Row],['#_Non Cluster partner latrines]]))</f>
        <v>0</v>
      </c>
      <c r="DG365" s="798">
        <f>IF(500*(WWWW[[#This Row],['#_male hygiene promoters]]+WWWW[[#This Row],['#_female hygiene promoters]])&gt;WWWW[[#This Row],[Total PoP ]],WWWW[[#This Row],[Total PoP ]],500*(WWWW[[#This Row],['#_male hygiene promoters]]+WWWW[[#This Row],['#_female hygiene promoters]]))</f>
        <v>0</v>
      </c>
      <c r="DH36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5" s="801">
        <f>IF(WWWW[[#This Row],['# People with access to soap]]&gt;WWWW[[#This Row],['# People with access to Sanity Pads]],WWWW[[#This Row],['# People with access to soap]],WWWW[[#This Row],['# People with access to Sanity Pads]])</f>
        <v>0</v>
      </c>
      <c r="DK365"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65" s="803">
        <f>IF(WWWW[[#This Row],[HRP3]]/WWWW[[#This Row],[Total PoP ]]&gt;1,1,WWWW[[#This Row],[HRP3]]/WWWW[[#This Row],[Total PoP ]])</f>
        <v>0</v>
      </c>
      <c r="DM365" s="802">
        <f>1-WWWW[[#This Row],[Hygiene Coverage%]]</f>
        <v>1</v>
      </c>
      <c r="DN365" s="800">
        <f>WWWW[[#This Row],['# people reached by regular dedicated hygiene promotion_5]]/WWWW[[#This Row],[Total PoP ]]</f>
        <v>0</v>
      </c>
      <c r="DO36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5" s="801">
        <f>WWWW[[#This Row],['#_Constructed/Existing hand washing stations]]-WWWW[[#This Row],['#_Non-Functional_hand_washing_stations]]</f>
        <v>0</v>
      </c>
      <c r="DR365" s="798">
        <f>IF(WWWW[[#This Row],['# Functional hand washing stations during reporting period]]*20&gt;WWWW[[#This Row],[Total HH]],WWWW[[#This Row],[Total HH]],WWWW[[#This Row],['# Functional hand washing stations during reporting period]]*20)</f>
        <v>0</v>
      </c>
      <c r="DS365" s="798">
        <f>IF(WWWW[[#This Row],[Is sufficient soap available for TLS? (Yes/No)]]="yes",WWWW[[#This Row],['#_Constructed/Existing hand washing stations at TLS]],0)</f>
        <v>0</v>
      </c>
      <c r="DT365" s="479">
        <f>IF(WWWW[[#This Row],['# Functional hand washing stations during reporting period]]*100&gt;WWWW[[#This Row],[Total PoP ]],WWWW[[#This Row],[Total PoP ]],WWWW[[#This Row],['# Functional hand washing stations during reporting period]]*100)</f>
        <v>0</v>
      </c>
      <c r="DU365" s="479" t="str">
        <f>IF(OR(WWWW[[#This Row],['#_students at TLS_CFS]]="",WWWW[[#This Row],['#_students at TLS_CFS]]=0),"No","Yes")</f>
        <v>No</v>
      </c>
      <c r="DV36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5" s="794" t="str">
        <f>VLOOKUP(WWWW[[#This Row],[Site Name]],SiteDB6[[Site Name]:[CCCM Management]],6,FALSE)</f>
        <v>Yes</v>
      </c>
      <c r="DZ365" s="794" t="str">
        <f>VLOOKUP(WWWW[[#This Row],[Site Name]],SiteDB6[[Site Name]:[CCCM Focal Agency]],7,FALSE)</f>
        <v>KMSS-MYT</v>
      </c>
      <c r="EA365" s="794" t="str">
        <f>VLOOKUP(WWWW[[#This Row],[Site Name]],SiteDB6[[Site Name]:[Location Type 1]],9,FALSE)</f>
        <v>Camp</v>
      </c>
      <c r="EB365" s="794" t="str">
        <f>VLOOKUP(WWWW[[#This Row],[Site Name]],SiteDB6[[Site Name]:[Type of Accommodation]],10,FALSE)</f>
        <v>Camp</v>
      </c>
      <c r="EC365" s="794" t="str">
        <f>VLOOKUP(WWWW[[#This Row],[Site Name]],SiteDB6[[Site Name]:[Ethnic or GCA/NGCA]],11,FALSE)</f>
        <v>GCA</v>
      </c>
      <c r="ED365" s="794">
        <f>VLOOKUP(WWWW[[#This Row],[Site Name]],SiteDB6[[Site Name]:[Lat]],12,FALSE)</f>
        <v>25.920006000000001</v>
      </c>
      <c r="EE365" s="794">
        <f>VLOOKUP(WWWW[[#This Row],[Site Name]],SiteDB6[[Site Name]:[Long]],13,FALSE)</f>
        <v>96.662092000000001</v>
      </c>
      <c r="EF365" s="794" t="str">
        <f>VLOOKUP(WWWW[[#This Row],[Site Name]],SiteDB6[[Site Name]:[Pcode]],3,FALSE)</f>
        <v>MMR001CMP247</v>
      </c>
      <c r="EG365" s="799" t="str">
        <f t="shared" si="8"/>
        <v>Notcovered</v>
      </c>
      <c r="EH365" s="799" t="str">
        <f>VLOOKUP(WWWW[[#This Row],[Site Name]],Site_DB!$C$389:$D$1120,2,FALSE)</f>
        <v>cccm_2019OCT</v>
      </c>
    </row>
    <row r="366" spans="1:138" hidden="1">
      <c r="A366" s="792" t="s">
        <v>3262</v>
      </c>
      <c r="B366" s="792" t="s">
        <v>245</v>
      </c>
      <c r="C366" s="793" t="s">
        <v>245</v>
      </c>
      <c r="D366" s="793" t="s">
        <v>310</v>
      </c>
      <c r="E366" s="793" t="s">
        <v>39</v>
      </c>
      <c r="F366" s="793" t="s">
        <v>151</v>
      </c>
      <c r="G366" s="721" t="str">
        <f>VLOOKUP(WWWW[[#This Row],[Site Name]],SiteDB6[[Site Name]:[Location Type]],8,FALSE)</f>
        <v>Camp</v>
      </c>
      <c r="H366" s="404" t="s">
        <v>261</v>
      </c>
      <c r="I366" s="795">
        <v>11</v>
      </c>
      <c r="J366" s="795">
        <v>42</v>
      </c>
      <c r="K366" s="796">
        <v>43313</v>
      </c>
      <c r="L366" s="797">
        <v>44043</v>
      </c>
      <c r="M366" s="795"/>
      <c r="N366" s="795">
        <v>1</v>
      </c>
      <c r="O366" s="795"/>
      <c r="P366" s="795"/>
      <c r="Q366" s="798" t="s">
        <v>43</v>
      </c>
      <c r="R366" s="795">
        <v>4</v>
      </c>
      <c r="S366" s="795">
        <v>2</v>
      </c>
      <c r="T366" s="523">
        <v>1</v>
      </c>
      <c r="U366" s="795"/>
      <c r="V366" s="795"/>
      <c r="W366" s="795">
        <v>0</v>
      </c>
      <c r="X366" s="795">
        <v>0</v>
      </c>
      <c r="Y366" s="795"/>
      <c r="Z366" s="795"/>
      <c r="AA366" s="795">
        <v>2</v>
      </c>
      <c r="AB366" s="795"/>
      <c r="AC366" s="795"/>
      <c r="AD366" s="795">
        <v>0</v>
      </c>
      <c r="AE366" s="795">
        <v>0</v>
      </c>
      <c r="AF366" s="795"/>
      <c r="AG366" s="795">
        <v>0</v>
      </c>
      <c r="AH366" s="795">
        <v>1</v>
      </c>
      <c r="AI366" s="795"/>
      <c r="AJ366" s="795"/>
      <c r="AK366" s="795"/>
      <c r="AL366" s="795"/>
      <c r="AM366" s="795">
        <v>0</v>
      </c>
      <c r="AN366" s="795">
        <v>0</v>
      </c>
      <c r="AO366" s="799"/>
      <c r="AP366" s="795">
        <v>3</v>
      </c>
      <c r="AQ366" s="795">
        <v>0</v>
      </c>
      <c r="AR366" s="800" t="s">
        <v>245</v>
      </c>
      <c r="AS366" s="795"/>
      <c r="AT366" s="795"/>
      <c r="AU366" s="795"/>
      <c r="AV366" s="795"/>
      <c r="AW366" s="795">
        <v>0</v>
      </c>
      <c r="AX366" s="794" t="s">
        <v>43</v>
      </c>
      <c r="AY366" s="799" t="s">
        <v>139</v>
      </c>
      <c r="AZ366" s="795">
        <v>0</v>
      </c>
      <c r="BA366" s="795">
        <v>0</v>
      </c>
      <c r="BB366" s="795">
        <v>0</v>
      </c>
      <c r="BC366" s="523"/>
      <c r="BD366" s="523"/>
      <c r="BE366" s="794"/>
      <c r="BF366" s="795">
        <v>0</v>
      </c>
      <c r="BG366" s="795"/>
      <c r="BH366" s="795">
        <v>0</v>
      </c>
      <c r="BI366" s="795">
        <v>2</v>
      </c>
      <c r="BJ366" s="795"/>
      <c r="BK366" s="795">
        <v>4</v>
      </c>
      <c r="BL366" s="795">
        <v>2</v>
      </c>
      <c r="BM366" s="795"/>
      <c r="BN366" s="795"/>
      <c r="BO366" s="794"/>
      <c r="BP366" s="801"/>
      <c r="BQ366" s="800"/>
      <c r="BR366" s="794"/>
      <c r="BS366" s="472"/>
      <c r="BT366" s="472"/>
      <c r="BU366" s="720"/>
      <c r="BV366" s="472"/>
      <c r="BW366" s="523"/>
      <c r="BX366" s="523"/>
      <c r="BY366" s="523"/>
      <c r="BZ366" s="802" t="str">
        <f>IFERROR(WWWW[[#This Row],['#_Water sources passed]]/WWWW[[#This Row],['#_Water sources tested for fecal coliform ]],"no test")</f>
        <v>no test</v>
      </c>
      <c r="CA366" s="800" t="str">
        <f>IFERROR(WWWW[[#This Row],['#_Household passed]]/WWWW[[#This Row],['#_Household water samples tested for fecal coliform]],"no test")</f>
        <v>no test</v>
      </c>
      <c r="CB366" s="801" t="str">
        <f>IF(AND(WWWW[[#This Row],[% of water sources passed]]="no test",WWWW[[#This Row],[% Household passed]]="no test"),"No Test","Tested")</f>
        <v>No Test</v>
      </c>
      <c r="CC366" s="801">
        <f>WWWW[[#This Row],['#_Constructed/existing protected hand dug well]]-WWWW[[#This Row],['#_Non-functional protected hand dug well]]</f>
        <v>1</v>
      </c>
      <c r="CD366" s="801">
        <f>(WWWW[[#This Row],['#_Constructed/Existing tube wells/boreholes/handpumps_WASH_agency]]+WWWW[[#This Row],['#_Non-Cluster partner water tube-wells/boreholes/handpumps]])-WWWW[[#This Row],['#_Non-functional tube wells/boreholes/handpumps]]</f>
        <v>0</v>
      </c>
      <c r="CE366" s="801">
        <f>WWWW[[#This Row],['#_Constructed/Existingwater storage tank with gravity fed reticulation system]]-WWWW[[#This Row],['#_Non-functional storage tank gravity fed reticulation system]]</f>
        <v>2</v>
      </c>
      <c r="CF366" s="801">
        <f>(WWWW[[#This Row],['#_Water_Liters_supplied_by_Water boating or water trucking]]/90)/15</f>
        <v>0</v>
      </c>
      <c r="CG366" s="801">
        <f>WWWW[[#This Row],['#_Water_Liters_from_Constructed/Existing water distribution system from river or natural spring]]/90/15</f>
        <v>0</v>
      </c>
      <c r="CH366" s="473">
        <f>WWWW[[#This Row],['#_of water points in TLS/CFS /THF]]*500</f>
        <v>0</v>
      </c>
      <c r="CI36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6" s="800">
        <f>IF(WWWW[[#This Row],[Location Type 1]]="Village",WWWW[[#This Row],[Access to safe drinking water for Village]],WWWW[[#This Row],[Access to safe drinking water for Camp]])</f>
        <v>1</v>
      </c>
      <c r="CL366" s="798">
        <f>WWWW[[#This Row],[%Equitable and continuous access to sufficient quantity of safe drinking water]]*WWWW[[#This Row],[Total PoP ]]</f>
        <v>42</v>
      </c>
      <c r="CM366" s="800">
        <f>IF((WWWW[[#This Row],['#_Constructed/Existing protected/fenced ponds]]*250)/WWWW[[#This Row],[Total PoP ]]&gt;1,1,(WWWW[[#This Row],['#_Constructed/Existing protected/fenced ponds]]*250)/WWWW[[#This Row],[Total PoP ]])</f>
        <v>0</v>
      </c>
      <c r="CN366" s="798">
        <f>WWWW[[#This Row],[% Access to unimproved water points]]*WWWW[[#This Row],[Total PoP ]]</f>
        <v>0</v>
      </c>
      <c r="CO36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Q366" s="798">
        <f>WWWW[[#This Row],[HRP1]]/500</f>
        <v>8.4000000000000005E-2</v>
      </c>
      <c r="CR366" s="803">
        <f>1-WWWW[[#This Row],[% Equitable and continuous access to sufficient quantity of domestic water]]</f>
        <v>0</v>
      </c>
      <c r="CS366" s="798">
        <f>WWWW[[#This Row],[%equitable and continuous access to sufficient quantity of safe drinking and domestic water''s GAP]]*WWWW[[#This Row],[Total PoP ]]</f>
        <v>0</v>
      </c>
      <c r="CT366" s="801">
        <f>IF(WWWW[[#This Row],[Total required water points]]-WWWW[[#This Row],['#Water points coverage]]&lt;0,0,WWWW[[#This Row],[Total required water points]]-WWWW[[#This Row],['#Water points coverage]])</f>
        <v>0.91600000000000004</v>
      </c>
      <c r="CU366" s="801">
        <f>ROUND(IF(WWWW[[#This Row],[Total PoP ]]&lt;500,1,WWWW[[#This Row],[Total PoP ]]/500),0)</f>
        <v>1</v>
      </c>
      <c r="CV366" s="801">
        <f>(WWWW[[#This Row],['#_Constructed latrines_by_WASHAgencies]]+WWWW[[#This Row],['#_Non Cluster partner latrines]])-WWWW[[#This Row],['#_Non-functional latrines]]</f>
        <v>3</v>
      </c>
      <c r="CW366" s="804">
        <f>WWWW[[#This Row],[HRP2]]/WWWW[[#This Row],[Total PoP ]]</f>
        <v>1</v>
      </c>
      <c r="CX36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v>
      </c>
      <c r="CY36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6" s="473">
        <f>IF(WWWW[[#This Row],['# of functional latrines in THF supported by WASH partners during the reporting period2]]="",0,WWWW[[#This Row],['# of functional latrines in THF supported by WASH partners during the reporting period2]]*50)</f>
        <v>0</v>
      </c>
      <c r="DB366" s="473">
        <f>WWWW[[#This Row],['# students access to functioning school latrines_HRP5]]+WWWW[[#This Row],['# People access to functioning latrines in THF_HRP5]]</f>
        <v>0</v>
      </c>
      <c r="DC366" s="801">
        <f>ROUND(IF(WWWW[[#This Row],[Location Type 1]]="camp",WWWW[[#This Row],[Total PoP ]]/20,IF(WWWW[[#This Row],[Location Type 1]]="Temporary Location",WWWW[[#This Row],[Total PoP ]]/50,(WWWW[[#This Row],[Total PoP ]]/6))),0)</f>
        <v>2</v>
      </c>
      <c r="DD366" s="801">
        <f>IF(WWWW[[#This Row],[Total required Latrines]]-(WWWW[[#This Row],['#_Constructed latrines_by_WASHAgencies]]+WWWW[[#This Row],['#_Non Cluster partner latrines]])&lt;0,0,WWWW[[#This Row],[Total required Latrines]]-(WWWW[[#This Row],['#_Constructed latrines_by_WASHAgencies]]+WWWW[[#This Row],['#_Non Cluster partner latrines]]))</f>
        <v>0</v>
      </c>
      <c r="DE366" s="803">
        <f>1-WWWW[[#This Row],[% people access to functioning Latrine]]</f>
        <v>0</v>
      </c>
      <c r="DF366" s="802">
        <f>IF(OR(WWWW[[#This Row],['#_Non-functional latrines]]="",WWWW[[#This Row],['#_Non-functional latrines]]=0),0,WWWW[[#This Row],['#_Non-functional latrines]]/(WWWW[[#This Row],['#_Constructed latrines_by_WASHAgencies]]+WWWW[[#This Row],['#_Non Cluster partner latrines]]))</f>
        <v>0</v>
      </c>
      <c r="DG366" s="798">
        <f>IF(500*(WWWW[[#This Row],['#_male hygiene promoters]]+WWWW[[#This Row],['#_female hygiene promoters]])&gt;WWWW[[#This Row],[Total PoP ]],WWWW[[#This Row],[Total PoP ]],500*(WWWW[[#This Row],['#_male hygiene promoters]]+WWWW[[#This Row],['#_female hygiene promoters]]))</f>
        <v>42</v>
      </c>
      <c r="DH36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6" s="801">
        <f>IF(WWWW[[#This Row],['# People with access to soap]]&gt;WWWW[[#This Row],['# People with access to Sanity Pads]],WWWW[[#This Row],['# People with access to soap]],WWWW[[#This Row],['# People with access to Sanity Pads]])</f>
        <v>0</v>
      </c>
      <c r="DK366" s="801">
        <f>IF(WWWW[[#This Row],['# people reached by regular dedicated hygiene promotion_5]]&gt;WWWW[[#This Row],['# People received regular supply of hygiene items_6]],WWWW[[#This Row],['# people reached by regular dedicated hygiene promotion_5]],WWWW[[#This Row],['# People received regular supply of hygiene items_6]])</f>
        <v>42</v>
      </c>
      <c r="DL366" s="803">
        <f>IF(WWWW[[#This Row],[HRP3]]/WWWW[[#This Row],[Total PoP ]]&gt;1,1,WWWW[[#This Row],[HRP3]]/WWWW[[#This Row],[Total PoP ]])</f>
        <v>1</v>
      </c>
      <c r="DM366" s="802">
        <f>1-WWWW[[#This Row],[Hygiene Coverage%]]</f>
        <v>0</v>
      </c>
      <c r="DN366" s="800">
        <f>WWWW[[#This Row],['# people reached by regular dedicated hygiene promotion_5]]/WWWW[[#This Row],[Total PoP ]]</f>
        <v>1</v>
      </c>
      <c r="DO36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6" s="801">
        <f>WWWW[[#This Row],['#_Constructed/Existing hand washing stations]]-WWWW[[#This Row],['#_Non-Functional_hand_washing_stations]]</f>
        <v>0</v>
      </c>
      <c r="DR366" s="798">
        <f>IF(WWWW[[#This Row],['# Functional hand washing stations during reporting period]]*20&gt;WWWW[[#This Row],[Total HH]],WWWW[[#This Row],[Total HH]],WWWW[[#This Row],['# Functional hand washing stations during reporting period]]*20)</f>
        <v>0</v>
      </c>
      <c r="DS366" s="798">
        <f>IF(WWWW[[#This Row],[Is sufficient soap available for TLS? (Yes/No)]]="yes",WWWW[[#This Row],['#_Constructed/Existing hand washing stations at TLS]],0)</f>
        <v>0</v>
      </c>
      <c r="DT366" s="479">
        <f>IF(WWWW[[#This Row],['# Functional hand washing stations during reporting period]]*100&gt;WWWW[[#This Row],[Total PoP ]],WWWW[[#This Row],[Total PoP ]],WWWW[[#This Row],['# Functional hand washing stations during reporting period]]*100)</f>
        <v>0</v>
      </c>
      <c r="DU366" s="479" t="str">
        <f>IF(OR(WWWW[[#This Row],['#_students at TLS_CFS]]="",WWWW[[#This Row],['#_students at TLS_CFS]]=0),"No","Yes")</f>
        <v>No</v>
      </c>
      <c r="DV36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6" s="794" t="str">
        <f>VLOOKUP(WWWW[[#This Row],[Site Name]],SiteDB6[[Site Name]:[CCCM Management]],6,FALSE)</f>
        <v>Yes</v>
      </c>
      <c r="DZ366" s="794" t="str">
        <f>VLOOKUP(WWWW[[#This Row],[Site Name]],SiteDB6[[Site Name]:[CCCM Focal Agency]],7,FALSE)</f>
        <v>Shalom</v>
      </c>
      <c r="EA366" s="794" t="str">
        <f>VLOOKUP(WWWW[[#This Row],[Site Name]],SiteDB6[[Site Name]:[Location Type 1]],9,FALSE)</f>
        <v>Camp</v>
      </c>
      <c r="EB366" s="794" t="str">
        <f>VLOOKUP(WWWW[[#This Row],[Site Name]],SiteDB6[[Site Name]:[Type of Accommodation]],10,FALSE)</f>
        <v>Camp like setting</v>
      </c>
      <c r="EC366" s="794" t="str">
        <f>VLOOKUP(WWWW[[#This Row],[Site Name]],SiteDB6[[Site Name]:[Ethnic or GCA/NGCA]],11,FALSE)</f>
        <v>GCA</v>
      </c>
      <c r="ED366" s="794">
        <f>VLOOKUP(WWWW[[#This Row],[Site Name]],SiteDB6[[Site Name]:[Lat]],12,FALSE)</f>
        <v>25.617998</v>
      </c>
      <c r="EE366" s="794">
        <f>VLOOKUP(WWWW[[#This Row],[Site Name]],SiteDB6[[Site Name]:[Long]],13,FALSE)</f>
        <v>96.339590000000001</v>
      </c>
      <c r="EF366" s="794" t="str">
        <f>VLOOKUP(WWWW[[#This Row],[Site Name]],SiteDB6[[Site Name]:[Pcode]],3,FALSE)</f>
        <v>MMR001CMP192</v>
      </c>
      <c r="EG366" s="799" t="str">
        <f t="shared" si="8"/>
        <v>Covered</v>
      </c>
      <c r="EH366" s="799" t="str">
        <f>VLOOKUP(WWWW[[#This Row],[Site Name]],Site_DB!$C$389:$D$1120,2,FALSE)</f>
        <v>cccm_2019OCT</v>
      </c>
    </row>
    <row r="367" spans="1:138" hidden="1">
      <c r="A367" s="792" t="s">
        <v>3262</v>
      </c>
      <c r="B367" s="792" t="s">
        <v>38</v>
      </c>
      <c r="C367" s="793" t="s">
        <v>38</v>
      </c>
      <c r="D367" s="793" t="s">
        <v>3372</v>
      </c>
      <c r="E367" s="793" t="s">
        <v>39</v>
      </c>
      <c r="F367" s="793" t="s">
        <v>151</v>
      </c>
      <c r="G367" s="721" t="str">
        <f>VLOOKUP(WWWW[[#This Row],[Site Name]],SiteDB6[[Site Name]:[Location Type]],8,FALSE)</f>
        <v>Camp</v>
      </c>
      <c r="H367" s="793" t="s">
        <v>234</v>
      </c>
      <c r="I367" s="523">
        <v>50</v>
      </c>
      <c r="J367" s="523">
        <v>218</v>
      </c>
      <c r="K367" s="407" t="s">
        <v>3619</v>
      </c>
      <c r="L367" s="56" t="s">
        <v>3620</v>
      </c>
      <c r="M367" s="523">
        <v>32</v>
      </c>
      <c r="N367" s="795"/>
      <c r="O367" s="795"/>
      <c r="P367" s="795"/>
      <c r="Q367" s="798" t="s">
        <v>43</v>
      </c>
      <c r="R367" s="795"/>
      <c r="S367" s="795"/>
      <c r="T367" s="523">
        <v>1</v>
      </c>
      <c r="U367" s="795"/>
      <c r="V367" s="795"/>
      <c r="W367" s="795"/>
      <c r="X367" s="795"/>
      <c r="Y367" s="795"/>
      <c r="Z367" s="795"/>
      <c r="AA367" s="795"/>
      <c r="AB367" s="795"/>
      <c r="AC367" s="795"/>
      <c r="AD367" s="795"/>
      <c r="AE367" s="795"/>
      <c r="AF367" s="795"/>
      <c r="AG367" s="795"/>
      <c r="AH367" s="795"/>
      <c r="AI367" s="795"/>
      <c r="AJ367" s="795"/>
      <c r="AK367" s="795"/>
      <c r="AL367" s="795"/>
      <c r="AM367" s="795"/>
      <c r="AN367" s="795"/>
      <c r="AO367" s="799"/>
      <c r="AP367" s="795">
        <v>16</v>
      </c>
      <c r="AQ367" s="795"/>
      <c r="AR367" s="800"/>
      <c r="AS367" s="795"/>
      <c r="AT367" s="795"/>
      <c r="AU367" s="795"/>
      <c r="AV367" s="795"/>
      <c r="AW367" s="795"/>
      <c r="AX367" s="794" t="s">
        <v>43</v>
      </c>
      <c r="AY367" s="799" t="s">
        <v>140</v>
      </c>
      <c r="AZ367" s="795">
        <v>1</v>
      </c>
      <c r="BA367" s="795"/>
      <c r="BB367" s="795"/>
      <c r="BC367" s="523"/>
      <c r="BD367" s="523"/>
      <c r="BE367" s="794"/>
      <c r="BF367" s="795"/>
      <c r="BG367" s="795"/>
      <c r="BH367" s="795"/>
      <c r="BI367" s="795">
        <v>2</v>
      </c>
      <c r="BJ367" s="795"/>
      <c r="BK367" s="795">
        <v>2</v>
      </c>
      <c r="BL367" s="795"/>
      <c r="BM367" s="795"/>
      <c r="BN367" s="795"/>
      <c r="BO367" s="794"/>
      <c r="BP367" s="801"/>
      <c r="BQ367" s="800"/>
      <c r="BR367" s="794"/>
      <c r="BS367" s="472"/>
      <c r="BT367" s="472"/>
      <c r="BU367" s="523"/>
      <c r="BV367" s="472"/>
      <c r="BW367" s="523"/>
      <c r="BX367" s="523"/>
      <c r="BY367" s="523"/>
      <c r="BZ367" s="802" t="str">
        <f>IFERROR(WWWW[[#This Row],['#_Water sources passed]]/WWWW[[#This Row],['#_Water sources tested for fecal coliform ]],"no test")</f>
        <v>no test</v>
      </c>
      <c r="CA367" s="800" t="str">
        <f>IFERROR(WWWW[[#This Row],['#_Household passed]]/WWWW[[#This Row],['#_Household water samples tested for fecal coliform]],"no test")</f>
        <v>no test</v>
      </c>
      <c r="CB367" s="801" t="str">
        <f>IF(AND(WWWW[[#This Row],[% of water sources passed]]="no test",WWWW[[#This Row],[% Household passed]]="no test"),"No Test","Tested")</f>
        <v>No Test</v>
      </c>
      <c r="CC367" s="801">
        <f>WWWW[[#This Row],['#_Constructed/existing protected hand dug well]]-WWWW[[#This Row],['#_Non-functional protected hand dug well]]</f>
        <v>1</v>
      </c>
      <c r="CD367" s="801">
        <f>(WWWW[[#This Row],['#_Constructed/Existing tube wells/boreholes/handpumps_WASH_agency]]+WWWW[[#This Row],['#_Non-Cluster partner water tube-wells/boreholes/handpumps]])-WWWW[[#This Row],['#_Non-functional tube wells/boreholes/handpumps]]</f>
        <v>0</v>
      </c>
      <c r="CE367" s="801">
        <f>WWWW[[#This Row],['#_Constructed/Existingwater storage tank with gravity fed reticulation system]]-WWWW[[#This Row],['#_Non-functional storage tank gravity fed reticulation system]]</f>
        <v>0</v>
      </c>
      <c r="CF367" s="801">
        <f>(WWWW[[#This Row],['#_Water_Liters_supplied_by_Water boating or water trucking]]/90)/15</f>
        <v>0</v>
      </c>
      <c r="CG367" s="801">
        <f>WWWW[[#This Row],['#_Water_Liters_from_Constructed/Existing water distribution system from river or natural spring]]/90/15</f>
        <v>0</v>
      </c>
      <c r="CH367" s="473">
        <f>WWWW[[#This Row],['#_of water points in TLS/CFS /THF]]*500</f>
        <v>0</v>
      </c>
      <c r="CI36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7" s="800">
        <f>IF(WWWW[[#This Row],[Location Type 1]]="Village",WWWW[[#This Row],[Access to safe drinking water for Village]],WWWW[[#This Row],[Access to safe drinking water for Camp]])</f>
        <v>1</v>
      </c>
      <c r="CL367" s="798">
        <f>WWWW[[#This Row],[%Equitable and continuous access to sufficient quantity of safe drinking water]]*WWWW[[#This Row],[Total PoP ]]</f>
        <v>218</v>
      </c>
      <c r="CM367" s="800">
        <f>IF((WWWW[[#This Row],['#_Constructed/Existing protected/fenced ponds]]*250)/WWWW[[#This Row],[Total PoP ]]&gt;1,1,(WWWW[[#This Row],['#_Constructed/Existing protected/fenced ponds]]*250)/WWWW[[#This Row],[Total PoP ]])</f>
        <v>0</v>
      </c>
      <c r="CN367" s="798">
        <f>WWWW[[#This Row],[% Access to unimproved water points]]*WWWW[[#This Row],[Total PoP ]]</f>
        <v>0</v>
      </c>
      <c r="CO36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367" s="798">
        <f>WWWW[[#This Row],[HRP1]]/500</f>
        <v>0.436</v>
      </c>
      <c r="CR367" s="803">
        <f>1-WWWW[[#This Row],[% Equitable and continuous access to sufficient quantity of domestic water]]</f>
        <v>0</v>
      </c>
      <c r="CS367" s="798">
        <f>WWWW[[#This Row],[%equitable and continuous access to sufficient quantity of safe drinking and domestic water''s GAP]]*WWWW[[#This Row],[Total PoP ]]</f>
        <v>0</v>
      </c>
      <c r="CT367" s="801">
        <f>IF(WWWW[[#This Row],[Total required water points]]-WWWW[[#This Row],['#Water points coverage]]&lt;0,0,WWWW[[#This Row],[Total required water points]]-WWWW[[#This Row],['#Water points coverage]])</f>
        <v>0.56400000000000006</v>
      </c>
      <c r="CU367" s="801">
        <f>ROUND(IF(WWWW[[#This Row],[Total PoP ]]&lt;500,1,WWWW[[#This Row],[Total PoP ]]/500),0)</f>
        <v>1</v>
      </c>
      <c r="CV367" s="801">
        <f>(WWWW[[#This Row],['#_Constructed latrines_by_WASHAgencies]]+WWWW[[#This Row],['#_Non Cluster partner latrines]])-WWWW[[#This Row],['#_Non-functional latrines]]</f>
        <v>16</v>
      </c>
      <c r="CW367" s="804">
        <f>WWWW[[#This Row],[HRP2]]/WWWW[[#This Row],[Total PoP ]]</f>
        <v>1</v>
      </c>
      <c r="CX36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36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7" s="473">
        <f>IF(WWWW[[#This Row],['# of functional latrines in THF supported by WASH partners during the reporting period2]]="",0,WWWW[[#This Row],['# of functional latrines in THF supported by WASH partners during the reporting period2]]*50)</f>
        <v>0</v>
      </c>
      <c r="DB367" s="473">
        <f>WWWW[[#This Row],['# students access to functioning school latrines_HRP5]]+WWWW[[#This Row],['# People access to functioning latrines in THF_HRP5]]</f>
        <v>0</v>
      </c>
      <c r="DC367" s="801">
        <f>ROUND(IF(WWWW[[#This Row],[Location Type 1]]="camp",WWWW[[#This Row],[Total PoP ]]/20,IF(WWWW[[#This Row],[Location Type 1]]="Temporary Location",WWWW[[#This Row],[Total PoP ]]/50,(WWWW[[#This Row],[Total PoP ]]/6))),0)</f>
        <v>11</v>
      </c>
      <c r="DD367" s="801">
        <f>IF(WWWW[[#This Row],[Total required Latrines]]-(WWWW[[#This Row],['#_Constructed latrines_by_WASHAgencies]]+WWWW[[#This Row],['#_Non Cluster partner latrines]])&lt;0,0,WWWW[[#This Row],[Total required Latrines]]-(WWWW[[#This Row],['#_Constructed latrines_by_WASHAgencies]]+WWWW[[#This Row],['#_Non Cluster partner latrines]]))</f>
        <v>0</v>
      </c>
      <c r="DE367" s="803">
        <f>1-WWWW[[#This Row],[% people access to functioning Latrine]]</f>
        <v>0</v>
      </c>
      <c r="DF367" s="802">
        <f>IF(OR(WWWW[[#This Row],['#_Non-functional latrines]]="",WWWW[[#This Row],['#_Non-functional latrines]]=0),0,WWWW[[#This Row],['#_Non-functional latrines]]/(WWWW[[#This Row],['#_Constructed latrines_by_WASHAgencies]]+WWWW[[#This Row],['#_Non Cluster partner latrines]]))</f>
        <v>0</v>
      </c>
      <c r="DG367" s="798">
        <f>IF(500*(WWWW[[#This Row],['#_male hygiene promoters]]+WWWW[[#This Row],['#_female hygiene promoters]])&gt;WWWW[[#This Row],[Total PoP ]],WWWW[[#This Row],[Total PoP ]],500*(WWWW[[#This Row],['#_male hygiene promoters]]+WWWW[[#This Row],['#_female hygiene promoters]]))</f>
        <v>218</v>
      </c>
      <c r="DH36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7" s="801">
        <f>IF(WWWW[[#This Row],['# People with access to soap]]&gt;WWWW[[#This Row],['# People with access to Sanity Pads]],WWWW[[#This Row],['# People with access to soap]],WWWW[[#This Row],['# People with access to Sanity Pads]])</f>
        <v>0</v>
      </c>
      <c r="DK367" s="80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367" s="803">
        <f>IF(WWWW[[#This Row],[HRP3]]/WWWW[[#This Row],[Total PoP ]]&gt;1,1,WWWW[[#This Row],[HRP3]]/WWWW[[#This Row],[Total PoP ]])</f>
        <v>1</v>
      </c>
      <c r="DM367" s="802">
        <f>1-WWWW[[#This Row],[Hygiene Coverage%]]</f>
        <v>0</v>
      </c>
      <c r="DN367" s="800">
        <f>WWWW[[#This Row],['# people reached by regular dedicated hygiene promotion_5]]/WWWW[[#This Row],[Total PoP ]]</f>
        <v>1</v>
      </c>
      <c r="DO36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7" s="801">
        <f>WWWW[[#This Row],['#_Constructed/Existing hand washing stations]]-WWWW[[#This Row],['#_Non-Functional_hand_washing_stations]]</f>
        <v>0</v>
      </c>
      <c r="DR367" s="798">
        <f>IF(WWWW[[#This Row],['# Functional hand washing stations during reporting period]]*20&gt;WWWW[[#This Row],[Total HH]],WWWW[[#This Row],[Total HH]],WWWW[[#This Row],['# Functional hand washing stations during reporting period]]*20)</f>
        <v>0</v>
      </c>
      <c r="DS367" s="798">
        <f>IF(WWWW[[#This Row],[Is sufficient soap available for TLS? (Yes/No)]]="yes",WWWW[[#This Row],['#_Constructed/Existing hand washing stations at TLS]],0)</f>
        <v>0</v>
      </c>
      <c r="DT367" s="479">
        <f>IF(WWWW[[#This Row],['# Functional hand washing stations during reporting period]]*100&gt;WWWW[[#This Row],[Total PoP ]],WWWW[[#This Row],[Total PoP ]],WWWW[[#This Row],['# Functional hand washing stations during reporting period]]*100)</f>
        <v>0</v>
      </c>
      <c r="DU367" s="479" t="str">
        <f>IF(OR(WWWW[[#This Row],['#_students at TLS_CFS]]="",WWWW[[#This Row],['#_students at TLS_CFS]]=0),"No","Yes")</f>
        <v>Yes</v>
      </c>
      <c r="DV36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7" s="794" t="str">
        <f>VLOOKUP(WWWW[[#This Row],[Site Name]],SiteDB6[[Site Name]:[CCCM Management]],6,FALSE)</f>
        <v>Yes</v>
      </c>
      <c r="DZ367" s="794" t="str">
        <f>VLOOKUP(WWWW[[#This Row],[Site Name]],SiteDB6[[Site Name]:[CCCM Focal Agency]],7,FALSE)</f>
        <v>KMSS-MYT</v>
      </c>
      <c r="EA367" s="794" t="str">
        <f>VLOOKUP(WWWW[[#This Row],[Site Name]],SiteDB6[[Site Name]:[Location Type 1]],9,FALSE)</f>
        <v>Camp</v>
      </c>
      <c r="EB367" s="794" t="str">
        <f>VLOOKUP(WWWW[[#This Row],[Site Name]],SiteDB6[[Site Name]:[Type of Accommodation]],10,FALSE)</f>
        <v>Camp</v>
      </c>
      <c r="EC367" s="794" t="str">
        <f>VLOOKUP(WWWW[[#This Row],[Site Name]],SiteDB6[[Site Name]:[Ethnic or GCA/NGCA]],11,FALSE)</f>
        <v>GCA</v>
      </c>
      <c r="ED367" s="794">
        <f>VLOOKUP(WWWW[[#This Row],[Site Name]],SiteDB6[[Site Name]:[Lat]],12,FALSE)</f>
        <v>25.613894999999999</v>
      </c>
      <c r="EE367" s="794">
        <f>VLOOKUP(WWWW[[#This Row],[Site Name]],SiteDB6[[Site Name]:[Long]],13,FALSE)</f>
        <v>96.341352999999998</v>
      </c>
      <c r="EF367" s="794" t="str">
        <f>VLOOKUP(WWWW[[#This Row],[Site Name]],SiteDB6[[Site Name]:[Pcode]],3,FALSE)</f>
        <v>MMR001CMP103</v>
      </c>
      <c r="EG367" s="799" t="str">
        <f t="shared" ref="EG367:EG385" si="9">IF(C367="none","Notcovered","Covered")</f>
        <v>Covered</v>
      </c>
      <c r="EH367" s="799" t="str">
        <f>VLOOKUP(WWWW[[#This Row],[Site Name]],Site_DB!$C$389:$D$1120,2,FALSE)</f>
        <v>cccm_2019OCT</v>
      </c>
    </row>
    <row r="368" spans="1:138" hidden="1">
      <c r="A368" s="792" t="s">
        <v>3262</v>
      </c>
      <c r="B368" s="792" t="s">
        <v>245</v>
      </c>
      <c r="C368" s="793" t="s">
        <v>245</v>
      </c>
      <c r="D368" s="793" t="s">
        <v>310</v>
      </c>
      <c r="E368" s="793" t="s">
        <v>39</v>
      </c>
      <c r="F368" s="793" t="s">
        <v>149</v>
      </c>
      <c r="G368" s="721" t="str">
        <f>VLOOKUP(WWWW[[#This Row],[Site Name]],SiteDB6[[Site Name]:[Location Type]],8,FALSE)</f>
        <v>Camp</v>
      </c>
      <c r="H368" s="404" t="s">
        <v>250</v>
      </c>
      <c r="I368" s="720">
        <v>202</v>
      </c>
      <c r="J368" s="720">
        <v>895</v>
      </c>
      <c r="K368" s="407">
        <v>43313</v>
      </c>
      <c r="L368" s="56">
        <v>44043</v>
      </c>
      <c r="M368" s="795"/>
      <c r="N368" s="795">
        <v>1</v>
      </c>
      <c r="O368" s="795"/>
      <c r="P368" s="795"/>
      <c r="Q368" s="798" t="s">
        <v>43</v>
      </c>
      <c r="R368" s="795">
        <v>4</v>
      </c>
      <c r="S368" s="795">
        <v>2</v>
      </c>
      <c r="T368" s="523">
        <v>0</v>
      </c>
      <c r="U368" s="795"/>
      <c r="V368" s="795"/>
      <c r="W368" s="795">
        <v>0</v>
      </c>
      <c r="X368" s="795"/>
      <c r="Y368" s="795"/>
      <c r="Z368" s="795"/>
      <c r="AA368" s="795">
        <v>1</v>
      </c>
      <c r="AB368" s="795"/>
      <c r="AC368" s="795"/>
      <c r="AD368" s="795"/>
      <c r="AE368" s="795"/>
      <c r="AF368" s="795"/>
      <c r="AG368" s="795"/>
      <c r="AH368" s="795">
        <v>1</v>
      </c>
      <c r="AI368" s="795"/>
      <c r="AJ368" s="795"/>
      <c r="AK368" s="795"/>
      <c r="AL368" s="795"/>
      <c r="AM368" s="795"/>
      <c r="AN368" s="795"/>
      <c r="AO368" s="799"/>
      <c r="AP368" s="795">
        <v>50</v>
      </c>
      <c r="AQ368" s="795">
        <v>14</v>
      </c>
      <c r="AR368" s="800" t="s">
        <v>2914</v>
      </c>
      <c r="AS368" s="795"/>
      <c r="AT368" s="795"/>
      <c r="AU368" s="795"/>
      <c r="AV368" s="795"/>
      <c r="AW368" s="795">
        <v>0</v>
      </c>
      <c r="AX368" s="794" t="s">
        <v>139</v>
      </c>
      <c r="AY368" s="799" t="s">
        <v>1195</v>
      </c>
      <c r="AZ368" s="795">
        <v>0</v>
      </c>
      <c r="BA368" s="795">
        <v>0</v>
      </c>
      <c r="BB368" s="795">
        <v>0</v>
      </c>
      <c r="BC368" s="523"/>
      <c r="BD368" s="523"/>
      <c r="BE368" s="794"/>
      <c r="BF368" s="795">
        <v>14</v>
      </c>
      <c r="BG368" s="795"/>
      <c r="BH368" s="795">
        <v>0</v>
      </c>
      <c r="BI368" s="795">
        <v>14</v>
      </c>
      <c r="BJ368" s="795"/>
      <c r="BK368" s="795">
        <v>4</v>
      </c>
      <c r="BL368" s="795">
        <v>2</v>
      </c>
      <c r="BM368" s="795"/>
      <c r="BN368" s="720">
        <v>238</v>
      </c>
      <c r="BO368" s="806" t="s">
        <v>139</v>
      </c>
      <c r="BP368" s="801"/>
      <c r="BQ368" s="800"/>
      <c r="BR368" s="794"/>
      <c r="BS368" s="472"/>
      <c r="BT368" s="472"/>
      <c r="BU368" s="720"/>
      <c r="BV368" s="472"/>
      <c r="BW368" s="523"/>
      <c r="BX368" s="523"/>
      <c r="BY368" s="523"/>
      <c r="BZ368" s="802" t="str">
        <f>IFERROR(WWWW[[#This Row],['#_Water sources passed]]/WWWW[[#This Row],['#_Water sources tested for fecal coliform ]],"no test")</f>
        <v>no test</v>
      </c>
      <c r="CA368" s="800" t="str">
        <f>IFERROR(WWWW[[#This Row],['#_Household passed]]/WWWW[[#This Row],['#_Household water samples tested for fecal coliform]],"no test")</f>
        <v>no test</v>
      </c>
      <c r="CB368" s="801" t="str">
        <f>IF(AND(WWWW[[#This Row],[% of water sources passed]]="no test",WWWW[[#This Row],[% Household passed]]="no test"),"No Test","Tested")</f>
        <v>No Test</v>
      </c>
      <c r="CC368" s="801">
        <f>WWWW[[#This Row],['#_Constructed/existing protected hand dug well]]-WWWW[[#This Row],['#_Non-functional protected hand dug well]]</f>
        <v>0</v>
      </c>
      <c r="CD368" s="801">
        <f>(WWWW[[#This Row],['#_Constructed/Existing tube wells/boreholes/handpumps_WASH_agency]]+WWWW[[#This Row],['#_Non-Cluster partner water tube-wells/boreholes/handpumps]])-WWWW[[#This Row],['#_Non-functional tube wells/boreholes/handpumps]]</f>
        <v>0</v>
      </c>
      <c r="CE368" s="801">
        <f>WWWW[[#This Row],['#_Constructed/Existingwater storage tank with gravity fed reticulation system]]-WWWW[[#This Row],['#_Non-functional storage tank gravity fed reticulation system]]</f>
        <v>1</v>
      </c>
      <c r="CF368" s="801">
        <f>(WWWW[[#This Row],['#_Water_Liters_supplied_by_Water boating or water trucking]]/90)/15</f>
        <v>0</v>
      </c>
      <c r="CG368" s="801">
        <f>WWWW[[#This Row],['#_Water_Liters_from_Constructed/Existing water distribution system from river or natural spring]]/90/15</f>
        <v>0</v>
      </c>
      <c r="CH368" s="473">
        <f>WWWW[[#This Row],['#_of water points in TLS/CFS /THF]]*500</f>
        <v>0</v>
      </c>
      <c r="CI36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7.4487895716946001E-2</v>
      </c>
      <c r="CJ36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7.4487895716946001E-2</v>
      </c>
      <c r="CK368" s="800">
        <f>IF(WWWW[[#This Row],[Location Type 1]]="Village",WWWW[[#This Row],[Access to safe drinking water for Village]],WWWW[[#This Row],[Access to safe drinking water for Camp]])</f>
        <v>7.4487895716946001E-2</v>
      </c>
      <c r="CL368" s="798">
        <f>WWWW[[#This Row],[%Equitable and continuous access to sufficient quantity of safe drinking water]]*WWWW[[#This Row],[Total PoP ]]</f>
        <v>66.666666666666671</v>
      </c>
      <c r="CM368" s="800">
        <f>IF((WWWW[[#This Row],['#_Constructed/Existing protected/fenced ponds]]*250)/WWWW[[#This Row],[Total PoP ]]&gt;1,1,(WWWW[[#This Row],['#_Constructed/Existing protected/fenced ponds]]*250)/WWWW[[#This Row],[Total PoP ]])</f>
        <v>0</v>
      </c>
      <c r="CN368" s="798">
        <f>WWWW[[#This Row],[% Access to unimproved water points]]*WWWW[[#This Row],[Total PoP ]]</f>
        <v>0</v>
      </c>
      <c r="CO36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7.4487895716946001E-2</v>
      </c>
      <c r="CP36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68" s="798">
        <f>WWWW[[#This Row],[HRP1]]/500</f>
        <v>0.13333333333333333</v>
      </c>
      <c r="CR368" s="803">
        <f>1-WWWW[[#This Row],[% Equitable and continuous access to sufficient quantity of domestic water]]</f>
        <v>0.92551210428305397</v>
      </c>
      <c r="CS368" s="798">
        <f>WWWW[[#This Row],[%equitable and continuous access to sufficient quantity of safe drinking and domestic water''s GAP]]*WWWW[[#This Row],[Total PoP ]]</f>
        <v>828.33333333333326</v>
      </c>
      <c r="CT368" s="801">
        <f>IF(WWWW[[#This Row],[Total required water points]]-WWWW[[#This Row],['#Water points coverage]]&lt;0,0,WWWW[[#This Row],[Total required water points]]-WWWW[[#This Row],['#Water points coverage]])</f>
        <v>1.8666666666666667</v>
      </c>
      <c r="CU368" s="801">
        <f>ROUND(IF(WWWW[[#This Row],[Total PoP ]]&lt;500,1,WWWW[[#This Row],[Total PoP ]]/500),0)</f>
        <v>2</v>
      </c>
      <c r="CV368" s="801">
        <f>(WWWW[[#This Row],['#_Constructed latrines_by_WASHAgencies]]+WWWW[[#This Row],['#_Non Cluster partner latrines]])-WWWW[[#This Row],['#_Non-functional latrines]]</f>
        <v>64</v>
      </c>
      <c r="CW368" s="804">
        <f>WWWW[[#This Row],[HRP2]]/WWWW[[#This Row],[Total PoP ]]</f>
        <v>1</v>
      </c>
      <c r="CX36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CY36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8" s="473">
        <f>IF(WWWW[[#This Row],['# of functional latrines in THF supported by WASH partners during the reporting period2]]="",0,WWWW[[#This Row],['# of functional latrines in THF supported by WASH partners during the reporting period2]]*50)</f>
        <v>0</v>
      </c>
      <c r="DB368" s="473">
        <f>WWWW[[#This Row],['# students access to functioning school latrines_HRP5]]+WWWW[[#This Row],['# People access to functioning latrines in THF_HRP5]]</f>
        <v>0</v>
      </c>
      <c r="DC368" s="801">
        <f>ROUND(IF(WWWW[[#This Row],[Location Type 1]]="camp",WWWW[[#This Row],[Total PoP ]]/20,IF(WWWW[[#This Row],[Location Type 1]]="Temporary Location",WWWW[[#This Row],[Total PoP ]]/50,(WWWW[[#This Row],[Total PoP ]]/6))),0)</f>
        <v>45</v>
      </c>
      <c r="DD368" s="801">
        <f>IF(WWWW[[#This Row],[Total required Latrines]]-(WWWW[[#This Row],['#_Constructed latrines_by_WASHAgencies]]+WWWW[[#This Row],['#_Non Cluster partner latrines]])&lt;0,0,WWWW[[#This Row],[Total required Latrines]]-(WWWW[[#This Row],['#_Constructed latrines_by_WASHAgencies]]+WWWW[[#This Row],['#_Non Cluster partner latrines]]))</f>
        <v>0</v>
      </c>
      <c r="DE368" s="803">
        <f>1-WWWW[[#This Row],[% people access to functioning Latrine]]</f>
        <v>0</v>
      </c>
      <c r="DF368" s="802">
        <f>IF(OR(WWWW[[#This Row],['#_Non-functional latrines]]="",WWWW[[#This Row],['#_Non-functional latrines]]=0),0,WWWW[[#This Row],['#_Non-functional latrines]]/(WWWW[[#This Row],['#_Constructed latrines_by_WASHAgencies]]+WWWW[[#This Row],['#_Non Cluster partner latrines]]))</f>
        <v>0</v>
      </c>
      <c r="DG368" s="798">
        <f>IF(500*(WWWW[[#This Row],['#_male hygiene promoters]]+WWWW[[#This Row],['#_female hygiene promoters]])&gt;WWWW[[#This Row],[Total PoP ]],WWWW[[#This Row],[Total PoP ]],500*(WWWW[[#This Row],['#_male hygiene promoters]]+WWWW[[#This Row],['#_female hygiene promoters]]))</f>
        <v>895</v>
      </c>
      <c r="DH36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238</v>
      </c>
      <c r="DJ368" s="801">
        <f>IF(WWWW[[#This Row],['# People with access to soap]]&gt;WWWW[[#This Row],['# People with access to Sanity Pads]],WWWW[[#This Row],['# People with access to soap]],WWWW[[#This Row],['# People with access to Sanity Pads]])</f>
        <v>238</v>
      </c>
      <c r="DK368" s="801">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L368" s="803">
        <f>IF(WWWW[[#This Row],[HRP3]]/WWWW[[#This Row],[Total PoP ]]&gt;1,1,WWWW[[#This Row],[HRP3]]/WWWW[[#This Row],[Total PoP ]])</f>
        <v>1</v>
      </c>
      <c r="DM368" s="802">
        <f>1-WWWW[[#This Row],[Hygiene Coverage%]]</f>
        <v>0</v>
      </c>
      <c r="DN368" s="800">
        <f>WWWW[[#This Row],['# people reached by regular dedicated hygiene promotion_5]]/WWWW[[#This Row],[Total PoP ]]</f>
        <v>1</v>
      </c>
      <c r="DO36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68" s="801">
        <f>WWWW[[#This Row],['#_Constructed/Existing hand washing stations]]-WWWW[[#This Row],['#_Non-Functional_hand_washing_stations]]</f>
        <v>14</v>
      </c>
      <c r="DR368" s="798">
        <f>IF(WWWW[[#This Row],['# Functional hand washing stations during reporting period]]*20&gt;WWWW[[#This Row],[Total HH]],WWWW[[#This Row],[Total HH]],WWWW[[#This Row],['# Functional hand washing stations during reporting period]]*20)</f>
        <v>202</v>
      </c>
      <c r="DS368" s="798">
        <f>IF(WWWW[[#This Row],[Is sufficient soap available for TLS? (Yes/No)]]="yes",WWWW[[#This Row],['#_Constructed/Existing hand washing stations at TLS]],0)</f>
        <v>0</v>
      </c>
      <c r="DT368" s="479">
        <f>IF(WWWW[[#This Row],['# Functional hand washing stations during reporting period]]*100&gt;WWWW[[#This Row],[Total PoP ]],WWWW[[#This Row],[Total PoP ]],WWWW[[#This Row],['# Functional hand washing stations during reporting period]]*100)</f>
        <v>895</v>
      </c>
      <c r="DU368" s="479" t="str">
        <f>IF(OR(WWWW[[#This Row],['#_students at TLS_CFS]]="",WWWW[[#This Row],['#_students at TLS_CFS]]=0),"No","Yes")</f>
        <v>No</v>
      </c>
      <c r="DV36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8" s="794" t="str">
        <f>VLOOKUP(WWWW[[#This Row],[Site Name]],SiteDB6[[Site Name]:[CCCM Management]],6,FALSE)</f>
        <v>Yes</v>
      </c>
      <c r="DZ368" s="794" t="str">
        <f>VLOOKUP(WWWW[[#This Row],[Site Name]],SiteDB6[[Site Name]:[CCCM Focal Agency]],7,FALSE)</f>
        <v>Shalom</v>
      </c>
      <c r="EA368" s="794" t="str">
        <f>VLOOKUP(WWWW[[#This Row],[Site Name]],SiteDB6[[Site Name]:[Location Type 1]],9,FALSE)</f>
        <v>Camp</v>
      </c>
      <c r="EB368" s="794" t="str">
        <f>VLOOKUP(WWWW[[#This Row],[Site Name]],SiteDB6[[Site Name]:[Type of Accommodation]],10,FALSE)</f>
        <v>Camp</v>
      </c>
      <c r="EC368" s="794" t="str">
        <f>VLOOKUP(WWWW[[#This Row],[Site Name]],SiteDB6[[Site Name]:[Ethnic or GCA/NGCA]],11,FALSE)</f>
        <v>GCA</v>
      </c>
      <c r="ED368" s="794">
        <f>VLOOKUP(WWWW[[#This Row],[Site Name]],SiteDB6[[Site Name]:[Lat]],12,FALSE)</f>
        <v>25.887339999999998</v>
      </c>
      <c r="EE368" s="794">
        <f>VLOOKUP(WWWW[[#This Row],[Site Name]],SiteDB6[[Site Name]:[Long]],13,FALSE)</f>
        <v>98.129990000000006</v>
      </c>
      <c r="EF368" s="794" t="str">
        <f>VLOOKUP(WWWW[[#This Row],[Site Name]],SiteDB6[[Site Name]:[Pcode]],3,FALSE)</f>
        <v>MMR001CMP195</v>
      </c>
      <c r="EG368" s="799" t="str">
        <f t="shared" si="9"/>
        <v>Covered</v>
      </c>
      <c r="EH368" s="799" t="str">
        <f>VLOOKUP(WWWW[[#This Row],[Site Name]],Site_DB!$C$389:$D$1120,2,FALSE)</f>
        <v>cccm_2019OCT</v>
      </c>
    </row>
    <row r="369" spans="1:138" hidden="1">
      <c r="A369" s="792" t="s">
        <v>3262</v>
      </c>
      <c r="B369" s="792" t="s">
        <v>245</v>
      </c>
      <c r="C369" s="793" t="s">
        <v>245</v>
      </c>
      <c r="D369" s="793" t="s">
        <v>310</v>
      </c>
      <c r="E369" s="793" t="s">
        <v>39</v>
      </c>
      <c r="F369" s="793" t="s">
        <v>151</v>
      </c>
      <c r="G369" s="721" t="str">
        <f>VLOOKUP(WWWW[[#This Row],[Site Name]],SiteDB6[[Site Name]:[Location Type]],8,FALSE)</f>
        <v>Camp</v>
      </c>
      <c r="H369" s="793" t="s">
        <v>262</v>
      </c>
      <c r="I369" s="795">
        <v>10</v>
      </c>
      <c r="J369" s="795">
        <v>38</v>
      </c>
      <c r="K369" s="796">
        <v>43313</v>
      </c>
      <c r="L369" s="797">
        <v>44043</v>
      </c>
      <c r="M369" s="795"/>
      <c r="N369" s="795">
        <v>1</v>
      </c>
      <c r="O369" s="795"/>
      <c r="P369" s="795"/>
      <c r="Q369" s="798" t="s">
        <v>43</v>
      </c>
      <c r="R369" s="795">
        <v>2</v>
      </c>
      <c r="S369" s="795">
        <v>2</v>
      </c>
      <c r="T369" s="523">
        <v>1</v>
      </c>
      <c r="U369" s="795"/>
      <c r="V369" s="795"/>
      <c r="W369" s="795">
        <v>0</v>
      </c>
      <c r="X369" s="795">
        <v>0</v>
      </c>
      <c r="Y369" s="795"/>
      <c r="Z369" s="795"/>
      <c r="AA369" s="795">
        <v>2</v>
      </c>
      <c r="AB369" s="795"/>
      <c r="AC369" s="795"/>
      <c r="AD369" s="795">
        <v>0</v>
      </c>
      <c r="AE369" s="795">
        <v>1</v>
      </c>
      <c r="AF369" s="795"/>
      <c r="AG369" s="795">
        <v>0</v>
      </c>
      <c r="AH369" s="795">
        <v>1</v>
      </c>
      <c r="AI369" s="795"/>
      <c r="AJ369" s="795"/>
      <c r="AK369" s="795"/>
      <c r="AL369" s="795"/>
      <c r="AM369" s="795">
        <v>0</v>
      </c>
      <c r="AN369" s="795">
        <v>0</v>
      </c>
      <c r="AO369" s="799"/>
      <c r="AP369" s="795">
        <v>4</v>
      </c>
      <c r="AQ369" s="795">
        <v>0</v>
      </c>
      <c r="AR369" s="800" t="s">
        <v>245</v>
      </c>
      <c r="AS369" s="795"/>
      <c r="AT369" s="795"/>
      <c r="AU369" s="795"/>
      <c r="AV369" s="795"/>
      <c r="AW369" s="795">
        <v>0</v>
      </c>
      <c r="AX369" s="794" t="s">
        <v>43</v>
      </c>
      <c r="AY369" s="799" t="s">
        <v>140</v>
      </c>
      <c r="AZ369" s="795">
        <v>0</v>
      </c>
      <c r="BA369" s="795">
        <v>0</v>
      </c>
      <c r="BB369" s="795">
        <v>0</v>
      </c>
      <c r="BC369" s="523"/>
      <c r="BD369" s="523"/>
      <c r="BE369" s="794"/>
      <c r="BF369" s="795">
        <v>1</v>
      </c>
      <c r="BG369" s="795"/>
      <c r="BH369" s="795">
        <v>0</v>
      </c>
      <c r="BI369" s="795">
        <v>2</v>
      </c>
      <c r="BJ369" s="795"/>
      <c r="BK369" s="795">
        <v>2</v>
      </c>
      <c r="BL369" s="795">
        <v>2</v>
      </c>
      <c r="BM369" s="795"/>
      <c r="BN369" s="795"/>
      <c r="BO369" s="794"/>
      <c r="BP369" s="801"/>
      <c r="BQ369" s="800"/>
      <c r="BR369" s="794"/>
      <c r="BS369" s="472"/>
      <c r="BT369" s="472"/>
      <c r="BU369" s="720"/>
      <c r="BV369" s="472"/>
      <c r="BW369" s="523"/>
      <c r="BX369" s="523"/>
      <c r="BY369" s="523"/>
      <c r="BZ369" s="802" t="str">
        <f>IFERROR(WWWW[[#This Row],['#_Water sources passed]]/WWWW[[#This Row],['#_Water sources tested for fecal coliform ]],"no test")</f>
        <v>no test</v>
      </c>
      <c r="CA369" s="800" t="str">
        <f>IFERROR(WWWW[[#This Row],['#_Household passed]]/WWWW[[#This Row],['#_Household water samples tested for fecal coliform]],"no test")</f>
        <v>no test</v>
      </c>
      <c r="CB369" s="801" t="str">
        <f>IF(AND(WWWW[[#This Row],[% of water sources passed]]="no test",WWWW[[#This Row],[% Household passed]]="no test"),"No Test","Tested")</f>
        <v>No Test</v>
      </c>
      <c r="CC369" s="801">
        <f>WWWW[[#This Row],['#_Constructed/existing protected hand dug well]]-WWWW[[#This Row],['#_Non-functional protected hand dug well]]</f>
        <v>1</v>
      </c>
      <c r="CD369" s="801">
        <f>(WWWW[[#This Row],['#_Constructed/Existing tube wells/boreholes/handpumps_WASH_agency]]+WWWW[[#This Row],['#_Non-Cluster partner water tube-wells/boreholes/handpumps]])-WWWW[[#This Row],['#_Non-functional tube wells/boreholes/handpumps]]</f>
        <v>0</v>
      </c>
      <c r="CE369" s="801">
        <f>WWWW[[#This Row],['#_Constructed/Existingwater storage tank with gravity fed reticulation system]]-WWWW[[#This Row],['#_Non-functional storage tank gravity fed reticulation system]]</f>
        <v>2</v>
      </c>
      <c r="CF369" s="801">
        <f>(WWWW[[#This Row],['#_Water_Liters_supplied_by_Water boating or water trucking]]/90)/15</f>
        <v>0</v>
      </c>
      <c r="CG369" s="801">
        <f>WWWW[[#This Row],['#_Water_Liters_from_Constructed/Existing water distribution system from river or natural spring]]/90/15</f>
        <v>0</v>
      </c>
      <c r="CH369" s="473">
        <f>WWWW[[#This Row],['#_of water points in TLS/CFS /THF]]*500</f>
        <v>0</v>
      </c>
      <c r="CI36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6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69" s="800">
        <f>IF(WWWW[[#This Row],[Location Type 1]]="Village",WWWW[[#This Row],[Access to safe drinking water for Village]],WWWW[[#This Row],[Access to safe drinking water for Camp]])</f>
        <v>1</v>
      </c>
      <c r="CL369" s="798">
        <f>WWWW[[#This Row],[%Equitable and continuous access to sufficient quantity of safe drinking water]]*WWWW[[#This Row],[Total PoP ]]</f>
        <v>38</v>
      </c>
      <c r="CM369" s="800">
        <f>IF((WWWW[[#This Row],['#_Constructed/Existing protected/fenced ponds]]*250)/WWWW[[#This Row],[Total PoP ]]&gt;1,1,(WWWW[[#This Row],['#_Constructed/Existing protected/fenced ponds]]*250)/WWWW[[#This Row],[Total PoP ]])</f>
        <v>1</v>
      </c>
      <c r="CN369" s="798">
        <f>WWWW[[#This Row],[% Access to unimproved water points]]*WWWW[[#This Row],[Total PoP ]]</f>
        <v>38</v>
      </c>
      <c r="CO36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6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Q369" s="798">
        <f>WWWW[[#This Row],[HRP1]]/500</f>
        <v>7.5999999999999998E-2</v>
      </c>
      <c r="CR369" s="803">
        <f>1-WWWW[[#This Row],[% Equitable and continuous access to sufficient quantity of domestic water]]</f>
        <v>0</v>
      </c>
      <c r="CS369" s="798">
        <f>WWWW[[#This Row],[%equitable and continuous access to sufficient quantity of safe drinking and domestic water''s GAP]]*WWWW[[#This Row],[Total PoP ]]</f>
        <v>0</v>
      </c>
      <c r="CT369" s="801">
        <f>IF(WWWW[[#This Row],[Total required water points]]-WWWW[[#This Row],['#Water points coverage]]&lt;0,0,WWWW[[#This Row],[Total required water points]]-WWWW[[#This Row],['#Water points coverage]])</f>
        <v>0.92400000000000004</v>
      </c>
      <c r="CU369" s="801">
        <f>ROUND(IF(WWWW[[#This Row],[Total PoP ]]&lt;500,1,WWWW[[#This Row],[Total PoP ]]/500),0)</f>
        <v>1</v>
      </c>
      <c r="CV369" s="801">
        <f>(WWWW[[#This Row],['#_Constructed latrines_by_WASHAgencies]]+WWWW[[#This Row],['#_Non Cluster partner latrines]])-WWWW[[#This Row],['#_Non-functional latrines]]</f>
        <v>4</v>
      </c>
      <c r="CW369" s="804">
        <f>WWWW[[#This Row],[HRP2]]/WWWW[[#This Row],[Total PoP ]]</f>
        <v>1</v>
      </c>
      <c r="CX36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v>
      </c>
      <c r="CY36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6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69" s="473">
        <f>IF(WWWW[[#This Row],['# of functional latrines in THF supported by WASH partners during the reporting period2]]="",0,WWWW[[#This Row],['# of functional latrines in THF supported by WASH partners during the reporting period2]]*50)</f>
        <v>0</v>
      </c>
      <c r="DB369" s="473">
        <f>WWWW[[#This Row],['# students access to functioning school latrines_HRP5]]+WWWW[[#This Row],['# People access to functioning latrines in THF_HRP5]]</f>
        <v>0</v>
      </c>
      <c r="DC369" s="801">
        <f>ROUND(IF(WWWW[[#This Row],[Location Type 1]]="camp",WWWW[[#This Row],[Total PoP ]]/20,IF(WWWW[[#This Row],[Location Type 1]]="Temporary Location",WWWW[[#This Row],[Total PoP ]]/50,(WWWW[[#This Row],[Total PoP ]]/6))),0)</f>
        <v>2</v>
      </c>
      <c r="DD369" s="801">
        <f>IF(WWWW[[#This Row],[Total required Latrines]]-(WWWW[[#This Row],['#_Constructed latrines_by_WASHAgencies]]+WWWW[[#This Row],['#_Non Cluster partner latrines]])&lt;0,0,WWWW[[#This Row],[Total required Latrines]]-(WWWW[[#This Row],['#_Constructed latrines_by_WASHAgencies]]+WWWW[[#This Row],['#_Non Cluster partner latrines]]))</f>
        <v>0</v>
      </c>
      <c r="DE369" s="803">
        <f>1-WWWW[[#This Row],[% people access to functioning Latrine]]</f>
        <v>0</v>
      </c>
      <c r="DF369" s="802">
        <f>IF(OR(WWWW[[#This Row],['#_Non-functional latrines]]="",WWWW[[#This Row],['#_Non-functional latrines]]=0),0,WWWW[[#This Row],['#_Non-functional latrines]]/(WWWW[[#This Row],['#_Constructed latrines_by_WASHAgencies]]+WWWW[[#This Row],['#_Non Cluster partner latrines]]))</f>
        <v>0</v>
      </c>
      <c r="DG369" s="798">
        <f>IF(500*(WWWW[[#This Row],['#_male hygiene promoters]]+WWWW[[#This Row],['#_female hygiene promoters]])&gt;WWWW[[#This Row],[Total PoP ]],WWWW[[#This Row],[Total PoP ]],500*(WWWW[[#This Row],['#_male hygiene promoters]]+WWWW[[#This Row],['#_female hygiene promoters]]))</f>
        <v>38</v>
      </c>
      <c r="DH36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6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69" s="801">
        <f>IF(WWWW[[#This Row],['# People with access to soap]]&gt;WWWW[[#This Row],['# People with access to Sanity Pads]],WWWW[[#This Row],['# People with access to soap]],WWWW[[#This Row],['# People with access to Sanity Pads]])</f>
        <v>0</v>
      </c>
      <c r="DK369" s="801">
        <f>IF(WWWW[[#This Row],['# people reached by regular dedicated hygiene promotion_5]]&gt;WWWW[[#This Row],['# People received regular supply of hygiene items_6]],WWWW[[#This Row],['# people reached by regular dedicated hygiene promotion_5]],WWWW[[#This Row],['# People received regular supply of hygiene items_6]])</f>
        <v>38</v>
      </c>
      <c r="DL369" s="803">
        <f>IF(WWWW[[#This Row],[HRP3]]/WWWW[[#This Row],[Total PoP ]]&gt;1,1,WWWW[[#This Row],[HRP3]]/WWWW[[#This Row],[Total PoP ]])</f>
        <v>1</v>
      </c>
      <c r="DM369" s="802">
        <f>1-WWWW[[#This Row],[Hygiene Coverage%]]</f>
        <v>0</v>
      </c>
      <c r="DN369" s="800">
        <f>WWWW[[#This Row],['# people reached by regular dedicated hygiene promotion_5]]/WWWW[[#This Row],[Total PoP ]]</f>
        <v>1</v>
      </c>
      <c r="DO36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6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69" s="801">
        <f>WWWW[[#This Row],['#_Constructed/Existing hand washing stations]]-WWWW[[#This Row],['#_Non-Functional_hand_washing_stations]]</f>
        <v>1</v>
      </c>
      <c r="DR369" s="798">
        <f>IF(WWWW[[#This Row],['# Functional hand washing stations during reporting period]]*20&gt;WWWW[[#This Row],[Total HH]],WWWW[[#This Row],[Total HH]],WWWW[[#This Row],['# Functional hand washing stations during reporting period]]*20)</f>
        <v>10</v>
      </c>
      <c r="DS369" s="798">
        <f>IF(WWWW[[#This Row],[Is sufficient soap available for TLS? (Yes/No)]]="yes",WWWW[[#This Row],['#_Constructed/Existing hand washing stations at TLS]],0)</f>
        <v>0</v>
      </c>
      <c r="DT369" s="479">
        <f>IF(WWWW[[#This Row],['# Functional hand washing stations during reporting period]]*100&gt;WWWW[[#This Row],[Total PoP ]],WWWW[[#This Row],[Total PoP ]],WWWW[[#This Row],['# Functional hand washing stations during reporting period]]*100)</f>
        <v>38</v>
      </c>
      <c r="DU369" s="479" t="str">
        <f>IF(OR(WWWW[[#This Row],['#_students at TLS_CFS]]="",WWWW[[#This Row],['#_students at TLS_CFS]]=0),"No","Yes")</f>
        <v>No</v>
      </c>
      <c r="DV36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69" s="794" t="str">
        <f>VLOOKUP(WWWW[[#This Row],[Site Name]],SiteDB6[[Site Name]:[CCCM Management]],6,FALSE)</f>
        <v>Yes</v>
      </c>
      <c r="DZ369" s="794" t="str">
        <f>VLOOKUP(WWWW[[#This Row],[Site Name]],SiteDB6[[Site Name]:[CCCM Focal Agency]],7,FALSE)</f>
        <v>Shalom</v>
      </c>
      <c r="EA369" s="794" t="str">
        <f>VLOOKUP(WWWW[[#This Row],[Site Name]],SiteDB6[[Site Name]:[Location Type 1]],9,FALSE)</f>
        <v>Camp</v>
      </c>
      <c r="EB369" s="794" t="str">
        <f>VLOOKUP(WWWW[[#This Row],[Site Name]],SiteDB6[[Site Name]:[Type of Accommodation]],10,FALSE)</f>
        <v>Camp like setting</v>
      </c>
      <c r="EC369" s="794" t="str">
        <f>VLOOKUP(WWWW[[#This Row],[Site Name]],SiteDB6[[Site Name]:[Ethnic or GCA/NGCA]],11,FALSE)</f>
        <v>GCA</v>
      </c>
      <c r="ED369" s="794">
        <f>VLOOKUP(WWWW[[#This Row],[Site Name]],SiteDB6[[Site Name]:[Lat]],12,FALSE)</f>
        <v>25.56551</v>
      </c>
      <c r="EE369" s="794">
        <f>VLOOKUP(WWWW[[#This Row],[Site Name]],SiteDB6[[Site Name]:[Long]],13,FALSE)</f>
        <v>96.279200000000003</v>
      </c>
      <c r="EF369" s="794" t="str">
        <f>VLOOKUP(WWWW[[#This Row],[Site Name]],SiteDB6[[Site Name]:[Pcode]],3,FALSE)</f>
        <v>MMR001CMP182</v>
      </c>
      <c r="EG369" s="799" t="str">
        <f t="shared" si="9"/>
        <v>Covered</v>
      </c>
      <c r="EH369" s="799" t="str">
        <f>VLOOKUP(WWWW[[#This Row],[Site Name]],Site_DB!$C$389:$D$1120,2,FALSE)</f>
        <v>cccm_2019OCT</v>
      </c>
    </row>
    <row r="370" spans="1:138" hidden="1">
      <c r="A370" s="792" t="s">
        <v>3262</v>
      </c>
      <c r="B370" s="792" t="s">
        <v>144</v>
      </c>
      <c r="C370" s="793" t="s">
        <v>144</v>
      </c>
      <c r="D370" s="793" t="s">
        <v>3277</v>
      </c>
      <c r="E370" s="793" t="s">
        <v>39</v>
      </c>
      <c r="F370" s="793" t="s">
        <v>151</v>
      </c>
      <c r="G370" s="721" t="str">
        <f>VLOOKUP(WWWW[[#This Row],[Site Name]],SiteDB6[[Site Name]:[Location Type]],8,FALSE)</f>
        <v>Camp</v>
      </c>
      <c r="H370" s="793" t="s">
        <v>191</v>
      </c>
      <c r="I370" s="795">
        <v>28</v>
      </c>
      <c r="J370" s="795">
        <v>103</v>
      </c>
      <c r="K370" s="796" t="s">
        <v>3278</v>
      </c>
      <c r="L370" s="797" t="s">
        <v>3279</v>
      </c>
      <c r="M370" s="795"/>
      <c r="N370" s="795"/>
      <c r="O370" s="795"/>
      <c r="P370" s="795"/>
      <c r="Q370" s="798" t="s">
        <v>43</v>
      </c>
      <c r="R370" s="795"/>
      <c r="S370" s="795">
        <v>4</v>
      </c>
      <c r="T370" s="523">
        <v>1</v>
      </c>
      <c r="U370" s="795"/>
      <c r="V370" s="795"/>
      <c r="W370" s="795">
        <v>1</v>
      </c>
      <c r="X370" s="795"/>
      <c r="Y370" s="795"/>
      <c r="Z370" s="795"/>
      <c r="AA370" s="795"/>
      <c r="AB370" s="795"/>
      <c r="AC370" s="795"/>
      <c r="AD370" s="795"/>
      <c r="AE370" s="795"/>
      <c r="AF370" s="795"/>
      <c r="AG370" s="795"/>
      <c r="AH370" s="795">
        <v>0</v>
      </c>
      <c r="AI370" s="795"/>
      <c r="AJ370" s="795"/>
      <c r="AK370" s="795"/>
      <c r="AL370" s="795"/>
      <c r="AM370" s="795"/>
      <c r="AN370" s="795"/>
      <c r="AO370" s="799"/>
      <c r="AP370" s="795">
        <v>8</v>
      </c>
      <c r="AQ370" s="795"/>
      <c r="AR370" s="800"/>
      <c r="AS370" s="795"/>
      <c r="AT370" s="795"/>
      <c r="AU370" s="795"/>
      <c r="AV370" s="795"/>
      <c r="AW370" s="795">
        <v>8</v>
      </c>
      <c r="AX370" s="794" t="s">
        <v>43</v>
      </c>
      <c r="AY370" s="799" t="s">
        <v>1195</v>
      </c>
      <c r="AZ370" s="795"/>
      <c r="BA370" s="795"/>
      <c r="BB370" s="795"/>
      <c r="BC370" s="523"/>
      <c r="BD370" s="523"/>
      <c r="BE370" s="794"/>
      <c r="BF370" s="795">
        <v>2</v>
      </c>
      <c r="BG370" s="795"/>
      <c r="BH370" s="795"/>
      <c r="BI370" s="795">
        <v>2</v>
      </c>
      <c r="BJ370" s="795"/>
      <c r="BK370" s="795"/>
      <c r="BL370" s="795">
        <v>1</v>
      </c>
      <c r="BM370" s="795"/>
      <c r="BN370" s="795"/>
      <c r="BO370" s="794"/>
      <c r="BP370" s="801"/>
      <c r="BQ370" s="800"/>
      <c r="BR370" s="794"/>
      <c r="BS370" s="472"/>
      <c r="BT370" s="472"/>
      <c r="BU370" s="523"/>
      <c r="BV370" s="472"/>
      <c r="BW370" s="523"/>
      <c r="BX370" s="523"/>
      <c r="BY370" s="523"/>
      <c r="BZ370" s="802" t="str">
        <f>IFERROR(WWWW[[#This Row],['#_Water sources passed]]/WWWW[[#This Row],['#_Water sources tested for fecal coliform ]],"no test")</f>
        <v>no test</v>
      </c>
      <c r="CA370" s="800" t="str">
        <f>IFERROR(WWWW[[#This Row],['#_Household passed]]/WWWW[[#This Row],['#_Household water samples tested for fecal coliform]],"no test")</f>
        <v>no test</v>
      </c>
      <c r="CB370" s="801" t="str">
        <f>IF(AND(WWWW[[#This Row],[% of water sources passed]]="no test",WWWW[[#This Row],[% Household passed]]="no test"),"No Test","Tested")</f>
        <v>No Test</v>
      </c>
      <c r="CC370" s="801">
        <f>WWWW[[#This Row],['#_Constructed/existing protected hand dug well]]-WWWW[[#This Row],['#_Non-functional protected hand dug well]]</f>
        <v>1</v>
      </c>
      <c r="CD370" s="801">
        <f>(WWWW[[#This Row],['#_Constructed/Existing tube wells/boreholes/handpumps_WASH_agency]]+WWWW[[#This Row],['#_Non-Cluster partner water tube-wells/boreholes/handpumps]])-WWWW[[#This Row],['#_Non-functional tube wells/boreholes/handpumps]]</f>
        <v>1</v>
      </c>
      <c r="CE370" s="801">
        <f>WWWW[[#This Row],['#_Constructed/Existingwater storage tank with gravity fed reticulation system]]-WWWW[[#This Row],['#_Non-functional storage tank gravity fed reticulation system]]</f>
        <v>0</v>
      </c>
      <c r="CF370" s="801">
        <f>(WWWW[[#This Row],['#_Water_Liters_supplied_by_Water boating or water trucking]]/90)/15</f>
        <v>0</v>
      </c>
      <c r="CG370" s="801">
        <f>WWWW[[#This Row],['#_Water_Liters_from_Constructed/Existing water distribution system from river or natural spring]]/90/15</f>
        <v>0</v>
      </c>
      <c r="CH370" s="473">
        <f>WWWW[[#This Row],['#_of water points in TLS/CFS /THF]]*500</f>
        <v>0</v>
      </c>
      <c r="CI37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0" s="800">
        <f>IF(WWWW[[#This Row],[Location Type 1]]="Village",WWWW[[#This Row],[Access to safe drinking water for Village]],WWWW[[#This Row],[Access to safe drinking water for Camp]])</f>
        <v>1</v>
      </c>
      <c r="CL370" s="798">
        <f>WWWW[[#This Row],[%Equitable and continuous access to sufficient quantity of safe drinking water]]*WWWW[[#This Row],[Total PoP ]]</f>
        <v>103</v>
      </c>
      <c r="CM370" s="800">
        <f>IF((WWWW[[#This Row],['#_Constructed/Existing protected/fenced ponds]]*250)/WWWW[[#This Row],[Total PoP ]]&gt;1,1,(WWWW[[#This Row],['#_Constructed/Existing protected/fenced ponds]]*250)/WWWW[[#This Row],[Total PoP ]])</f>
        <v>0</v>
      </c>
      <c r="CN370" s="798">
        <f>WWWW[[#This Row],[% Access to unimproved water points]]*WWWW[[#This Row],[Total PoP ]]</f>
        <v>0</v>
      </c>
      <c r="CO37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370" s="798">
        <f>WWWW[[#This Row],[HRP1]]/500</f>
        <v>0.20599999999999999</v>
      </c>
      <c r="CR370" s="803">
        <f>1-WWWW[[#This Row],[% Equitable and continuous access to sufficient quantity of domestic water]]</f>
        <v>0</v>
      </c>
      <c r="CS370" s="798">
        <f>WWWW[[#This Row],[%equitable and continuous access to sufficient quantity of safe drinking and domestic water''s GAP]]*WWWW[[#This Row],[Total PoP ]]</f>
        <v>0</v>
      </c>
      <c r="CT370" s="801">
        <f>IF(WWWW[[#This Row],[Total required water points]]-WWWW[[#This Row],['#Water points coverage]]&lt;0,0,WWWW[[#This Row],[Total required water points]]-WWWW[[#This Row],['#Water points coverage]])</f>
        <v>0.79400000000000004</v>
      </c>
      <c r="CU370" s="801">
        <f>ROUND(IF(WWWW[[#This Row],[Total PoP ]]&lt;500,1,WWWW[[#This Row],[Total PoP ]]/500),0)</f>
        <v>1</v>
      </c>
      <c r="CV370" s="801">
        <f>(WWWW[[#This Row],['#_Constructed latrines_by_WASHAgencies]]+WWWW[[#This Row],['#_Non Cluster partner latrines]])-WWWW[[#This Row],['#_Non-functional latrines]]</f>
        <v>8</v>
      </c>
      <c r="CW370" s="804">
        <f>WWWW[[#This Row],[HRP2]]/WWWW[[#This Row],[Total PoP ]]</f>
        <v>1</v>
      </c>
      <c r="CX37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CY37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0" s="473">
        <f>IF(WWWW[[#This Row],['# of functional latrines in THF supported by WASH partners during the reporting period2]]="",0,WWWW[[#This Row],['# of functional latrines in THF supported by WASH partners during the reporting period2]]*50)</f>
        <v>0</v>
      </c>
      <c r="DB370" s="473">
        <f>WWWW[[#This Row],['# students access to functioning school latrines_HRP5]]+WWWW[[#This Row],['# People access to functioning latrines in THF_HRP5]]</f>
        <v>0</v>
      </c>
      <c r="DC370" s="801">
        <f>ROUND(IF(WWWW[[#This Row],[Location Type 1]]="camp",WWWW[[#This Row],[Total PoP ]]/20,IF(WWWW[[#This Row],[Location Type 1]]="Temporary Location",WWWW[[#This Row],[Total PoP ]]/50,(WWWW[[#This Row],[Total PoP ]]/6))),0)</f>
        <v>5</v>
      </c>
      <c r="DD370" s="801">
        <f>IF(WWWW[[#This Row],[Total required Latrines]]-(WWWW[[#This Row],['#_Constructed latrines_by_WASHAgencies]]+WWWW[[#This Row],['#_Non Cluster partner latrines]])&lt;0,0,WWWW[[#This Row],[Total required Latrines]]-(WWWW[[#This Row],['#_Constructed latrines_by_WASHAgencies]]+WWWW[[#This Row],['#_Non Cluster partner latrines]]))</f>
        <v>0</v>
      </c>
      <c r="DE370" s="803">
        <f>1-WWWW[[#This Row],[% people access to functioning Latrine]]</f>
        <v>0</v>
      </c>
      <c r="DF370" s="802">
        <f>IF(OR(WWWW[[#This Row],['#_Non-functional latrines]]="",WWWW[[#This Row],['#_Non-functional latrines]]=0),0,WWWW[[#This Row],['#_Non-functional latrines]]/(WWWW[[#This Row],['#_Constructed latrines_by_WASHAgencies]]+WWWW[[#This Row],['#_Non Cluster partner latrines]]))</f>
        <v>0</v>
      </c>
      <c r="DG370" s="798">
        <f>IF(500*(WWWW[[#This Row],['#_male hygiene promoters]]+WWWW[[#This Row],['#_female hygiene promoters]])&gt;WWWW[[#This Row],[Total PoP ]],WWWW[[#This Row],[Total PoP ]],500*(WWWW[[#This Row],['#_male hygiene promoters]]+WWWW[[#This Row],['#_female hygiene promoters]]))</f>
        <v>103</v>
      </c>
      <c r="DH37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0" s="801">
        <f>IF(WWWW[[#This Row],['# People with access to soap]]&gt;WWWW[[#This Row],['# People with access to Sanity Pads]],WWWW[[#This Row],['# People with access to soap]],WWWW[[#This Row],['# People with access to Sanity Pads]])</f>
        <v>0</v>
      </c>
      <c r="DK370" s="80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370" s="803">
        <f>IF(WWWW[[#This Row],[HRP3]]/WWWW[[#This Row],[Total PoP ]]&gt;1,1,WWWW[[#This Row],[HRP3]]/WWWW[[#This Row],[Total PoP ]])</f>
        <v>1</v>
      </c>
      <c r="DM370" s="802">
        <f>1-WWWW[[#This Row],[Hygiene Coverage%]]</f>
        <v>0</v>
      </c>
      <c r="DN370" s="800">
        <f>WWWW[[#This Row],['# people reached by regular dedicated hygiene promotion_5]]/WWWW[[#This Row],[Total PoP ]]</f>
        <v>1</v>
      </c>
      <c r="DO37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0" s="801">
        <f>WWWW[[#This Row],['#_Constructed/Existing hand washing stations]]-WWWW[[#This Row],['#_Non-Functional_hand_washing_stations]]</f>
        <v>2</v>
      </c>
      <c r="DR370" s="798">
        <f>IF(WWWW[[#This Row],['# Functional hand washing stations during reporting period]]*20&gt;WWWW[[#This Row],[Total HH]],WWWW[[#This Row],[Total HH]],WWWW[[#This Row],['# Functional hand washing stations during reporting period]]*20)</f>
        <v>28</v>
      </c>
      <c r="DS370" s="798">
        <f>IF(WWWW[[#This Row],[Is sufficient soap available for TLS? (Yes/No)]]="yes",WWWW[[#This Row],['#_Constructed/Existing hand washing stations at TLS]],0)</f>
        <v>0</v>
      </c>
      <c r="DT370" s="479">
        <f>IF(WWWW[[#This Row],['# Functional hand washing stations during reporting period]]*100&gt;WWWW[[#This Row],[Total PoP ]],WWWW[[#This Row],[Total PoP ]],WWWW[[#This Row],['# Functional hand washing stations during reporting period]]*100)</f>
        <v>103</v>
      </c>
      <c r="DU370" s="479" t="str">
        <f>IF(OR(WWWW[[#This Row],['#_students at TLS_CFS]]="",WWWW[[#This Row],['#_students at TLS_CFS]]=0),"No","Yes")</f>
        <v>No</v>
      </c>
      <c r="DV37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0" s="794" t="str">
        <f>VLOOKUP(WWWW[[#This Row],[Site Name]],SiteDB6[[Site Name]:[CCCM Management]],6,FALSE)</f>
        <v>Yes</v>
      </c>
      <c r="DZ370" s="794" t="str">
        <f>VLOOKUP(WWWW[[#This Row],[Site Name]],SiteDB6[[Site Name]:[CCCM Focal Agency]],7,FALSE)</f>
        <v>KBC-MYT</v>
      </c>
      <c r="EA370" s="794" t="str">
        <f>VLOOKUP(WWWW[[#This Row],[Site Name]],SiteDB6[[Site Name]:[Location Type 1]],9,FALSE)</f>
        <v>Camp</v>
      </c>
      <c r="EB370" s="794" t="str">
        <f>VLOOKUP(WWWW[[#This Row],[Site Name]],SiteDB6[[Site Name]:[Type of Accommodation]],10,FALSE)</f>
        <v>Camp</v>
      </c>
      <c r="EC370" s="794" t="str">
        <f>VLOOKUP(WWWW[[#This Row],[Site Name]],SiteDB6[[Site Name]:[Ethnic or GCA/NGCA]],11,FALSE)</f>
        <v>GCA</v>
      </c>
      <c r="ED370" s="794">
        <f>VLOOKUP(WWWW[[#This Row],[Site Name]],SiteDB6[[Site Name]:[Lat]],12,FALSE)</f>
        <v>25.920006000000001</v>
      </c>
      <c r="EE370" s="794">
        <f>VLOOKUP(WWWW[[#This Row],[Site Name]],SiteDB6[[Site Name]:[Long]],13,FALSE)</f>
        <v>96.662092000000001</v>
      </c>
      <c r="EF370" s="794" t="str">
        <f>VLOOKUP(WWWW[[#This Row],[Site Name]],SiteDB6[[Site Name]:[Pcode]],3,FALSE)</f>
        <v>MMR001CMP244</v>
      </c>
      <c r="EG370" s="799" t="str">
        <f t="shared" si="9"/>
        <v>Covered</v>
      </c>
      <c r="EH370" s="799" t="str">
        <f>VLOOKUP(WWWW[[#This Row],[Site Name]],Site_DB!$C$389:$D$1120,2,FALSE)</f>
        <v>cccm_2019OCT</v>
      </c>
    </row>
    <row r="371" spans="1:138" hidden="1">
      <c r="A371" s="792" t="s">
        <v>3262</v>
      </c>
      <c r="B371" s="792" t="s">
        <v>245</v>
      </c>
      <c r="C371" s="793" t="s">
        <v>245</v>
      </c>
      <c r="D371" s="793" t="s">
        <v>310</v>
      </c>
      <c r="E371" s="793" t="s">
        <v>39</v>
      </c>
      <c r="F371" s="793" t="s">
        <v>145</v>
      </c>
      <c r="G371" s="721" t="str">
        <f>VLOOKUP(WWWW[[#This Row],[Site Name]],SiteDB6[[Site Name]:[Location Type]],8,FALSE)</f>
        <v>Camp</v>
      </c>
      <c r="H371" s="793" t="s">
        <v>277</v>
      </c>
      <c r="I371" s="795">
        <v>45</v>
      </c>
      <c r="J371" s="795">
        <v>186</v>
      </c>
      <c r="K371" s="796">
        <v>43313</v>
      </c>
      <c r="L371" s="797">
        <v>44043</v>
      </c>
      <c r="M371" s="795"/>
      <c r="N371" s="795">
        <v>1</v>
      </c>
      <c r="O371" s="795"/>
      <c r="P371" s="795"/>
      <c r="Q371" s="798" t="s">
        <v>43</v>
      </c>
      <c r="R371" s="795">
        <v>0</v>
      </c>
      <c r="S371" s="795">
        <v>5</v>
      </c>
      <c r="T371" s="523">
        <v>1</v>
      </c>
      <c r="U371" s="795"/>
      <c r="V371" s="795"/>
      <c r="W371" s="795">
        <v>0</v>
      </c>
      <c r="X371" s="795"/>
      <c r="Y371" s="795"/>
      <c r="Z371" s="795"/>
      <c r="AA371" s="795">
        <v>0</v>
      </c>
      <c r="AB371" s="795"/>
      <c r="AC371" s="795"/>
      <c r="AD371" s="795">
        <v>0</v>
      </c>
      <c r="AE371" s="795">
        <v>0</v>
      </c>
      <c r="AF371" s="795">
        <v>0</v>
      </c>
      <c r="AG371" s="795">
        <v>0</v>
      </c>
      <c r="AH371" s="795">
        <v>0</v>
      </c>
      <c r="AI371" s="795"/>
      <c r="AJ371" s="795"/>
      <c r="AK371" s="795"/>
      <c r="AL371" s="795"/>
      <c r="AM371" s="795">
        <v>0</v>
      </c>
      <c r="AN371" s="795">
        <v>0</v>
      </c>
      <c r="AO371" s="799"/>
      <c r="AP371" s="795">
        <v>7</v>
      </c>
      <c r="AQ371" s="795"/>
      <c r="AR371" s="800"/>
      <c r="AS371" s="795"/>
      <c r="AT371" s="795"/>
      <c r="AU371" s="795"/>
      <c r="AV371" s="795"/>
      <c r="AW371" s="795">
        <v>0</v>
      </c>
      <c r="AX371" s="794" t="s">
        <v>43</v>
      </c>
      <c r="AY371" s="799" t="s">
        <v>140</v>
      </c>
      <c r="AZ371" s="795">
        <v>0</v>
      </c>
      <c r="BA371" s="795">
        <v>0</v>
      </c>
      <c r="BB371" s="795">
        <v>0</v>
      </c>
      <c r="BC371" s="523"/>
      <c r="BD371" s="523"/>
      <c r="BE371" s="794"/>
      <c r="BF371" s="795">
        <v>4</v>
      </c>
      <c r="BG371" s="795"/>
      <c r="BH371" s="795">
        <v>0</v>
      </c>
      <c r="BI371" s="795">
        <v>2</v>
      </c>
      <c r="BJ371" s="795"/>
      <c r="BK371" s="795">
        <v>0</v>
      </c>
      <c r="BL371" s="795">
        <v>0</v>
      </c>
      <c r="BM371" s="795"/>
      <c r="BN371" s="795"/>
      <c r="BO371" s="474" t="s">
        <v>139</v>
      </c>
      <c r="BP371" s="801"/>
      <c r="BQ371" s="800"/>
      <c r="BR371" s="794"/>
      <c r="BS371" s="472"/>
      <c r="BT371" s="472"/>
      <c r="BU371" s="720"/>
      <c r="BV371" s="472"/>
      <c r="BW371" s="523"/>
      <c r="BX371" s="523"/>
      <c r="BY371" s="523"/>
      <c r="BZ371" s="802" t="str">
        <f>IFERROR(WWWW[[#This Row],['#_Water sources passed]]/WWWW[[#This Row],['#_Water sources tested for fecal coliform ]],"no test")</f>
        <v>no test</v>
      </c>
      <c r="CA371" s="800" t="str">
        <f>IFERROR(WWWW[[#This Row],['#_Household passed]]/WWWW[[#This Row],['#_Household water samples tested for fecal coliform]],"no test")</f>
        <v>no test</v>
      </c>
      <c r="CB371" s="801" t="str">
        <f>IF(AND(WWWW[[#This Row],[% of water sources passed]]="no test",WWWW[[#This Row],[% Household passed]]="no test"),"No Test","Tested")</f>
        <v>No Test</v>
      </c>
      <c r="CC371" s="801">
        <f>WWWW[[#This Row],['#_Constructed/existing protected hand dug well]]-WWWW[[#This Row],['#_Non-functional protected hand dug well]]</f>
        <v>1</v>
      </c>
      <c r="CD371" s="801">
        <f>(WWWW[[#This Row],['#_Constructed/Existing tube wells/boreholes/handpumps_WASH_agency]]+WWWW[[#This Row],['#_Non-Cluster partner water tube-wells/boreholes/handpumps]])-WWWW[[#This Row],['#_Non-functional tube wells/boreholes/handpumps]]</f>
        <v>0</v>
      </c>
      <c r="CE371" s="801">
        <f>WWWW[[#This Row],['#_Constructed/Existingwater storage tank with gravity fed reticulation system]]-WWWW[[#This Row],['#_Non-functional storage tank gravity fed reticulation system]]</f>
        <v>0</v>
      </c>
      <c r="CF371" s="801">
        <f>(WWWW[[#This Row],['#_Water_Liters_supplied_by_Water boating or water trucking]]/90)/15</f>
        <v>0</v>
      </c>
      <c r="CG371" s="801">
        <f>WWWW[[#This Row],['#_Water_Liters_from_Constructed/Existing water distribution system from river or natural spring]]/90/15</f>
        <v>0</v>
      </c>
      <c r="CH371" s="473">
        <f>WWWW[[#This Row],['#_of water points in TLS/CFS /THF]]*500</f>
        <v>0</v>
      </c>
      <c r="CI37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1" s="800">
        <f>IF(WWWW[[#This Row],[Location Type 1]]="Village",WWWW[[#This Row],[Access to safe drinking water for Village]],WWWW[[#This Row],[Access to safe drinking water for Camp]])</f>
        <v>1</v>
      </c>
      <c r="CL371" s="798">
        <f>WWWW[[#This Row],[%Equitable and continuous access to sufficient quantity of safe drinking water]]*WWWW[[#This Row],[Total PoP ]]</f>
        <v>186</v>
      </c>
      <c r="CM371" s="800">
        <f>IF((WWWW[[#This Row],['#_Constructed/Existing protected/fenced ponds]]*250)/WWWW[[#This Row],[Total PoP ]]&gt;1,1,(WWWW[[#This Row],['#_Constructed/Existing protected/fenced ponds]]*250)/WWWW[[#This Row],[Total PoP ]])</f>
        <v>0</v>
      </c>
      <c r="CN371" s="798">
        <f>WWWW[[#This Row],[% Access to unimproved water points]]*WWWW[[#This Row],[Total PoP ]]</f>
        <v>0</v>
      </c>
      <c r="CO37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Q371" s="798">
        <f>WWWW[[#This Row],[HRP1]]/500</f>
        <v>0.372</v>
      </c>
      <c r="CR371" s="803">
        <f>1-WWWW[[#This Row],[% Equitable and continuous access to sufficient quantity of domestic water]]</f>
        <v>0</v>
      </c>
      <c r="CS371" s="798">
        <f>WWWW[[#This Row],[%equitable and continuous access to sufficient quantity of safe drinking and domestic water''s GAP]]*WWWW[[#This Row],[Total PoP ]]</f>
        <v>0</v>
      </c>
      <c r="CT371" s="801">
        <f>IF(WWWW[[#This Row],[Total required water points]]-WWWW[[#This Row],['#Water points coverage]]&lt;0,0,WWWW[[#This Row],[Total required water points]]-WWWW[[#This Row],['#Water points coverage]])</f>
        <v>0.628</v>
      </c>
      <c r="CU371" s="801">
        <f>ROUND(IF(WWWW[[#This Row],[Total PoP ]]&lt;500,1,WWWW[[#This Row],[Total PoP ]]/500),0)</f>
        <v>1</v>
      </c>
      <c r="CV371" s="801">
        <f>(WWWW[[#This Row],['#_Constructed latrines_by_WASHAgencies]]+WWWW[[#This Row],['#_Non Cluster partner latrines]])-WWWW[[#This Row],['#_Non-functional latrines]]</f>
        <v>7</v>
      </c>
      <c r="CW371" s="804">
        <f>WWWW[[#This Row],[HRP2]]/WWWW[[#This Row],[Total PoP ]]</f>
        <v>0.75268817204301075</v>
      </c>
      <c r="CX37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37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1" s="473">
        <f>IF(WWWW[[#This Row],['# of functional latrines in THF supported by WASH partners during the reporting period2]]="",0,WWWW[[#This Row],['# of functional latrines in THF supported by WASH partners during the reporting period2]]*50)</f>
        <v>0</v>
      </c>
      <c r="DB371" s="473">
        <f>WWWW[[#This Row],['# students access to functioning school latrines_HRP5]]+WWWW[[#This Row],['# People access to functioning latrines in THF_HRP5]]</f>
        <v>0</v>
      </c>
      <c r="DC371" s="801">
        <f>ROUND(IF(WWWW[[#This Row],[Location Type 1]]="camp",WWWW[[#This Row],[Total PoP ]]/20,IF(WWWW[[#This Row],[Location Type 1]]="Temporary Location",WWWW[[#This Row],[Total PoP ]]/50,(WWWW[[#This Row],[Total PoP ]]/6))),0)</f>
        <v>9</v>
      </c>
      <c r="DD371" s="801">
        <f>IF(WWWW[[#This Row],[Total required Latrines]]-(WWWW[[#This Row],['#_Constructed latrines_by_WASHAgencies]]+WWWW[[#This Row],['#_Non Cluster partner latrines]])&lt;0,0,WWWW[[#This Row],[Total required Latrines]]-(WWWW[[#This Row],['#_Constructed latrines_by_WASHAgencies]]+WWWW[[#This Row],['#_Non Cluster partner latrines]]))</f>
        <v>2</v>
      </c>
      <c r="DE371" s="803">
        <f>1-WWWW[[#This Row],[% people access to functioning Latrine]]</f>
        <v>0.24731182795698925</v>
      </c>
      <c r="DF371" s="802">
        <f>IF(OR(WWWW[[#This Row],['#_Non-functional latrines]]="",WWWW[[#This Row],['#_Non-functional latrines]]=0),0,WWWW[[#This Row],['#_Non-functional latrines]]/(WWWW[[#This Row],['#_Constructed latrines_by_WASHAgencies]]+WWWW[[#This Row],['#_Non Cluster partner latrines]]))</f>
        <v>0</v>
      </c>
      <c r="DG371" s="798">
        <f>IF(500*(WWWW[[#This Row],['#_male hygiene promoters]]+WWWW[[#This Row],['#_female hygiene promoters]])&gt;WWWW[[#This Row],[Total PoP ]],WWWW[[#This Row],[Total PoP ]],500*(WWWW[[#This Row],['#_male hygiene promoters]]+WWWW[[#This Row],['#_female hygiene promoters]]))</f>
        <v>0</v>
      </c>
      <c r="DH37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1" s="801">
        <f>IF(WWWW[[#This Row],['# People with access to soap]]&gt;WWWW[[#This Row],['# People with access to Sanity Pads]],WWWW[[#This Row],['# People with access to soap]],WWWW[[#This Row],['# People with access to Sanity Pads]])</f>
        <v>0</v>
      </c>
      <c r="DK371"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1" s="803">
        <f>IF(WWWW[[#This Row],[HRP3]]/WWWW[[#This Row],[Total PoP ]]&gt;1,1,WWWW[[#This Row],[HRP3]]/WWWW[[#This Row],[Total PoP ]])</f>
        <v>0</v>
      </c>
      <c r="DM371" s="802">
        <f>1-WWWW[[#This Row],[Hygiene Coverage%]]</f>
        <v>1</v>
      </c>
      <c r="DN371" s="800">
        <f>WWWW[[#This Row],['# people reached by regular dedicated hygiene promotion_5]]/WWWW[[#This Row],[Total PoP ]]</f>
        <v>0</v>
      </c>
      <c r="DO37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1" s="801">
        <f>WWWW[[#This Row],['#_Constructed/Existing hand washing stations]]-WWWW[[#This Row],['#_Non-Functional_hand_washing_stations]]</f>
        <v>4</v>
      </c>
      <c r="DR371" s="798">
        <f>IF(WWWW[[#This Row],['# Functional hand washing stations during reporting period]]*20&gt;WWWW[[#This Row],[Total HH]],WWWW[[#This Row],[Total HH]],WWWW[[#This Row],['# Functional hand washing stations during reporting period]]*20)</f>
        <v>45</v>
      </c>
      <c r="DS371" s="798">
        <f>IF(WWWW[[#This Row],[Is sufficient soap available for TLS? (Yes/No)]]="yes",WWWW[[#This Row],['#_Constructed/Existing hand washing stations at TLS]],0)</f>
        <v>0</v>
      </c>
      <c r="DT371" s="479">
        <f>IF(WWWW[[#This Row],['# Functional hand washing stations during reporting period]]*100&gt;WWWW[[#This Row],[Total PoP ]],WWWW[[#This Row],[Total PoP ]],WWWW[[#This Row],['# Functional hand washing stations during reporting period]]*100)</f>
        <v>186</v>
      </c>
      <c r="DU371" s="479" t="str">
        <f>IF(OR(WWWW[[#This Row],['#_students at TLS_CFS]]="",WWWW[[#This Row],['#_students at TLS_CFS]]=0),"No","Yes")</f>
        <v>No</v>
      </c>
      <c r="DV37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1" s="794" t="str">
        <f>VLOOKUP(WWWW[[#This Row],[Site Name]],SiteDB6[[Site Name]:[CCCM Management]],6,FALSE)</f>
        <v>Yes</v>
      </c>
      <c r="DZ371" s="794" t="str">
        <f>VLOOKUP(WWWW[[#This Row],[Site Name]],SiteDB6[[Site Name]:[CCCM Focal Agency]],7,FALSE)</f>
        <v>Shalom</v>
      </c>
      <c r="EA371" s="794" t="str">
        <f>VLOOKUP(WWWW[[#This Row],[Site Name]],SiteDB6[[Site Name]:[Location Type 1]],9,FALSE)</f>
        <v>Camp</v>
      </c>
      <c r="EB371" s="794" t="str">
        <f>VLOOKUP(WWWW[[#This Row],[Site Name]],SiteDB6[[Site Name]:[Type of Accommodation]],10,FALSE)</f>
        <v>Camp</v>
      </c>
      <c r="EC371" s="794" t="str">
        <f>VLOOKUP(WWWW[[#This Row],[Site Name]],SiteDB6[[Site Name]:[Ethnic or GCA/NGCA]],11,FALSE)</f>
        <v>GCA</v>
      </c>
      <c r="ED371" s="794">
        <f>VLOOKUP(WWWW[[#This Row],[Site Name]],SiteDB6[[Site Name]:[Lat]],12,FALSE)</f>
        <v>25.333683333333301</v>
      </c>
      <c r="EE371" s="794">
        <f>VLOOKUP(WWWW[[#This Row],[Site Name]],SiteDB6[[Site Name]:[Long]],13,FALSE)</f>
        <v>97.428251153846105</v>
      </c>
      <c r="EF371" s="794" t="str">
        <f>VLOOKUP(WWWW[[#This Row],[Site Name]],SiteDB6[[Site Name]:[Pcode]],3,FALSE)</f>
        <v>MMR001CMP037</v>
      </c>
      <c r="EG371" s="799" t="str">
        <f t="shared" si="9"/>
        <v>Covered</v>
      </c>
      <c r="EH371" s="799" t="str">
        <f>VLOOKUP(WWWW[[#This Row],[Site Name]],Site_DB!$C$389:$D$1120,2,FALSE)</f>
        <v>cccm_2019OCT</v>
      </c>
    </row>
    <row r="372" spans="1:138" hidden="1">
      <c r="A372" s="792" t="s">
        <v>3262</v>
      </c>
      <c r="B372" s="792" t="s">
        <v>245</v>
      </c>
      <c r="C372" s="793" t="s">
        <v>245</v>
      </c>
      <c r="D372" s="793" t="s">
        <v>310</v>
      </c>
      <c r="E372" s="793" t="s">
        <v>39</v>
      </c>
      <c r="F372" s="793" t="s">
        <v>162</v>
      </c>
      <c r="G372" s="721" t="str">
        <f>VLOOKUP(WWWW[[#This Row],[Site Name]],SiteDB6[[Site Name]:[Location Type]],8,FALSE)</f>
        <v>Camp</v>
      </c>
      <c r="H372" s="793" t="s">
        <v>270</v>
      </c>
      <c r="I372" s="795">
        <v>16</v>
      </c>
      <c r="J372" s="795">
        <v>77</v>
      </c>
      <c r="K372" s="796">
        <v>43313</v>
      </c>
      <c r="L372" s="797">
        <v>44043</v>
      </c>
      <c r="M372" s="795"/>
      <c r="N372" s="795">
        <v>1</v>
      </c>
      <c r="O372" s="795"/>
      <c r="P372" s="795"/>
      <c r="Q372" s="798" t="s">
        <v>43</v>
      </c>
      <c r="R372" s="795">
        <v>0</v>
      </c>
      <c r="S372" s="795">
        <v>3</v>
      </c>
      <c r="T372" s="523">
        <v>1</v>
      </c>
      <c r="U372" s="795"/>
      <c r="V372" s="795"/>
      <c r="W372" s="795">
        <v>2</v>
      </c>
      <c r="X372" s="795">
        <v>1</v>
      </c>
      <c r="Y372" s="795"/>
      <c r="Z372" s="795"/>
      <c r="AA372" s="795"/>
      <c r="AB372" s="795"/>
      <c r="AC372" s="795"/>
      <c r="AD372" s="795"/>
      <c r="AE372" s="795"/>
      <c r="AF372" s="795"/>
      <c r="AG372" s="795"/>
      <c r="AH372" s="795">
        <v>0</v>
      </c>
      <c r="AI372" s="795"/>
      <c r="AJ372" s="795"/>
      <c r="AK372" s="795"/>
      <c r="AL372" s="795"/>
      <c r="AM372" s="795"/>
      <c r="AN372" s="795"/>
      <c r="AO372" s="799"/>
      <c r="AP372" s="795">
        <v>7</v>
      </c>
      <c r="AQ372" s="795">
        <v>4</v>
      </c>
      <c r="AR372" s="800" t="s">
        <v>2915</v>
      </c>
      <c r="AS372" s="795"/>
      <c r="AT372" s="795"/>
      <c r="AU372" s="795"/>
      <c r="AV372" s="795"/>
      <c r="AW372" s="795"/>
      <c r="AX372" s="794" t="s">
        <v>43</v>
      </c>
      <c r="AY372" s="799" t="s">
        <v>1195</v>
      </c>
      <c r="AZ372" s="795"/>
      <c r="BA372" s="795"/>
      <c r="BB372" s="795"/>
      <c r="BC372" s="523"/>
      <c r="BD372" s="523"/>
      <c r="BE372" s="794"/>
      <c r="BF372" s="795">
        <v>4</v>
      </c>
      <c r="BG372" s="795"/>
      <c r="BH372" s="795">
        <v>0</v>
      </c>
      <c r="BI372" s="795">
        <v>2</v>
      </c>
      <c r="BJ372" s="795"/>
      <c r="BK372" s="795">
        <v>0</v>
      </c>
      <c r="BL372" s="795">
        <v>0</v>
      </c>
      <c r="BM372" s="795"/>
      <c r="BN372" s="795"/>
      <c r="BO372" s="794"/>
      <c r="BP372" s="801"/>
      <c r="BQ372" s="800"/>
      <c r="BR372" s="794"/>
      <c r="BS372" s="472"/>
      <c r="BT372" s="472"/>
      <c r="BU372" s="720"/>
      <c r="BV372" s="472"/>
      <c r="BW372" s="523"/>
      <c r="BX372" s="523"/>
      <c r="BY372" s="523"/>
      <c r="BZ372" s="802" t="str">
        <f>IFERROR(WWWW[[#This Row],['#_Water sources passed]]/WWWW[[#This Row],['#_Water sources tested for fecal coliform ]],"no test")</f>
        <v>no test</v>
      </c>
      <c r="CA372" s="800" t="str">
        <f>IFERROR(WWWW[[#This Row],['#_Household passed]]/WWWW[[#This Row],['#_Household water samples tested for fecal coliform]],"no test")</f>
        <v>no test</v>
      </c>
      <c r="CB372" s="801" t="str">
        <f>IF(AND(WWWW[[#This Row],[% of water sources passed]]="no test",WWWW[[#This Row],[% Household passed]]="no test"),"No Test","Tested")</f>
        <v>No Test</v>
      </c>
      <c r="CC372" s="801">
        <f>WWWW[[#This Row],['#_Constructed/existing protected hand dug well]]-WWWW[[#This Row],['#_Non-functional protected hand dug well]]</f>
        <v>1</v>
      </c>
      <c r="CD372" s="801">
        <f>(WWWW[[#This Row],['#_Constructed/Existing tube wells/boreholes/handpumps_WASH_agency]]+WWWW[[#This Row],['#_Non-Cluster partner water tube-wells/boreholes/handpumps]])-WWWW[[#This Row],['#_Non-functional tube wells/boreholes/handpumps]]</f>
        <v>3</v>
      </c>
      <c r="CE372" s="801">
        <f>WWWW[[#This Row],['#_Constructed/Existingwater storage tank with gravity fed reticulation system]]-WWWW[[#This Row],['#_Non-functional storage tank gravity fed reticulation system]]</f>
        <v>0</v>
      </c>
      <c r="CF372" s="801">
        <f>(WWWW[[#This Row],['#_Water_Liters_supplied_by_Water boating or water trucking]]/90)/15</f>
        <v>0</v>
      </c>
      <c r="CG372" s="801">
        <f>WWWW[[#This Row],['#_Water_Liters_from_Constructed/Existing water distribution system from river or natural spring]]/90/15</f>
        <v>0</v>
      </c>
      <c r="CH372" s="473">
        <f>WWWW[[#This Row],['#_of water points in TLS/CFS /THF]]*500</f>
        <v>0</v>
      </c>
      <c r="CI37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2" s="800">
        <f>IF(WWWW[[#This Row],[Location Type 1]]="Village",WWWW[[#This Row],[Access to safe drinking water for Village]],WWWW[[#This Row],[Access to safe drinking water for Camp]])</f>
        <v>1</v>
      </c>
      <c r="CL372" s="798">
        <f>WWWW[[#This Row],[%Equitable and continuous access to sufficient quantity of safe drinking water]]*WWWW[[#This Row],[Total PoP ]]</f>
        <v>77</v>
      </c>
      <c r="CM372" s="800">
        <f>IF((WWWW[[#This Row],['#_Constructed/Existing protected/fenced ponds]]*250)/WWWW[[#This Row],[Total PoP ]]&gt;1,1,(WWWW[[#This Row],['#_Constructed/Existing protected/fenced ponds]]*250)/WWWW[[#This Row],[Total PoP ]])</f>
        <v>0</v>
      </c>
      <c r="CN372" s="798">
        <f>WWWW[[#This Row],[% Access to unimproved water points]]*WWWW[[#This Row],[Total PoP ]]</f>
        <v>0</v>
      </c>
      <c r="CO37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Q372" s="798">
        <f>WWWW[[#This Row],[HRP1]]/500</f>
        <v>0.154</v>
      </c>
      <c r="CR372" s="803">
        <f>1-WWWW[[#This Row],[% Equitable and continuous access to sufficient quantity of domestic water]]</f>
        <v>0</v>
      </c>
      <c r="CS372" s="798">
        <f>WWWW[[#This Row],[%equitable and continuous access to sufficient quantity of safe drinking and domestic water''s GAP]]*WWWW[[#This Row],[Total PoP ]]</f>
        <v>0</v>
      </c>
      <c r="CT372" s="801">
        <f>IF(WWWW[[#This Row],[Total required water points]]-WWWW[[#This Row],['#Water points coverage]]&lt;0,0,WWWW[[#This Row],[Total required water points]]-WWWW[[#This Row],['#Water points coverage]])</f>
        <v>0.84599999999999997</v>
      </c>
      <c r="CU372" s="801">
        <f>ROUND(IF(WWWW[[#This Row],[Total PoP ]]&lt;500,1,WWWW[[#This Row],[Total PoP ]]/500),0)</f>
        <v>1</v>
      </c>
      <c r="CV372" s="801">
        <f>(WWWW[[#This Row],['#_Constructed latrines_by_WASHAgencies]]+WWWW[[#This Row],['#_Non Cluster partner latrines]])-WWWW[[#This Row],['#_Non-functional latrines]]</f>
        <v>11</v>
      </c>
      <c r="CW372" s="804">
        <f>WWWW[[#This Row],[HRP2]]/WWWW[[#This Row],[Total PoP ]]</f>
        <v>1</v>
      </c>
      <c r="CX37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CY37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2" s="473">
        <f>IF(WWWW[[#This Row],['# of functional latrines in THF supported by WASH partners during the reporting period2]]="",0,WWWW[[#This Row],['# of functional latrines in THF supported by WASH partners during the reporting period2]]*50)</f>
        <v>0</v>
      </c>
      <c r="DB372" s="473">
        <f>WWWW[[#This Row],['# students access to functioning school latrines_HRP5]]+WWWW[[#This Row],['# People access to functioning latrines in THF_HRP5]]</f>
        <v>0</v>
      </c>
      <c r="DC372" s="801">
        <f>ROUND(IF(WWWW[[#This Row],[Location Type 1]]="camp",WWWW[[#This Row],[Total PoP ]]/20,IF(WWWW[[#This Row],[Location Type 1]]="Temporary Location",WWWW[[#This Row],[Total PoP ]]/50,(WWWW[[#This Row],[Total PoP ]]/6))),0)</f>
        <v>4</v>
      </c>
      <c r="DD372" s="801">
        <f>IF(WWWW[[#This Row],[Total required Latrines]]-(WWWW[[#This Row],['#_Constructed latrines_by_WASHAgencies]]+WWWW[[#This Row],['#_Non Cluster partner latrines]])&lt;0,0,WWWW[[#This Row],[Total required Latrines]]-(WWWW[[#This Row],['#_Constructed latrines_by_WASHAgencies]]+WWWW[[#This Row],['#_Non Cluster partner latrines]]))</f>
        <v>0</v>
      </c>
      <c r="DE372" s="803">
        <f>1-WWWW[[#This Row],[% people access to functioning Latrine]]</f>
        <v>0</v>
      </c>
      <c r="DF372" s="802">
        <f>IF(OR(WWWW[[#This Row],['#_Non-functional latrines]]="",WWWW[[#This Row],['#_Non-functional latrines]]=0),0,WWWW[[#This Row],['#_Non-functional latrines]]/(WWWW[[#This Row],['#_Constructed latrines_by_WASHAgencies]]+WWWW[[#This Row],['#_Non Cluster partner latrines]]))</f>
        <v>0</v>
      </c>
      <c r="DG372" s="798">
        <f>IF(500*(WWWW[[#This Row],['#_male hygiene promoters]]+WWWW[[#This Row],['#_female hygiene promoters]])&gt;WWWW[[#This Row],[Total PoP ]],WWWW[[#This Row],[Total PoP ]],500*(WWWW[[#This Row],['#_male hygiene promoters]]+WWWW[[#This Row],['#_female hygiene promoters]]))</f>
        <v>0</v>
      </c>
      <c r="DH37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2" s="801">
        <f>IF(WWWW[[#This Row],['# People with access to soap]]&gt;WWWW[[#This Row],['# People with access to Sanity Pads]],WWWW[[#This Row],['# People with access to soap]],WWWW[[#This Row],['# People with access to Sanity Pads]])</f>
        <v>0</v>
      </c>
      <c r="DK37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2" s="803">
        <f>IF(WWWW[[#This Row],[HRP3]]/WWWW[[#This Row],[Total PoP ]]&gt;1,1,WWWW[[#This Row],[HRP3]]/WWWW[[#This Row],[Total PoP ]])</f>
        <v>0</v>
      </c>
      <c r="DM372" s="802">
        <f>1-WWWW[[#This Row],[Hygiene Coverage%]]</f>
        <v>1</v>
      </c>
      <c r="DN372" s="800">
        <f>WWWW[[#This Row],['# people reached by regular dedicated hygiene promotion_5]]/WWWW[[#This Row],[Total PoP ]]</f>
        <v>0</v>
      </c>
      <c r="DO37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2" s="801">
        <f>WWWW[[#This Row],['#_Constructed/Existing hand washing stations]]-WWWW[[#This Row],['#_Non-Functional_hand_washing_stations]]</f>
        <v>4</v>
      </c>
      <c r="DR372" s="798">
        <f>IF(WWWW[[#This Row],['# Functional hand washing stations during reporting period]]*20&gt;WWWW[[#This Row],[Total HH]],WWWW[[#This Row],[Total HH]],WWWW[[#This Row],['# Functional hand washing stations during reporting period]]*20)</f>
        <v>16</v>
      </c>
      <c r="DS372" s="798">
        <f>IF(WWWW[[#This Row],[Is sufficient soap available for TLS? (Yes/No)]]="yes",WWWW[[#This Row],['#_Constructed/Existing hand washing stations at TLS]],0)</f>
        <v>0</v>
      </c>
      <c r="DT372" s="479">
        <f>IF(WWWW[[#This Row],['# Functional hand washing stations during reporting period]]*100&gt;WWWW[[#This Row],[Total PoP ]],WWWW[[#This Row],[Total PoP ]],WWWW[[#This Row],['# Functional hand washing stations during reporting period]]*100)</f>
        <v>77</v>
      </c>
      <c r="DU372" s="479" t="str">
        <f>IF(OR(WWWW[[#This Row],['#_students at TLS_CFS]]="",WWWW[[#This Row],['#_students at TLS_CFS]]=0),"No","Yes")</f>
        <v>No</v>
      </c>
      <c r="DV37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2" s="794" t="str">
        <f>VLOOKUP(WWWW[[#This Row],[Site Name]],SiteDB6[[Site Name]:[CCCM Management]],6,FALSE)</f>
        <v>Yes</v>
      </c>
      <c r="DZ372" s="794" t="str">
        <f>VLOOKUP(WWWW[[#This Row],[Site Name]],SiteDB6[[Site Name]:[CCCM Focal Agency]],7,FALSE)</f>
        <v>Shalom</v>
      </c>
      <c r="EA372" s="794" t="str">
        <f>VLOOKUP(WWWW[[#This Row],[Site Name]],SiteDB6[[Site Name]:[Location Type 1]],9,FALSE)</f>
        <v>Camp</v>
      </c>
      <c r="EB372" s="794" t="str">
        <f>VLOOKUP(WWWW[[#This Row],[Site Name]],SiteDB6[[Site Name]:[Type of Accommodation]],10,FALSE)</f>
        <v>Camp</v>
      </c>
      <c r="EC372" s="794" t="str">
        <f>VLOOKUP(WWWW[[#This Row],[Site Name]],SiteDB6[[Site Name]:[Ethnic or GCA/NGCA]],11,FALSE)</f>
        <v>GCA</v>
      </c>
      <c r="ED372" s="794">
        <f>VLOOKUP(WWWW[[#This Row],[Site Name]],SiteDB6[[Site Name]:[Lat]],12,FALSE)</f>
        <v>25.417733999999999</v>
      </c>
      <c r="EE372" s="794">
        <f>VLOOKUP(WWWW[[#This Row],[Site Name]],SiteDB6[[Site Name]:[Long]],13,FALSE)</f>
        <v>97.389778000000007</v>
      </c>
      <c r="EF372" s="794" t="str">
        <f>VLOOKUP(WWWW[[#This Row],[Site Name]],SiteDB6[[Site Name]:[Pcode]],3,FALSE)</f>
        <v>MMR001CMP004</v>
      </c>
      <c r="EG372" s="799" t="str">
        <f t="shared" si="9"/>
        <v>Covered</v>
      </c>
      <c r="EH372" s="799" t="str">
        <f>VLOOKUP(WWWW[[#This Row],[Site Name]],Site_DB!$C$389:$D$1120,2,FALSE)</f>
        <v>cccm_2019OCT</v>
      </c>
    </row>
    <row r="373" spans="1:138" hidden="1">
      <c r="A373" s="792" t="s">
        <v>3262</v>
      </c>
      <c r="B373" s="792" t="s">
        <v>144</v>
      </c>
      <c r="C373" s="793" t="s">
        <v>144</v>
      </c>
      <c r="D373" s="793" t="s">
        <v>3277</v>
      </c>
      <c r="E373" s="793" t="s">
        <v>39</v>
      </c>
      <c r="F373" s="793" t="s">
        <v>162</v>
      </c>
      <c r="G373" s="721" t="str">
        <f>VLOOKUP(WWWW[[#This Row],[Site Name]],SiteDB6[[Site Name]:[Location Type]],8,FALSE)</f>
        <v>Camp</v>
      </c>
      <c r="H373" s="793" t="s">
        <v>174</v>
      </c>
      <c r="I373" s="795">
        <v>30</v>
      </c>
      <c r="J373" s="795">
        <v>165</v>
      </c>
      <c r="K373" s="796" t="s">
        <v>3278</v>
      </c>
      <c r="L373" s="797" t="s">
        <v>3279</v>
      </c>
      <c r="M373" s="795"/>
      <c r="N373" s="795"/>
      <c r="O373" s="795"/>
      <c r="P373" s="795"/>
      <c r="Q373" s="798" t="s">
        <v>43</v>
      </c>
      <c r="R373" s="795"/>
      <c r="S373" s="795">
        <v>5</v>
      </c>
      <c r="T373" s="523">
        <v>0</v>
      </c>
      <c r="U373" s="795"/>
      <c r="V373" s="795"/>
      <c r="W373" s="795">
        <v>2</v>
      </c>
      <c r="X373" s="795"/>
      <c r="Y373" s="795"/>
      <c r="Z373" s="795"/>
      <c r="AA373" s="795"/>
      <c r="AB373" s="795"/>
      <c r="AC373" s="795"/>
      <c r="AD373" s="795"/>
      <c r="AE373" s="795"/>
      <c r="AF373" s="795"/>
      <c r="AG373" s="795"/>
      <c r="AH373" s="795">
        <v>3</v>
      </c>
      <c r="AI373" s="795"/>
      <c r="AJ373" s="795"/>
      <c r="AK373" s="795"/>
      <c r="AL373" s="795"/>
      <c r="AM373" s="795"/>
      <c r="AN373" s="795"/>
      <c r="AO373" s="799"/>
      <c r="AP373" s="795">
        <v>5</v>
      </c>
      <c r="AQ373" s="795"/>
      <c r="AR373" s="800"/>
      <c r="AS373" s="795"/>
      <c r="AT373" s="795"/>
      <c r="AU373" s="795"/>
      <c r="AV373" s="795"/>
      <c r="AW373" s="795">
        <v>5</v>
      </c>
      <c r="AX373" s="794" t="s">
        <v>43</v>
      </c>
      <c r="AY373" s="799" t="s">
        <v>140</v>
      </c>
      <c r="AZ373" s="795"/>
      <c r="BA373" s="795"/>
      <c r="BB373" s="795"/>
      <c r="BC373" s="523"/>
      <c r="BD373" s="523"/>
      <c r="BE373" s="794"/>
      <c r="BF373" s="795">
        <v>2</v>
      </c>
      <c r="BG373" s="795"/>
      <c r="BH373" s="795"/>
      <c r="BI373" s="795">
        <v>2</v>
      </c>
      <c r="BJ373" s="795"/>
      <c r="BK373" s="795"/>
      <c r="BL373" s="795">
        <v>1</v>
      </c>
      <c r="BM373" s="795"/>
      <c r="BN373" s="795"/>
      <c r="BO373" s="794"/>
      <c r="BP373" s="801"/>
      <c r="BQ373" s="800"/>
      <c r="BR373" s="794"/>
      <c r="BS373" s="472"/>
      <c r="BT373" s="472"/>
      <c r="BU373" s="523"/>
      <c r="BV373" s="472"/>
      <c r="BW373" s="523"/>
      <c r="BX373" s="523"/>
      <c r="BY373" s="523"/>
      <c r="BZ373" s="802" t="str">
        <f>IFERROR(WWWW[[#This Row],['#_Water sources passed]]/WWWW[[#This Row],['#_Water sources tested for fecal coliform ]],"no test")</f>
        <v>no test</v>
      </c>
      <c r="CA373" s="800" t="str">
        <f>IFERROR(WWWW[[#This Row],['#_Household passed]]/WWWW[[#This Row],['#_Household water samples tested for fecal coliform]],"no test")</f>
        <v>no test</v>
      </c>
      <c r="CB373" s="801" t="str">
        <f>IF(AND(WWWW[[#This Row],[% of water sources passed]]="no test",WWWW[[#This Row],[% Household passed]]="no test"),"No Test","Tested")</f>
        <v>No Test</v>
      </c>
      <c r="CC373" s="801">
        <f>WWWW[[#This Row],['#_Constructed/existing protected hand dug well]]-WWWW[[#This Row],['#_Non-functional protected hand dug well]]</f>
        <v>0</v>
      </c>
      <c r="CD373" s="801">
        <f>(WWWW[[#This Row],['#_Constructed/Existing tube wells/boreholes/handpumps_WASH_agency]]+WWWW[[#This Row],['#_Non-Cluster partner water tube-wells/boreholes/handpumps]])-WWWW[[#This Row],['#_Non-functional tube wells/boreholes/handpumps]]</f>
        <v>2</v>
      </c>
      <c r="CE373" s="801">
        <f>WWWW[[#This Row],['#_Constructed/Existingwater storage tank with gravity fed reticulation system]]-WWWW[[#This Row],['#_Non-functional storage tank gravity fed reticulation system]]</f>
        <v>0</v>
      </c>
      <c r="CF373" s="801">
        <f>(WWWW[[#This Row],['#_Water_Liters_supplied_by_Water boating or water trucking]]/90)/15</f>
        <v>0</v>
      </c>
      <c r="CG373" s="801">
        <f>WWWW[[#This Row],['#_Water_Liters_from_Constructed/Existing water distribution system from river or natural spring]]/90/15</f>
        <v>0</v>
      </c>
      <c r="CH373" s="473">
        <f>WWWW[[#This Row],['#_of water points in TLS/CFS /THF]]*500</f>
        <v>0</v>
      </c>
      <c r="CI37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3" s="800">
        <f>IF(WWWW[[#This Row],[Location Type 1]]="Village",WWWW[[#This Row],[Access to safe drinking water for Village]],WWWW[[#This Row],[Access to safe drinking water for Camp]])</f>
        <v>1</v>
      </c>
      <c r="CL373" s="798">
        <f>WWWW[[#This Row],[%Equitable and continuous access to sufficient quantity of safe drinking water]]*WWWW[[#This Row],[Total PoP ]]</f>
        <v>165</v>
      </c>
      <c r="CM373" s="800">
        <f>IF((WWWW[[#This Row],['#_Constructed/Existing protected/fenced ponds]]*250)/WWWW[[#This Row],[Total PoP ]]&gt;1,1,(WWWW[[#This Row],['#_Constructed/Existing protected/fenced ponds]]*250)/WWWW[[#This Row],[Total PoP ]])</f>
        <v>0</v>
      </c>
      <c r="CN373" s="798">
        <f>WWWW[[#This Row],[% Access to unimproved water points]]*WWWW[[#This Row],[Total PoP ]]</f>
        <v>0</v>
      </c>
      <c r="CO37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Q373" s="798">
        <f>WWWW[[#This Row],[HRP1]]/500</f>
        <v>0.33</v>
      </c>
      <c r="CR373" s="803">
        <f>1-WWWW[[#This Row],[% Equitable and continuous access to sufficient quantity of domestic water]]</f>
        <v>0</v>
      </c>
      <c r="CS373" s="798">
        <f>WWWW[[#This Row],[%equitable and continuous access to sufficient quantity of safe drinking and domestic water''s GAP]]*WWWW[[#This Row],[Total PoP ]]</f>
        <v>0</v>
      </c>
      <c r="CT373" s="801">
        <f>IF(WWWW[[#This Row],[Total required water points]]-WWWW[[#This Row],['#Water points coverage]]&lt;0,0,WWWW[[#This Row],[Total required water points]]-WWWW[[#This Row],['#Water points coverage]])</f>
        <v>0.66999999999999993</v>
      </c>
      <c r="CU373" s="801">
        <f>ROUND(IF(WWWW[[#This Row],[Total PoP ]]&lt;500,1,WWWW[[#This Row],[Total PoP ]]/500),0)</f>
        <v>1</v>
      </c>
      <c r="CV373" s="801">
        <f>(WWWW[[#This Row],['#_Constructed latrines_by_WASHAgencies]]+WWWW[[#This Row],['#_Non Cluster partner latrines]])-WWWW[[#This Row],['#_Non-functional latrines]]</f>
        <v>5</v>
      </c>
      <c r="CW373" s="804">
        <f>WWWW[[#This Row],[HRP2]]/WWWW[[#This Row],[Total PoP ]]</f>
        <v>0.60606060606060608</v>
      </c>
      <c r="CX37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37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3" s="473">
        <f>IF(WWWW[[#This Row],['# of functional latrines in THF supported by WASH partners during the reporting period2]]="",0,WWWW[[#This Row],['# of functional latrines in THF supported by WASH partners during the reporting period2]]*50)</f>
        <v>0</v>
      </c>
      <c r="DB373" s="473">
        <f>WWWW[[#This Row],['# students access to functioning school latrines_HRP5]]+WWWW[[#This Row],['# People access to functioning latrines in THF_HRP5]]</f>
        <v>0</v>
      </c>
      <c r="DC373" s="801">
        <f>ROUND(IF(WWWW[[#This Row],[Location Type 1]]="camp",WWWW[[#This Row],[Total PoP ]]/20,IF(WWWW[[#This Row],[Location Type 1]]="Temporary Location",WWWW[[#This Row],[Total PoP ]]/50,(WWWW[[#This Row],[Total PoP ]]/6))),0)</f>
        <v>8</v>
      </c>
      <c r="DD373" s="801">
        <f>IF(WWWW[[#This Row],[Total required Latrines]]-(WWWW[[#This Row],['#_Constructed latrines_by_WASHAgencies]]+WWWW[[#This Row],['#_Non Cluster partner latrines]])&lt;0,0,WWWW[[#This Row],[Total required Latrines]]-(WWWW[[#This Row],['#_Constructed latrines_by_WASHAgencies]]+WWWW[[#This Row],['#_Non Cluster partner latrines]]))</f>
        <v>3</v>
      </c>
      <c r="DE373" s="803">
        <f>1-WWWW[[#This Row],[% people access to functioning Latrine]]</f>
        <v>0.39393939393939392</v>
      </c>
      <c r="DF373" s="802">
        <f>IF(OR(WWWW[[#This Row],['#_Non-functional latrines]]="",WWWW[[#This Row],['#_Non-functional latrines]]=0),0,WWWW[[#This Row],['#_Non-functional latrines]]/(WWWW[[#This Row],['#_Constructed latrines_by_WASHAgencies]]+WWWW[[#This Row],['#_Non Cluster partner latrines]]))</f>
        <v>0</v>
      </c>
      <c r="DG373" s="798">
        <f>IF(500*(WWWW[[#This Row],['#_male hygiene promoters]]+WWWW[[#This Row],['#_female hygiene promoters]])&gt;WWWW[[#This Row],[Total PoP ]],WWWW[[#This Row],[Total PoP ]],500*(WWWW[[#This Row],['#_male hygiene promoters]]+WWWW[[#This Row],['#_female hygiene promoters]]))</f>
        <v>165</v>
      </c>
      <c r="DH37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3" s="801">
        <f>IF(WWWW[[#This Row],['# People with access to soap]]&gt;WWWW[[#This Row],['# People with access to Sanity Pads]],WWWW[[#This Row],['# People with access to soap]],WWWW[[#This Row],['# People with access to Sanity Pads]])</f>
        <v>0</v>
      </c>
      <c r="DK373" s="801">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L373" s="803">
        <f>IF(WWWW[[#This Row],[HRP3]]/WWWW[[#This Row],[Total PoP ]]&gt;1,1,WWWW[[#This Row],[HRP3]]/WWWW[[#This Row],[Total PoP ]])</f>
        <v>1</v>
      </c>
      <c r="DM373" s="802">
        <f>1-WWWW[[#This Row],[Hygiene Coverage%]]</f>
        <v>0</v>
      </c>
      <c r="DN373" s="800">
        <f>WWWW[[#This Row],['# people reached by regular dedicated hygiene promotion_5]]/WWWW[[#This Row],[Total PoP ]]</f>
        <v>1</v>
      </c>
      <c r="DO37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3" s="801">
        <f>WWWW[[#This Row],['#_Constructed/Existing hand washing stations]]-WWWW[[#This Row],['#_Non-Functional_hand_washing_stations]]</f>
        <v>2</v>
      </c>
      <c r="DR373" s="798">
        <f>IF(WWWW[[#This Row],['# Functional hand washing stations during reporting period]]*20&gt;WWWW[[#This Row],[Total HH]],WWWW[[#This Row],[Total HH]],WWWW[[#This Row],['# Functional hand washing stations during reporting period]]*20)</f>
        <v>30</v>
      </c>
      <c r="DS373" s="798">
        <f>IF(WWWW[[#This Row],[Is sufficient soap available for TLS? (Yes/No)]]="yes",WWWW[[#This Row],['#_Constructed/Existing hand washing stations at TLS]],0)</f>
        <v>0</v>
      </c>
      <c r="DT373" s="479">
        <f>IF(WWWW[[#This Row],['# Functional hand washing stations during reporting period]]*100&gt;WWWW[[#This Row],[Total PoP ]],WWWW[[#This Row],[Total PoP ]],WWWW[[#This Row],['# Functional hand washing stations during reporting period]]*100)</f>
        <v>165</v>
      </c>
      <c r="DU373" s="479" t="str">
        <f>IF(OR(WWWW[[#This Row],['#_students at TLS_CFS]]="",WWWW[[#This Row],['#_students at TLS_CFS]]=0),"No","Yes")</f>
        <v>No</v>
      </c>
      <c r="DV37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3" s="794" t="str">
        <f>VLOOKUP(WWWW[[#This Row],[Site Name]],SiteDB6[[Site Name]:[CCCM Management]],6,FALSE)</f>
        <v>Yes</v>
      </c>
      <c r="DZ373" s="794" t="str">
        <f>VLOOKUP(WWWW[[#This Row],[Site Name]],SiteDB6[[Site Name]:[CCCM Focal Agency]],7,FALSE)</f>
        <v>KBC-MYT</v>
      </c>
      <c r="EA373" s="794" t="str">
        <f>VLOOKUP(WWWW[[#This Row],[Site Name]],SiteDB6[[Site Name]:[Location Type 1]],9,FALSE)</f>
        <v>Camp</v>
      </c>
      <c r="EB373" s="794" t="str">
        <f>VLOOKUP(WWWW[[#This Row],[Site Name]],SiteDB6[[Site Name]:[Type of Accommodation]],10,FALSE)</f>
        <v>Camp</v>
      </c>
      <c r="EC373" s="794" t="str">
        <f>VLOOKUP(WWWW[[#This Row],[Site Name]],SiteDB6[[Site Name]:[Ethnic or GCA/NGCA]],11,FALSE)</f>
        <v>GCA</v>
      </c>
      <c r="ED373" s="794">
        <f>VLOOKUP(WWWW[[#This Row],[Site Name]],SiteDB6[[Site Name]:[Lat]],12,FALSE)</f>
        <v>25.404752999999999</v>
      </c>
      <c r="EE373" s="794">
        <f>VLOOKUP(WWWW[[#This Row],[Site Name]],SiteDB6[[Site Name]:[Long]],13,FALSE)</f>
        <v>97.377662999999998</v>
      </c>
      <c r="EF373" s="794" t="str">
        <f>VLOOKUP(WWWW[[#This Row],[Site Name]],SiteDB6[[Site Name]:[Pcode]],3,FALSE)</f>
        <v>MMR001CMP003</v>
      </c>
      <c r="EG373" s="799" t="str">
        <f t="shared" si="9"/>
        <v>Covered</v>
      </c>
      <c r="EH373" s="799" t="str">
        <f>VLOOKUP(WWWW[[#This Row],[Site Name]],Site_DB!$C$389:$D$1120,2,FALSE)</f>
        <v>cccm_2019OCT</v>
      </c>
    </row>
    <row r="374" spans="1:138" hidden="1">
      <c r="A374" s="792" t="s">
        <v>3262</v>
      </c>
      <c r="B374" s="792" t="s">
        <v>312</v>
      </c>
      <c r="C374" s="793" t="s">
        <v>312</v>
      </c>
      <c r="D374" s="793"/>
      <c r="E374" s="793" t="s">
        <v>39</v>
      </c>
      <c r="F374" s="793" t="s">
        <v>151</v>
      </c>
      <c r="G374" s="721" t="str">
        <f>VLOOKUP(WWWW[[#This Row],[Site Name]],SiteDB6[[Site Name]:[Location Type]],8,FALSE)</f>
        <v>Camp</v>
      </c>
      <c r="H374" s="793" t="s">
        <v>192</v>
      </c>
      <c r="I374" s="795">
        <v>4</v>
      </c>
      <c r="J374" s="795">
        <v>11</v>
      </c>
      <c r="K374" s="796"/>
      <c r="L374" s="797"/>
      <c r="M374" s="795"/>
      <c r="N374" s="795"/>
      <c r="O374" s="795"/>
      <c r="P374" s="795"/>
      <c r="Q374" s="798"/>
      <c r="R374" s="795"/>
      <c r="S374" s="795"/>
      <c r="T374" s="523"/>
      <c r="U374" s="795"/>
      <c r="V374" s="795"/>
      <c r="W374" s="795"/>
      <c r="X374" s="795"/>
      <c r="Y374" s="795"/>
      <c r="Z374" s="795"/>
      <c r="AA374" s="795"/>
      <c r="AB374" s="795"/>
      <c r="AC374" s="795"/>
      <c r="AD374" s="795"/>
      <c r="AE374" s="795"/>
      <c r="AF374" s="795"/>
      <c r="AG374" s="795"/>
      <c r="AH374" s="795"/>
      <c r="AI374" s="795"/>
      <c r="AJ374" s="795"/>
      <c r="AK374" s="795"/>
      <c r="AL374" s="795"/>
      <c r="AM374" s="795"/>
      <c r="AN374" s="795"/>
      <c r="AO374" s="799"/>
      <c r="AP374" s="795"/>
      <c r="AQ374" s="795"/>
      <c r="AR374" s="800"/>
      <c r="AS374" s="795"/>
      <c r="AT374" s="795"/>
      <c r="AU374" s="795"/>
      <c r="AV374" s="795"/>
      <c r="AW374" s="795"/>
      <c r="AX374" s="794"/>
      <c r="AY374" s="799"/>
      <c r="AZ374" s="795"/>
      <c r="BA374" s="795"/>
      <c r="BB374" s="795"/>
      <c r="BC374" s="523"/>
      <c r="BD374" s="523"/>
      <c r="BE374" s="794"/>
      <c r="BF374" s="795"/>
      <c r="BG374" s="795"/>
      <c r="BH374" s="795"/>
      <c r="BI374" s="795"/>
      <c r="BJ374" s="795"/>
      <c r="BK374" s="795"/>
      <c r="BL374" s="795"/>
      <c r="BM374" s="795"/>
      <c r="BN374" s="795"/>
      <c r="BO374" s="794"/>
      <c r="BP374" s="801"/>
      <c r="BQ374" s="800"/>
      <c r="BR374" s="794"/>
      <c r="BS374" s="472"/>
      <c r="BT374" s="472"/>
      <c r="BU374" s="720"/>
      <c r="BV374" s="472"/>
      <c r="BW374" s="523"/>
      <c r="BX374" s="523"/>
      <c r="BY374" s="523"/>
      <c r="BZ374" s="802" t="str">
        <f>IFERROR(WWWW[[#This Row],['#_Water sources passed]]/WWWW[[#This Row],['#_Water sources tested for fecal coliform ]],"no test")</f>
        <v>no test</v>
      </c>
      <c r="CA374" s="800" t="str">
        <f>IFERROR(WWWW[[#This Row],['#_Household passed]]/WWWW[[#This Row],['#_Household water samples tested for fecal coliform]],"no test")</f>
        <v>no test</v>
      </c>
      <c r="CB374" s="801" t="str">
        <f>IF(AND(WWWW[[#This Row],[% of water sources passed]]="no test",WWWW[[#This Row],[% Household passed]]="no test"),"No Test","Tested")</f>
        <v>No Test</v>
      </c>
      <c r="CC374" s="801">
        <f>WWWW[[#This Row],['#_Constructed/existing protected hand dug well]]-WWWW[[#This Row],['#_Non-functional protected hand dug well]]</f>
        <v>0</v>
      </c>
      <c r="CD374" s="801">
        <f>(WWWW[[#This Row],['#_Constructed/Existing tube wells/boreholes/handpumps_WASH_agency]]+WWWW[[#This Row],['#_Non-Cluster partner water tube-wells/boreholes/handpumps]])-WWWW[[#This Row],['#_Non-functional tube wells/boreholes/handpumps]]</f>
        <v>0</v>
      </c>
      <c r="CE374" s="801">
        <f>WWWW[[#This Row],['#_Constructed/Existingwater storage tank with gravity fed reticulation system]]-WWWW[[#This Row],['#_Non-functional storage tank gravity fed reticulation system]]</f>
        <v>0</v>
      </c>
      <c r="CF374" s="801">
        <f>(WWWW[[#This Row],['#_Water_Liters_supplied_by_Water boating or water trucking]]/90)/15</f>
        <v>0</v>
      </c>
      <c r="CG374" s="801">
        <f>WWWW[[#This Row],['#_Water_Liters_from_Constructed/Existing water distribution system from river or natural spring]]/90/15</f>
        <v>0</v>
      </c>
      <c r="CH374" s="473">
        <f>WWWW[[#This Row],['#_of water points in TLS/CFS /THF]]*500</f>
        <v>0</v>
      </c>
      <c r="CI37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7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74" s="800">
        <f>IF(WWWW[[#This Row],[Location Type 1]]="Village",WWWW[[#This Row],[Access to safe drinking water for Village]],WWWW[[#This Row],[Access to safe drinking water for Camp]])</f>
        <v>0</v>
      </c>
      <c r="CL374" s="798">
        <f>WWWW[[#This Row],[%Equitable and continuous access to sufficient quantity of safe drinking water]]*WWWW[[#This Row],[Total PoP ]]</f>
        <v>0</v>
      </c>
      <c r="CM374" s="800">
        <f>IF((WWWW[[#This Row],['#_Constructed/Existing protected/fenced ponds]]*250)/WWWW[[#This Row],[Total PoP ]]&gt;1,1,(WWWW[[#This Row],['#_Constructed/Existing protected/fenced ponds]]*250)/WWWW[[#This Row],[Total PoP ]])</f>
        <v>0</v>
      </c>
      <c r="CN374" s="798">
        <f>WWWW[[#This Row],[% Access to unimproved water points]]*WWWW[[#This Row],[Total PoP ]]</f>
        <v>0</v>
      </c>
      <c r="CO37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7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74" s="798">
        <f>WWWW[[#This Row],[HRP1]]/500</f>
        <v>0</v>
      </c>
      <c r="CR374" s="803">
        <f>1-WWWW[[#This Row],[% Equitable and continuous access to sufficient quantity of domestic water]]</f>
        <v>1</v>
      </c>
      <c r="CS374" s="798">
        <f>WWWW[[#This Row],[%equitable and continuous access to sufficient quantity of safe drinking and domestic water''s GAP]]*WWWW[[#This Row],[Total PoP ]]</f>
        <v>11</v>
      </c>
      <c r="CT374" s="801">
        <f>IF(WWWW[[#This Row],[Total required water points]]-WWWW[[#This Row],['#Water points coverage]]&lt;0,0,WWWW[[#This Row],[Total required water points]]-WWWW[[#This Row],['#Water points coverage]])</f>
        <v>1</v>
      </c>
      <c r="CU374" s="801">
        <f>ROUND(IF(WWWW[[#This Row],[Total PoP ]]&lt;500,1,WWWW[[#This Row],[Total PoP ]]/500),0)</f>
        <v>1</v>
      </c>
      <c r="CV374" s="801">
        <f>(WWWW[[#This Row],['#_Constructed latrines_by_WASHAgencies]]+WWWW[[#This Row],['#_Non Cluster partner latrines]])-WWWW[[#This Row],['#_Non-functional latrines]]</f>
        <v>0</v>
      </c>
      <c r="CW374" s="804">
        <f>WWWW[[#This Row],[HRP2]]/WWWW[[#This Row],[Total PoP ]]</f>
        <v>0</v>
      </c>
      <c r="CX37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7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4" s="473">
        <f>IF(WWWW[[#This Row],['# of functional latrines in THF supported by WASH partners during the reporting period2]]="",0,WWWW[[#This Row],['# of functional latrines in THF supported by WASH partners during the reporting period2]]*50)</f>
        <v>0</v>
      </c>
      <c r="DB374" s="473">
        <f>WWWW[[#This Row],['# students access to functioning school latrines_HRP5]]+WWWW[[#This Row],['# People access to functioning latrines in THF_HRP5]]</f>
        <v>0</v>
      </c>
      <c r="DC374" s="801">
        <f>ROUND(IF(WWWW[[#This Row],[Location Type 1]]="camp",WWWW[[#This Row],[Total PoP ]]/20,IF(WWWW[[#This Row],[Location Type 1]]="Temporary Location",WWWW[[#This Row],[Total PoP ]]/50,(WWWW[[#This Row],[Total PoP ]]/6))),0)</f>
        <v>1</v>
      </c>
      <c r="DD374" s="801">
        <f>IF(WWWW[[#This Row],[Total required Latrines]]-(WWWW[[#This Row],['#_Constructed latrines_by_WASHAgencies]]+WWWW[[#This Row],['#_Non Cluster partner latrines]])&lt;0,0,WWWW[[#This Row],[Total required Latrines]]-(WWWW[[#This Row],['#_Constructed latrines_by_WASHAgencies]]+WWWW[[#This Row],['#_Non Cluster partner latrines]]))</f>
        <v>1</v>
      </c>
      <c r="DE374" s="803">
        <f>1-WWWW[[#This Row],[% people access to functioning Latrine]]</f>
        <v>1</v>
      </c>
      <c r="DF374" s="802">
        <f>IF(OR(WWWW[[#This Row],['#_Non-functional latrines]]="",WWWW[[#This Row],['#_Non-functional latrines]]=0),0,WWWW[[#This Row],['#_Non-functional latrines]]/(WWWW[[#This Row],['#_Constructed latrines_by_WASHAgencies]]+WWWW[[#This Row],['#_Non Cluster partner latrines]]))</f>
        <v>0</v>
      </c>
      <c r="DG374" s="798">
        <f>IF(500*(WWWW[[#This Row],['#_male hygiene promoters]]+WWWW[[#This Row],['#_female hygiene promoters]])&gt;WWWW[[#This Row],[Total PoP ]],WWWW[[#This Row],[Total PoP ]],500*(WWWW[[#This Row],['#_male hygiene promoters]]+WWWW[[#This Row],['#_female hygiene promoters]]))</f>
        <v>0</v>
      </c>
      <c r="DH37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4" s="801">
        <f>IF(WWWW[[#This Row],['# People with access to soap]]&gt;WWWW[[#This Row],['# People with access to Sanity Pads]],WWWW[[#This Row],['# People with access to soap]],WWWW[[#This Row],['# People with access to Sanity Pads]])</f>
        <v>0</v>
      </c>
      <c r="DK374"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4" s="803">
        <f>IF(WWWW[[#This Row],[HRP3]]/WWWW[[#This Row],[Total PoP ]]&gt;1,1,WWWW[[#This Row],[HRP3]]/WWWW[[#This Row],[Total PoP ]])</f>
        <v>0</v>
      </c>
      <c r="DM374" s="802">
        <f>1-WWWW[[#This Row],[Hygiene Coverage%]]</f>
        <v>1</v>
      </c>
      <c r="DN374" s="800">
        <f>WWWW[[#This Row],['# people reached by regular dedicated hygiene promotion_5]]/WWWW[[#This Row],[Total PoP ]]</f>
        <v>0</v>
      </c>
      <c r="DO37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4" s="801">
        <f>WWWW[[#This Row],['#_Constructed/Existing hand washing stations]]-WWWW[[#This Row],['#_Non-Functional_hand_washing_stations]]</f>
        <v>0</v>
      </c>
      <c r="DR374" s="798">
        <f>IF(WWWW[[#This Row],['# Functional hand washing stations during reporting period]]*20&gt;WWWW[[#This Row],[Total HH]],WWWW[[#This Row],[Total HH]],WWWW[[#This Row],['# Functional hand washing stations during reporting period]]*20)</f>
        <v>0</v>
      </c>
      <c r="DS374" s="798">
        <f>IF(WWWW[[#This Row],[Is sufficient soap available for TLS? (Yes/No)]]="yes",WWWW[[#This Row],['#_Constructed/Existing hand washing stations at TLS]],0)</f>
        <v>0</v>
      </c>
      <c r="DT374" s="479">
        <f>IF(WWWW[[#This Row],['# Functional hand washing stations during reporting period]]*100&gt;WWWW[[#This Row],[Total PoP ]],WWWW[[#This Row],[Total PoP ]],WWWW[[#This Row],['# Functional hand washing stations during reporting period]]*100)</f>
        <v>0</v>
      </c>
      <c r="DU374" s="479" t="str">
        <f>IF(OR(WWWW[[#This Row],['#_students at TLS_CFS]]="",WWWW[[#This Row],['#_students at TLS_CFS]]=0),"No","Yes")</f>
        <v>No</v>
      </c>
      <c r="DV37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4" s="794" t="str">
        <f>VLOOKUP(WWWW[[#This Row],[Site Name]],SiteDB6[[Site Name]:[CCCM Management]],6,FALSE)</f>
        <v>Yes</v>
      </c>
      <c r="DZ374" s="794" t="str">
        <f>VLOOKUP(WWWW[[#This Row],[Site Name]],SiteDB6[[Site Name]:[CCCM Focal Agency]],7,FALSE)</f>
        <v>uncovered</v>
      </c>
      <c r="EA374" s="794" t="str">
        <f>VLOOKUP(WWWW[[#This Row],[Site Name]],SiteDB6[[Site Name]:[Location Type 1]],9,FALSE)</f>
        <v>Camp</v>
      </c>
      <c r="EB374" s="794" t="str">
        <f>VLOOKUP(WWWW[[#This Row],[Site Name]],SiteDB6[[Site Name]:[Type of Accommodation]],10,FALSE)</f>
        <v>Camp like setting</v>
      </c>
      <c r="EC374" s="794" t="str">
        <f>VLOOKUP(WWWW[[#This Row],[Site Name]],SiteDB6[[Site Name]:[Ethnic or GCA/NGCA]],11,FALSE)</f>
        <v>GCA</v>
      </c>
      <c r="ED374" s="794">
        <f>VLOOKUP(WWWW[[#This Row],[Site Name]],SiteDB6[[Site Name]:[Lat]],12,FALSE)</f>
        <v>25.920006000000001</v>
      </c>
      <c r="EE374" s="794">
        <f>VLOOKUP(WWWW[[#This Row],[Site Name]],SiteDB6[[Site Name]:[Long]],13,FALSE)</f>
        <v>96.662092000000001</v>
      </c>
      <c r="EF374" s="794" t="str">
        <f>VLOOKUP(WWWW[[#This Row],[Site Name]],SiteDB6[[Site Name]:[Pcode]],3,FALSE)</f>
        <v>MMR001CMP246</v>
      </c>
      <c r="EG374" s="799" t="str">
        <f t="shared" si="9"/>
        <v>Notcovered</v>
      </c>
      <c r="EH374" s="799" t="str">
        <f>VLOOKUP(WWWW[[#This Row],[Site Name]],Site_DB!$C$389:$D$1120,2,FALSE)</f>
        <v>cccm_2019OCT</v>
      </c>
    </row>
    <row r="375" spans="1:138" hidden="1">
      <c r="A375" s="792" t="s">
        <v>3262</v>
      </c>
      <c r="B375" s="792" t="s">
        <v>144</v>
      </c>
      <c r="C375" s="793" t="s">
        <v>144</v>
      </c>
      <c r="D375" s="793" t="s">
        <v>3277</v>
      </c>
      <c r="E375" s="793" t="s">
        <v>39</v>
      </c>
      <c r="F375" s="793" t="s">
        <v>145</v>
      </c>
      <c r="G375" s="721" t="str">
        <f>VLOOKUP(WWWW[[#This Row],[Site Name]],SiteDB6[[Site Name]:[Location Type]],8,FALSE)</f>
        <v>Camp</v>
      </c>
      <c r="H375" s="793" t="s">
        <v>2173</v>
      </c>
      <c r="I375" s="795">
        <v>79</v>
      </c>
      <c r="J375" s="795">
        <v>356</v>
      </c>
      <c r="K375" s="796" t="s">
        <v>3278</v>
      </c>
      <c r="L375" s="797" t="s">
        <v>3279</v>
      </c>
      <c r="M375" s="795"/>
      <c r="N375" s="795"/>
      <c r="O375" s="795"/>
      <c r="P375" s="795"/>
      <c r="Q375" s="798" t="s">
        <v>43</v>
      </c>
      <c r="R375" s="795"/>
      <c r="S375" s="795">
        <v>5</v>
      </c>
      <c r="T375" s="523">
        <v>0</v>
      </c>
      <c r="U375" s="795"/>
      <c r="V375" s="795"/>
      <c r="W375" s="795">
        <v>1</v>
      </c>
      <c r="X375" s="795"/>
      <c r="Y375" s="795"/>
      <c r="Z375" s="795"/>
      <c r="AA375" s="795"/>
      <c r="AB375" s="795"/>
      <c r="AC375" s="795"/>
      <c r="AD375" s="795"/>
      <c r="AE375" s="795"/>
      <c r="AF375" s="795"/>
      <c r="AG375" s="795"/>
      <c r="AH375" s="795">
        <v>3</v>
      </c>
      <c r="AI375" s="795"/>
      <c r="AJ375" s="795"/>
      <c r="AK375" s="795"/>
      <c r="AL375" s="795"/>
      <c r="AM375" s="795"/>
      <c r="AN375" s="795"/>
      <c r="AO375" s="799"/>
      <c r="AP375" s="795">
        <v>8</v>
      </c>
      <c r="AQ375" s="795"/>
      <c r="AR375" s="800"/>
      <c r="AS375" s="795"/>
      <c r="AT375" s="795"/>
      <c r="AU375" s="795"/>
      <c r="AV375" s="795"/>
      <c r="AW375" s="795">
        <v>6</v>
      </c>
      <c r="AX375" s="794" t="s">
        <v>43</v>
      </c>
      <c r="AY375" s="799" t="s">
        <v>140</v>
      </c>
      <c r="AZ375" s="795"/>
      <c r="BA375" s="795"/>
      <c r="BB375" s="795"/>
      <c r="BC375" s="523"/>
      <c r="BD375" s="523"/>
      <c r="BE375" s="794"/>
      <c r="BF375" s="795">
        <v>4</v>
      </c>
      <c r="BG375" s="795"/>
      <c r="BH375" s="795"/>
      <c r="BI375" s="795">
        <v>0</v>
      </c>
      <c r="BJ375" s="795"/>
      <c r="BK375" s="795"/>
      <c r="BL375" s="795">
        <v>1</v>
      </c>
      <c r="BM375" s="795"/>
      <c r="BN375" s="795"/>
      <c r="BO375" s="794"/>
      <c r="BP375" s="801"/>
      <c r="BQ375" s="800"/>
      <c r="BR375" s="794"/>
      <c r="BS375" s="472"/>
      <c r="BT375" s="472"/>
      <c r="BU375" s="523"/>
      <c r="BV375" s="472"/>
      <c r="BW375" s="523"/>
      <c r="BX375" s="523"/>
      <c r="BY375" s="523"/>
      <c r="BZ375" s="802" t="str">
        <f>IFERROR(WWWW[[#This Row],['#_Water sources passed]]/WWWW[[#This Row],['#_Water sources tested for fecal coliform ]],"no test")</f>
        <v>no test</v>
      </c>
      <c r="CA375" s="800" t="str">
        <f>IFERROR(WWWW[[#This Row],['#_Household passed]]/WWWW[[#This Row],['#_Household water samples tested for fecal coliform]],"no test")</f>
        <v>no test</v>
      </c>
      <c r="CB375" s="801" t="str">
        <f>IF(AND(WWWW[[#This Row],[% of water sources passed]]="no test",WWWW[[#This Row],[% Household passed]]="no test"),"No Test","Tested")</f>
        <v>No Test</v>
      </c>
      <c r="CC375" s="801">
        <f>WWWW[[#This Row],['#_Constructed/existing protected hand dug well]]-WWWW[[#This Row],['#_Non-functional protected hand dug well]]</f>
        <v>0</v>
      </c>
      <c r="CD375" s="801">
        <f>(WWWW[[#This Row],['#_Constructed/Existing tube wells/boreholes/handpumps_WASH_agency]]+WWWW[[#This Row],['#_Non-Cluster partner water tube-wells/boreholes/handpumps]])-WWWW[[#This Row],['#_Non-functional tube wells/boreholes/handpumps]]</f>
        <v>1</v>
      </c>
      <c r="CE375" s="801">
        <f>WWWW[[#This Row],['#_Constructed/Existingwater storage tank with gravity fed reticulation system]]-WWWW[[#This Row],['#_Non-functional storage tank gravity fed reticulation system]]</f>
        <v>0</v>
      </c>
      <c r="CF375" s="801">
        <f>(WWWW[[#This Row],['#_Water_Liters_supplied_by_Water boating or water trucking]]/90)/15</f>
        <v>0</v>
      </c>
      <c r="CG375" s="801">
        <f>WWWW[[#This Row],['#_Water_Liters_from_Constructed/Existing water distribution system from river or natural spring]]/90/15</f>
        <v>0</v>
      </c>
      <c r="CH375" s="473">
        <f>WWWW[[#This Row],['#_of water points in TLS/CFS /THF]]*500</f>
        <v>0</v>
      </c>
      <c r="CI37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0.702247191011236</v>
      </c>
      <c r="CK375" s="800">
        <f>IF(WWWW[[#This Row],[Location Type 1]]="Village",WWWW[[#This Row],[Access to safe drinking water for Village]],WWWW[[#This Row],[Access to safe drinking water for Camp]])</f>
        <v>1</v>
      </c>
      <c r="CL375" s="798">
        <f>WWWW[[#This Row],[%Equitable and continuous access to sufficient quantity of safe drinking water]]*WWWW[[#This Row],[Total PoP ]]</f>
        <v>356</v>
      </c>
      <c r="CM375" s="800">
        <f>IF((WWWW[[#This Row],['#_Constructed/Existing protected/fenced ponds]]*250)/WWWW[[#This Row],[Total PoP ]]&gt;1,1,(WWWW[[#This Row],['#_Constructed/Existing protected/fenced ponds]]*250)/WWWW[[#This Row],[Total PoP ]])</f>
        <v>0</v>
      </c>
      <c r="CN375" s="798">
        <f>WWWW[[#This Row],[% Access to unimproved water points]]*WWWW[[#This Row],[Total PoP ]]</f>
        <v>0</v>
      </c>
      <c r="CO37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Q375" s="798">
        <f>WWWW[[#This Row],[HRP1]]/500</f>
        <v>0.71199999999999997</v>
      </c>
      <c r="CR375" s="803">
        <f>1-WWWW[[#This Row],[% Equitable and continuous access to sufficient quantity of domestic water]]</f>
        <v>0</v>
      </c>
      <c r="CS375" s="798">
        <f>WWWW[[#This Row],[%equitable and continuous access to sufficient quantity of safe drinking and domestic water''s GAP]]*WWWW[[#This Row],[Total PoP ]]</f>
        <v>0</v>
      </c>
      <c r="CT375" s="801">
        <f>IF(WWWW[[#This Row],[Total required water points]]-WWWW[[#This Row],['#Water points coverage]]&lt;0,0,WWWW[[#This Row],[Total required water points]]-WWWW[[#This Row],['#Water points coverage]])</f>
        <v>0.28800000000000003</v>
      </c>
      <c r="CU375" s="801">
        <f>ROUND(IF(WWWW[[#This Row],[Total PoP ]]&lt;500,1,WWWW[[#This Row],[Total PoP ]]/500),0)</f>
        <v>1</v>
      </c>
      <c r="CV375" s="801">
        <f>(WWWW[[#This Row],['#_Constructed latrines_by_WASHAgencies]]+WWWW[[#This Row],['#_Non Cluster partner latrines]])-WWWW[[#This Row],['#_Non-functional latrines]]</f>
        <v>8</v>
      </c>
      <c r="CW375" s="804">
        <f>WWWW[[#This Row],[HRP2]]/WWWW[[#This Row],[Total PoP ]]</f>
        <v>0.449438202247191</v>
      </c>
      <c r="CX37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37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5" s="473">
        <f>IF(WWWW[[#This Row],['# of functional latrines in THF supported by WASH partners during the reporting period2]]="",0,WWWW[[#This Row],['# of functional latrines in THF supported by WASH partners during the reporting period2]]*50)</f>
        <v>0</v>
      </c>
      <c r="DB375" s="473">
        <f>WWWW[[#This Row],['# students access to functioning school latrines_HRP5]]+WWWW[[#This Row],['# People access to functioning latrines in THF_HRP5]]</f>
        <v>0</v>
      </c>
      <c r="DC375" s="801">
        <f>ROUND(IF(WWWW[[#This Row],[Location Type 1]]="camp",WWWW[[#This Row],[Total PoP ]]/20,IF(WWWW[[#This Row],[Location Type 1]]="Temporary Location",WWWW[[#This Row],[Total PoP ]]/50,(WWWW[[#This Row],[Total PoP ]]/6))),0)</f>
        <v>18</v>
      </c>
      <c r="DD375" s="801">
        <f>IF(WWWW[[#This Row],[Total required Latrines]]-(WWWW[[#This Row],['#_Constructed latrines_by_WASHAgencies]]+WWWW[[#This Row],['#_Non Cluster partner latrines]])&lt;0,0,WWWW[[#This Row],[Total required Latrines]]-(WWWW[[#This Row],['#_Constructed latrines_by_WASHAgencies]]+WWWW[[#This Row],['#_Non Cluster partner latrines]]))</f>
        <v>10</v>
      </c>
      <c r="DE375" s="803">
        <f>1-WWWW[[#This Row],[% people access to functioning Latrine]]</f>
        <v>0.550561797752809</v>
      </c>
      <c r="DF375" s="802">
        <f>IF(OR(WWWW[[#This Row],['#_Non-functional latrines]]="",WWWW[[#This Row],['#_Non-functional latrines]]=0),0,WWWW[[#This Row],['#_Non-functional latrines]]/(WWWW[[#This Row],['#_Constructed latrines_by_WASHAgencies]]+WWWW[[#This Row],['#_Non Cluster partner latrines]]))</f>
        <v>0</v>
      </c>
      <c r="DG375" s="798">
        <f>IF(500*(WWWW[[#This Row],['#_male hygiene promoters]]+WWWW[[#This Row],['#_female hygiene promoters]])&gt;WWWW[[#This Row],[Total PoP ]],WWWW[[#This Row],[Total PoP ]],500*(WWWW[[#This Row],['#_male hygiene promoters]]+WWWW[[#This Row],['#_female hygiene promoters]]))</f>
        <v>356</v>
      </c>
      <c r="DH37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5" s="801">
        <f>IF(WWWW[[#This Row],['# People with access to soap]]&gt;WWWW[[#This Row],['# People with access to Sanity Pads]],WWWW[[#This Row],['# People with access to soap]],WWWW[[#This Row],['# People with access to Sanity Pads]])</f>
        <v>0</v>
      </c>
      <c r="DK375" s="801">
        <f>IF(WWWW[[#This Row],['# people reached by regular dedicated hygiene promotion_5]]&gt;WWWW[[#This Row],['# People received regular supply of hygiene items_6]],WWWW[[#This Row],['# people reached by regular dedicated hygiene promotion_5]],WWWW[[#This Row],['# People received regular supply of hygiene items_6]])</f>
        <v>356</v>
      </c>
      <c r="DL375" s="803">
        <f>IF(WWWW[[#This Row],[HRP3]]/WWWW[[#This Row],[Total PoP ]]&gt;1,1,WWWW[[#This Row],[HRP3]]/WWWW[[#This Row],[Total PoP ]])</f>
        <v>1</v>
      </c>
      <c r="DM375" s="802">
        <f>1-WWWW[[#This Row],[Hygiene Coverage%]]</f>
        <v>0</v>
      </c>
      <c r="DN375" s="800">
        <f>WWWW[[#This Row],['# people reached by regular dedicated hygiene promotion_5]]/WWWW[[#This Row],[Total PoP ]]</f>
        <v>1</v>
      </c>
      <c r="DO37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5" s="801">
        <f>WWWW[[#This Row],['#_Constructed/Existing hand washing stations]]-WWWW[[#This Row],['#_Non-Functional_hand_washing_stations]]</f>
        <v>4</v>
      </c>
      <c r="DR375" s="798">
        <f>IF(WWWW[[#This Row],['# Functional hand washing stations during reporting period]]*20&gt;WWWW[[#This Row],[Total HH]],WWWW[[#This Row],[Total HH]],WWWW[[#This Row],['# Functional hand washing stations during reporting period]]*20)</f>
        <v>79</v>
      </c>
      <c r="DS375" s="798">
        <f>IF(WWWW[[#This Row],[Is sufficient soap available for TLS? (Yes/No)]]="yes",WWWW[[#This Row],['#_Constructed/Existing hand washing stations at TLS]],0)</f>
        <v>0</v>
      </c>
      <c r="DT375" s="479">
        <f>IF(WWWW[[#This Row],['# Functional hand washing stations during reporting period]]*100&gt;WWWW[[#This Row],[Total PoP ]],WWWW[[#This Row],[Total PoP ]],WWWW[[#This Row],['# Functional hand washing stations during reporting period]]*100)</f>
        <v>356</v>
      </c>
      <c r="DU375" s="479" t="str">
        <f>IF(OR(WWWW[[#This Row],['#_students at TLS_CFS]]="",WWWW[[#This Row],['#_students at TLS_CFS]]=0),"No","Yes")</f>
        <v>No</v>
      </c>
      <c r="DV37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5" s="794" t="str">
        <f>VLOOKUP(WWWW[[#This Row],[Site Name]],SiteDB6[[Site Name]:[CCCM Management]],6,FALSE)</f>
        <v>Yes</v>
      </c>
      <c r="DZ375" s="794" t="str">
        <f>VLOOKUP(WWWW[[#This Row],[Site Name]],SiteDB6[[Site Name]:[CCCM Focal Agency]],7,FALSE)</f>
        <v>KBC-MYT</v>
      </c>
      <c r="EA375" s="794" t="str">
        <f>VLOOKUP(WWWW[[#This Row],[Site Name]],SiteDB6[[Site Name]:[Location Type 1]],9,FALSE)</f>
        <v>Camp</v>
      </c>
      <c r="EB375" s="794" t="str">
        <f>VLOOKUP(WWWW[[#This Row],[Site Name]],SiteDB6[[Site Name]:[Type of Accommodation]],10,FALSE)</f>
        <v>Camp</v>
      </c>
      <c r="EC375" s="794" t="str">
        <f>VLOOKUP(WWWW[[#This Row],[Site Name]],SiteDB6[[Site Name]:[Ethnic or GCA/NGCA]],11,FALSE)</f>
        <v>GCA</v>
      </c>
      <c r="ED375" s="794">
        <f>VLOOKUP(WWWW[[#This Row],[Site Name]],SiteDB6[[Site Name]:[Lat]],12,FALSE)</f>
        <v>0</v>
      </c>
      <c r="EE375" s="794">
        <f>VLOOKUP(WWWW[[#This Row],[Site Name]],SiteDB6[[Site Name]:[Long]],13,FALSE)</f>
        <v>0</v>
      </c>
      <c r="EF375" s="794" t="str">
        <f>VLOOKUP(WWWW[[#This Row],[Site Name]],SiteDB6[[Site Name]:[Pcode]],3,FALSE)</f>
        <v>MMR001CMP269</v>
      </c>
      <c r="EG375" s="799" t="str">
        <f t="shared" si="9"/>
        <v>Covered</v>
      </c>
      <c r="EH375" s="799" t="str">
        <f>VLOOKUP(WWWW[[#This Row],[Site Name]],Site_DB!$C$389:$D$1120,2,FALSE)</f>
        <v>cccm_2019OCT</v>
      </c>
    </row>
    <row r="376" spans="1:138" hidden="1">
      <c r="A376" s="792" t="s">
        <v>3262</v>
      </c>
      <c r="B376" s="792" t="s">
        <v>245</v>
      </c>
      <c r="C376" s="793" t="s">
        <v>245</v>
      </c>
      <c r="D376" s="793" t="s">
        <v>310</v>
      </c>
      <c r="E376" s="793" t="s">
        <v>39</v>
      </c>
      <c r="F376" s="793" t="s">
        <v>145</v>
      </c>
      <c r="G376" s="721" t="str">
        <f>VLOOKUP(WWWW[[#This Row],[Site Name]],SiteDB6[[Site Name]:[Location Type]],8,FALSE)</f>
        <v>Camp</v>
      </c>
      <c r="H376" s="404" t="s">
        <v>278</v>
      </c>
      <c r="I376" s="795">
        <v>66</v>
      </c>
      <c r="J376" s="795">
        <v>263</v>
      </c>
      <c r="K376" s="796">
        <v>43313</v>
      </c>
      <c r="L376" s="797">
        <v>44043</v>
      </c>
      <c r="M376" s="795"/>
      <c r="N376" s="795">
        <v>1</v>
      </c>
      <c r="O376" s="795"/>
      <c r="P376" s="795"/>
      <c r="Q376" s="798" t="s">
        <v>43</v>
      </c>
      <c r="R376" s="795">
        <v>3</v>
      </c>
      <c r="S376" s="795">
        <v>2</v>
      </c>
      <c r="T376" s="523">
        <v>3</v>
      </c>
      <c r="U376" s="795"/>
      <c r="V376" s="795"/>
      <c r="W376" s="795">
        <v>1</v>
      </c>
      <c r="X376" s="795"/>
      <c r="Y376" s="795"/>
      <c r="Z376" s="795"/>
      <c r="AA376" s="795">
        <v>0</v>
      </c>
      <c r="AB376" s="795"/>
      <c r="AC376" s="795"/>
      <c r="AD376" s="795">
        <v>0</v>
      </c>
      <c r="AE376" s="795">
        <v>0</v>
      </c>
      <c r="AF376" s="795">
        <v>0</v>
      </c>
      <c r="AG376" s="795">
        <v>0</v>
      </c>
      <c r="AH376" s="795">
        <v>0</v>
      </c>
      <c r="AI376" s="795"/>
      <c r="AJ376" s="795"/>
      <c r="AK376" s="795"/>
      <c r="AL376" s="795"/>
      <c r="AM376" s="795">
        <v>0</v>
      </c>
      <c r="AN376" s="795">
        <v>0</v>
      </c>
      <c r="AO376" s="799"/>
      <c r="AP376" s="795">
        <v>10</v>
      </c>
      <c r="AQ376" s="795"/>
      <c r="AR376" s="800"/>
      <c r="AS376" s="795"/>
      <c r="AT376" s="795"/>
      <c r="AU376" s="795">
        <v>3</v>
      </c>
      <c r="AV376" s="795"/>
      <c r="AW376" s="795">
        <v>0</v>
      </c>
      <c r="AX376" s="794" t="s">
        <v>43</v>
      </c>
      <c r="AY376" s="799" t="s">
        <v>140</v>
      </c>
      <c r="AZ376" s="795">
        <v>0</v>
      </c>
      <c r="BA376" s="795">
        <v>0</v>
      </c>
      <c r="BB376" s="795">
        <v>0</v>
      </c>
      <c r="BC376" s="523"/>
      <c r="BD376" s="523"/>
      <c r="BE376" s="794"/>
      <c r="BF376" s="795">
        <v>6</v>
      </c>
      <c r="BG376" s="795"/>
      <c r="BH376" s="795">
        <v>0</v>
      </c>
      <c r="BI376" s="795">
        <v>4</v>
      </c>
      <c r="BJ376" s="795"/>
      <c r="BK376" s="795">
        <v>0</v>
      </c>
      <c r="BL376" s="795">
        <v>0</v>
      </c>
      <c r="BM376" s="795"/>
      <c r="BN376" s="795"/>
      <c r="BO376" s="474" t="s">
        <v>139</v>
      </c>
      <c r="BP376" s="801"/>
      <c r="BQ376" s="800"/>
      <c r="BR376" s="794"/>
      <c r="BS376" s="472"/>
      <c r="BT376" s="472"/>
      <c r="BU376" s="720"/>
      <c r="BV376" s="472"/>
      <c r="BW376" s="523"/>
      <c r="BX376" s="523"/>
      <c r="BY376" s="523"/>
      <c r="BZ376" s="802" t="str">
        <f>IFERROR(WWWW[[#This Row],['#_Water sources passed]]/WWWW[[#This Row],['#_Water sources tested for fecal coliform ]],"no test")</f>
        <v>no test</v>
      </c>
      <c r="CA376" s="800" t="str">
        <f>IFERROR(WWWW[[#This Row],['#_Household passed]]/WWWW[[#This Row],['#_Household water samples tested for fecal coliform]],"no test")</f>
        <v>no test</v>
      </c>
      <c r="CB376" s="801" t="str">
        <f>IF(AND(WWWW[[#This Row],[% of water sources passed]]="no test",WWWW[[#This Row],[% Household passed]]="no test"),"No Test","Tested")</f>
        <v>No Test</v>
      </c>
      <c r="CC376" s="801">
        <f>WWWW[[#This Row],['#_Constructed/existing protected hand dug well]]-WWWW[[#This Row],['#_Non-functional protected hand dug well]]</f>
        <v>3</v>
      </c>
      <c r="CD376" s="801">
        <f>(WWWW[[#This Row],['#_Constructed/Existing tube wells/boreholes/handpumps_WASH_agency]]+WWWW[[#This Row],['#_Non-Cluster partner water tube-wells/boreholes/handpumps]])-WWWW[[#This Row],['#_Non-functional tube wells/boreholes/handpumps]]</f>
        <v>1</v>
      </c>
      <c r="CE376" s="801">
        <f>WWWW[[#This Row],['#_Constructed/Existingwater storage tank with gravity fed reticulation system]]-WWWW[[#This Row],['#_Non-functional storage tank gravity fed reticulation system]]</f>
        <v>0</v>
      </c>
      <c r="CF376" s="801">
        <f>(WWWW[[#This Row],['#_Water_Liters_supplied_by_Water boating or water trucking]]/90)/15</f>
        <v>0</v>
      </c>
      <c r="CG376" s="801">
        <f>WWWW[[#This Row],['#_Water_Liters_from_Constructed/Existing water distribution system from river or natural spring]]/90/15</f>
        <v>0</v>
      </c>
      <c r="CH376" s="473">
        <f>WWWW[[#This Row],['#_of water points in TLS/CFS /THF]]*500</f>
        <v>0</v>
      </c>
      <c r="CI37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6" s="800">
        <f>IF(WWWW[[#This Row],[Location Type 1]]="Village",WWWW[[#This Row],[Access to safe drinking water for Village]],WWWW[[#This Row],[Access to safe drinking water for Camp]])</f>
        <v>1</v>
      </c>
      <c r="CL376" s="798">
        <f>WWWW[[#This Row],[%Equitable and continuous access to sufficient quantity of safe drinking water]]*WWWW[[#This Row],[Total PoP ]]</f>
        <v>263</v>
      </c>
      <c r="CM376" s="800">
        <f>IF((WWWW[[#This Row],['#_Constructed/Existing protected/fenced ponds]]*250)/WWWW[[#This Row],[Total PoP ]]&gt;1,1,(WWWW[[#This Row],['#_Constructed/Existing protected/fenced ponds]]*250)/WWWW[[#This Row],[Total PoP ]])</f>
        <v>0</v>
      </c>
      <c r="CN376" s="798">
        <f>WWWW[[#This Row],[% Access to unimproved water points]]*WWWW[[#This Row],[Total PoP ]]</f>
        <v>0</v>
      </c>
      <c r="CO37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376" s="798">
        <f>WWWW[[#This Row],[HRP1]]/500</f>
        <v>0.52600000000000002</v>
      </c>
      <c r="CR376" s="803">
        <f>1-WWWW[[#This Row],[% Equitable and continuous access to sufficient quantity of domestic water]]</f>
        <v>0</v>
      </c>
      <c r="CS376" s="798">
        <f>WWWW[[#This Row],[%equitable and continuous access to sufficient quantity of safe drinking and domestic water''s GAP]]*WWWW[[#This Row],[Total PoP ]]</f>
        <v>0</v>
      </c>
      <c r="CT376" s="801">
        <f>IF(WWWW[[#This Row],[Total required water points]]-WWWW[[#This Row],['#Water points coverage]]&lt;0,0,WWWW[[#This Row],[Total required water points]]-WWWW[[#This Row],['#Water points coverage]])</f>
        <v>0.47399999999999998</v>
      </c>
      <c r="CU376" s="801">
        <f>ROUND(IF(WWWW[[#This Row],[Total PoP ]]&lt;500,1,WWWW[[#This Row],[Total PoP ]]/500),0)</f>
        <v>1</v>
      </c>
      <c r="CV376" s="801">
        <f>(WWWW[[#This Row],['#_Constructed latrines_by_WASHAgencies]]+WWWW[[#This Row],['#_Non Cluster partner latrines]])-WWWW[[#This Row],['#_Non-functional latrines]]</f>
        <v>10</v>
      </c>
      <c r="CW376" s="804">
        <f>WWWW[[#This Row],[HRP2]]/WWWW[[#This Row],[Total PoP ]]</f>
        <v>0.76045627376425851</v>
      </c>
      <c r="CX37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37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37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6" s="473">
        <f>IF(WWWW[[#This Row],['# of functional latrines in THF supported by WASH partners during the reporting period2]]="",0,WWWW[[#This Row],['# of functional latrines in THF supported by WASH partners during the reporting period2]]*50)</f>
        <v>0</v>
      </c>
      <c r="DB376" s="473">
        <f>WWWW[[#This Row],['# students access to functioning school latrines_HRP5]]+WWWW[[#This Row],['# People access to functioning latrines in THF_HRP5]]</f>
        <v>0</v>
      </c>
      <c r="DC376" s="801">
        <f>ROUND(IF(WWWW[[#This Row],[Location Type 1]]="camp",WWWW[[#This Row],[Total PoP ]]/20,IF(WWWW[[#This Row],[Location Type 1]]="Temporary Location",WWWW[[#This Row],[Total PoP ]]/50,(WWWW[[#This Row],[Total PoP ]]/6))),0)</f>
        <v>13</v>
      </c>
      <c r="DD376" s="801">
        <f>IF(WWWW[[#This Row],[Total required Latrines]]-(WWWW[[#This Row],['#_Constructed latrines_by_WASHAgencies]]+WWWW[[#This Row],['#_Non Cluster partner latrines]])&lt;0,0,WWWW[[#This Row],[Total required Latrines]]-(WWWW[[#This Row],['#_Constructed latrines_by_WASHAgencies]]+WWWW[[#This Row],['#_Non Cluster partner latrines]]))</f>
        <v>3</v>
      </c>
      <c r="DE376" s="803">
        <f>1-WWWW[[#This Row],[% people access to functioning Latrine]]</f>
        <v>0.23954372623574149</v>
      </c>
      <c r="DF376" s="802">
        <f>IF(OR(WWWW[[#This Row],['#_Non-functional latrines]]="",WWWW[[#This Row],['#_Non-functional latrines]]=0),0,WWWW[[#This Row],['#_Non-functional latrines]]/(WWWW[[#This Row],['#_Constructed latrines_by_WASHAgencies]]+WWWW[[#This Row],['#_Non Cluster partner latrines]]))</f>
        <v>0</v>
      </c>
      <c r="DG376" s="798">
        <f>IF(500*(WWWW[[#This Row],['#_male hygiene promoters]]+WWWW[[#This Row],['#_female hygiene promoters]])&gt;WWWW[[#This Row],[Total PoP ]],WWWW[[#This Row],[Total PoP ]],500*(WWWW[[#This Row],['#_male hygiene promoters]]+WWWW[[#This Row],['#_female hygiene promoters]]))</f>
        <v>0</v>
      </c>
      <c r="DH37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6" s="801">
        <f>IF(WWWW[[#This Row],['# People with access to soap]]&gt;WWWW[[#This Row],['# People with access to Sanity Pads]],WWWW[[#This Row],['# People with access to soap]],WWWW[[#This Row],['# People with access to Sanity Pads]])</f>
        <v>0</v>
      </c>
      <c r="DK37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76" s="803">
        <f>IF(WWWW[[#This Row],[HRP3]]/WWWW[[#This Row],[Total PoP ]]&gt;1,1,WWWW[[#This Row],[HRP3]]/WWWW[[#This Row],[Total PoP ]])</f>
        <v>0</v>
      </c>
      <c r="DM376" s="802">
        <f>1-WWWW[[#This Row],[Hygiene Coverage%]]</f>
        <v>1</v>
      </c>
      <c r="DN376" s="800">
        <f>WWWW[[#This Row],['# people reached by regular dedicated hygiene promotion_5]]/WWWW[[#This Row],[Total PoP ]]</f>
        <v>0</v>
      </c>
      <c r="DO37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6" s="801">
        <f>WWWW[[#This Row],['#_Constructed/Existing hand washing stations]]-WWWW[[#This Row],['#_Non-Functional_hand_washing_stations]]</f>
        <v>6</v>
      </c>
      <c r="DR376" s="798">
        <f>IF(WWWW[[#This Row],['# Functional hand washing stations during reporting period]]*20&gt;WWWW[[#This Row],[Total HH]],WWWW[[#This Row],[Total HH]],WWWW[[#This Row],['# Functional hand washing stations during reporting period]]*20)</f>
        <v>66</v>
      </c>
      <c r="DS376" s="798">
        <f>IF(WWWW[[#This Row],[Is sufficient soap available for TLS? (Yes/No)]]="yes",WWWW[[#This Row],['#_Constructed/Existing hand washing stations at TLS]],0)</f>
        <v>0</v>
      </c>
      <c r="DT376" s="479">
        <f>IF(WWWW[[#This Row],['# Functional hand washing stations during reporting period]]*100&gt;WWWW[[#This Row],[Total PoP ]],WWWW[[#This Row],[Total PoP ]],WWWW[[#This Row],['# Functional hand washing stations during reporting period]]*100)</f>
        <v>263</v>
      </c>
      <c r="DU376" s="479" t="str">
        <f>IF(OR(WWWW[[#This Row],['#_students at TLS_CFS]]="",WWWW[[#This Row],['#_students at TLS_CFS]]=0),"No","Yes")</f>
        <v>No</v>
      </c>
      <c r="DV37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6" s="794" t="str">
        <f>VLOOKUP(WWWW[[#This Row],[Site Name]],SiteDB6[[Site Name]:[CCCM Management]],6,FALSE)</f>
        <v>Yes</v>
      </c>
      <c r="DZ376" s="794" t="str">
        <f>VLOOKUP(WWWW[[#This Row],[Site Name]],SiteDB6[[Site Name]:[CCCM Focal Agency]],7,FALSE)</f>
        <v>Shalom</v>
      </c>
      <c r="EA376" s="794" t="str">
        <f>VLOOKUP(WWWW[[#This Row],[Site Name]],SiteDB6[[Site Name]:[Location Type 1]],9,FALSE)</f>
        <v>Camp</v>
      </c>
      <c r="EB376" s="794" t="str">
        <f>VLOOKUP(WWWW[[#This Row],[Site Name]],SiteDB6[[Site Name]:[Type of Accommodation]],10,FALSE)</f>
        <v>Camp</v>
      </c>
      <c r="EC376" s="794" t="str">
        <f>VLOOKUP(WWWW[[#This Row],[Site Name]],SiteDB6[[Site Name]:[Ethnic or GCA/NGCA]],11,FALSE)</f>
        <v>GCA</v>
      </c>
      <c r="ED376" s="794">
        <f>VLOOKUP(WWWW[[#This Row],[Site Name]],SiteDB6[[Site Name]:[Lat]],12,FALSE)</f>
        <v>25.351250396825399</v>
      </c>
      <c r="EE376" s="794">
        <f>VLOOKUP(WWWW[[#This Row],[Site Name]],SiteDB6[[Site Name]:[Long]],13,FALSE)</f>
        <v>97.444283730158702</v>
      </c>
      <c r="EF376" s="794" t="str">
        <f>VLOOKUP(WWWW[[#This Row],[Site Name]],SiteDB6[[Site Name]:[Pcode]],3,FALSE)</f>
        <v>MMR001CMP038</v>
      </c>
      <c r="EG376" s="799" t="str">
        <f t="shared" si="9"/>
        <v>Covered</v>
      </c>
      <c r="EH376" s="799" t="str">
        <f>VLOOKUP(WWWW[[#This Row],[Site Name]],Site_DB!$C$389:$D$1120,2,FALSE)</f>
        <v>cccm_2019OCT</v>
      </c>
    </row>
    <row r="377" spans="1:138" hidden="1">
      <c r="A377" s="792" t="s">
        <v>3262</v>
      </c>
      <c r="B377" s="792" t="s">
        <v>195</v>
      </c>
      <c r="C377" s="793" t="s">
        <v>195</v>
      </c>
      <c r="D377" s="404" t="s">
        <v>3367</v>
      </c>
      <c r="E377" s="793" t="s">
        <v>39</v>
      </c>
      <c r="F377" s="793" t="s">
        <v>145</v>
      </c>
      <c r="G377" s="721" t="str">
        <f>VLOOKUP(WWWW[[#This Row],[Site Name]],SiteDB6[[Site Name]:[Location Type]],8,FALSE)</f>
        <v>Camp</v>
      </c>
      <c r="H377" s="404" t="s">
        <v>224</v>
      </c>
      <c r="I377" s="720">
        <v>1230</v>
      </c>
      <c r="J377" s="720">
        <v>6501</v>
      </c>
      <c r="K377" s="407" t="s">
        <v>3609</v>
      </c>
      <c r="L377" s="56" t="s">
        <v>3610</v>
      </c>
      <c r="M377" s="795"/>
      <c r="N377" s="795"/>
      <c r="O377" s="795"/>
      <c r="P377" s="795"/>
      <c r="Q377" s="798" t="s">
        <v>43</v>
      </c>
      <c r="R377" s="795">
        <v>3</v>
      </c>
      <c r="S377" s="795">
        <v>2</v>
      </c>
      <c r="T377" s="523"/>
      <c r="U377" s="795"/>
      <c r="V377" s="795"/>
      <c r="W377" s="795"/>
      <c r="X377" s="795"/>
      <c r="Y377" s="795"/>
      <c r="Z377" s="795"/>
      <c r="AA377" s="795">
        <v>3</v>
      </c>
      <c r="AB377" s="795"/>
      <c r="AC377" s="795"/>
      <c r="AD377" s="795"/>
      <c r="AE377" s="795"/>
      <c r="AF377" s="720">
        <v>533440</v>
      </c>
      <c r="AG377" s="795"/>
      <c r="AH377" s="795"/>
      <c r="AI377" s="795"/>
      <c r="AJ377" s="795"/>
      <c r="AK377" s="795"/>
      <c r="AL377" s="795"/>
      <c r="AM377" s="795"/>
      <c r="AN377" s="795">
        <v>3</v>
      </c>
      <c r="AO377" s="799"/>
      <c r="AP377" s="720">
        <v>228</v>
      </c>
      <c r="AQ377" s="795"/>
      <c r="AR377" s="800"/>
      <c r="AS377" s="720">
        <v>20</v>
      </c>
      <c r="AT377" s="720"/>
      <c r="AU377" s="720">
        <v>22</v>
      </c>
      <c r="AV377" s="720">
        <v>52800</v>
      </c>
      <c r="AW377" s="795"/>
      <c r="AX377" s="794" t="s">
        <v>43</v>
      </c>
      <c r="AY377" s="799" t="s">
        <v>140</v>
      </c>
      <c r="AZ377" s="720">
        <v>4</v>
      </c>
      <c r="BA377" s="720">
        <v>2</v>
      </c>
      <c r="BB377" s="720">
        <v>8</v>
      </c>
      <c r="BC377" s="523"/>
      <c r="BD377" s="523"/>
      <c r="BE377" s="794"/>
      <c r="BF377" s="795">
        <v>50</v>
      </c>
      <c r="BG377" s="795"/>
      <c r="BH377" s="795"/>
      <c r="BI377" s="795">
        <v>22</v>
      </c>
      <c r="BJ377" s="795"/>
      <c r="BK377" s="795"/>
      <c r="BL377" s="795">
        <v>6</v>
      </c>
      <c r="BM377" s="720">
        <v>1245</v>
      </c>
      <c r="BN377" s="720">
        <v>1183</v>
      </c>
      <c r="BO377" s="806" t="s">
        <v>139</v>
      </c>
      <c r="BP377" s="801"/>
      <c r="BQ377" s="800"/>
      <c r="BR377" s="794"/>
      <c r="BS377" s="808">
        <v>1</v>
      </c>
      <c r="BT377" s="808">
        <v>1</v>
      </c>
      <c r="BU377" s="720"/>
      <c r="BV377" s="472">
        <v>0</v>
      </c>
      <c r="BW377" s="523"/>
      <c r="BX377" s="523"/>
      <c r="BY377" s="523"/>
      <c r="BZ377" s="802" t="str">
        <f>IFERROR(WWWW[[#This Row],['#_Water sources passed]]/WWWW[[#This Row],['#_Water sources tested for fecal coliform ]],"no test")</f>
        <v>no test</v>
      </c>
      <c r="CA377" s="800" t="str">
        <f>IFERROR(WWWW[[#This Row],['#_Household passed]]/WWWW[[#This Row],['#_Household water samples tested for fecal coliform]],"no test")</f>
        <v>no test</v>
      </c>
      <c r="CB377" s="801" t="str">
        <f>IF(AND(WWWW[[#This Row],[% of water sources passed]]="no test",WWWW[[#This Row],[% Household passed]]="no test"),"No Test","Tested")</f>
        <v>No Test</v>
      </c>
      <c r="CC377" s="801">
        <f>WWWW[[#This Row],['#_Constructed/existing protected hand dug well]]-WWWW[[#This Row],['#_Non-functional protected hand dug well]]</f>
        <v>0</v>
      </c>
      <c r="CD377" s="801">
        <f>(WWWW[[#This Row],['#_Constructed/Existing tube wells/boreholes/handpumps_WASH_agency]]+WWWW[[#This Row],['#_Non-Cluster partner water tube-wells/boreholes/handpumps]])-WWWW[[#This Row],['#_Non-functional tube wells/boreholes/handpumps]]</f>
        <v>0</v>
      </c>
      <c r="CE377" s="801">
        <f>WWWW[[#This Row],['#_Constructed/Existingwater storage tank with gravity fed reticulation system]]-WWWW[[#This Row],['#_Non-functional storage tank gravity fed reticulation system]]</f>
        <v>3</v>
      </c>
      <c r="CF377" s="801">
        <f>(WWWW[[#This Row],['#_Water_Liters_supplied_by_Water boating or water trucking]]/90)/15</f>
        <v>0</v>
      </c>
      <c r="CG377" s="801">
        <f>WWWW[[#This Row],['#_Water_Liters_from_Constructed/Existing water distribution system from river or natural spring]]/90/15</f>
        <v>395.14074074074074</v>
      </c>
      <c r="CH377" s="473">
        <f>WWWW[[#This Row],['#_of water points in TLS/CFS /THF]]*500</f>
        <v>1500</v>
      </c>
      <c r="CI37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9.1546029955505426E-2</v>
      </c>
      <c r="CJ37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9.1546029955505426E-2</v>
      </c>
      <c r="CK377" s="800">
        <f>IF(WWWW[[#This Row],[Location Type 1]]="Village",WWWW[[#This Row],[Access to safe drinking water for Village]],WWWW[[#This Row],[Access to safe drinking water for Camp]])</f>
        <v>9.1546029955505426E-2</v>
      </c>
      <c r="CL377" s="798">
        <f>WWWW[[#This Row],[%Equitable and continuous access to sufficient quantity of safe drinking water]]*WWWW[[#This Row],[Total PoP ]]</f>
        <v>595.14074074074074</v>
      </c>
      <c r="CM377" s="800">
        <f>IF((WWWW[[#This Row],['#_Constructed/Existing protected/fenced ponds]]*250)/WWWW[[#This Row],[Total PoP ]]&gt;1,1,(WWWW[[#This Row],['#_Constructed/Existing protected/fenced ponds]]*250)/WWWW[[#This Row],[Total PoP ]])</f>
        <v>0</v>
      </c>
      <c r="CN377" s="798">
        <f>WWWW[[#This Row],[% Access to unimproved water points]]*WWWW[[#This Row],[Total PoP ]]</f>
        <v>0</v>
      </c>
      <c r="CO37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9.1546029955505426E-2</v>
      </c>
      <c r="CP37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595.14074074074074</v>
      </c>
      <c r="CQ377" s="798">
        <f>WWWW[[#This Row],[HRP1]]/500</f>
        <v>1.1902814814814815</v>
      </c>
      <c r="CR377" s="803">
        <f>1-WWWW[[#This Row],[% Equitable and continuous access to sufficient quantity of domestic water]]</f>
        <v>0.90845397004449457</v>
      </c>
      <c r="CS377" s="798">
        <f>WWWW[[#This Row],[%equitable and continuous access to sufficient quantity of safe drinking and domestic water''s GAP]]*WWWW[[#This Row],[Total PoP ]]</f>
        <v>5905.8592592592595</v>
      </c>
      <c r="CT377" s="801">
        <f>IF(WWWW[[#This Row],[Total required water points]]-WWWW[[#This Row],['#Water points coverage]]&lt;0,0,WWWW[[#This Row],[Total required water points]]-WWWW[[#This Row],['#Water points coverage]])</f>
        <v>11.809718518518519</v>
      </c>
      <c r="CU377" s="801">
        <f>ROUND(IF(WWWW[[#This Row],[Total PoP ]]&lt;500,1,WWWW[[#This Row],[Total PoP ]]/500),0)</f>
        <v>13</v>
      </c>
      <c r="CV377" s="801">
        <f>(WWWW[[#This Row],['#_Constructed latrines_by_WASHAgencies]]+WWWW[[#This Row],['#_Non Cluster partner latrines]])-WWWW[[#This Row],['#_Non-functional latrines]]</f>
        <v>208</v>
      </c>
      <c r="CW377" s="804">
        <f>WWWW[[#This Row],[HRP2]]/WWWW[[#This Row],[Total PoP ]]</f>
        <v>0.65220735271496688</v>
      </c>
      <c r="CX37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4240</v>
      </c>
      <c r="CY37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440</v>
      </c>
      <c r="CZ37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7" s="473">
        <f>IF(WWWW[[#This Row],['# of functional latrines in THF supported by WASH partners during the reporting period2]]="",0,WWWW[[#This Row],['# of functional latrines in THF supported by WASH partners during the reporting period2]]*50)</f>
        <v>0</v>
      </c>
      <c r="DB377" s="473">
        <f>WWWW[[#This Row],['# students access to functioning school latrines_HRP5]]+WWWW[[#This Row],['# People access to functioning latrines in THF_HRP5]]</f>
        <v>0</v>
      </c>
      <c r="DC377" s="801">
        <f>ROUND(IF(WWWW[[#This Row],[Location Type 1]]="camp",WWWW[[#This Row],[Total PoP ]]/20,IF(WWWW[[#This Row],[Location Type 1]]="Temporary Location",WWWW[[#This Row],[Total PoP ]]/50,(WWWW[[#This Row],[Total PoP ]]/6))),0)</f>
        <v>325</v>
      </c>
      <c r="DD377" s="801">
        <f>IF(WWWW[[#This Row],[Total required Latrines]]-(WWWW[[#This Row],['#_Constructed latrines_by_WASHAgencies]]+WWWW[[#This Row],['#_Non Cluster partner latrines]])&lt;0,0,WWWW[[#This Row],[Total required Latrines]]-(WWWW[[#This Row],['#_Constructed latrines_by_WASHAgencies]]+WWWW[[#This Row],['#_Non Cluster partner latrines]]))</f>
        <v>97</v>
      </c>
      <c r="DE377" s="803">
        <f>1-WWWW[[#This Row],[% people access to functioning Latrine]]</f>
        <v>0.34779264728503312</v>
      </c>
      <c r="DF377" s="802">
        <f>IF(OR(WWWW[[#This Row],['#_Non-functional latrines]]="",WWWW[[#This Row],['#_Non-functional latrines]]=0),0,WWWW[[#This Row],['#_Non-functional latrines]]/(WWWW[[#This Row],['#_Constructed latrines_by_WASHAgencies]]+WWWW[[#This Row],['#_Non Cluster partner latrines]]))</f>
        <v>8.771929824561403E-2</v>
      </c>
      <c r="DG377" s="798">
        <f>IF(500*(WWWW[[#This Row],['#_male hygiene promoters]]+WWWW[[#This Row],['#_female hygiene promoters]])&gt;WWWW[[#This Row],[Total PoP ]],WWWW[[#This Row],[Total PoP ]],500*(WWWW[[#This Row],['#_male hygiene promoters]]+WWWW[[#This Row],['#_female hygiene promoters]]))</f>
        <v>3000</v>
      </c>
      <c r="DH37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6225</v>
      </c>
      <c r="DI37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1183</v>
      </c>
      <c r="DJ377" s="801">
        <f>IF(WWWW[[#This Row],['# People with access to soap]]&gt;WWWW[[#This Row],['# People with access to Sanity Pads]],WWWW[[#This Row],['# People with access to soap]],WWWW[[#This Row],['# People with access to Sanity Pads]])</f>
        <v>6225</v>
      </c>
      <c r="DK377" s="801">
        <f>IF(WWWW[[#This Row],['# people reached by regular dedicated hygiene promotion_5]]&gt;WWWW[[#This Row],['# People received regular supply of hygiene items_6]],WWWW[[#This Row],['# people reached by regular dedicated hygiene promotion_5]],WWWW[[#This Row],['# People received regular supply of hygiene items_6]])</f>
        <v>6225</v>
      </c>
      <c r="DL377" s="803">
        <f>IF(WWWW[[#This Row],[HRP3]]/WWWW[[#This Row],[Total PoP ]]&gt;1,1,WWWW[[#This Row],[HRP3]]/WWWW[[#This Row],[Total PoP ]])</f>
        <v>0.95754499307798802</v>
      </c>
      <c r="DM377" s="802">
        <f>1-WWWW[[#This Row],[Hygiene Coverage%]]</f>
        <v>4.2455006922011984E-2</v>
      </c>
      <c r="DN377" s="800">
        <f>WWWW[[#This Row],['# people reached by regular dedicated hygiene promotion_5]]/WWWW[[#This Row],[Total PoP ]]</f>
        <v>0.46146746654360865</v>
      </c>
      <c r="DO37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7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0.96178861788617886</v>
      </c>
      <c r="DQ377" s="801">
        <f>WWWW[[#This Row],['#_Constructed/Existing hand washing stations]]-WWWW[[#This Row],['#_Non-Functional_hand_washing_stations]]</f>
        <v>50</v>
      </c>
      <c r="DR377" s="798">
        <f>IF(WWWW[[#This Row],['# Functional hand washing stations during reporting period]]*20&gt;WWWW[[#This Row],[Total HH]],WWWW[[#This Row],[Total HH]],WWWW[[#This Row],['# Functional hand washing stations during reporting period]]*20)</f>
        <v>1000</v>
      </c>
      <c r="DS377" s="798">
        <f>IF(WWWW[[#This Row],[Is sufficient soap available for TLS? (Yes/No)]]="yes",WWWW[[#This Row],['#_Constructed/Existing hand washing stations at TLS]],0)</f>
        <v>0</v>
      </c>
      <c r="DT377" s="479">
        <f>IF(WWWW[[#This Row],['# Functional hand washing stations during reporting period]]*100&gt;WWWW[[#This Row],[Total PoP ]],WWWW[[#This Row],[Total PoP ]],WWWW[[#This Row],['# Functional hand washing stations during reporting period]]*100)</f>
        <v>5000</v>
      </c>
      <c r="DU377" s="479" t="str">
        <f>IF(OR(WWWW[[#This Row],['#_students at TLS_CFS]]="",WWWW[[#This Row],['#_students at TLS_CFS]]=0),"No","Yes")</f>
        <v>No</v>
      </c>
      <c r="DV37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377" s="794" t="str">
        <f>VLOOKUP(WWWW[[#This Row],[Site Name]],SiteDB6[[Site Name]:[CCCM Management]],6,FALSE)</f>
        <v>Yes</v>
      </c>
      <c r="DZ377" s="794" t="str">
        <f>VLOOKUP(WWWW[[#This Row],[Site Name]],SiteDB6[[Site Name]:[CCCM Focal Agency]],7,FALSE)</f>
        <v>KMSS-MYT</v>
      </c>
      <c r="EA377" s="794" t="str">
        <f>VLOOKUP(WWWW[[#This Row],[Site Name]],SiteDB6[[Site Name]:[Location Type 1]],9,FALSE)</f>
        <v>Camp</v>
      </c>
      <c r="EB377" s="794" t="str">
        <f>VLOOKUP(WWWW[[#This Row],[Site Name]],SiteDB6[[Site Name]:[Type of Accommodation]],10,FALSE)</f>
        <v>Camp</v>
      </c>
      <c r="EC377" s="794" t="str">
        <f>VLOOKUP(WWWW[[#This Row],[Site Name]],SiteDB6[[Site Name]:[Ethnic or GCA/NGCA]],11,FALSE)</f>
        <v>NGCA</v>
      </c>
      <c r="ED377" s="794">
        <f>VLOOKUP(WWWW[[#This Row],[Site Name]],SiteDB6[[Site Name]:[Lat]],12,FALSE)</f>
        <v>24.755253</v>
      </c>
      <c r="EE377" s="794">
        <f>VLOOKUP(WWWW[[#This Row],[Site Name]],SiteDB6[[Site Name]:[Long]],13,FALSE)</f>
        <v>97.546893999999995</v>
      </c>
      <c r="EF377" s="794" t="str">
        <f>VLOOKUP(WWWW[[#This Row],[Site Name]],SiteDB6[[Site Name]:[Pcode]],3,FALSE)</f>
        <v>MMR001CMP116</v>
      </c>
      <c r="EG377" s="799" t="str">
        <f t="shared" si="9"/>
        <v>Covered</v>
      </c>
      <c r="EH377" s="799" t="str">
        <f>VLOOKUP(WWWW[[#This Row],[Site Name]],Site_DB!$C$389:$D$1120,2,FALSE)</f>
        <v>cccm_2019OCT</v>
      </c>
    </row>
    <row r="378" spans="1:138" hidden="1">
      <c r="A378" s="792" t="s">
        <v>3262</v>
      </c>
      <c r="B378" s="792" t="s">
        <v>144</v>
      </c>
      <c r="C378" s="793" t="s">
        <v>144</v>
      </c>
      <c r="D378" s="793" t="s">
        <v>3277</v>
      </c>
      <c r="E378" s="793" t="s">
        <v>39</v>
      </c>
      <c r="F378" s="793" t="s">
        <v>151</v>
      </c>
      <c r="G378" s="721" t="str">
        <f>VLOOKUP(WWWW[[#This Row],[Site Name]],SiteDB6[[Site Name]:[Location Type]],8,FALSE)</f>
        <v>Camp_not registered</v>
      </c>
      <c r="H378" s="793" t="s">
        <v>194</v>
      </c>
      <c r="I378" s="795">
        <v>18</v>
      </c>
      <c r="J378" s="795">
        <v>80</v>
      </c>
      <c r="K378" s="796" t="s">
        <v>3278</v>
      </c>
      <c r="L378" s="797" t="s">
        <v>3279</v>
      </c>
      <c r="M378" s="795"/>
      <c r="N378" s="795"/>
      <c r="O378" s="795"/>
      <c r="P378" s="795"/>
      <c r="Q378" s="798" t="s">
        <v>43</v>
      </c>
      <c r="R378" s="795"/>
      <c r="S378" s="795">
        <v>4</v>
      </c>
      <c r="T378" s="523">
        <v>2</v>
      </c>
      <c r="U378" s="795"/>
      <c r="V378" s="795"/>
      <c r="W378" s="795"/>
      <c r="X378" s="795"/>
      <c r="Y378" s="795"/>
      <c r="Z378" s="795"/>
      <c r="AA378" s="795"/>
      <c r="AB378" s="795"/>
      <c r="AC378" s="795"/>
      <c r="AD378" s="795"/>
      <c r="AE378" s="795"/>
      <c r="AF378" s="795"/>
      <c r="AG378" s="795"/>
      <c r="AH378" s="795">
        <v>0</v>
      </c>
      <c r="AI378" s="795"/>
      <c r="AJ378" s="795"/>
      <c r="AK378" s="795"/>
      <c r="AL378" s="795"/>
      <c r="AM378" s="795"/>
      <c r="AN378" s="795"/>
      <c r="AO378" s="799"/>
      <c r="AP378" s="795">
        <v>4</v>
      </c>
      <c r="AQ378" s="795"/>
      <c r="AR378" s="800"/>
      <c r="AS378" s="795"/>
      <c r="AT378" s="795"/>
      <c r="AU378" s="795"/>
      <c r="AV378" s="795"/>
      <c r="AW378" s="795">
        <v>4</v>
      </c>
      <c r="AX378" s="794" t="s">
        <v>43</v>
      </c>
      <c r="AY378" s="799" t="s">
        <v>140</v>
      </c>
      <c r="AZ378" s="795"/>
      <c r="BA378" s="795"/>
      <c r="BB378" s="795"/>
      <c r="BC378" s="523"/>
      <c r="BD378" s="523"/>
      <c r="BE378" s="794"/>
      <c r="BF378" s="795">
        <v>2</v>
      </c>
      <c r="BG378" s="795"/>
      <c r="BH378" s="795"/>
      <c r="BI378" s="795">
        <v>1</v>
      </c>
      <c r="BJ378" s="795"/>
      <c r="BK378" s="795"/>
      <c r="BL378" s="795">
        <v>1</v>
      </c>
      <c r="BM378" s="795"/>
      <c r="BN378" s="795"/>
      <c r="BO378" s="794"/>
      <c r="BP378" s="801"/>
      <c r="BQ378" s="800"/>
      <c r="BR378" s="794"/>
      <c r="BS378" s="472"/>
      <c r="BT378" s="472"/>
      <c r="BU378" s="523"/>
      <c r="BV378" s="472"/>
      <c r="BW378" s="523"/>
      <c r="BX378" s="523"/>
      <c r="BY378" s="523"/>
      <c r="BZ378" s="802" t="str">
        <f>IFERROR(WWWW[[#This Row],['#_Water sources passed]]/WWWW[[#This Row],['#_Water sources tested for fecal coliform ]],"no test")</f>
        <v>no test</v>
      </c>
      <c r="CA378" s="800" t="str">
        <f>IFERROR(WWWW[[#This Row],['#_Household passed]]/WWWW[[#This Row],['#_Household water samples tested for fecal coliform]],"no test")</f>
        <v>no test</v>
      </c>
      <c r="CB378" s="801" t="str">
        <f>IF(AND(WWWW[[#This Row],[% of water sources passed]]="no test",WWWW[[#This Row],[% Household passed]]="no test"),"No Test","Tested")</f>
        <v>No Test</v>
      </c>
      <c r="CC378" s="801">
        <f>WWWW[[#This Row],['#_Constructed/existing protected hand dug well]]-WWWW[[#This Row],['#_Non-functional protected hand dug well]]</f>
        <v>2</v>
      </c>
      <c r="CD378" s="801">
        <f>(WWWW[[#This Row],['#_Constructed/Existing tube wells/boreholes/handpumps_WASH_agency]]+WWWW[[#This Row],['#_Non-Cluster partner water tube-wells/boreholes/handpumps]])-WWWW[[#This Row],['#_Non-functional tube wells/boreholes/handpumps]]</f>
        <v>0</v>
      </c>
      <c r="CE378" s="801">
        <f>WWWW[[#This Row],['#_Constructed/Existingwater storage tank with gravity fed reticulation system]]-WWWW[[#This Row],['#_Non-functional storage tank gravity fed reticulation system]]</f>
        <v>0</v>
      </c>
      <c r="CF378" s="801">
        <f>(WWWW[[#This Row],['#_Water_Liters_supplied_by_Water boating or water trucking]]/90)/15</f>
        <v>0</v>
      </c>
      <c r="CG378" s="801">
        <f>WWWW[[#This Row],['#_Water_Liters_from_Constructed/Existing water distribution system from river or natural spring]]/90/15</f>
        <v>0</v>
      </c>
      <c r="CH378" s="473">
        <f>WWWW[[#This Row],['#_of water points in TLS/CFS /THF]]*500</f>
        <v>0</v>
      </c>
      <c r="CI37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8" s="800">
        <f>IF(WWWW[[#This Row],[Location Type 1]]="Village",WWWW[[#This Row],[Access to safe drinking water for Village]],WWWW[[#This Row],[Access to safe drinking water for Camp]])</f>
        <v>1</v>
      </c>
      <c r="CL378" s="798">
        <f>WWWW[[#This Row],[%Equitable and continuous access to sufficient quantity of safe drinking water]]*WWWW[[#This Row],[Total PoP ]]</f>
        <v>80</v>
      </c>
      <c r="CM378" s="800">
        <f>IF((WWWW[[#This Row],['#_Constructed/Existing protected/fenced ponds]]*250)/WWWW[[#This Row],[Total PoP ]]&gt;1,1,(WWWW[[#This Row],['#_Constructed/Existing protected/fenced ponds]]*250)/WWWW[[#This Row],[Total PoP ]])</f>
        <v>0</v>
      </c>
      <c r="CN378" s="798">
        <f>WWWW[[#This Row],[% Access to unimproved water points]]*WWWW[[#This Row],[Total PoP ]]</f>
        <v>0</v>
      </c>
      <c r="CO37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Q378" s="798">
        <f>WWWW[[#This Row],[HRP1]]/500</f>
        <v>0.16</v>
      </c>
      <c r="CR378" s="803">
        <f>1-WWWW[[#This Row],[% Equitable and continuous access to sufficient quantity of domestic water]]</f>
        <v>0</v>
      </c>
      <c r="CS378" s="798">
        <f>WWWW[[#This Row],[%equitable and continuous access to sufficient quantity of safe drinking and domestic water''s GAP]]*WWWW[[#This Row],[Total PoP ]]</f>
        <v>0</v>
      </c>
      <c r="CT378" s="801">
        <f>IF(WWWW[[#This Row],[Total required water points]]-WWWW[[#This Row],['#Water points coverage]]&lt;0,0,WWWW[[#This Row],[Total required water points]]-WWWW[[#This Row],['#Water points coverage]])</f>
        <v>0.84</v>
      </c>
      <c r="CU378" s="801">
        <f>ROUND(IF(WWWW[[#This Row],[Total PoP ]]&lt;500,1,WWWW[[#This Row],[Total PoP ]]/500),0)</f>
        <v>1</v>
      </c>
      <c r="CV378" s="801">
        <f>(WWWW[[#This Row],['#_Constructed latrines_by_WASHAgencies]]+WWWW[[#This Row],['#_Non Cluster partner latrines]])-WWWW[[#This Row],['#_Non-functional latrines]]</f>
        <v>4</v>
      </c>
      <c r="CW378" s="804">
        <f>WWWW[[#This Row],[HRP2]]/WWWW[[#This Row],[Total PoP ]]</f>
        <v>1</v>
      </c>
      <c r="CX37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37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8" s="473">
        <f>IF(WWWW[[#This Row],['# of functional latrines in THF supported by WASH partners during the reporting period2]]="",0,WWWW[[#This Row],['# of functional latrines in THF supported by WASH partners during the reporting period2]]*50)</f>
        <v>0</v>
      </c>
      <c r="DB378" s="473">
        <f>WWWW[[#This Row],['# students access to functioning school latrines_HRP5]]+WWWW[[#This Row],['# People access to functioning latrines in THF_HRP5]]</f>
        <v>0</v>
      </c>
      <c r="DC378" s="801">
        <f>ROUND(IF(WWWW[[#This Row],[Location Type 1]]="camp",WWWW[[#This Row],[Total PoP ]]/20,IF(WWWW[[#This Row],[Location Type 1]]="Temporary Location",WWWW[[#This Row],[Total PoP ]]/50,(WWWW[[#This Row],[Total PoP ]]/6))),0)</f>
        <v>4</v>
      </c>
      <c r="DD378" s="801">
        <f>IF(WWWW[[#This Row],[Total required Latrines]]-(WWWW[[#This Row],['#_Constructed latrines_by_WASHAgencies]]+WWWW[[#This Row],['#_Non Cluster partner latrines]])&lt;0,0,WWWW[[#This Row],[Total required Latrines]]-(WWWW[[#This Row],['#_Constructed latrines_by_WASHAgencies]]+WWWW[[#This Row],['#_Non Cluster partner latrines]]))</f>
        <v>0</v>
      </c>
      <c r="DE378" s="803">
        <f>1-WWWW[[#This Row],[% people access to functioning Latrine]]</f>
        <v>0</v>
      </c>
      <c r="DF378" s="802">
        <f>IF(OR(WWWW[[#This Row],['#_Non-functional latrines]]="",WWWW[[#This Row],['#_Non-functional latrines]]=0),0,WWWW[[#This Row],['#_Non-functional latrines]]/(WWWW[[#This Row],['#_Constructed latrines_by_WASHAgencies]]+WWWW[[#This Row],['#_Non Cluster partner latrines]]))</f>
        <v>0</v>
      </c>
      <c r="DG378" s="798">
        <f>IF(500*(WWWW[[#This Row],['#_male hygiene promoters]]+WWWW[[#This Row],['#_female hygiene promoters]])&gt;WWWW[[#This Row],[Total PoP ]],WWWW[[#This Row],[Total PoP ]],500*(WWWW[[#This Row],['#_male hygiene promoters]]+WWWW[[#This Row],['#_female hygiene promoters]]))</f>
        <v>80</v>
      </c>
      <c r="DH37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8" s="801">
        <f>IF(WWWW[[#This Row],['# People with access to soap]]&gt;WWWW[[#This Row],['# People with access to Sanity Pads]],WWWW[[#This Row],['# People with access to soap]],WWWW[[#This Row],['# People with access to Sanity Pads]])</f>
        <v>0</v>
      </c>
      <c r="DK378" s="801">
        <f>IF(WWWW[[#This Row],['# people reached by regular dedicated hygiene promotion_5]]&gt;WWWW[[#This Row],['# People received regular supply of hygiene items_6]],WWWW[[#This Row],['# people reached by regular dedicated hygiene promotion_5]],WWWW[[#This Row],['# People received regular supply of hygiene items_6]])</f>
        <v>80</v>
      </c>
      <c r="DL378" s="803">
        <f>IF(WWWW[[#This Row],[HRP3]]/WWWW[[#This Row],[Total PoP ]]&gt;1,1,WWWW[[#This Row],[HRP3]]/WWWW[[#This Row],[Total PoP ]])</f>
        <v>1</v>
      </c>
      <c r="DM378" s="802">
        <f>1-WWWW[[#This Row],[Hygiene Coverage%]]</f>
        <v>0</v>
      </c>
      <c r="DN378" s="800">
        <f>WWWW[[#This Row],['# people reached by regular dedicated hygiene promotion_5]]/WWWW[[#This Row],[Total PoP ]]</f>
        <v>1</v>
      </c>
      <c r="DO37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8" s="801">
        <f>WWWW[[#This Row],['#_Constructed/Existing hand washing stations]]-WWWW[[#This Row],['#_Non-Functional_hand_washing_stations]]</f>
        <v>2</v>
      </c>
      <c r="DR378" s="798">
        <f>IF(WWWW[[#This Row],['# Functional hand washing stations during reporting period]]*20&gt;WWWW[[#This Row],[Total HH]],WWWW[[#This Row],[Total HH]],WWWW[[#This Row],['# Functional hand washing stations during reporting period]]*20)</f>
        <v>18</v>
      </c>
      <c r="DS378" s="798">
        <f>IF(WWWW[[#This Row],[Is sufficient soap available for TLS? (Yes/No)]]="yes",WWWW[[#This Row],['#_Constructed/Existing hand washing stations at TLS]],0)</f>
        <v>0</v>
      </c>
      <c r="DT378" s="479">
        <f>IF(WWWW[[#This Row],['# Functional hand washing stations during reporting period]]*100&gt;WWWW[[#This Row],[Total PoP ]],WWWW[[#This Row],[Total PoP ]],WWWW[[#This Row],['# Functional hand washing stations during reporting period]]*100)</f>
        <v>80</v>
      </c>
      <c r="DU378" s="479" t="str">
        <f>IF(OR(WWWW[[#This Row],['#_students at TLS_CFS]]="",WWWW[[#This Row],['#_students at TLS_CFS]]=0),"No","Yes")</f>
        <v>No</v>
      </c>
      <c r="DV37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8" s="794">
        <f>VLOOKUP(WWWW[[#This Row],[Site Name]],SiteDB6[[Site Name]:[CCCM Management]],6,FALSE)</f>
        <v>0</v>
      </c>
      <c r="DZ378" s="794">
        <f>VLOOKUP(WWWW[[#This Row],[Site Name]],SiteDB6[[Site Name]:[CCCM Focal Agency]],7,FALSE)</f>
        <v>0</v>
      </c>
      <c r="EA378" s="794" t="str">
        <f>VLOOKUP(WWWW[[#This Row],[Site Name]],SiteDB6[[Site Name]:[Location Type 1]],9,FALSE)</f>
        <v>Camp</v>
      </c>
      <c r="EB378" s="794" t="str">
        <f>VLOOKUP(WWWW[[#This Row],[Site Name]],SiteDB6[[Site Name]:[Type of Accommodation]],10,FALSE)</f>
        <v>Camp</v>
      </c>
      <c r="EC378" s="794" t="str">
        <f>VLOOKUP(WWWW[[#This Row],[Site Name]],SiteDB6[[Site Name]:[Ethnic or GCA/NGCA]],11,FALSE)</f>
        <v>GCA</v>
      </c>
      <c r="ED378" s="794">
        <f>VLOOKUP(WWWW[[#This Row],[Site Name]],SiteDB6[[Site Name]:[Lat]],12,FALSE)</f>
        <v>0</v>
      </c>
      <c r="EE378" s="794">
        <f>VLOOKUP(WWWW[[#This Row],[Site Name]],SiteDB6[[Site Name]:[Long]],13,FALSE)</f>
        <v>0</v>
      </c>
      <c r="EF378" s="794">
        <f>VLOOKUP(WWWW[[#This Row],[Site Name]],SiteDB6[[Site Name]:[Pcode]],3,FALSE)</f>
        <v>0</v>
      </c>
      <c r="EG378" s="799" t="str">
        <f t="shared" si="9"/>
        <v>Covered</v>
      </c>
      <c r="EH378" s="799">
        <f>VLOOKUP(WWWW[[#This Row],[Site Name]],Site_DB!$C$389:$D$1120,2,FALSE)</f>
        <v>0</v>
      </c>
    </row>
    <row r="379" spans="1:138" hidden="1">
      <c r="A379" s="792" t="s">
        <v>3262</v>
      </c>
      <c r="B379" s="792" t="s">
        <v>144</v>
      </c>
      <c r="C379" s="793" t="s">
        <v>144</v>
      </c>
      <c r="D379" s="793" t="s">
        <v>3277</v>
      </c>
      <c r="E379" s="793" t="s">
        <v>39</v>
      </c>
      <c r="F379" s="793" t="s">
        <v>162</v>
      </c>
      <c r="G379" s="721" t="str">
        <f>VLOOKUP(WWWW[[#This Row],[Site Name]],SiteDB6[[Site Name]:[Location Type]],8,FALSE)</f>
        <v>Camp</v>
      </c>
      <c r="H379" s="793" t="s">
        <v>175</v>
      </c>
      <c r="I379" s="795">
        <v>43</v>
      </c>
      <c r="J379" s="795">
        <v>219</v>
      </c>
      <c r="K379" s="796" t="s">
        <v>3278</v>
      </c>
      <c r="L379" s="797" t="s">
        <v>3279</v>
      </c>
      <c r="M379" s="795"/>
      <c r="N379" s="795"/>
      <c r="O379" s="795"/>
      <c r="P379" s="795"/>
      <c r="Q379" s="798" t="s">
        <v>43</v>
      </c>
      <c r="R379" s="795"/>
      <c r="S379" s="795">
        <v>4</v>
      </c>
      <c r="T379" s="523">
        <v>0</v>
      </c>
      <c r="U379" s="795"/>
      <c r="V379" s="795"/>
      <c r="W379" s="795">
        <v>2</v>
      </c>
      <c r="X379" s="795"/>
      <c r="Y379" s="795"/>
      <c r="Z379" s="795"/>
      <c r="AA379" s="795"/>
      <c r="AB379" s="795"/>
      <c r="AC379" s="795"/>
      <c r="AD379" s="795"/>
      <c r="AE379" s="795"/>
      <c r="AF379" s="795"/>
      <c r="AG379" s="795"/>
      <c r="AH379" s="795">
        <v>3</v>
      </c>
      <c r="AI379" s="795"/>
      <c r="AJ379" s="795"/>
      <c r="AK379" s="795"/>
      <c r="AL379" s="795"/>
      <c r="AM379" s="795"/>
      <c r="AN379" s="795"/>
      <c r="AO379" s="799"/>
      <c r="AP379" s="795">
        <v>13</v>
      </c>
      <c r="AQ379" s="795"/>
      <c r="AR379" s="800"/>
      <c r="AS379" s="795"/>
      <c r="AT379" s="795"/>
      <c r="AU379" s="795"/>
      <c r="AV379" s="795"/>
      <c r="AW379" s="795">
        <v>13</v>
      </c>
      <c r="AX379" s="794" t="s">
        <v>43</v>
      </c>
      <c r="AY379" s="799" t="s">
        <v>140</v>
      </c>
      <c r="AZ379" s="795"/>
      <c r="BA379" s="795"/>
      <c r="BB379" s="795"/>
      <c r="BC379" s="523"/>
      <c r="BD379" s="523"/>
      <c r="BE379" s="794"/>
      <c r="BF379" s="795">
        <v>2</v>
      </c>
      <c r="BG379" s="795"/>
      <c r="BH379" s="795"/>
      <c r="BI379" s="795">
        <v>3</v>
      </c>
      <c r="BJ379" s="795"/>
      <c r="BK379" s="795"/>
      <c r="BL379" s="795">
        <v>1</v>
      </c>
      <c r="BM379" s="795"/>
      <c r="BN379" s="795"/>
      <c r="BO379" s="794"/>
      <c r="BP379" s="801"/>
      <c r="BQ379" s="800"/>
      <c r="BR379" s="794"/>
      <c r="BS379" s="472"/>
      <c r="BT379" s="472"/>
      <c r="BU379" s="523"/>
      <c r="BV379" s="472"/>
      <c r="BW379" s="523"/>
      <c r="BX379" s="523"/>
      <c r="BY379" s="523"/>
      <c r="BZ379" s="802" t="str">
        <f>IFERROR(WWWW[[#This Row],['#_Water sources passed]]/WWWW[[#This Row],['#_Water sources tested for fecal coliform ]],"no test")</f>
        <v>no test</v>
      </c>
      <c r="CA379" s="800" t="str">
        <f>IFERROR(WWWW[[#This Row],['#_Household passed]]/WWWW[[#This Row],['#_Household water samples tested for fecal coliform]],"no test")</f>
        <v>no test</v>
      </c>
      <c r="CB379" s="801" t="str">
        <f>IF(AND(WWWW[[#This Row],[% of water sources passed]]="no test",WWWW[[#This Row],[% Household passed]]="no test"),"No Test","Tested")</f>
        <v>No Test</v>
      </c>
      <c r="CC379" s="801">
        <f>WWWW[[#This Row],['#_Constructed/existing protected hand dug well]]-WWWW[[#This Row],['#_Non-functional protected hand dug well]]</f>
        <v>0</v>
      </c>
      <c r="CD379" s="801">
        <f>(WWWW[[#This Row],['#_Constructed/Existing tube wells/boreholes/handpumps_WASH_agency]]+WWWW[[#This Row],['#_Non-Cluster partner water tube-wells/boreholes/handpumps]])-WWWW[[#This Row],['#_Non-functional tube wells/boreholes/handpumps]]</f>
        <v>2</v>
      </c>
      <c r="CE379" s="801">
        <f>WWWW[[#This Row],['#_Constructed/Existingwater storage tank with gravity fed reticulation system]]-WWWW[[#This Row],['#_Non-functional storage tank gravity fed reticulation system]]</f>
        <v>0</v>
      </c>
      <c r="CF379" s="801">
        <f>(WWWW[[#This Row],['#_Water_Liters_supplied_by_Water boating or water trucking]]/90)/15</f>
        <v>0</v>
      </c>
      <c r="CG379" s="801">
        <f>WWWW[[#This Row],['#_Water_Liters_from_Constructed/Existing water distribution system from river or natural spring]]/90/15</f>
        <v>0</v>
      </c>
      <c r="CH379" s="473">
        <f>WWWW[[#This Row],['#_of water points in TLS/CFS /THF]]*500</f>
        <v>0</v>
      </c>
      <c r="CI37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7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79" s="800">
        <f>IF(WWWW[[#This Row],[Location Type 1]]="Village",WWWW[[#This Row],[Access to safe drinking water for Village]],WWWW[[#This Row],[Access to safe drinking water for Camp]])</f>
        <v>1</v>
      </c>
      <c r="CL379" s="798">
        <f>WWWW[[#This Row],[%Equitable and continuous access to sufficient quantity of safe drinking water]]*WWWW[[#This Row],[Total PoP ]]</f>
        <v>219</v>
      </c>
      <c r="CM379" s="800">
        <f>IF((WWWW[[#This Row],['#_Constructed/Existing protected/fenced ponds]]*250)/WWWW[[#This Row],[Total PoP ]]&gt;1,1,(WWWW[[#This Row],['#_Constructed/Existing protected/fenced ponds]]*250)/WWWW[[#This Row],[Total PoP ]])</f>
        <v>0</v>
      </c>
      <c r="CN379" s="798">
        <f>WWWW[[#This Row],[% Access to unimproved water points]]*WWWW[[#This Row],[Total PoP ]]</f>
        <v>0</v>
      </c>
      <c r="CO37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7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Q379" s="798">
        <f>WWWW[[#This Row],[HRP1]]/500</f>
        <v>0.438</v>
      </c>
      <c r="CR379" s="803">
        <f>1-WWWW[[#This Row],[% Equitable and continuous access to sufficient quantity of domestic water]]</f>
        <v>0</v>
      </c>
      <c r="CS379" s="798">
        <f>WWWW[[#This Row],[%equitable and continuous access to sufficient quantity of safe drinking and domestic water''s GAP]]*WWWW[[#This Row],[Total PoP ]]</f>
        <v>0</v>
      </c>
      <c r="CT379" s="801">
        <f>IF(WWWW[[#This Row],[Total required water points]]-WWWW[[#This Row],['#Water points coverage]]&lt;0,0,WWWW[[#This Row],[Total required water points]]-WWWW[[#This Row],['#Water points coverage]])</f>
        <v>0.56200000000000006</v>
      </c>
      <c r="CU379" s="801">
        <f>ROUND(IF(WWWW[[#This Row],[Total PoP ]]&lt;500,1,WWWW[[#This Row],[Total PoP ]]/500),0)</f>
        <v>1</v>
      </c>
      <c r="CV379" s="801">
        <f>(WWWW[[#This Row],['#_Constructed latrines_by_WASHAgencies]]+WWWW[[#This Row],['#_Non Cluster partner latrines]])-WWWW[[#This Row],['#_Non-functional latrines]]</f>
        <v>13</v>
      </c>
      <c r="CW379" s="804">
        <f>WWWW[[#This Row],[HRP2]]/WWWW[[#This Row],[Total PoP ]]</f>
        <v>1</v>
      </c>
      <c r="CX37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CY37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7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79" s="473">
        <f>IF(WWWW[[#This Row],['# of functional latrines in THF supported by WASH partners during the reporting period2]]="",0,WWWW[[#This Row],['# of functional latrines in THF supported by WASH partners during the reporting period2]]*50)</f>
        <v>0</v>
      </c>
      <c r="DB379" s="473">
        <f>WWWW[[#This Row],['# students access to functioning school latrines_HRP5]]+WWWW[[#This Row],['# People access to functioning latrines in THF_HRP5]]</f>
        <v>0</v>
      </c>
      <c r="DC379" s="801">
        <f>ROUND(IF(WWWW[[#This Row],[Location Type 1]]="camp",WWWW[[#This Row],[Total PoP ]]/20,IF(WWWW[[#This Row],[Location Type 1]]="Temporary Location",WWWW[[#This Row],[Total PoP ]]/50,(WWWW[[#This Row],[Total PoP ]]/6))),0)</f>
        <v>11</v>
      </c>
      <c r="DD379" s="801">
        <f>IF(WWWW[[#This Row],[Total required Latrines]]-(WWWW[[#This Row],['#_Constructed latrines_by_WASHAgencies]]+WWWW[[#This Row],['#_Non Cluster partner latrines]])&lt;0,0,WWWW[[#This Row],[Total required Latrines]]-(WWWW[[#This Row],['#_Constructed latrines_by_WASHAgencies]]+WWWW[[#This Row],['#_Non Cluster partner latrines]]))</f>
        <v>0</v>
      </c>
      <c r="DE379" s="803">
        <f>1-WWWW[[#This Row],[% people access to functioning Latrine]]</f>
        <v>0</v>
      </c>
      <c r="DF379" s="802">
        <f>IF(OR(WWWW[[#This Row],['#_Non-functional latrines]]="",WWWW[[#This Row],['#_Non-functional latrines]]=0),0,WWWW[[#This Row],['#_Non-functional latrines]]/(WWWW[[#This Row],['#_Constructed latrines_by_WASHAgencies]]+WWWW[[#This Row],['#_Non Cluster partner latrines]]))</f>
        <v>0</v>
      </c>
      <c r="DG379" s="798">
        <f>IF(500*(WWWW[[#This Row],['#_male hygiene promoters]]+WWWW[[#This Row],['#_female hygiene promoters]])&gt;WWWW[[#This Row],[Total PoP ]],WWWW[[#This Row],[Total PoP ]],500*(WWWW[[#This Row],['#_male hygiene promoters]]+WWWW[[#This Row],['#_female hygiene promoters]]))</f>
        <v>219</v>
      </c>
      <c r="DH37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7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79" s="801">
        <f>IF(WWWW[[#This Row],['# People with access to soap]]&gt;WWWW[[#This Row],['# People with access to Sanity Pads]],WWWW[[#This Row],['# People with access to soap]],WWWW[[#This Row],['# People with access to Sanity Pads]])</f>
        <v>0</v>
      </c>
      <c r="DK379" s="801">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L379" s="803">
        <f>IF(WWWW[[#This Row],[HRP3]]/WWWW[[#This Row],[Total PoP ]]&gt;1,1,WWWW[[#This Row],[HRP3]]/WWWW[[#This Row],[Total PoP ]])</f>
        <v>1</v>
      </c>
      <c r="DM379" s="802">
        <f>1-WWWW[[#This Row],[Hygiene Coverage%]]</f>
        <v>0</v>
      </c>
      <c r="DN379" s="800">
        <f>WWWW[[#This Row],['# people reached by regular dedicated hygiene promotion_5]]/WWWW[[#This Row],[Total PoP ]]</f>
        <v>1</v>
      </c>
      <c r="DO37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7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79" s="801">
        <f>WWWW[[#This Row],['#_Constructed/Existing hand washing stations]]-WWWW[[#This Row],['#_Non-Functional_hand_washing_stations]]</f>
        <v>2</v>
      </c>
      <c r="DR379" s="798">
        <f>IF(WWWW[[#This Row],['# Functional hand washing stations during reporting period]]*20&gt;WWWW[[#This Row],[Total HH]],WWWW[[#This Row],[Total HH]],WWWW[[#This Row],['# Functional hand washing stations during reporting period]]*20)</f>
        <v>40</v>
      </c>
      <c r="DS379" s="798">
        <f>IF(WWWW[[#This Row],[Is sufficient soap available for TLS? (Yes/No)]]="yes",WWWW[[#This Row],['#_Constructed/Existing hand washing stations at TLS]],0)</f>
        <v>0</v>
      </c>
      <c r="DT379" s="479">
        <f>IF(WWWW[[#This Row],['# Functional hand washing stations during reporting period]]*100&gt;WWWW[[#This Row],[Total PoP ]],WWWW[[#This Row],[Total PoP ]],WWWW[[#This Row],['# Functional hand washing stations during reporting period]]*100)</f>
        <v>200</v>
      </c>
      <c r="DU379" s="479" t="str">
        <f>IF(OR(WWWW[[#This Row],['#_students at TLS_CFS]]="",WWWW[[#This Row],['#_students at TLS_CFS]]=0),"No","Yes")</f>
        <v>No</v>
      </c>
      <c r="DV37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79" s="794" t="str">
        <f>VLOOKUP(WWWW[[#This Row],[Site Name]],SiteDB6[[Site Name]:[CCCM Management]],6,FALSE)</f>
        <v>Yes</v>
      </c>
      <c r="DZ379" s="794" t="str">
        <f>VLOOKUP(WWWW[[#This Row],[Site Name]],SiteDB6[[Site Name]:[CCCM Focal Agency]],7,FALSE)</f>
        <v>KBC-MYT</v>
      </c>
      <c r="EA379" s="794" t="str">
        <f>VLOOKUP(WWWW[[#This Row],[Site Name]],SiteDB6[[Site Name]:[Location Type 1]],9,FALSE)</f>
        <v>Camp</v>
      </c>
      <c r="EB379" s="794" t="str">
        <f>VLOOKUP(WWWW[[#This Row],[Site Name]],SiteDB6[[Site Name]:[Type of Accommodation]],10,FALSE)</f>
        <v>Camp</v>
      </c>
      <c r="EC379" s="794" t="str">
        <f>VLOOKUP(WWWW[[#This Row],[Site Name]],SiteDB6[[Site Name]:[Ethnic or GCA/NGCA]],11,FALSE)</f>
        <v>GCA</v>
      </c>
      <c r="ED379" s="794">
        <f>VLOOKUP(WWWW[[#This Row],[Site Name]],SiteDB6[[Site Name]:[Lat]],12,FALSE)</f>
        <v>25.437125999999999</v>
      </c>
      <c r="EE379" s="794">
        <f>VLOOKUP(WWWW[[#This Row],[Site Name]],SiteDB6[[Site Name]:[Long]],13,FALSE)</f>
        <v>97.387276</v>
      </c>
      <c r="EF379" s="794" t="str">
        <f>VLOOKUP(WWWW[[#This Row],[Site Name]],SiteDB6[[Site Name]:[Pcode]],3,FALSE)</f>
        <v>MMR001CMP005</v>
      </c>
      <c r="EG379" s="799" t="str">
        <f t="shared" si="9"/>
        <v>Covered</v>
      </c>
      <c r="EH379" s="799" t="str">
        <f>VLOOKUP(WWWW[[#This Row],[Site Name]],Site_DB!$C$389:$D$1120,2,FALSE)</f>
        <v>cccm_2019OCT</v>
      </c>
    </row>
    <row r="380" spans="1:138" hidden="1">
      <c r="A380" s="792" t="s">
        <v>3262</v>
      </c>
      <c r="B380" s="792" t="s">
        <v>144</v>
      </c>
      <c r="C380" s="793" t="s">
        <v>144</v>
      </c>
      <c r="D380" s="793"/>
      <c r="E380" s="793" t="s">
        <v>39</v>
      </c>
      <c r="F380" s="793" t="s">
        <v>162</v>
      </c>
      <c r="G380" s="721" t="str">
        <f>VLOOKUP(WWWW[[#This Row],[Site Name]],SiteDB6[[Site Name]:[Location Type]],8,FALSE)</f>
        <v>Camp</v>
      </c>
      <c r="H380" s="793" t="s">
        <v>2006</v>
      </c>
      <c r="I380" s="795">
        <v>18</v>
      </c>
      <c r="J380" s="795">
        <v>87</v>
      </c>
      <c r="K380" s="796"/>
      <c r="L380" s="797"/>
      <c r="M380" s="795"/>
      <c r="N380" s="795"/>
      <c r="O380" s="795"/>
      <c r="P380" s="795"/>
      <c r="Q380" s="798" t="s">
        <v>43</v>
      </c>
      <c r="R380" s="795"/>
      <c r="S380" s="795">
        <v>3</v>
      </c>
      <c r="T380" s="523">
        <v>0</v>
      </c>
      <c r="U380" s="795"/>
      <c r="V380" s="795"/>
      <c r="W380" s="795">
        <v>0</v>
      </c>
      <c r="X380" s="795"/>
      <c r="Y380" s="795"/>
      <c r="Z380" s="795"/>
      <c r="AA380" s="795">
        <v>1</v>
      </c>
      <c r="AB380" s="795"/>
      <c r="AC380" s="795"/>
      <c r="AD380" s="795"/>
      <c r="AE380" s="795"/>
      <c r="AF380" s="795"/>
      <c r="AG380" s="795"/>
      <c r="AH380" s="795">
        <v>0</v>
      </c>
      <c r="AI380" s="795"/>
      <c r="AJ380" s="795"/>
      <c r="AK380" s="795"/>
      <c r="AL380" s="795"/>
      <c r="AM380" s="795"/>
      <c r="AN380" s="795"/>
      <c r="AO380" s="799"/>
      <c r="AP380" s="795">
        <v>10</v>
      </c>
      <c r="AQ380" s="795"/>
      <c r="AR380" s="800"/>
      <c r="AS380" s="795"/>
      <c r="AT380" s="795"/>
      <c r="AU380" s="795"/>
      <c r="AV380" s="795"/>
      <c r="AW380" s="795">
        <v>10</v>
      </c>
      <c r="AX380" s="794" t="s">
        <v>43</v>
      </c>
      <c r="AY380" s="799" t="s">
        <v>140</v>
      </c>
      <c r="AZ380" s="795"/>
      <c r="BA380" s="795"/>
      <c r="BB380" s="795"/>
      <c r="BC380" s="523"/>
      <c r="BD380" s="523"/>
      <c r="BE380" s="794"/>
      <c r="BF380" s="795">
        <v>2</v>
      </c>
      <c r="BG380" s="795"/>
      <c r="BH380" s="795"/>
      <c r="BI380" s="795">
        <v>0</v>
      </c>
      <c r="BJ380" s="795"/>
      <c r="BK380" s="795"/>
      <c r="BL380" s="795"/>
      <c r="BM380" s="795"/>
      <c r="BN380" s="795"/>
      <c r="BO380" s="794"/>
      <c r="BP380" s="801"/>
      <c r="BQ380" s="800"/>
      <c r="BR380" s="794"/>
      <c r="BS380" s="472"/>
      <c r="BT380" s="472"/>
      <c r="BU380" s="523"/>
      <c r="BV380" s="472"/>
      <c r="BW380" s="523"/>
      <c r="BX380" s="523"/>
      <c r="BY380" s="523"/>
      <c r="BZ380" s="802" t="str">
        <f>IFERROR(WWWW[[#This Row],['#_Water sources passed]]/WWWW[[#This Row],['#_Water sources tested for fecal coliform ]],"no test")</f>
        <v>no test</v>
      </c>
      <c r="CA380" s="800" t="str">
        <f>IFERROR(WWWW[[#This Row],['#_Household passed]]/WWWW[[#This Row],['#_Household water samples tested for fecal coliform]],"no test")</f>
        <v>no test</v>
      </c>
      <c r="CB380" s="801" t="str">
        <f>IF(AND(WWWW[[#This Row],[% of water sources passed]]="no test",WWWW[[#This Row],[% Household passed]]="no test"),"No Test","Tested")</f>
        <v>No Test</v>
      </c>
      <c r="CC380" s="801">
        <f>WWWW[[#This Row],['#_Constructed/existing protected hand dug well]]-WWWW[[#This Row],['#_Non-functional protected hand dug well]]</f>
        <v>0</v>
      </c>
      <c r="CD380" s="801">
        <f>(WWWW[[#This Row],['#_Constructed/Existing tube wells/boreholes/handpumps_WASH_agency]]+WWWW[[#This Row],['#_Non-Cluster partner water tube-wells/boreholes/handpumps]])-WWWW[[#This Row],['#_Non-functional tube wells/boreholes/handpumps]]</f>
        <v>0</v>
      </c>
      <c r="CE380" s="801">
        <f>WWWW[[#This Row],['#_Constructed/Existingwater storage tank with gravity fed reticulation system]]-WWWW[[#This Row],['#_Non-functional storage tank gravity fed reticulation system]]</f>
        <v>1</v>
      </c>
      <c r="CF380" s="801">
        <f>(WWWW[[#This Row],['#_Water_Liters_supplied_by_Water boating or water trucking]]/90)/15</f>
        <v>0</v>
      </c>
      <c r="CG380" s="801">
        <f>WWWW[[#This Row],['#_Water_Liters_from_Constructed/Existing water distribution system from river or natural spring]]/90/15</f>
        <v>0</v>
      </c>
      <c r="CH380" s="473">
        <f>WWWW[[#This Row],['#_of water points in TLS/CFS /THF]]*500</f>
        <v>0</v>
      </c>
      <c r="CI38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0.76628352490421459</v>
      </c>
      <c r="CJ38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0.76628352490421459</v>
      </c>
      <c r="CK380" s="800">
        <f>IF(WWWW[[#This Row],[Location Type 1]]="Village",WWWW[[#This Row],[Access to safe drinking water for Village]],WWWW[[#This Row],[Access to safe drinking water for Camp]])</f>
        <v>0.76628352490421459</v>
      </c>
      <c r="CL380" s="798">
        <f>WWWW[[#This Row],[%Equitable and continuous access to sufficient quantity of safe drinking water]]*WWWW[[#This Row],[Total PoP ]]</f>
        <v>66.666666666666671</v>
      </c>
      <c r="CM380" s="800">
        <f>IF((WWWW[[#This Row],['#_Constructed/Existing protected/fenced ponds]]*250)/WWWW[[#This Row],[Total PoP ]]&gt;1,1,(WWWW[[#This Row],['#_Constructed/Existing protected/fenced ponds]]*250)/WWWW[[#This Row],[Total PoP ]])</f>
        <v>0</v>
      </c>
      <c r="CN380" s="798">
        <f>WWWW[[#This Row],[% Access to unimproved water points]]*WWWW[[#This Row],[Total PoP ]]</f>
        <v>0</v>
      </c>
      <c r="CO38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P38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380" s="798">
        <f>WWWW[[#This Row],[HRP1]]/500</f>
        <v>0.13333333333333333</v>
      </c>
      <c r="CR380" s="803">
        <f>1-WWWW[[#This Row],[% Equitable and continuous access to sufficient quantity of domestic water]]</f>
        <v>0.23371647509578541</v>
      </c>
      <c r="CS380" s="798">
        <f>WWWW[[#This Row],[%equitable and continuous access to sufficient quantity of safe drinking and domestic water''s GAP]]*WWWW[[#This Row],[Total PoP ]]</f>
        <v>20.333333333333332</v>
      </c>
      <c r="CT380" s="801">
        <f>IF(WWWW[[#This Row],[Total required water points]]-WWWW[[#This Row],['#Water points coverage]]&lt;0,0,WWWW[[#This Row],[Total required water points]]-WWWW[[#This Row],['#Water points coverage]])</f>
        <v>0.8666666666666667</v>
      </c>
      <c r="CU380" s="801">
        <f>ROUND(IF(WWWW[[#This Row],[Total PoP ]]&lt;500,1,WWWW[[#This Row],[Total PoP ]]/500),0)</f>
        <v>1</v>
      </c>
      <c r="CV380" s="801">
        <f>(WWWW[[#This Row],['#_Constructed latrines_by_WASHAgencies]]+WWWW[[#This Row],['#_Non Cluster partner latrines]])-WWWW[[#This Row],['#_Non-functional latrines]]</f>
        <v>10</v>
      </c>
      <c r="CW380" s="804">
        <f>WWWW[[#This Row],[HRP2]]/WWWW[[#This Row],[Total PoP ]]</f>
        <v>1</v>
      </c>
      <c r="CX38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v>
      </c>
      <c r="CY38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0" s="473">
        <f>IF(WWWW[[#This Row],['# of functional latrines in THF supported by WASH partners during the reporting period2]]="",0,WWWW[[#This Row],['# of functional latrines in THF supported by WASH partners during the reporting period2]]*50)</f>
        <v>0</v>
      </c>
      <c r="DB380" s="473">
        <f>WWWW[[#This Row],['# students access to functioning school latrines_HRP5]]+WWWW[[#This Row],['# People access to functioning latrines in THF_HRP5]]</f>
        <v>0</v>
      </c>
      <c r="DC380" s="801">
        <f>ROUND(IF(WWWW[[#This Row],[Location Type 1]]="camp",WWWW[[#This Row],[Total PoP ]]/20,IF(WWWW[[#This Row],[Location Type 1]]="Temporary Location",WWWW[[#This Row],[Total PoP ]]/50,(WWWW[[#This Row],[Total PoP ]]/6))),0)</f>
        <v>4</v>
      </c>
      <c r="DD380" s="801">
        <f>IF(WWWW[[#This Row],[Total required Latrines]]-(WWWW[[#This Row],['#_Constructed latrines_by_WASHAgencies]]+WWWW[[#This Row],['#_Non Cluster partner latrines]])&lt;0,0,WWWW[[#This Row],[Total required Latrines]]-(WWWW[[#This Row],['#_Constructed latrines_by_WASHAgencies]]+WWWW[[#This Row],['#_Non Cluster partner latrines]]))</f>
        <v>0</v>
      </c>
      <c r="DE380" s="803">
        <f>1-WWWW[[#This Row],[% people access to functioning Latrine]]</f>
        <v>0</v>
      </c>
      <c r="DF380" s="802">
        <f>IF(OR(WWWW[[#This Row],['#_Non-functional latrines]]="",WWWW[[#This Row],['#_Non-functional latrines]]=0),0,WWWW[[#This Row],['#_Non-functional latrines]]/(WWWW[[#This Row],['#_Constructed latrines_by_WASHAgencies]]+WWWW[[#This Row],['#_Non Cluster partner latrines]]))</f>
        <v>0</v>
      </c>
      <c r="DG380" s="798">
        <f>IF(500*(WWWW[[#This Row],['#_male hygiene promoters]]+WWWW[[#This Row],['#_female hygiene promoters]])&gt;WWWW[[#This Row],[Total PoP ]],WWWW[[#This Row],[Total PoP ]],500*(WWWW[[#This Row],['#_male hygiene promoters]]+WWWW[[#This Row],['#_female hygiene promoters]]))</f>
        <v>0</v>
      </c>
      <c r="DH38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0" s="801">
        <f>IF(WWWW[[#This Row],['# People with access to soap]]&gt;WWWW[[#This Row],['# People with access to Sanity Pads]],WWWW[[#This Row],['# People with access to soap]],WWWW[[#This Row],['# People with access to Sanity Pads]])</f>
        <v>0</v>
      </c>
      <c r="DK380"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0" s="803">
        <f>IF(WWWW[[#This Row],[HRP3]]/WWWW[[#This Row],[Total PoP ]]&gt;1,1,WWWW[[#This Row],[HRP3]]/WWWW[[#This Row],[Total PoP ]])</f>
        <v>0</v>
      </c>
      <c r="DM380" s="802">
        <f>1-WWWW[[#This Row],[Hygiene Coverage%]]</f>
        <v>1</v>
      </c>
      <c r="DN380" s="800">
        <f>WWWW[[#This Row],['# people reached by regular dedicated hygiene promotion_5]]/WWWW[[#This Row],[Total PoP ]]</f>
        <v>0</v>
      </c>
      <c r="DO38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0" s="801">
        <f>WWWW[[#This Row],['#_Constructed/Existing hand washing stations]]-WWWW[[#This Row],['#_Non-Functional_hand_washing_stations]]</f>
        <v>2</v>
      </c>
      <c r="DR380" s="798">
        <f>IF(WWWW[[#This Row],['# Functional hand washing stations during reporting period]]*20&gt;WWWW[[#This Row],[Total HH]],WWWW[[#This Row],[Total HH]],WWWW[[#This Row],['# Functional hand washing stations during reporting period]]*20)</f>
        <v>18</v>
      </c>
      <c r="DS380" s="798">
        <f>IF(WWWW[[#This Row],[Is sufficient soap available for TLS? (Yes/No)]]="yes",WWWW[[#This Row],['#_Constructed/Existing hand washing stations at TLS]],0)</f>
        <v>0</v>
      </c>
      <c r="DT380" s="479">
        <f>IF(WWWW[[#This Row],['# Functional hand washing stations during reporting period]]*100&gt;WWWW[[#This Row],[Total PoP ]],WWWW[[#This Row],[Total PoP ]],WWWW[[#This Row],['# Functional hand washing stations during reporting period]]*100)</f>
        <v>87</v>
      </c>
      <c r="DU380" s="479" t="str">
        <f>IF(OR(WWWW[[#This Row],['#_students at TLS_CFS]]="",WWWW[[#This Row],['#_students at TLS_CFS]]=0),"No","Yes")</f>
        <v>No</v>
      </c>
      <c r="DV38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0" s="794">
        <f>VLOOKUP(WWWW[[#This Row],[Site Name]],SiteDB6[[Site Name]:[CCCM Management]],6,FALSE)</f>
        <v>0</v>
      </c>
      <c r="DZ380" s="794" t="str">
        <f>VLOOKUP(WWWW[[#This Row],[Site Name]],SiteDB6[[Site Name]:[CCCM Focal Agency]],7,FALSE)</f>
        <v>uncovered</v>
      </c>
      <c r="EA380" s="794" t="str">
        <f>VLOOKUP(WWWW[[#This Row],[Site Name]],SiteDB6[[Site Name]:[Location Type 1]],9,FALSE)</f>
        <v>Camp</v>
      </c>
      <c r="EB380" s="794" t="str">
        <f>VLOOKUP(WWWW[[#This Row],[Site Name]],SiteDB6[[Site Name]:[Type of Accommodation]],10,FALSE)</f>
        <v>Camp like setting</v>
      </c>
      <c r="EC380" s="794" t="str">
        <f>VLOOKUP(WWWW[[#This Row],[Site Name]],SiteDB6[[Site Name]:[Ethnic or GCA/NGCA]],11,FALSE)</f>
        <v>GCA</v>
      </c>
      <c r="ED380" s="794">
        <f>VLOOKUP(WWWW[[#This Row],[Site Name]],SiteDB6[[Site Name]:[Lat]],12,FALSE)</f>
        <v>0</v>
      </c>
      <c r="EE380" s="794">
        <f>VLOOKUP(WWWW[[#This Row],[Site Name]],SiteDB6[[Site Name]:[Long]],13,FALSE)</f>
        <v>0</v>
      </c>
      <c r="EF380" s="794" t="str">
        <f>VLOOKUP(WWWW[[#This Row],[Site Name]],SiteDB6[[Site Name]:[Pcode]],3,FALSE)</f>
        <v>MMR001CMP267</v>
      </c>
      <c r="EG380" s="799" t="str">
        <f t="shared" si="9"/>
        <v>Covered</v>
      </c>
      <c r="EH380" s="799" t="str">
        <f>VLOOKUP(WWWW[[#This Row],[Site Name]],Site_DB!$C$389:$D$1120,2,FALSE)</f>
        <v>cccm_2019OCT</v>
      </c>
    </row>
    <row r="381" spans="1:138" hidden="1">
      <c r="A381" s="792" t="s">
        <v>3262</v>
      </c>
      <c r="B381" s="792" t="s">
        <v>144</v>
      </c>
      <c r="C381" s="793" t="s">
        <v>144</v>
      </c>
      <c r="D381" s="793" t="s">
        <v>3277</v>
      </c>
      <c r="E381" s="793" t="s">
        <v>39</v>
      </c>
      <c r="F381" s="793" t="s">
        <v>162</v>
      </c>
      <c r="G381" s="721" t="str">
        <f>VLOOKUP(WWWW[[#This Row],[Site Name]],SiteDB6[[Site Name]:[Location Type]],8,FALSE)</f>
        <v>Camp</v>
      </c>
      <c r="H381" s="793" t="s">
        <v>2176</v>
      </c>
      <c r="I381" s="795">
        <v>169</v>
      </c>
      <c r="J381" s="795">
        <v>724</v>
      </c>
      <c r="K381" s="796" t="s">
        <v>3278</v>
      </c>
      <c r="L381" s="797" t="s">
        <v>3279</v>
      </c>
      <c r="M381" s="795"/>
      <c r="N381" s="795"/>
      <c r="O381" s="795"/>
      <c r="P381" s="795"/>
      <c r="Q381" s="798" t="s">
        <v>43</v>
      </c>
      <c r="R381" s="795"/>
      <c r="S381" s="795">
        <v>3</v>
      </c>
      <c r="T381" s="523">
        <v>1</v>
      </c>
      <c r="U381" s="795"/>
      <c r="V381" s="795"/>
      <c r="W381" s="795">
        <v>1</v>
      </c>
      <c r="X381" s="795"/>
      <c r="Y381" s="795"/>
      <c r="Z381" s="795"/>
      <c r="AA381" s="795"/>
      <c r="AB381" s="795"/>
      <c r="AC381" s="795"/>
      <c r="AD381" s="795">
        <v>10200</v>
      </c>
      <c r="AE381" s="795"/>
      <c r="AF381" s="795"/>
      <c r="AG381" s="795"/>
      <c r="AH381" s="795">
        <v>4</v>
      </c>
      <c r="AI381" s="795"/>
      <c r="AJ381" s="795"/>
      <c r="AK381" s="795"/>
      <c r="AL381" s="795"/>
      <c r="AM381" s="795"/>
      <c r="AN381" s="795"/>
      <c r="AO381" s="799"/>
      <c r="AP381" s="795">
        <v>28</v>
      </c>
      <c r="AQ381" s="795"/>
      <c r="AR381" s="800"/>
      <c r="AS381" s="795"/>
      <c r="AT381" s="795"/>
      <c r="AU381" s="795"/>
      <c r="AV381" s="795"/>
      <c r="AW381" s="795">
        <v>10</v>
      </c>
      <c r="AX381" s="794" t="s">
        <v>43</v>
      </c>
      <c r="AY381" s="799" t="s">
        <v>140</v>
      </c>
      <c r="AZ381" s="795"/>
      <c r="BA381" s="795"/>
      <c r="BB381" s="795"/>
      <c r="BC381" s="523"/>
      <c r="BD381" s="523"/>
      <c r="BE381" s="794"/>
      <c r="BF381" s="795">
        <v>2</v>
      </c>
      <c r="BG381" s="795"/>
      <c r="BH381" s="795"/>
      <c r="BI381" s="795">
        <v>0</v>
      </c>
      <c r="BJ381" s="795"/>
      <c r="BK381" s="795"/>
      <c r="BL381" s="795">
        <v>2</v>
      </c>
      <c r="BM381" s="795"/>
      <c r="BN381" s="795"/>
      <c r="BO381" s="794"/>
      <c r="BP381" s="801"/>
      <c r="BQ381" s="800"/>
      <c r="BR381" s="794"/>
      <c r="BS381" s="472"/>
      <c r="BT381" s="472"/>
      <c r="BU381" s="523"/>
      <c r="BV381" s="472"/>
      <c r="BW381" s="523"/>
      <c r="BX381" s="523"/>
      <c r="BY381" s="523"/>
      <c r="BZ381" s="802" t="str">
        <f>IFERROR(WWWW[[#This Row],['#_Water sources passed]]/WWWW[[#This Row],['#_Water sources tested for fecal coliform ]],"no test")</f>
        <v>no test</v>
      </c>
      <c r="CA381" s="800" t="str">
        <f>IFERROR(WWWW[[#This Row],['#_Household passed]]/WWWW[[#This Row],['#_Household water samples tested for fecal coliform]],"no test")</f>
        <v>no test</v>
      </c>
      <c r="CB381" s="801" t="str">
        <f>IF(AND(WWWW[[#This Row],[% of water sources passed]]="no test",WWWW[[#This Row],[% Household passed]]="no test"),"No Test","Tested")</f>
        <v>No Test</v>
      </c>
      <c r="CC381" s="801">
        <f>WWWW[[#This Row],['#_Constructed/existing protected hand dug well]]-WWWW[[#This Row],['#_Non-functional protected hand dug well]]</f>
        <v>1</v>
      </c>
      <c r="CD381" s="801">
        <f>(WWWW[[#This Row],['#_Constructed/Existing tube wells/boreholes/handpumps_WASH_agency]]+WWWW[[#This Row],['#_Non-Cluster partner water tube-wells/boreholes/handpumps]])-WWWW[[#This Row],['#_Non-functional tube wells/boreholes/handpumps]]</f>
        <v>1</v>
      </c>
      <c r="CE381" s="801">
        <f>WWWW[[#This Row],['#_Constructed/Existingwater storage tank with gravity fed reticulation system]]-WWWW[[#This Row],['#_Non-functional storage tank gravity fed reticulation system]]</f>
        <v>0</v>
      </c>
      <c r="CF381" s="801">
        <f>(WWWW[[#This Row],['#_Water_Liters_supplied_by_Water boating or water trucking]]/90)/15</f>
        <v>7.5555555555555554</v>
      </c>
      <c r="CG381" s="801">
        <f>WWWW[[#This Row],['#_Water_Liters_from_Constructed/Existing water distribution system from river or natural spring]]/90/15</f>
        <v>0</v>
      </c>
      <c r="CH381" s="473">
        <f>WWWW[[#This Row],['#_of water points in TLS/CFS /THF]]*500</f>
        <v>0</v>
      </c>
      <c r="CI38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0.70104358502148556</v>
      </c>
      <c r="CK381" s="800">
        <f>IF(WWWW[[#This Row],[Location Type 1]]="Village",WWWW[[#This Row],[Access to safe drinking water for Village]],WWWW[[#This Row],[Access to safe drinking water for Camp]])</f>
        <v>1</v>
      </c>
      <c r="CL381" s="798">
        <f>WWWW[[#This Row],[%Equitable and continuous access to sufficient quantity of safe drinking water]]*WWWW[[#This Row],[Total PoP ]]</f>
        <v>724</v>
      </c>
      <c r="CM381" s="800">
        <f>IF((WWWW[[#This Row],['#_Constructed/Existing protected/fenced ponds]]*250)/WWWW[[#This Row],[Total PoP ]]&gt;1,1,(WWWW[[#This Row],['#_Constructed/Existing protected/fenced ponds]]*250)/WWWW[[#This Row],[Total PoP ]])</f>
        <v>0</v>
      </c>
      <c r="CN381" s="798">
        <f>WWWW[[#This Row],[% Access to unimproved water points]]*WWWW[[#This Row],[Total PoP ]]</f>
        <v>0</v>
      </c>
      <c r="CO38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Q381" s="798">
        <f>WWWW[[#This Row],[HRP1]]/500</f>
        <v>1.448</v>
      </c>
      <c r="CR381" s="803">
        <f>1-WWWW[[#This Row],[% Equitable and continuous access to sufficient quantity of domestic water]]</f>
        <v>0</v>
      </c>
      <c r="CS381" s="798">
        <f>WWWW[[#This Row],[%equitable and continuous access to sufficient quantity of safe drinking and domestic water''s GAP]]*WWWW[[#This Row],[Total PoP ]]</f>
        <v>0</v>
      </c>
      <c r="CT381" s="801">
        <f>IF(WWWW[[#This Row],[Total required water points]]-WWWW[[#This Row],['#Water points coverage]]&lt;0,0,WWWW[[#This Row],[Total required water points]]-WWWW[[#This Row],['#Water points coverage]])</f>
        <v>0</v>
      </c>
      <c r="CU381" s="801">
        <f>ROUND(IF(WWWW[[#This Row],[Total PoP ]]&lt;500,1,WWWW[[#This Row],[Total PoP ]]/500),0)</f>
        <v>1</v>
      </c>
      <c r="CV381" s="801">
        <f>(WWWW[[#This Row],['#_Constructed latrines_by_WASHAgencies]]+WWWW[[#This Row],['#_Non Cluster partner latrines]])-WWWW[[#This Row],['#_Non-functional latrines]]</f>
        <v>28</v>
      </c>
      <c r="CW381" s="804">
        <f>WWWW[[#This Row],[HRP2]]/WWWW[[#This Row],[Total PoP ]]</f>
        <v>0.77348066298342544</v>
      </c>
      <c r="CX38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38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1" s="473">
        <f>IF(WWWW[[#This Row],['# of functional latrines in THF supported by WASH partners during the reporting period2]]="",0,WWWW[[#This Row],['# of functional latrines in THF supported by WASH partners during the reporting period2]]*50)</f>
        <v>0</v>
      </c>
      <c r="DB381" s="473">
        <f>WWWW[[#This Row],['# students access to functioning school latrines_HRP5]]+WWWW[[#This Row],['# People access to functioning latrines in THF_HRP5]]</f>
        <v>0</v>
      </c>
      <c r="DC381" s="801">
        <f>ROUND(IF(WWWW[[#This Row],[Location Type 1]]="camp",WWWW[[#This Row],[Total PoP ]]/20,IF(WWWW[[#This Row],[Location Type 1]]="Temporary Location",WWWW[[#This Row],[Total PoP ]]/50,(WWWW[[#This Row],[Total PoP ]]/6))),0)</f>
        <v>36</v>
      </c>
      <c r="DD381" s="801">
        <f>IF(WWWW[[#This Row],[Total required Latrines]]-(WWWW[[#This Row],['#_Constructed latrines_by_WASHAgencies]]+WWWW[[#This Row],['#_Non Cluster partner latrines]])&lt;0,0,WWWW[[#This Row],[Total required Latrines]]-(WWWW[[#This Row],['#_Constructed latrines_by_WASHAgencies]]+WWWW[[#This Row],['#_Non Cluster partner latrines]]))</f>
        <v>8</v>
      </c>
      <c r="DE381" s="803">
        <f>1-WWWW[[#This Row],[% people access to functioning Latrine]]</f>
        <v>0.22651933701657456</v>
      </c>
      <c r="DF381" s="802">
        <f>IF(OR(WWWW[[#This Row],['#_Non-functional latrines]]="",WWWW[[#This Row],['#_Non-functional latrines]]=0),0,WWWW[[#This Row],['#_Non-functional latrines]]/(WWWW[[#This Row],['#_Constructed latrines_by_WASHAgencies]]+WWWW[[#This Row],['#_Non Cluster partner latrines]]))</f>
        <v>0</v>
      </c>
      <c r="DG381" s="798">
        <f>IF(500*(WWWW[[#This Row],['#_male hygiene promoters]]+WWWW[[#This Row],['#_female hygiene promoters]])&gt;WWWW[[#This Row],[Total PoP ]],WWWW[[#This Row],[Total PoP ]],500*(WWWW[[#This Row],['#_male hygiene promoters]]+WWWW[[#This Row],['#_female hygiene promoters]]))</f>
        <v>724</v>
      </c>
      <c r="DH38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1" s="801">
        <f>IF(WWWW[[#This Row],['# People with access to soap]]&gt;WWWW[[#This Row],['# People with access to Sanity Pads]],WWWW[[#This Row],['# People with access to soap]],WWWW[[#This Row],['# People with access to Sanity Pads]])</f>
        <v>0</v>
      </c>
      <c r="DK381" s="801">
        <f>IF(WWWW[[#This Row],['# people reached by regular dedicated hygiene promotion_5]]&gt;WWWW[[#This Row],['# People received regular supply of hygiene items_6]],WWWW[[#This Row],['# people reached by regular dedicated hygiene promotion_5]],WWWW[[#This Row],['# People received regular supply of hygiene items_6]])</f>
        <v>724</v>
      </c>
      <c r="DL381" s="803">
        <f>IF(WWWW[[#This Row],[HRP3]]/WWWW[[#This Row],[Total PoP ]]&gt;1,1,WWWW[[#This Row],[HRP3]]/WWWW[[#This Row],[Total PoP ]])</f>
        <v>1</v>
      </c>
      <c r="DM381" s="802">
        <f>1-WWWW[[#This Row],[Hygiene Coverage%]]</f>
        <v>0</v>
      </c>
      <c r="DN381" s="800">
        <f>WWWW[[#This Row],['# people reached by regular dedicated hygiene promotion_5]]/WWWW[[#This Row],[Total PoP ]]</f>
        <v>1</v>
      </c>
      <c r="DO38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1" s="801">
        <f>WWWW[[#This Row],['#_Constructed/Existing hand washing stations]]-WWWW[[#This Row],['#_Non-Functional_hand_washing_stations]]</f>
        <v>2</v>
      </c>
      <c r="DR381" s="798">
        <f>IF(WWWW[[#This Row],['# Functional hand washing stations during reporting period]]*20&gt;WWWW[[#This Row],[Total HH]],WWWW[[#This Row],[Total HH]],WWWW[[#This Row],['# Functional hand washing stations during reporting period]]*20)</f>
        <v>40</v>
      </c>
      <c r="DS381" s="798">
        <f>IF(WWWW[[#This Row],[Is sufficient soap available for TLS? (Yes/No)]]="yes",WWWW[[#This Row],['#_Constructed/Existing hand washing stations at TLS]],0)</f>
        <v>0</v>
      </c>
      <c r="DT381" s="479">
        <f>IF(WWWW[[#This Row],['# Functional hand washing stations during reporting period]]*100&gt;WWWW[[#This Row],[Total PoP ]],WWWW[[#This Row],[Total PoP ]],WWWW[[#This Row],['# Functional hand washing stations during reporting period]]*100)</f>
        <v>200</v>
      </c>
      <c r="DU381" s="479" t="str">
        <f>IF(OR(WWWW[[#This Row],['#_students at TLS_CFS]]="",WWWW[[#This Row],['#_students at TLS_CFS]]=0),"No","Yes")</f>
        <v>No</v>
      </c>
      <c r="DV38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1" s="794" t="str">
        <f>VLOOKUP(WWWW[[#This Row],[Site Name]],SiteDB6[[Site Name]:[CCCM Management]],6,FALSE)</f>
        <v>Yes</v>
      </c>
      <c r="DZ381" s="794" t="str">
        <f>VLOOKUP(WWWW[[#This Row],[Site Name]],SiteDB6[[Site Name]:[CCCM Focal Agency]],7,FALSE)</f>
        <v>KBC-MYT</v>
      </c>
      <c r="EA381" s="794" t="str">
        <f>VLOOKUP(WWWW[[#This Row],[Site Name]],SiteDB6[[Site Name]:[Location Type 1]],9,FALSE)</f>
        <v>Camp</v>
      </c>
      <c r="EB381" s="794" t="str">
        <f>VLOOKUP(WWWW[[#This Row],[Site Name]],SiteDB6[[Site Name]:[Type of Accommodation]],10,FALSE)</f>
        <v>Camp</v>
      </c>
      <c r="EC381" s="794" t="str">
        <f>VLOOKUP(WWWW[[#This Row],[Site Name]],SiteDB6[[Site Name]:[Ethnic or GCA/NGCA]],11,FALSE)</f>
        <v>GCA</v>
      </c>
      <c r="ED381" s="794">
        <f>VLOOKUP(WWWW[[#This Row],[Site Name]],SiteDB6[[Site Name]:[Lat]],12,FALSE)</f>
        <v>25.480989999999998</v>
      </c>
      <c r="EE381" s="794">
        <f>VLOOKUP(WWWW[[#This Row],[Site Name]],SiteDB6[[Site Name]:[Long]],13,FALSE)</f>
        <v>97.431079999999994</v>
      </c>
      <c r="EF381" s="794" t="str">
        <f>VLOOKUP(WWWW[[#This Row],[Site Name]],SiteDB6[[Site Name]:[Pcode]],3,FALSE)</f>
        <v>MMR001CMP263</v>
      </c>
      <c r="EG381" s="799" t="str">
        <f t="shared" si="9"/>
        <v>Covered</v>
      </c>
      <c r="EH381" s="799" t="str">
        <f>VLOOKUP(WWWW[[#This Row],[Site Name]],Site_DB!$C$389:$D$1120,2,FALSE)</f>
        <v>cccm_2019OCT</v>
      </c>
    </row>
    <row r="382" spans="1:138" hidden="1">
      <c r="A382" s="792" t="s">
        <v>3262</v>
      </c>
      <c r="B382" s="792" t="s">
        <v>195</v>
      </c>
      <c r="C382" s="793" t="s">
        <v>195</v>
      </c>
      <c r="D382" s="404" t="s">
        <v>3367</v>
      </c>
      <c r="E382" s="793" t="s">
        <v>39</v>
      </c>
      <c r="F382" s="793" t="s">
        <v>145</v>
      </c>
      <c r="G382" s="721" t="str">
        <f>VLOOKUP(WWWW[[#This Row],[Site Name]],SiteDB6[[Site Name]:[Location Type]],8,FALSE)</f>
        <v>Camp_not registered</v>
      </c>
      <c r="H382" s="793" t="s">
        <v>226</v>
      </c>
      <c r="I382" s="720">
        <v>134</v>
      </c>
      <c r="J382" s="720">
        <v>709</v>
      </c>
      <c r="K382" s="407" t="s">
        <v>3609</v>
      </c>
      <c r="L382" s="56" t="s">
        <v>3610</v>
      </c>
      <c r="M382" s="795"/>
      <c r="N382" s="795"/>
      <c r="O382" s="795"/>
      <c r="P382" s="795"/>
      <c r="Q382" s="798"/>
      <c r="R382" s="795"/>
      <c r="S382" s="795"/>
      <c r="T382" s="523"/>
      <c r="U382" s="795"/>
      <c r="V382" s="795"/>
      <c r="W382" s="795"/>
      <c r="X382" s="795"/>
      <c r="Y382" s="795"/>
      <c r="Z382" s="795"/>
      <c r="AA382" s="795"/>
      <c r="AB382" s="795"/>
      <c r="AC382" s="795"/>
      <c r="AD382" s="795"/>
      <c r="AE382" s="795"/>
      <c r="AF382" s="795"/>
      <c r="AG382" s="795"/>
      <c r="AH382" s="795"/>
      <c r="AI382" s="795"/>
      <c r="AJ382" s="795"/>
      <c r="AK382" s="795"/>
      <c r="AL382" s="795"/>
      <c r="AM382" s="795"/>
      <c r="AN382" s="795"/>
      <c r="AO382" s="799"/>
      <c r="AP382" s="795"/>
      <c r="AQ382" s="795"/>
      <c r="AR382" s="800"/>
      <c r="AS382" s="795"/>
      <c r="AT382" s="795"/>
      <c r="AU382" s="795"/>
      <c r="AV382" s="795"/>
      <c r="AW382" s="795"/>
      <c r="AX382" s="794" t="s">
        <v>43</v>
      </c>
      <c r="AY382" s="799" t="s">
        <v>1195</v>
      </c>
      <c r="AZ382" s="795"/>
      <c r="BA382" s="795"/>
      <c r="BB382" s="795"/>
      <c r="BC382" s="523"/>
      <c r="BD382" s="523"/>
      <c r="BE382" s="794"/>
      <c r="BF382" s="795"/>
      <c r="BG382" s="795"/>
      <c r="BH382" s="795"/>
      <c r="BI382" s="795"/>
      <c r="BJ382" s="795"/>
      <c r="BK382" s="795"/>
      <c r="BL382" s="795"/>
      <c r="BM382" s="795"/>
      <c r="BN382" s="795"/>
      <c r="BO382" s="794"/>
      <c r="BP382" s="801"/>
      <c r="BQ382" s="800"/>
      <c r="BR382" s="794"/>
      <c r="BS382" s="808">
        <v>1</v>
      </c>
      <c r="BT382" s="808">
        <v>1</v>
      </c>
      <c r="BU382" s="720"/>
      <c r="BV382" s="472"/>
      <c r="BW382" s="523"/>
      <c r="BX382" s="523"/>
      <c r="BY382" s="523"/>
      <c r="BZ382" s="802" t="str">
        <f>IFERROR(WWWW[[#This Row],['#_Water sources passed]]/WWWW[[#This Row],['#_Water sources tested for fecal coliform ]],"no test")</f>
        <v>no test</v>
      </c>
      <c r="CA382" s="800" t="str">
        <f>IFERROR(WWWW[[#This Row],['#_Household passed]]/WWWW[[#This Row],['#_Household water samples tested for fecal coliform]],"no test")</f>
        <v>no test</v>
      </c>
      <c r="CB382" s="801" t="str">
        <f>IF(AND(WWWW[[#This Row],[% of water sources passed]]="no test",WWWW[[#This Row],[% Household passed]]="no test"),"No Test","Tested")</f>
        <v>No Test</v>
      </c>
      <c r="CC382" s="801">
        <f>WWWW[[#This Row],['#_Constructed/existing protected hand dug well]]-WWWW[[#This Row],['#_Non-functional protected hand dug well]]</f>
        <v>0</v>
      </c>
      <c r="CD382" s="801">
        <f>(WWWW[[#This Row],['#_Constructed/Existing tube wells/boreholes/handpumps_WASH_agency]]+WWWW[[#This Row],['#_Non-Cluster partner water tube-wells/boreholes/handpumps]])-WWWW[[#This Row],['#_Non-functional tube wells/boreholes/handpumps]]</f>
        <v>0</v>
      </c>
      <c r="CE382" s="801">
        <f>WWWW[[#This Row],['#_Constructed/Existingwater storage tank with gravity fed reticulation system]]-WWWW[[#This Row],['#_Non-functional storage tank gravity fed reticulation system]]</f>
        <v>0</v>
      </c>
      <c r="CF382" s="801">
        <f>(WWWW[[#This Row],['#_Water_Liters_supplied_by_Water boating or water trucking]]/90)/15</f>
        <v>0</v>
      </c>
      <c r="CG382" s="801">
        <f>WWWW[[#This Row],['#_Water_Liters_from_Constructed/Existing water distribution system from river or natural spring]]/90/15</f>
        <v>0</v>
      </c>
      <c r="CH382" s="473">
        <f>WWWW[[#This Row],['#_of water points in TLS/CFS /THF]]*500</f>
        <v>0</v>
      </c>
      <c r="CI38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2" s="800">
        <f>IF(WWWW[[#This Row],[Location Type 1]]="Village",WWWW[[#This Row],[Access to safe drinking water for Village]],WWWW[[#This Row],[Access to safe drinking water for Camp]])</f>
        <v>0</v>
      </c>
      <c r="CL382" s="798">
        <f>WWWW[[#This Row],[%Equitable and continuous access to sufficient quantity of safe drinking water]]*WWWW[[#This Row],[Total PoP ]]</f>
        <v>0</v>
      </c>
      <c r="CM382" s="800">
        <f>IF((WWWW[[#This Row],['#_Constructed/Existing protected/fenced ponds]]*250)/WWWW[[#This Row],[Total PoP ]]&gt;1,1,(WWWW[[#This Row],['#_Constructed/Existing protected/fenced ponds]]*250)/WWWW[[#This Row],[Total PoP ]])</f>
        <v>0</v>
      </c>
      <c r="CN382" s="798">
        <f>WWWW[[#This Row],[% Access to unimproved water points]]*WWWW[[#This Row],[Total PoP ]]</f>
        <v>0</v>
      </c>
      <c r="CO38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2" s="798">
        <f>WWWW[[#This Row],[HRP1]]/500</f>
        <v>0</v>
      </c>
      <c r="CR382" s="803">
        <f>1-WWWW[[#This Row],[% Equitable and continuous access to sufficient quantity of domestic water]]</f>
        <v>1</v>
      </c>
      <c r="CS382" s="798">
        <f>WWWW[[#This Row],[%equitable and continuous access to sufficient quantity of safe drinking and domestic water''s GAP]]*WWWW[[#This Row],[Total PoP ]]</f>
        <v>709</v>
      </c>
      <c r="CT382" s="801">
        <f>IF(WWWW[[#This Row],[Total required water points]]-WWWW[[#This Row],['#Water points coverage]]&lt;0,0,WWWW[[#This Row],[Total required water points]]-WWWW[[#This Row],['#Water points coverage]])</f>
        <v>1</v>
      </c>
      <c r="CU382" s="801">
        <f>ROUND(IF(WWWW[[#This Row],[Total PoP ]]&lt;500,1,WWWW[[#This Row],[Total PoP ]]/500),0)</f>
        <v>1</v>
      </c>
      <c r="CV382" s="801">
        <f>(WWWW[[#This Row],['#_Constructed latrines_by_WASHAgencies]]+WWWW[[#This Row],['#_Non Cluster partner latrines]])-WWWW[[#This Row],['#_Non-functional latrines]]</f>
        <v>0</v>
      </c>
      <c r="CW382" s="804">
        <f>WWWW[[#This Row],[HRP2]]/WWWW[[#This Row],[Total PoP ]]</f>
        <v>0</v>
      </c>
      <c r="CX38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2" s="473">
        <f>IF(WWWW[[#This Row],['# of functional latrines in THF supported by WASH partners during the reporting period2]]="",0,WWWW[[#This Row],['# of functional latrines in THF supported by WASH partners during the reporting period2]]*50)</f>
        <v>0</v>
      </c>
      <c r="DB382" s="473">
        <f>WWWW[[#This Row],['# students access to functioning school latrines_HRP5]]+WWWW[[#This Row],['# People access to functioning latrines in THF_HRP5]]</f>
        <v>0</v>
      </c>
      <c r="DC382" s="801">
        <f>ROUND(IF(WWWW[[#This Row],[Location Type 1]]="camp",WWWW[[#This Row],[Total PoP ]]/20,IF(WWWW[[#This Row],[Location Type 1]]="Temporary Location",WWWW[[#This Row],[Total PoP ]]/50,(WWWW[[#This Row],[Total PoP ]]/6))),0)</f>
        <v>35</v>
      </c>
      <c r="DD382" s="801">
        <f>IF(WWWW[[#This Row],[Total required Latrines]]-(WWWW[[#This Row],['#_Constructed latrines_by_WASHAgencies]]+WWWW[[#This Row],['#_Non Cluster partner latrines]])&lt;0,0,WWWW[[#This Row],[Total required Latrines]]-(WWWW[[#This Row],['#_Constructed latrines_by_WASHAgencies]]+WWWW[[#This Row],['#_Non Cluster partner latrines]]))</f>
        <v>35</v>
      </c>
      <c r="DE382" s="803">
        <f>1-WWWW[[#This Row],[% people access to functioning Latrine]]</f>
        <v>1</v>
      </c>
      <c r="DF382" s="802">
        <f>IF(OR(WWWW[[#This Row],['#_Non-functional latrines]]="",WWWW[[#This Row],['#_Non-functional latrines]]=0),0,WWWW[[#This Row],['#_Non-functional latrines]]/(WWWW[[#This Row],['#_Constructed latrines_by_WASHAgencies]]+WWWW[[#This Row],['#_Non Cluster partner latrines]]))</f>
        <v>0</v>
      </c>
      <c r="DG382" s="798">
        <f>IF(500*(WWWW[[#This Row],['#_male hygiene promoters]]+WWWW[[#This Row],['#_female hygiene promoters]])&gt;WWWW[[#This Row],[Total PoP ]],WWWW[[#This Row],[Total PoP ]],500*(WWWW[[#This Row],['#_male hygiene promoters]]+WWWW[[#This Row],['#_female hygiene promoters]]))</f>
        <v>0</v>
      </c>
      <c r="DH38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2" s="801">
        <f>IF(WWWW[[#This Row],['# People with access to soap]]&gt;WWWW[[#This Row],['# People with access to Sanity Pads]],WWWW[[#This Row],['# People with access to soap]],WWWW[[#This Row],['# People with access to Sanity Pads]])</f>
        <v>0</v>
      </c>
      <c r="DK382"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2" s="803">
        <f>IF(WWWW[[#This Row],[HRP3]]/WWWW[[#This Row],[Total PoP ]]&gt;1,1,WWWW[[#This Row],[HRP3]]/WWWW[[#This Row],[Total PoP ]])</f>
        <v>0</v>
      </c>
      <c r="DM382" s="802">
        <f>1-WWWW[[#This Row],[Hygiene Coverage%]]</f>
        <v>1</v>
      </c>
      <c r="DN382" s="800">
        <f>WWWW[[#This Row],['# people reached by regular dedicated hygiene promotion_5]]/WWWW[[#This Row],[Total PoP ]]</f>
        <v>0</v>
      </c>
      <c r="DO38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2" s="801">
        <f>WWWW[[#This Row],['#_Constructed/Existing hand washing stations]]-WWWW[[#This Row],['#_Non-Functional_hand_washing_stations]]</f>
        <v>0</v>
      </c>
      <c r="DR382" s="798">
        <f>IF(WWWW[[#This Row],['# Functional hand washing stations during reporting period]]*20&gt;WWWW[[#This Row],[Total HH]],WWWW[[#This Row],[Total HH]],WWWW[[#This Row],['# Functional hand washing stations during reporting period]]*20)</f>
        <v>0</v>
      </c>
      <c r="DS382" s="798">
        <f>IF(WWWW[[#This Row],[Is sufficient soap available for TLS? (Yes/No)]]="yes",WWWW[[#This Row],['#_Constructed/Existing hand washing stations at TLS]],0)</f>
        <v>0</v>
      </c>
      <c r="DT382" s="479">
        <f>IF(WWWW[[#This Row],['# Functional hand washing stations during reporting period]]*100&gt;WWWW[[#This Row],[Total PoP ]],WWWW[[#This Row],[Total PoP ]],WWWW[[#This Row],['# Functional hand washing stations during reporting period]]*100)</f>
        <v>0</v>
      </c>
      <c r="DU382" s="479" t="str">
        <f>IF(OR(WWWW[[#This Row],['#_students at TLS_CFS]]="",WWWW[[#This Row],['#_students at TLS_CFS]]=0),"No","Yes")</f>
        <v>No</v>
      </c>
      <c r="DV38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2" s="794">
        <f>VLOOKUP(WWWW[[#This Row],[Site Name]],SiteDB6[[Site Name]:[CCCM Management]],6,FALSE)</f>
        <v>0</v>
      </c>
      <c r="DZ382" s="794">
        <f>VLOOKUP(WWWW[[#This Row],[Site Name]],SiteDB6[[Site Name]:[CCCM Focal Agency]],7,FALSE)</f>
        <v>0</v>
      </c>
      <c r="EA382" s="794" t="str">
        <f>VLOOKUP(WWWW[[#This Row],[Site Name]],SiteDB6[[Site Name]:[Location Type 1]],9,FALSE)</f>
        <v>Camp</v>
      </c>
      <c r="EB382" s="794" t="str">
        <f>VLOOKUP(WWWW[[#This Row],[Site Name]],SiteDB6[[Site Name]:[Type of Accommodation]],10,FALSE)</f>
        <v>CAMP</v>
      </c>
      <c r="EC382" s="794" t="str">
        <f>VLOOKUP(WWWW[[#This Row],[Site Name]],SiteDB6[[Site Name]:[Ethnic or GCA/NGCA]],11,FALSE)</f>
        <v>NGCA</v>
      </c>
      <c r="ED382" s="794">
        <f>VLOOKUP(WWWW[[#This Row],[Site Name]],SiteDB6[[Site Name]:[Lat]],12,FALSE)</f>
        <v>0</v>
      </c>
      <c r="EE382" s="794">
        <f>VLOOKUP(WWWW[[#This Row],[Site Name]],SiteDB6[[Site Name]:[Long]],13,FALSE)</f>
        <v>0</v>
      </c>
      <c r="EF382" s="794">
        <f>VLOOKUP(WWWW[[#This Row],[Site Name]],SiteDB6[[Site Name]:[Pcode]],3,FALSE)</f>
        <v>0</v>
      </c>
      <c r="EG382" s="799" t="str">
        <f t="shared" si="9"/>
        <v>Covered</v>
      </c>
      <c r="EH382" s="799">
        <f>VLOOKUP(WWWW[[#This Row],[Site Name]],Site_DB!$C$389:$D$1120,2,FALSE)</f>
        <v>0</v>
      </c>
    </row>
    <row r="383" spans="1:138" hidden="1">
      <c r="A383" s="792" t="s">
        <v>3262</v>
      </c>
      <c r="B383" s="792" t="s">
        <v>195</v>
      </c>
      <c r="C383" s="793" t="s">
        <v>195</v>
      </c>
      <c r="D383" s="404" t="s">
        <v>3367</v>
      </c>
      <c r="E383" s="793" t="s">
        <v>39</v>
      </c>
      <c r="F383" s="793" t="s">
        <v>145</v>
      </c>
      <c r="G383" s="721" t="str">
        <f>VLOOKUP(WWWW[[#This Row],[Site Name]],SiteDB6[[Site Name]:[Location Type]],8,FALSE)</f>
        <v>Camp_not registered</v>
      </c>
      <c r="H383" s="793" t="s">
        <v>225</v>
      </c>
      <c r="I383" s="720">
        <v>546</v>
      </c>
      <c r="J383" s="720">
        <v>2550</v>
      </c>
      <c r="K383" s="407" t="s">
        <v>3609</v>
      </c>
      <c r="L383" s="56" t="s">
        <v>3610</v>
      </c>
      <c r="M383" s="795"/>
      <c r="N383" s="795"/>
      <c r="O383" s="795"/>
      <c r="P383" s="795"/>
      <c r="Q383" s="798"/>
      <c r="R383" s="795"/>
      <c r="S383" s="795"/>
      <c r="T383" s="523"/>
      <c r="U383" s="795"/>
      <c r="V383" s="795"/>
      <c r="W383" s="795"/>
      <c r="X383" s="795"/>
      <c r="Y383" s="795"/>
      <c r="Z383" s="795"/>
      <c r="AA383" s="795"/>
      <c r="AB383" s="795"/>
      <c r="AC383" s="795"/>
      <c r="AD383" s="795"/>
      <c r="AE383" s="795"/>
      <c r="AF383" s="795"/>
      <c r="AG383" s="795"/>
      <c r="AH383" s="795"/>
      <c r="AI383" s="795"/>
      <c r="AJ383" s="795"/>
      <c r="AK383" s="795"/>
      <c r="AL383" s="795"/>
      <c r="AM383" s="795"/>
      <c r="AN383" s="795"/>
      <c r="AO383" s="799"/>
      <c r="AP383" s="795"/>
      <c r="AQ383" s="795"/>
      <c r="AR383" s="800"/>
      <c r="AS383" s="795"/>
      <c r="AT383" s="795"/>
      <c r="AU383" s="795"/>
      <c r="AV383" s="795"/>
      <c r="AW383" s="795"/>
      <c r="AX383" s="794" t="s">
        <v>139</v>
      </c>
      <c r="AY383" s="799" t="s">
        <v>139</v>
      </c>
      <c r="AZ383" s="795"/>
      <c r="BA383" s="795"/>
      <c r="BB383" s="795"/>
      <c r="BC383" s="523"/>
      <c r="BD383" s="523"/>
      <c r="BE383" s="794"/>
      <c r="BF383" s="795"/>
      <c r="BG383" s="795"/>
      <c r="BH383" s="795"/>
      <c r="BI383" s="795"/>
      <c r="BJ383" s="795"/>
      <c r="BK383" s="795"/>
      <c r="BL383" s="795"/>
      <c r="BM383" s="795"/>
      <c r="BN383" s="795"/>
      <c r="BO383" s="794"/>
      <c r="BP383" s="801"/>
      <c r="BQ383" s="800"/>
      <c r="BR383" s="794"/>
      <c r="BS383" s="472"/>
      <c r="BT383" s="472"/>
      <c r="BU383" s="720"/>
      <c r="BV383" s="472"/>
      <c r="BW383" s="523"/>
      <c r="BX383" s="523"/>
      <c r="BY383" s="523"/>
      <c r="BZ383" s="802" t="str">
        <f>IFERROR(WWWW[[#This Row],['#_Water sources passed]]/WWWW[[#This Row],['#_Water sources tested for fecal coliform ]],"no test")</f>
        <v>no test</v>
      </c>
      <c r="CA383" s="800" t="str">
        <f>IFERROR(WWWW[[#This Row],['#_Household passed]]/WWWW[[#This Row],['#_Household water samples tested for fecal coliform]],"no test")</f>
        <v>no test</v>
      </c>
      <c r="CB383" s="801" t="str">
        <f>IF(AND(WWWW[[#This Row],[% of water sources passed]]="no test",WWWW[[#This Row],[% Household passed]]="no test"),"No Test","Tested")</f>
        <v>No Test</v>
      </c>
      <c r="CC383" s="801">
        <f>WWWW[[#This Row],['#_Constructed/existing protected hand dug well]]-WWWW[[#This Row],['#_Non-functional protected hand dug well]]</f>
        <v>0</v>
      </c>
      <c r="CD383" s="801">
        <f>(WWWW[[#This Row],['#_Constructed/Existing tube wells/boreholes/handpumps_WASH_agency]]+WWWW[[#This Row],['#_Non-Cluster partner water tube-wells/boreholes/handpumps]])-WWWW[[#This Row],['#_Non-functional tube wells/boreholes/handpumps]]</f>
        <v>0</v>
      </c>
      <c r="CE383" s="801">
        <f>WWWW[[#This Row],['#_Constructed/Existingwater storage tank with gravity fed reticulation system]]-WWWW[[#This Row],['#_Non-functional storage tank gravity fed reticulation system]]</f>
        <v>0</v>
      </c>
      <c r="CF383" s="801">
        <f>(WWWW[[#This Row],['#_Water_Liters_supplied_by_Water boating or water trucking]]/90)/15</f>
        <v>0</v>
      </c>
      <c r="CG383" s="801">
        <f>WWWW[[#This Row],['#_Water_Liters_from_Constructed/Existing water distribution system from river or natural spring]]/90/15</f>
        <v>0</v>
      </c>
      <c r="CH383" s="473">
        <f>WWWW[[#This Row],['#_of water points in TLS/CFS /THF]]*500</f>
        <v>0</v>
      </c>
      <c r="CI38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3" s="800">
        <f>IF(WWWW[[#This Row],[Location Type 1]]="Village",WWWW[[#This Row],[Access to safe drinking water for Village]],WWWW[[#This Row],[Access to safe drinking water for Camp]])</f>
        <v>0</v>
      </c>
      <c r="CL383" s="798">
        <f>WWWW[[#This Row],[%Equitable and continuous access to sufficient quantity of safe drinking water]]*WWWW[[#This Row],[Total PoP ]]</f>
        <v>0</v>
      </c>
      <c r="CM383" s="800">
        <f>IF((WWWW[[#This Row],['#_Constructed/Existing protected/fenced ponds]]*250)/WWWW[[#This Row],[Total PoP ]]&gt;1,1,(WWWW[[#This Row],['#_Constructed/Existing protected/fenced ponds]]*250)/WWWW[[#This Row],[Total PoP ]])</f>
        <v>0</v>
      </c>
      <c r="CN383" s="798">
        <f>WWWW[[#This Row],[% Access to unimproved water points]]*WWWW[[#This Row],[Total PoP ]]</f>
        <v>0</v>
      </c>
      <c r="CO38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3" s="798">
        <f>WWWW[[#This Row],[HRP1]]/500</f>
        <v>0</v>
      </c>
      <c r="CR383" s="803">
        <f>1-WWWW[[#This Row],[% Equitable and continuous access to sufficient quantity of domestic water]]</f>
        <v>1</v>
      </c>
      <c r="CS383" s="798">
        <f>WWWW[[#This Row],[%equitable and continuous access to sufficient quantity of safe drinking and domestic water''s GAP]]*WWWW[[#This Row],[Total PoP ]]</f>
        <v>2550</v>
      </c>
      <c r="CT383" s="801">
        <f>IF(WWWW[[#This Row],[Total required water points]]-WWWW[[#This Row],['#Water points coverage]]&lt;0,0,WWWW[[#This Row],[Total required water points]]-WWWW[[#This Row],['#Water points coverage]])</f>
        <v>5</v>
      </c>
      <c r="CU383" s="801">
        <f>ROUND(IF(WWWW[[#This Row],[Total PoP ]]&lt;500,1,WWWW[[#This Row],[Total PoP ]]/500),0)</f>
        <v>5</v>
      </c>
      <c r="CV383" s="801">
        <f>(WWWW[[#This Row],['#_Constructed latrines_by_WASHAgencies]]+WWWW[[#This Row],['#_Non Cluster partner latrines]])-WWWW[[#This Row],['#_Non-functional latrines]]</f>
        <v>0</v>
      </c>
      <c r="CW383" s="804">
        <f>WWWW[[#This Row],[HRP2]]/WWWW[[#This Row],[Total PoP ]]</f>
        <v>0</v>
      </c>
      <c r="CX38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3" s="473">
        <f>IF(WWWW[[#This Row],['# of functional latrines in THF supported by WASH partners during the reporting period2]]="",0,WWWW[[#This Row],['# of functional latrines in THF supported by WASH partners during the reporting period2]]*50)</f>
        <v>0</v>
      </c>
      <c r="DB383" s="473">
        <f>WWWW[[#This Row],['# students access to functioning school latrines_HRP5]]+WWWW[[#This Row],['# People access to functioning latrines in THF_HRP5]]</f>
        <v>0</v>
      </c>
      <c r="DC383" s="801">
        <f>ROUND(IF(WWWW[[#This Row],[Location Type 1]]="camp",WWWW[[#This Row],[Total PoP ]]/20,IF(WWWW[[#This Row],[Location Type 1]]="Temporary Location",WWWW[[#This Row],[Total PoP ]]/50,(WWWW[[#This Row],[Total PoP ]]/6))),0)</f>
        <v>128</v>
      </c>
      <c r="DD383" s="801">
        <f>IF(WWWW[[#This Row],[Total required Latrines]]-(WWWW[[#This Row],['#_Constructed latrines_by_WASHAgencies]]+WWWW[[#This Row],['#_Non Cluster partner latrines]])&lt;0,0,WWWW[[#This Row],[Total required Latrines]]-(WWWW[[#This Row],['#_Constructed latrines_by_WASHAgencies]]+WWWW[[#This Row],['#_Non Cluster partner latrines]]))</f>
        <v>128</v>
      </c>
      <c r="DE383" s="803">
        <f>1-WWWW[[#This Row],[% people access to functioning Latrine]]</f>
        <v>1</v>
      </c>
      <c r="DF383" s="802">
        <f>IF(OR(WWWW[[#This Row],['#_Non-functional latrines]]="",WWWW[[#This Row],['#_Non-functional latrines]]=0),0,WWWW[[#This Row],['#_Non-functional latrines]]/(WWWW[[#This Row],['#_Constructed latrines_by_WASHAgencies]]+WWWW[[#This Row],['#_Non Cluster partner latrines]]))</f>
        <v>0</v>
      </c>
      <c r="DG383" s="798">
        <f>IF(500*(WWWW[[#This Row],['#_male hygiene promoters]]+WWWW[[#This Row],['#_female hygiene promoters]])&gt;WWWW[[#This Row],[Total PoP ]],WWWW[[#This Row],[Total PoP ]],500*(WWWW[[#This Row],['#_male hygiene promoters]]+WWWW[[#This Row],['#_female hygiene promoters]]))</f>
        <v>0</v>
      </c>
      <c r="DH38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3" s="801">
        <f>IF(WWWW[[#This Row],['# People with access to soap]]&gt;WWWW[[#This Row],['# People with access to Sanity Pads]],WWWW[[#This Row],['# People with access to soap]],WWWW[[#This Row],['# People with access to Sanity Pads]])</f>
        <v>0</v>
      </c>
      <c r="DK38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3" s="803">
        <f>IF(WWWW[[#This Row],[HRP3]]/WWWW[[#This Row],[Total PoP ]]&gt;1,1,WWWW[[#This Row],[HRP3]]/WWWW[[#This Row],[Total PoP ]])</f>
        <v>0</v>
      </c>
      <c r="DM383" s="802">
        <f>1-WWWW[[#This Row],[Hygiene Coverage%]]</f>
        <v>1</v>
      </c>
      <c r="DN383" s="800">
        <f>WWWW[[#This Row],['# people reached by regular dedicated hygiene promotion_5]]/WWWW[[#This Row],[Total PoP ]]</f>
        <v>0</v>
      </c>
      <c r="DO38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3" s="801">
        <f>WWWW[[#This Row],['#_Constructed/Existing hand washing stations]]-WWWW[[#This Row],['#_Non-Functional_hand_washing_stations]]</f>
        <v>0</v>
      </c>
      <c r="DR383" s="798">
        <f>IF(WWWW[[#This Row],['# Functional hand washing stations during reporting period]]*20&gt;WWWW[[#This Row],[Total HH]],WWWW[[#This Row],[Total HH]],WWWW[[#This Row],['# Functional hand washing stations during reporting period]]*20)</f>
        <v>0</v>
      </c>
      <c r="DS383" s="798">
        <f>IF(WWWW[[#This Row],[Is sufficient soap available for TLS? (Yes/No)]]="yes",WWWW[[#This Row],['#_Constructed/Existing hand washing stations at TLS]],0)</f>
        <v>0</v>
      </c>
      <c r="DT383" s="479">
        <f>IF(WWWW[[#This Row],['# Functional hand washing stations during reporting period]]*100&gt;WWWW[[#This Row],[Total PoP ]],WWWW[[#This Row],[Total PoP ]],WWWW[[#This Row],['# Functional hand washing stations during reporting period]]*100)</f>
        <v>0</v>
      </c>
      <c r="DU383" s="479" t="str">
        <f>IF(OR(WWWW[[#This Row],['#_students at TLS_CFS]]="",WWWW[[#This Row],['#_students at TLS_CFS]]=0),"No","Yes")</f>
        <v>No</v>
      </c>
      <c r="DV38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3" s="794">
        <f>VLOOKUP(WWWW[[#This Row],[Site Name]],SiteDB6[[Site Name]:[CCCM Management]],6,FALSE)</f>
        <v>0</v>
      </c>
      <c r="DZ383" s="794">
        <f>VLOOKUP(WWWW[[#This Row],[Site Name]],SiteDB6[[Site Name]:[CCCM Focal Agency]],7,FALSE)</f>
        <v>0</v>
      </c>
      <c r="EA383" s="794" t="str">
        <f>VLOOKUP(WWWW[[#This Row],[Site Name]],SiteDB6[[Site Name]:[Location Type 1]],9,FALSE)</f>
        <v>Camp</v>
      </c>
      <c r="EB383" s="794" t="str">
        <f>VLOOKUP(WWWW[[#This Row],[Site Name]],SiteDB6[[Site Name]:[Type of Accommodation]],10,FALSE)</f>
        <v>Host Families</v>
      </c>
      <c r="EC383" s="794" t="str">
        <f>VLOOKUP(WWWW[[#This Row],[Site Name]],SiteDB6[[Site Name]:[Ethnic or GCA/NGCA]],11,FALSE)</f>
        <v>NGCA</v>
      </c>
      <c r="ED383" s="794">
        <f>VLOOKUP(WWWW[[#This Row],[Site Name]],SiteDB6[[Site Name]:[Lat]],12,FALSE)</f>
        <v>0</v>
      </c>
      <c r="EE383" s="794">
        <f>VLOOKUP(WWWW[[#This Row],[Site Name]],SiteDB6[[Site Name]:[Long]],13,FALSE)</f>
        <v>0</v>
      </c>
      <c r="EF383" s="794">
        <f>VLOOKUP(WWWW[[#This Row],[Site Name]],SiteDB6[[Site Name]:[Pcode]],3,FALSE)</f>
        <v>0</v>
      </c>
      <c r="EG383" s="799" t="str">
        <f t="shared" si="9"/>
        <v>Covered</v>
      </c>
      <c r="EH383" s="799">
        <f>VLOOKUP(WWWW[[#This Row],[Site Name]],Site_DB!$C$389:$D$1120,2,FALSE)</f>
        <v>0</v>
      </c>
    </row>
    <row r="384" spans="1:138" hidden="1">
      <c r="A384" s="792" t="s">
        <v>3262</v>
      </c>
      <c r="B384" s="792" t="s">
        <v>245</v>
      </c>
      <c r="C384" s="793" t="s">
        <v>245</v>
      </c>
      <c r="D384" s="793" t="s">
        <v>310</v>
      </c>
      <c r="E384" s="793" t="s">
        <v>39</v>
      </c>
      <c r="F384" s="793" t="s">
        <v>151</v>
      </c>
      <c r="G384" s="721" t="str">
        <f>VLOOKUP(WWWW[[#This Row],[Site Name]],SiteDB6[[Site Name]:[Location Type]],8,FALSE)</f>
        <v>Camp</v>
      </c>
      <c r="H384" s="793" t="s">
        <v>264</v>
      </c>
      <c r="I384" s="795">
        <v>32</v>
      </c>
      <c r="J384" s="795">
        <v>172</v>
      </c>
      <c r="K384" s="796">
        <v>43313</v>
      </c>
      <c r="L384" s="797">
        <v>44043</v>
      </c>
      <c r="M384" s="795"/>
      <c r="N384" s="795">
        <v>1</v>
      </c>
      <c r="O384" s="795"/>
      <c r="P384" s="795"/>
      <c r="Q384" s="798" t="s">
        <v>43</v>
      </c>
      <c r="R384" s="795">
        <v>4</v>
      </c>
      <c r="S384" s="795">
        <v>1</v>
      </c>
      <c r="T384" s="523">
        <v>0</v>
      </c>
      <c r="U384" s="795"/>
      <c r="V384" s="795"/>
      <c r="W384" s="795">
        <v>0</v>
      </c>
      <c r="X384" s="795">
        <v>0</v>
      </c>
      <c r="Y384" s="795"/>
      <c r="Z384" s="795"/>
      <c r="AA384" s="795">
        <v>1</v>
      </c>
      <c r="AB384" s="795"/>
      <c r="AC384" s="795"/>
      <c r="AD384" s="795">
        <v>0</v>
      </c>
      <c r="AE384" s="795">
        <v>1</v>
      </c>
      <c r="AF384" s="795"/>
      <c r="AG384" s="795">
        <v>0</v>
      </c>
      <c r="AH384" s="795">
        <v>1</v>
      </c>
      <c r="AI384" s="795"/>
      <c r="AJ384" s="795"/>
      <c r="AK384" s="795"/>
      <c r="AL384" s="795"/>
      <c r="AM384" s="795">
        <v>0</v>
      </c>
      <c r="AN384" s="795">
        <v>0</v>
      </c>
      <c r="AO384" s="799"/>
      <c r="AP384" s="795">
        <v>11</v>
      </c>
      <c r="AQ384" s="795">
        <v>1</v>
      </c>
      <c r="AR384" s="800" t="s">
        <v>245</v>
      </c>
      <c r="AS384" s="795"/>
      <c r="AT384" s="795"/>
      <c r="AU384" s="795"/>
      <c r="AV384" s="795"/>
      <c r="AW384" s="795">
        <v>0</v>
      </c>
      <c r="AX384" s="794" t="s">
        <v>43</v>
      </c>
      <c r="AY384" s="799" t="s">
        <v>139</v>
      </c>
      <c r="AZ384" s="795">
        <v>0</v>
      </c>
      <c r="BA384" s="795">
        <v>0</v>
      </c>
      <c r="BB384" s="795">
        <v>0</v>
      </c>
      <c r="BC384" s="523"/>
      <c r="BD384" s="523"/>
      <c r="BE384" s="794"/>
      <c r="BF384" s="795">
        <v>2</v>
      </c>
      <c r="BG384" s="795"/>
      <c r="BH384" s="795"/>
      <c r="BI384" s="795">
        <v>3</v>
      </c>
      <c r="BJ384" s="795"/>
      <c r="BK384" s="795">
        <v>1</v>
      </c>
      <c r="BL384" s="795">
        <v>0</v>
      </c>
      <c r="BM384" s="795"/>
      <c r="BN384" s="795"/>
      <c r="BO384" s="794"/>
      <c r="BP384" s="801"/>
      <c r="BQ384" s="800"/>
      <c r="BR384" s="794"/>
      <c r="BS384" s="472"/>
      <c r="BT384" s="472"/>
      <c r="BU384" s="720"/>
      <c r="BV384" s="472"/>
      <c r="BW384" s="523"/>
      <c r="BX384" s="523"/>
      <c r="BY384" s="523"/>
      <c r="BZ384" s="802" t="str">
        <f>IFERROR(WWWW[[#This Row],['#_Water sources passed]]/WWWW[[#This Row],['#_Water sources tested for fecal coliform ]],"no test")</f>
        <v>no test</v>
      </c>
      <c r="CA384" s="800" t="str">
        <f>IFERROR(WWWW[[#This Row],['#_Household passed]]/WWWW[[#This Row],['#_Household water samples tested for fecal coliform]],"no test")</f>
        <v>no test</v>
      </c>
      <c r="CB384" s="801" t="str">
        <f>IF(AND(WWWW[[#This Row],[% of water sources passed]]="no test",WWWW[[#This Row],[% Household passed]]="no test"),"No Test","Tested")</f>
        <v>No Test</v>
      </c>
      <c r="CC384" s="801">
        <f>WWWW[[#This Row],['#_Constructed/existing protected hand dug well]]-WWWW[[#This Row],['#_Non-functional protected hand dug well]]</f>
        <v>0</v>
      </c>
      <c r="CD384" s="801">
        <f>(WWWW[[#This Row],['#_Constructed/Existing tube wells/boreholes/handpumps_WASH_agency]]+WWWW[[#This Row],['#_Non-Cluster partner water tube-wells/boreholes/handpumps]])-WWWW[[#This Row],['#_Non-functional tube wells/boreholes/handpumps]]</f>
        <v>0</v>
      </c>
      <c r="CE384" s="801">
        <f>WWWW[[#This Row],['#_Constructed/Existingwater storage tank with gravity fed reticulation system]]-WWWW[[#This Row],['#_Non-functional storage tank gravity fed reticulation system]]</f>
        <v>1</v>
      </c>
      <c r="CF384" s="801">
        <f>(WWWW[[#This Row],['#_Water_Liters_supplied_by_Water boating or water trucking]]/90)/15</f>
        <v>0</v>
      </c>
      <c r="CG384" s="801">
        <f>WWWW[[#This Row],['#_Water_Liters_from_Constructed/Existing water distribution system from river or natural spring]]/90/15</f>
        <v>0</v>
      </c>
      <c r="CH384" s="473">
        <f>WWWW[[#This Row],['#_of water points in TLS/CFS /THF]]*500</f>
        <v>0</v>
      </c>
      <c r="CI38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0.38759689922480622</v>
      </c>
      <c r="CJ38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0.38759689922480622</v>
      </c>
      <c r="CK384" s="800">
        <f>IF(WWWW[[#This Row],[Location Type 1]]="Village",WWWW[[#This Row],[Access to safe drinking water for Village]],WWWW[[#This Row],[Access to safe drinking water for Camp]])</f>
        <v>0.38759689922480622</v>
      </c>
      <c r="CL384" s="798">
        <f>WWWW[[#This Row],[%Equitable and continuous access to sufficient quantity of safe drinking water]]*WWWW[[#This Row],[Total PoP ]]</f>
        <v>66.666666666666671</v>
      </c>
      <c r="CM384" s="800">
        <f>IF((WWWW[[#This Row],['#_Constructed/Existing protected/fenced ponds]]*250)/WWWW[[#This Row],[Total PoP ]]&gt;1,1,(WWWW[[#This Row],['#_Constructed/Existing protected/fenced ponds]]*250)/WWWW[[#This Row],[Total PoP ]])</f>
        <v>1</v>
      </c>
      <c r="CN384" s="798">
        <f>WWWW[[#This Row],[% Access to unimproved water points]]*WWWW[[#This Row],[Total PoP ]]</f>
        <v>172</v>
      </c>
      <c r="CO38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Q384" s="798">
        <f>WWWW[[#This Row],[HRP1]]/500</f>
        <v>0.34399999999999997</v>
      </c>
      <c r="CR384" s="803">
        <f>1-WWWW[[#This Row],[% Equitable and continuous access to sufficient quantity of domestic water]]</f>
        <v>0</v>
      </c>
      <c r="CS384" s="798">
        <f>WWWW[[#This Row],[%equitable and continuous access to sufficient quantity of safe drinking and domestic water''s GAP]]*WWWW[[#This Row],[Total PoP ]]</f>
        <v>0</v>
      </c>
      <c r="CT384" s="801">
        <f>IF(WWWW[[#This Row],[Total required water points]]-WWWW[[#This Row],['#Water points coverage]]&lt;0,0,WWWW[[#This Row],[Total required water points]]-WWWW[[#This Row],['#Water points coverage]])</f>
        <v>0.65600000000000003</v>
      </c>
      <c r="CU384" s="801">
        <f>ROUND(IF(WWWW[[#This Row],[Total PoP ]]&lt;500,1,WWWW[[#This Row],[Total PoP ]]/500),0)</f>
        <v>1</v>
      </c>
      <c r="CV384" s="801">
        <f>(WWWW[[#This Row],['#_Constructed latrines_by_WASHAgencies]]+WWWW[[#This Row],['#_Non Cluster partner latrines]])-WWWW[[#This Row],['#_Non-functional latrines]]</f>
        <v>12</v>
      </c>
      <c r="CW384" s="804">
        <f>WWWW[[#This Row],[HRP2]]/WWWW[[#This Row],[Total PoP ]]</f>
        <v>1</v>
      </c>
      <c r="CX38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172</v>
      </c>
      <c r="CY38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4" s="473">
        <f>IF(WWWW[[#This Row],['# of functional latrines in THF supported by WASH partners during the reporting period2]]="",0,WWWW[[#This Row],['# of functional latrines in THF supported by WASH partners during the reporting period2]]*50)</f>
        <v>0</v>
      </c>
      <c r="DB384" s="473">
        <f>WWWW[[#This Row],['# students access to functioning school latrines_HRP5]]+WWWW[[#This Row],['# People access to functioning latrines in THF_HRP5]]</f>
        <v>0</v>
      </c>
      <c r="DC384" s="801">
        <f>ROUND(IF(WWWW[[#This Row],[Location Type 1]]="camp",WWWW[[#This Row],[Total PoP ]]/20,IF(WWWW[[#This Row],[Location Type 1]]="Temporary Location",WWWW[[#This Row],[Total PoP ]]/50,(WWWW[[#This Row],[Total PoP ]]/6))),0)</f>
        <v>9</v>
      </c>
      <c r="DD384" s="801">
        <f>IF(WWWW[[#This Row],[Total required Latrines]]-(WWWW[[#This Row],['#_Constructed latrines_by_WASHAgencies]]+WWWW[[#This Row],['#_Non Cluster partner latrines]])&lt;0,0,WWWW[[#This Row],[Total required Latrines]]-(WWWW[[#This Row],['#_Constructed latrines_by_WASHAgencies]]+WWWW[[#This Row],['#_Non Cluster partner latrines]]))</f>
        <v>0</v>
      </c>
      <c r="DE384" s="803">
        <f>1-WWWW[[#This Row],[% people access to functioning Latrine]]</f>
        <v>0</v>
      </c>
      <c r="DF384" s="802">
        <f>IF(OR(WWWW[[#This Row],['#_Non-functional latrines]]="",WWWW[[#This Row],['#_Non-functional latrines]]=0),0,WWWW[[#This Row],['#_Non-functional latrines]]/(WWWW[[#This Row],['#_Constructed latrines_by_WASHAgencies]]+WWWW[[#This Row],['#_Non Cluster partner latrines]]))</f>
        <v>0</v>
      </c>
      <c r="DG384" s="798">
        <f>IF(500*(WWWW[[#This Row],['#_male hygiene promoters]]+WWWW[[#This Row],['#_female hygiene promoters]])&gt;WWWW[[#This Row],[Total PoP ]],WWWW[[#This Row],[Total PoP ]],500*(WWWW[[#This Row],['#_male hygiene promoters]]+WWWW[[#This Row],['#_female hygiene promoters]]))</f>
        <v>172</v>
      </c>
      <c r="DH38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4" s="801">
        <f>IF(WWWW[[#This Row],['# People with access to soap]]&gt;WWWW[[#This Row],['# People with access to Sanity Pads]],WWWW[[#This Row],['# People with access to soap]],WWWW[[#This Row],['# People with access to Sanity Pads]])</f>
        <v>0</v>
      </c>
      <c r="DK384" s="801">
        <f>IF(WWWW[[#This Row],['# people reached by regular dedicated hygiene promotion_5]]&gt;WWWW[[#This Row],['# People received regular supply of hygiene items_6]],WWWW[[#This Row],['# people reached by regular dedicated hygiene promotion_5]],WWWW[[#This Row],['# People received regular supply of hygiene items_6]])</f>
        <v>172</v>
      </c>
      <c r="DL384" s="803">
        <f>IF(WWWW[[#This Row],[HRP3]]/WWWW[[#This Row],[Total PoP ]]&gt;1,1,WWWW[[#This Row],[HRP3]]/WWWW[[#This Row],[Total PoP ]])</f>
        <v>1</v>
      </c>
      <c r="DM384" s="802">
        <f>1-WWWW[[#This Row],[Hygiene Coverage%]]</f>
        <v>0</v>
      </c>
      <c r="DN384" s="800">
        <f>WWWW[[#This Row],['# people reached by regular dedicated hygiene promotion_5]]/WWWW[[#This Row],[Total PoP ]]</f>
        <v>1</v>
      </c>
      <c r="DO38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4" s="801">
        <f>WWWW[[#This Row],['#_Constructed/Existing hand washing stations]]-WWWW[[#This Row],['#_Non-Functional_hand_washing_stations]]</f>
        <v>2</v>
      </c>
      <c r="DR384" s="798">
        <f>IF(WWWW[[#This Row],['# Functional hand washing stations during reporting period]]*20&gt;WWWW[[#This Row],[Total HH]],WWWW[[#This Row],[Total HH]],WWWW[[#This Row],['# Functional hand washing stations during reporting period]]*20)</f>
        <v>32</v>
      </c>
      <c r="DS384" s="798">
        <f>IF(WWWW[[#This Row],[Is sufficient soap available for TLS? (Yes/No)]]="yes",WWWW[[#This Row],['#_Constructed/Existing hand washing stations at TLS]],0)</f>
        <v>0</v>
      </c>
      <c r="DT384" s="479">
        <f>IF(WWWW[[#This Row],['# Functional hand washing stations during reporting period]]*100&gt;WWWW[[#This Row],[Total PoP ]],WWWW[[#This Row],[Total PoP ]],WWWW[[#This Row],['# Functional hand washing stations during reporting period]]*100)</f>
        <v>172</v>
      </c>
      <c r="DU384" s="479" t="str">
        <f>IF(OR(WWWW[[#This Row],['#_students at TLS_CFS]]="",WWWW[[#This Row],['#_students at TLS_CFS]]=0),"No","Yes")</f>
        <v>No</v>
      </c>
      <c r="DV38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4" s="794" t="str">
        <f>VLOOKUP(WWWW[[#This Row],[Site Name]],SiteDB6[[Site Name]:[CCCM Management]],6,FALSE)</f>
        <v>Yes</v>
      </c>
      <c r="DZ384" s="794" t="str">
        <f>VLOOKUP(WWWW[[#This Row],[Site Name]],SiteDB6[[Site Name]:[CCCM Focal Agency]],7,FALSE)</f>
        <v>KBC-MYT</v>
      </c>
      <c r="EA384" s="794" t="str">
        <f>VLOOKUP(WWWW[[#This Row],[Site Name]],SiteDB6[[Site Name]:[Location Type 1]],9,FALSE)</f>
        <v>Camp</v>
      </c>
      <c r="EB384" s="794" t="str">
        <f>VLOOKUP(WWWW[[#This Row],[Site Name]],SiteDB6[[Site Name]:[Type of Accommodation]],10,FALSE)</f>
        <v>Camp</v>
      </c>
      <c r="EC384" s="794" t="str">
        <f>VLOOKUP(WWWW[[#This Row],[Site Name]],SiteDB6[[Site Name]:[Ethnic or GCA/NGCA]],11,FALSE)</f>
        <v>GCA</v>
      </c>
      <c r="ED384" s="794">
        <f>VLOOKUP(WWWW[[#This Row],[Site Name]],SiteDB6[[Site Name]:[Lat]],12,FALSE)</f>
        <v>25.577559999999998</v>
      </c>
      <c r="EE384" s="794">
        <f>VLOOKUP(WWWW[[#This Row],[Site Name]],SiteDB6[[Site Name]:[Long]],13,FALSE)</f>
        <v>96.286680000000004</v>
      </c>
      <c r="EF384" s="794" t="str">
        <f>VLOOKUP(WWWW[[#This Row],[Site Name]],SiteDB6[[Site Name]:[Pcode]],3,FALSE)</f>
        <v>MMR001CMP184</v>
      </c>
      <c r="EG384" s="799" t="str">
        <f t="shared" si="9"/>
        <v>Covered</v>
      </c>
      <c r="EH384" s="799" t="str">
        <f>VLOOKUP(WWWW[[#This Row],[Site Name]],Site_DB!$C$389:$D$1120,2,FALSE)</f>
        <v>cccm_2019OCT</v>
      </c>
    </row>
    <row r="385" spans="1:138" hidden="1">
      <c r="A385" s="792" t="s">
        <v>3262</v>
      </c>
      <c r="B385" s="792" t="s">
        <v>245</v>
      </c>
      <c r="C385" s="793" t="s">
        <v>245</v>
      </c>
      <c r="D385" s="793" t="s">
        <v>310</v>
      </c>
      <c r="E385" s="793" t="s">
        <v>39</v>
      </c>
      <c r="F385" s="793" t="s">
        <v>151</v>
      </c>
      <c r="G385" s="721" t="str">
        <f>VLOOKUP(WWWW[[#This Row],[Site Name]],SiteDB6[[Site Name]:[Location Type]],8,FALSE)</f>
        <v>Camp</v>
      </c>
      <c r="H385" s="404" t="s">
        <v>265</v>
      </c>
      <c r="I385" s="795">
        <v>15</v>
      </c>
      <c r="J385" s="795">
        <v>67</v>
      </c>
      <c r="K385" s="796">
        <v>43313</v>
      </c>
      <c r="L385" s="797">
        <v>44043</v>
      </c>
      <c r="M385" s="795"/>
      <c r="N385" s="795">
        <v>1</v>
      </c>
      <c r="O385" s="795"/>
      <c r="P385" s="795"/>
      <c r="Q385" s="798" t="s">
        <v>43</v>
      </c>
      <c r="R385" s="795">
        <v>2</v>
      </c>
      <c r="S385" s="795">
        <v>2</v>
      </c>
      <c r="T385" s="523">
        <v>0</v>
      </c>
      <c r="U385" s="795"/>
      <c r="V385" s="795"/>
      <c r="W385" s="795">
        <v>0</v>
      </c>
      <c r="X385" s="795">
        <v>0</v>
      </c>
      <c r="Y385" s="795"/>
      <c r="Z385" s="795"/>
      <c r="AA385" s="795">
        <v>0</v>
      </c>
      <c r="AB385" s="795"/>
      <c r="AC385" s="795"/>
      <c r="AD385" s="795">
        <v>0</v>
      </c>
      <c r="AE385" s="795">
        <v>0</v>
      </c>
      <c r="AF385" s="795">
        <v>0</v>
      </c>
      <c r="AG385" s="795">
        <v>0</v>
      </c>
      <c r="AH385" s="795">
        <v>0</v>
      </c>
      <c r="AI385" s="795"/>
      <c r="AJ385" s="795"/>
      <c r="AK385" s="795"/>
      <c r="AL385" s="795"/>
      <c r="AM385" s="795">
        <v>0</v>
      </c>
      <c r="AN385" s="795">
        <v>0</v>
      </c>
      <c r="AO385" s="799"/>
      <c r="AP385" s="795">
        <v>4</v>
      </c>
      <c r="AQ385" s="795">
        <v>1</v>
      </c>
      <c r="AR385" s="800" t="s">
        <v>2916</v>
      </c>
      <c r="AS385" s="795"/>
      <c r="AT385" s="795"/>
      <c r="AU385" s="795"/>
      <c r="AV385" s="795"/>
      <c r="AW385" s="795">
        <v>0</v>
      </c>
      <c r="AX385" s="794" t="s">
        <v>43</v>
      </c>
      <c r="AY385" s="799" t="s">
        <v>139</v>
      </c>
      <c r="AZ385" s="795">
        <v>0</v>
      </c>
      <c r="BA385" s="795">
        <v>0</v>
      </c>
      <c r="BB385" s="795">
        <v>0</v>
      </c>
      <c r="BC385" s="523"/>
      <c r="BD385" s="523"/>
      <c r="BE385" s="794"/>
      <c r="BF385" s="795">
        <v>0</v>
      </c>
      <c r="BG385" s="795"/>
      <c r="BH385" s="795">
        <v>0</v>
      </c>
      <c r="BI385" s="795">
        <v>2</v>
      </c>
      <c r="BJ385" s="795"/>
      <c r="BK385" s="795">
        <v>2</v>
      </c>
      <c r="BL385" s="795">
        <v>0</v>
      </c>
      <c r="BM385" s="795"/>
      <c r="BN385" s="795"/>
      <c r="BO385" s="794"/>
      <c r="BP385" s="801"/>
      <c r="BQ385" s="800"/>
      <c r="BR385" s="794"/>
      <c r="BS385" s="472"/>
      <c r="BT385" s="472"/>
      <c r="BU385" s="720"/>
      <c r="BV385" s="472"/>
      <c r="BW385" s="523"/>
      <c r="BX385" s="523"/>
      <c r="BY385" s="523"/>
      <c r="BZ385" s="802" t="str">
        <f>IFERROR(WWWW[[#This Row],['#_Water sources passed]]/WWWW[[#This Row],['#_Water sources tested for fecal coliform ]],"no test")</f>
        <v>no test</v>
      </c>
      <c r="CA385" s="800" t="str">
        <f>IFERROR(WWWW[[#This Row],['#_Household passed]]/WWWW[[#This Row],['#_Household water samples tested for fecal coliform]],"no test")</f>
        <v>no test</v>
      </c>
      <c r="CB385" s="801" t="str">
        <f>IF(AND(WWWW[[#This Row],[% of water sources passed]]="no test",WWWW[[#This Row],[% Household passed]]="no test"),"No Test","Tested")</f>
        <v>No Test</v>
      </c>
      <c r="CC385" s="801">
        <f>WWWW[[#This Row],['#_Constructed/existing protected hand dug well]]-WWWW[[#This Row],['#_Non-functional protected hand dug well]]</f>
        <v>0</v>
      </c>
      <c r="CD385" s="801">
        <f>(WWWW[[#This Row],['#_Constructed/Existing tube wells/boreholes/handpumps_WASH_agency]]+WWWW[[#This Row],['#_Non-Cluster partner water tube-wells/boreholes/handpumps]])-WWWW[[#This Row],['#_Non-functional tube wells/boreholes/handpumps]]</f>
        <v>0</v>
      </c>
      <c r="CE385" s="801">
        <f>WWWW[[#This Row],['#_Constructed/Existingwater storage tank with gravity fed reticulation system]]-WWWW[[#This Row],['#_Non-functional storage tank gravity fed reticulation system]]</f>
        <v>0</v>
      </c>
      <c r="CF385" s="801">
        <f>(WWWW[[#This Row],['#_Water_Liters_supplied_by_Water boating or water trucking]]/90)/15</f>
        <v>0</v>
      </c>
      <c r="CG385" s="801">
        <f>WWWW[[#This Row],['#_Water_Liters_from_Constructed/Existing water distribution system from river or natural spring]]/90/15</f>
        <v>0</v>
      </c>
      <c r="CH385" s="473">
        <f>WWWW[[#This Row],['#_of water points in TLS/CFS /THF]]*500</f>
        <v>0</v>
      </c>
      <c r="CI38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5" s="800">
        <f>IF(WWWW[[#This Row],[Location Type 1]]="Village",WWWW[[#This Row],[Access to safe drinking water for Village]],WWWW[[#This Row],[Access to safe drinking water for Camp]])</f>
        <v>0</v>
      </c>
      <c r="CL385" s="798">
        <f>WWWW[[#This Row],[%Equitable and continuous access to sufficient quantity of safe drinking water]]*WWWW[[#This Row],[Total PoP ]]</f>
        <v>0</v>
      </c>
      <c r="CM385" s="800">
        <f>IF((WWWW[[#This Row],['#_Constructed/Existing protected/fenced ponds]]*250)/WWWW[[#This Row],[Total PoP ]]&gt;1,1,(WWWW[[#This Row],['#_Constructed/Existing protected/fenced ponds]]*250)/WWWW[[#This Row],[Total PoP ]])</f>
        <v>0</v>
      </c>
      <c r="CN385" s="798">
        <f>WWWW[[#This Row],[% Access to unimproved water points]]*WWWW[[#This Row],[Total PoP ]]</f>
        <v>0</v>
      </c>
      <c r="CO38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5" s="798">
        <f>WWWW[[#This Row],[HRP1]]/500</f>
        <v>0</v>
      </c>
      <c r="CR385" s="803">
        <f>1-WWWW[[#This Row],[% Equitable and continuous access to sufficient quantity of domestic water]]</f>
        <v>1</v>
      </c>
      <c r="CS385" s="798">
        <f>WWWW[[#This Row],[%equitable and continuous access to sufficient quantity of safe drinking and domestic water''s GAP]]*WWWW[[#This Row],[Total PoP ]]</f>
        <v>67</v>
      </c>
      <c r="CT385" s="801">
        <f>IF(WWWW[[#This Row],[Total required water points]]-WWWW[[#This Row],['#Water points coverage]]&lt;0,0,WWWW[[#This Row],[Total required water points]]-WWWW[[#This Row],['#Water points coverage]])</f>
        <v>1</v>
      </c>
      <c r="CU385" s="801">
        <f>ROUND(IF(WWWW[[#This Row],[Total PoP ]]&lt;500,1,WWWW[[#This Row],[Total PoP ]]/500),0)</f>
        <v>1</v>
      </c>
      <c r="CV385" s="801">
        <f>(WWWW[[#This Row],['#_Constructed latrines_by_WASHAgencies]]+WWWW[[#This Row],['#_Non Cluster partner latrines]])-WWWW[[#This Row],['#_Non-functional latrines]]</f>
        <v>5</v>
      </c>
      <c r="CW385" s="804">
        <f>WWWW[[#This Row],[HRP2]]/WWWW[[#This Row],[Total PoP ]]</f>
        <v>1</v>
      </c>
      <c r="CX38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v>
      </c>
      <c r="CY38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5" s="473">
        <f>IF(WWWW[[#This Row],['# of functional latrines in THF supported by WASH partners during the reporting period2]]="",0,WWWW[[#This Row],['# of functional latrines in THF supported by WASH partners during the reporting period2]]*50)</f>
        <v>0</v>
      </c>
      <c r="DB385" s="473">
        <f>WWWW[[#This Row],['# students access to functioning school latrines_HRP5]]+WWWW[[#This Row],['# People access to functioning latrines in THF_HRP5]]</f>
        <v>0</v>
      </c>
      <c r="DC385" s="801">
        <f>ROUND(IF(WWWW[[#This Row],[Location Type 1]]="camp",WWWW[[#This Row],[Total PoP ]]/20,IF(WWWW[[#This Row],[Location Type 1]]="Temporary Location",WWWW[[#This Row],[Total PoP ]]/50,(WWWW[[#This Row],[Total PoP ]]/6))),0)</f>
        <v>3</v>
      </c>
      <c r="DD385" s="801">
        <f>IF(WWWW[[#This Row],[Total required Latrines]]-(WWWW[[#This Row],['#_Constructed latrines_by_WASHAgencies]]+WWWW[[#This Row],['#_Non Cluster partner latrines]])&lt;0,0,WWWW[[#This Row],[Total required Latrines]]-(WWWW[[#This Row],['#_Constructed latrines_by_WASHAgencies]]+WWWW[[#This Row],['#_Non Cluster partner latrines]]))</f>
        <v>0</v>
      </c>
      <c r="DE385" s="803">
        <f>1-WWWW[[#This Row],[% people access to functioning Latrine]]</f>
        <v>0</v>
      </c>
      <c r="DF385" s="802">
        <f>IF(OR(WWWW[[#This Row],['#_Non-functional latrines]]="",WWWW[[#This Row],['#_Non-functional latrines]]=0),0,WWWW[[#This Row],['#_Non-functional latrines]]/(WWWW[[#This Row],['#_Constructed latrines_by_WASHAgencies]]+WWWW[[#This Row],['#_Non Cluster partner latrines]]))</f>
        <v>0</v>
      </c>
      <c r="DG385" s="798">
        <f>IF(500*(WWWW[[#This Row],['#_male hygiene promoters]]+WWWW[[#This Row],['#_female hygiene promoters]])&gt;WWWW[[#This Row],[Total PoP ]],WWWW[[#This Row],[Total PoP ]],500*(WWWW[[#This Row],['#_male hygiene promoters]]+WWWW[[#This Row],['#_female hygiene promoters]]))</f>
        <v>67</v>
      </c>
      <c r="DH38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5" s="801">
        <f>IF(WWWW[[#This Row],['# People with access to soap]]&gt;WWWW[[#This Row],['# People with access to Sanity Pads]],WWWW[[#This Row],['# People with access to soap]],WWWW[[#This Row],['# People with access to Sanity Pads]])</f>
        <v>0</v>
      </c>
      <c r="DK385" s="801">
        <f>IF(WWWW[[#This Row],['# people reached by regular dedicated hygiene promotion_5]]&gt;WWWW[[#This Row],['# People received regular supply of hygiene items_6]],WWWW[[#This Row],['# people reached by regular dedicated hygiene promotion_5]],WWWW[[#This Row],['# People received regular supply of hygiene items_6]])</f>
        <v>67</v>
      </c>
      <c r="DL385" s="803">
        <f>IF(WWWW[[#This Row],[HRP3]]/WWWW[[#This Row],[Total PoP ]]&gt;1,1,WWWW[[#This Row],[HRP3]]/WWWW[[#This Row],[Total PoP ]])</f>
        <v>1</v>
      </c>
      <c r="DM385" s="802">
        <f>1-WWWW[[#This Row],[Hygiene Coverage%]]</f>
        <v>0</v>
      </c>
      <c r="DN385" s="800">
        <f>WWWW[[#This Row],['# people reached by regular dedicated hygiene promotion_5]]/WWWW[[#This Row],[Total PoP ]]</f>
        <v>1</v>
      </c>
      <c r="DO38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5" s="801">
        <f>WWWW[[#This Row],['#_Constructed/Existing hand washing stations]]-WWWW[[#This Row],['#_Non-Functional_hand_washing_stations]]</f>
        <v>0</v>
      </c>
      <c r="DR385" s="798">
        <f>IF(WWWW[[#This Row],['# Functional hand washing stations during reporting period]]*20&gt;WWWW[[#This Row],[Total HH]],WWWW[[#This Row],[Total HH]],WWWW[[#This Row],['# Functional hand washing stations during reporting period]]*20)</f>
        <v>0</v>
      </c>
      <c r="DS385" s="798">
        <f>IF(WWWW[[#This Row],[Is sufficient soap available for TLS? (Yes/No)]]="yes",WWWW[[#This Row],['#_Constructed/Existing hand washing stations at TLS]],0)</f>
        <v>0</v>
      </c>
      <c r="DT385" s="479">
        <f>IF(WWWW[[#This Row],['# Functional hand washing stations during reporting period]]*100&gt;WWWW[[#This Row],[Total PoP ]],WWWW[[#This Row],[Total PoP ]],WWWW[[#This Row],['# Functional hand washing stations during reporting period]]*100)</f>
        <v>0</v>
      </c>
      <c r="DU385" s="479" t="str">
        <f>IF(OR(WWWW[[#This Row],['#_students at TLS_CFS]]="",WWWW[[#This Row],['#_students at TLS_CFS]]=0),"No","Yes")</f>
        <v>No</v>
      </c>
      <c r="DV38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5" s="794" t="str">
        <f>VLOOKUP(WWWW[[#This Row],[Site Name]],SiteDB6[[Site Name]:[CCCM Management]],6,FALSE)</f>
        <v>Yes</v>
      </c>
      <c r="DZ385" s="794" t="str">
        <f>VLOOKUP(WWWW[[#This Row],[Site Name]],SiteDB6[[Site Name]:[CCCM Focal Agency]],7,FALSE)</f>
        <v>KBC-MYT</v>
      </c>
      <c r="EA385" s="794" t="str">
        <f>VLOOKUP(WWWW[[#This Row],[Site Name]],SiteDB6[[Site Name]:[Location Type 1]],9,FALSE)</f>
        <v>Camp</v>
      </c>
      <c r="EB385" s="794" t="str">
        <f>VLOOKUP(WWWW[[#This Row],[Site Name]],SiteDB6[[Site Name]:[Type of Accommodation]],10,FALSE)</f>
        <v>Camp</v>
      </c>
      <c r="EC385" s="794" t="str">
        <f>VLOOKUP(WWWW[[#This Row],[Site Name]],SiteDB6[[Site Name]:[Ethnic or GCA/NGCA]],11,FALSE)</f>
        <v>GCA</v>
      </c>
      <c r="ED385" s="794">
        <f>VLOOKUP(WWWW[[#This Row],[Site Name]],SiteDB6[[Site Name]:[Lat]],12,FALSE)</f>
        <v>25.599250000000001</v>
      </c>
      <c r="EE385" s="794">
        <f>VLOOKUP(WWWW[[#This Row],[Site Name]],SiteDB6[[Site Name]:[Long]],13,FALSE)</f>
        <v>96.306910999999999</v>
      </c>
      <c r="EF385" s="794" t="str">
        <f>VLOOKUP(WWWW[[#This Row],[Site Name]],SiteDB6[[Site Name]:[Pcode]],3,FALSE)</f>
        <v>MMR001CMP105</v>
      </c>
      <c r="EG385" s="799" t="str">
        <f t="shared" si="9"/>
        <v>Covered</v>
      </c>
      <c r="EH385" s="799" t="str">
        <f>VLOOKUP(WWWW[[#This Row],[Site Name]],Site_DB!$C$389:$D$1120,2,FALSE)</f>
        <v>cccm_2019OCT</v>
      </c>
    </row>
    <row r="386" spans="1:138" hidden="1">
      <c r="A386" s="792" t="s">
        <v>3262</v>
      </c>
      <c r="B386" s="792" t="s">
        <v>279</v>
      </c>
      <c r="C386" s="793" t="s">
        <v>279</v>
      </c>
      <c r="D386" s="793" t="s">
        <v>3370</v>
      </c>
      <c r="E386" s="793" t="s">
        <v>39</v>
      </c>
      <c r="F386" s="793" t="s">
        <v>198</v>
      </c>
      <c r="G386" s="721" t="str">
        <f>VLOOKUP(WWWW[[#This Row],[Site Name]],SiteDB6[[Site Name]:[Location Type]],8,FALSE)</f>
        <v>Camp_not registered</v>
      </c>
      <c r="H386" s="793" t="s">
        <v>3089</v>
      </c>
      <c r="I386" s="795">
        <v>26.2</v>
      </c>
      <c r="J386" s="795">
        <v>131</v>
      </c>
      <c r="K386" s="796">
        <v>43833</v>
      </c>
      <c r="L386" s="797">
        <v>44377</v>
      </c>
      <c r="M386" s="795">
        <v>159</v>
      </c>
      <c r="N386" s="795"/>
      <c r="O386" s="795"/>
      <c r="P386" s="795">
        <v>30</v>
      </c>
      <c r="Q386" s="798" t="s">
        <v>43</v>
      </c>
      <c r="R386" s="795">
        <v>0</v>
      </c>
      <c r="S386" s="795">
        <v>0</v>
      </c>
      <c r="T386" s="523">
        <v>0</v>
      </c>
      <c r="U386" s="795"/>
      <c r="V386" s="795"/>
      <c r="W386" s="795">
        <v>0</v>
      </c>
      <c r="X386" s="795">
        <v>0</v>
      </c>
      <c r="Y386" s="795"/>
      <c r="Z386" s="795"/>
      <c r="AA386" s="795"/>
      <c r="AB386" s="795"/>
      <c r="AC386" s="795"/>
      <c r="AD386" s="795">
        <v>0</v>
      </c>
      <c r="AE386" s="795">
        <v>0</v>
      </c>
      <c r="AF386" s="795">
        <v>0</v>
      </c>
      <c r="AG386" s="795"/>
      <c r="AH386" s="795">
        <v>0</v>
      </c>
      <c r="AI386" s="795"/>
      <c r="AJ386" s="795"/>
      <c r="AK386" s="795"/>
      <c r="AL386" s="795"/>
      <c r="AM386" s="795">
        <v>0</v>
      </c>
      <c r="AN386" s="795">
        <v>0</v>
      </c>
      <c r="AO386" s="799"/>
      <c r="AP386" s="795">
        <v>0</v>
      </c>
      <c r="AQ386" s="795">
        <v>0</v>
      </c>
      <c r="AR386" s="800"/>
      <c r="AS386" s="795"/>
      <c r="AT386" s="795"/>
      <c r="AU386" s="795"/>
      <c r="AV386" s="795"/>
      <c r="AW386" s="795">
        <v>0</v>
      </c>
      <c r="AX386" s="794" t="s">
        <v>43</v>
      </c>
      <c r="AY386" s="799" t="s">
        <v>140</v>
      </c>
      <c r="AZ386" s="795">
        <v>0</v>
      </c>
      <c r="BA386" s="795">
        <v>0</v>
      </c>
      <c r="BB386" s="795"/>
      <c r="BC386" s="523"/>
      <c r="BD386" s="523">
        <v>0</v>
      </c>
      <c r="BE386" s="794" t="s">
        <v>3371</v>
      </c>
      <c r="BF386" s="795">
        <v>2</v>
      </c>
      <c r="BG386" s="795"/>
      <c r="BH386" s="795">
        <v>0</v>
      </c>
      <c r="BI386" s="795"/>
      <c r="BJ386" s="795"/>
      <c r="BK386" s="795">
        <v>0</v>
      </c>
      <c r="BL386" s="795"/>
      <c r="BM386" s="795"/>
      <c r="BN386" s="795"/>
      <c r="BO386" s="794"/>
      <c r="BP386" s="801"/>
      <c r="BQ386" s="800"/>
      <c r="BR386" s="794"/>
      <c r="BS386" s="472"/>
      <c r="BT386" s="472"/>
      <c r="BU386" s="720"/>
      <c r="BV386" s="472"/>
      <c r="BW386" s="523"/>
      <c r="BX386" s="523"/>
      <c r="BY386" s="523"/>
      <c r="BZ386" s="802" t="str">
        <f>IFERROR(WWWW[[#This Row],['#_Water sources passed]]/WWWW[[#This Row],['#_Water sources tested for fecal coliform ]],"no test")</f>
        <v>no test</v>
      </c>
      <c r="CA386" s="800" t="str">
        <f>IFERROR(WWWW[[#This Row],['#_Household passed]]/WWWW[[#This Row],['#_Household water samples tested for fecal coliform]],"no test")</f>
        <v>no test</v>
      </c>
      <c r="CB386" s="801" t="str">
        <f>IF(AND(WWWW[[#This Row],[% of water sources passed]]="no test",WWWW[[#This Row],[% Household passed]]="no test"),"No Test","Tested")</f>
        <v>No Test</v>
      </c>
      <c r="CC386" s="801">
        <f>WWWW[[#This Row],['#_Constructed/existing protected hand dug well]]-WWWW[[#This Row],['#_Non-functional protected hand dug well]]</f>
        <v>0</v>
      </c>
      <c r="CD386" s="801">
        <f>(WWWW[[#This Row],['#_Constructed/Existing tube wells/boreholes/handpumps_WASH_agency]]+WWWW[[#This Row],['#_Non-Cluster partner water tube-wells/boreholes/handpumps]])-WWWW[[#This Row],['#_Non-functional tube wells/boreholes/handpumps]]</f>
        <v>0</v>
      </c>
      <c r="CE386" s="801">
        <f>WWWW[[#This Row],['#_Constructed/Existingwater storage tank with gravity fed reticulation system]]-WWWW[[#This Row],['#_Non-functional storage tank gravity fed reticulation system]]</f>
        <v>0</v>
      </c>
      <c r="CF386" s="801">
        <f>(WWWW[[#This Row],['#_Water_Liters_supplied_by_Water boating or water trucking]]/90)/15</f>
        <v>0</v>
      </c>
      <c r="CG386" s="801">
        <f>WWWW[[#This Row],['#_Water_Liters_from_Constructed/Existing water distribution system from river or natural spring]]/90/15</f>
        <v>0</v>
      </c>
      <c r="CH386" s="473">
        <f>WWWW[[#This Row],['#_of water points in TLS/CFS /THF]]*500</f>
        <v>0</v>
      </c>
      <c r="CI38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38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386" s="800">
        <f>IF(WWWW[[#This Row],[Location Type 1]]="Village",WWWW[[#This Row],[Access to safe drinking water for Village]],WWWW[[#This Row],[Access to safe drinking water for Camp]])</f>
        <v>0</v>
      </c>
      <c r="CL386" s="798">
        <f>WWWW[[#This Row],[%Equitable and continuous access to sufficient quantity of safe drinking water]]*WWWW[[#This Row],[Total PoP ]]</f>
        <v>0</v>
      </c>
      <c r="CM386" s="800">
        <f>IF((WWWW[[#This Row],['#_Constructed/Existing protected/fenced ponds]]*250)/WWWW[[#This Row],[Total PoP ]]&gt;1,1,(WWWW[[#This Row],['#_Constructed/Existing protected/fenced ponds]]*250)/WWWW[[#This Row],[Total PoP ]])</f>
        <v>0</v>
      </c>
      <c r="CN386" s="798">
        <f>WWWW[[#This Row],[% Access to unimproved water points]]*WWWW[[#This Row],[Total PoP ]]</f>
        <v>0</v>
      </c>
      <c r="CO38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38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386" s="798">
        <f>WWWW[[#This Row],[HRP1]]/500</f>
        <v>0</v>
      </c>
      <c r="CR386" s="803">
        <f>1-WWWW[[#This Row],[% Equitable and continuous access to sufficient quantity of domestic water]]</f>
        <v>1</v>
      </c>
      <c r="CS386" s="798">
        <f>WWWW[[#This Row],[%equitable and continuous access to sufficient quantity of safe drinking and domestic water''s GAP]]*WWWW[[#This Row],[Total PoP ]]</f>
        <v>131</v>
      </c>
      <c r="CT386" s="801">
        <f>IF(WWWW[[#This Row],[Total required water points]]-WWWW[[#This Row],['#Water points coverage]]&lt;0,0,WWWW[[#This Row],[Total required water points]]-WWWW[[#This Row],['#Water points coverage]])</f>
        <v>1</v>
      </c>
      <c r="CU386" s="801">
        <f>ROUND(IF(WWWW[[#This Row],[Total PoP ]]&lt;500,1,WWWW[[#This Row],[Total PoP ]]/500),0)</f>
        <v>1</v>
      </c>
      <c r="CV386" s="801">
        <f>(WWWW[[#This Row],['#_Constructed latrines_by_WASHAgencies]]+WWWW[[#This Row],['#_Non Cluster partner latrines]])-WWWW[[#This Row],['#_Non-functional latrines]]</f>
        <v>0</v>
      </c>
      <c r="CW386" s="804">
        <f>WWWW[[#This Row],[HRP2]]/WWWW[[#This Row],[Total PoP ]]</f>
        <v>0</v>
      </c>
      <c r="CX38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8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8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6" s="473">
        <f>IF(WWWW[[#This Row],['# of functional latrines in THF supported by WASH partners during the reporting period2]]="",0,WWWW[[#This Row],['# of functional latrines in THF supported by WASH partners during the reporting period2]]*50)</f>
        <v>0</v>
      </c>
      <c r="DB386" s="473">
        <f>WWWW[[#This Row],['# students access to functioning school latrines_HRP5]]+WWWW[[#This Row],['# People access to functioning latrines in THF_HRP5]]</f>
        <v>0</v>
      </c>
      <c r="DC386" s="801">
        <f>ROUND(IF(WWWW[[#This Row],[Location Type 1]]="camp",WWWW[[#This Row],[Total PoP ]]/20,IF(WWWW[[#This Row],[Location Type 1]]="Temporary Location",WWWW[[#This Row],[Total PoP ]]/50,(WWWW[[#This Row],[Total PoP ]]/6))),0)</f>
        <v>7</v>
      </c>
      <c r="DD386" s="801">
        <f>IF(WWWW[[#This Row],[Total required Latrines]]-(WWWW[[#This Row],['#_Constructed latrines_by_WASHAgencies]]+WWWW[[#This Row],['#_Non Cluster partner latrines]])&lt;0,0,WWWW[[#This Row],[Total required Latrines]]-(WWWW[[#This Row],['#_Constructed latrines_by_WASHAgencies]]+WWWW[[#This Row],['#_Non Cluster partner latrines]]))</f>
        <v>7</v>
      </c>
      <c r="DE386" s="803">
        <f>1-WWWW[[#This Row],[% people access to functioning Latrine]]</f>
        <v>1</v>
      </c>
      <c r="DF386" s="802">
        <f>IF(OR(WWWW[[#This Row],['#_Non-functional latrines]]="",WWWW[[#This Row],['#_Non-functional latrines]]=0),0,WWWW[[#This Row],['#_Non-functional latrines]]/(WWWW[[#This Row],['#_Constructed latrines_by_WASHAgencies]]+WWWW[[#This Row],['#_Non Cluster partner latrines]]))</f>
        <v>0</v>
      </c>
      <c r="DG386" s="798">
        <f>IF(500*(WWWW[[#This Row],['#_male hygiene promoters]]+WWWW[[#This Row],['#_female hygiene promoters]])&gt;WWWW[[#This Row],[Total PoP ]],WWWW[[#This Row],[Total PoP ]],500*(WWWW[[#This Row],['#_male hygiene promoters]]+WWWW[[#This Row],['#_female hygiene promoters]]))</f>
        <v>0</v>
      </c>
      <c r="DH38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6" s="801">
        <f>IF(WWWW[[#This Row],['# People with access to soap]]&gt;WWWW[[#This Row],['# People with access to Sanity Pads]],WWWW[[#This Row],['# People with access to soap]],WWWW[[#This Row],['# People with access to Sanity Pads]])</f>
        <v>0</v>
      </c>
      <c r="DK386"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86" s="803">
        <f>IF(WWWW[[#This Row],[HRP3]]/WWWW[[#This Row],[Total PoP ]]&gt;1,1,WWWW[[#This Row],[HRP3]]/WWWW[[#This Row],[Total PoP ]])</f>
        <v>0</v>
      </c>
      <c r="DM386" s="802">
        <f>1-WWWW[[#This Row],[Hygiene Coverage%]]</f>
        <v>1</v>
      </c>
      <c r="DN386" s="800">
        <f>WWWW[[#This Row],['# people reached by regular dedicated hygiene promotion_5]]/WWWW[[#This Row],[Total PoP ]]</f>
        <v>0</v>
      </c>
      <c r="DO38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6" s="801">
        <f>WWWW[[#This Row],['#_Constructed/Existing hand washing stations]]-WWWW[[#This Row],['#_Non-Functional_hand_washing_stations]]</f>
        <v>2</v>
      </c>
      <c r="DR386" s="798">
        <f>IF(WWWW[[#This Row],['# Functional hand washing stations during reporting period]]*20&gt;WWWW[[#This Row],[Total HH]],WWWW[[#This Row],[Total HH]],WWWW[[#This Row],['# Functional hand washing stations during reporting period]]*20)</f>
        <v>26.2</v>
      </c>
      <c r="DS386" s="798">
        <f>IF(WWWW[[#This Row],[Is sufficient soap available for TLS? (Yes/No)]]="yes",WWWW[[#This Row],['#_Constructed/Existing hand washing stations at TLS]],0)</f>
        <v>0</v>
      </c>
      <c r="DT386" s="479">
        <f>IF(WWWW[[#This Row],['# Functional hand washing stations during reporting period]]*100&gt;WWWW[[#This Row],[Total PoP ]],WWWW[[#This Row],[Total PoP ]],WWWW[[#This Row],['# Functional hand washing stations during reporting period]]*100)</f>
        <v>131</v>
      </c>
      <c r="DU386" s="479" t="str">
        <f>IF(OR(WWWW[[#This Row],['#_students at TLS_CFS]]="",WWWW[[#This Row],['#_students at TLS_CFS]]=0),"No","Yes")</f>
        <v>Yes</v>
      </c>
      <c r="DV38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6" s="794">
        <f>VLOOKUP(WWWW[[#This Row],[Site Name]],SiteDB6[[Site Name]:[CCCM Management]],6,FALSE)</f>
        <v>0</v>
      </c>
      <c r="DZ386" s="794">
        <f>VLOOKUP(WWWW[[#This Row],[Site Name]],SiteDB6[[Site Name]:[CCCM Focal Agency]],7,FALSE)</f>
        <v>0</v>
      </c>
      <c r="EA386" s="794" t="str">
        <f>VLOOKUP(WWWW[[#This Row],[Site Name]],SiteDB6[[Site Name]:[Location Type 1]],9,FALSE)</f>
        <v>Camp</v>
      </c>
      <c r="EB386" s="794" t="str">
        <f>VLOOKUP(WWWW[[#This Row],[Site Name]],SiteDB6[[Site Name]:[Type of Accommodation]],10,FALSE)</f>
        <v>School</v>
      </c>
      <c r="EC386" s="794" t="str">
        <f>VLOOKUP(WWWW[[#This Row],[Site Name]],SiteDB6[[Site Name]:[Ethnic or GCA/NGCA]],11,FALSE)</f>
        <v>GCA</v>
      </c>
      <c r="ED386" s="794">
        <f>VLOOKUP(WWWW[[#This Row],[Site Name]],SiteDB6[[Site Name]:[Lat]],12,FALSE)</f>
        <v>0</v>
      </c>
      <c r="EE386" s="794">
        <f>VLOOKUP(WWWW[[#This Row],[Site Name]],SiteDB6[[Site Name]:[Long]],13,FALSE)</f>
        <v>0</v>
      </c>
      <c r="EF386" s="794">
        <f>VLOOKUP(WWWW[[#This Row],[Site Name]],SiteDB6[[Site Name]:[Pcode]],3,FALSE)</f>
        <v>0</v>
      </c>
      <c r="EG386" s="799" t="str">
        <f t="shared" ref="EG386:EG403" si="10">IF(C386="none","Notcovered","Covered")</f>
        <v>Covered</v>
      </c>
      <c r="EH386" s="799" t="e">
        <f>VLOOKUP(WWWW[[#This Row],[Site Name]],Site_DB!$C$389:$D$1120,2,FALSE)</f>
        <v>#N/A</v>
      </c>
    </row>
    <row r="387" spans="1:138" hidden="1">
      <c r="A387" s="792" t="s">
        <v>3262</v>
      </c>
      <c r="B387" s="792" t="s">
        <v>279</v>
      </c>
      <c r="C387" s="793" t="s">
        <v>279</v>
      </c>
      <c r="D387" s="793" t="s">
        <v>3370</v>
      </c>
      <c r="E387" s="793" t="s">
        <v>39</v>
      </c>
      <c r="F387" s="793" t="s">
        <v>198</v>
      </c>
      <c r="G387" s="721" t="str">
        <f>VLOOKUP(WWWW[[#This Row],[Site Name]],SiteDB6[[Site Name]:[Location Type]],8,FALSE)</f>
        <v>Camp_not registered</v>
      </c>
      <c r="H387" s="793" t="s">
        <v>1095</v>
      </c>
      <c r="I387" s="795">
        <v>23</v>
      </c>
      <c r="J387" s="795">
        <v>167</v>
      </c>
      <c r="K387" s="796">
        <v>43833</v>
      </c>
      <c r="L387" s="797">
        <v>44377</v>
      </c>
      <c r="M387" s="795"/>
      <c r="N387" s="795">
        <v>0</v>
      </c>
      <c r="O387" s="795">
        <v>1</v>
      </c>
      <c r="P387" s="795">
        <v>30</v>
      </c>
      <c r="Q387" s="798" t="s">
        <v>43</v>
      </c>
      <c r="R387" s="795">
        <v>0</v>
      </c>
      <c r="S387" s="795">
        <v>0</v>
      </c>
      <c r="T387" s="523">
        <v>0</v>
      </c>
      <c r="U387" s="795"/>
      <c r="V387" s="795"/>
      <c r="W387" s="795">
        <v>1</v>
      </c>
      <c r="X387" s="795">
        <v>0</v>
      </c>
      <c r="Y387" s="795"/>
      <c r="Z387" s="795"/>
      <c r="AA387" s="795"/>
      <c r="AB387" s="795"/>
      <c r="AC387" s="795"/>
      <c r="AD387" s="795"/>
      <c r="AE387" s="795"/>
      <c r="AF387" s="795"/>
      <c r="AG387" s="795">
        <v>1</v>
      </c>
      <c r="AH387" s="795"/>
      <c r="AI387" s="795">
        <v>1</v>
      </c>
      <c r="AJ387" s="795">
        <v>1</v>
      </c>
      <c r="AK387" s="795">
        <v>12</v>
      </c>
      <c r="AL387" s="795">
        <v>11</v>
      </c>
      <c r="AM387" s="795">
        <v>3</v>
      </c>
      <c r="AN387" s="795"/>
      <c r="AO387" s="799"/>
      <c r="AP387" s="795">
        <v>13</v>
      </c>
      <c r="AQ387" s="795"/>
      <c r="AR387" s="800"/>
      <c r="AS387" s="795"/>
      <c r="AT387" s="795"/>
      <c r="AU387" s="795">
        <v>9</v>
      </c>
      <c r="AV387" s="795">
        <v>1000</v>
      </c>
      <c r="AW387" s="795"/>
      <c r="AX387" s="794" t="s">
        <v>43</v>
      </c>
      <c r="AY387" s="799" t="s">
        <v>140</v>
      </c>
      <c r="AZ387" s="795">
        <v>0</v>
      </c>
      <c r="BA387" s="795">
        <v>0</v>
      </c>
      <c r="BB387" s="795"/>
      <c r="BC387" s="523"/>
      <c r="BD387" s="523">
        <v>1</v>
      </c>
      <c r="BE387" s="794" t="s">
        <v>3371</v>
      </c>
      <c r="BF387" s="795">
        <v>3</v>
      </c>
      <c r="BG387" s="795"/>
      <c r="BH387" s="795"/>
      <c r="BI387" s="795">
        <v>2</v>
      </c>
      <c r="BJ387" s="795"/>
      <c r="BK387" s="795">
        <v>0</v>
      </c>
      <c r="BL387" s="795">
        <v>1</v>
      </c>
      <c r="BM387" s="795"/>
      <c r="BN387" s="795"/>
      <c r="BO387" s="794"/>
      <c r="BP387" s="801"/>
      <c r="BQ387" s="800"/>
      <c r="BR387" s="794"/>
      <c r="BS387" s="472"/>
      <c r="BT387" s="472"/>
      <c r="BU387" s="720"/>
      <c r="BV387" s="472"/>
      <c r="BW387" s="523"/>
      <c r="BX387" s="523"/>
      <c r="BY387" s="523"/>
      <c r="BZ387" s="802">
        <f>IFERROR(WWWW[[#This Row],['#_Water sources passed]]/WWWW[[#This Row],['#_Water sources tested for fecal coliform ]],"no test")</f>
        <v>1</v>
      </c>
      <c r="CA387" s="800">
        <f>IFERROR(WWWW[[#This Row],['#_Household passed]]/WWWW[[#This Row],['#_Household water samples tested for fecal coliform]],"no test")</f>
        <v>0.91666666666666663</v>
      </c>
      <c r="CB387" s="801" t="str">
        <f>IF(AND(WWWW[[#This Row],[% of water sources passed]]="no test",WWWW[[#This Row],[% Household passed]]="no test"),"No Test","Tested")</f>
        <v>Tested</v>
      </c>
      <c r="CC387" s="801">
        <f>WWWW[[#This Row],['#_Constructed/existing protected hand dug well]]-WWWW[[#This Row],['#_Non-functional protected hand dug well]]</f>
        <v>0</v>
      </c>
      <c r="CD387" s="801">
        <f>(WWWW[[#This Row],['#_Constructed/Existing tube wells/boreholes/handpumps_WASH_agency]]+WWWW[[#This Row],['#_Non-Cluster partner water tube-wells/boreholes/handpumps]])-WWWW[[#This Row],['#_Non-functional tube wells/boreholes/handpumps]]</f>
        <v>1</v>
      </c>
      <c r="CE387" s="801">
        <f>WWWW[[#This Row],['#_Constructed/Existingwater storage tank with gravity fed reticulation system]]-WWWW[[#This Row],['#_Non-functional storage tank gravity fed reticulation system]]</f>
        <v>0</v>
      </c>
      <c r="CF387" s="801">
        <f>(WWWW[[#This Row],['#_Water_Liters_supplied_by_Water boating or water trucking]]/90)/15</f>
        <v>0</v>
      </c>
      <c r="CG387" s="801">
        <f>WWWW[[#This Row],['#_Water_Liters_from_Constructed/Existing water distribution system from river or natural spring]]/90/15</f>
        <v>0</v>
      </c>
      <c r="CH387" s="473">
        <f>WWWW[[#This Row],['#_of water points in TLS/CFS /THF]]*500</f>
        <v>0</v>
      </c>
      <c r="CI38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7" s="800">
        <f>IF(WWWW[[#This Row],[Location Type 1]]="Village",WWWW[[#This Row],[Access to safe drinking water for Village]],WWWW[[#This Row],[Access to safe drinking water for Camp]])</f>
        <v>1</v>
      </c>
      <c r="CL387" s="798">
        <f>WWWW[[#This Row],[%Equitable and continuous access to sufficient quantity of safe drinking water]]*WWWW[[#This Row],[Total PoP ]]</f>
        <v>167</v>
      </c>
      <c r="CM387" s="800">
        <f>IF((WWWW[[#This Row],['#_Constructed/Existing protected/fenced ponds]]*250)/WWWW[[#This Row],[Total PoP ]]&gt;1,1,(WWWW[[#This Row],['#_Constructed/Existing protected/fenced ponds]]*250)/WWWW[[#This Row],[Total PoP ]])</f>
        <v>0</v>
      </c>
      <c r="CN387" s="798">
        <f>WWWW[[#This Row],[% Access to unimproved water points]]*WWWW[[#This Row],[Total PoP ]]</f>
        <v>0</v>
      </c>
      <c r="CO38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v>
      </c>
      <c r="CQ387" s="798">
        <f>WWWW[[#This Row],[HRP1]]/500</f>
        <v>0.33400000000000002</v>
      </c>
      <c r="CR387" s="803">
        <f>1-WWWW[[#This Row],[% Equitable and continuous access to sufficient quantity of domestic water]]</f>
        <v>0</v>
      </c>
      <c r="CS387" s="798">
        <f>WWWW[[#This Row],[%equitable and continuous access to sufficient quantity of safe drinking and domestic water''s GAP]]*WWWW[[#This Row],[Total PoP ]]</f>
        <v>0</v>
      </c>
      <c r="CT387" s="801">
        <f>IF(WWWW[[#This Row],[Total required water points]]-WWWW[[#This Row],['#Water points coverage]]&lt;0,0,WWWW[[#This Row],[Total required water points]]-WWWW[[#This Row],['#Water points coverage]])</f>
        <v>0.66599999999999993</v>
      </c>
      <c r="CU387" s="801">
        <f>ROUND(IF(WWWW[[#This Row],[Total PoP ]]&lt;500,1,WWWW[[#This Row],[Total PoP ]]/500),0)</f>
        <v>1</v>
      </c>
      <c r="CV387" s="801">
        <f>(WWWW[[#This Row],['#_Constructed latrines_by_WASHAgencies]]+WWWW[[#This Row],['#_Non Cluster partner latrines]])-WWWW[[#This Row],['#_Non-functional latrines]]</f>
        <v>13</v>
      </c>
      <c r="CW387" s="804">
        <f>WWWW[[#This Row],[HRP2]]/WWWW[[#This Row],[Total PoP ]]</f>
        <v>1</v>
      </c>
      <c r="CX38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v>
      </c>
      <c r="CY38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167</v>
      </c>
      <c r="CZ38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7" s="473">
        <f>IF(WWWW[[#This Row],['# of functional latrines in THF supported by WASH partners during the reporting period2]]="",0,WWWW[[#This Row],['# of functional latrines in THF supported by WASH partners during the reporting period2]]*50)</f>
        <v>0</v>
      </c>
      <c r="DB387" s="473">
        <f>WWWW[[#This Row],['# students access to functioning school latrines_HRP5]]+WWWW[[#This Row],['# People access to functioning latrines in THF_HRP5]]</f>
        <v>0</v>
      </c>
      <c r="DC387" s="801">
        <f>ROUND(IF(WWWW[[#This Row],[Location Type 1]]="camp",WWWW[[#This Row],[Total PoP ]]/20,IF(WWWW[[#This Row],[Location Type 1]]="Temporary Location",WWWW[[#This Row],[Total PoP ]]/50,(WWWW[[#This Row],[Total PoP ]]/6))),0)</f>
        <v>8</v>
      </c>
      <c r="DD387" s="801">
        <f>IF(WWWW[[#This Row],[Total required Latrines]]-(WWWW[[#This Row],['#_Constructed latrines_by_WASHAgencies]]+WWWW[[#This Row],['#_Non Cluster partner latrines]])&lt;0,0,WWWW[[#This Row],[Total required Latrines]]-(WWWW[[#This Row],['#_Constructed latrines_by_WASHAgencies]]+WWWW[[#This Row],['#_Non Cluster partner latrines]]))</f>
        <v>0</v>
      </c>
      <c r="DE387" s="803">
        <f>1-WWWW[[#This Row],[% people access to functioning Latrine]]</f>
        <v>0</v>
      </c>
      <c r="DF387" s="802">
        <f>IF(OR(WWWW[[#This Row],['#_Non-functional latrines]]="",WWWW[[#This Row],['#_Non-functional latrines]]=0),0,WWWW[[#This Row],['#_Non-functional latrines]]/(WWWW[[#This Row],['#_Constructed latrines_by_WASHAgencies]]+WWWW[[#This Row],['#_Non Cluster partner latrines]]))</f>
        <v>0</v>
      </c>
      <c r="DG387" s="798">
        <f>IF(500*(WWWW[[#This Row],['#_male hygiene promoters]]+WWWW[[#This Row],['#_female hygiene promoters]])&gt;WWWW[[#This Row],[Total PoP ]],WWWW[[#This Row],[Total PoP ]],500*(WWWW[[#This Row],['#_male hygiene promoters]]+WWWW[[#This Row],['#_female hygiene promoters]]))</f>
        <v>167</v>
      </c>
      <c r="DH38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7" s="801">
        <f>IF(WWWW[[#This Row],['# People with access to soap]]&gt;WWWW[[#This Row],['# People with access to Sanity Pads]],WWWW[[#This Row],['# People with access to soap]],WWWW[[#This Row],['# People with access to Sanity Pads]])</f>
        <v>0</v>
      </c>
      <c r="DK387" s="801">
        <f>IF(WWWW[[#This Row],['# people reached by regular dedicated hygiene promotion_5]]&gt;WWWW[[#This Row],['# People received regular supply of hygiene items_6]],WWWW[[#This Row],['# people reached by regular dedicated hygiene promotion_5]],WWWW[[#This Row],['# People received regular supply of hygiene items_6]])</f>
        <v>167</v>
      </c>
      <c r="DL387" s="803">
        <f>IF(WWWW[[#This Row],[HRP3]]/WWWW[[#This Row],[Total PoP ]]&gt;1,1,WWWW[[#This Row],[HRP3]]/WWWW[[#This Row],[Total PoP ]])</f>
        <v>1</v>
      </c>
      <c r="DM387" s="802">
        <f>1-WWWW[[#This Row],[Hygiene Coverage%]]</f>
        <v>0</v>
      </c>
      <c r="DN387" s="800">
        <f>WWWW[[#This Row],['# people reached by regular dedicated hygiene promotion_5]]/WWWW[[#This Row],[Total PoP ]]</f>
        <v>1</v>
      </c>
      <c r="DO38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7" s="801">
        <f>WWWW[[#This Row],['#_Constructed/Existing hand washing stations]]-WWWW[[#This Row],['#_Non-Functional_hand_washing_stations]]</f>
        <v>3</v>
      </c>
      <c r="DR387" s="798">
        <f>IF(WWWW[[#This Row],['# Functional hand washing stations during reporting period]]*20&gt;WWWW[[#This Row],[Total HH]],WWWW[[#This Row],[Total HH]],WWWW[[#This Row],['# Functional hand washing stations during reporting period]]*20)</f>
        <v>23</v>
      </c>
      <c r="DS387" s="798">
        <f>IF(WWWW[[#This Row],[Is sufficient soap available for TLS? (Yes/No)]]="yes",WWWW[[#This Row],['#_Constructed/Existing hand washing stations at TLS]],0)</f>
        <v>0</v>
      </c>
      <c r="DT387" s="479">
        <f>IF(WWWW[[#This Row],['# Functional hand washing stations during reporting period]]*100&gt;WWWW[[#This Row],[Total PoP ]],WWWW[[#This Row],[Total PoP ]],WWWW[[#This Row],['# Functional hand washing stations during reporting period]]*100)</f>
        <v>167</v>
      </c>
      <c r="DU387" s="479" t="str">
        <f>IF(OR(WWWW[[#This Row],['#_students at TLS_CFS]]="",WWWW[[#This Row],['#_students at TLS_CFS]]=0),"No","Yes")</f>
        <v>No</v>
      </c>
      <c r="DV38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7" s="794">
        <f>VLOOKUP(WWWW[[#This Row],[Site Name]],SiteDB6[[Site Name]:[CCCM Management]],6,FALSE)</f>
        <v>0</v>
      </c>
      <c r="DZ387" s="794">
        <f>VLOOKUP(WWWW[[#This Row],[Site Name]],SiteDB6[[Site Name]:[CCCM Focal Agency]],7,FALSE)</f>
        <v>0</v>
      </c>
      <c r="EA387" s="794" t="str">
        <f>VLOOKUP(WWWW[[#This Row],[Site Name]],SiteDB6[[Site Name]:[Location Type 1]],9,FALSE)</f>
        <v>Camp</v>
      </c>
      <c r="EB387" s="794" t="str">
        <f>VLOOKUP(WWWW[[#This Row],[Site Name]],SiteDB6[[Site Name]:[Type of Accommodation]],10,FALSE)</f>
        <v>camp</v>
      </c>
      <c r="EC387" s="794" t="str">
        <f>VLOOKUP(WWWW[[#This Row],[Site Name]],SiteDB6[[Site Name]:[Ethnic or GCA/NGCA]],11,FALSE)</f>
        <v>GCA</v>
      </c>
      <c r="ED387" s="794">
        <f>VLOOKUP(WWWW[[#This Row],[Site Name]],SiteDB6[[Site Name]:[Lat]],12,FALSE)</f>
        <v>0</v>
      </c>
      <c r="EE387" s="794">
        <f>VLOOKUP(WWWW[[#This Row],[Site Name]],SiteDB6[[Site Name]:[Long]],13,FALSE)</f>
        <v>0</v>
      </c>
      <c r="EF387" s="794">
        <f>VLOOKUP(WWWW[[#This Row],[Site Name]],SiteDB6[[Site Name]:[Pcode]],3,FALSE)</f>
        <v>0</v>
      </c>
      <c r="EG387" s="799" t="str">
        <f t="shared" si="10"/>
        <v>Covered</v>
      </c>
      <c r="EH387" s="799">
        <f>VLOOKUP(WWWW[[#This Row],[Site Name]],Site_DB!$C$389:$D$1120,2,FALSE)</f>
        <v>0</v>
      </c>
    </row>
    <row r="388" spans="1:138" hidden="1">
      <c r="A388" s="792" t="s">
        <v>3262</v>
      </c>
      <c r="B388" s="792" t="s">
        <v>279</v>
      </c>
      <c r="C388" s="793" t="s">
        <v>279</v>
      </c>
      <c r="D388" s="793" t="s">
        <v>3370</v>
      </c>
      <c r="E388" s="793" t="s">
        <v>39</v>
      </c>
      <c r="F388" s="793" t="s">
        <v>198</v>
      </c>
      <c r="G388" s="721" t="str">
        <f>VLOOKUP(WWWW[[#This Row],[Site Name]],SiteDB6[[Site Name]:[Location Type]],8,FALSE)</f>
        <v>Camp</v>
      </c>
      <c r="H388" s="793" t="s">
        <v>280</v>
      </c>
      <c r="I388" s="795">
        <v>183</v>
      </c>
      <c r="J388" s="795">
        <v>723</v>
      </c>
      <c r="K388" s="796">
        <v>43833</v>
      </c>
      <c r="L388" s="797">
        <v>44377</v>
      </c>
      <c r="M388" s="795"/>
      <c r="N388" s="795"/>
      <c r="O388" s="795">
        <v>2</v>
      </c>
      <c r="P388" s="795">
        <v>30</v>
      </c>
      <c r="Q388" s="798" t="s">
        <v>43</v>
      </c>
      <c r="R388" s="795">
        <v>11</v>
      </c>
      <c r="S388" s="795">
        <v>9</v>
      </c>
      <c r="T388" s="523">
        <v>2</v>
      </c>
      <c r="U388" s="795"/>
      <c r="V388" s="795"/>
      <c r="W388" s="795">
        <v>5</v>
      </c>
      <c r="X388" s="795">
        <v>0</v>
      </c>
      <c r="Y388" s="795"/>
      <c r="Z388" s="795"/>
      <c r="AA388" s="795"/>
      <c r="AB388" s="795"/>
      <c r="AC388" s="795"/>
      <c r="AD388" s="795">
        <v>0</v>
      </c>
      <c r="AE388" s="795"/>
      <c r="AF388" s="795"/>
      <c r="AG388" s="795">
        <v>2</v>
      </c>
      <c r="AH388" s="795"/>
      <c r="AI388" s="795">
        <v>3</v>
      </c>
      <c r="AJ388" s="795">
        <v>3</v>
      </c>
      <c r="AK388" s="795">
        <v>15</v>
      </c>
      <c r="AL388" s="795">
        <v>15</v>
      </c>
      <c r="AM388" s="795">
        <v>6</v>
      </c>
      <c r="AN388" s="795"/>
      <c r="AO388" s="799"/>
      <c r="AP388" s="795">
        <v>38</v>
      </c>
      <c r="AQ388" s="795"/>
      <c r="AR388" s="800"/>
      <c r="AS388" s="795"/>
      <c r="AT388" s="795"/>
      <c r="AU388" s="795">
        <v>19</v>
      </c>
      <c r="AV388" s="795">
        <v>6160</v>
      </c>
      <c r="AW388" s="795"/>
      <c r="AX388" s="794" t="s">
        <v>43</v>
      </c>
      <c r="AY388" s="799" t="s">
        <v>140</v>
      </c>
      <c r="AZ388" s="795">
        <v>0</v>
      </c>
      <c r="BA388" s="795">
        <v>0</v>
      </c>
      <c r="BB388" s="795"/>
      <c r="BC388" s="523"/>
      <c r="BD388" s="523"/>
      <c r="BE388" s="794" t="s">
        <v>3371</v>
      </c>
      <c r="BF388" s="795">
        <v>6</v>
      </c>
      <c r="BG388" s="795"/>
      <c r="BH388" s="795"/>
      <c r="BI388" s="795">
        <v>2</v>
      </c>
      <c r="BJ388" s="795"/>
      <c r="BK388" s="795">
        <v>0</v>
      </c>
      <c r="BL388" s="795">
        <v>2</v>
      </c>
      <c r="BM388" s="795"/>
      <c r="BN388" s="795"/>
      <c r="BO388" s="794"/>
      <c r="BP388" s="801"/>
      <c r="BQ388" s="800"/>
      <c r="BR388" s="794"/>
      <c r="BS388" s="472"/>
      <c r="BT388" s="472"/>
      <c r="BU388" s="720"/>
      <c r="BV388" s="472"/>
      <c r="BW388" s="523"/>
      <c r="BX388" s="523"/>
      <c r="BY388" s="523"/>
      <c r="BZ388" s="802">
        <f>IFERROR(WWWW[[#This Row],['#_Water sources passed]]/WWWW[[#This Row],['#_Water sources tested for fecal coliform ]],"no test")</f>
        <v>1</v>
      </c>
      <c r="CA388" s="800">
        <f>IFERROR(WWWW[[#This Row],['#_Household passed]]/WWWW[[#This Row],['#_Household water samples tested for fecal coliform]],"no test")</f>
        <v>1</v>
      </c>
      <c r="CB388" s="801" t="str">
        <f>IF(AND(WWWW[[#This Row],[% of water sources passed]]="no test",WWWW[[#This Row],[% Household passed]]="no test"),"No Test","Tested")</f>
        <v>Tested</v>
      </c>
      <c r="CC388" s="801">
        <f>WWWW[[#This Row],['#_Constructed/existing protected hand dug well]]-WWWW[[#This Row],['#_Non-functional protected hand dug well]]</f>
        <v>2</v>
      </c>
      <c r="CD388" s="801">
        <f>(WWWW[[#This Row],['#_Constructed/Existing tube wells/boreholes/handpumps_WASH_agency]]+WWWW[[#This Row],['#_Non-Cluster partner water tube-wells/boreholes/handpumps]])-WWWW[[#This Row],['#_Non-functional tube wells/boreholes/handpumps]]</f>
        <v>5</v>
      </c>
      <c r="CE388" s="801">
        <f>WWWW[[#This Row],['#_Constructed/Existingwater storage tank with gravity fed reticulation system]]-WWWW[[#This Row],['#_Non-functional storage tank gravity fed reticulation system]]</f>
        <v>0</v>
      </c>
      <c r="CF388" s="801">
        <f>(WWWW[[#This Row],['#_Water_Liters_supplied_by_Water boating or water trucking]]/90)/15</f>
        <v>0</v>
      </c>
      <c r="CG388" s="801">
        <f>WWWW[[#This Row],['#_Water_Liters_from_Constructed/Existing water distribution system from river or natural spring]]/90/15</f>
        <v>0</v>
      </c>
      <c r="CH388" s="473">
        <f>WWWW[[#This Row],['#_of water points in TLS/CFS /THF]]*500</f>
        <v>0</v>
      </c>
      <c r="CI38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8" s="800">
        <f>IF(WWWW[[#This Row],[Location Type 1]]="Village",WWWW[[#This Row],[Access to safe drinking water for Village]],WWWW[[#This Row],[Access to safe drinking water for Camp]])</f>
        <v>1</v>
      </c>
      <c r="CL388" s="798">
        <f>WWWW[[#This Row],[%Equitable and continuous access to sufficient quantity of safe drinking water]]*WWWW[[#This Row],[Total PoP ]]</f>
        <v>723</v>
      </c>
      <c r="CM388" s="800">
        <f>IF((WWWW[[#This Row],['#_Constructed/Existing protected/fenced ponds]]*250)/WWWW[[#This Row],[Total PoP ]]&gt;1,1,(WWWW[[#This Row],['#_Constructed/Existing protected/fenced ponds]]*250)/WWWW[[#This Row],[Total PoP ]])</f>
        <v>0</v>
      </c>
      <c r="CN388" s="798">
        <f>WWWW[[#This Row],[% Access to unimproved water points]]*WWWW[[#This Row],[Total PoP ]]</f>
        <v>0</v>
      </c>
      <c r="CO38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723</v>
      </c>
      <c r="CQ388" s="798">
        <f>WWWW[[#This Row],[HRP1]]/500</f>
        <v>1.446</v>
      </c>
      <c r="CR388" s="803">
        <f>1-WWWW[[#This Row],[% Equitable and continuous access to sufficient quantity of domestic water]]</f>
        <v>0</v>
      </c>
      <c r="CS388" s="798">
        <f>WWWW[[#This Row],[%equitable and continuous access to sufficient quantity of safe drinking and domestic water''s GAP]]*WWWW[[#This Row],[Total PoP ]]</f>
        <v>0</v>
      </c>
      <c r="CT388" s="801">
        <f>IF(WWWW[[#This Row],[Total required water points]]-WWWW[[#This Row],['#Water points coverage]]&lt;0,0,WWWW[[#This Row],[Total required water points]]-WWWW[[#This Row],['#Water points coverage]])</f>
        <v>0</v>
      </c>
      <c r="CU388" s="801">
        <f>ROUND(IF(WWWW[[#This Row],[Total PoP ]]&lt;500,1,WWWW[[#This Row],[Total PoP ]]/500),0)</f>
        <v>1</v>
      </c>
      <c r="CV388" s="801">
        <f>(WWWW[[#This Row],['#_Constructed latrines_by_WASHAgencies]]+WWWW[[#This Row],['#_Non Cluster partner latrines]])-WWWW[[#This Row],['#_Non-functional latrines]]</f>
        <v>38</v>
      </c>
      <c r="CW388" s="804">
        <f>WWWW[[#This Row],[HRP2]]/WWWW[[#This Row],[Total PoP ]]</f>
        <v>1</v>
      </c>
      <c r="CX38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723</v>
      </c>
      <c r="CY38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38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8" s="473">
        <f>IF(WWWW[[#This Row],['# of functional latrines in THF supported by WASH partners during the reporting period2]]="",0,WWWW[[#This Row],['# of functional latrines in THF supported by WASH partners during the reporting period2]]*50)</f>
        <v>0</v>
      </c>
      <c r="DB388" s="473">
        <f>WWWW[[#This Row],['# students access to functioning school latrines_HRP5]]+WWWW[[#This Row],['# People access to functioning latrines in THF_HRP5]]</f>
        <v>0</v>
      </c>
      <c r="DC388" s="801">
        <f>ROUND(IF(WWWW[[#This Row],[Location Type 1]]="camp",WWWW[[#This Row],[Total PoP ]]/20,IF(WWWW[[#This Row],[Location Type 1]]="Temporary Location",WWWW[[#This Row],[Total PoP ]]/50,(WWWW[[#This Row],[Total PoP ]]/6))),0)</f>
        <v>36</v>
      </c>
      <c r="DD388" s="801">
        <f>IF(WWWW[[#This Row],[Total required Latrines]]-(WWWW[[#This Row],['#_Constructed latrines_by_WASHAgencies]]+WWWW[[#This Row],['#_Non Cluster partner latrines]])&lt;0,0,WWWW[[#This Row],[Total required Latrines]]-(WWWW[[#This Row],['#_Constructed latrines_by_WASHAgencies]]+WWWW[[#This Row],['#_Non Cluster partner latrines]]))</f>
        <v>0</v>
      </c>
      <c r="DE388" s="803">
        <f>1-WWWW[[#This Row],[% people access to functioning Latrine]]</f>
        <v>0</v>
      </c>
      <c r="DF388" s="802">
        <f>IF(OR(WWWW[[#This Row],['#_Non-functional latrines]]="",WWWW[[#This Row],['#_Non-functional latrines]]=0),0,WWWW[[#This Row],['#_Non-functional latrines]]/(WWWW[[#This Row],['#_Constructed latrines_by_WASHAgencies]]+WWWW[[#This Row],['#_Non Cluster partner latrines]]))</f>
        <v>0</v>
      </c>
      <c r="DG388" s="798">
        <f>IF(500*(WWWW[[#This Row],['#_male hygiene promoters]]+WWWW[[#This Row],['#_female hygiene promoters]])&gt;WWWW[[#This Row],[Total PoP ]],WWWW[[#This Row],[Total PoP ]],500*(WWWW[[#This Row],['#_male hygiene promoters]]+WWWW[[#This Row],['#_female hygiene promoters]]))</f>
        <v>723</v>
      </c>
      <c r="DH38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8" s="801">
        <f>IF(WWWW[[#This Row],['# People with access to soap]]&gt;WWWW[[#This Row],['# People with access to Sanity Pads]],WWWW[[#This Row],['# People with access to soap]],WWWW[[#This Row],['# People with access to Sanity Pads]])</f>
        <v>0</v>
      </c>
      <c r="DK388" s="801">
        <f>IF(WWWW[[#This Row],['# people reached by regular dedicated hygiene promotion_5]]&gt;WWWW[[#This Row],['# People received regular supply of hygiene items_6]],WWWW[[#This Row],['# people reached by regular dedicated hygiene promotion_5]],WWWW[[#This Row],['# People received regular supply of hygiene items_6]])</f>
        <v>723</v>
      </c>
      <c r="DL388" s="803">
        <f>IF(WWWW[[#This Row],[HRP3]]/WWWW[[#This Row],[Total PoP ]]&gt;1,1,WWWW[[#This Row],[HRP3]]/WWWW[[#This Row],[Total PoP ]])</f>
        <v>1</v>
      </c>
      <c r="DM388" s="802">
        <f>1-WWWW[[#This Row],[Hygiene Coverage%]]</f>
        <v>0</v>
      </c>
      <c r="DN388" s="800">
        <f>WWWW[[#This Row],['# people reached by regular dedicated hygiene promotion_5]]/WWWW[[#This Row],[Total PoP ]]</f>
        <v>1</v>
      </c>
      <c r="DO38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8" s="801">
        <f>WWWW[[#This Row],['#_Constructed/Existing hand washing stations]]-WWWW[[#This Row],['#_Non-Functional_hand_washing_stations]]</f>
        <v>6</v>
      </c>
      <c r="DR388" s="798">
        <f>IF(WWWW[[#This Row],['# Functional hand washing stations during reporting period]]*20&gt;WWWW[[#This Row],[Total HH]],WWWW[[#This Row],[Total HH]],WWWW[[#This Row],['# Functional hand washing stations during reporting period]]*20)</f>
        <v>120</v>
      </c>
      <c r="DS388" s="798">
        <f>IF(WWWW[[#This Row],[Is sufficient soap available for TLS? (Yes/No)]]="yes",WWWW[[#This Row],['#_Constructed/Existing hand washing stations at TLS]],0)</f>
        <v>0</v>
      </c>
      <c r="DT388" s="479">
        <f>IF(WWWW[[#This Row],['# Functional hand washing stations during reporting period]]*100&gt;WWWW[[#This Row],[Total PoP ]],WWWW[[#This Row],[Total PoP ]],WWWW[[#This Row],['# Functional hand washing stations during reporting period]]*100)</f>
        <v>600</v>
      </c>
      <c r="DU388" s="479" t="str">
        <f>IF(OR(WWWW[[#This Row],['#_students at TLS_CFS]]="",WWWW[[#This Row],['#_students at TLS_CFS]]=0),"No","Yes")</f>
        <v>No</v>
      </c>
      <c r="DV38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8" s="794" t="str">
        <f>VLOOKUP(WWWW[[#This Row],[Site Name]],SiteDB6[[Site Name]:[CCCM Management]],6,FALSE)</f>
        <v>Yes</v>
      </c>
      <c r="DZ388" s="794" t="str">
        <f>VLOOKUP(WWWW[[#This Row],[Site Name]],SiteDB6[[Site Name]:[CCCM Focal Agency]],7,FALSE)</f>
        <v>KMSS-BMO</v>
      </c>
      <c r="EA388" s="794" t="str">
        <f>VLOOKUP(WWWW[[#This Row],[Site Name]],SiteDB6[[Site Name]:[Location Type 1]],9,FALSE)</f>
        <v>Camp</v>
      </c>
      <c r="EB388" s="794" t="str">
        <f>VLOOKUP(WWWW[[#This Row],[Site Name]],SiteDB6[[Site Name]:[Type of Accommodation]],10,FALSE)</f>
        <v>Camp</v>
      </c>
      <c r="EC388" s="794" t="str">
        <f>VLOOKUP(WWWW[[#This Row],[Site Name]],SiteDB6[[Site Name]:[Ethnic or GCA/NGCA]],11,FALSE)</f>
        <v>GCA</v>
      </c>
      <c r="ED388" s="794">
        <f>VLOOKUP(WWWW[[#This Row],[Site Name]],SiteDB6[[Site Name]:[Lat]],12,FALSE)</f>
        <v>24.260719999999999</v>
      </c>
      <c r="EE388" s="794">
        <f>VLOOKUP(WWWW[[#This Row],[Site Name]],SiteDB6[[Site Name]:[Long]],13,FALSE)</f>
        <v>97.238829999999993</v>
      </c>
      <c r="EF388" s="794" t="str">
        <f>VLOOKUP(WWWW[[#This Row],[Site Name]],SiteDB6[[Site Name]:[Pcode]],3,FALSE)</f>
        <v>MMR001CMP050</v>
      </c>
      <c r="EG388" s="799" t="str">
        <f t="shared" si="10"/>
        <v>Covered</v>
      </c>
      <c r="EH388" s="799" t="str">
        <f>VLOOKUP(WWWW[[#This Row],[Site Name]],Site_DB!$C$389:$D$1120,2,FALSE)</f>
        <v>cccm_2019OCT</v>
      </c>
    </row>
    <row r="389" spans="1:138" hidden="1">
      <c r="A389" s="792" t="s">
        <v>3262</v>
      </c>
      <c r="B389" s="792" t="s">
        <v>279</v>
      </c>
      <c r="C389" s="793" t="s">
        <v>279</v>
      </c>
      <c r="D389" s="793" t="s">
        <v>3370</v>
      </c>
      <c r="E389" s="793" t="s">
        <v>39</v>
      </c>
      <c r="F389" s="793" t="s">
        <v>208</v>
      </c>
      <c r="G389" s="721" t="str">
        <f>VLOOKUP(WWWW[[#This Row],[Site Name]],SiteDB6[[Site Name]:[Location Type]],8,FALSE)</f>
        <v>Camp_not registered</v>
      </c>
      <c r="H389" s="793" t="s">
        <v>3036</v>
      </c>
      <c r="I389" s="795">
        <v>24</v>
      </c>
      <c r="J389" s="795">
        <v>120</v>
      </c>
      <c r="K389" s="796">
        <v>43833</v>
      </c>
      <c r="L389" s="797">
        <v>44377</v>
      </c>
      <c r="M389" s="795"/>
      <c r="N389" s="795"/>
      <c r="O389" s="795">
        <v>1</v>
      </c>
      <c r="P389" s="795">
        <v>30</v>
      </c>
      <c r="Q389" s="798" t="s">
        <v>43</v>
      </c>
      <c r="R389" s="795">
        <v>5</v>
      </c>
      <c r="S389" s="795">
        <v>6</v>
      </c>
      <c r="T389" s="523"/>
      <c r="U389" s="795"/>
      <c r="V389" s="795"/>
      <c r="W389" s="795">
        <v>2</v>
      </c>
      <c r="X389" s="795"/>
      <c r="Y389" s="795"/>
      <c r="Z389" s="795"/>
      <c r="AA389" s="795"/>
      <c r="AB389" s="795"/>
      <c r="AC389" s="795"/>
      <c r="AD389" s="795"/>
      <c r="AE389" s="795"/>
      <c r="AF389" s="795"/>
      <c r="AG389" s="795">
        <v>1</v>
      </c>
      <c r="AH389" s="795"/>
      <c r="AI389" s="795">
        <v>1</v>
      </c>
      <c r="AJ389" s="795">
        <v>1</v>
      </c>
      <c r="AK389" s="795">
        <v>2</v>
      </c>
      <c r="AL389" s="795">
        <v>2</v>
      </c>
      <c r="AM389" s="795">
        <v>5</v>
      </c>
      <c r="AN389" s="795"/>
      <c r="AO389" s="799"/>
      <c r="AP389" s="795">
        <v>1</v>
      </c>
      <c r="AQ389" s="795"/>
      <c r="AR389" s="800"/>
      <c r="AS389" s="795"/>
      <c r="AT389" s="795"/>
      <c r="AU389" s="795">
        <v>4</v>
      </c>
      <c r="AV389" s="795">
        <v>500</v>
      </c>
      <c r="AW389" s="795"/>
      <c r="AX389" s="794" t="s">
        <v>43</v>
      </c>
      <c r="AY389" s="799" t="s">
        <v>140</v>
      </c>
      <c r="AZ389" s="795"/>
      <c r="BA389" s="795"/>
      <c r="BB389" s="795"/>
      <c r="BC389" s="523"/>
      <c r="BD389" s="523"/>
      <c r="BE389" s="794" t="s">
        <v>3371</v>
      </c>
      <c r="BF389" s="795">
        <v>5</v>
      </c>
      <c r="BG389" s="795"/>
      <c r="BH389" s="795"/>
      <c r="BI389" s="795">
        <v>2</v>
      </c>
      <c r="BJ389" s="795"/>
      <c r="BK389" s="795"/>
      <c r="BL389" s="795">
        <v>1</v>
      </c>
      <c r="BM389" s="795"/>
      <c r="BN389" s="795"/>
      <c r="BO389" s="794"/>
      <c r="BP389" s="801"/>
      <c r="BQ389" s="800"/>
      <c r="BR389" s="794"/>
      <c r="BS389" s="472"/>
      <c r="BT389" s="472"/>
      <c r="BU389" s="720"/>
      <c r="BV389" s="472"/>
      <c r="BW389" s="523"/>
      <c r="BX389" s="523"/>
      <c r="BY389" s="523"/>
      <c r="BZ389" s="802">
        <f>IFERROR(WWWW[[#This Row],['#_Water sources passed]]/WWWW[[#This Row],['#_Water sources tested for fecal coliform ]],"no test")</f>
        <v>1</v>
      </c>
      <c r="CA389" s="800">
        <f>IFERROR(WWWW[[#This Row],['#_Household passed]]/WWWW[[#This Row],['#_Household water samples tested for fecal coliform]],"no test")</f>
        <v>1</v>
      </c>
      <c r="CB389" s="801" t="str">
        <f>IF(AND(WWWW[[#This Row],[% of water sources passed]]="no test",WWWW[[#This Row],[% Household passed]]="no test"),"No Test","Tested")</f>
        <v>Tested</v>
      </c>
      <c r="CC389" s="801">
        <f>WWWW[[#This Row],['#_Constructed/existing protected hand dug well]]-WWWW[[#This Row],['#_Non-functional protected hand dug well]]</f>
        <v>0</v>
      </c>
      <c r="CD389" s="801">
        <f>(WWWW[[#This Row],['#_Constructed/Existing tube wells/boreholes/handpumps_WASH_agency]]+WWWW[[#This Row],['#_Non-Cluster partner water tube-wells/boreholes/handpumps]])-WWWW[[#This Row],['#_Non-functional tube wells/boreholes/handpumps]]</f>
        <v>2</v>
      </c>
      <c r="CE389" s="801">
        <f>WWWW[[#This Row],['#_Constructed/Existingwater storage tank with gravity fed reticulation system]]-WWWW[[#This Row],['#_Non-functional storage tank gravity fed reticulation system]]</f>
        <v>0</v>
      </c>
      <c r="CF389" s="801">
        <f>(WWWW[[#This Row],['#_Water_Liters_supplied_by_Water boating or water trucking]]/90)/15</f>
        <v>0</v>
      </c>
      <c r="CG389" s="801">
        <f>WWWW[[#This Row],['#_Water_Liters_from_Constructed/Existing water distribution system from river or natural spring]]/90/15</f>
        <v>0</v>
      </c>
      <c r="CH389" s="473">
        <f>WWWW[[#This Row],['#_of water points in TLS/CFS /THF]]*500</f>
        <v>0</v>
      </c>
      <c r="CI38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8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89" s="800">
        <f>IF(WWWW[[#This Row],[Location Type 1]]="Village",WWWW[[#This Row],[Access to safe drinking water for Village]],WWWW[[#This Row],[Access to safe drinking water for Camp]])</f>
        <v>1</v>
      </c>
      <c r="CL389" s="798">
        <f>WWWW[[#This Row],[%Equitable and continuous access to sufficient quantity of safe drinking water]]*WWWW[[#This Row],[Total PoP ]]</f>
        <v>120</v>
      </c>
      <c r="CM389" s="800">
        <f>IF((WWWW[[#This Row],['#_Constructed/Existing protected/fenced ponds]]*250)/WWWW[[#This Row],[Total PoP ]]&gt;1,1,(WWWW[[#This Row],['#_Constructed/Existing protected/fenced ponds]]*250)/WWWW[[#This Row],[Total PoP ]])</f>
        <v>0</v>
      </c>
      <c r="CN389" s="798">
        <f>WWWW[[#This Row],[% Access to unimproved water points]]*WWWW[[#This Row],[Total PoP ]]</f>
        <v>0</v>
      </c>
      <c r="CO38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8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Q389" s="798">
        <f>WWWW[[#This Row],[HRP1]]/500</f>
        <v>0.24</v>
      </c>
      <c r="CR389" s="803">
        <f>1-WWWW[[#This Row],[% Equitable and continuous access to sufficient quantity of domestic water]]</f>
        <v>0</v>
      </c>
      <c r="CS389" s="798">
        <f>WWWW[[#This Row],[%equitable and continuous access to sufficient quantity of safe drinking and domestic water''s GAP]]*WWWW[[#This Row],[Total PoP ]]</f>
        <v>0</v>
      </c>
      <c r="CT389" s="801">
        <f>IF(WWWW[[#This Row],[Total required water points]]-WWWW[[#This Row],['#Water points coverage]]&lt;0,0,WWWW[[#This Row],[Total required water points]]-WWWW[[#This Row],['#Water points coverage]])</f>
        <v>0.76</v>
      </c>
      <c r="CU389" s="801">
        <f>ROUND(IF(WWWW[[#This Row],[Total PoP ]]&lt;500,1,WWWW[[#This Row],[Total PoP ]]/500),0)</f>
        <v>1</v>
      </c>
      <c r="CV389" s="801">
        <f>(WWWW[[#This Row],['#_Constructed latrines_by_WASHAgencies]]+WWWW[[#This Row],['#_Non Cluster partner latrines]])-WWWW[[#This Row],['#_Non-functional latrines]]</f>
        <v>1</v>
      </c>
      <c r="CW389" s="804">
        <f>WWWW[[#This Row],[HRP2]]/WWWW[[#This Row],[Total PoP ]]</f>
        <v>0.16666666666666666</v>
      </c>
      <c r="CX38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CY38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8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89" s="473">
        <f>IF(WWWW[[#This Row],['# of functional latrines in THF supported by WASH partners during the reporting period2]]="",0,WWWW[[#This Row],['# of functional latrines in THF supported by WASH partners during the reporting period2]]*50)</f>
        <v>0</v>
      </c>
      <c r="DB389" s="473">
        <f>WWWW[[#This Row],['# students access to functioning school latrines_HRP5]]+WWWW[[#This Row],['# People access to functioning latrines in THF_HRP5]]</f>
        <v>0</v>
      </c>
      <c r="DC389" s="801">
        <f>ROUND(IF(WWWW[[#This Row],[Location Type 1]]="camp",WWWW[[#This Row],[Total PoP ]]/20,IF(WWWW[[#This Row],[Location Type 1]]="Temporary Location",WWWW[[#This Row],[Total PoP ]]/50,(WWWW[[#This Row],[Total PoP ]]/6))),0)</f>
        <v>6</v>
      </c>
      <c r="DD389" s="801">
        <f>IF(WWWW[[#This Row],[Total required Latrines]]-(WWWW[[#This Row],['#_Constructed latrines_by_WASHAgencies]]+WWWW[[#This Row],['#_Non Cluster partner latrines]])&lt;0,0,WWWW[[#This Row],[Total required Latrines]]-(WWWW[[#This Row],['#_Constructed latrines_by_WASHAgencies]]+WWWW[[#This Row],['#_Non Cluster partner latrines]]))</f>
        <v>5</v>
      </c>
      <c r="DE389" s="803">
        <f>1-WWWW[[#This Row],[% people access to functioning Latrine]]</f>
        <v>0.83333333333333337</v>
      </c>
      <c r="DF389" s="802">
        <f>IF(OR(WWWW[[#This Row],['#_Non-functional latrines]]="",WWWW[[#This Row],['#_Non-functional latrines]]=0),0,WWWW[[#This Row],['#_Non-functional latrines]]/(WWWW[[#This Row],['#_Constructed latrines_by_WASHAgencies]]+WWWW[[#This Row],['#_Non Cluster partner latrines]]))</f>
        <v>0</v>
      </c>
      <c r="DG389" s="798">
        <f>IF(500*(WWWW[[#This Row],['#_male hygiene promoters]]+WWWW[[#This Row],['#_female hygiene promoters]])&gt;WWWW[[#This Row],[Total PoP ]],WWWW[[#This Row],[Total PoP ]],500*(WWWW[[#This Row],['#_male hygiene promoters]]+WWWW[[#This Row],['#_female hygiene promoters]]))</f>
        <v>120</v>
      </c>
      <c r="DH38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8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89" s="801">
        <f>IF(WWWW[[#This Row],['# People with access to soap]]&gt;WWWW[[#This Row],['# People with access to Sanity Pads]],WWWW[[#This Row],['# People with access to soap]],WWWW[[#This Row],['# People with access to Sanity Pads]])</f>
        <v>0</v>
      </c>
      <c r="DK389" s="801">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L389" s="803">
        <f>IF(WWWW[[#This Row],[HRP3]]/WWWW[[#This Row],[Total PoP ]]&gt;1,1,WWWW[[#This Row],[HRP3]]/WWWW[[#This Row],[Total PoP ]])</f>
        <v>1</v>
      </c>
      <c r="DM389" s="802">
        <f>1-WWWW[[#This Row],[Hygiene Coverage%]]</f>
        <v>0</v>
      </c>
      <c r="DN389" s="800">
        <f>WWWW[[#This Row],['# people reached by regular dedicated hygiene promotion_5]]/WWWW[[#This Row],[Total PoP ]]</f>
        <v>1</v>
      </c>
      <c r="DO38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8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89" s="801">
        <f>WWWW[[#This Row],['#_Constructed/Existing hand washing stations]]-WWWW[[#This Row],['#_Non-Functional_hand_washing_stations]]</f>
        <v>5</v>
      </c>
      <c r="DR389" s="798">
        <f>IF(WWWW[[#This Row],['# Functional hand washing stations during reporting period]]*20&gt;WWWW[[#This Row],[Total HH]],WWWW[[#This Row],[Total HH]],WWWW[[#This Row],['# Functional hand washing stations during reporting period]]*20)</f>
        <v>24</v>
      </c>
      <c r="DS389" s="798">
        <f>IF(WWWW[[#This Row],[Is sufficient soap available for TLS? (Yes/No)]]="yes",WWWW[[#This Row],['#_Constructed/Existing hand washing stations at TLS]],0)</f>
        <v>0</v>
      </c>
      <c r="DT389" s="479">
        <f>IF(WWWW[[#This Row],['# Functional hand washing stations during reporting period]]*100&gt;WWWW[[#This Row],[Total PoP ]],WWWW[[#This Row],[Total PoP ]],WWWW[[#This Row],['# Functional hand washing stations during reporting period]]*100)</f>
        <v>120</v>
      </c>
      <c r="DU389" s="479" t="str">
        <f>IF(OR(WWWW[[#This Row],['#_students at TLS_CFS]]="",WWWW[[#This Row],['#_students at TLS_CFS]]=0),"No","Yes")</f>
        <v>No</v>
      </c>
      <c r="DV38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89" s="794">
        <f>VLOOKUP(WWWW[[#This Row],[Site Name]],SiteDB6[[Site Name]:[CCCM Management]],6,FALSE)</f>
        <v>0</v>
      </c>
      <c r="DZ389" s="794">
        <f>VLOOKUP(WWWW[[#This Row],[Site Name]],SiteDB6[[Site Name]:[CCCM Focal Agency]],7,FALSE)</f>
        <v>0</v>
      </c>
      <c r="EA389" s="794" t="str">
        <f>VLOOKUP(WWWW[[#This Row],[Site Name]],SiteDB6[[Site Name]:[Location Type 1]],9,FALSE)</f>
        <v>Camp</v>
      </c>
      <c r="EB389" s="794" t="str">
        <f>VLOOKUP(WWWW[[#This Row],[Site Name]],SiteDB6[[Site Name]:[Type of Accommodation]],10,FALSE)</f>
        <v>Camp</v>
      </c>
      <c r="EC389" s="794" t="str">
        <f>VLOOKUP(WWWW[[#This Row],[Site Name]],SiteDB6[[Site Name]:[Ethnic or GCA/NGCA]],11,FALSE)</f>
        <v>GCA</v>
      </c>
      <c r="ED389" s="794">
        <f>VLOOKUP(WWWW[[#This Row],[Site Name]],SiteDB6[[Site Name]:[Lat]],12,FALSE)</f>
        <v>0</v>
      </c>
      <c r="EE389" s="794">
        <f>VLOOKUP(WWWW[[#This Row],[Site Name]],SiteDB6[[Site Name]:[Long]],13,FALSE)</f>
        <v>0</v>
      </c>
      <c r="EF389" s="794">
        <f>VLOOKUP(WWWW[[#This Row],[Site Name]],SiteDB6[[Site Name]:[Pcode]],3,FALSE)</f>
        <v>0</v>
      </c>
      <c r="EG389" s="799" t="str">
        <f t="shared" si="10"/>
        <v>Covered</v>
      </c>
      <c r="EH389" s="799">
        <f>VLOOKUP(WWWW[[#This Row],[Site Name]],Site_DB!$C$389:$D$1120,2,FALSE)</f>
        <v>0</v>
      </c>
    </row>
    <row r="390" spans="1:138" hidden="1">
      <c r="A390" s="792" t="s">
        <v>3262</v>
      </c>
      <c r="B390" s="792" t="s">
        <v>279</v>
      </c>
      <c r="C390" s="793" t="s">
        <v>279</v>
      </c>
      <c r="D390" s="793" t="s">
        <v>3370</v>
      </c>
      <c r="E390" s="793" t="s">
        <v>39</v>
      </c>
      <c r="F390" s="793" t="s">
        <v>208</v>
      </c>
      <c r="G390" s="721" t="str">
        <f>VLOOKUP(WWWW[[#This Row],[Site Name]],SiteDB6[[Site Name]:[Location Type]],8,FALSE)</f>
        <v>Camp</v>
      </c>
      <c r="H390" s="404" t="s">
        <v>284</v>
      </c>
      <c r="I390" s="795">
        <v>33</v>
      </c>
      <c r="J390" s="795">
        <v>209</v>
      </c>
      <c r="K390" s="796">
        <v>43833</v>
      </c>
      <c r="L390" s="797">
        <v>44377</v>
      </c>
      <c r="M390" s="795"/>
      <c r="N390" s="795">
        <v>0</v>
      </c>
      <c r="O390" s="795">
        <v>1</v>
      </c>
      <c r="P390" s="795">
        <v>30</v>
      </c>
      <c r="Q390" s="798" t="s">
        <v>43</v>
      </c>
      <c r="R390" s="795">
        <v>5</v>
      </c>
      <c r="S390" s="795">
        <v>8</v>
      </c>
      <c r="T390" s="523">
        <v>1</v>
      </c>
      <c r="U390" s="795"/>
      <c r="V390" s="795"/>
      <c r="W390" s="795">
        <v>0</v>
      </c>
      <c r="X390" s="795">
        <v>0</v>
      </c>
      <c r="Y390" s="795"/>
      <c r="Z390" s="795"/>
      <c r="AA390" s="795"/>
      <c r="AB390" s="795"/>
      <c r="AC390" s="795"/>
      <c r="AD390" s="795"/>
      <c r="AE390" s="795"/>
      <c r="AF390" s="795"/>
      <c r="AG390" s="795">
        <v>1</v>
      </c>
      <c r="AH390" s="795"/>
      <c r="AI390" s="795">
        <v>1</v>
      </c>
      <c r="AJ390" s="795">
        <v>1</v>
      </c>
      <c r="AK390" s="795">
        <v>2</v>
      </c>
      <c r="AL390" s="795">
        <v>2</v>
      </c>
      <c r="AM390" s="795">
        <v>5</v>
      </c>
      <c r="AN390" s="795"/>
      <c r="AO390" s="799"/>
      <c r="AP390" s="795">
        <v>9</v>
      </c>
      <c r="AQ390" s="795"/>
      <c r="AR390" s="800"/>
      <c r="AS390" s="795"/>
      <c r="AT390" s="795"/>
      <c r="AU390" s="795">
        <v>4</v>
      </c>
      <c r="AV390" s="795">
        <v>1480</v>
      </c>
      <c r="AW390" s="795"/>
      <c r="AX390" s="794" t="s">
        <v>43</v>
      </c>
      <c r="AY390" s="799" t="s">
        <v>140</v>
      </c>
      <c r="AZ390" s="795">
        <v>0</v>
      </c>
      <c r="BA390" s="795">
        <v>0</v>
      </c>
      <c r="BB390" s="795"/>
      <c r="BC390" s="523"/>
      <c r="BD390" s="523"/>
      <c r="BE390" s="794" t="s">
        <v>3371</v>
      </c>
      <c r="BF390" s="795">
        <v>5</v>
      </c>
      <c r="BG390" s="795"/>
      <c r="BH390" s="795"/>
      <c r="BI390" s="795">
        <v>1</v>
      </c>
      <c r="BJ390" s="795"/>
      <c r="BK390" s="795">
        <v>0</v>
      </c>
      <c r="BL390" s="795">
        <v>1</v>
      </c>
      <c r="BM390" s="795"/>
      <c r="BN390" s="795"/>
      <c r="BO390" s="794"/>
      <c r="BP390" s="801"/>
      <c r="BQ390" s="800"/>
      <c r="BR390" s="794"/>
      <c r="BS390" s="472"/>
      <c r="BT390" s="472"/>
      <c r="BU390" s="720"/>
      <c r="BV390" s="472"/>
      <c r="BW390" s="523"/>
      <c r="BX390" s="523"/>
      <c r="BY390" s="523"/>
      <c r="BZ390" s="802">
        <f>IFERROR(WWWW[[#This Row],['#_Water sources passed]]/WWWW[[#This Row],['#_Water sources tested for fecal coliform ]],"no test")</f>
        <v>1</v>
      </c>
      <c r="CA390" s="800">
        <f>IFERROR(WWWW[[#This Row],['#_Household passed]]/WWWW[[#This Row],['#_Household water samples tested for fecal coliform]],"no test")</f>
        <v>1</v>
      </c>
      <c r="CB390" s="801" t="str">
        <f>IF(AND(WWWW[[#This Row],[% of water sources passed]]="no test",WWWW[[#This Row],[% Household passed]]="no test"),"No Test","Tested")</f>
        <v>Tested</v>
      </c>
      <c r="CC390" s="801">
        <f>WWWW[[#This Row],['#_Constructed/existing protected hand dug well]]-WWWW[[#This Row],['#_Non-functional protected hand dug well]]</f>
        <v>1</v>
      </c>
      <c r="CD390" s="801">
        <f>(WWWW[[#This Row],['#_Constructed/Existing tube wells/boreholes/handpumps_WASH_agency]]+WWWW[[#This Row],['#_Non-Cluster partner water tube-wells/boreholes/handpumps]])-WWWW[[#This Row],['#_Non-functional tube wells/boreholes/handpumps]]</f>
        <v>0</v>
      </c>
      <c r="CE390" s="801">
        <f>WWWW[[#This Row],['#_Constructed/Existingwater storage tank with gravity fed reticulation system]]-WWWW[[#This Row],['#_Non-functional storage tank gravity fed reticulation system]]</f>
        <v>0</v>
      </c>
      <c r="CF390" s="801">
        <f>(WWWW[[#This Row],['#_Water_Liters_supplied_by_Water boating or water trucking]]/90)/15</f>
        <v>0</v>
      </c>
      <c r="CG390" s="801">
        <f>WWWW[[#This Row],['#_Water_Liters_from_Constructed/Existing water distribution system from river or natural spring]]/90/15</f>
        <v>0</v>
      </c>
      <c r="CH390" s="473">
        <f>WWWW[[#This Row],['#_of water points in TLS/CFS /THF]]*500</f>
        <v>0</v>
      </c>
      <c r="CI39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0" s="800">
        <f>IF(WWWW[[#This Row],[Location Type 1]]="Village",WWWW[[#This Row],[Access to safe drinking water for Village]],WWWW[[#This Row],[Access to safe drinking water for Camp]])</f>
        <v>1</v>
      </c>
      <c r="CL390" s="798">
        <f>WWWW[[#This Row],[%Equitable and continuous access to sufficient quantity of safe drinking water]]*WWWW[[#This Row],[Total PoP ]]</f>
        <v>209</v>
      </c>
      <c r="CM390" s="800">
        <f>IF((WWWW[[#This Row],['#_Constructed/Existing protected/fenced ponds]]*250)/WWWW[[#This Row],[Total PoP ]]&gt;1,1,(WWWW[[#This Row],['#_Constructed/Existing protected/fenced ponds]]*250)/WWWW[[#This Row],[Total PoP ]])</f>
        <v>0</v>
      </c>
      <c r="CN390" s="798">
        <f>WWWW[[#This Row],[% Access to unimproved water points]]*WWWW[[#This Row],[Total PoP ]]</f>
        <v>0</v>
      </c>
      <c r="CO39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CQ390" s="798">
        <f>WWWW[[#This Row],[HRP1]]/500</f>
        <v>0.41799999999999998</v>
      </c>
      <c r="CR390" s="803">
        <f>1-WWWW[[#This Row],[% Equitable and continuous access to sufficient quantity of domestic water]]</f>
        <v>0</v>
      </c>
      <c r="CS390" s="798">
        <f>WWWW[[#This Row],[%equitable and continuous access to sufficient quantity of safe drinking and domestic water''s GAP]]*WWWW[[#This Row],[Total PoP ]]</f>
        <v>0</v>
      </c>
      <c r="CT390" s="801">
        <f>IF(WWWW[[#This Row],[Total required water points]]-WWWW[[#This Row],['#Water points coverage]]&lt;0,0,WWWW[[#This Row],[Total required water points]]-WWWW[[#This Row],['#Water points coverage]])</f>
        <v>0.58200000000000007</v>
      </c>
      <c r="CU390" s="801">
        <f>ROUND(IF(WWWW[[#This Row],[Total PoP ]]&lt;500,1,WWWW[[#This Row],[Total PoP ]]/500),0)</f>
        <v>1</v>
      </c>
      <c r="CV390" s="801">
        <f>(WWWW[[#This Row],['#_Constructed latrines_by_WASHAgencies]]+WWWW[[#This Row],['#_Non Cluster partner latrines]])-WWWW[[#This Row],['#_Non-functional latrines]]</f>
        <v>9</v>
      </c>
      <c r="CW390" s="804">
        <f>WWWW[[#This Row],[HRP2]]/WWWW[[#This Row],[Total PoP ]]</f>
        <v>0.86124401913875603</v>
      </c>
      <c r="CX39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39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0" s="473">
        <f>IF(WWWW[[#This Row],['# of functional latrines in THF supported by WASH partners during the reporting period2]]="",0,WWWW[[#This Row],['# of functional latrines in THF supported by WASH partners during the reporting period2]]*50)</f>
        <v>0</v>
      </c>
      <c r="DB390" s="473">
        <f>WWWW[[#This Row],['# students access to functioning school latrines_HRP5]]+WWWW[[#This Row],['# People access to functioning latrines in THF_HRP5]]</f>
        <v>0</v>
      </c>
      <c r="DC390" s="801">
        <f>ROUND(IF(WWWW[[#This Row],[Location Type 1]]="camp",WWWW[[#This Row],[Total PoP ]]/20,IF(WWWW[[#This Row],[Location Type 1]]="Temporary Location",WWWW[[#This Row],[Total PoP ]]/50,(WWWW[[#This Row],[Total PoP ]]/6))),0)</f>
        <v>10</v>
      </c>
      <c r="DD390" s="801">
        <f>IF(WWWW[[#This Row],[Total required Latrines]]-(WWWW[[#This Row],['#_Constructed latrines_by_WASHAgencies]]+WWWW[[#This Row],['#_Non Cluster partner latrines]])&lt;0,0,WWWW[[#This Row],[Total required Latrines]]-(WWWW[[#This Row],['#_Constructed latrines_by_WASHAgencies]]+WWWW[[#This Row],['#_Non Cluster partner latrines]]))</f>
        <v>1</v>
      </c>
      <c r="DE390" s="803">
        <f>1-WWWW[[#This Row],[% people access to functioning Latrine]]</f>
        <v>0.13875598086124397</v>
      </c>
      <c r="DF390" s="802">
        <f>IF(OR(WWWW[[#This Row],['#_Non-functional latrines]]="",WWWW[[#This Row],['#_Non-functional latrines]]=0),0,WWWW[[#This Row],['#_Non-functional latrines]]/(WWWW[[#This Row],['#_Constructed latrines_by_WASHAgencies]]+WWWW[[#This Row],['#_Non Cluster partner latrines]]))</f>
        <v>0</v>
      </c>
      <c r="DG390" s="798">
        <f>IF(500*(WWWW[[#This Row],['#_male hygiene promoters]]+WWWW[[#This Row],['#_female hygiene promoters]])&gt;WWWW[[#This Row],[Total PoP ]],WWWW[[#This Row],[Total PoP ]],500*(WWWW[[#This Row],['#_male hygiene promoters]]+WWWW[[#This Row],['#_female hygiene promoters]]))</f>
        <v>209</v>
      </c>
      <c r="DH39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0" s="801">
        <f>IF(WWWW[[#This Row],['# People with access to soap]]&gt;WWWW[[#This Row],['# People with access to Sanity Pads]],WWWW[[#This Row],['# People with access to soap]],WWWW[[#This Row],['# People with access to Sanity Pads]])</f>
        <v>0</v>
      </c>
      <c r="DK390" s="801">
        <f>IF(WWWW[[#This Row],['# people reached by regular dedicated hygiene promotion_5]]&gt;WWWW[[#This Row],['# People received regular supply of hygiene items_6]],WWWW[[#This Row],['# people reached by regular dedicated hygiene promotion_5]],WWWW[[#This Row],['# People received regular supply of hygiene items_6]])</f>
        <v>209</v>
      </c>
      <c r="DL390" s="803">
        <f>IF(WWWW[[#This Row],[HRP3]]/WWWW[[#This Row],[Total PoP ]]&gt;1,1,WWWW[[#This Row],[HRP3]]/WWWW[[#This Row],[Total PoP ]])</f>
        <v>1</v>
      </c>
      <c r="DM390" s="802">
        <f>1-WWWW[[#This Row],[Hygiene Coverage%]]</f>
        <v>0</v>
      </c>
      <c r="DN390" s="800">
        <f>WWWW[[#This Row],['# people reached by regular dedicated hygiene promotion_5]]/WWWW[[#This Row],[Total PoP ]]</f>
        <v>1</v>
      </c>
      <c r="DO39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0" s="801">
        <f>WWWW[[#This Row],['#_Constructed/Existing hand washing stations]]-WWWW[[#This Row],['#_Non-Functional_hand_washing_stations]]</f>
        <v>5</v>
      </c>
      <c r="DR390" s="798">
        <f>IF(WWWW[[#This Row],['# Functional hand washing stations during reporting period]]*20&gt;WWWW[[#This Row],[Total HH]],WWWW[[#This Row],[Total HH]],WWWW[[#This Row],['# Functional hand washing stations during reporting period]]*20)</f>
        <v>33</v>
      </c>
      <c r="DS390" s="798">
        <f>IF(WWWW[[#This Row],[Is sufficient soap available for TLS? (Yes/No)]]="yes",WWWW[[#This Row],['#_Constructed/Existing hand washing stations at TLS]],0)</f>
        <v>0</v>
      </c>
      <c r="DT390" s="479">
        <f>IF(WWWW[[#This Row],['# Functional hand washing stations during reporting period]]*100&gt;WWWW[[#This Row],[Total PoP ]],WWWW[[#This Row],[Total PoP ]],WWWW[[#This Row],['# Functional hand washing stations during reporting period]]*100)</f>
        <v>209</v>
      </c>
      <c r="DU390" s="479" t="str">
        <f>IF(OR(WWWW[[#This Row],['#_students at TLS_CFS]]="",WWWW[[#This Row],['#_students at TLS_CFS]]=0),"No","Yes")</f>
        <v>No</v>
      </c>
      <c r="DV39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0" s="794" t="str">
        <f>VLOOKUP(WWWW[[#This Row],[Site Name]],SiteDB6[[Site Name]:[CCCM Management]],6,FALSE)</f>
        <v>Yes</v>
      </c>
      <c r="DZ390" s="794" t="str">
        <f>VLOOKUP(WWWW[[#This Row],[Site Name]],SiteDB6[[Site Name]:[CCCM Focal Agency]],7,FALSE)</f>
        <v>KBC-BMO</v>
      </c>
      <c r="EA390" s="794" t="str">
        <f>VLOOKUP(WWWW[[#This Row],[Site Name]],SiteDB6[[Site Name]:[Location Type 1]],9,FALSE)</f>
        <v>Camp</v>
      </c>
      <c r="EB390" s="794" t="str">
        <f>VLOOKUP(WWWW[[#This Row],[Site Name]],SiteDB6[[Site Name]:[Type of Accommodation]],10,FALSE)</f>
        <v>Camp</v>
      </c>
      <c r="EC390" s="794" t="str">
        <f>VLOOKUP(WWWW[[#This Row],[Site Name]],SiteDB6[[Site Name]:[Ethnic or GCA/NGCA]],11,FALSE)</f>
        <v>GCA</v>
      </c>
      <c r="ED390" s="794">
        <f>VLOOKUP(WWWW[[#This Row],[Site Name]],SiteDB6[[Site Name]:[Lat]],12,FALSE)</f>
        <v>24.200972</v>
      </c>
      <c r="EE390" s="794">
        <f>VLOOKUP(WWWW[[#This Row],[Site Name]],SiteDB6[[Site Name]:[Long]],13,FALSE)</f>
        <v>97.718582999999995</v>
      </c>
      <c r="EF390" s="794" t="str">
        <f>VLOOKUP(WWWW[[#This Row],[Site Name]],SiteDB6[[Site Name]:[Pcode]],3,FALSE)</f>
        <v>MMR001CMP071</v>
      </c>
      <c r="EG390" s="799" t="str">
        <f t="shared" si="10"/>
        <v>Covered</v>
      </c>
      <c r="EH390" s="799" t="str">
        <f>VLOOKUP(WWWW[[#This Row],[Site Name]],Site_DB!$C$389:$D$1120,2,FALSE)</f>
        <v>cccm_2019OCT</v>
      </c>
    </row>
    <row r="391" spans="1:138" hidden="1">
      <c r="A391" s="792" t="s">
        <v>3262</v>
      </c>
      <c r="B391" s="792" t="s">
        <v>279</v>
      </c>
      <c r="C391" s="793" t="s">
        <v>279</v>
      </c>
      <c r="D391" s="793" t="s">
        <v>3370</v>
      </c>
      <c r="E391" s="793" t="s">
        <v>39</v>
      </c>
      <c r="F391" s="793" t="s">
        <v>208</v>
      </c>
      <c r="G391" s="721" t="str">
        <f>VLOOKUP(WWWW[[#This Row],[Site Name]],SiteDB6[[Site Name]:[Location Type]],8,FALSE)</f>
        <v>Camp</v>
      </c>
      <c r="H391" s="404" t="s">
        <v>285</v>
      </c>
      <c r="I391" s="795">
        <v>38</v>
      </c>
      <c r="J391" s="795">
        <v>291</v>
      </c>
      <c r="K391" s="796">
        <v>43833</v>
      </c>
      <c r="L391" s="797">
        <v>44377</v>
      </c>
      <c r="M391" s="795"/>
      <c r="N391" s="795"/>
      <c r="O391" s="795">
        <v>1</v>
      </c>
      <c r="P391" s="795">
        <v>30</v>
      </c>
      <c r="Q391" s="798" t="s">
        <v>43</v>
      </c>
      <c r="R391" s="795">
        <v>6</v>
      </c>
      <c r="S391" s="795">
        <v>7</v>
      </c>
      <c r="T391" s="523">
        <v>0</v>
      </c>
      <c r="U391" s="795"/>
      <c r="V391" s="795"/>
      <c r="W391" s="795">
        <v>1</v>
      </c>
      <c r="X391" s="795">
        <v>0</v>
      </c>
      <c r="Y391" s="795"/>
      <c r="Z391" s="795"/>
      <c r="AA391" s="795"/>
      <c r="AB391" s="795"/>
      <c r="AC391" s="795"/>
      <c r="AD391" s="795"/>
      <c r="AE391" s="795"/>
      <c r="AF391" s="795"/>
      <c r="AG391" s="795">
        <v>1</v>
      </c>
      <c r="AH391" s="795"/>
      <c r="AI391" s="795">
        <v>1</v>
      </c>
      <c r="AJ391" s="795">
        <v>1</v>
      </c>
      <c r="AK391" s="795">
        <v>2</v>
      </c>
      <c r="AL391" s="795">
        <v>2</v>
      </c>
      <c r="AM391" s="795"/>
      <c r="AN391" s="795"/>
      <c r="AO391" s="799"/>
      <c r="AP391" s="795">
        <v>18</v>
      </c>
      <c r="AQ391" s="795"/>
      <c r="AR391" s="800"/>
      <c r="AS391" s="795"/>
      <c r="AT391" s="795"/>
      <c r="AU391" s="795">
        <v>4</v>
      </c>
      <c r="AV391" s="795">
        <v>571</v>
      </c>
      <c r="AW391" s="795"/>
      <c r="AX391" s="794" t="s">
        <v>43</v>
      </c>
      <c r="AY391" s="799" t="s">
        <v>140</v>
      </c>
      <c r="AZ391" s="795">
        <v>0</v>
      </c>
      <c r="BA391" s="795">
        <v>0</v>
      </c>
      <c r="BB391" s="795"/>
      <c r="BC391" s="523"/>
      <c r="BD391" s="523"/>
      <c r="BE391" s="794" t="s">
        <v>3371</v>
      </c>
      <c r="BF391" s="795">
        <v>5</v>
      </c>
      <c r="BG391" s="795"/>
      <c r="BH391" s="795"/>
      <c r="BI391" s="795">
        <v>1</v>
      </c>
      <c r="BJ391" s="795"/>
      <c r="BK391" s="795">
        <v>0</v>
      </c>
      <c r="BL391" s="795">
        <v>1</v>
      </c>
      <c r="BM391" s="795"/>
      <c r="BN391" s="795"/>
      <c r="BO391" s="794"/>
      <c r="BP391" s="801"/>
      <c r="BQ391" s="800"/>
      <c r="BR391" s="794"/>
      <c r="BS391" s="472"/>
      <c r="BT391" s="472"/>
      <c r="BU391" s="720"/>
      <c r="BV391" s="472"/>
      <c r="BW391" s="523"/>
      <c r="BX391" s="523"/>
      <c r="BY391" s="523"/>
      <c r="BZ391" s="802">
        <f>IFERROR(WWWW[[#This Row],['#_Water sources passed]]/WWWW[[#This Row],['#_Water sources tested for fecal coliform ]],"no test")</f>
        <v>1</v>
      </c>
      <c r="CA391" s="800">
        <f>IFERROR(WWWW[[#This Row],['#_Household passed]]/WWWW[[#This Row],['#_Household water samples tested for fecal coliform]],"no test")</f>
        <v>1</v>
      </c>
      <c r="CB391" s="801" t="str">
        <f>IF(AND(WWWW[[#This Row],[% of water sources passed]]="no test",WWWW[[#This Row],[% Household passed]]="no test"),"No Test","Tested")</f>
        <v>Tested</v>
      </c>
      <c r="CC391" s="801">
        <f>WWWW[[#This Row],['#_Constructed/existing protected hand dug well]]-WWWW[[#This Row],['#_Non-functional protected hand dug well]]</f>
        <v>0</v>
      </c>
      <c r="CD391" s="801">
        <f>(WWWW[[#This Row],['#_Constructed/Existing tube wells/boreholes/handpumps_WASH_agency]]+WWWW[[#This Row],['#_Non-Cluster partner water tube-wells/boreholes/handpumps]])-WWWW[[#This Row],['#_Non-functional tube wells/boreholes/handpumps]]</f>
        <v>1</v>
      </c>
      <c r="CE391" s="801">
        <f>WWWW[[#This Row],['#_Constructed/Existingwater storage tank with gravity fed reticulation system]]-WWWW[[#This Row],['#_Non-functional storage tank gravity fed reticulation system]]</f>
        <v>0</v>
      </c>
      <c r="CF391" s="801">
        <f>(WWWW[[#This Row],['#_Water_Liters_supplied_by_Water boating or water trucking]]/90)/15</f>
        <v>0</v>
      </c>
      <c r="CG391" s="801">
        <f>WWWW[[#This Row],['#_Water_Liters_from_Constructed/Existing water distribution system from river or natural spring]]/90/15</f>
        <v>0</v>
      </c>
      <c r="CH391" s="473">
        <f>WWWW[[#This Row],['#_of water points in TLS/CFS /THF]]*500</f>
        <v>0</v>
      </c>
      <c r="CI39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0.85910652920962194</v>
      </c>
      <c r="CK391" s="800">
        <f>IF(WWWW[[#This Row],[Location Type 1]]="Village",WWWW[[#This Row],[Access to safe drinking water for Village]],WWWW[[#This Row],[Access to safe drinking water for Camp]])</f>
        <v>1</v>
      </c>
      <c r="CL391" s="798">
        <f>WWWW[[#This Row],[%Equitable and continuous access to sufficient quantity of safe drinking water]]*WWWW[[#This Row],[Total PoP ]]</f>
        <v>291</v>
      </c>
      <c r="CM391" s="800">
        <f>IF((WWWW[[#This Row],['#_Constructed/Existing protected/fenced ponds]]*250)/WWWW[[#This Row],[Total PoP ]]&gt;1,1,(WWWW[[#This Row],['#_Constructed/Existing protected/fenced ponds]]*250)/WWWW[[#This Row],[Total PoP ]])</f>
        <v>0</v>
      </c>
      <c r="CN391" s="798">
        <f>WWWW[[#This Row],[% Access to unimproved water points]]*WWWW[[#This Row],[Total PoP ]]</f>
        <v>0</v>
      </c>
      <c r="CO39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Q391" s="798">
        <f>WWWW[[#This Row],[HRP1]]/500</f>
        <v>0.58199999999999996</v>
      </c>
      <c r="CR391" s="803">
        <f>1-WWWW[[#This Row],[% Equitable and continuous access to sufficient quantity of domestic water]]</f>
        <v>0</v>
      </c>
      <c r="CS391" s="798">
        <f>WWWW[[#This Row],[%equitable and continuous access to sufficient quantity of safe drinking and domestic water''s GAP]]*WWWW[[#This Row],[Total PoP ]]</f>
        <v>0</v>
      </c>
      <c r="CT391" s="801">
        <f>IF(WWWW[[#This Row],[Total required water points]]-WWWW[[#This Row],['#Water points coverage]]&lt;0,0,WWWW[[#This Row],[Total required water points]]-WWWW[[#This Row],['#Water points coverage]])</f>
        <v>0.41800000000000004</v>
      </c>
      <c r="CU391" s="801">
        <f>ROUND(IF(WWWW[[#This Row],[Total PoP ]]&lt;500,1,WWWW[[#This Row],[Total PoP ]]/500),0)</f>
        <v>1</v>
      </c>
      <c r="CV391" s="801">
        <f>(WWWW[[#This Row],['#_Constructed latrines_by_WASHAgencies]]+WWWW[[#This Row],['#_Non Cluster partner latrines]])-WWWW[[#This Row],['#_Non-functional latrines]]</f>
        <v>18</v>
      </c>
      <c r="CW391" s="804">
        <f>WWWW[[#This Row],[HRP2]]/WWWW[[#This Row],[Total PoP ]]</f>
        <v>1</v>
      </c>
      <c r="CX39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CY39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1" s="473">
        <f>IF(WWWW[[#This Row],['# of functional latrines in THF supported by WASH partners during the reporting period2]]="",0,WWWW[[#This Row],['# of functional latrines in THF supported by WASH partners during the reporting period2]]*50)</f>
        <v>0</v>
      </c>
      <c r="DB391" s="473">
        <f>WWWW[[#This Row],['# students access to functioning school latrines_HRP5]]+WWWW[[#This Row],['# People access to functioning latrines in THF_HRP5]]</f>
        <v>0</v>
      </c>
      <c r="DC391" s="801">
        <f>ROUND(IF(WWWW[[#This Row],[Location Type 1]]="camp",WWWW[[#This Row],[Total PoP ]]/20,IF(WWWW[[#This Row],[Location Type 1]]="Temporary Location",WWWW[[#This Row],[Total PoP ]]/50,(WWWW[[#This Row],[Total PoP ]]/6))),0)</f>
        <v>15</v>
      </c>
      <c r="DD391" s="801">
        <f>IF(WWWW[[#This Row],[Total required Latrines]]-(WWWW[[#This Row],['#_Constructed latrines_by_WASHAgencies]]+WWWW[[#This Row],['#_Non Cluster partner latrines]])&lt;0,0,WWWW[[#This Row],[Total required Latrines]]-(WWWW[[#This Row],['#_Constructed latrines_by_WASHAgencies]]+WWWW[[#This Row],['#_Non Cluster partner latrines]]))</f>
        <v>0</v>
      </c>
      <c r="DE391" s="803">
        <f>1-WWWW[[#This Row],[% people access to functioning Latrine]]</f>
        <v>0</v>
      </c>
      <c r="DF391" s="802">
        <f>IF(OR(WWWW[[#This Row],['#_Non-functional latrines]]="",WWWW[[#This Row],['#_Non-functional latrines]]=0),0,WWWW[[#This Row],['#_Non-functional latrines]]/(WWWW[[#This Row],['#_Constructed latrines_by_WASHAgencies]]+WWWW[[#This Row],['#_Non Cluster partner latrines]]))</f>
        <v>0</v>
      </c>
      <c r="DG391" s="798">
        <f>IF(500*(WWWW[[#This Row],['#_male hygiene promoters]]+WWWW[[#This Row],['#_female hygiene promoters]])&gt;WWWW[[#This Row],[Total PoP ]],WWWW[[#This Row],[Total PoP ]],500*(WWWW[[#This Row],['#_male hygiene promoters]]+WWWW[[#This Row],['#_female hygiene promoters]]))</f>
        <v>291</v>
      </c>
      <c r="DH39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1" s="801">
        <f>IF(WWWW[[#This Row],['# People with access to soap]]&gt;WWWW[[#This Row],['# People with access to Sanity Pads]],WWWW[[#This Row],['# People with access to soap]],WWWW[[#This Row],['# People with access to Sanity Pads]])</f>
        <v>0</v>
      </c>
      <c r="DK391" s="801">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L391" s="803">
        <f>IF(WWWW[[#This Row],[HRP3]]/WWWW[[#This Row],[Total PoP ]]&gt;1,1,WWWW[[#This Row],[HRP3]]/WWWW[[#This Row],[Total PoP ]])</f>
        <v>1</v>
      </c>
      <c r="DM391" s="802">
        <f>1-WWWW[[#This Row],[Hygiene Coverage%]]</f>
        <v>0</v>
      </c>
      <c r="DN391" s="800">
        <f>WWWW[[#This Row],['# people reached by regular dedicated hygiene promotion_5]]/WWWW[[#This Row],[Total PoP ]]</f>
        <v>1</v>
      </c>
      <c r="DO39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1" s="801">
        <f>WWWW[[#This Row],['#_Constructed/Existing hand washing stations]]-WWWW[[#This Row],['#_Non-Functional_hand_washing_stations]]</f>
        <v>5</v>
      </c>
      <c r="DR391" s="798">
        <f>IF(WWWW[[#This Row],['# Functional hand washing stations during reporting period]]*20&gt;WWWW[[#This Row],[Total HH]],WWWW[[#This Row],[Total HH]],WWWW[[#This Row],['# Functional hand washing stations during reporting period]]*20)</f>
        <v>38</v>
      </c>
      <c r="DS391" s="798">
        <f>IF(WWWW[[#This Row],[Is sufficient soap available for TLS? (Yes/No)]]="yes",WWWW[[#This Row],['#_Constructed/Existing hand washing stations at TLS]],0)</f>
        <v>0</v>
      </c>
      <c r="DT391" s="479">
        <f>IF(WWWW[[#This Row],['# Functional hand washing stations during reporting period]]*100&gt;WWWW[[#This Row],[Total PoP ]],WWWW[[#This Row],[Total PoP ]],WWWW[[#This Row],['# Functional hand washing stations during reporting period]]*100)</f>
        <v>291</v>
      </c>
      <c r="DU391" s="479" t="str">
        <f>IF(OR(WWWW[[#This Row],['#_students at TLS_CFS]]="",WWWW[[#This Row],['#_students at TLS_CFS]]=0),"No","Yes")</f>
        <v>No</v>
      </c>
      <c r="DV39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1" s="794" t="str">
        <f>VLOOKUP(WWWW[[#This Row],[Site Name]],SiteDB6[[Site Name]:[CCCM Management]],6,FALSE)</f>
        <v>Yes</v>
      </c>
      <c r="DZ391" s="794" t="str">
        <f>VLOOKUP(WWWW[[#This Row],[Site Name]],SiteDB6[[Site Name]:[CCCM Focal Agency]],7,FALSE)</f>
        <v>KMSS-BMO</v>
      </c>
      <c r="EA391" s="794" t="str">
        <f>VLOOKUP(WWWW[[#This Row],[Site Name]],SiteDB6[[Site Name]:[Location Type 1]],9,FALSE)</f>
        <v>Camp</v>
      </c>
      <c r="EB391" s="794" t="str">
        <f>VLOOKUP(WWWW[[#This Row],[Site Name]],SiteDB6[[Site Name]:[Type of Accommodation]],10,FALSE)</f>
        <v>Camp</v>
      </c>
      <c r="EC391" s="794" t="str">
        <f>VLOOKUP(WWWW[[#This Row],[Site Name]],SiteDB6[[Site Name]:[Ethnic or GCA/NGCA]],11,FALSE)</f>
        <v>GCA</v>
      </c>
      <c r="ED391" s="794">
        <f>VLOOKUP(WWWW[[#This Row],[Site Name]],SiteDB6[[Site Name]:[Lat]],12,FALSE)</f>
        <v>24.205417000000001</v>
      </c>
      <c r="EE391" s="794">
        <f>VLOOKUP(WWWW[[#This Row],[Site Name]],SiteDB6[[Site Name]:[Long]],13,FALSE)</f>
        <v>97.724566999999993</v>
      </c>
      <c r="EF391" s="794" t="str">
        <f>VLOOKUP(WWWW[[#This Row],[Site Name]],SiteDB6[[Site Name]:[Pcode]],3,FALSE)</f>
        <v>MMR001CMP069</v>
      </c>
      <c r="EG391" s="799" t="str">
        <f t="shared" si="10"/>
        <v>Covered</v>
      </c>
      <c r="EH391" s="799" t="str">
        <f>VLOOKUP(WWWW[[#This Row],[Site Name]],Site_DB!$C$389:$D$1120,2,FALSE)</f>
        <v>cccm_2019OCT</v>
      </c>
    </row>
    <row r="392" spans="1:138" hidden="1">
      <c r="A392" s="792" t="s">
        <v>3262</v>
      </c>
      <c r="B392" s="792" t="s">
        <v>279</v>
      </c>
      <c r="C392" s="793" t="s">
        <v>279</v>
      </c>
      <c r="D392" s="793" t="s">
        <v>3370</v>
      </c>
      <c r="E392" s="793" t="s">
        <v>39</v>
      </c>
      <c r="F392" s="793" t="s">
        <v>208</v>
      </c>
      <c r="G392" s="721" t="str">
        <f>VLOOKUP(WWWW[[#This Row],[Site Name]],SiteDB6[[Site Name]:[Location Type]],8,FALSE)</f>
        <v>Camp</v>
      </c>
      <c r="H392" s="404" t="s">
        <v>286</v>
      </c>
      <c r="I392" s="795">
        <v>219</v>
      </c>
      <c r="J392" s="795">
        <v>1267</v>
      </c>
      <c r="K392" s="796">
        <v>43833</v>
      </c>
      <c r="L392" s="797">
        <v>44377</v>
      </c>
      <c r="M392" s="795"/>
      <c r="N392" s="795">
        <v>0</v>
      </c>
      <c r="O392" s="795">
        <v>4</v>
      </c>
      <c r="P392" s="795">
        <v>30</v>
      </c>
      <c r="Q392" s="798" t="s">
        <v>43</v>
      </c>
      <c r="R392" s="795">
        <v>11</v>
      </c>
      <c r="S392" s="795">
        <v>13</v>
      </c>
      <c r="T392" s="523">
        <v>5</v>
      </c>
      <c r="U392" s="795"/>
      <c r="V392" s="795"/>
      <c r="W392" s="795">
        <v>3</v>
      </c>
      <c r="X392" s="795">
        <v>0</v>
      </c>
      <c r="Y392" s="795"/>
      <c r="Z392" s="795"/>
      <c r="AA392" s="795"/>
      <c r="AB392" s="795"/>
      <c r="AC392" s="795"/>
      <c r="AD392" s="795"/>
      <c r="AE392" s="795"/>
      <c r="AF392" s="795"/>
      <c r="AG392" s="795">
        <v>4</v>
      </c>
      <c r="AH392" s="795"/>
      <c r="AI392" s="795">
        <v>7</v>
      </c>
      <c r="AJ392" s="795">
        <v>7</v>
      </c>
      <c r="AK392" s="795">
        <v>12</v>
      </c>
      <c r="AL392" s="795">
        <v>12</v>
      </c>
      <c r="AM392" s="795">
        <v>15</v>
      </c>
      <c r="AN392" s="795"/>
      <c r="AO392" s="799"/>
      <c r="AP392" s="795">
        <v>38</v>
      </c>
      <c r="AQ392" s="795">
        <v>0</v>
      </c>
      <c r="AR392" s="800"/>
      <c r="AS392" s="795"/>
      <c r="AT392" s="795"/>
      <c r="AU392" s="795">
        <v>12</v>
      </c>
      <c r="AV392" s="795">
        <v>6000</v>
      </c>
      <c r="AW392" s="795"/>
      <c r="AX392" s="794" t="s">
        <v>43</v>
      </c>
      <c r="AY392" s="799" t="s">
        <v>140</v>
      </c>
      <c r="AZ392" s="795"/>
      <c r="BA392" s="795"/>
      <c r="BB392" s="795"/>
      <c r="BC392" s="523"/>
      <c r="BD392" s="523"/>
      <c r="BE392" s="794" t="s">
        <v>3371</v>
      </c>
      <c r="BF392" s="795">
        <v>12</v>
      </c>
      <c r="BG392" s="795"/>
      <c r="BH392" s="795"/>
      <c r="BI392" s="795">
        <v>9</v>
      </c>
      <c r="BJ392" s="795"/>
      <c r="BK392" s="795"/>
      <c r="BL392" s="795">
        <v>4</v>
      </c>
      <c r="BM392" s="795"/>
      <c r="BN392" s="795"/>
      <c r="BO392" s="794"/>
      <c r="BP392" s="801"/>
      <c r="BQ392" s="800"/>
      <c r="BR392" s="794"/>
      <c r="BS392" s="472"/>
      <c r="BT392" s="472"/>
      <c r="BU392" s="720"/>
      <c r="BV392" s="472"/>
      <c r="BW392" s="523"/>
      <c r="BX392" s="523"/>
      <c r="BY392" s="523"/>
      <c r="BZ392" s="802">
        <f>IFERROR(WWWW[[#This Row],['#_Water sources passed]]/WWWW[[#This Row],['#_Water sources tested for fecal coliform ]],"no test")</f>
        <v>1</v>
      </c>
      <c r="CA392" s="800">
        <f>IFERROR(WWWW[[#This Row],['#_Household passed]]/WWWW[[#This Row],['#_Household water samples tested for fecal coliform]],"no test")</f>
        <v>1</v>
      </c>
      <c r="CB392" s="801" t="str">
        <f>IF(AND(WWWW[[#This Row],[% of water sources passed]]="no test",WWWW[[#This Row],[% Household passed]]="no test"),"No Test","Tested")</f>
        <v>Tested</v>
      </c>
      <c r="CC392" s="801">
        <f>WWWW[[#This Row],['#_Constructed/existing protected hand dug well]]-WWWW[[#This Row],['#_Non-functional protected hand dug well]]</f>
        <v>5</v>
      </c>
      <c r="CD392" s="801">
        <f>(WWWW[[#This Row],['#_Constructed/Existing tube wells/boreholes/handpumps_WASH_agency]]+WWWW[[#This Row],['#_Non-Cluster partner water tube-wells/boreholes/handpumps]])-WWWW[[#This Row],['#_Non-functional tube wells/boreholes/handpumps]]</f>
        <v>3</v>
      </c>
      <c r="CE392" s="801">
        <f>WWWW[[#This Row],['#_Constructed/Existingwater storage tank with gravity fed reticulation system]]-WWWW[[#This Row],['#_Non-functional storage tank gravity fed reticulation system]]</f>
        <v>0</v>
      </c>
      <c r="CF392" s="801">
        <f>(WWWW[[#This Row],['#_Water_Liters_supplied_by_Water boating or water trucking]]/90)/15</f>
        <v>0</v>
      </c>
      <c r="CG392" s="801">
        <f>WWWW[[#This Row],['#_Water_Liters_from_Constructed/Existing water distribution system from river or natural spring]]/90/15</f>
        <v>0</v>
      </c>
      <c r="CH392" s="473">
        <f>WWWW[[#This Row],['#_of water points in TLS/CFS /THF]]*500</f>
        <v>0</v>
      </c>
      <c r="CI39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2" s="800">
        <f>IF(WWWW[[#This Row],[Location Type 1]]="Village",WWWW[[#This Row],[Access to safe drinking water for Village]],WWWW[[#This Row],[Access to safe drinking water for Camp]])</f>
        <v>1</v>
      </c>
      <c r="CL392" s="798">
        <f>WWWW[[#This Row],[%Equitable and continuous access to sufficient quantity of safe drinking water]]*WWWW[[#This Row],[Total PoP ]]</f>
        <v>1267</v>
      </c>
      <c r="CM392" s="800">
        <f>IF((WWWW[[#This Row],['#_Constructed/Existing protected/fenced ponds]]*250)/WWWW[[#This Row],[Total PoP ]]&gt;1,1,(WWWW[[#This Row],['#_Constructed/Existing protected/fenced ponds]]*250)/WWWW[[#This Row],[Total PoP ]])</f>
        <v>0</v>
      </c>
      <c r="CN392" s="798">
        <f>WWWW[[#This Row],[% Access to unimproved water points]]*WWWW[[#This Row],[Total PoP ]]</f>
        <v>0</v>
      </c>
      <c r="CO39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1267</v>
      </c>
      <c r="CQ392" s="798">
        <f>WWWW[[#This Row],[HRP1]]/500</f>
        <v>2.5339999999999998</v>
      </c>
      <c r="CR392" s="803">
        <f>1-WWWW[[#This Row],[% Equitable and continuous access to sufficient quantity of domestic water]]</f>
        <v>0</v>
      </c>
      <c r="CS392" s="798">
        <f>WWWW[[#This Row],[%equitable and continuous access to sufficient quantity of safe drinking and domestic water''s GAP]]*WWWW[[#This Row],[Total PoP ]]</f>
        <v>0</v>
      </c>
      <c r="CT392" s="801">
        <f>IF(WWWW[[#This Row],[Total required water points]]-WWWW[[#This Row],['#Water points coverage]]&lt;0,0,WWWW[[#This Row],[Total required water points]]-WWWW[[#This Row],['#Water points coverage]])</f>
        <v>0.46600000000000019</v>
      </c>
      <c r="CU392" s="801">
        <f>ROUND(IF(WWWW[[#This Row],[Total PoP ]]&lt;500,1,WWWW[[#This Row],[Total PoP ]]/500),0)</f>
        <v>3</v>
      </c>
      <c r="CV392" s="801">
        <f>(WWWW[[#This Row],['#_Constructed latrines_by_WASHAgencies]]+WWWW[[#This Row],['#_Non Cluster partner latrines]])-WWWW[[#This Row],['#_Non-functional latrines]]</f>
        <v>38</v>
      </c>
      <c r="CW392" s="804">
        <f>WWWW[[#This Row],[HRP2]]/WWWW[[#This Row],[Total PoP ]]</f>
        <v>0.59984214680347281</v>
      </c>
      <c r="CX39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CY39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CZ39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2" s="473">
        <f>IF(WWWW[[#This Row],['# of functional latrines in THF supported by WASH partners during the reporting period2]]="",0,WWWW[[#This Row],['# of functional latrines in THF supported by WASH partners during the reporting period2]]*50)</f>
        <v>0</v>
      </c>
      <c r="DB392" s="473">
        <f>WWWW[[#This Row],['# students access to functioning school latrines_HRP5]]+WWWW[[#This Row],['# People access to functioning latrines in THF_HRP5]]</f>
        <v>0</v>
      </c>
      <c r="DC392" s="801">
        <f>ROUND(IF(WWWW[[#This Row],[Location Type 1]]="camp",WWWW[[#This Row],[Total PoP ]]/20,IF(WWWW[[#This Row],[Location Type 1]]="Temporary Location",WWWW[[#This Row],[Total PoP ]]/50,(WWWW[[#This Row],[Total PoP ]]/6))),0)</f>
        <v>63</v>
      </c>
      <c r="DD392" s="801">
        <f>IF(WWWW[[#This Row],[Total required Latrines]]-(WWWW[[#This Row],['#_Constructed latrines_by_WASHAgencies]]+WWWW[[#This Row],['#_Non Cluster partner latrines]])&lt;0,0,WWWW[[#This Row],[Total required Latrines]]-(WWWW[[#This Row],['#_Constructed latrines_by_WASHAgencies]]+WWWW[[#This Row],['#_Non Cluster partner latrines]]))</f>
        <v>25</v>
      </c>
      <c r="DE392" s="803">
        <f>1-WWWW[[#This Row],[% people access to functioning Latrine]]</f>
        <v>0.40015785319652719</v>
      </c>
      <c r="DF392" s="802">
        <f>IF(OR(WWWW[[#This Row],['#_Non-functional latrines]]="",WWWW[[#This Row],['#_Non-functional latrines]]=0),0,WWWW[[#This Row],['#_Non-functional latrines]]/(WWWW[[#This Row],['#_Constructed latrines_by_WASHAgencies]]+WWWW[[#This Row],['#_Non Cluster partner latrines]]))</f>
        <v>0</v>
      </c>
      <c r="DG392" s="798">
        <f>IF(500*(WWWW[[#This Row],['#_male hygiene promoters]]+WWWW[[#This Row],['#_female hygiene promoters]])&gt;WWWW[[#This Row],[Total PoP ]],WWWW[[#This Row],[Total PoP ]],500*(WWWW[[#This Row],['#_male hygiene promoters]]+WWWW[[#This Row],['#_female hygiene promoters]]))</f>
        <v>1267</v>
      </c>
      <c r="DH39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2" s="801">
        <f>IF(WWWW[[#This Row],['# People with access to soap]]&gt;WWWW[[#This Row],['# People with access to Sanity Pads]],WWWW[[#This Row],['# People with access to soap]],WWWW[[#This Row],['# People with access to Sanity Pads]])</f>
        <v>0</v>
      </c>
      <c r="DK392" s="801">
        <f>IF(WWWW[[#This Row],['# people reached by regular dedicated hygiene promotion_5]]&gt;WWWW[[#This Row],['# People received regular supply of hygiene items_6]],WWWW[[#This Row],['# people reached by regular dedicated hygiene promotion_5]],WWWW[[#This Row],['# People received regular supply of hygiene items_6]])</f>
        <v>1267</v>
      </c>
      <c r="DL392" s="803">
        <f>IF(WWWW[[#This Row],[HRP3]]/WWWW[[#This Row],[Total PoP ]]&gt;1,1,WWWW[[#This Row],[HRP3]]/WWWW[[#This Row],[Total PoP ]])</f>
        <v>1</v>
      </c>
      <c r="DM392" s="802">
        <f>1-WWWW[[#This Row],[Hygiene Coverage%]]</f>
        <v>0</v>
      </c>
      <c r="DN392" s="800">
        <f>WWWW[[#This Row],['# people reached by regular dedicated hygiene promotion_5]]/WWWW[[#This Row],[Total PoP ]]</f>
        <v>1</v>
      </c>
      <c r="DO39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2" s="801">
        <f>WWWW[[#This Row],['#_Constructed/Existing hand washing stations]]-WWWW[[#This Row],['#_Non-Functional_hand_washing_stations]]</f>
        <v>12</v>
      </c>
      <c r="DR392" s="798">
        <f>IF(WWWW[[#This Row],['# Functional hand washing stations during reporting period]]*20&gt;WWWW[[#This Row],[Total HH]],WWWW[[#This Row],[Total HH]],WWWW[[#This Row],['# Functional hand washing stations during reporting period]]*20)</f>
        <v>219</v>
      </c>
      <c r="DS392" s="798">
        <f>IF(WWWW[[#This Row],[Is sufficient soap available for TLS? (Yes/No)]]="yes",WWWW[[#This Row],['#_Constructed/Existing hand washing stations at TLS]],0)</f>
        <v>0</v>
      </c>
      <c r="DT392" s="479">
        <f>IF(WWWW[[#This Row],['# Functional hand washing stations during reporting period]]*100&gt;WWWW[[#This Row],[Total PoP ]],WWWW[[#This Row],[Total PoP ]],WWWW[[#This Row],['# Functional hand washing stations during reporting period]]*100)</f>
        <v>1200</v>
      </c>
      <c r="DU392" s="479" t="str">
        <f>IF(OR(WWWW[[#This Row],['#_students at TLS_CFS]]="",WWWW[[#This Row],['#_students at TLS_CFS]]=0),"No","Yes")</f>
        <v>No</v>
      </c>
      <c r="DV39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2" s="794" t="str">
        <f>VLOOKUP(WWWW[[#This Row],[Site Name]],SiteDB6[[Site Name]:[CCCM Management]],6,FALSE)</f>
        <v>Yes</v>
      </c>
      <c r="DZ392" s="794" t="str">
        <f>VLOOKUP(WWWW[[#This Row],[Site Name]],SiteDB6[[Site Name]:[CCCM Focal Agency]],7,FALSE)</f>
        <v>KBC-BMO</v>
      </c>
      <c r="EA392" s="794" t="str">
        <f>VLOOKUP(WWWW[[#This Row],[Site Name]],SiteDB6[[Site Name]:[Location Type 1]],9,FALSE)</f>
        <v>Camp</v>
      </c>
      <c r="EB392" s="794" t="str">
        <f>VLOOKUP(WWWW[[#This Row],[Site Name]],SiteDB6[[Site Name]:[Type of Accommodation]],10,FALSE)</f>
        <v>Camp</v>
      </c>
      <c r="EC392" s="794" t="str">
        <f>VLOOKUP(WWWW[[#This Row],[Site Name]],SiteDB6[[Site Name]:[Ethnic or GCA/NGCA]],11,FALSE)</f>
        <v>GCA</v>
      </c>
      <c r="ED392" s="794">
        <f>VLOOKUP(WWWW[[#This Row],[Site Name]],SiteDB6[[Site Name]:[Lat]],12,FALSE)</f>
        <v>24.200433</v>
      </c>
      <c r="EE392" s="794">
        <f>VLOOKUP(WWWW[[#This Row],[Site Name]],SiteDB6[[Site Name]:[Long]],13,FALSE)</f>
        <v>97.717133000000004</v>
      </c>
      <c r="EF392" s="794" t="str">
        <f>VLOOKUP(WWWW[[#This Row],[Site Name]],SiteDB6[[Site Name]:[Pcode]],3,FALSE)</f>
        <v>MMR001CMP070</v>
      </c>
      <c r="EG392" s="799" t="str">
        <f t="shared" si="10"/>
        <v>Covered</v>
      </c>
      <c r="EH392" s="799" t="str">
        <f>VLOOKUP(WWWW[[#This Row],[Site Name]],Site_DB!$C$389:$D$1120,2,FALSE)</f>
        <v>cccm_2019OCT</v>
      </c>
    </row>
    <row r="393" spans="1:138" hidden="1">
      <c r="A393" s="792" t="s">
        <v>3262</v>
      </c>
      <c r="B393" s="792" t="s">
        <v>279</v>
      </c>
      <c r="C393" s="793" t="s">
        <v>279</v>
      </c>
      <c r="D393" s="793" t="s">
        <v>3370</v>
      </c>
      <c r="E393" s="793" t="s">
        <v>39</v>
      </c>
      <c r="F393" s="793" t="s">
        <v>208</v>
      </c>
      <c r="G393" s="721" t="str">
        <f>VLOOKUP(WWWW[[#This Row],[Site Name]],SiteDB6[[Site Name]:[Location Type]],8,FALSE)</f>
        <v>Camp_not registered</v>
      </c>
      <c r="H393" s="793" t="s">
        <v>291</v>
      </c>
      <c r="I393" s="795">
        <v>483.8</v>
      </c>
      <c r="J393" s="795">
        <v>2419</v>
      </c>
      <c r="K393" s="796">
        <v>43833</v>
      </c>
      <c r="L393" s="797">
        <v>44377</v>
      </c>
      <c r="M393" s="795">
        <v>2373</v>
      </c>
      <c r="N393" s="795">
        <v>0</v>
      </c>
      <c r="O393" s="795">
        <v>0</v>
      </c>
      <c r="P393" s="795">
        <v>30</v>
      </c>
      <c r="Q393" s="798" t="s">
        <v>43</v>
      </c>
      <c r="R393" s="795">
        <v>0</v>
      </c>
      <c r="S393" s="795">
        <v>0</v>
      </c>
      <c r="T393" s="523">
        <v>2</v>
      </c>
      <c r="U393" s="795"/>
      <c r="V393" s="795"/>
      <c r="W393" s="795">
        <v>1</v>
      </c>
      <c r="X393" s="795">
        <v>0</v>
      </c>
      <c r="Y393" s="795"/>
      <c r="Z393" s="795"/>
      <c r="AA393" s="795"/>
      <c r="AB393" s="795"/>
      <c r="AC393" s="795"/>
      <c r="AD393" s="795"/>
      <c r="AE393" s="795"/>
      <c r="AF393" s="795"/>
      <c r="AG393" s="795"/>
      <c r="AH393" s="795"/>
      <c r="AI393" s="795"/>
      <c r="AJ393" s="795"/>
      <c r="AK393" s="795"/>
      <c r="AL393" s="795"/>
      <c r="AM393" s="795"/>
      <c r="AN393" s="795">
        <v>2</v>
      </c>
      <c r="AO393" s="799"/>
      <c r="AP393" s="795">
        <v>7</v>
      </c>
      <c r="AQ393" s="795"/>
      <c r="AR393" s="800"/>
      <c r="AS393" s="795"/>
      <c r="AT393" s="795"/>
      <c r="AU393" s="795"/>
      <c r="AV393" s="795"/>
      <c r="AW393" s="795"/>
      <c r="AX393" s="794" t="s">
        <v>43</v>
      </c>
      <c r="AY393" s="799" t="s">
        <v>140</v>
      </c>
      <c r="AZ393" s="795">
        <v>0</v>
      </c>
      <c r="BA393" s="795">
        <v>0</v>
      </c>
      <c r="BB393" s="795"/>
      <c r="BC393" s="523"/>
      <c r="BD393" s="523"/>
      <c r="BE393" s="794" t="s">
        <v>3371</v>
      </c>
      <c r="BF393" s="795"/>
      <c r="BG393" s="795"/>
      <c r="BH393" s="795"/>
      <c r="BI393" s="795">
        <v>0</v>
      </c>
      <c r="BJ393" s="795"/>
      <c r="BK393" s="795">
        <v>0</v>
      </c>
      <c r="BL393" s="795">
        <v>0</v>
      </c>
      <c r="BM393" s="795"/>
      <c r="BN393" s="795"/>
      <c r="BO393" s="794"/>
      <c r="BP393" s="801"/>
      <c r="BQ393" s="800"/>
      <c r="BR393" s="794"/>
      <c r="BS393" s="472"/>
      <c r="BT393" s="472"/>
      <c r="BU393" s="720"/>
      <c r="BV393" s="472"/>
      <c r="BW393" s="523"/>
      <c r="BX393" s="523"/>
      <c r="BY393" s="523"/>
      <c r="BZ393" s="802" t="str">
        <f>IFERROR(WWWW[[#This Row],['#_Water sources passed]]/WWWW[[#This Row],['#_Water sources tested for fecal coliform ]],"no test")</f>
        <v>no test</v>
      </c>
      <c r="CA393" s="800" t="str">
        <f>IFERROR(WWWW[[#This Row],['#_Household passed]]/WWWW[[#This Row],['#_Household water samples tested for fecal coliform]],"no test")</f>
        <v>no test</v>
      </c>
      <c r="CB393" s="801" t="str">
        <f>IF(AND(WWWW[[#This Row],[% of water sources passed]]="no test",WWWW[[#This Row],[% Household passed]]="no test"),"No Test","Tested")</f>
        <v>No Test</v>
      </c>
      <c r="CC393" s="801">
        <f>WWWW[[#This Row],['#_Constructed/existing protected hand dug well]]-WWWW[[#This Row],['#_Non-functional protected hand dug well]]</f>
        <v>2</v>
      </c>
      <c r="CD393" s="801">
        <f>(WWWW[[#This Row],['#_Constructed/Existing tube wells/boreholes/handpumps_WASH_agency]]+WWWW[[#This Row],['#_Non-Cluster partner water tube-wells/boreholes/handpumps]])-WWWW[[#This Row],['#_Non-functional tube wells/boreholes/handpumps]]</f>
        <v>1</v>
      </c>
      <c r="CE393" s="801">
        <f>WWWW[[#This Row],['#_Constructed/Existingwater storage tank with gravity fed reticulation system]]-WWWW[[#This Row],['#_Non-functional storage tank gravity fed reticulation system]]</f>
        <v>0</v>
      </c>
      <c r="CF393" s="801">
        <f>(WWWW[[#This Row],['#_Water_Liters_supplied_by_Water boating or water trucking]]/90)/15</f>
        <v>0</v>
      </c>
      <c r="CG393" s="801">
        <f>WWWW[[#This Row],['#_Water_Liters_from_Constructed/Existing water distribution system from river or natural spring]]/90/15</f>
        <v>0</v>
      </c>
      <c r="CH393" s="473">
        <f>WWWW[[#This Row],['#_of water points in TLS/CFS /THF]]*500</f>
        <v>1000</v>
      </c>
      <c r="CI39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0.5374121537825548</v>
      </c>
      <c r="CJ39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0.31004547333608928</v>
      </c>
      <c r="CK393" s="800">
        <f>IF(WWWW[[#This Row],[Location Type 1]]="Village",WWWW[[#This Row],[Access to safe drinking water for Village]],WWWW[[#This Row],[Access to safe drinking water for Camp]])</f>
        <v>0.5374121537825548</v>
      </c>
      <c r="CL393" s="798">
        <f>WWWW[[#This Row],[%Equitable and continuous access to sufficient quantity of safe drinking water]]*WWWW[[#This Row],[Total PoP ]]</f>
        <v>1300</v>
      </c>
      <c r="CM393" s="800">
        <f>IF((WWWW[[#This Row],['#_Constructed/Existing protected/fenced ponds]]*250)/WWWW[[#This Row],[Total PoP ]]&gt;1,1,(WWWW[[#This Row],['#_Constructed/Existing protected/fenced ponds]]*250)/WWWW[[#This Row],[Total PoP ]])</f>
        <v>0</v>
      </c>
      <c r="CN393" s="798">
        <f>WWWW[[#This Row],[% Access to unimproved water points]]*WWWW[[#This Row],[Total PoP ]]</f>
        <v>0</v>
      </c>
      <c r="CO39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0.5374121537825548</v>
      </c>
      <c r="CP39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1300</v>
      </c>
      <c r="CQ393" s="798">
        <f>WWWW[[#This Row],[HRP1]]/500</f>
        <v>2.6</v>
      </c>
      <c r="CR393" s="803">
        <f>1-WWWW[[#This Row],[% Equitable and continuous access to sufficient quantity of domestic water]]</f>
        <v>0.4625878462174452</v>
      </c>
      <c r="CS393" s="798">
        <f>WWWW[[#This Row],[%equitable and continuous access to sufficient quantity of safe drinking and domestic water''s GAP]]*WWWW[[#This Row],[Total PoP ]]</f>
        <v>1119</v>
      </c>
      <c r="CT393" s="801">
        <f>IF(WWWW[[#This Row],[Total required water points]]-WWWW[[#This Row],['#Water points coverage]]&lt;0,0,WWWW[[#This Row],[Total required water points]]-WWWW[[#This Row],['#Water points coverage]])</f>
        <v>2.4</v>
      </c>
      <c r="CU393" s="801">
        <f>ROUND(IF(WWWW[[#This Row],[Total PoP ]]&lt;500,1,WWWW[[#This Row],[Total PoP ]]/500),0)</f>
        <v>5</v>
      </c>
      <c r="CV393" s="801">
        <f>(WWWW[[#This Row],['#_Constructed latrines_by_WASHAgencies]]+WWWW[[#This Row],['#_Non Cluster partner latrines]])-WWWW[[#This Row],['#_Non-functional latrines]]</f>
        <v>7</v>
      </c>
      <c r="CW393" s="804">
        <f>WWWW[[#This Row],[HRP2]]/WWWW[[#This Row],[Total PoP ]]</f>
        <v>5.7875155022736671E-2</v>
      </c>
      <c r="CX39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39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3" s="473">
        <f>IF(WWWW[[#This Row],['# of functional latrines in THF supported by WASH partners during the reporting period2]]="",0,WWWW[[#This Row],['# of functional latrines in THF supported by WASH partners during the reporting period2]]*50)</f>
        <v>0</v>
      </c>
      <c r="DB393" s="473">
        <f>WWWW[[#This Row],['# students access to functioning school latrines_HRP5]]+WWWW[[#This Row],['# People access to functioning latrines in THF_HRP5]]</f>
        <v>0</v>
      </c>
      <c r="DC393" s="801">
        <f>ROUND(IF(WWWW[[#This Row],[Location Type 1]]="camp",WWWW[[#This Row],[Total PoP ]]/20,IF(WWWW[[#This Row],[Location Type 1]]="Temporary Location",WWWW[[#This Row],[Total PoP ]]/50,(WWWW[[#This Row],[Total PoP ]]/6))),0)</f>
        <v>121</v>
      </c>
      <c r="DD393" s="801">
        <f>IF(WWWW[[#This Row],[Total required Latrines]]-(WWWW[[#This Row],['#_Constructed latrines_by_WASHAgencies]]+WWWW[[#This Row],['#_Non Cluster partner latrines]])&lt;0,0,WWWW[[#This Row],[Total required Latrines]]-(WWWW[[#This Row],['#_Constructed latrines_by_WASHAgencies]]+WWWW[[#This Row],['#_Non Cluster partner latrines]]))</f>
        <v>114</v>
      </c>
      <c r="DE393" s="803">
        <f>1-WWWW[[#This Row],[% people access to functioning Latrine]]</f>
        <v>0.94212484497726334</v>
      </c>
      <c r="DF393" s="802">
        <f>IF(OR(WWWW[[#This Row],['#_Non-functional latrines]]="",WWWW[[#This Row],['#_Non-functional latrines]]=0),0,WWWW[[#This Row],['#_Non-functional latrines]]/(WWWW[[#This Row],['#_Constructed latrines_by_WASHAgencies]]+WWWW[[#This Row],['#_Non Cluster partner latrines]]))</f>
        <v>0</v>
      </c>
      <c r="DG393" s="798">
        <f>IF(500*(WWWW[[#This Row],['#_male hygiene promoters]]+WWWW[[#This Row],['#_female hygiene promoters]])&gt;WWWW[[#This Row],[Total PoP ]],WWWW[[#This Row],[Total PoP ]],500*(WWWW[[#This Row],['#_male hygiene promoters]]+WWWW[[#This Row],['#_female hygiene promoters]]))</f>
        <v>0</v>
      </c>
      <c r="DH39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3" s="801">
        <f>IF(WWWW[[#This Row],['# People with access to soap]]&gt;WWWW[[#This Row],['# People with access to Sanity Pads]],WWWW[[#This Row],['# People with access to soap]],WWWW[[#This Row],['# People with access to Sanity Pads]])</f>
        <v>0</v>
      </c>
      <c r="DK393"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93" s="803">
        <f>IF(WWWW[[#This Row],[HRP3]]/WWWW[[#This Row],[Total PoP ]]&gt;1,1,WWWW[[#This Row],[HRP3]]/WWWW[[#This Row],[Total PoP ]])</f>
        <v>0</v>
      </c>
      <c r="DM393" s="802">
        <f>1-WWWW[[#This Row],[Hygiene Coverage%]]</f>
        <v>1</v>
      </c>
      <c r="DN393" s="800">
        <f>WWWW[[#This Row],['# people reached by regular dedicated hygiene promotion_5]]/WWWW[[#This Row],[Total PoP ]]</f>
        <v>0</v>
      </c>
      <c r="DO39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3" s="801">
        <f>WWWW[[#This Row],['#_Constructed/Existing hand washing stations]]-WWWW[[#This Row],['#_Non-Functional_hand_washing_stations]]</f>
        <v>0</v>
      </c>
      <c r="DR393" s="798">
        <f>IF(WWWW[[#This Row],['# Functional hand washing stations during reporting period]]*20&gt;WWWW[[#This Row],[Total HH]],WWWW[[#This Row],[Total HH]],WWWW[[#This Row],['# Functional hand washing stations during reporting period]]*20)</f>
        <v>0</v>
      </c>
      <c r="DS393" s="798">
        <f>IF(WWWW[[#This Row],[Is sufficient soap available for TLS? (Yes/No)]]="yes",WWWW[[#This Row],['#_Constructed/Existing hand washing stations at TLS]],0)</f>
        <v>0</v>
      </c>
      <c r="DT393" s="479">
        <f>IF(WWWW[[#This Row],['# Functional hand washing stations during reporting period]]*100&gt;WWWW[[#This Row],[Total PoP ]],WWWW[[#This Row],[Total PoP ]],WWWW[[#This Row],['# Functional hand washing stations during reporting period]]*100)</f>
        <v>0</v>
      </c>
      <c r="DU393" s="479" t="str">
        <f>IF(OR(WWWW[[#This Row],['#_students at TLS_CFS]]="",WWWW[[#This Row],['#_students at TLS_CFS]]=0),"No","Yes")</f>
        <v>Yes</v>
      </c>
      <c r="DV39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93" s="794">
        <f>VLOOKUP(WWWW[[#This Row],[Site Name]],SiteDB6[[Site Name]:[CCCM Management]],6,FALSE)</f>
        <v>0</v>
      </c>
      <c r="DZ393" s="794">
        <f>VLOOKUP(WWWW[[#This Row],[Site Name]],SiteDB6[[Site Name]:[CCCM Focal Agency]],7,FALSE)</f>
        <v>0</v>
      </c>
      <c r="EA393" s="794" t="str">
        <f>VLOOKUP(WWWW[[#This Row],[Site Name]],SiteDB6[[Site Name]:[Location Type 1]],9,FALSE)</f>
        <v>Camp</v>
      </c>
      <c r="EB393" s="794" t="str">
        <f>VLOOKUP(WWWW[[#This Row],[Site Name]],SiteDB6[[Site Name]:[Type of Accommodation]],10,FALSE)</f>
        <v>School</v>
      </c>
      <c r="EC393" s="794" t="str">
        <f>VLOOKUP(WWWW[[#This Row],[Site Name]],SiteDB6[[Site Name]:[Ethnic or GCA/NGCA]],11,FALSE)</f>
        <v>GCA</v>
      </c>
      <c r="ED393" s="794">
        <f>VLOOKUP(WWWW[[#This Row],[Site Name]],SiteDB6[[Site Name]:[Lat]],12,FALSE)</f>
        <v>0</v>
      </c>
      <c r="EE393" s="794">
        <f>VLOOKUP(WWWW[[#This Row],[Site Name]],SiteDB6[[Site Name]:[Long]],13,FALSE)</f>
        <v>0</v>
      </c>
      <c r="EF393" s="794">
        <f>VLOOKUP(WWWW[[#This Row],[Site Name]],SiteDB6[[Site Name]:[Pcode]],3,FALSE)</f>
        <v>0</v>
      </c>
      <c r="EG393" s="799" t="str">
        <f t="shared" si="10"/>
        <v>Covered</v>
      </c>
      <c r="EH393" s="799">
        <f>VLOOKUP(WWWW[[#This Row],[Site Name]],Site_DB!$C$389:$D$1120,2,FALSE)</f>
        <v>0</v>
      </c>
    </row>
    <row r="394" spans="1:138" ht="52" hidden="1">
      <c r="A394" s="792" t="s">
        <v>3262</v>
      </c>
      <c r="B394" s="793" t="s">
        <v>3376</v>
      </c>
      <c r="C394" s="793" t="s">
        <v>3376</v>
      </c>
      <c r="D394" s="404" t="s">
        <v>3387</v>
      </c>
      <c r="E394" s="793" t="s">
        <v>39</v>
      </c>
      <c r="F394" s="793" t="s">
        <v>208</v>
      </c>
      <c r="G394" s="721" t="str">
        <f>VLOOKUP(WWWW[[#This Row],[Site Name]],SiteDB6[[Site Name]:[Location Type]],8,FALSE)</f>
        <v>Camp</v>
      </c>
      <c r="H394" s="793" t="s">
        <v>216</v>
      </c>
      <c r="I394" s="720">
        <v>97</v>
      </c>
      <c r="J394" s="720">
        <v>527</v>
      </c>
      <c r="K394" s="407" t="s">
        <v>3601</v>
      </c>
      <c r="L394" s="56" t="s">
        <v>3602</v>
      </c>
      <c r="M394" s="795">
        <v>41</v>
      </c>
      <c r="N394" s="795"/>
      <c r="O394" s="795">
        <v>6</v>
      </c>
      <c r="P394" s="795"/>
      <c r="Q394" s="798" t="s">
        <v>43</v>
      </c>
      <c r="R394" s="795">
        <v>5</v>
      </c>
      <c r="S394" s="795">
        <v>3</v>
      </c>
      <c r="T394" s="523">
        <v>2</v>
      </c>
      <c r="U394" s="795"/>
      <c r="V394" s="795">
        <v>1</v>
      </c>
      <c r="W394" s="795"/>
      <c r="X394" s="795"/>
      <c r="Y394" s="795"/>
      <c r="Z394" s="795"/>
      <c r="AA394" s="795"/>
      <c r="AB394" s="795"/>
      <c r="AC394" s="795"/>
      <c r="AD394" s="795"/>
      <c r="AE394" s="795"/>
      <c r="AF394" s="795"/>
      <c r="AG394" s="795"/>
      <c r="AH394" s="795"/>
      <c r="AI394" s="795">
        <v>2</v>
      </c>
      <c r="AJ394" s="795">
        <v>2</v>
      </c>
      <c r="AK394" s="795"/>
      <c r="AL394" s="795"/>
      <c r="AM394" s="795">
        <v>1</v>
      </c>
      <c r="AN394" s="795"/>
      <c r="AO394" s="835" t="s">
        <v>3380</v>
      </c>
      <c r="AP394" s="795">
        <v>14</v>
      </c>
      <c r="AQ394" s="795"/>
      <c r="AR394" s="800"/>
      <c r="AS394" s="795"/>
      <c r="AT394" s="795">
        <v>4</v>
      </c>
      <c r="AU394" s="795"/>
      <c r="AV394" s="795"/>
      <c r="AW394" s="795"/>
      <c r="AX394" s="794" t="s">
        <v>43</v>
      </c>
      <c r="AY394" s="799" t="s">
        <v>140</v>
      </c>
      <c r="AZ394" s="795"/>
      <c r="BA394" s="795"/>
      <c r="BB394" s="795">
        <v>2</v>
      </c>
      <c r="BC394" s="523"/>
      <c r="BD394" s="523"/>
      <c r="BE394" s="794"/>
      <c r="BF394" s="795">
        <v>8</v>
      </c>
      <c r="BG394" s="795"/>
      <c r="BH394" s="795"/>
      <c r="BI394" s="795">
        <v>4</v>
      </c>
      <c r="BJ394" s="795"/>
      <c r="BK394" s="795"/>
      <c r="BL394" s="720">
        <v>43</v>
      </c>
      <c r="BM394" s="720">
        <v>93</v>
      </c>
      <c r="BN394" s="720">
        <f>111+17</f>
        <v>128</v>
      </c>
      <c r="BO394" s="794" t="s">
        <v>139</v>
      </c>
      <c r="BP394" s="801"/>
      <c r="BQ394" s="800"/>
      <c r="BR394" s="836" t="s">
        <v>3382</v>
      </c>
      <c r="BS394" s="472">
        <v>1</v>
      </c>
      <c r="BT394" s="472">
        <v>1</v>
      </c>
      <c r="BU394" s="720">
        <v>527</v>
      </c>
      <c r="BV394" s="808">
        <v>1</v>
      </c>
      <c r="BW394" s="523"/>
      <c r="BX394" s="523"/>
      <c r="BY394" s="523"/>
      <c r="BZ394" s="802">
        <f>IFERROR(WWWW[[#This Row],['#_Water sources passed]]/WWWW[[#This Row],['#_Water sources tested for fecal coliform ]],"no test")</f>
        <v>1</v>
      </c>
      <c r="CA394" s="800" t="str">
        <f>IFERROR(WWWW[[#This Row],['#_Household passed]]/WWWW[[#This Row],['#_Household water samples tested for fecal coliform]],"no test")</f>
        <v>no test</v>
      </c>
      <c r="CB394" s="801" t="str">
        <f>IF(AND(WWWW[[#This Row],[% of water sources passed]]="no test",WWWW[[#This Row],[% Household passed]]="no test"),"No Test","Tested")</f>
        <v>Tested</v>
      </c>
      <c r="CC394" s="801">
        <f>WWWW[[#This Row],['#_Constructed/existing protected hand dug well]]-WWWW[[#This Row],['#_Non-functional protected hand dug well]]</f>
        <v>2</v>
      </c>
      <c r="CD394" s="801">
        <f>(WWWW[[#This Row],['#_Constructed/Existing tube wells/boreholes/handpumps_WASH_agency]]+WWWW[[#This Row],['#_Non-Cluster partner water tube-wells/boreholes/handpumps]])-WWWW[[#This Row],['#_Non-functional tube wells/boreholes/handpumps]]</f>
        <v>0</v>
      </c>
      <c r="CE394" s="801">
        <f>WWWW[[#This Row],['#_Constructed/Existingwater storage tank with gravity fed reticulation system]]-WWWW[[#This Row],['#_Non-functional storage tank gravity fed reticulation system]]</f>
        <v>0</v>
      </c>
      <c r="CF394" s="801">
        <f>(WWWW[[#This Row],['#_Water_Liters_supplied_by_Water boating or water trucking]]/90)/15</f>
        <v>0</v>
      </c>
      <c r="CG394" s="801">
        <f>WWWW[[#This Row],['#_Water_Liters_from_Constructed/Existing water distribution system from river or natural spring]]/90/15</f>
        <v>0</v>
      </c>
      <c r="CH394" s="473">
        <f>WWWW[[#This Row],['#_of water points in TLS/CFS /THF]]*500</f>
        <v>0</v>
      </c>
      <c r="CI394"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4"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0.94876660341555974</v>
      </c>
      <c r="CK394" s="800">
        <f>IF(WWWW[[#This Row],[Location Type 1]]="Village",WWWW[[#This Row],[Access to safe drinking water for Village]],WWWW[[#This Row],[Access to safe drinking water for Camp]])</f>
        <v>1</v>
      </c>
      <c r="CL394" s="798">
        <f>WWWW[[#This Row],[%Equitable and continuous access to sufficient quantity of safe drinking water]]*WWWW[[#This Row],[Total PoP ]]</f>
        <v>527</v>
      </c>
      <c r="CM394" s="800">
        <f>IF((WWWW[[#This Row],['#_Constructed/Existing protected/fenced ponds]]*250)/WWWW[[#This Row],[Total PoP ]]&gt;1,1,(WWWW[[#This Row],['#_Constructed/Existing protected/fenced ponds]]*250)/WWWW[[#This Row],[Total PoP ]])</f>
        <v>0</v>
      </c>
      <c r="CN394" s="798">
        <f>WWWW[[#This Row],[% Access to unimproved water points]]*WWWW[[#This Row],[Total PoP ]]</f>
        <v>0</v>
      </c>
      <c r="CO394"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4"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527</v>
      </c>
      <c r="CQ394" s="798">
        <f>WWWW[[#This Row],[HRP1]]/500</f>
        <v>1.054</v>
      </c>
      <c r="CR394" s="803">
        <f>1-WWWW[[#This Row],[% Equitable and continuous access to sufficient quantity of domestic water]]</f>
        <v>0</v>
      </c>
      <c r="CS394" s="798">
        <f>WWWW[[#This Row],[%equitable and continuous access to sufficient quantity of safe drinking and domestic water''s GAP]]*WWWW[[#This Row],[Total PoP ]]</f>
        <v>0</v>
      </c>
      <c r="CT394" s="801">
        <f>IF(WWWW[[#This Row],[Total required water points]]-WWWW[[#This Row],['#Water points coverage]]&lt;0,0,WWWW[[#This Row],[Total required water points]]-WWWW[[#This Row],['#Water points coverage]])</f>
        <v>0</v>
      </c>
      <c r="CU394" s="801">
        <f>ROUND(IF(WWWW[[#This Row],[Total PoP ]]&lt;500,1,WWWW[[#This Row],[Total PoP ]]/500),0)</f>
        <v>1</v>
      </c>
      <c r="CV394" s="801">
        <f>(WWWW[[#This Row],['#_Constructed latrines_by_WASHAgencies]]+WWWW[[#This Row],['#_Non Cluster partner latrines]])-WWWW[[#This Row],['#_Non-functional latrines]]</f>
        <v>14</v>
      </c>
      <c r="CW394" s="804">
        <f>WWWW[[#This Row],[HRP2]]/WWWW[[#This Row],[Total PoP ]]</f>
        <v>0.53130929791271342</v>
      </c>
      <c r="CX394"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394"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4"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41</v>
      </c>
      <c r="DA394" s="473">
        <f>IF(WWWW[[#This Row],['# of functional latrines in THF supported by WASH partners during the reporting period2]]="",0,WWWW[[#This Row],['# of functional latrines in THF supported by WASH partners during the reporting period2]]*50)</f>
        <v>0</v>
      </c>
      <c r="DB394" s="473">
        <f>WWWW[[#This Row],['# students access to functioning school latrines_HRP5]]+WWWW[[#This Row],['# People access to functioning latrines in THF_HRP5]]</f>
        <v>41</v>
      </c>
      <c r="DC394" s="801">
        <f>ROUND(IF(WWWW[[#This Row],[Location Type 1]]="camp",WWWW[[#This Row],[Total PoP ]]/20,IF(WWWW[[#This Row],[Location Type 1]]="Temporary Location",WWWW[[#This Row],[Total PoP ]]/50,(WWWW[[#This Row],[Total PoP ]]/6))),0)</f>
        <v>26</v>
      </c>
      <c r="DD394" s="801">
        <f>IF(WWWW[[#This Row],[Total required Latrines]]-(WWWW[[#This Row],['#_Constructed latrines_by_WASHAgencies]]+WWWW[[#This Row],['#_Non Cluster partner latrines]])&lt;0,0,WWWW[[#This Row],[Total required Latrines]]-(WWWW[[#This Row],['#_Constructed latrines_by_WASHAgencies]]+WWWW[[#This Row],['#_Non Cluster partner latrines]]))</f>
        <v>12</v>
      </c>
      <c r="DE394" s="803">
        <f>1-WWWW[[#This Row],[% people access to functioning Latrine]]</f>
        <v>0.46869070208728658</v>
      </c>
      <c r="DF394" s="802">
        <f>IF(OR(WWWW[[#This Row],['#_Non-functional latrines]]="",WWWW[[#This Row],['#_Non-functional latrines]]=0),0,WWWW[[#This Row],['#_Non-functional latrines]]/(WWWW[[#This Row],['#_Constructed latrines_by_WASHAgencies]]+WWWW[[#This Row],['#_Non Cluster partner latrines]]))</f>
        <v>0</v>
      </c>
      <c r="DG394" s="798">
        <f>IF(500*(WWWW[[#This Row],['#_male hygiene promoters]]+WWWW[[#This Row],['#_female hygiene promoters]])&gt;WWWW[[#This Row],[Total PoP ]],WWWW[[#This Row],[Total PoP ]],500*(WWWW[[#This Row],['#_male hygiene promoters]]+WWWW[[#This Row],['#_female hygiene promoters]]))</f>
        <v>527</v>
      </c>
      <c r="DH394"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465</v>
      </c>
      <c r="DI394"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128</v>
      </c>
      <c r="DJ394" s="801">
        <f>IF(WWWW[[#This Row],['# People with access to soap]]&gt;WWWW[[#This Row],['# People with access to Sanity Pads]],WWWW[[#This Row],['# People with access to soap]],WWWW[[#This Row],['# People with access to Sanity Pads]])</f>
        <v>465</v>
      </c>
      <c r="DK394" s="801">
        <f>IF(WWWW[[#This Row],['# people reached by regular dedicated hygiene promotion_5]]&gt;WWWW[[#This Row],['# People received regular supply of hygiene items_6]],WWWW[[#This Row],['# people reached by regular dedicated hygiene promotion_5]],WWWW[[#This Row],['# People received regular supply of hygiene items_6]])</f>
        <v>527</v>
      </c>
      <c r="DL394" s="803">
        <f>IF(WWWW[[#This Row],[HRP3]]/WWWW[[#This Row],[Total PoP ]]&gt;1,1,WWWW[[#This Row],[HRP3]]/WWWW[[#This Row],[Total PoP ]])</f>
        <v>1</v>
      </c>
      <c r="DM394" s="802">
        <f>1-WWWW[[#This Row],[Hygiene Coverage%]]</f>
        <v>0</v>
      </c>
      <c r="DN394" s="800">
        <f>WWWW[[#This Row],['# people reached by regular dedicated hygiene promotion_5]]/WWWW[[#This Row],[Total PoP ]]</f>
        <v>1</v>
      </c>
      <c r="DO394"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394"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Q394" s="801">
        <f>WWWW[[#This Row],['#_Constructed/Existing hand washing stations]]-WWWW[[#This Row],['#_Non-Functional_hand_washing_stations]]</f>
        <v>8</v>
      </c>
      <c r="DR394" s="798">
        <f>IF(WWWW[[#This Row],['# Functional hand washing stations during reporting period]]*20&gt;WWWW[[#This Row],[Total HH]],WWWW[[#This Row],[Total HH]],WWWW[[#This Row],['# Functional hand washing stations during reporting period]]*20)</f>
        <v>97</v>
      </c>
      <c r="DS394" s="798">
        <f>IF(WWWW[[#This Row],[Is sufficient soap available for TLS? (Yes/No)]]="yes",WWWW[[#This Row],['#_Constructed/Existing hand washing stations at TLS]],0)</f>
        <v>0</v>
      </c>
      <c r="DT394" s="479">
        <f>IF(WWWW[[#This Row],['# Functional hand washing stations during reporting period]]*100&gt;WWWW[[#This Row],[Total PoP ]],WWWW[[#This Row],[Total PoP ]],WWWW[[#This Row],['# Functional hand washing stations during reporting period]]*100)</f>
        <v>527</v>
      </c>
      <c r="DU394" s="479" t="str">
        <f>IF(OR(WWWW[[#This Row],['#_students at TLS_CFS]]="",WWWW[[#This Row],['#_students at TLS_CFS]]=0),"No","Yes")</f>
        <v>Yes</v>
      </c>
      <c r="DV394"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41</v>
      </c>
      <c r="DY394" s="794" t="str">
        <f>VLOOKUP(WWWW[[#This Row],[Site Name]],SiteDB6[[Site Name]:[CCCM Management]],6,FALSE)</f>
        <v>Yes</v>
      </c>
      <c r="DZ394" s="794" t="str">
        <f>VLOOKUP(WWWW[[#This Row],[Site Name]],SiteDB6[[Site Name]:[CCCM Focal Agency]],7,FALSE)</f>
        <v>KBC-BMO</v>
      </c>
      <c r="EA394" s="794" t="str">
        <f>VLOOKUP(WWWW[[#This Row],[Site Name]],SiteDB6[[Site Name]:[Location Type 1]],9,FALSE)</f>
        <v>Camp</v>
      </c>
      <c r="EB394" s="794" t="str">
        <f>VLOOKUP(WWWW[[#This Row],[Site Name]],SiteDB6[[Site Name]:[Type of Accommodation]],10,FALSE)</f>
        <v>Camp</v>
      </c>
      <c r="EC394" s="794" t="str">
        <f>VLOOKUP(WWWW[[#This Row],[Site Name]],SiteDB6[[Site Name]:[Ethnic or GCA/NGCA]],11,FALSE)</f>
        <v>GCA</v>
      </c>
      <c r="ED394" s="794">
        <f>VLOOKUP(WWWW[[#This Row],[Site Name]],SiteDB6[[Site Name]:[Lat]],12,FALSE)</f>
        <v>24.250689999999999</v>
      </c>
      <c r="EE394" s="794">
        <f>VLOOKUP(WWWW[[#This Row],[Site Name]],SiteDB6[[Site Name]:[Long]],13,FALSE)</f>
        <v>97.344359999999995</v>
      </c>
      <c r="EF394" s="794" t="str">
        <f>VLOOKUP(WWWW[[#This Row],[Site Name]],SiteDB6[[Site Name]:[Pcode]],3,FALSE)</f>
        <v>MMR001CMP056</v>
      </c>
      <c r="EG394" s="799" t="str">
        <f t="shared" si="10"/>
        <v>Covered</v>
      </c>
      <c r="EH394" s="799" t="str">
        <f>VLOOKUP(WWWW[[#This Row],[Site Name]],Site_DB!$C$389:$D$1120,2,FALSE)</f>
        <v>cccm_2019OCT</v>
      </c>
    </row>
    <row r="395" spans="1:138" hidden="1">
      <c r="A395" s="792" t="s">
        <v>3262</v>
      </c>
      <c r="B395" s="792" t="s">
        <v>279</v>
      </c>
      <c r="C395" s="793" t="s">
        <v>279</v>
      </c>
      <c r="D395" s="793" t="s">
        <v>3370</v>
      </c>
      <c r="E395" s="793" t="s">
        <v>39</v>
      </c>
      <c r="F395" s="793" t="s">
        <v>208</v>
      </c>
      <c r="G395" s="721" t="str">
        <f>VLOOKUP(WWWW[[#This Row],[Site Name]],SiteDB6[[Site Name]:[Location Type]],8,FALSE)</f>
        <v>Camp</v>
      </c>
      <c r="H395" s="404" t="s">
        <v>287</v>
      </c>
      <c r="I395" s="795">
        <v>47</v>
      </c>
      <c r="J395" s="795">
        <v>294</v>
      </c>
      <c r="K395" s="796">
        <v>43833</v>
      </c>
      <c r="L395" s="797">
        <v>44377</v>
      </c>
      <c r="M395" s="795"/>
      <c r="N395" s="795">
        <v>0</v>
      </c>
      <c r="O395" s="795">
        <v>1</v>
      </c>
      <c r="P395" s="795">
        <v>30</v>
      </c>
      <c r="Q395" s="798" t="s">
        <v>43</v>
      </c>
      <c r="R395" s="795">
        <v>3</v>
      </c>
      <c r="S395" s="795">
        <v>9</v>
      </c>
      <c r="T395" s="523">
        <v>3</v>
      </c>
      <c r="U395" s="795"/>
      <c r="V395" s="795"/>
      <c r="W395" s="795">
        <v>1</v>
      </c>
      <c r="X395" s="795">
        <v>0</v>
      </c>
      <c r="Y395" s="795"/>
      <c r="Z395" s="795"/>
      <c r="AA395" s="795"/>
      <c r="AB395" s="795"/>
      <c r="AC395" s="795"/>
      <c r="AD395" s="795"/>
      <c r="AE395" s="795"/>
      <c r="AF395" s="795"/>
      <c r="AG395" s="795">
        <v>1</v>
      </c>
      <c r="AH395" s="795"/>
      <c r="AI395" s="795">
        <v>2</v>
      </c>
      <c r="AJ395" s="795">
        <v>2</v>
      </c>
      <c r="AK395" s="795">
        <v>3</v>
      </c>
      <c r="AL395" s="795">
        <v>3</v>
      </c>
      <c r="AM395" s="795">
        <v>7</v>
      </c>
      <c r="AN395" s="795"/>
      <c r="AO395" s="799"/>
      <c r="AP395" s="795">
        <v>18</v>
      </c>
      <c r="AQ395" s="795"/>
      <c r="AR395" s="800"/>
      <c r="AS395" s="795"/>
      <c r="AT395" s="795"/>
      <c r="AU395" s="795">
        <v>1</v>
      </c>
      <c r="AV395" s="795">
        <v>1815</v>
      </c>
      <c r="AW395" s="795"/>
      <c r="AX395" s="794" t="s">
        <v>43</v>
      </c>
      <c r="AY395" s="799" t="s">
        <v>140</v>
      </c>
      <c r="AZ395" s="795">
        <v>0</v>
      </c>
      <c r="BA395" s="795">
        <v>0</v>
      </c>
      <c r="BB395" s="795"/>
      <c r="BC395" s="523"/>
      <c r="BD395" s="523"/>
      <c r="BE395" s="794" t="s">
        <v>3371</v>
      </c>
      <c r="BF395" s="795">
        <v>7</v>
      </c>
      <c r="BG395" s="795"/>
      <c r="BH395" s="795"/>
      <c r="BI395" s="795">
        <v>2</v>
      </c>
      <c r="BJ395" s="795"/>
      <c r="BK395" s="795">
        <v>0</v>
      </c>
      <c r="BL395" s="795">
        <v>1</v>
      </c>
      <c r="BM395" s="795"/>
      <c r="BN395" s="795"/>
      <c r="BO395" s="794"/>
      <c r="BP395" s="801"/>
      <c r="BQ395" s="800"/>
      <c r="BR395" s="794"/>
      <c r="BS395" s="472"/>
      <c r="BT395" s="472"/>
      <c r="BU395" s="474"/>
      <c r="BV395" s="472"/>
      <c r="BW395" s="523"/>
      <c r="BX395" s="523"/>
      <c r="BY395" s="523"/>
      <c r="BZ395" s="802">
        <f>IFERROR(WWWW[[#This Row],['#_Water sources passed]]/WWWW[[#This Row],['#_Water sources tested for fecal coliform ]],"no test")</f>
        <v>1</v>
      </c>
      <c r="CA395" s="800">
        <f>IFERROR(WWWW[[#This Row],['#_Household passed]]/WWWW[[#This Row],['#_Household water samples tested for fecal coliform]],"no test")</f>
        <v>1</v>
      </c>
      <c r="CB395" s="801" t="str">
        <f>IF(AND(WWWW[[#This Row],[% of water sources passed]]="no test",WWWW[[#This Row],[% Household passed]]="no test"),"No Test","Tested")</f>
        <v>Tested</v>
      </c>
      <c r="CC395" s="801">
        <f>WWWW[[#This Row],['#_Constructed/existing protected hand dug well]]-WWWW[[#This Row],['#_Non-functional protected hand dug well]]</f>
        <v>3</v>
      </c>
      <c r="CD395" s="801">
        <f>(WWWW[[#This Row],['#_Constructed/Existing tube wells/boreholes/handpumps_WASH_agency]]+WWWW[[#This Row],['#_Non-Cluster partner water tube-wells/boreholes/handpumps]])-WWWW[[#This Row],['#_Non-functional tube wells/boreholes/handpumps]]</f>
        <v>1</v>
      </c>
      <c r="CE395" s="801">
        <f>WWWW[[#This Row],['#_Constructed/Existingwater storage tank with gravity fed reticulation system]]-WWWW[[#This Row],['#_Non-functional storage tank gravity fed reticulation system]]</f>
        <v>0</v>
      </c>
      <c r="CF395" s="801">
        <f>(WWWW[[#This Row],['#_Water_Liters_supplied_by_Water boating or water trucking]]/90)/15</f>
        <v>0</v>
      </c>
      <c r="CG395" s="801">
        <f>WWWW[[#This Row],['#_Water_Liters_from_Constructed/Existing water distribution system from river or natural spring]]/90/15</f>
        <v>0</v>
      </c>
      <c r="CH395" s="473">
        <f>WWWW[[#This Row],['#_of water points in TLS/CFS /THF]]*500</f>
        <v>0</v>
      </c>
      <c r="CI395"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5"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5" s="800">
        <f>IF(WWWW[[#This Row],[Location Type 1]]="Village",WWWW[[#This Row],[Access to safe drinking water for Village]],WWWW[[#This Row],[Access to safe drinking water for Camp]])</f>
        <v>1</v>
      </c>
      <c r="CL395" s="798">
        <f>WWWW[[#This Row],[%Equitable and continuous access to sufficient quantity of safe drinking water]]*WWWW[[#This Row],[Total PoP ]]</f>
        <v>294</v>
      </c>
      <c r="CM395" s="800">
        <f>IF((WWWW[[#This Row],['#_Constructed/Existing protected/fenced ponds]]*250)/WWWW[[#This Row],[Total PoP ]]&gt;1,1,(WWWW[[#This Row],['#_Constructed/Existing protected/fenced ponds]]*250)/WWWW[[#This Row],[Total PoP ]])</f>
        <v>0</v>
      </c>
      <c r="CN395" s="798">
        <f>WWWW[[#This Row],[% Access to unimproved water points]]*WWWW[[#This Row],[Total PoP ]]</f>
        <v>0</v>
      </c>
      <c r="CO395"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5"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294</v>
      </c>
      <c r="CQ395" s="798">
        <f>WWWW[[#This Row],[HRP1]]/500</f>
        <v>0.58799999999999997</v>
      </c>
      <c r="CR395" s="803">
        <f>1-WWWW[[#This Row],[% Equitable and continuous access to sufficient quantity of domestic water]]</f>
        <v>0</v>
      </c>
      <c r="CS395" s="798">
        <f>WWWW[[#This Row],[%equitable and continuous access to sufficient quantity of safe drinking and domestic water''s GAP]]*WWWW[[#This Row],[Total PoP ]]</f>
        <v>0</v>
      </c>
      <c r="CT395" s="801">
        <f>IF(WWWW[[#This Row],[Total required water points]]-WWWW[[#This Row],['#Water points coverage]]&lt;0,0,WWWW[[#This Row],[Total required water points]]-WWWW[[#This Row],['#Water points coverage]])</f>
        <v>0.41200000000000003</v>
      </c>
      <c r="CU395" s="801">
        <f>ROUND(IF(WWWW[[#This Row],[Total PoP ]]&lt;500,1,WWWW[[#This Row],[Total PoP ]]/500),0)</f>
        <v>1</v>
      </c>
      <c r="CV395" s="801">
        <f>(WWWW[[#This Row],['#_Constructed latrines_by_WASHAgencies]]+WWWW[[#This Row],['#_Non Cluster partner latrines]])-WWWW[[#This Row],['#_Non-functional latrines]]</f>
        <v>18</v>
      </c>
      <c r="CW395" s="804">
        <f>WWWW[[#This Row],[HRP2]]/WWWW[[#This Row],[Total PoP ]]</f>
        <v>1</v>
      </c>
      <c r="CX395"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294</v>
      </c>
      <c r="CY395"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CZ395"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5" s="473">
        <f>IF(WWWW[[#This Row],['# of functional latrines in THF supported by WASH partners during the reporting period2]]="",0,WWWW[[#This Row],['# of functional latrines in THF supported by WASH partners during the reporting period2]]*50)</f>
        <v>0</v>
      </c>
      <c r="DB395" s="473">
        <f>WWWW[[#This Row],['# students access to functioning school latrines_HRP5]]+WWWW[[#This Row],['# People access to functioning latrines in THF_HRP5]]</f>
        <v>0</v>
      </c>
      <c r="DC395" s="801">
        <f>ROUND(IF(WWWW[[#This Row],[Location Type 1]]="camp",WWWW[[#This Row],[Total PoP ]]/20,IF(WWWW[[#This Row],[Location Type 1]]="Temporary Location",WWWW[[#This Row],[Total PoP ]]/50,(WWWW[[#This Row],[Total PoP ]]/6))),0)</f>
        <v>15</v>
      </c>
      <c r="DD395" s="801">
        <f>IF(WWWW[[#This Row],[Total required Latrines]]-(WWWW[[#This Row],['#_Constructed latrines_by_WASHAgencies]]+WWWW[[#This Row],['#_Non Cluster partner latrines]])&lt;0,0,WWWW[[#This Row],[Total required Latrines]]-(WWWW[[#This Row],['#_Constructed latrines_by_WASHAgencies]]+WWWW[[#This Row],['#_Non Cluster partner latrines]]))</f>
        <v>0</v>
      </c>
      <c r="DE395" s="803">
        <f>1-WWWW[[#This Row],[% people access to functioning Latrine]]</f>
        <v>0</v>
      </c>
      <c r="DF395" s="802">
        <f>IF(OR(WWWW[[#This Row],['#_Non-functional latrines]]="",WWWW[[#This Row],['#_Non-functional latrines]]=0),0,WWWW[[#This Row],['#_Non-functional latrines]]/(WWWW[[#This Row],['#_Constructed latrines_by_WASHAgencies]]+WWWW[[#This Row],['#_Non Cluster partner latrines]]))</f>
        <v>0</v>
      </c>
      <c r="DG395" s="798">
        <f>IF(500*(WWWW[[#This Row],['#_male hygiene promoters]]+WWWW[[#This Row],['#_female hygiene promoters]])&gt;WWWW[[#This Row],[Total PoP ]],WWWW[[#This Row],[Total PoP ]],500*(WWWW[[#This Row],['#_male hygiene promoters]]+WWWW[[#This Row],['#_female hygiene promoters]]))</f>
        <v>294</v>
      </c>
      <c r="DH395"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5"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5" s="801">
        <f>IF(WWWW[[#This Row],['# People with access to soap]]&gt;WWWW[[#This Row],['# People with access to Sanity Pads]],WWWW[[#This Row],['# People with access to soap]],WWWW[[#This Row],['# People with access to Sanity Pads]])</f>
        <v>0</v>
      </c>
      <c r="DK395" s="801">
        <f>IF(WWWW[[#This Row],['# people reached by regular dedicated hygiene promotion_5]]&gt;WWWW[[#This Row],['# People received regular supply of hygiene items_6]],WWWW[[#This Row],['# people reached by regular dedicated hygiene promotion_5]],WWWW[[#This Row],['# People received regular supply of hygiene items_6]])</f>
        <v>294</v>
      </c>
      <c r="DL395" s="803">
        <f>IF(WWWW[[#This Row],[HRP3]]/WWWW[[#This Row],[Total PoP ]]&gt;1,1,WWWW[[#This Row],[HRP3]]/WWWW[[#This Row],[Total PoP ]])</f>
        <v>1</v>
      </c>
      <c r="DM395" s="802">
        <f>1-WWWW[[#This Row],[Hygiene Coverage%]]</f>
        <v>0</v>
      </c>
      <c r="DN395" s="800">
        <f>WWWW[[#This Row],['# people reached by regular dedicated hygiene promotion_5]]/WWWW[[#This Row],[Total PoP ]]</f>
        <v>1</v>
      </c>
      <c r="DO395"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5"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5" s="801">
        <f>WWWW[[#This Row],['#_Constructed/Existing hand washing stations]]-WWWW[[#This Row],['#_Non-Functional_hand_washing_stations]]</f>
        <v>7</v>
      </c>
      <c r="DR395" s="798">
        <f>IF(WWWW[[#This Row],['# Functional hand washing stations during reporting period]]*20&gt;WWWW[[#This Row],[Total HH]],WWWW[[#This Row],[Total HH]],WWWW[[#This Row],['# Functional hand washing stations during reporting period]]*20)</f>
        <v>47</v>
      </c>
      <c r="DS395" s="798">
        <f>IF(WWWW[[#This Row],[Is sufficient soap available for TLS? (Yes/No)]]="yes",WWWW[[#This Row],['#_Constructed/Existing hand washing stations at TLS]],0)</f>
        <v>0</v>
      </c>
      <c r="DT395" s="479">
        <f>IF(WWWW[[#This Row],['# Functional hand washing stations during reporting period]]*100&gt;WWWW[[#This Row],[Total PoP ]],WWWW[[#This Row],[Total PoP ]],WWWW[[#This Row],['# Functional hand washing stations during reporting period]]*100)</f>
        <v>294</v>
      </c>
      <c r="DU395" s="479" t="str">
        <f>IF(OR(WWWW[[#This Row],['#_students at TLS_CFS]]="",WWWW[[#This Row],['#_students at TLS_CFS]]=0),"No","Yes")</f>
        <v>No</v>
      </c>
      <c r="DV39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5" s="794" t="str">
        <f>VLOOKUP(WWWW[[#This Row],[Site Name]],SiteDB6[[Site Name]:[CCCM Management]],6,FALSE)</f>
        <v>Yes</v>
      </c>
      <c r="DZ395" s="794" t="str">
        <f>VLOOKUP(WWWW[[#This Row],[Site Name]],SiteDB6[[Site Name]:[CCCM Focal Agency]],7,FALSE)</f>
        <v>KBC-BMO</v>
      </c>
      <c r="EA395" s="794" t="str">
        <f>VLOOKUP(WWWW[[#This Row],[Site Name]],SiteDB6[[Site Name]:[Location Type 1]],9,FALSE)</f>
        <v>Camp</v>
      </c>
      <c r="EB395" s="794" t="str">
        <f>VLOOKUP(WWWW[[#This Row],[Site Name]],SiteDB6[[Site Name]:[Type of Accommodation]],10,FALSE)</f>
        <v>Camp</v>
      </c>
      <c r="EC395" s="794" t="str">
        <f>VLOOKUP(WWWW[[#This Row],[Site Name]],SiteDB6[[Site Name]:[Ethnic or GCA/NGCA]],11,FALSE)</f>
        <v>GCA</v>
      </c>
      <c r="ED395" s="794">
        <f>VLOOKUP(WWWW[[#This Row],[Site Name]],SiteDB6[[Site Name]:[Lat]],12,FALSE)</f>
        <v>24.205417000000001</v>
      </c>
      <c r="EE395" s="794">
        <f>VLOOKUP(WWWW[[#This Row],[Site Name]],SiteDB6[[Site Name]:[Long]],13,FALSE)</f>
        <v>97.724483000000006</v>
      </c>
      <c r="EF395" s="794" t="str">
        <f>VLOOKUP(WWWW[[#This Row],[Site Name]],SiteDB6[[Site Name]:[Pcode]],3,FALSE)</f>
        <v>MMR001CMP072</v>
      </c>
      <c r="EG395" s="799" t="str">
        <f t="shared" si="10"/>
        <v>Covered</v>
      </c>
      <c r="EH395" s="799" t="str">
        <f>VLOOKUP(WWWW[[#This Row],[Site Name]],Site_DB!$C$389:$D$1120,2,FALSE)</f>
        <v>cccm_2019OCT</v>
      </c>
    </row>
    <row r="396" spans="1:138" ht="52" hidden="1">
      <c r="A396" s="792" t="s">
        <v>3262</v>
      </c>
      <c r="B396" s="793" t="s">
        <v>3378</v>
      </c>
      <c r="C396" s="793" t="s">
        <v>3378</v>
      </c>
      <c r="D396" s="793" t="s">
        <v>3379</v>
      </c>
      <c r="E396" s="793" t="s">
        <v>39</v>
      </c>
      <c r="F396" s="793" t="s">
        <v>198</v>
      </c>
      <c r="G396" s="721" t="str">
        <f>VLOOKUP(WWWW[[#This Row],[Site Name]],SiteDB6[[Site Name]:[Location Type]],8,FALSE)</f>
        <v>Camp</v>
      </c>
      <c r="H396" s="793" t="s">
        <v>282</v>
      </c>
      <c r="I396" s="795">
        <v>100</v>
      </c>
      <c r="J396" s="795">
        <v>514</v>
      </c>
      <c r="K396" s="407" t="s">
        <v>3621</v>
      </c>
      <c r="L396" s="56" t="s">
        <v>3622</v>
      </c>
      <c r="M396" s="795">
        <v>114</v>
      </c>
      <c r="N396" s="795"/>
      <c r="O396" s="795">
        <v>7</v>
      </c>
      <c r="P396" s="795"/>
      <c r="Q396" s="798" t="s">
        <v>43</v>
      </c>
      <c r="R396" s="795">
        <v>8</v>
      </c>
      <c r="S396" s="795">
        <v>15</v>
      </c>
      <c r="T396" s="523">
        <v>1</v>
      </c>
      <c r="U396" s="795"/>
      <c r="V396" s="795"/>
      <c r="W396" s="795">
        <v>3</v>
      </c>
      <c r="X396" s="795">
        <v>0</v>
      </c>
      <c r="Y396" s="795"/>
      <c r="Z396" s="795"/>
      <c r="AA396" s="795"/>
      <c r="AB396" s="795"/>
      <c r="AC396" s="795"/>
      <c r="AD396" s="795"/>
      <c r="AE396" s="795"/>
      <c r="AF396" s="795"/>
      <c r="AG396" s="795">
        <v>3</v>
      </c>
      <c r="AH396" s="795"/>
      <c r="AI396" s="795">
        <v>4</v>
      </c>
      <c r="AJ396" s="795">
        <v>4</v>
      </c>
      <c r="AK396" s="795">
        <v>18</v>
      </c>
      <c r="AL396" s="795">
        <v>18</v>
      </c>
      <c r="AM396" s="795">
        <v>14</v>
      </c>
      <c r="AN396" s="795"/>
      <c r="AO396" s="835" t="s">
        <v>3380</v>
      </c>
      <c r="AP396" s="795">
        <v>48</v>
      </c>
      <c r="AQ396" s="795"/>
      <c r="AR396" s="800"/>
      <c r="AS396" s="795"/>
      <c r="AT396" s="795"/>
      <c r="AU396" s="795">
        <v>19</v>
      </c>
      <c r="AV396" s="795">
        <v>6160</v>
      </c>
      <c r="AW396" s="795"/>
      <c r="AX396" s="794" t="s">
        <v>43</v>
      </c>
      <c r="AY396" s="799" t="s">
        <v>140</v>
      </c>
      <c r="AZ396" s="795">
        <v>0</v>
      </c>
      <c r="BA396" s="795">
        <v>0</v>
      </c>
      <c r="BB396" s="795">
        <v>2</v>
      </c>
      <c r="BC396" s="523"/>
      <c r="BD396" s="523"/>
      <c r="BE396" s="794" t="s">
        <v>3371</v>
      </c>
      <c r="BF396" s="795">
        <v>12</v>
      </c>
      <c r="BG396" s="795"/>
      <c r="BH396" s="795"/>
      <c r="BI396" s="795">
        <v>3</v>
      </c>
      <c r="BJ396" s="795"/>
      <c r="BK396" s="795">
        <v>0</v>
      </c>
      <c r="BL396" s="795">
        <v>5</v>
      </c>
      <c r="BM396" s="795"/>
      <c r="BN396" s="795"/>
      <c r="BO396" s="794" t="s">
        <v>139</v>
      </c>
      <c r="BP396" s="801"/>
      <c r="BQ396" s="800"/>
      <c r="BR396" s="836" t="s">
        <v>3382</v>
      </c>
      <c r="BS396" s="808">
        <v>1</v>
      </c>
      <c r="BT396" s="808">
        <v>1</v>
      </c>
      <c r="BU396" s="474">
        <v>514</v>
      </c>
      <c r="BV396" s="808">
        <v>1</v>
      </c>
      <c r="BW396" s="523"/>
      <c r="BX396" s="523"/>
      <c r="BY396" s="523"/>
      <c r="BZ396" s="802">
        <f>IFERROR(WWWW[[#This Row],['#_Water sources passed]]/WWWW[[#This Row],['#_Water sources tested for fecal coliform ]],"no test")</f>
        <v>1</v>
      </c>
      <c r="CA396" s="800">
        <f>IFERROR(WWWW[[#This Row],['#_Household passed]]/WWWW[[#This Row],['#_Household water samples tested for fecal coliform]],"no test")</f>
        <v>1</v>
      </c>
      <c r="CB396" s="801" t="str">
        <f>IF(AND(WWWW[[#This Row],[% of water sources passed]]="no test",WWWW[[#This Row],[% Household passed]]="no test"),"No Test","Tested")</f>
        <v>Tested</v>
      </c>
      <c r="CC396" s="801">
        <f>WWWW[[#This Row],['#_Constructed/existing protected hand dug well]]-WWWW[[#This Row],['#_Non-functional protected hand dug well]]</f>
        <v>1</v>
      </c>
      <c r="CD396" s="801">
        <f>(WWWW[[#This Row],['#_Constructed/Existing tube wells/boreholes/handpumps_WASH_agency]]+WWWW[[#This Row],['#_Non-Cluster partner water tube-wells/boreholes/handpumps]])-WWWW[[#This Row],['#_Non-functional tube wells/boreholes/handpumps]]</f>
        <v>3</v>
      </c>
      <c r="CE396" s="801">
        <f>WWWW[[#This Row],['#_Constructed/Existingwater storage tank with gravity fed reticulation system]]-WWWW[[#This Row],['#_Non-functional storage tank gravity fed reticulation system]]</f>
        <v>0</v>
      </c>
      <c r="CF396" s="801">
        <f>(WWWW[[#This Row],['#_Water_Liters_supplied_by_Water boating or water trucking]]/90)/15</f>
        <v>0</v>
      </c>
      <c r="CG396" s="801">
        <f>WWWW[[#This Row],['#_Water_Liters_from_Constructed/Existing water distribution system from river or natural spring]]/90/15</f>
        <v>0</v>
      </c>
      <c r="CH396" s="473">
        <f>WWWW[[#This Row],['#_of water points in TLS/CFS /THF]]*500</f>
        <v>0</v>
      </c>
      <c r="CI396"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6"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6" s="800">
        <f>IF(WWWW[[#This Row],[Location Type 1]]="Village",WWWW[[#This Row],[Access to safe drinking water for Village]],WWWW[[#This Row],[Access to safe drinking water for Camp]])</f>
        <v>1</v>
      </c>
      <c r="CL396" s="798">
        <f>WWWW[[#This Row],[%Equitable and continuous access to sufficient quantity of safe drinking water]]*WWWW[[#This Row],[Total PoP ]]</f>
        <v>514</v>
      </c>
      <c r="CM396" s="800">
        <f>IF((WWWW[[#This Row],['#_Constructed/Existing protected/fenced ponds]]*250)/WWWW[[#This Row],[Total PoP ]]&gt;1,1,(WWWW[[#This Row],['#_Constructed/Existing protected/fenced ponds]]*250)/WWWW[[#This Row],[Total PoP ]])</f>
        <v>0</v>
      </c>
      <c r="CN396" s="798">
        <f>WWWW[[#This Row],[% Access to unimproved water points]]*WWWW[[#This Row],[Total PoP ]]</f>
        <v>0</v>
      </c>
      <c r="CO396"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6"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CQ396" s="798">
        <f>WWWW[[#This Row],[HRP1]]/500</f>
        <v>1.028</v>
      </c>
      <c r="CR396" s="803">
        <f>1-WWWW[[#This Row],[% Equitable and continuous access to sufficient quantity of domestic water]]</f>
        <v>0</v>
      </c>
      <c r="CS396" s="798">
        <f>WWWW[[#This Row],[%equitable and continuous access to sufficient quantity of safe drinking and domestic water''s GAP]]*WWWW[[#This Row],[Total PoP ]]</f>
        <v>0</v>
      </c>
      <c r="CT396" s="801">
        <f>IF(WWWW[[#This Row],[Total required water points]]-WWWW[[#This Row],['#Water points coverage]]&lt;0,0,WWWW[[#This Row],[Total required water points]]-WWWW[[#This Row],['#Water points coverage]])</f>
        <v>0</v>
      </c>
      <c r="CU396" s="801">
        <f>ROUND(IF(WWWW[[#This Row],[Total PoP ]]&lt;500,1,WWWW[[#This Row],[Total PoP ]]/500),0)</f>
        <v>1</v>
      </c>
      <c r="CV396" s="801">
        <f>(WWWW[[#This Row],['#_Constructed latrines_by_WASHAgencies]]+WWWW[[#This Row],['#_Non Cluster partner latrines]])-WWWW[[#This Row],['#_Non-functional latrines]]</f>
        <v>48</v>
      </c>
      <c r="CW396" s="804">
        <f>WWWW[[#This Row],[HRP2]]/WWWW[[#This Row],[Total PoP ]]</f>
        <v>1</v>
      </c>
      <c r="CX396"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514</v>
      </c>
      <c r="CY396"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CZ396"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396" s="473">
        <f>IF(WWWW[[#This Row],['# of functional latrines in THF supported by WASH partners during the reporting period2]]="",0,WWWW[[#This Row],['# of functional latrines in THF supported by WASH partners during the reporting period2]]*50)</f>
        <v>0</v>
      </c>
      <c r="DB396" s="473">
        <f>WWWW[[#This Row],['# students access to functioning school latrines_HRP5]]+WWWW[[#This Row],['# People access to functioning latrines in THF_HRP5]]</f>
        <v>100</v>
      </c>
      <c r="DC396" s="801">
        <f>ROUND(IF(WWWW[[#This Row],[Location Type 1]]="camp",WWWW[[#This Row],[Total PoP ]]/20,IF(WWWW[[#This Row],[Location Type 1]]="Temporary Location",WWWW[[#This Row],[Total PoP ]]/50,(WWWW[[#This Row],[Total PoP ]]/6))),0)</f>
        <v>26</v>
      </c>
      <c r="DD396" s="801">
        <f>IF(WWWW[[#This Row],[Total required Latrines]]-(WWWW[[#This Row],['#_Constructed latrines_by_WASHAgencies]]+WWWW[[#This Row],['#_Non Cluster partner latrines]])&lt;0,0,WWWW[[#This Row],[Total required Latrines]]-(WWWW[[#This Row],['#_Constructed latrines_by_WASHAgencies]]+WWWW[[#This Row],['#_Non Cluster partner latrines]]))</f>
        <v>0</v>
      </c>
      <c r="DE396" s="803">
        <f>1-WWWW[[#This Row],[% people access to functioning Latrine]]</f>
        <v>0</v>
      </c>
      <c r="DF396" s="802">
        <f>IF(OR(WWWW[[#This Row],['#_Non-functional latrines]]="",WWWW[[#This Row],['#_Non-functional latrines]]=0),0,WWWW[[#This Row],['#_Non-functional latrines]]/(WWWW[[#This Row],['#_Constructed latrines_by_WASHAgencies]]+WWWW[[#This Row],['#_Non Cluster partner latrines]]))</f>
        <v>0</v>
      </c>
      <c r="DG396" s="798">
        <f>IF(500*(WWWW[[#This Row],['#_male hygiene promoters]]+WWWW[[#This Row],['#_female hygiene promoters]])&gt;WWWW[[#This Row],[Total PoP ]],WWWW[[#This Row],[Total PoP ]],500*(WWWW[[#This Row],['#_male hygiene promoters]]+WWWW[[#This Row],['#_female hygiene promoters]]))</f>
        <v>514</v>
      </c>
      <c r="DH396"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6"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6" s="801">
        <f>IF(WWWW[[#This Row],['# People with access to soap]]&gt;WWWW[[#This Row],['# People with access to Sanity Pads]],WWWW[[#This Row],['# People with access to soap]],WWWW[[#This Row],['# People with access to Sanity Pads]])</f>
        <v>0</v>
      </c>
      <c r="DK396" s="801">
        <f>IF(WWWW[[#This Row],['# people reached by regular dedicated hygiene promotion_5]]&gt;WWWW[[#This Row],['# People received regular supply of hygiene items_6]],WWWW[[#This Row],['# people reached by regular dedicated hygiene promotion_5]],WWWW[[#This Row],['# People received regular supply of hygiene items_6]])</f>
        <v>514</v>
      </c>
      <c r="DL396" s="803">
        <f>IF(WWWW[[#This Row],[HRP3]]/WWWW[[#This Row],[Total PoP ]]&gt;1,1,WWWW[[#This Row],[HRP3]]/WWWW[[#This Row],[Total PoP ]])</f>
        <v>1</v>
      </c>
      <c r="DM396" s="802">
        <f>1-WWWW[[#This Row],[Hygiene Coverage%]]</f>
        <v>0</v>
      </c>
      <c r="DN396" s="800">
        <f>WWWW[[#This Row],['# people reached by regular dedicated hygiene promotion_5]]/WWWW[[#This Row],[Total PoP ]]</f>
        <v>1</v>
      </c>
      <c r="DO396"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6"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6" s="801">
        <f>WWWW[[#This Row],['#_Constructed/Existing hand washing stations]]-WWWW[[#This Row],['#_Non-Functional_hand_washing_stations]]</f>
        <v>12</v>
      </c>
      <c r="DR396" s="798">
        <f>IF(WWWW[[#This Row],['# Functional hand washing stations during reporting period]]*20&gt;WWWW[[#This Row],[Total HH]],WWWW[[#This Row],[Total HH]],WWWW[[#This Row],['# Functional hand washing stations during reporting period]]*20)</f>
        <v>100</v>
      </c>
      <c r="DS396" s="798">
        <f>IF(WWWW[[#This Row],[Is sufficient soap available for TLS? (Yes/No)]]="yes",WWWW[[#This Row],['#_Constructed/Existing hand washing stations at TLS]],0)</f>
        <v>0</v>
      </c>
      <c r="DT396" s="479">
        <f>IF(WWWW[[#This Row],['# Functional hand washing stations during reporting period]]*100&gt;WWWW[[#This Row],[Total PoP ]],WWWW[[#This Row],[Total PoP ]],WWWW[[#This Row],['# Functional hand washing stations during reporting period]]*100)</f>
        <v>514</v>
      </c>
      <c r="DU396" s="479" t="str">
        <f>IF(OR(WWWW[[#This Row],['#_students at TLS_CFS]]="",WWWW[[#This Row],['#_students at TLS_CFS]]=0),"No","Yes")</f>
        <v>Yes</v>
      </c>
      <c r="DV396" s="804">
        <f>IF(WWWW[[#This Row],['#_of_affected_people_surveyed_who_report_feeling_informed_about_the_different_WASH_services_available_to_them]]="","",WWWW[[#This Row],['#_of_affected_people_surveyed_who_report_feeling_informed_about_the_different_WASH_services_available_to_them]]/WWWW[[#This Row],[Total PoP ]])</f>
        <v>1</v>
      </c>
      <c r="DW3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v>
      </c>
      <c r="DY396" s="794" t="str">
        <f>VLOOKUP(WWWW[[#This Row],[Site Name]],SiteDB6[[Site Name]:[CCCM Management]],6,FALSE)</f>
        <v>Yes</v>
      </c>
      <c r="DZ396" s="794" t="str">
        <f>VLOOKUP(WWWW[[#This Row],[Site Name]],SiteDB6[[Site Name]:[CCCM Focal Agency]],7,FALSE)</f>
        <v>KBC-BMO</v>
      </c>
      <c r="EA396" s="794" t="str">
        <f>VLOOKUP(WWWW[[#This Row],[Site Name]],SiteDB6[[Site Name]:[Location Type 1]],9,FALSE)</f>
        <v>Camp</v>
      </c>
      <c r="EB396" s="794" t="str">
        <f>VLOOKUP(WWWW[[#This Row],[Site Name]],SiteDB6[[Site Name]:[Type of Accommodation]],10,FALSE)</f>
        <v>Camp</v>
      </c>
      <c r="EC396" s="794" t="str">
        <f>VLOOKUP(WWWW[[#This Row],[Site Name]],SiteDB6[[Site Name]:[Ethnic or GCA/NGCA]],11,FALSE)</f>
        <v>GCA</v>
      </c>
      <c r="ED396" s="794">
        <f>VLOOKUP(WWWW[[#This Row],[Site Name]],SiteDB6[[Site Name]:[Lat]],12,FALSE)</f>
        <v>24.222349999999999</v>
      </c>
      <c r="EE396" s="794">
        <f>VLOOKUP(WWWW[[#This Row],[Site Name]],SiteDB6[[Site Name]:[Long]],13,FALSE)</f>
        <v>97.252650000000003</v>
      </c>
      <c r="EF396" s="794" t="str">
        <f>VLOOKUP(WWWW[[#This Row],[Site Name]],SiteDB6[[Site Name]:[Pcode]],3,FALSE)</f>
        <v>MMR001CMP193</v>
      </c>
      <c r="EG396" s="799" t="str">
        <f t="shared" si="10"/>
        <v>Covered</v>
      </c>
      <c r="EH396" s="799" t="str">
        <f>VLOOKUP(WWWW[[#This Row],[Site Name]],Site_DB!$C$389:$D$1120,2,FALSE)</f>
        <v>cccm_2019OCT</v>
      </c>
    </row>
    <row r="397" spans="1:138" hidden="1">
      <c r="A397" s="792" t="s">
        <v>3262</v>
      </c>
      <c r="B397" s="792" t="s">
        <v>279</v>
      </c>
      <c r="C397" s="793" t="s">
        <v>279</v>
      </c>
      <c r="D397" s="793" t="s">
        <v>3370</v>
      </c>
      <c r="E397" s="793" t="s">
        <v>39</v>
      </c>
      <c r="F397" s="793" t="s">
        <v>198</v>
      </c>
      <c r="G397" s="721" t="str">
        <f>VLOOKUP(WWWW[[#This Row],[Site Name]],SiteDB6[[Site Name]:[Location Type]],8,FALSE)</f>
        <v>Camp</v>
      </c>
      <c r="H397" s="793" t="s">
        <v>283</v>
      </c>
      <c r="I397" s="795">
        <v>620</v>
      </c>
      <c r="J397" s="795">
        <v>3876</v>
      </c>
      <c r="K397" s="796">
        <v>43833</v>
      </c>
      <c r="L397" s="797">
        <v>44377</v>
      </c>
      <c r="M397" s="795"/>
      <c r="N397" s="795"/>
      <c r="O397" s="795">
        <v>6</v>
      </c>
      <c r="P397" s="795">
        <v>30</v>
      </c>
      <c r="Q397" s="798" t="s">
        <v>43</v>
      </c>
      <c r="R397" s="795">
        <v>12</v>
      </c>
      <c r="S397" s="795">
        <v>9</v>
      </c>
      <c r="T397" s="523">
        <v>1</v>
      </c>
      <c r="U397" s="795"/>
      <c r="V397" s="795"/>
      <c r="W397" s="795">
        <v>14</v>
      </c>
      <c r="X397" s="795">
        <v>0</v>
      </c>
      <c r="Y397" s="795"/>
      <c r="Z397" s="795"/>
      <c r="AA397" s="795"/>
      <c r="AB397" s="795"/>
      <c r="AC397" s="795"/>
      <c r="AD397" s="795"/>
      <c r="AE397" s="795"/>
      <c r="AF397" s="795"/>
      <c r="AG397" s="795">
        <v>6</v>
      </c>
      <c r="AH397" s="795"/>
      <c r="AI397" s="795">
        <v>14</v>
      </c>
      <c r="AJ397" s="795">
        <v>14</v>
      </c>
      <c r="AK397" s="795">
        <v>21</v>
      </c>
      <c r="AL397" s="795">
        <v>21</v>
      </c>
      <c r="AM397" s="795">
        <v>19</v>
      </c>
      <c r="AN397" s="795"/>
      <c r="AO397" s="799"/>
      <c r="AP397" s="795">
        <v>150</v>
      </c>
      <c r="AQ397" s="795"/>
      <c r="AR397" s="800"/>
      <c r="AS397" s="795"/>
      <c r="AT397" s="795"/>
      <c r="AU397" s="795">
        <v>52</v>
      </c>
      <c r="AV397" s="795">
        <v>16000</v>
      </c>
      <c r="AW397" s="795"/>
      <c r="AX397" s="794" t="s">
        <v>43</v>
      </c>
      <c r="AY397" s="799" t="s">
        <v>140</v>
      </c>
      <c r="AZ397" s="795">
        <v>0</v>
      </c>
      <c r="BA397" s="795">
        <v>0</v>
      </c>
      <c r="BB397" s="795"/>
      <c r="BC397" s="523"/>
      <c r="BD397" s="523"/>
      <c r="BE397" s="794" t="s">
        <v>3371</v>
      </c>
      <c r="BF397" s="795">
        <v>19</v>
      </c>
      <c r="BG397" s="795"/>
      <c r="BH397" s="795"/>
      <c r="BI397" s="795">
        <v>12</v>
      </c>
      <c r="BJ397" s="795"/>
      <c r="BK397" s="795">
        <v>0</v>
      </c>
      <c r="BL397" s="795">
        <v>6</v>
      </c>
      <c r="BM397" s="795"/>
      <c r="BN397" s="795"/>
      <c r="BO397" s="794"/>
      <c r="BP397" s="801"/>
      <c r="BQ397" s="800"/>
      <c r="BR397" s="794"/>
      <c r="BS397" s="472"/>
      <c r="BT397" s="472"/>
      <c r="BU397" s="474"/>
      <c r="BV397" s="472"/>
      <c r="BW397" s="523"/>
      <c r="BX397" s="523"/>
      <c r="BY397" s="523"/>
      <c r="BZ397" s="802">
        <f>IFERROR(WWWW[[#This Row],['#_Water sources passed]]/WWWW[[#This Row],['#_Water sources tested for fecal coliform ]],"no test")</f>
        <v>1</v>
      </c>
      <c r="CA397" s="800">
        <f>IFERROR(WWWW[[#This Row],['#_Household passed]]/WWWW[[#This Row],['#_Household water samples tested for fecal coliform]],"no test")</f>
        <v>1</v>
      </c>
      <c r="CB397" s="801" t="str">
        <f>IF(AND(WWWW[[#This Row],[% of water sources passed]]="no test",WWWW[[#This Row],[% Household passed]]="no test"),"No Test","Tested")</f>
        <v>Tested</v>
      </c>
      <c r="CC397" s="801">
        <f>WWWW[[#This Row],['#_Constructed/existing protected hand dug well]]-WWWW[[#This Row],['#_Non-functional protected hand dug well]]</f>
        <v>1</v>
      </c>
      <c r="CD397" s="801">
        <f>(WWWW[[#This Row],['#_Constructed/Existing tube wells/boreholes/handpumps_WASH_agency]]+WWWW[[#This Row],['#_Non-Cluster partner water tube-wells/boreholes/handpumps]])-WWWW[[#This Row],['#_Non-functional tube wells/boreholes/handpumps]]</f>
        <v>14</v>
      </c>
      <c r="CE397" s="801">
        <f>WWWW[[#This Row],['#_Constructed/Existingwater storage tank with gravity fed reticulation system]]-WWWW[[#This Row],['#_Non-functional storage tank gravity fed reticulation system]]</f>
        <v>0</v>
      </c>
      <c r="CF397" s="801">
        <f>(WWWW[[#This Row],['#_Water_Liters_supplied_by_Water boating or water trucking]]/90)/15</f>
        <v>0</v>
      </c>
      <c r="CG397" s="801">
        <f>WWWW[[#This Row],['#_Water_Liters_from_Constructed/Existing water distribution system from river or natural spring]]/90/15</f>
        <v>0</v>
      </c>
      <c r="CH397" s="473">
        <f>WWWW[[#This Row],['#_of water points in TLS/CFS /THF]]*500</f>
        <v>0</v>
      </c>
      <c r="CI397"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7"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0.96749226006191946</v>
      </c>
      <c r="CK397" s="800">
        <f>IF(WWWW[[#This Row],[Location Type 1]]="Village",WWWW[[#This Row],[Access to safe drinking water for Village]],WWWW[[#This Row],[Access to safe drinking water for Camp]])</f>
        <v>1</v>
      </c>
      <c r="CL397" s="798">
        <f>WWWW[[#This Row],[%Equitable and continuous access to sufficient quantity of safe drinking water]]*WWWW[[#This Row],[Total PoP ]]</f>
        <v>3876</v>
      </c>
      <c r="CM397" s="800">
        <f>IF((WWWW[[#This Row],['#_Constructed/Existing protected/fenced ponds]]*250)/WWWW[[#This Row],[Total PoP ]]&gt;1,1,(WWWW[[#This Row],['#_Constructed/Existing protected/fenced ponds]]*250)/WWWW[[#This Row],[Total PoP ]])</f>
        <v>0</v>
      </c>
      <c r="CN397" s="798">
        <f>WWWW[[#This Row],[% Access to unimproved water points]]*WWWW[[#This Row],[Total PoP ]]</f>
        <v>0</v>
      </c>
      <c r="CO397"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7"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3876</v>
      </c>
      <c r="CQ397" s="798">
        <f>WWWW[[#This Row],[HRP1]]/500</f>
        <v>7.7519999999999998</v>
      </c>
      <c r="CR397" s="803">
        <f>1-WWWW[[#This Row],[% Equitable and continuous access to sufficient quantity of domestic water]]</f>
        <v>0</v>
      </c>
      <c r="CS397" s="798">
        <f>WWWW[[#This Row],[%equitable and continuous access to sufficient quantity of safe drinking and domestic water''s GAP]]*WWWW[[#This Row],[Total PoP ]]</f>
        <v>0</v>
      </c>
      <c r="CT397" s="801">
        <f>IF(WWWW[[#This Row],[Total required water points]]-WWWW[[#This Row],['#Water points coverage]]&lt;0,0,WWWW[[#This Row],[Total required water points]]-WWWW[[#This Row],['#Water points coverage]])</f>
        <v>0.24800000000000022</v>
      </c>
      <c r="CU397" s="801">
        <f>ROUND(IF(WWWW[[#This Row],[Total PoP ]]&lt;500,1,WWWW[[#This Row],[Total PoP ]]/500),0)</f>
        <v>8</v>
      </c>
      <c r="CV397" s="801">
        <f>(WWWW[[#This Row],['#_Constructed latrines_by_WASHAgencies]]+WWWW[[#This Row],['#_Non Cluster partner latrines]])-WWWW[[#This Row],['#_Non-functional latrines]]</f>
        <v>150</v>
      </c>
      <c r="CW397" s="804">
        <f>WWWW[[#This Row],[HRP2]]/WWWW[[#This Row],[Total PoP ]]</f>
        <v>0.77399380804953566</v>
      </c>
      <c r="CX397"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3000</v>
      </c>
      <c r="CY397"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1040</v>
      </c>
      <c r="CZ397"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7" s="473">
        <f>IF(WWWW[[#This Row],['# of functional latrines in THF supported by WASH partners during the reporting period2]]="",0,WWWW[[#This Row],['# of functional latrines in THF supported by WASH partners during the reporting period2]]*50)</f>
        <v>0</v>
      </c>
      <c r="DB397" s="473">
        <f>WWWW[[#This Row],['# students access to functioning school latrines_HRP5]]+WWWW[[#This Row],['# People access to functioning latrines in THF_HRP5]]</f>
        <v>0</v>
      </c>
      <c r="DC397" s="801">
        <f>ROUND(IF(WWWW[[#This Row],[Location Type 1]]="camp",WWWW[[#This Row],[Total PoP ]]/20,IF(WWWW[[#This Row],[Location Type 1]]="Temporary Location",WWWW[[#This Row],[Total PoP ]]/50,(WWWW[[#This Row],[Total PoP ]]/6))),0)</f>
        <v>194</v>
      </c>
      <c r="DD397" s="801">
        <f>IF(WWWW[[#This Row],[Total required Latrines]]-(WWWW[[#This Row],['#_Constructed latrines_by_WASHAgencies]]+WWWW[[#This Row],['#_Non Cluster partner latrines]])&lt;0,0,WWWW[[#This Row],[Total required Latrines]]-(WWWW[[#This Row],['#_Constructed latrines_by_WASHAgencies]]+WWWW[[#This Row],['#_Non Cluster partner latrines]]))</f>
        <v>44</v>
      </c>
      <c r="DE397" s="803">
        <f>1-WWWW[[#This Row],[% people access to functioning Latrine]]</f>
        <v>0.22600619195046434</v>
      </c>
      <c r="DF397" s="802">
        <f>IF(OR(WWWW[[#This Row],['#_Non-functional latrines]]="",WWWW[[#This Row],['#_Non-functional latrines]]=0),0,WWWW[[#This Row],['#_Non-functional latrines]]/(WWWW[[#This Row],['#_Constructed latrines_by_WASHAgencies]]+WWWW[[#This Row],['#_Non Cluster partner latrines]]))</f>
        <v>0</v>
      </c>
      <c r="DG397" s="798">
        <f>IF(500*(WWWW[[#This Row],['#_male hygiene promoters]]+WWWW[[#This Row],['#_female hygiene promoters]])&gt;WWWW[[#This Row],[Total PoP ]],WWWW[[#This Row],[Total PoP ]],500*(WWWW[[#This Row],['#_male hygiene promoters]]+WWWW[[#This Row],['#_female hygiene promoters]]))</f>
        <v>3000</v>
      </c>
      <c r="DH397"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7"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7" s="801">
        <f>IF(WWWW[[#This Row],['# People with access to soap]]&gt;WWWW[[#This Row],['# People with access to Sanity Pads]],WWWW[[#This Row],['# People with access to soap]],WWWW[[#This Row],['# People with access to Sanity Pads]])</f>
        <v>0</v>
      </c>
      <c r="DK397" s="801">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L397" s="803">
        <f>IF(WWWW[[#This Row],[HRP3]]/WWWW[[#This Row],[Total PoP ]]&gt;1,1,WWWW[[#This Row],[HRP3]]/WWWW[[#This Row],[Total PoP ]])</f>
        <v>0.77399380804953566</v>
      </c>
      <c r="DM397" s="802">
        <f>1-WWWW[[#This Row],[Hygiene Coverage%]]</f>
        <v>0.22600619195046434</v>
      </c>
      <c r="DN397" s="800">
        <f>WWWW[[#This Row],['# people reached by regular dedicated hygiene promotion_5]]/WWWW[[#This Row],[Total PoP ]]</f>
        <v>0.77399380804953566</v>
      </c>
      <c r="DO397"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7"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7" s="801">
        <f>WWWW[[#This Row],['#_Constructed/Existing hand washing stations]]-WWWW[[#This Row],['#_Non-Functional_hand_washing_stations]]</f>
        <v>19</v>
      </c>
      <c r="DR397" s="798">
        <f>IF(WWWW[[#This Row],['# Functional hand washing stations during reporting period]]*20&gt;WWWW[[#This Row],[Total HH]],WWWW[[#This Row],[Total HH]],WWWW[[#This Row],['# Functional hand washing stations during reporting period]]*20)</f>
        <v>380</v>
      </c>
      <c r="DS397" s="798">
        <f>IF(WWWW[[#This Row],[Is sufficient soap available for TLS? (Yes/No)]]="yes",WWWW[[#This Row],['#_Constructed/Existing hand washing stations at TLS]],0)</f>
        <v>0</v>
      </c>
      <c r="DT397" s="479">
        <f>IF(WWWW[[#This Row],['# Functional hand washing stations during reporting period]]*100&gt;WWWW[[#This Row],[Total PoP ]],WWWW[[#This Row],[Total PoP ]],WWWW[[#This Row],['# Functional hand washing stations during reporting period]]*100)</f>
        <v>1900</v>
      </c>
      <c r="DU397" s="479" t="str">
        <f>IF(OR(WWWW[[#This Row],['#_students at TLS_CFS]]="",WWWW[[#This Row],['#_students at TLS_CFS]]=0),"No","Yes")</f>
        <v>No</v>
      </c>
      <c r="DV39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7" s="794" t="str">
        <f>VLOOKUP(WWWW[[#This Row],[Site Name]],SiteDB6[[Site Name]:[CCCM Management]],6,FALSE)</f>
        <v>Yes</v>
      </c>
      <c r="DZ397" s="794" t="str">
        <f>VLOOKUP(WWWW[[#This Row],[Site Name]],SiteDB6[[Site Name]:[CCCM Focal Agency]],7,FALSE)</f>
        <v>KBC-BMO</v>
      </c>
      <c r="EA397" s="794" t="str">
        <f>VLOOKUP(WWWW[[#This Row],[Site Name]],SiteDB6[[Site Name]:[Location Type 1]],9,FALSE)</f>
        <v>Camp</v>
      </c>
      <c r="EB397" s="794" t="str">
        <f>VLOOKUP(WWWW[[#This Row],[Site Name]],SiteDB6[[Site Name]:[Type of Accommodation]],10,FALSE)</f>
        <v>Camp</v>
      </c>
      <c r="EC397" s="794" t="str">
        <f>VLOOKUP(WWWW[[#This Row],[Site Name]],SiteDB6[[Site Name]:[Ethnic or GCA/NGCA]],11,FALSE)</f>
        <v>GCA</v>
      </c>
      <c r="ED397" s="794">
        <f>VLOOKUP(WWWW[[#This Row],[Site Name]],SiteDB6[[Site Name]:[Lat]],12,FALSE)</f>
        <v>24.268292826086999</v>
      </c>
      <c r="EE397" s="794">
        <f>VLOOKUP(WWWW[[#This Row],[Site Name]],SiteDB6[[Site Name]:[Long]],13,FALSE)</f>
        <v>97.229116811594196</v>
      </c>
      <c r="EF397" s="794" t="str">
        <f>VLOOKUP(WWWW[[#This Row],[Site Name]],SiteDB6[[Site Name]:[Pcode]],3,FALSE)</f>
        <v>MMR001CMP047</v>
      </c>
      <c r="EG397" s="799" t="str">
        <f t="shared" si="10"/>
        <v>Covered</v>
      </c>
      <c r="EH397" s="799" t="str">
        <f>VLOOKUP(WWWW[[#This Row],[Site Name]],Site_DB!$C$389:$D$1120,2,FALSE)</f>
        <v>cccm_2019OCT</v>
      </c>
    </row>
    <row r="398" spans="1:138" hidden="1">
      <c r="A398" s="792" t="s">
        <v>3262</v>
      </c>
      <c r="B398" s="792" t="s">
        <v>279</v>
      </c>
      <c r="C398" s="793" t="s">
        <v>279</v>
      </c>
      <c r="D398" s="793" t="s">
        <v>3370</v>
      </c>
      <c r="E398" s="793" t="s">
        <v>39</v>
      </c>
      <c r="F398" s="793" t="s">
        <v>198</v>
      </c>
      <c r="G398" s="721" t="str">
        <f>VLOOKUP(WWWW[[#This Row],[Site Name]],SiteDB6[[Site Name]:[Location Type]],8,FALSE)</f>
        <v>Camp_not registered</v>
      </c>
      <c r="H398" s="793" t="s">
        <v>3088</v>
      </c>
      <c r="I398" s="795">
        <v>243.8</v>
      </c>
      <c r="J398" s="795">
        <v>1219</v>
      </c>
      <c r="K398" s="796">
        <v>43833</v>
      </c>
      <c r="L398" s="797">
        <v>44377</v>
      </c>
      <c r="M398" s="795">
        <v>1212</v>
      </c>
      <c r="N398" s="795"/>
      <c r="O398" s="795">
        <v>0</v>
      </c>
      <c r="P398" s="795">
        <v>30</v>
      </c>
      <c r="Q398" s="798" t="s">
        <v>43</v>
      </c>
      <c r="R398" s="795"/>
      <c r="S398" s="795">
        <v>0</v>
      </c>
      <c r="T398" s="523">
        <v>0</v>
      </c>
      <c r="U398" s="795"/>
      <c r="V398" s="795"/>
      <c r="W398" s="795">
        <v>5</v>
      </c>
      <c r="X398" s="795">
        <v>0</v>
      </c>
      <c r="Y398" s="795"/>
      <c r="Z398" s="795"/>
      <c r="AA398" s="795"/>
      <c r="AB398" s="795"/>
      <c r="AC398" s="795"/>
      <c r="AD398" s="795"/>
      <c r="AE398" s="795"/>
      <c r="AF398" s="795"/>
      <c r="AG398" s="795"/>
      <c r="AH398" s="795"/>
      <c r="AI398" s="795"/>
      <c r="AJ398" s="795"/>
      <c r="AK398" s="795"/>
      <c r="AL398" s="795"/>
      <c r="AM398" s="795"/>
      <c r="AN398" s="795">
        <v>2</v>
      </c>
      <c r="AO398" s="799"/>
      <c r="AP398" s="795"/>
      <c r="AQ398" s="795"/>
      <c r="AR398" s="800"/>
      <c r="AS398" s="795"/>
      <c r="AT398" s="795"/>
      <c r="AU398" s="795"/>
      <c r="AV398" s="795"/>
      <c r="AW398" s="795"/>
      <c r="AX398" s="794" t="s">
        <v>43</v>
      </c>
      <c r="AY398" s="799" t="s">
        <v>140</v>
      </c>
      <c r="AZ398" s="795">
        <v>0</v>
      </c>
      <c r="BA398" s="795">
        <v>0</v>
      </c>
      <c r="BB398" s="795"/>
      <c r="BC398" s="523"/>
      <c r="BD398" s="523"/>
      <c r="BE398" s="794" t="s">
        <v>3371</v>
      </c>
      <c r="BF398" s="795"/>
      <c r="BG398" s="795"/>
      <c r="BH398" s="795"/>
      <c r="BI398" s="795">
        <v>0</v>
      </c>
      <c r="BJ398" s="795"/>
      <c r="BK398" s="795">
        <v>0</v>
      </c>
      <c r="BL398" s="795">
        <v>0</v>
      </c>
      <c r="BM398" s="795"/>
      <c r="BN398" s="795"/>
      <c r="BO398" s="794"/>
      <c r="BP398" s="801"/>
      <c r="BQ398" s="800"/>
      <c r="BR398" s="794"/>
      <c r="BS398" s="472"/>
      <c r="BT398" s="472"/>
      <c r="BU398" s="474"/>
      <c r="BV398" s="472"/>
      <c r="BW398" s="523"/>
      <c r="BX398" s="523"/>
      <c r="BY398" s="523"/>
      <c r="BZ398" s="802" t="str">
        <f>IFERROR(WWWW[[#This Row],['#_Water sources passed]]/WWWW[[#This Row],['#_Water sources tested for fecal coliform ]],"no test")</f>
        <v>no test</v>
      </c>
      <c r="CA398" s="800" t="str">
        <f>IFERROR(WWWW[[#This Row],['#_Household passed]]/WWWW[[#This Row],['#_Household water samples tested for fecal coliform]],"no test")</f>
        <v>no test</v>
      </c>
      <c r="CB398" s="801" t="str">
        <f>IF(AND(WWWW[[#This Row],[% of water sources passed]]="no test",WWWW[[#This Row],[% Household passed]]="no test"),"No Test","Tested")</f>
        <v>No Test</v>
      </c>
      <c r="CC398" s="801">
        <f>WWWW[[#This Row],['#_Constructed/existing protected hand dug well]]-WWWW[[#This Row],['#_Non-functional protected hand dug well]]</f>
        <v>0</v>
      </c>
      <c r="CD398" s="801">
        <f>(WWWW[[#This Row],['#_Constructed/Existing tube wells/boreholes/handpumps_WASH_agency]]+WWWW[[#This Row],['#_Non-Cluster partner water tube-wells/boreholes/handpumps]])-WWWW[[#This Row],['#_Non-functional tube wells/boreholes/handpumps]]</f>
        <v>5</v>
      </c>
      <c r="CE398" s="801">
        <f>WWWW[[#This Row],['#_Constructed/Existingwater storage tank with gravity fed reticulation system]]-WWWW[[#This Row],['#_Non-functional storage tank gravity fed reticulation system]]</f>
        <v>0</v>
      </c>
      <c r="CF398" s="801">
        <f>(WWWW[[#This Row],['#_Water_Liters_supplied_by_Water boating or water trucking]]/90)/15</f>
        <v>0</v>
      </c>
      <c r="CG398" s="801">
        <f>WWWW[[#This Row],['#_Water_Liters_from_Constructed/Existing water distribution system from river or natural spring]]/90/15</f>
        <v>0</v>
      </c>
      <c r="CH398" s="473">
        <f>WWWW[[#This Row],['#_of water points in TLS/CFS /THF]]*500</f>
        <v>1000</v>
      </c>
      <c r="CI398"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8"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8" s="800">
        <f>IF(WWWW[[#This Row],[Location Type 1]]="Village",WWWW[[#This Row],[Access to safe drinking water for Village]],WWWW[[#This Row],[Access to safe drinking water for Camp]])</f>
        <v>1</v>
      </c>
      <c r="CL398" s="798">
        <f>WWWW[[#This Row],[%Equitable and continuous access to sufficient quantity of safe drinking water]]*WWWW[[#This Row],[Total PoP ]]</f>
        <v>1219</v>
      </c>
      <c r="CM398" s="800">
        <f>IF((WWWW[[#This Row],['#_Constructed/Existing protected/fenced ponds]]*250)/WWWW[[#This Row],[Total PoP ]]&gt;1,1,(WWWW[[#This Row],['#_Constructed/Existing protected/fenced ponds]]*250)/WWWW[[#This Row],[Total PoP ]])</f>
        <v>0</v>
      </c>
      <c r="CN398" s="798">
        <f>WWWW[[#This Row],[% Access to unimproved water points]]*WWWW[[#This Row],[Total PoP ]]</f>
        <v>0</v>
      </c>
      <c r="CO398"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8"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1219</v>
      </c>
      <c r="CQ398" s="798">
        <f>WWWW[[#This Row],[HRP1]]/500</f>
        <v>2.4380000000000002</v>
      </c>
      <c r="CR398" s="803">
        <f>1-WWWW[[#This Row],[% Equitable and continuous access to sufficient quantity of domestic water]]</f>
        <v>0</v>
      </c>
      <c r="CS398" s="798">
        <f>WWWW[[#This Row],[%equitable and continuous access to sufficient quantity of safe drinking and domestic water''s GAP]]*WWWW[[#This Row],[Total PoP ]]</f>
        <v>0</v>
      </c>
      <c r="CT398" s="801">
        <f>IF(WWWW[[#This Row],[Total required water points]]-WWWW[[#This Row],['#Water points coverage]]&lt;0,0,WWWW[[#This Row],[Total required water points]]-WWWW[[#This Row],['#Water points coverage]])</f>
        <v>0</v>
      </c>
      <c r="CU398" s="801">
        <f>ROUND(IF(WWWW[[#This Row],[Total PoP ]]&lt;500,1,WWWW[[#This Row],[Total PoP ]]/500),0)</f>
        <v>2</v>
      </c>
      <c r="CV398" s="801">
        <f>(WWWW[[#This Row],['#_Constructed latrines_by_WASHAgencies]]+WWWW[[#This Row],['#_Non Cluster partner latrines]])-WWWW[[#This Row],['#_Non-functional latrines]]</f>
        <v>0</v>
      </c>
      <c r="CW398" s="804">
        <f>WWWW[[#This Row],[HRP2]]/WWWW[[#This Row],[Total PoP ]]</f>
        <v>0</v>
      </c>
      <c r="CX398"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398"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398"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8" s="473">
        <f>IF(WWWW[[#This Row],['# of functional latrines in THF supported by WASH partners during the reporting period2]]="",0,WWWW[[#This Row],['# of functional latrines in THF supported by WASH partners during the reporting period2]]*50)</f>
        <v>0</v>
      </c>
      <c r="DB398" s="473">
        <f>WWWW[[#This Row],['# students access to functioning school latrines_HRP5]]+WWWW[[#This Row],['# People access to functioning latrines in THF_HRP5]]</f>
        <v>0</v>
      </c>
      <c r="DC398" s="801">
        <f>ROUND(IF(WWWW[[#This Row],[Location Type 1]]="camp",WWWW[[#This Row],[Total PoP ]]/20,IF(WWWW[[#This Row],[Location Type 1]]="Temporary Location",WWWW[[#This Row],[Total PoP ]]/50,(WWWW[[#This Row],[Total PoP ]]/6))),0)</f>
        <v>61</v>
      </c>
      <c r="DD398" s="801">
        <f>IF(WWWW[[#This Row],[Total required Latrines]]-(WWWW[[#This Row],['#_Constructed latrines_by_WASHAgencies]]+WWWW[[#This Row],['#_Non Cluster partner latrines]])&lt;0,0,WWWW[[#This Row],[Total required Latrines]]-(WWWW[[#This Row],['#_Constructed latrines_by_WASHAgencies]]+WWWW[[#This Row],['#_Non Cluster partner latrines]]))</f>
        <v>61</v>
      </c>
      <c r="DE398" s="803">
        <f>1-WWWW[[#This Row],[% people access to functioning Latrine]]</f>
        <v>1</v>
      </c>
      <c r="DF398" s="802">
        <f>IF(OR(WWWW[[#This Row],['#_Non-functional latrines]]="",WWWW[[#This Row],['#_Non-functional latrines]]=0),0,WWWW[[#This Row],['#_Non-functional latrines]]/(WWWW[[#This Row],['#_Constructed latrines_by_WASHAgencies]]+WWWW[[#This Row],['#_Non Cluster partner latrines]]))</f>
        <v>0</v>
      </c>
      <c r="DG398" s="798">
        <f>IF(500*(WWWW[[#This Row],['#_male hygiene promoters]]+WWWW[[#This Row],['#_female hygiene promoters]])&gt;WWWW[[#This Row],[Total PoP ]],WWWW[[#This Row],[Total PoP ]],500*(WWWW[[#This Row],['#_male hygiene promoters]]+WWWW[[#This Row],['#_female hygiene promoters]]))</f>
        <v>0</v>
      </c>
      <c r="DH398"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8"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8" s="801">
        <f>IF(WWWW[[#This Row],['# People with access to soap]]&gt;WWWW[[#This Row],['# People with access to Sanity Pads]],WWWW[[#This Row],['# People with access to soap]],WWWW[[#This Row],['# People with access to Sanity Pads]])</f>
        <v>0</v>
      </c>
      <c r="DK398" s="801">
        <f>IF(WWWW[[#This Row],['# people reached by regular dedicated hygiene promotion_5]]&gt;WWWW[[#This Row],['# People received regular supply of hygiene items_6]],WWWW[[#This Row],['# people reached by regular dedicated hygiene promotion_5]],WWWW[[#This Row],['# People received regular supply of hygiene items_6]])</f>
        <v>0</v>
      </c>
      <c r="DL398" s="803">
        <f>IF(WWWW[[#This Row],[HRP3]]/WWWW[[#This Row],[Total PoP ]]&gt;1,1,WWWW[[#This Row],[HRP3]]/WWWW[[#This Row],[Total PoP ]])</f>
        <v>0</v>
      </c>
      <c r="DM398" s="802">
        <f>1-WWWW[[#This Row],[Hygiene Coverage%]]</f>
        <v>1</v>
      </c>
      <c r="DN398" s="800">
        <f>WWWW[[#This Row],['# people reached by regular dedicated hygiene promotion_5]]/WWWW[[#This Row],[Total PoP ]]</f>
        <v>0</v>
      </c>
      <c r="DO398"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8"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8" s="801">
        <f>WWWW[[#This Row],['#_Constructed/Existing hand washing stations]]-WWWW[[#This Row],['#_Non-Functional_hand_washing_stations]]</f>
        <v>0</v>
      </c>
      <c r="DR398" s="798">
        <f>IF(WWWW[[#This Row],['# Functional hand washing stations during reporting period]]*20&gt;WWWW[[#This Row],[Total HH]],WWWW[[#This Row],[Total HH]],WWWW[[#This Row],['# Functional hand washing stations during reporting period]]*20)</f>
        <v>0</v>
      </c>
      <c r="DS398" s="798">
        <f>IF(WWWW[[#This Row],[Is sufficient soap available for TLS? (Yes/No)]]="yes",WWWW[[#This Row],['#_Constructed/Existing hand washing stations at TLS]],0)</f>
        <v>0</v>
      </c>
      <c r="DT398" s="479">
        <f>IF(WWWW[[#This Row],['# Functional hand washing stations during reporting period]]*100&gt;WWWW[[#This Row],[Total PoP ]],WWWW[[#This Row],[Total PoP ]],WWWW[[#This Row],['# Functional hand washing stations during reporting period]]*100)</f>
        <v>0</v>
      </c>
      <c r="DU398" s="479" t="str">
        <f>IF(OR(WWWW[[#This Row],['#_students at TLS_CFS]]="",WWWW[[#This Row],['#_students at TLS_CFS]]=0),"No","Yes")</f>
        <v>Yes</v>
      </c>
      <c r="DV39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398" s="794" t="str">
        <f>VLOOKUP(WWWW[[#This Row],[Site Name]],SiteDB6[[Site Name]:[CCCM Management]],6,FALSE)</f>
        <v>No</v>
      </c>
      <c r="DZ398" s="794">
        <f>VLOOKUP(WWWW[[#This Row],[Site Name]],SiteDB6[[Site Name]:[CCCM Focal Agency]],7,FALSE)</f>
        <v>0</v>
      </c>
      <c r="EA398" s="794" t="str">
        <f>VLOOKUP(WWWW[[#This Row],[Site Name]],SiteDB6[[Site Name]:[Location Type 1]],9,FALSE)</f>
        <v>Camp</v>
      </c>
      <c r="EB398" s="794" t="str">
        <f>VLOOKUP(WWWW[[#This Row],[Site Name]],SiteDB6[[Site Name]:[Type of Accommodation]],10,FALSE)</f>
        <v>Camp</v>
      </c>
      <c r="EC398" s="794" t="str">
        <f>VLOOKUP(WWWW[[#This Row],[Site Name]],SiteDB6[[Site Name]:[Ethnic or GCA/NGCA]],11,FALSE)</f>
        <v>GCA</v>
      </c>
      <c r="ED398" s="794">
        <f>VLOOKUP(WWWW[[#This Row],[Site Name]],SiteDB6[[Site Name]:[Lat]],12,FALSE)</f>
        <v>0</v>
      </c>
      <c r="EE398" s="794">
        <f>VLOOKUP(WWWW[[#This Row],[Site Name]],SiteDB6[[Site Name]:[Long]],13,FALSE)</f>
        <v>0</v>
      </c>
      <c r="EF398" s="794">
        <f>VLOOKUP(WWWW[[#This Row],[Site Name]],SiteDB6[[Site Name]:[Pcode]],3,FALSE)</f>
        <v>0</v>
      </c>
      <c r="EG398" s="799" t="str">
        <f t="shared" si="10"/>
        <v>Covered</v>
      </c>
      <c r="EH398" s="799">
        <f>VLOOKUP(WWWW[[#This Row],[Site Name]],Site_DB!$C$389:$D$1120,2,FALSE)</f>
        <v>0</v>
      </c>
    </row>
    <row r="399" spans="1:138" hidden="1">
      <c r="A399" s="792" t="s">
        <v>3262</v>
      </c>
      <c r="B399" s="792" t="s">
        <v>279</v>
      </c>
      <c r="C399" s="793" t="s">
        <v>279</v>
      </c>
      <c r="D399" s="793" t="s">
        <v>3370</v>
      </c>
      <c r="E399" s="793" t="s">
        <v>39</v>
      </c>
      <c r="F399" s="793" t="s">
        <v>208</v>
      </c>
      <c r="G399" s="721" t="str">
        <f>VLOOKUP(WWWW[[#This Row],[Site Name]],SiteDB6[[Site Name]:[Location Type]],8,FALSE)</f>
        <v>Camp</v>
      </c>
      <c r="H399" s="404" t="s">
        <v>289</v>
      </c>
      <c r="I399" s="795">
        <v>40</v>
      </c>
      <c r="J399" s="795">
        <v>255</v>
      </c>
      <c r="K399" s="796">
        <v>43833</v>
      </c>
      <c r="L399" s="797">
        <v>44377</v>
      </c>
      <c r="M399" s="795"/>
      <c r="N399" s="795">
        <v>0</v>
      </c>
      <c r="O399" s="795">
        <v>2</v>
      </c>
      <c r="P399" s="795">
        <v>30</v>
      </c>
      <c r="Q399" s="798" t="s">
        <v>43</v>
      </c>
      <c r="R399" s="795">
        <v>5</v>
      </c>
      <c r="S399" s="795">
        <v>7</v>
      </c>
      <c r="T399" s="523">
        <v>2</v>
      </c>
      <c r="U399" s="795">
        <v>1</v>
      </c>
      <c r="V399" s="795"/>
      <c r="W399" s="795">
        <v>1</v>
      </c>
      <c r="X399" s="795">
        <v>0</v>
      </c>
      <c r="Y399" s="795"/>
      <c r="Z399" s="795"/>
      <c r="AA399" s="795"/>
      <c r="AB399" s="795"/>
      <c r="AC399" s="795"/>
      <c r="AD399" s="795"/>
      <c r="AE399" s="795"/>
      <c r="AF399" s="795"/>
      <c r="AG399" s="795">
        <v>2</v>
      </c>
      <c r="AH399" s="795"/>
      <c r="AI399" s="795">
        <v>1</v>
      </c>
      <c r="AJ399" s="795">
        <v>1</v>
      </c>
      <c r="AK399" s="795">
        <v>2</v>
      </c>
      <c r="AL399" s="795">
        <v>2</v>
      </c>
      <c r="AM399" s="795">
        <v>10</v>
      </c>
      <c r="AN399" s="795"/>
      <c r="AO399" s="799"/>
      <c r="AP399" s="795">
        <v>16</v>
      </c>
      <c r="AQ399" s="795"/>
      <c r="AR399" s="800"/>
      <c r="AS399" s="795"/>
      <c r="AT399" s="795"/>
      <c r="AU399" s="795">
        <v>4</v>
      </c>
      <c r="AV399" s="795">
        <v>1539</v>
      </c>
      <c r="AW399" s="795"/>
      <c r="AX399" s="794" t="s">
        <v>43</v>
      </c>
      <c r="AY399" s="799" t="s">
        <v>140</v>
      </c>
      <c r="AZ399" s="795">
        <v>0</v>
      </c>
      <c r="BA399" s="795">
        <v>0</v>
      </c>
      <c r="BB399" s="795"/>
      <c r="BC399" s="523"/>
      <c r="BD399" s="523"/>
      <c r="BE399" s="794" t="s">
        <v>3371</v>
      </c>
      <c r="BF399" s="795">
        <v>7</v>
      </c>
      <c r="BG399" s="795"/>
      <c r="BH399" s="795"/>
      <c r="BI399" s="795">
        <v>1</v>
      </c>
      <c r="BJ399" s="795"/>
      <c r="BK399" s="795">
        <v>1</v>
      </c>
      <c r="BL399" s="795">
        <v>1</v>
      </c>
      <c r="BM399" s="795"/>
      <c r="BN399" s="795"/>
      <c r="BO399" s="794"/>
      <c r="BP399" s="801"/>
      <c r="BQ399" s="800"/>
      <c r="BR399" s="794"/>
      <c r="BS399" s="472"/>
      <c r="BT399" s="472"/>
      <c r="BU399" s="474"/>
      <c r="BV399" s="472"/>
      <c r="BW399" s="523"/>
      <c r="BX399" s="523"/>
      <c r="BY399" s="523"/>
      <c r="BZ399" s="802">
        <f>IFERROR(WWWW[[#This Row],['#_Water sources passed]]/WWWW[[#This Row],['#_Water sources tested for fecal coliform ]],"no test")</f>
        <v>1</v>
      </c>
      <c r="CA399" s="800">
        <f>IFERROR(WWWW[[#This Row],['#_Household passed]]/WWWW[[#This Row],['#_Household water samples tested for fecal coliform]],"no test")</f>
        <v>1</v>
      </c>
      <c r="CB399" s="801" t="str">
        <f>IF(AND(WWWW[[#This Row],[% of water sources passed]]="no test",WWWW[[#This Row],[% Household passed]]="no test"),"No Test","Tested")</f>
        <v>Tested</v>
      </c>
      <c r="CC399" s="801">
        <f>WWWW[[#This Row],['#_Constructed/existing protected hand dug well]]-WWWW[[#This Row],['#_Non-functional protected hand dug well]]</f>
        <v>1</v>
      </c>
      <c r="CD399" s="801">
        <f>(WWWW[[#This Row],['#_Constructed/Existing tube wells/boreholes/handpumps_WASH_agency]]+WWWW[[#This Row],['#_Non-Cluster partner water tube-wells/boreholes/handpumps]])-WWWW[[#This Row],['#_Non-functional tube wells/boreholes/handpumps]]</f>
        <v>1</v>
      </c>
      <c r="CE399" s="801">
        <f>WWWW[[#This Row],['#_Constructed/Existingwater storage tank with gravity fed reticulation system]]-WWWW[[#This Row],['#_Non-functional storage tank gravity fed reticulation system]]</f>
        <v>0</v>
      </c>
      <c r="CF399" s="801">
        <f>(WWWW[[#This Row],['#_Water_Liters_supplied_by_Water boating or water trucking]]/90)/15</f>
        <v>0</v>
      </c>
      <c r="CG399" s="801">
        <f>WWWW[[#This Row],['#_Water_Liters_from_Constructed/Existing water distribution system from river or natural spring]]/90/15</f>
        <v>0</v>
      </c>
      <c r="CH399" s="473">
        <f>WWWW[[#This Row],['#_of water points in TLS/CFS /THF]]*500</f>
        <v>0</v>
      </c>
      <c r="CI399"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399"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399" s="800">
        <f>IF(WWWW[[#This Row],[Location Type 1]]="Village",WWWW[[#This Row],[Access to safe drinking water for Village]],WWWW[[#This Row],[Access to safe drinking water for Camp]])</f>
        <v>1</v>
      </c>
      <c r="CL399" s="798">
        <f>WWWW[[#This Row],[%Equitable and continuous access to sufficient quantity of safe drinking water]]*WWWW[[#This Row],[Total PoP ]]</f>
        <v>255</v>
      </c>
      <c r="CM399" s="800">
        <f>IF((WWWW[[#This Row],['#_Constructed/Existing protected/fenced ponds]]*250)/WWWW[[#This Row],[Total PoP ]]&gt;1,1,(WWWW[[#This Row],['#_Constructed/Existing protected/fenced ponds]]*250)/WWWW[[#This Row],[Total PoP ]])</f>
        <v>0</v>
      </c>
      <c r="CN399" s="798">
        <f>WWWW[[#This Row],[% Access to unimproved water points]]*WWWW[[#This Row],[Total PoP ]]</f>
        <v>0</v>
      </c>
      <c r="CO399"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399"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Q399" s="798">
        <f>WWWW[[#This Row],[HRP1]]/500</f>
        <v>0.51</v>
      </c>
      <c r="CR399" s="803">
        <f>1-WWWW[[#This Row],[% Equitable and continuous access to sufficient quantity of domestic water]]</f>
        <v>0</v>
      </c>
      <c r="CS399" s="798">
        <f>WWWW[[#This Row],[%equitable and continuous access to sufficient quantity of safe drinking and domestic water''s GAP]]*WWWW[[#This Row],[Total PoP ]]</f>
        <v>0</v>
      </c>
      <c r="CT399" s="801">
        <f>IF(WWWW[[#This Row],[Total required water points]]-WWWW[[#This Row],['#Water points coverage]]&lt;0,0,WWWW[[#This Row],[Total required water points]]-WWWW[[#This Row],['#Water points coverage]])</f>
        <v>0.49</v>
      </c>
      <c r="CU399" s="801">
        <f>ROUND(IF(WWWW[[#This Row],[Total PoP ]]&lt;500,1,WWWW[[#This Row],[Total PoP ]]/500),0)</f>
        <v>1</v>
      </c>
      <c r="CV399" s="801">
        <f>(WWWW[[#This Row],['#_Constructed latrines_by_WASHAgencies]]+WWWW[[#This Row],['#_Non Cluster partner latrines]])-WWWW[[#This Row],['#_Non-functional latrines]]</f>
        <v>16</v>
      </c>
      <c r="CW399" s="804">
        <f>WWWW[[#This Row],[HRP2]]/WWWW[[#This Row],[Total PoP ]]</f>
        <v>1</v>
      </c>
      <c r="CX399"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CY399"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399"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399" s="473">
        <f>IF(WWWW[[#This Row],['# of functional latrines in THF supported by WASH partners during the reporting period2]]="",0,WWWW[[#This Row],['# of functional latrines in THF supported by WASH partners during the reporting period2]]*50)</f>
        <v>0</v>
      </c>
      <c r="DB399" s="473">
        <f>WWWW[[#This Row],['# students access to functioning school latrines_HRP5]]+WWWW[[#This Row],['# People access to functioning latrines in THF_HRP5]]</f>
        <v>0</v>
      </c>
      <c r="DC399" s="801">
        <f>ROUND(IF(WWWW[[#This Row],[Location Type 1]]="camp",WWWW[[#This Row],[Total PoP ]]/20,IF(WWWW[[#This Row],[Location Type 1]]="Temporary Location",WWWW[[#This Row],[Total PoP ]]/50,(WWWW[[#This Row],[Total PoP ]]/6))),0)</f>
        <v>13</v>
      </c>
      <c r="DD399" s="801">
        <f>IF(WWWW[[#This Row],[Total required Latrines]]-(WWWW[[#This Row],['#_Constructed latrines_by_WASHAgencies]]+WWWW[[#This Row],['#_Non Cluster partner latrines]])&lt;0,0,WWWW[[#This Row],[Total required Latrines]]-(WWWW[[#This Row],['#_Constructed latrines_by_WASHAgencies]]+WWWW[[#This Row],['#_Non Cluster partner latrines]]))</f>
        <v>0</v>
      </c>
      <c r="DE399" s="803">
        <f>1-WWWW[[#This Row],[% people access to functioning Latrine]]</f>
        <v>0</v>
      </c>
      <c r="DF399" s="802">
        <f>IF(OR(WWWW[[#This Row],['#_Non-functional latrines]]="",WWWW[[#This Row],['#_Non-functional latrines]]=0),0,WWWW[[#This Row],['#_Non-functional latrines]]/(WWWW[[#This Row],['#_Constructed latrines_by_WASHAgencies]]+WWWW[[#This Row],['#_Non Cluster partner latrines]]))</f>
        <v>0</v>
      </c>
      <c r="DG399" s="798">
        <f>IF(500*(WWWW[[#This Row],['#_male hygiene promoters]]+WWWW[[#This Row],['#_female hygiene promoters]])&gt;WWWW[[#This Row],[Total PoP ]],WWWW[[#This Row],[Total PoP ]],500*(WWWW[[#This Row],['#_male hygiene promoters]]+WWWW[[#This Row],['#_female hygiene promoters]]))</f>
        <v>255</v>
      </c>
      <c r="DH399"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399"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399" s="801">
        <f>IF(WWWW[[#This Row],['# People with access to soap]]&gt;WWWW[[#This Row],['# People with access to Sanity Pads]],WWWW[[#This Row],['# People with access to soap]],WWWW[[#This Row],['# People with access to Sanity Pads]])</f>
        <v>0</v>
      </c>
      <c r="DK399" s="801">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L399" s="803">
        <f>IF(WWWW[[#This Row],[HRP3]]/WWWW[[#This Row],[Total PoP ]]&gt;1,1,WWWW[[#This Row],[HRP3]]/WWWW[[#This Row],[Total PoP ]])</f>
        <v>1</v>
      </c>
      <c r="DM399" s="802">
        <f>1-WWWW[[#This Row],[Hygiene Coverage%]]</f>
        <v>0</v>
      </c>
      <c r="DN399" s="800">
        <f>WWWW[[#This Row],['# people reached by regular dedicated hygiene promotion_5]]/WWWW[[#This Row],[Total PoP ]]</f>
        <v>1</v>
      </c>
      <c r="DO399"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399"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399" s="801">
        <f>WWWW[[#This Row],['#_Constructed/Existing hand washing stations]]-WWWW[[#This Row],['#_Non-Functional_hand_washing_stations]]</f>
        <v>7</v>
      </c>
      <c r="DR399" s="798">
        <f>IF(WWWW[[#This Row],['# Functional hand washing stations during reporting period]]*20&gt;WWWW[[#This Row],[Total HH]],WWWW[[#This Row],[Total HH]],WWWW[[#This Row],['# Functional hand washing stations during reporting period]]*20)</f>
        <v>40</v>
      </c>
      <c r="DS399" s="798">
        <f>IF(WWWW[[#This Row],[Is sufficient soap available for TLS? (Yes/No)]]="yes",WWWW[[#This Row],['#_Constructed/Existing hand washing stations at TLS]],0)</f>
        <v>0</v>
      </c>
      <c r="DT399" s="479">
        <f>IF(WWWW[[#This Row],['# Functional hand washing stations during reporting period]]*100&gt;WWWW[[#This Row],[Total PoP ]],WWWW[[#This Row],[Total PoP ]],WWWW[[#This Row],['# Functional hand washing stations during reporting period]]*100)</f>
        <v>255</v>
      </c>
      <c r="DU399" s="479" t="str">
        <f>IF(OR(WWWW[[#This Row],['#_students at TLS_CFS]]="",WWWW[[#This Row],['#_students at TLS_CFS]]=0),"No","Yes")</f>
        <v>No</v>
      </c>
      <c r="DV39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3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3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399" s="794" t="str">
        <f>VLOOKUP(WWWW[[#This Row],[Site Name]],SiteDB6[[Site Name]:[CCCM Management]],6,FALSE)</f>
        <v>Yes</v>
      </c>
      <c r="DZ399" s="794" t="str">
        <f>VLOOKUP(WWWW[[#This Row],[Site Name]],SiteDB6[[Site Name]:[CCCM Focal Agency]],7,FALSE)</f>
        <v>KBC-BMO</v>
      </c>
      <c r="EA399" s="794" t="str">
        <f>VLOOKUP(WWWW[[#This Row],[Site Name]],SiteDB6[[Site Name]:[Location Type 1]],9,FALSE)</f>
        <v>Camp</v>
      </c>
      <c r="EB399" s="794" t="str">
        <f>VLOOKUP(WWWW[[#This Row],[Site Name]],SiteDB6[[Site Name]:[Type of Accommodation]],10,FALSE)</f>
        <v>Camp</v>
      </c>
      <c r="EC399" s="794" t="str">
        <f>VLOOKUP(WWWW[[#This Row],[Site Name]],SiteDB6[[Site Name]:[Ethnic or GCA/NGCA]],11,FALSE)</f>
        <v>GCA</v>
      </c>
      <c r="ED399" s="794">
        <f>VLOOKUP(WWWW[[#This Row],[Site Name]],SiteDB6[[Site Name]:[Lat]],12,FALSE)</f>
        <v>24.207332999999998</v>
      </c>
      <c r="EE399" s="794">
        <f>VLOOKUP(WWWW[[#This Row],[Site Name]],SiteDB6[[Site Name]:[Long]],13,FALSE)</f>
        <v>97.710864000000001</v>
      </c>
      <c r="EF399" s="794" t="str">
        <f>VLOOKUP(WWWW[[#This Row],[Site Name]],SiteDB6[[Site Name]:[Pcode]],3,FALSE)</f>
        <v>MMR001CMP073</v>
      </c>
      <c r="EG399" s="799" t="str">
        <f t="shared" si="10"/>
        <v>Covered</v>
      </c>
      <c r="EH399" s="799" t="str">
        <f>VLOOKUP(WWWW[[#This Row],[Site Name]],Site_DB!$C$389:$D$1120,2,FALSE)</f>
        <v>cccm_2019OCT</v>
      </c>
    </row>
    <row r="400" spans="1:138" hidden="1">
      <c r="A400" s="792" t="s">
        <v>3262</v>
      </c>
      <c r="B400" s="793" t="s">
        <v>3374</v>
      </c>
      <c r="C400" s="793" t="s">
        <v>3374</v>
      </c>
      <c r="D400" s="404" t="s">
        <v>3591</v>
      </c>
      <c r="E400" s="793" t="s">
        <v>39</v>
      </c>
      <c r="F400" s="793" t="s">
        <v>40</v>
      </c>
      <c r="G400" s="721" t="str">
        <f>VLOOKUP(WWWW[[#This Row],[Site Name]],SiteDB6[[Site Name]:[Location Type]],8,FALSE)</f>
        <v>Camp</v>
      </c>
      <c r="H400" s="404" t="s">
        <v>1931</v>
      </c>
      <c r="I400" s="795">
        <v>361</v>
      </c>
      <c r="J400" s="795">
        <v>1887</v>
      </c>
      <c r="K400" s="407" t="s">
        <v>3623</v>
      </c>
      <c r="L400" s="56" t="s">
        <v>3624</v>
      </c>
      <c r="M400" s="795"/>
      <c r="N400" s="795"/>
      <c r="O400" s="795"/>
      <c r="P400" s="795"/>
      <c r="Q400" s="798" t="s">
        <v>43</v>
      </c>
      <c r="R400" s="795"/>
      <c r="S400" s="795"/>
      <c r="T400" s="523">
        <v>4</v>
      </c>
      <c r="U400" s="795"/>
      <c r="V400" s="795"/>
      <c r="W400" s="795"/>
      <c r="X400" s="795"/>
      <c r="Y400" s="795"/>
      <c r="Z400" s="795"/>
      <c r="AA400" s="795"/>
      <c r="AB400" s="795"/>
      <c r="AC400" s="795"/>
      <c r="AD400" s="795"/>
      <c r="AE400" s="795">
        <v>5</v>
      </c>
      <c r="AF400" s="795"/>
      <c r="AG400" s="795">
        <v>2</v>
      </c>
      <c r="AH400" s="795">
        <v>5</v>
      </c>
      <c r="AI400" s="851"/>
      <c r="AJ400" s="851"/>
      <c r="AK400" s="795">
        <v>32</v>
      </c>
      <c r="AL400" s="795">
        <v>15</v>
      </c>
      <c r="AM400" s="795">
        <v>0</v>
      </c>
      <c r="AN400" s="795">
        <v>5</v>
      </c>
      <c r="AO400" s="799"/>
      <c r="AP400" s="795">
        <v>185</v>
      </c>
      <c r="AQ400" s="795"/>
      <c r="AR400" s="800"/>
      <c r="AS400" s="795"/>
      <c r="AT400" s="795"/>
      <c r="AU400" s="795"/>
      <c r="AV400" s="795"/>
      <c r="AW400" s="795">
        <v>73</v>
      </c>
      <c r="AX400" s="794" t="s">
        <v>139</v>
      </c>
      <c r="AY400" s="799" t="s">
        <v>140</v>
      </c>
      <c r="AZ400" s="795">
        <v>4</v>
      </c>
      <c r="BA400" s="795">
        <v>60</v>
      </c>
      <c r="BB400" s="795">
        <v>15</v>
      </c>
      <c r="BC400" s="523">
        <v>2</v>
      </c>
      <c r="BD400" s="523"/>
      <c r="BE400" s="794"/>
      <c r="BF400" s="795">
        <v>53</v>
      </c>
      <c r="BG400" s="795"/>
      <c r="BH400" s="795">
        <v>60</v>
      </c>
      <c r="BI400" s="795">
        <v>12</v>
      </c>
      <c r="BJ400" s="795"/>
      <c r="BK400" s="795">
        <v>2</v>
      </c>
      <c r="BL400" s="795">
        <v>6</v>
      </c>
      <c r="BM400" s="795"/>
      <c r="BN400" s="795"/>
      <c r="BO400" s="794" t="s">
        <v>43</v>
      </c>
      <c r="BP400" s="801"/>
      <c r="BQ400" s="800"/>
      <c r="BR400" s="794"/>
      <c r="BS400" s="472">
        <v>0.6</v>
      </c>
      <c r="BT400" s="472">
        <v>0.9</v>
      </c>
      <c r="BU400" s="474"/>
      <c r="BV400" s="472">
        <v>0.9</v>
      </c>
      <c r="BW400" s="523"/>
      <c r="BX400" s="523"/>
      <c r="BY400" s="523"/>
      <c r="BZ400" s="802" t="str">
        <f>IFERROR(WWWW[[#This Row],['#_Water sources passed]]/WWWW[[#This Row],['#_Water sources tested for fecal coliform ]],"no test")</f>
        <v>no test</v>
      </c>
      <c r="CA400" s="800">
        <f>IFERROR(WWWW[[#This Row],['#_Household passed]]/WWWW[[#This Row],['#_Household water samples tested for fecal coliform]],"no test")</f>
        <v>0.46875</v>
      </c>
      <c r="CB400" s="801" t="str">
        <f>IF(AND(WWWW[[#This Row],[% of water sources passed]]="no test",WWWW[[#This Row],[% Household passed]]="no test"),"No Test","Tested")</f>
        <v>Tested</v>
      </c>
      <c r="CC400" s="801">
        <f>WWWW[[#This Row],['#_Constructed/existing protected hand dug well]]-WWWW[[#This Row],['#_Non-functional protected hand dug well]]</f>
        <v>4</v>
      </c>
      <c r="CD400" s="801">
        <f>(WWWW[[#This Row],['#_Constructed/Existing tube wells/boreholes/handpumps_WASH_agency]]+WWWW[[#This Row],['#_Non-Cluster partner water tube-wells/boreholes/handpumps]])-WWWW[[#This Row],['#_Non-functional tube wells/boreholes/handpumps]]</f>
        <v>0</v>
      </c>
      <c r="CE400" s="801">
        <f>WWWW[[#This Row],['#_Constructed/Existingwater storage tank with gravity fed reticulation system]]-WWWW[[#This Row],['#_Non-functional storage tank gravity fed reticulation system]]</f>
        <v>0</v>
      </c>
      <c r="CF400" s="801">
        <f>(WWWW[[#This Row],['#_Water_Liters_supplied_by_Water boating or water trucking]]/90)/15</f>
        <v>0</v>
      </c>
      <c r="CG400" s="801">
        <f>WWWW[[#This Row],['#_Water_Liters_from_Constructed/Existing water distribution system from river or natural spring]]/90/15</f>
        <v>0</v>
      </c>
      <c r="CH400" s="473">
        <f>WWWW[[#This Row],['#_of water points in TLS/CFS /THF]]*500</f>
        <v>2500</v>
      </c>
      <c r="CI400"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J400"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K400" s="800">
        <f>IF(WWWW[[#This Row],[Location Type 1]]="Village",WWWW[[#This Row],[Access to safe drinking water for Village]],WWWW[[#This Row],[Access to safe drinking water for Camp]])</f>
        <v>0.84790673025967145</v>
      </c>
      <c r="CL400" s="798">
        <f>WWWW[[#This Row],[%Equitable and continuous access to sufficient quantity of safe drinking water]]*WWWW[[#This Row],[Total PoP ]]</f>
        <v>1600</v>
      </c>
      <c r="CM400" s="800">
        <f>IF((WWWW[[#This Row],['#_Constructed/Existing protected/fenced ponds]]*250)/WWWW[[#This Row],[Total PoP ]]&gt;1,1,(WWWW[[#This Row],['#_Constructed/Existing protected/fenced ponds]]*250)/WWWW[[#This Row],[Total PoP ]])</f>
        <v>0.66242713301536826</v>
      </c>
      <c r="CN400" s="798">
        <f>WWWW[[#This Row],[% Access to unimproved water points]]*WWWW[[#This Row],[Total PoP ]]</f>
        <v>1250</v>
      </c>
      <c r="CO400"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00"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Q400" s="798">
        <f>WWWW[[#This Row],[HRP1]]/500</f>
        <v>3.774</v>
      </c>
      <c r="CR400" s="803">
        <f>1-WWWW[[#This Row],[% Equitable and continuous access to sufficient quantity of domestic water]]</f>
        <v>0</v>
      </c>
      <c r="CS400" s="798">
        <f>WWWW[[#This Row],[%equitable and continuous access to sufficient quantity of safe drinking and domestic water''s GAP]]*WWWW[[#This Row],[Total PoP ]]</f>
        <v>0</v>
      </c>
      <c r="CT400" s="801">
        <f>IF(WWWW[[#This Row],[Total required water points]]-WWWW[[#This Row],['#Water points coverage]]&lt;0,0,WWWW[[#This Row],[Total required water points]]-WWWW[[#This Row],['#Water points coverage]])</f>
        <v>0.22599999999999998</v>
      </c>
      <c r="CU400" s="801">
        <f>ROUND(IF(WWWW[[#This Row],[Total PoP ]]&lt;500,1,WWWW[[#This Row],[Total PoP ]]/500),0)</f>
        <v>4</v>
      </c>
      <c r="CV400" s="801">
        <f>(WWWW[[#This Row],['#_Constructed latrines_by_WASHAgencies]]+WWWW[[#This Row],['#_Non Cluster partner latrines]])-WWWW[[#This Row],['#_Non-functional latrines]]</f>
        <v>185</v>
      </c>
      <c r="CW400" s="804">
        <f>WWWW[[#This Row],[HRP2]]/WWWW[[#This Row],[Total PoP ]]</f>
        <v>1</v>
      </c>
      <c r="CX400"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CY400"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0"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0" s="473">
        <f>IF(WWWW[[#This Row],['# of functional latrines in THF supported by WASH partners during the reporting period2]]="",0,WWWW[[#This Row],['# of functional latrines in THF supported by WASH partners during the reporting period2]]*50)</f>
        <v>100</v>
      </c>
      <c r="DB400" s="473">
        <f>WWWW[[#This Row],['# students access to functioning school latrines_HRP5]]+WWWW[[#This Row],['# People access to functioning latrines in THF_HRP5]]</f>
        <v>100</v>
      </c>
      <c r="DC400" s="801">
        <f>ROUND(IF(WWWW[[#This Row],[Location Type 1]]="camp",WWWW[[#This Row],[Total PoP ]]/20,IF(WWWW[[#This Row],[Location Type 1]]="Temporary Location",WWWW[[#This Row],[Total PoP ]]/50,(WWWW[[#This Row],[Total PoP ]]/6))),0)</f>
        <v>94</v>
      </c>
      <c r="DD400" s="801">
        <f>IF(WWWW[[#This Row],[Total required Latrines]]-(WWWW[[#This Row],['#_Constructed latrines_by_WASHAgencies]]+WWWW[[#This Row],['#_Non Cluster partner latrines]])&lt;0,0,WWWW[[#This Row],[Total required Latrines]]-(WWWW[[#This Row],['#_Constructed latrines_by_WASHAgencies]]+WWWW[[#This Row],['#_Non Cluster partner latrines]]))</f>
        <v>0</v>
      </c>
      <c r="DE400" s="803">
        <f>1-WWWW[[#This Row],[% people access to functioning Latrine]]</f>
        <v>0</v>
      </c>
      <c r="DF400" s="802">
        <f>IF(OR(WWWW[[#This Row],['#_Non-functional latrines]]="",WWWW[[#This Row],['#_Non-functional latrines]]=0),0,WWWW[[#This Row],['#_Non-functional latrines]]/(WWWW[[#This Row],['#_Constructed latrines_by_WASHAgencies]]+WWWW[[#This Row],['#_Non Cluster partner latrines]]))</f>
        <v>0</v>
      </c>
      <c r="DG400" s="798">
        <f>IF(500*(WWWW[[#This Row],['#_male hygiene promoters]]+WWWW[[#This Row],['#_female hygiene promoters]])&gt;WWWW[[#This Row],[Total PoP ]],WWWW[[#This Row],[Total PoP ]],500*(WWWW[[#This Row],['#_male hygiene promoters]]+WWWW[[#This Row],['#_female hygiene promoters]]))</f>
        <v>1887</v>
      </c>
      <c r="DH400"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0"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0" s="801">
        <f>IF(WWWW[[#This Row],['# People with access to soap]]&gt;WWWW[[#This Row],['# People with access to Sanity Pads]],WWWW[[#This Row],['# People with access to soap]],WWWW[[#This Row],['# People with access to Sanity Pads]])</f>
        <v>0</v>
      </c>
      <c r="DK400" s="801">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L400" s="803">
        <f>IF(WWWW[[#This Row],[HRP3]]/WWWW[[#This Row],[Total PoP ]]&gt;1,1,WWWW[[#This Row],[HRP3]]/WWWW[[#This Row],[Total PoP ]])</f>
        <v>1</v>
      </c>
      <c r="DM400" s="802">
        <f>1-WWWW[[#This Row],[Hygiene Coverage%]]</f>
        <v>0</v>
      </c>
      <c r="DN400" s="800">
        <f>WWWW[[#This Row],['# people reached by regular dedicated hygiene promotion_5]]/WWWW[[#This Row],[Total PoP ]]</f>
        <v>1</v>
      </c>
      <c r="DO400"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0"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0" s="801">
        <f>WWWW[[#This Row],['#_Constructed/Existing hand washing stations]]-WWWW[[#This Row],['#_Non-Functional_hand_washing_stations]]</f>
        <v>53</v>
      </c>
      <c r="DR400" s="798">
        <f>IF(WWWW[[#This Row],['# Functional hand washing stations during reporting period]]*20&gt;WWWW[[#This Row],[Total HH]],WWWW[[#This Row],[Total HH]],WWWW[[#This Row],['# Functional hand washing stations during reporting period]]*20)</f>
        <v>361</v>
      </c>
      <c r="DS400" s="798">
        <f>IF(WWWW[[#This Row],[Is sufficient soap available for TLS? (Yes/No)]]="yes",WWWW[[#This Row],['#_Constructed/Existing hand washing stations at TLS]],0)</f>
        <v>0</v>
      </c>
      <c r="DT400" s="479">
        <f>IF(WWWW[[#This Row],['# Functional hand washing stations during reporting period]]*100&gt;WWWW[[#This Row],[Total PoP ]],WWWW[[#This Row],[Total PoP ]],WWWW[[#This Row],['# Functional hand washing stations during reporting period]]*100)</f>
        <v>1887</v>
      </c>
      <c r="DU400" s="479" t="str">
        <f>IF(OR(WWWW[[#This Row],['#_students at TLS_CFS]]="",WWWW[[#This Row],['#_students at TLS_CFS]]=0),"No","Yes")</f>
        <v>No</v>
      </c>
      <c r="DV40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2500</v>
      </c>
      <c r="DY400" s="794" t="str">
        <f>VLOOKUP(WWWW[[#This Row],[Site Name]],SiteDB6[[Site Name]:[CCCM Management]],6,FALSE)</f>
        <v>Yes</v>
      </c>
      <c r="DZ400" s="794" t="str">
        <f>VLOOKUP(WWWW[[#This Row],[Site Name]],SiteDB6[[Site Name]:[CCCM Focal Agency]],7,FALSE)</f>
        <v>KMSS-BMO</v>
      </c>
      <c r="EA400" s="794" t="str">
        <f>VLOOKUP(WWWW[[#This Row],[Site Name]],SiteDB6[[Site Name]:[Location Type 1]],9,FALSE)</f>
        <v>Camp</v>
      </c>
      <c r="EB400" s="794" t="str">
        <f>VLOOKUP(WWWW[[#This Row],[Site Name]],SiteDB6[[Site Name]:[Type of Accommodation]],10,FALSE)</f>
        <v>Camp</v>
      </c>
      <c r="EC400" s="794" t="str">
        <f>VLOOKUP(WWWW[[#This Row],[Site Name]],SiteDB6[[Site Name]:[Ethnic or GCA/NGCA]],11,FALSE)</f>
        <v>NGCA</v>
      </c>
      <c r="ED400" s="794">
        <f>VLOOKUP(WWWW[[#This Row],[Site Name]],SiteDB6[[Site Name]:[Lat]],12,FALSE)</f>
        <v>24.002433</v>
      </c>
      <c r="EE400" s="794">
        <f>VLOOKUP(WWWW[[#This Row],[Site Name]],SiteDB6[[Site Name]:[Long]],13,FALSE)</f>
        <v>97.609832999999995</v>
      </c>
      <c r="EF400" s="794" t="str">
        <f>VLOOKUP(WWWW[[#This Row],[Site Name]],SiteDB6[[Site Name]:[Pcode]],3,FALSE)</f>
        <v>MMR001CMP129</v>
      </c>
      <c r="EG400" s="799" t="str">
        <f t="shared" si="10"/>
        <v>Covered</v>
      </c>
      <c r="EH400" s="799" t="str">
        <f>VLOOKUP(WWWW[[#This Row],[Site Name]],Site_DB!$C$389:$D$1120,2,FALSE)</f>
        <v>cccm_2019OCT</v>
      </c>
    </row>
    <row r="401" spans="1:138" hidden="1">
      <c r="A401" s="792" t="s">
        <v>3262</v>
      </c>
      <c r="B401" s="793" t="s">
        <v>3374</v>
      </c>
      <c r="C401" s="793" t="s">
        <v>3374</v>
      </c>
      <c r="D401" s="404" t="s">
        <v>3592</v>
      </c>
      <c r="E401" s="793" t="s">
        <v>39</v>
      </c>
      <c r="F401" s="793" t="s">
        <v>40</v>
      </c>
      <c r="G401" s="721" t="str">
        <f>VLOOKUP(WWWW[[#This Row],[Site Name]],SiteDB6[[Site Name]:[Location Type]],8,FALSE)</f>
        <v>Camp</v>
      </c>
      <c r="H401" s="793" t="s">
        <v>297</v>
      </c>
      <c r="I401" s="795">
        <v>481</v>
      </c>
      <c r="J401" s="795">
        <v>2691</v>
      </c>
      <c r="K401" s="407" t="s">
        <v>3623</v>
      </c>
      <c r="L401" s="56" t="s">
        <v>3624</v>
      </c>
      <c r="M401" s="795"/>
      <c r="N401" s="795"/>
      <c r="O401" s="795"/>
      <c r="P401" s="795"/>
      <c r="Q401" s="798" t="s">
        <v>43</v>
      </c>
      <c r="R401" s="795"/>
      <c r="S401" s="795"/>
      <c r="T401" s="523">
        <v>4</v>
      </c>
      <c r="U401" s="795"/>
      <c r="V401" s="795"/>
      <c r="W401" s="795"/>
      <c r="X401" s="795"/>
      <c r="Y401" s="795"/>
      <c r="Z401" s="795"/>
      <c r="AA401" s="594"/>
      <c r="AB401" s="795"/>
      <c r="AC401" s="795"/>
      <c r="AD401" s="795"/>
      <c r="AE401" s="795">
        <v>1</v>
      </c>
      <c r="AF401" s="795"/>
      <c r="AG401" s="795">
        <v>2</v>
      </c>
      <c r="AH401" s="795">
        <v>1</v>
      </c>
      <c r="AI401" s="795"/>
      <c r="AJ401" s="795"/>
      <c r="AK401" s="795">
        <v>16</v>
      </c>
      <c r="AL401" s="795">
        <v>7</v>
      </c>
      <c r="AM401" s="795">
        <v>5</v>
      </c>
      <c r="AN401" s="795">
        <v>2</v>
      </c>
      <c r="AO401" s="799"/>
      <c r="AP401" s="795">
        <v>438</v>
      </c>
      <c r="AQ401" s="795"/>
      <c r="AR401" s="800"/>
      <c r="AS401" s="795"/>
      <c r="AT401" s="795"/>
      <c r="AU401" s="795"/>
      <c r="AV401" s="795"/>
      <c r="AW401" s="795">
        <v>266</v>
      </c>
      <c r="AX401" s="794" t="s">
        <v>139</v>
      </c>
      <c r="AY401" s="799" t="s">
        <v>140</v>
      </c>
      <c r="AZ401" s="795">
        <v>6</v>
      </c>
      <c r="BA401" s="795">
        <v>274</v>
      </c>
      <c r="BB401" s="795">
        <v>62</v>
      </c>
      <c r="BC401" s="523">
        <v>2</v>
      </c>
      <c r="BD401" s="523"/>
      <c r="BE401" s="794"/>
      <c r="BF401" s="795">
        <v>59</v>
      </c>
      <c r="BG401" s="795"/>
      <c r="BH401" s="795">
        <v>266</v>
      </c>
      <c r="BI401" s="795">
        <v>3</v>
      </c>
      <c r="BJ401" s="795"/>
      <c r="BK401" s="795"/>
      <c r="BL401" s="795">
        <v>7</v>
      </c>
      <c r="BM401" s="795"/>
      <c r="BN401" s="795"/>
      <c r="BO401" s="794" t="s">
        <v>43</v>
      </c>
      <c r="BP401" s="801"/>
      <c r="BQ401" s="800"/>
      <c r="BR401" s="794"/>
      <c r="BS401" s="472">
        <v>0.6</v>
      </c>
      <c r="BT401" s="472">
        <v>0.9</v>
      </c>
      <c r="BU401" s="474"/>
      <c r="BV401" s="472">
        <v>0.9</v>
      </c>
      <c r="BW401" s="523"/>
      <c r="BX401" s="523"/>
      <c r="BY401" s="523"/>
      <c r="BZ401" s="802" t="str">
        <f>IFERROR(WWWW[[#This Row],['#_Water sources passed]]/WWWW[[#This Row],['#_Water sources tested for fecal coliform ]],"no test")</f>
        <v>no test</v>
      </c>
      <c r="CA401" s="800">
        <f>IFERROR(WWWW[[#This Row],['#_Household passed]]/WWWW[[#This Row],['#_Household water samples tested for fecal coliform]],"no test")</f>
        <v>0.4375</v>
      </c>
      <c r="CB401" s="801" t="str">
        <f>IF(AND(WWWW[[#This Row],[% of water sources passed]]="no test",WWWW[[#This Row],[% Household passed]]="no test"),"No Test","Tested")</f>
        <v>Tested</v>
      </c>
      <c r="CC401" s="801">
        <f>WWWW[[#This Row],['#_Constructed/existing protected hand dug well]]-WWWW[[#This Row],['#_Non-functional protected hand dug well]]</f>
        <v>4</v>
      </c>
      <c r="CD401" s="801">
        <f>(WWWW[[#This Row],['#_Constructed/Existing tube wells/boreholes/handpumps_WASH_agency]]+WWWW[[#This Row],['#_Non-Cluster partner water tube-wells/boreholes/handpumps]])-WWWW[[#This Row],['#_Non-functional tube wells/boreholes/handpumps]]</f>
        <v>0</v>
      </c>
      <c r="CE401" s="801">
        <f>WWWW[[#This Row],['#_Constructed/Existingwater storage tank with gravity fed reticulation system]]-WWWW[[#This Row],['#_Non-functional storage tank gravity fed reticulation system]]</f>
        <v>0</v>
      </c>
      <c r="CF401" s="801">
        <f>(WWWW[[#This Row],['#_Water_Liters_supplied_by_Water boating or water trucking]]/90)/15</f>
        <v>0</v>
      </c>
      <c r="CG401" s="801">
        <f>WWWW[[#This Row],['#_Water_Liters_from_Constructed/Existing water distribution system from river or natural spring]]/90/15</f>
        <v>0</v>
      </c>
      <c r="CH401" s="473">
        <f>WWWW[[#This Row],['#_of water points in TLS/CFS /THF]]*500</f>
        <v>1000</v>
      </c>
      <c r="CI401"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J401"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K401" s="800">
        <f>IF(WWWW[[#This Row],[Location Type 1]]="Village",WWWW[[#This Row],[Access to safe drinking water for Village]],WWWW[[#This Row],[Access to safe drinking water for Camp]])</f>
        <v>0.59457450761798591</v>
      </c>
      <c r="CL401" s="798">
        <f>WWWW[[#This Row],[%Equitable and continuous access to sufficient quantity of safe drinking water]]*WWWW[[#This Row],[Total PoP ]]</f>
        <v>1600</v>
      </c>
      <c r="CM401" s="800">
        <f>IF((WWWW[[#This Row],['#_Constructed/Existing protected/fenced ponds]]*250)/WWWW[[#This Row],[Total PoP ]]&gt;1,1,(WWWW[[#This Row],['#_Constructed/Existing protected/fenced ponds]]*250)/WWWW[[#This Row],[Total PoP ]])</f>
        <v>9.2902266815310289E-2</v>
      </c>
      <c r="CN401" s="798">
        <f>WWWW[[#This Row],[% Access to unimproved water points]]*WWWW[[#This Row],[Total PoP ]]</f>
        <v>250</v>
      </c>
      <c r="CO401"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P401"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Q401" s="798">
        <f>WWWW[[#This Row],[HRP1]]/500</f>
        <v>3.7</v>
      </c>
      <c r="CR401" s="803">
        <f>1-WWWW[[#This Row],[% Equitable and continuous access to sufficient quantity of domestic water]]</f>
        <v>0.31252322556670376</v>
      </c>
      <c r="CS401" s="798">
        <f>WWWW[[#This Row],[%equitable and continuous access to sufficient quantity of safe drinking and domestic water''s GAP]]*WWWW[[#This Row],[Total PoP ]]</f>
        <v>840.99999999999977</v>
      </c>
      <c r="CT401" s="801">
        <f>IF(WWWW[[#This Row],[Total required water points]]-WWWW[[#This Row],['#Water points coverage]]&lt;0,0,WWWW[[#This Row],[Total required water points]]-WWWW[[#This Row],['#Water points coverage]])</f>
        <v>1.2999999999999998</v>
      </c>
      <c r="CU401" s="801">
        <f>ROUND(IF(WWWW[[#This Row],[Total PoP ]]&lt;500,1,WWWW[[#This Row],[Total PoP ]]/500),0)</f>
        <v>5</v>
      </c>
      <c r="CV401" s="801">
        <f>(WWWW[[#This Row],['#_Constructed latrines_by_WASHAgencies]]+WWWW[[#This Row],['#_Non Cluster partner latrines]])-WWWW[[#This Row],['#_Non-functional latrines]]</f>
        <v>438</v>
      </c>
      <c r="CW401" s="804">
        <f>WWWW[[#This Row],[HRP2]]/WWWW[[#This Row],[Total PoP ]]</f>
        <v>1</v>
      </c>
      <c r="CX401"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CY401"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1"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1" s="473">
        <f>IF(WWWW[[#This Row],['# of functional latrines in THF supported by WASH partners during the reporting period2]]="",0,WWWW[[#This Row],['# of functional latrines in THF supported by WASH partners during the reporting period2]]*50)</f>
        <v>100</v>
      </c>
      <c r="DB401" s="473">
        <f>WWWW[[#This Row],['# students access to functioning school latrines_HRP5]]+WWWW[[#This Row],['# People access to functioning latrines in THF_HRP5]]</f>
        <v>100</v>
      </c>
      <c r="DC401" s="801">
        <f>ROUND(IF(WWWW[[#This Row],[Location Type 1]]="camp",WWWW[[#This Row],[Total PoP ]]/20,IF(WWWW[[#This Row],[Location Type 1]]="Temporary Location",WWWW[[#This Row],[Total PoP ]]/50,(WWWW[[#This Row],[Total PoP ]]/6))),0)</f>
        <v>135</v>
      </c>
      <c r="DD401" s="801">
        <f>IF(WWWW[[#This Row],[Total required Latrines]]-(WWWW[[#This Row],['#_Constructed latrines_by_WASHAgencies]]+WWWW[[#This Row],['#_Non Cluster partner latrines]])&lt;0,0,WWWW[[#This Row],[Total required Latrines]]-(WWWW[[#This Row],['#_Constructed latrines_by_WASHAgencies]]+WWWW[[#This Row],['#_Non Cluster partner latrines]]))</f>
        <v>0</v>
      </c>
      <c r="DE401" s="803">
        <f>1-WWWW[[#This Row],[% people access to functioning Latrine]]</f>
        <v>0</v>
      </c>
      <c r="DF401" s="802">
        <f>IF(OR(WWWW[[#This Row],['#_Non-functional latrines]]="",WWWW[[#This Row],['#_Non-functional latrines]]=0),0,WWWW[[#This Row],['#_Non-functional latrines]]/(WWWW[[#This Row],['#_Constructed latrines_by_WASHAgencies]]+WWWW[[#This Row],['#_Non Cluster partner latrines]]))</f>
        <v>0</v>
      </c>
      <c r="DG401" s="798">
        <f>IF(500*(WWWW[[#This Row],['#_male hygiene promoters]]+WWWW[[#This Row],['#_female hygiene promoters]])&gt;WWWW[[#This Row],[Total PoP ]],WWWW[[#This Row],[Total PoP ]],500*(WWWW[[#This Row],['#_male hygiene promoters]]+WWWW[[#This Row],['#_female hygiene promoters]]))</f>
        <v>2691</v>
      </c>
      <c r="DH401"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1"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1" s="801">
        <f>IF(WWWW[[#This Row],['# People with access to soap]]&gt;WWWW[[#This Row],['# People with access to Sanity Pads]],WWWW[[#This Row],['# People with access to soap]],WWWW[[#This Row],['# People with access to Sanity Pads]])</f>
        <v>0</v>
      </c>
      <c r="DK401" s="801">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L401" s="803">
        <f>IF(WWWW[[#This Row],[HRP3]]/WWWW[[#This Row],[Total PoP ]]&gt;1,1,WWWW[[#This Row],[HRP3]]/WWWW[[#This Row],[Total PoP ]])</f>
        <v>1</v>
      </c>
      <c r="DM401" s="802">
        <f>1-WWWW[[#This Row],[Hygiene Coverage%]]</f>
        <v>0</v>
      </c>
      <c r="DN401" s="800">
        <f>WWWW[[#This Row],['# people reached by regular dedicated hygiene promotion_5]]/WWWW[[#This Row],[Total PoP ]]</f>
        <v>1</v>
      </c>
      <c r="DO401"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1"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1" s="801">
        <f>WWWW[[#This Row],['#_Constructed/Existing hand washing stations]]-WWWW[[#This Row],['#_Non-Functional_hand_washing_stations]]</f>
        <v>59</v>
      </c>
      <c r="DR401" s="798">
        <f>IF(WWWW[[#This Row],['# Functional hand washing stations during reporting period]]*20&gt;WWWW[[#This Row],[Total HH]],WWWW[[#This Row],[Total HH]],WWWW[[#This Row],['# Functional hand washing stations during reporting period]]*20)</f>
        <v>481</v>
      </c>
      <c r="DS401" s="798">
        <f>IF(WWWW[[#This Row],[Is sufficient soap available for TLS? (Yes/No)]]="yes",WWWW[[#This Row],['#_Constructed/Existing hand washing stations at TLS]],0)</f>
        <v>5</v>
      </c>
      <c r="DT401" s="479">
        <f>IF(WWWW[[#This Row],['# Functional hand washing stations during reporting period]]*100&gt;WWWW[[#This Row],[Total PoP ]],WWWW[[#This Row],[Total PoP ]],WWWW[[#This Row],['# Functional hand washing stations during reporting period]]*100)</f>
        <v>2691</v>
      </c>
      <c r="DU401" s="479" t="str">
        <f>IF(OR(WWWW[[#This Row],['#_students at TLS_CFS]]="",WWWW[[#This Row],['#_students at TLS_CFS]]=0),"No","Yes")</f>
        <v>No</v>
      </c>
      <c r="DV40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01" s="794" t="str">
        <f>VLOOKUP(WWWW[[#This Row],[Site Name]],SiteDB6[[Site Name]:[CCCM Management]],6,FALSE)</f>
        <v>Yes</v>
      </c>
      <c r="DZ401" s="794" t="str">
        <f>VLOOKUP(WWWW[[#This Row],[Site Name]],SiteDB6[[Site Name]:[CCCM Focal Agency]],7,FALSE)</f>
        <v>KMSS-BMO</v>
      </c>
      <c r="EA401" s="794" t="str">
        <f>VLOOKUP(WWWW[[#This Row],[Site Name]],SiteDB6[[Site Name]:[Location Type 1]],9,FALSE)</f>
        <v>Camp</v>
      </c>
      <c r="EB401" s="794" t="str">
        <f>VLOOKUP(WWWW[[#This Row],[Site Name]],SiteDB6[[Site Name]:[Type of Accommodation]],10,FALSE)</f>
        <v>Camp</v>
      </c>
      <c r="EC401" s="794" t="str">
        <f>VLOOKUP(WWWW[[#This Row],[Site Name]],SiteDB6[[Site Name]:[Ethnic or GCA/NGCA]],11,FALSE)</f>
        <v>NGCA</v>
      </c>
      <c r="ED401" s="794">
        <f>VLOOKUP(WWWW[[#This Row],[Site Name]],SiteDB6[[Site Name]:[Lat]],12,FALSE)</f>
        <v>24.056132999999999</v>
      </c>
      <c r="EE401" s="794">
        <f>VLOOKUP(WWWW[[#This Row],[Site Name]],SiteDB6[[Site Name]:[Long]],13,FALSE)</f>
        <v>97.625617000000005</v>
      </c>
      <c r="EF401" s="794" t="str">
        <f>VLOOKUP(WWWW[[#This Row],[Site Name]],SiteDB6[[Site Name]:[Pcode]],3,FALSE)</f>
        <v>MMR001CMP128</v>
      </c>
      <c r="EG401" s="799" t="str">
        <f t="shared" si="10"/>
        <v>Covered</v>
      </c>
      <c r="EH401" s="799" t="str">
        <f>VLOOKUP(WWWW[[#This Row],[Site Name]],Site_DB!$C$389:$D$1120,2,FALSE)</f>
        <v>cccm_2019OCT</v>
      </c>
    </row>
    <row r="402" spans="1:138" hidden="1">
      <c r="A402" s="792" t="s">
        <v>3262</v>
      </c>
      <c r="B402" s="792" t="s">
        <v>294</v>
      </c>
      <c r="C402" s="793" t="s">
        <v>294</v>
      </c>
      <c r="D402" s="793" t="s">
        <v>3593</v>
      </c>
      <c r="E402" s="793" t="s">
        <v>39</v>
      </c>
      <c r="F402" s="793" t="s">
        <v>208</v>
      </c>
      <c r="G402" s="721" t="str">
        <f>VLOOKUP(WWWW[[#This Row],[Site Name]],SiteDB6[[Site Name]:[Location Type]],8,FALSE)</f>
        <v>Camp</v>
      </c>
      <c r="H402" s="404" t="s">
        <v>298</v>
      </c>
      <c r="I402" s="795">
        <v>332</v>
      </c>
      <c r="J402" s="795">
        <v>1675</v>
      </c>
      <c r="K402" s="407">
        <v>43874</v>
      </c>
      <c r="L402" s="859">
        <v>44239</v>
      </c>
      <c r="M402" s="795"/>
      <c r="N402" s="795"/>
      <c r="O402" s="795"/>
      <c r="P402" s="795"/>
      <c r="Q402" s="798" t="s">
        <v>43</v>
      </c>
      <c r="R402" s="795"/>
      <c r="S402" s="795"/>
      <c r="T402" s="523"/>
      <c r="U402" s="795"/>
      <c r="V402" s="795"/>
      <c r="W402" s="795"/>
      <c r="X402" s="795"/>
      <c r="Y402" s="795"/>
      <c r="Z402" s="795"/>
      <c r="AA402" s="795"/>
      <c r="AB402" s="795"/>
      <c r="AC402" s="795"/>
      <c r="AD402" s="795"/>
      <c r="AE402" s="795">
        <v>6</v>
      </c>
      <c r="AF402" s="795"/>
      <c r="AG402" s="795">
        <v>2</v>
      </c>
      <c r="AH402" s="795">
        <v>6</v>
      </c>
      <c r="AI402" s="795"/>
      <c r="AJ402" s="795"/>
      <c r="AK402" s="795"/>
      <c r="AL402" s="795"/>
      <c r="AM402" s="795">
        <v>4</v>
      </c>
      <c r="AN402" s="795">
        <v>2</v>
      </c>
      <c r="AO402" s="799"/>
      <c r="AP402" s="795">
        <v>181</v>
      </c>
      <c r="AQ402" s="795"/>
      <c r="AR402" s="800"/>
      <c r="AS402" s="795"/>
      <c r="AT402" s="795"/>
      <c r="AU402" s="795"/>
      <c r="AV402" s="795"/>
      <c r="AW402" s="795">
        <v>71</v>
      </c>
      <c r="AX402" s="794" t="s">
        <v>139</v>
      </c>
      <c r="AY402" s="799" t="s">
        <v>140</v>
      </c>
      <c r="AZ402" s="795">
        <v>2</v>
      </c>
      <c r="BA402" s="795"/>
      <c r="BB402" s="795">
        <v>16</v>
      </c>
      <c r="BC402" s="523">
        <v>2</v>
      </c>
      <c r="BD402" s="523"/>
      <c r="BE402" s="794"/>
      <c r="BF402" s="795">
        <v>52</v>
      </c>
      <c r="BG402" s="795"/>
      <c r="BH402" s="795">
        <v>30</v>
      </c>
      <c r="BI402" s="795">
        <v>22</v>
      </c>
      <c r="BJ402" s="795"/>
      <c r="BK402" s="795"/>
      <c r="BL402" s="795">
        <v>6</v>
      </c>
      <c r="BM402" s="795"/>
      <c r="BN402" s="795"/>
      <c r="BO402" s="794" t="s">
        <v>43</v>
      </c>
      <c r="BP402" s="801"/>
      <c r="BQ402" s="800"/>
      <c r="BR402" s="794"/>
      <c r="BS402" s="472">
        <v>0.6</v>
      </c>
      <c r="BT402" s="472">
        <v>0.9</v>
      </c>
      <c r="BU402" s="474"/>
      <c r="BV402" s="472">
        <v>0.6</v>
      </c>
      <c r="BW402" s="523"/>
      <c r="BX402" s="523"/>
      <c r="BY402" s="523"/>
      <c r="BZ402" s="802" t="str">
        <f>IFERROR(WWWW[[#This Row],['#_Water sources passed]]/WWWW[[#This Row],['#_Water sources tested for fecal coliform ]],"no test")</f>
        <v>no test</v>
      </c>
      <c r="CA402" s="800" t="str">
        <f>IFERROR(WWWW[[#This Row],['#_Household passed]]/WWWW[[#This Row],['#_Household water samples tested for fecal coliform]],"no test")</f>
        <v>no test</v>
      </c>
      <c r="CB402" s="801" t="str">
        <f>IF(AND(WWWW[[#This Row],[% of water sources passed]]="no test",WWWW[[#This Row],[% Household passed]]="no test"),"No Test","Tested")</f>
        <v>No Test</v>
      </c>
      <c r="CC402" s="801">
        <f>WWWW[[#This Row],['#_Constructed/existing protected hand dug well]]-WWWW[[#This Row],['#_Non-functional protected hand dug well]]</f>
        <v>0</v>
      </c>
      <c r="CD402" s="801">
        <f>(WWWW[[#This Row],['#_Constructed/Existing tube wells/boreholes/handpumps_WASH_agency]]+WWWW[[#This Row],['#_Non-Cluster partner water tube-wells/boreholes/handpumps]])-WWWW[[#This Row],['#_Non-functional tube wells/boreholes/handpumps]]</f>
        <v>0</v>
      </c>
      <c r="CE402" s="801">
        <f>WWWW[[#This Row],['#_Constructed/Existingwater storage tank with gravity fed reticulation system]]-WWWW[[#This Row],['#_Non-functional storage tank gravity fed reticulation system]]</f>
        <v>0</v>
      </c>
      <c r="CF402" s="801">
        <f>(WWWW[[#This Row],['#_Water_Liters_supplied_by_Water boating or water trucking]]/90)/15</f>
        <v>0</v>
      </c>
      <c r="CG402" s="801">
        <f>WWWW[[#This Row],['#_Water_Liters_from_Constructed/Existing water distribution system from river or natural spring]]/90/15</f>
        <v>0</v>
      </c>
      <c r="CH402" s="473">
        <f>WWWW[[#This Row],['#_of water points in TLS/CFS /THF]]*500</f>
        <v>1000</v>
      </c>
      <c r="CI402"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2"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2" s="800">
        <f>IF(WWWW[[#This Row],[Location Type 1]]="Village",WWWW[[#This Row],[Access to safe drinking water for Village]],WWWW[[#This Row],[Access to safe drinking water for Camp]])</f>
        <v>0</v>
      </c>
      <c r="CL402" s="798">
        <f>WWWW[[#This Row],[%Equitable and continuous access to sufficient quantity of safe drinking water]]*WWWW[[#This Row],[Total PoP ]]</f>
        <v>0</v>
      </c>
      <c r="CM402" s="800">
        <f>IF((WWWW[[#This Row],['#_Constructed/Existing protected/fenced ponds]]*250)/WWWW[[#This Row],[Total PoP ]]&gt;1,1,(WWWW[[#This Row],['#_Constructed/Existing protected/fenced ponds]]*250)/WWWW[[#This Row],[Total PoP ]])</f>
        <v>0.89552238805970152</v>
      </c>
      <c r="CN402" s="798">
        <f>WWWW[[#This Row],[% Access to unimproved water points]]*WWWW[[#This Row],[Total PoP ]]</f>
        <v>1500</v>
      </c>
      <c r="CO402"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P402"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Q402" s="798">
        <f>WWWW[[#This Row],[HRP1]]/500</f>
        <v>3</v>
      </c>
      <c r="CR402" s="803">
        <f>1-WWWW[[#This Row],[% Equitable and continuous access to sufficient quantity of domestic water]]</f>
        <v>0.10447761194029848</v>
      </c>
      <c r="CS402" s="798">
        <f>WWWW[[#This Row],[%equitable and continuous access to sufficient quantity of safe drinking and domestic water''s GAP]]*WWWW[[#This Row],[Total PoP ]]</f>
        <v>174.99999999999994</v>
      </c>
      <c r="CT402" s="801">
        <f>IF(WWWW[[#This Row],[Total required water points]]-WWWW[[#This Row],['#Water points coverage]]&lt;0,0,WWWW[[#This Row],[Total required water points]]-WWWW[[#This Row],['#Water points coverage]])</f>
        <v>0</v>
      </c>
      <c r="CU402" s="801">
        <f>ROUND(IF(WWWW[[#This Row],[Total PoP ]]&lt;500,1,WWWW[[#This Row],[Total PoP ]]/500),0)</f>
        <v>3</v>
      </c>
      <c r="CV402" s="801">
        <f>(WWWW[[#This Row],['#_Constructed latrines_by_WASHAgencies]]+WWWW[[#This Row],['#_Non Cluster partner latrines]])-WWWW[[#This Row],['#_Non-functional latrines]]</f>
        <v>181</v>
      </c>
      <c r="CW402" s="804">
        <f>WWWW[[#This Row],[HRP2]]/WWWW[[#This Row],[Total PoP ]]</f>
        <v>1</v>
      </c>
      <c r="CX402"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CY402"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2"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2" s="473">
        <f>IF(WWWW[[#This Row],['# of functional latrines in THF supported by WASH partners during the reporting period2]]="",0,WWWW[[#This Row],['# of functional latrines in THF supported by WASH partners during the reporting period2]]*50)</f>
        <v>100</v>
      </c>
      <c r="DB402" s="473">
        <f>WWWW[[#This Row],['# students access to functioning school latrines_HRP5]]+WWWW[[#This Row],['# People access to functioning latrines in THF_HRP5]]</f>
        <v>100</v>
      </c>
      <c r="DC402" s="801">
        <f>ROUND(IF(WWWW[[#This Row],[Location Type 1]]="camp",WWWW[[#This Row],[Total PoP ]]/20,IF(WWWW[[#This Row],[Location Type 1]]="Temporary Location",WWWW[[#This Row],[Total PoP ]]/50,(WWWW[[#This Row],[Total PoP ]]/6))),0)</f>
        <v>84</v>
      </c>
      <c r="DD402" s="801">
        <f>IF(WWWW[[#This Row],[Total required Latrines]]-(WWWW[[#This Row],['#_Constructed latrines_by_WASHAgencies]]+WWWW[[#This Row],['#_Non Cluster partner latrines]])&lt;0,0,WWWW[[#This Row],[Total required Latrines]]-(WWWW[[#This Row],['#_Constructed latrines_by_WASHAgencies]]+WWWW[[#This Row],['#_Non Cluster partner latrines]]))</f>
        <v>0</v>
      </c>
      <c r="DE402" s="803">
        <f>1-WWWW[[#This Row],[% people access to functioning Latrine]]</f>
        <v>0</v>
      </c>
      <c r="DF402" s="802">
        <f>IF(OR(WWWW[[#This Row],['#_Non-functional latrines]]="",WWWW[[#This Row],['#_Non-functional latrines]]=0),0,WWWW[[#This Row],['#_Non-functional latrines]]/(WWWW[[#This Row],['#_Constructed latrines_by_WASHAgencies]]+WWWW[[#This Row],['#_Non Cluster partner latrines]]))</f>
        <v>0</v>
      </c>
      <c r="DG402" s="798">
        <f>IF(500*(WWWW[[#This Row],['#_male hygiene promoters]]+WWWW[[#This Row],['#_female hygiene promoters]])&gt;WWWW[[#This Row],[Total PoP ]],WWWW[[#This Row],[Total PoP ]],500*(WWWW[[#This Row],['#_male hygiene promoters]]+WWWW[[#This Row],['#_female hygiene promoters]]))</f>
        <v>1675</v>
      </c>
      <c r="DH402"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2"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2" s="801">
        <f>IF(WWWW[[#This Row],['# People with access to soap]]&gt;WWWW[[#This Row],['# People with access to Sanity Pads]],WWWW[[#This Row],['# People with access to soap]],WWWW[[#This Row],['# People with access to Sanity Pads]])</f>
        <v>0</v>
      </c>
      <c r="DK402" s="801">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L402" s="803">
        <f>IF(WWWW[[#This Row],[HRP3]]/WWWW[[#This Row],[Total PoP ]]&gt;1,1,WWWW[[#This Row],[HRP3]]/WWWW[[#This Row],[Total PoP ]])</f>
        <v>1</v>
      </c>
      <c r="DM402" s="802">
        <f>1-WWWW[[#This Row],[Hygiene Coverage%]]</f>
        <v>0</v>
      </c>
      <c r="DN402" s="800">
        <f>WWWW[[#This Row],['# people reached by regular dedicated hygiene promotion_5]]/WWWW[[#This Row],[Total PoP ]]</f>
        <v>1</v>
      </c>
      <c r="DO402"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2"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2" s="801">
        <f>WWWW[[#This Row],['#_Constructed/Existing hand washing stations]]-WWWW[[#This Row],['#_Non-Functional_hand_washing_stations]]</f>
        <v>52</v>
      </c>
      <c r="DR402" s="798">
        <f>IF(WWWW[[#This Row],['# Functional hand washing stations during reporting period]]*20&gt;WWWW[[#This Row],[Total HH]],WWWW[[#This Row],[Total HH]],WWWW[[#This Row],['# Functional hand washing stations during reporting period]]*20)</f>
        <v>332</v>
      </c>
      <c r="DS402" s="798">
        <f>IF(WWWW[[#This Row],[Is sufficient soap available for TLS? (Yes/No)]]="yes",WWWW[[#This Row],['#_Constructed/Existing hand washing stations at TLS]],0)</f>
        <v>4</v>
      </c>
      <c r="DT402" s="479">
        <f>IF(WWWW[[#This Row],['# Functional hand washing stations during reporting period]]*100&gt;WWWW[[#This Row],[Total PoP ]],WWWW[[#This Row],[Total PoP ]],WWWW[[#This Row],['# Functional hand washing stations during reporting period]]*100)</f>
        <v>1675</v>
      </c>
      <c r="DU402" s="479" t="str">
        <f>IF(OR(WWWW[[#This Row],['#_students at TLS_CFS]]="",WWWW[[#This Row],['#_students at TLS_CFS]]=0),"No","Yes")</f>
        <v>No</v>
      </c>
      <c r="DV40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02" s="794" t="str">
        <f>VLOOKUP(WWWW[[#This Row],[Site Name]],SiteDB6[[Site Name]:[CCCM Management]],6,FALSE)</f>
        <v>Yes</v>
      </c>
      <c r="DZ402" s="794" t="str">
        <f>VLOOKUP(WWWW[[#This Row],[Site Name]],SiteDB6[[Site Name]:[CCCM Focal Agency]],7,FALSE)</f>
        <v>KMSS-BMO</v>
      </c>
      <c r="EA402" s="794" t="str">
        <f>VLOOKUP(WWWW[[#This Row],[Site Name]],SiteDB6[[Site Name]:[Location Type 1]],9,FALSE)</f>
        <v>Camp</v>
      </c>
      <c r="EB402" s="794" t="str">
        <f>VLOOKUP(WWWW[[#This Row],[Site Name]],SiteDB6[[Site Name]:[Type of Accommodation]],10,FALSE)</f>
        <v>Camp</v>
      </c>
      <c r="EC402" s="794" t="str">
        <f>VLOOKUP(WWWW[[#This Row],[Site Name]],SiteDB6[[Site Name]:[Ethnic or GCA/NGCA]],11,FALSE)</f>
        <v>NGCA</v>
      </c>
      <c r="ED402" s="794">
        <f>VLOOKUP(WWWW[[#This Row],[Site Name]],SiteDB6[[Site Name]:[Lat]],12,FALSE)</f>
        <v>24.378167000000001</v>
      </c>
      <c r="EE402" s="794">
        <f>VLOOKUP(WWWW[[#This Row],[Site Name]],SiteDB6[[Site Name]:[Long]],13,FALSE)</f>
        <v>97.669366999999994</v>
      </c>
      <c r="EF402" s="794" t="str">
        <f>VLOOKUP(WWWW[[#This Row],[Site Name]],SiteDB6[[Site Name]:[Pcode]],3,FALSE)</f>
        <v>MMR001CMP131</v>
      </c>
      <c r="EG402" s="799" t="str">
        <f t="shared" si="10"/>
        <v>Covered</v>
      </c>
      <c r="EH402" s="799" t="str">
        <f>VLOOKUP(WWWW[[#This Row],[Site Name]],Site_DB!$C$389:$D$1120,2,FALSE)</f>
        <v>cccm_2019OCT</v>
      </c>
    </row>
    <row r="403" spans="1:138" hidden="1">
      <c r="A403" s="792" t="s">
        <v>3262</v>
      </c>
      <c r="B403" s="792" t="s">
        <v>294</v>
      </c>
      <c r="C403" s="793" t="s">
        <v>294</v>
      </c>
      <c r="D403" s="793" t="s">
        <v>3593</v>
      </c>
      <c r="E403" s="793" t="s">
        <v>39</v>
      </c>
      <c r="F403" s="793" t="s">
        <v>208</v>
      </c>
      <c r="G403" s="721" t="str">
        <f>VLOOKUP(WWWW[[#This Row],[Site Name]],SiteDB6[[Site Name]:[Location Type]],8,FALSE)</f>
        <v>Camp</v>
      </c>
      <c r="H403" s="793" t="s">
        <v>299</v>
      </c>
      <c r="I403" s="795">
        <v>593</v>
      </c>
      <c r="J403" s="795">
        <v>2975</v>
      </c>
      <c r="K403" s="407">
        <v>43874</v>
      </c>
      <c r="L403" s="859">
        <v>44239</v>
      </c>
      <c r="M403" s="795"/>
      <c r="N403" s="795"/>
      <c r="O403" s="795"/>
      <c r="P403" s="795"/>
      <c r="Q403" s="798" t="s">
        <v>43</v>
      </c>
      <c r="R403" s="795"/>
      <c r="S403" s="795"/>
      <c r="T403" s="523"/>
      <c r="U403" s="795"/>
      <c r="V403" s="795"/>
      <c r="W403" s="795"/>
      <c r="X403" s="795"/>
      <c r="Y403" s="795"/>
      <c r="Z403" s="795"/>
      <c r="AA403" s="594">
        <v>25</v>
      </c>
      <c r="AB403" s="795"/>
      <c r="AC403" s="795"/>
      <c r="AD403" s="795"/>
      <c r="AE403" s="795">
        <v>1</v>
      </c>
      <c r="AF403" s="795"/>
      <c r="AG403" s="795">
        <v>2</v>
      </c>
      <c r="AH403" s="795">
        <v>1</v>
      </c>
      <c r="AI403" s="795"/>
      <c r="AJ403" s="795"/>
      <c r="AK403" s="795">
        <v>32</v>
      </c>
      <c r="AL403" s="795">
        <v>16</v>
      </c>
      <c r="AM403" s="795">
        <v>21</v>
      </c>
      <c r="AN403" s="795">
        <v>6</v>
      </c>
      <c r="AO403" s="799"/>
      <c r="AP403" s="795">
        <v>152</v>
      </c>
      <c r="AQ403" s="795"/>
      <c r="AR403" s="800"/>
      <c r="AS403" s="795"/>
      <c r="AT403" s="795"/>
      <c r="AU403" s="795"/>
      <c r="AV403" s="795"/>
      <c r="AW403" s="795"/>
      <c r="AX403" s="794" t="s">
        <v>139</v>
      </c>
      <c r="AY403" s="799" t="s">
        <v>140</v>
      </c>
      <c r="AZ403" s="795">
        <v>4</v>
      </c>
      <c r="BA403" s="795"/>
      <c r="BB403" s="795">
        <v>16</v>
      </c>
      <c r="BC403" s="523">
        <v>2</v>
      </c>
      <c r="BD403" s="523"/>
      <c r="BE403" s="794"/>
      <c r="BF403" s="795">
        <v>39</v>
      </c>
      <c r="BG403" s="795"/>
      <c r="BH403" s="795"/>
      <c r="BI403" s="795">
        <v>10</v>
      </c>
      <c r="BJ403" s="795"/>
      <c r="BK403" s="795"/>
      <c r="BL403" s="795">
        <v>6</v>
      </c>
      <c r="BM403" s="795"/>
      <c r="BN403" s="795"/>
      <c r="BO403" s="794" t="s">
        <v>43</v>
      </c>
      <c r="BP403" s="801"/>
      <c r="BQ403" s="800"/>
      <c r="BR403" s="794"/>
      <c r="BS403" s="472">
        <v>0.6</v>
      </c>
      <c r="BT403" s="472">
        <v>0.9</v>
      </c>
      <c r="BU403" s="474"/>
      <c r="BV403" s="472">
        <v>0.6</v>
      </c>
      <c r="BW403" s="523"/>
      <c r="BX403" s="523"/>
      <c r="BY403" s="523"/>
      <c r="BZ403" s="802" t="str">
        <f>IFERROR(WWWW[[#This Row],['#_Water sources passed]]/WWWW[[#This Row],['#_Water sources tested for fecal coliform ]],"no test")</f>
        <v>no test</v>
      </c>
      <c r="CA403" s="800">
        <f>IFERROR(WWWW[[#This Row],['#_Household passed]]/WWWW[[#This Row],['#_Household water samples tested for fecal coliform]],"no test")</f>
        <v>0.5</v>
      </c>
      <c r="CB403" s="801" t="str">
        <f>IF(AND(WWWW[[#This Row],[% of water sources passed]]="no test",WWWW[[#This Row],[% Household passed]]="no test"),"No Test","Tested")</f>
        <v>Tested</v>
      </c>
      <c r="CC403" s="801">
        <f>WWWW[[#This Row],['#_Constructed/existing protected hand dug well]]-WWWW[[#This Row],['#_Non-functional protected hand dug well]]</f>
        <v>0</v>
      </c>
      <c r="CD403" s="801">
        <f>(WWWW[[#This Row],['#_Constructed/Existing tube wells/boreholes/handpumps_WASH_agency]]+WWWW[[#This Row],['#_Non-Cluster partner water tube-wells/boreholes/handpumps]])-WWWW[[#This Row],['#_Non-functional tube wells/boreholes/handpumps]]</f>
        <v>0</v>
      </c>
      <c r="CE403" s="801">
        <f>WWWW[[#This Row],['#_Constructed/Existingwater storage tank with gravity fed reticulation system]]-WWWW[[#This Row],['#_Non-functional storage tank gravity fed reticulation system]]</f>
        <v>25</v>
      </c>
      <c r="CF403" s="801">
        <f>(WWWW[[#This Row],['#_Water_Liters_supplied_by_Water boating or water trucking]]/90)/15</f>
        <v>0</v>
      </c>
      <c r="CG403" s="801">
        <f>WWWW[[#This Row],['#_Water_Liters_from_Constructed/Existing water distribution system from river or natural spring]]/90/15</f>
        <v>0</v>
      </c>
      <c r="CH403" s="473">
        <f>WWWW[[#This Row],['#_of water points in TLS/CFS /THF]]*500</f>
        <v>3000</v>
      </c>
      <c r="CI403" s="80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0.56022408963585435</v>
      </c>
      <c r="CJ403" s="80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0.56022408963585435</v>
      </c>
      <c r="CK403" s="800">
        <f>IF(WWWW[[#This Row],[Location Type 1]]="Village",WWWW[[#This Row],[Access to safe drinking water for Village]],WWWW[[#This Row],[Access to safe drinking water for Camp]])</f>
        <v>0.56022408963585435</v>
      </c>
      <c r="CL403" s="798">
        <f>WWWW[[#This Row],[%Equitable and continuous access to sufficient quantity of safe drinking water]]*WWWW[[#This Row],[Total PoP ]]</f>
        <v>1666.6666666666667</v>
      </c>
      <c r="CM403" s="800">
        <f>IF((WWWW[[#This Row],['#_Constructed/Existing protected/fenced ponds]]*250)/WWWW[[#This Row],[Total PoP ]]&gt;1,1,(WWWW[[#This Row],['#_Constructed/Existing protected/fenced ponds]]*250)/WWWW[[#This Row],[Total PoP ]])</f>
        <v>8.4033613445378158E-2</v>
      </c>
      <c r="CN403" s="798">
        <f>WWWW[[#This Row],[% Access to unimproved water points]]*WWWW[[#This Row],[Total PoP ]]</f>
        <v>250.00000000000003</v>
      </c>
      <c r="CO403" s="80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0.64425770308123254</v>
      </c>
      <c r="CP403" s="79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1916.6666666666667</v>
      </c>
      <c r="CQ403" s="798">
        <f>WWWW[[#This Row],[HRP1]]/500</f>
        <v>3.8333333333333335</v>
      </c>
      <c r="CR403" s="803">
        <f>1-WWWW[[#This Row],[% Equitable and continuous access to sufficient quantity of domestic water]]</f>
        <v>0.35574229691876746</v>
      </c>
      <c r="CS403" s="798">
        <f>WWWW[[#This Row],[%equitable and continuous access to sufficient quantity of safe drinking and domestic water''s GAP]]*WWWW[[#This Row],[Total PoP ]]</f>
        <v>1058.3333333333333</v>
      </c>
      <c r="CT403" s="801">
        <f>IF(WWWW[[#This Row],[Total required water points]]-WWWW[[#This Row],['#Water points coverage]]&lt;0,0,WWWW[[#This Row],[Total required water points]]-WWWW[[#This Row],['#Water points coverage]])</f>
        <v>2.1666666666666665</v>
      </c>
      <c r="CU403" s="801">
        <f>ROUND(IF(WWWW[[#This Row],[Total PoP ]]&lt;500,1,WWWW[[#This Row],[Total PoP ]]/500),0)</f>
        <v>6</v>
      </c>
      <c r="CV403" s="801">
        <f>(WWWW[[#This Row],['#_Constructed latrines_by_WASHAgencies]]+WWWW[[#This Row],['#_Non Cluster partner latrines]])-WWWW[[#This Row],['#_Non-functional latrines]]</f>
        <v>152</v>
      </c>
      <c r="CW403" s="804">
        <f>WWWW[[#This Row],[HRP2]]/WWWW[[#This Row],[Total PoP ]]</f>
        <v>1</v>
      </c>
      <c r="CX403" s="79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CY403" s="80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3" s="801">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3" s="473">
        <f>IF(WWWW[[#This Row],['# of functional latrines in THF supported by WASH partners during the reporting period2]]="",0,WWWW[[#This Row],['# of functional latrines in THF supported by WASH partners during the reporting period2]]*50)</f>
        <v>100</v>
      </c>
      <c r="DB403" s="473">
        <f>WWWW[[#This Row],['# students access to functioning school latrines_HRP5]]+WWWW[[#This Row],['# People access to functioning latrines in THF_HRP5]]</f>
        <v>100</v>
      </c>
      <c r="DC403" s="801">
        <f>ROUND(IF(WWWW[[#This Row],[Location Type 1]]="camp",WWWW[[#This Row],[Total PoP ]]/20,IF(WWWW[[#This Row],[Location Type 1]]="Temporary Location",WWWW[[#This Row],[Total PoP ]]/50,(WWWW[[#This Row],[Total PoP ]]/6))),0)</f>
        <v>149</v>
      </c>
      <c r="DD403" s="801">
        <f>IF(WWWW[[#This Row],[Total required Latrines]]-(WWWW[[#This Row],['#_Constructed latrines_by_WASHAgencies]]+WWWW[[#This Row],['#_Non Cluster partner latrines]])&lt;0,0,WWWW[[#This Row],[Total required Latrines]]-(WWWW[[#This Row],['#_Constructed latrines_by_WASHAgencies]]+WWWW[[#This Row],['#_Non Cluster partner latrines]]))</f>
        <v>0</v>
      </c>
      <c r="DE403" s="803">
        <f>1-WWWW[[#This Row],[% people access to functioning Latrine]]</f>
        <v>0</v>
      </c>
      <c r="DF403" s="802">
        <f>IF(OR(WWWW[[#This Row],['#_Non-functional latrines]]="",WWWW[[#This Row],['#_Non-functional latrines]]=0),0,WWWW[[#This Row],['#_Non-functional latrines]]/(WWWW[[#This Row],['#_Constructed latrines_by_WASHAgencies]]+WWWW[[#This Row],['#_Non Cluster partner latrines]]))</f>
        <v>0</v>
      </c>
      <c r="DG403" s="798">
        <f>IF(500*(WWWW[[#This Row],['#_male hygiene promoters]]+WWWW[[#This Row],['#_female hygiene promoters]])&gt;WWWW[[#This Row],[Total PoP ]],WWWW[[#This Row],[Total PoP ]],500*(WWWW[[#This Row],['#_male hygiene promoters]]+WWWW[[#This Row],['#_female hygiene promoters]]))</f>
        <v>2975</v>
      </c>
      <c r="DH403" s="80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3" s="80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3" s="801">
        <f>IF(WWWW[[#This Row],['# People with access to soap]]&gt;WWWW[[#This Row],['# People with access to Sanity Pads]],WWWW[[#This Row],['# People with access to soap]],WWWW[[#This Row],['# People with access to Sanity Pads]])</f>
        <v>0</v>
      </c>
      <c r="DK403" s="801">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L403" s="803">
        <f>IF(WWWW[[#This Row],[HRP3]]/WWWW[[#This Row],[Total PoP ]]&gt;1,1,WWWW[[#This Row],[HRP3]]/WWWW[[#This Row],[Total PoP ]])</f>
        <v>1</v>
      </c>
      <c r="DM403" s="802">
        <f>1-WWWW[[#This Row],[Hygiene Coverage%]]</f>
        <v>0</v>
      </c>
      <c r="DN403" s="800">
        <f>WWWW[[#This Row],['# people reached by regular dedicated hygiene promotion_5]]/WWWW[[#This Row],[Total PoP ]]</f>
        <v>1</v>
      </c>
      <c r="DO403" s="80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3" s="80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3" s="801">
        <f>WWWW[[#This Row],['#_Constructed/Existing hand washing stations]]-WWWW[[#This Row],['#_Non-Functional_hand_washing_stations]]</f>
        <v>39</v>
      </c>
      <c r="DR403" s="798">
        <f>IF(WWWW[[#This Row],['# Functional hand washing stations during reporting period]]*20&gt;WWWW[[#This Row],[Total HH]],WWWW[[#This Row],[Total HH]],WWWW[[#This Row],['# Functional hand washing stations during reporting period]]*20)</f>
        <v>593</v>
      </c>
      <c r="DS403" s="798">
        <f>IF(WWWW[[#This Row],[Is sufficient soap available for TLS? (Yes/No)]]="yes",WWWW[[#This Row],['#_Constructed/Existing hand washing stations at TLS]],0)</f>
        <v>21</v>
      </c>
      <c r="DT403" s="479">
        <f>IF(WWWW[[#This Row],['# Functional hand washing stations during reporting period]]*100&gt;WWWW[[#This Row],[Total PoP ]],WWWW[[#This Row],[Total PoP ]],WWWW[[#This Row],['# Functional hand washing stations during reporting period]]*100)</f>
        <v>2975</v>
      </c>
      <c r="DU403" s="479" t="str">
        <f>IF(OR(WWWW[[#This Row],['#_students at TLS_CFS]]="",WWWW[[#This Row],['#_students at TLS_CFS]]=0),"No","Yes")</f>
        <v>No</v>
      </c>
      <c r="DV40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3000</v>
      </c>
      <c r="DY403" s="794" t="str">
        <f>VLOOKUP(WWWW[[#This Row],[Site Name]],SiteDB6[[Site Name]:[CCCM Management]],6,FALSE)</f>
        <v>Yes</v>
      </c>
      <c r="DZ403" s="794" t="str">
        <f>VLOOKUP(WWWW[[#This Row],[Site Name]],SiteDB6[[Site Name]:[CCCM Focal Agency]],7,FALSE)</f>
        <v>KMSS-BMO</v>
      </c>
      <c r="EA403" s="794" t="str">
        <f>VLOOKUP(WWWW[[#This Row],[Site Name]],SiteDB6[[Site Name]:[Location Type 1]],9,FALSE)</f>
        <v>Camp</v>
      </c>
      <c r="EB403" s="794" t="str">
        <f>VLOOKUP(WWWW[[#This Row],[Site Name]],SiteDB6[[Site Name]:[Type of Accommodation]],10,FALSE)</f>
        <v>Camp</v>
      </c>
      <c r="EC403" s="794" t="str">
        <f>VLOOKUP(WWWW[[#This Row],[Site Name]],SiteDB6[[Site Name]:[Ethnic or GCA/NGCA]],11,FALSE)</f>
        <v>NGCA</v>
      </c>
      <c r="ED403" s="794">
        <f>VLOOKUP(WWWW[[#This Row],[Site Name]],SiteDB6[[Site Name]:[Lat]],12,FALSE)</f>
        <v>24.2744</v>
      </c>
      <c r="EE403" s="794">
        <f>VLOOKUP(WWWW[[#This Row],[Site Name]],SiteDB6[[Site Name]:[Long]],13,FALSE)</f>
        <v>97.752667000000002</v>
      </c>
      <c r="EF403" s="794" t="str">
        <f>VLOOKUP(WWWW[[#This Row],[Site Name]],SiteDB6[[Site Name]:[Pcode]],3,FALSE)</f>
        <v>MMR001CMP126</v>
      </c>
      <c r="EG403" s="799" t="str">
        <f t="shared" si="10"/>
        <v>Covered</v>
      </c>
      <c r="EH403" s="799" t="str">
        <f>VLOOKUP(WWWW[[#This Row],[Site Name]],Site_DB!$C$389:$D$1120,2,FALSE)</f>
        <v>cccm_2019OCT</v>
      </c>
    </row>
    <row r="404" spans="1:138">
      <c r="A404" s="860" t="s">
        <v>3263</v>
      </c>
      <c r="B404" s="860" t="s">
        <v>144</v>
      </c>
      <c r="C404" s="861" t="s">
        <v>144</v>
      </c>
      <c r="D404" s="861"/>
      <c r="E404" s="861" t="s">
        <v>39</v>
      </c>
      <c r="F404" s="861" t="s">
        <v>162</v>
      </c>
      <c r="G404" s="721" t="str">
        <f>VLOOKUP(WWWW[[#This Row],[Site Name]],SiteDB6[[Site Name]:[Location Type]],8,FALSE)</f>
        <v>Camp_not registered</v>
      </c>
      <c r="H404" s="861" t="s">
        <v>2076</v>
      </c>
      <c r="I404" s="851">
        <v>24</v>
      </c>
      <c r="J404" s="851">
        <v>103</v>
      </c>
      <c r="K404" s="863"/>
      <c r="L404" s="859"/>
      <c r="M404" s="851"/>
      <c r="N404" s="851"/>
      <c r="O404" s="851"/>
      <c r="P404" s="851"/>
      <c r="Q404" s="864"/>
      <c r="R404" s="851"/>
      <c r="S404" s="851">
        <v>4</v>
      </c>
      <c r="T404" s="523"/>
      <c r="U404" s="851"/>
      <c r="V404" s="851"/>
      <c r="W404" s="851"/>
      <c r="X404" s="851"/>
      <c r="Y404" s="851"/>
      <c r="Z404" s="851"/>
      <c r="AA404" s="851"/>
      <c r="AB404" s="851"/>
      <c r="AC404" s="851"/>
      <c r="AD404" s="851"/>
      <c r="AE404" s="851"/>
      <c r="AF404" s="851"/>
      <c r="AG404" s="851"/>
      <c r="AH404" s="851"/>
      <c r="AI404" s="851"/>
      <c r="AJ404" s="851"/>
      <c r="AK404" s="851"/>
      <c r="AL404" s="851"/>
      <c r="AM404" s="851"/>
      <c r="AN404" s="851"/>
      <c r="AO404" s="865"/>
      <c r="AP404" s="851"/>
      <c r="AQ404" s="851"/>
      <c r="AR404" s="866"/>
      <c r="AS404" s="851"/>
      <c r="AT404" s="851"/>
      <c r="AU404" s="851"/>
      <c r="AV404" s="851"/>
      <c r="AW404" s="851"/>
      <c r="AX404" s="862" t="s">
        <v>143</v>
      </c>
      <c r="AY404" s="865" t="s">
        <v>143</v>
      </c>
      <c r="AZ404" s="851"/>
      <c r="BA404" s="851"/>
      <c r="BB404" s="851"/>
      <c r="BC404" s="523"/>
      <c r="BD404" s="523"/>
      <c r="BE404" s="862"/>
      <c r="BF404" s="851"/>
      <c r="BG404" s="851"/>
      <c r="BH404" s="851"/>
      <c r="BI404" s="851"/>
      <c r="BJ404" s="851"/>
      <c r="BK404" s="851"/>
      <c r="BL404" s="851"/>
      <c r="BM404" s="851"/>
      <c r="BN404" s="851"/>
      <c r="BO404" s="862"/>
      <c r="BP404" s="867"/>
      <c r="BQ404" s="866"/>
      <c r="BR404" s="862"/>
      <c r="BS404" s="472"/>
      <c r="BT404" s="472"/>
      <c r="BU404" s="474"/>
      <c r="BV404" s="472"/>
      <c r="BW404" s="523"/>
      <c r="BX404" s="523"/>
      <c r="BY404" s="523"/>
      <c r="BZ404" s="868" t="str">
        <f>IFERROR(WWWW[[#This Row],['#_Water sources passed]]/WWWW[[#This Row],['#_Water sources tested for fecal coliform ]],"no test")</f>
        <v>no test</v>
      </c>
      <c r="CA404" s="866" t="str">
        <f>IFERROR(WWWW[[#This Row],['#_Household passed]]/WWWW[[#This Row],['#_Household water samples tested for fecal coliform]],"no test")</f>
        <v>no test</v>
      </c>
      <c r="CB404" s="867" t="str">
        <f>IF(AND(WWWW[[#This Row],[% of water sources passed]]="no test",WWWW[[#This Row],[% Household passed]]="no test"),"No Test","Tested")</f>
        <v>No Test</v>
      </c>
      <c r="CC404" s="867">
        <f>WWWW[[#This Row],['#_Constructed/existing protected hand dug well]]-WWWW[[#This Row],['#_Non-functional protected hand dug well]]</f>
        <v>0</v>
      </c>
      <c r="CD404" s="867">
        <f>(WWWW[[#This Row],['#_Constructed/Existing tube wells/boreholes/handpumps_WASH_agency]]+WWWW[[#This Row],['#_Non-Cluster partner water tube-wells/boreholes/handpumps]])-WWWW[[#This Row],['#_Non-functional tube wells/boreholes/handpumps]]</f>
        <v>0</v>
      </c>
      <c r="CE404" s="867">
        <f>WWWW[[#This Row],['#_Constructed/Existingwater storage tank with gravity fed reticulation system]]-WWWW[[#This Row],['#_Non-functional storage tank gravity fed reticulation system]]</f>
        <v>0</v>
      </c>
      <c r="CF404" s="867">
        <f>(WWWW[[#This Row],['#_Water_Liters_supplied_by_Water boating or water trucking]]/90)/15</f>
        <v>0</v>
      </c>
      <c r="CG404" s="867">
        <f>WWWW[[#This Row],['#_Water_Liters_from_Constructed/Existing water distribution system from river or natural spring]]/90/15</f>
        <v>0</v>
      </c>
      <c r="CH404" s="473">
        <f>WWWW[[#This Row],['#_of water points in TLS/CFS /THF]]*500</f>
        <v>0</v>
      </c>
      <c r="CI40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4" s="866">
        <f>IF(WWWW[[#This Row],[Location Type 1]]="Village",WWWW[[#This Row],[Access to safe drinking water for Village]],WWWW[[#This Row],[Access to safe drinking water for Camp]])</f>
        <v>0</v>
      </c>
      <c r="CL404" s="864">
        <f>WWWW[[#This Row],[%Equitable and continuous access to sufficient quantity of safe drinking water]]*WWWW[[#This Row],[Total PoP ]]</f>
        <v>0</v>
      </c>
      <c r="CM404" s="866">
        <f>IF((WWWW[[#This Row],['#_Constructed/Existing protected/fenced ponds]]*250)/WWWW[[#This Row],[Total PoP ]]&gt;1,1,(WWWW[[#This Row],['#_Constructed/Existing protected/fenced ponds]]*250)/WWWW[[#This Row],[Total PoP ]])</f>
        <v>0</v>
      </c>
      <c r="CN404" s="864">
        <f>WWWW[[#This Row],[% Access to unimproved water points]]*WWWW[[#This Row],[Total PoP ]]</f>
        <v>0</v>
      </c>
      <c r="CO40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0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04" s="864">
        <f>WWWW[[#This Row],[HRP1]]/500</f>
        <v>0</v>
      </c>
      <c r="CR404" s="869">
        <f>1-WWWW[[#This Row],[% Equitable and continuous access to sufficient quantity of domestic water]]</f>
        <v>1</v>
      </c>
      <c r="CS404" s="864">
        <f>WWWW[[#This Row],[%equitable and continuous access to sufficient quantity of safe drinking and domestic water''s GAP]]*WWWW[[#This Row],[Total PoP ]]</f>
        <v>103</v>
      </c>
      <c r="CT404" s="867">
        <f>IF(WWWW[[#This Row],[Total required water points]]-WWWW[[#This Row],['#Water points coverage]]&lt;0,0,WWWW[[#This Row],[Total required water points]]-WWWW[[#This Row],['#Water points coverage]])</f>
        <v>1</v>
      </c>
      <c r="CU404" s="867">
        <f>ROUND(IF(WWWW[[#This Row],[Total PoP ]]&lt;500,1,WWWW[[#This Row],[Total PoP ]]/500),0)</f>
        <v>1</v>
      </c>
      <c r="CV404" s="867">
        <f>(WWWW[[#This Row],['#_Constructed latrines_by_WASHAgencies]]+WWWW[[#This Row],['#_Non Cluster partner latrines]])-WWWW[[#This Row],['#_Non-functional latrines]]</f>
        <v>0</v>
      </c>
      <c r="CW404" s="804">
        <f>WWWW[[#This Row],[HRP2]]/WWWW[[#This Row],[Total PoP ]]</f>
        <v>0</v>
      </c>
      <c r="CX40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0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4" s="473">
        <f>IF(WWWW[[#This Row],['# of functional latrines in THF supported by WASH partners during the reporting period2]]="",0,WWWW[[#This Row],['# of functional latrines in THF supported by WASH partners during the reporting period2]]*50)</f>
        <v>0</v>
      </c>
      <c r="DB404" s="473">
        <f>WWWW[[#This Row],['# students access to functioning school latrines_HRP5]]+WWWW[[#This Row],['# People access to functioning latrines in THF_HRP5]]</f>
        <v>0</v>
      </c>
      <c r="DC404" s="867">
        <f>ROUND(IF(WWWW[[#This Row],[Location Type 1]]="camp",WWWW[[#This Row],[Total PoP ]]/20,IF(WWWW[[#This Row],[Location Type 1]]="Temporary Location",WWWW[[#This Row],[Total PoP ]]/50,(WWWW[[#This Row],[Total PoP ]]/6))),0)</f>
        <v>5</v>
      </c>
      <c r="DD404" s="867">
        <f>IF(WWWW[[#This Row],[Total required Latrines]]-(WWWW[[#This Row],['#_Constructed latrines_by_WASHAgencies]]+WWWW[[#This Row],['#_Non Cluster partner latrines]])&lt;0,0,WWWW[[#This Row],[Total required Latrines]]-(WWWW[[#This Row],['#_Constructed latrines_by_WASHAgencies]]+WWWW[[#This Row],['#_Non Cluster partner latrines]]))</f>
        <v>5</v>
      </c>
      <c r="DE404" s="869">
        <f>1-WWWW[[#This Row],[% people access to functioning Latrine]]</f>
        <v>1</v>
      </c>
      <c r="DF404" s="868">
        <f>IF(OR(WWWW[[#This Row],['#_Non-functional latrines]]="",WWWW[[#This Row],['#_Non-functional latrines]]=0),0,WWWW[[#This Row],['#_Non-functional latrines]]/(WWWW[[#This Row],['#_Constructed latrines_by_WASHAgencies]]+WWWW[[#This Row],['#_Non Cluster partner latrines]]))</f>
        <v>0</v>
      </c>
      <c r="DG404" s="864">
        <f>IF(500*(WWWW[[#This Row],['#_male hygiene promoters]]+WWWW[[#This Row],['#_female hygiene promoters]])&gt;WWWW[[#This Row],[Total PoP ]],WWWW[[#This Row],[Total PoP ]],500*(WWWW[[#This Row],['#_male hygiene promoters]]+WWWW[[#This Row],['#_female hygiene promoters]]))</f>
        <v>0</v>
      </c>
      <c r="DH40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4" s="867">
        <f>IF(WWWW[[#This Row],['# People with access to soap]]&gt;WWWW[[#This Row],['# People with access to Sanity Pads]],WWWW[[#This Row],['# People with access to soap]],WWWW[[#This Row],['# People with access to Sanity Pads]])</f>
        <v>0</v>
      </c>
      <c r="DK40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04" s="869">
        <f>IF(WWWW[[#This Row],[HRP3]]/WWWW[[#This Row],[Total PoP ]]&gt;1,1,WWWW[[#This Row],[HRP3]]/WWWW[[#This Row],[Total PoP ]])</f>
        <v>0</v>
      </c>
      <c r="DM404" s="868">
        <f>1-WWWW[[#This Row],[Hygiene Coverage%]]</f>
        <v>1</v>
      </c>
      <c r="DN404" s="866">
        <f>WWWW[[#This Row],['# people reached by regular dedicated hygiene promotion_5]]/WWWW[[#This Row],[Total PoP ]]</f>
        <v>0</v>
      </c>
      <c r="DO40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4" s="867">
        <f>WWWW[[#This Row],['#_Constructed/Existing hand washing stations]]-WWWW[[#This Row],['#_Non-Functional_hand_washing_stations]]</f>
        <v>0</v>
      </c>
      <c r="DR404" s="864">
        <f>IF(WWWW[[#This Row],['# Functional hand washing stations during reporting period]]*20&gt;WWWW[[#This Row],[Total HH]],WWWW[[#This Row],[Total HH]],WWWW[[#This Row],['# Functional hand washing stations during reporting period]]*20)</f>
        <v>0</v>
      </c>
      <c r="DS404" s="864">
        <f>IF(WWWW[[#This Row],[Is sufficient soap available for TLS? (Yes/No)]]="yes",WWWW[[#This Row],['#_Constructed/Existing hand washing stations at TLS]],0)</f>
        <v>0</v>
      </c>
      <c r="DT404" s="479">
        <f>IF(WWWW[[#This Row],['# Functional hand washing stations during reporting period]]*100&gt;WWWW[[#This Row],[Total PoP ]],WWWW[[#This Row],[Total PoP ]],WWWW[[#This Row],['# Functional hand washing stations during reporting period]]*100)</f>
        <v>0</v>
      </c>
      <c r="DU404" s="479" t="str">
        <f>IF(OR(WWWW[[#This Row],['#_students at TLS_CFS]]="",WWWW[[#This Row],['#_students at TLS_CFS]]=0),"No","Yes")</f>
        <v>No</v>
      </c>
      <c r="DV40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4" s="862">
        <f>VLOOKUP(WWWW[[#This Row],[Site Name]],SiteDB6[[Site Name]:[CCCM Management]],6,FALSE)</f>
        <v>0</v>
      </c>
      <c r="DZ404" s="862">
        <f>VLOOKUP(WWWW[[#This Row],[Site Name]],SiteDB6[[Site Name]:[CCCM Focal Agency]],7,FALSE)</f>
        <v>0</v>
      </c>
      <c r="EA404" s="862" t="str">
        <f>VLOOKUP(WWWW[[#This Row],[Site Name]],SiteDB6[[Site Name]:[Location Type 1]],9,FALSE)</f>
        <v>Camp</v>
      </c>
      <c r="EB404" s="862" t="str">
        <f>VLOOKUP(WWWW[[#This Row],[Site Name]],SiteDB6[[Site Name]:[Type of Accommodation]],10,FALSE)</f>
        <v>Camp like setting</v>
      </c>
      <c r="EC404" s="862" t="str">
        <f>VLOOKUP(WWWW[[#This Row],[Site Name]],SiteDB6[[Site Name]:[Ethnic or GCA/NGCA]],11,FALSE)</f>
        <v>NGCA</v>
      </c>
      <c r="ED404" s="862">
        <f>VLOOKUP(WWWW[[#This Row],[Site Name]],SiteDB6[[Site Name]:[Lat]],12,FALSE)</f>
        <v>0</v>
      </c>
      <c r="EE404" s="862">
        <f>VLOOKUP(WWWW[[#This Row],[Site Name]],SiteDB6[[Site Name]:[Long]],13,FALSE)</f>
        <v>0</v>
      </c>
      <c r="EF404" s="862">
        <f>VLOOKUP(WWWW[[#This Row],[Site Name]],SiteDB6[[Site Name]:[Pcode]],3,FALSE)</f>
        <v>0</v>
      </c>
      <c r="EG404" s="865" t="str">
        <f t="shared" ref="EG404:EG411" si="11">IF(C404="none","Notcovered","Covered")</f>
        <v>Covered</v>
      </c>
      <c r="EH404" s="865">
        <f>VLOOKUP(WWWW[[#This Row],[Site Name]],Site_DB!$C$389:$D$1120,2,FALSE)</f>
        <v>0</v>
      </c>
    </row>
    <row r="405" spans="1:138">
      <c r="A405" s="860" t="s">
        <v>3263</v>
      </c>
      <c r="B405" s="860" t="s">
        <v>144</v>
      </c>
      <c r="C405" s="861" t="s">
        <v>144</v>
      </c>
      <c r="D405" s="861"/>
      <c r="E405" s="861" t="s">
        <v>39</v>
      </c>
      <c r="F405" s="861" t="s">
        <v>217</v>
      </c>
      <c r="G405" s="721" t="str">
        <f>VLOOKUP(WWWW[[#This Row],[Site Name]],SiteDB6[[Site Name]:[Location Type]],8,FALSE)</f>
        <v>Camp_not registered</v>
      </c>
      <c r="H405" s="861" t="s">
        <v>2078</v>
      </c>
      <c r="I405" s="851">
        <v>86</v>
      </c>
      <c r="J405" s="851">
        <v>381</v>
      </c>
      <c r="K405" s="863"/>
      <c r="L405" s="859"/>
      <c r="M405" s="851"/>
      <c r="N405" s="851"/>
      <c r="O405" s="851"/>
      <c r="P405" s="851"/>
      <c r="Q405" s="864"/>
      <c r="R405" s="851"/>
      <c r="S405" s="851"/>
      <c r="T405" s="523"/>
      <c r="U405" s="851"/>
      <c r="V405" s="851"/>
      <c r="W405" s="851"/>
      <c r="X405" s="851"/>
      <c r="Y405" s="851"/>
      <c r="Z405" s="851"/>
      <c r="AA405" s="851"/>
      <c r="AB405" s="851"/>
      <c r="AC405" s="851"/>
      <c r="AD405" s="851"/>
      <c r="AE405" s="851"/>
      <c r="AF405" s="851"/>
      <c r="AG405" s="851"/>
      <c r="AH405" s="851"/>
      <c r="AI405" s="851"/>
      <c r="AJ405" s="851"/>
      <c r="AK405" s="851"/>
      <c r="AL405" s="851"/>
      <c r="AM405" s="851"/>
      <c r="AN405" s="851"/>
      <c r="AO405" s="865"/>
      <c r="AP405" s="851"/>
      <c r="AQ405" s="851"/>
      <c r="AR405" s="866"/>
      <c r="AS405" s="851"/>
      <c r="AT405" s="851"/>
      <c r="AU405" s="851"/>
      <c r="AV405" s="851"/>
      <c r="AW405" s="851"/>
      <c r="AX405" s="862" t="s">
        <v>143</v>
      </c>
      <c r="AY405" s="865" t="s">
        <v>143</v>
      </c>
      <c r="AZ405" s="851"/>
      <c r="BA405" s="851"/>
      <c r="BB405" s="851"/>
      <c r="BC405" s="523"/>
      <c r="BD405" s="523"/>
      <c r="BE405" s="862"/>
      <c r="BF405" s="851"/>
      <c r="BG405" s="851"/>
      <c r="BH405" s="851"/>
      <c r="BI405" s="851"/>
      <c r="BJ405" s="851"/>
      <c r="BK405" s="851"/>
      <c r="BL405" s="851"/>
      <c r="BM405" s="851"/>
      <c r="BN405" s="851"/>
      <c r="BO405" s="862"/>
      <c r="BP405" s="867"/>
      <c r="BQ405" s="866"/>
      <c r="BR405" s="862"/>
      <c r="BS405" s="472"/>
      <c r="BT405" s="472"/>
      <c r="BU405" s="474"/>
      <c r="BV405" s="472"/>
      <c r="BW405" s="523"/>
      <c r="BX405" s="523"/>
      <c r="BY405" s="523"/>
      <c r="BZ405" s="868" t="str">
        <f>IFERROR(WWWW[[#This Row],['#_Water sources passed]]/WWWW[[#This Row],['#_Water sources tested for fecal coliform ]],"no test")</f>
        <v>no test</v>
      </c>
      <c r="CA405" s="866" t="str">
        <f>IFERROR(WWWW[[#This Row],['#_Household passed]]/WWWW[[#This Row],['#_Household water samples tested for fecal coliform]],"no test")</f>
        <v>no test</v>
      </c>
      <c r="CB405" s="867" t="str">
        <f>IF(AND(WWWW[[#This Row],[% of water sources passed]]="no test",WWWW[[#This Row],[% Household passed]]="no test"),"No Test","Tested")</f>
        <v>No Test</v>
      </c>
      <c r="CC405" s="867">
        <f>WWWW[[#This Row],['#_Constructed/existing protected hand dug well]]-WWWW[[#This Row],['#_Non-functional protected hand dug well]]</f>
        <v>0</v>
      </c>
      <c r="CD405" s="867">
        <f>(WWWW[[#This Row],['#_Constructed/Existing tube wells/boreholes/handpumps_WASH_agency]]+WWWW[[#This Row],['#_Non-Cluster partner water tube-wells/boreholes/handpumps]])-WWWW[[#This Row],['#_Non-functional tube wells/boreholes/handpumps]]</f>
        <v>0</v>
      </c>
      <c r="CE405" s="867">
        <f>WWWW[[#This Row],['#_Constructed/Existingwater storage tank with gravity fed reticulation system]]-WWWW[[#This Row],['#_Non-functional storage tank gravity fed reticulation system]]</f>
        <v>0</v>
      </c>
      <c r="CF405" s="867">
        <f>(WWWW[[#This Row],['#_Water_Liters_supplied_by_Water boating or water trucking]]/90)/15</f>
        <v>0</v>
      </c>
      <c r="CG405" s="867">
        <f>WWWW[[#This Row],['#_Water_Liters_from_Constructed/Existing water distribution system from river or natural spring]]/90/15</f>
        <v>0</v>
      </c>
      <c r="CH405" s="473">
        <f>WWWW[[#This Row],['#_of water points in TLS/CFS /THF]]*500</f>
        <v>0</v>
      </c>
      <c r="CI40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5" s="866">
        <f>IF(WWWW[[#This Row],[Location Type 1]]="Village",WWWW[[#This Row],[Access to safe drinking water for Village]],WWWW[[#This Row],[Access to safe drinking water for Camp]])</f>
        <v>0</v>
      </c>
      <c r="CL405" s="864">
        <f>WWWW[[#This Row],[%Equitable and continuous access to sufficient quantity of safe drinking water]]*WWWW[[#This Row],[Total PoP ]]</f>
        <v>0</v>
      </c>
      <c r="CM405" s="866">
        <f>IF((WWWW[[#This Row],['#_Constructed/Existing protected/fenced ponds]]*250)/WWWW[[#This Row],[Total PoP ]]&gt;1,1,(WWWW[[#This Row],['#_Constructed/Existing protected/fenced ponds]]*250)/WWWW[[#This Row],[Total PoP ]])</f>
        <v>0</v>
      </c>
      <c r="CN405" s="864">
        <f>WWWW[[#This Row],[% Access to unimproved water points]]*WWWW[[#This Row],[Total PoP ]]</f>
        <v>0</v>
      </c>
      <c r="CO40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0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05" s="864">
        <f>WWWW[[#This Row],[HRP1]]/500</f>
        <v>0</v>
      </c>
      <c r="CR405" s="869">
        <f>1-WWWW[[#This Row],[% Equitable and continuous access to sufficient quantity of domestic water]]</f>
        <v>1</v>
      </c>
      <c r="CS405" s="864">
        <f>WWWW[[#This Row],[%equitable and continuous access to sufficient quantity of safe drinking and domestic water''s GAP]]*WWWW[[#This Row],[Total PoP ]]</f>
        <v>381</v>
      </c>
      <c r="CT405" s="867">
        <f>IF(WWWW[[#This Row],[Total required water points]]-WWWW[[#This Row],['#Water points coverage]]&lt;0,0,WWWW[[#This Row],[Total required water points]]-WWWW[[#This Row],['#Water points coverage]])</f>
        <v>1</v>
      </c>
      <c r="CU405" s="867">
        <f>ROUND(IF(WWWW[[#This Row],[Total PoP ]]&lt;500,1,WWWW[[#This Row],[Total PoP ]]/500),0)</f>
        <v>1</v>
      </c>
      <c r="CV405" s="867">
        <f>(WWWW[[#This Row],['#_Constructed latrines_by_WASHAgencies]]+WWWW[[#This Row],['#_Non Cluster partner latrines]])-WWWW[[#This Row],['#_Non-functional latrines]]</f>
        <v>0</v>
      </c>
      <c r="CW405" s="804">
        <f>WWWW[[#This Row],[HRP2]]/WWWW[[#This Row],[Total PoP ]]</f>
        <v>0</v>
      </c>
      <c r="CX40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0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5" s="473">
        <f>IF(WWWW[[#This Row],['# of functional latrines in THF supported by WASH partners during the reporting period2]]="",0,WWWW[[#This Row],['# of functional latrines in THF supported by WASH partners during the reporting period2]]*50)</f>
        <v>0</v>
      </c>
      <c r="DB405" s="473">
        <f>WWWW[[#This Row],['# students access to functioning school latrines_HRP5]]+WWWW[[#This Row],['# People access to functioning latrines in THF_HRP5]]</f>
        <v>0</v>
      </c>
      <c r="DC405" s="867">
        <f>ROUND(IF(WWWW[[#This Row],[Location Type 1]]="camp",WWWW[[#This Row],[Total PoP ]]/20,IF(WWWW[[#This Row],[Location Type 1]]="Temporary Location",WWWW[[#This Row],[Total PoP ]]/50,(WWWW[[#This Row],[Total PoP ]]/6))),0)</f>
        <v>19</v>
      </c>
      <c r="DD405" s="867">
        <f>IF(WWWW[[#This Row],[Total required Latrines]]-(WWWW[[#This Row],['#_Constructed latrines_by_WASHAgencies]]+WWWW[[#This Row],['#_Non Cluster partner latrines]])&lt;0,0,WWWW[[#This Row],[Total required Latrines]]-(WWWW[[#This Row],['#_Constructed latrines_by_WASHAgencies]]+WWWW[[#This Row],['#_Non Cluster partner latrines]]))</f>
        <v>19</v>
      </c>
      <c r="DE405" s="869">
        <f>1-WWWW[[#This Row],[% people access to functioning Latrine]]</f>
        <v>1</v>
      </c>
      <c r="DF405" s="868">
        <f>IF(OR(WWWW[[#This Row],['#_Non-functional latrines]]="",WWWW[[#This Row],['#_Non-functional latrines]]=0),0,WWWW[[#This Row],['#_Non-functional latrines]]/(WWWW[[#This Row],['#_Constructed latrines_by_WASHAgencies]]+WWWW[[#This Row],['#_Non Cluster partner latrines]]))</f>
        <v>0</v>
      </c>
      <c r="DG405" s="864">
        <f>IF(500*(WWWW[[#This Row],['#_male hygiene promoters]]+WWWW[[#This Row],['#_female hygiene promoters]])&gt;WWWW[[#This Row],[Total PoP ]],WWWW[[#This Row],[Total PoP ]],500*(WWWW[[#This Row],['#_male hygiene promoters]]+WWWW[[#This Row],['#_female hygiene promoters]]))</f>
        <v>0</v>
      </c>
      <c r="DH40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5" s="867">
        <f>IF(WWWW[[#This Row],['# People with access to soap]]&gt;WWWW[[#This Row],['# People with access to Sanity Pads]],WWWW[[#This Row],['# People with access to soap]],WWWW[[#This Row],['# People with access to Sanity Pads]])</f>
        <v>0</v>
      </c>
      <c r="DK40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05" s="869">
        <f>IF(WWWW[[#This Row],[HRP3]]/WWWW[[#This Row],[Total PoP ]]&gt;1,1,WWWW[[#This Row],[HRP3]]/WWWW[[#This Row],[Total PoP ]])</f>
        <v>0</v>
      </c>
      <c r="DM405" s="868">
        <f>1-WWWW[[#This Row],[Hygiene Coverage%]]</f>
        <v>1</v>
      </c>
      <c r="DN405" s="866">
        <f>WWWW[[#This Row],['# people reached by regular dedicated hygiene promotion_5]]/WWWW[[#This Row],[Total PoP ]]</f>
        <v>0</v>
      </c>
      <c r="DO40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5" s="867">
        <f>WWWW[[#This Row],['#_Constructed/Existing hand washing stations]]-WWWW[[#This Row],['#_Non-Functional_hand_washing_stations]]</f>
        <v>0</v>
      </c>
      <c r="DR405" s="864">
        <f>IF(WWWW[[#This Row],['# Functional hand washing stations during reporting period]]*20&gt;WWWW[[#This Row],[Total HH]],WWWW[[#This Row],[Total HH]],WWWW[[#This Row],['# Functional hand washing stations during reporting period]]*20)</f>
        <v>0</v>
      </c>
      <c r="DS405" s="864">
        <f>IF(WWWW[[#This Row],[Is sufficient soap available for TLS? (Yes/No)]]="yes",WWWW[[#This Row],['#_Constructed/Existing hand washing stations at TLS]],0)</f>
        <v>0</v>
      </c>
      <c r="DT405" s="479">
        <f>IF(WWWW[[#This Row],['# Functional hand washing stations during reporting period]]*100&gt;WWWW[[#This Row],[Total PoP ]],WWWW[[#This Row],[Total PoP ]],WWWW[[#This Row],['# Functional hand washing stations during reporting period]]*100)</f>
        <v>0</v>
      </c>
      <c r="DU405" s="479" t="str">
        <f>IF(OR(WWWW[[#This Row],['#_students at TLS_CFS]]="",WWWW[[#This Row],['#_students at TLS_CFS]]=0),"No","Yes")</f>
        <v>No</v>
      </c>
      <c r="DV40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5" s="862">
        <f>VLOOKUP(WWWW[[#This Row],[Site Name]],SiteDB6[[Site Name]:[CCCM Management]],6,FALSE)</f>
        <v>0</v>
      </c>
      <c r="DZ405" s="862">
        <f>VLOOKUP(WWWW[[#This Row],[Site Name]],SiteDB6[[Site Name]:[CCCM Focal Agency]],7,FALSE)</f>
        <v>0</v>
      </c>
      <c r="EA405" s="862" t="str">
        <f>VLOOKUP(WWWW[[#This Row],[Site Name]],SiteDB6[[Site Name]:[Location Type 1]],9,FALSE)</f>
        <v>Camp</v>
      </c>
      <c r="EB405" s="862" t="str">
        <f>VLOOKUP(WWWW[[#This Row],[Site Name]],SiteDB6[[Site Name]:[Type of Accommodation]],10,FALSE)</f>
        <v>Camp like setting</v>
      </c>
      <c r="EC405" s="862" t="str">
        <f>VLOOKUP(WWWW[[#This Row],[Site Name]],SiteDB6[[Site Name]:[Ethnic or GCA/NGCA]],11,FALSE)</f>
        <v>NGCA</v>
      </c>
      <c r="ED405" s="862">
        <f>VLOOKUP(WWWW[[#This Row],[Site Name]],SiteDB6[[Site Name]:[Lat]],12,FALSE)</f>
        <v>0</v>
      </c>
      <c r="EE405" s="862">
        <f>VLOOKUP(WWWW[[#This Row],[Site Name]],SiteDB6[[Site Name]:[Long]],13,FALSE)</f>
        <v>0</v>
      </c>
      <c r="EF405" s="862">
        <f>VLOOKUP(WWWW[[#This Row],[Site Name]],SiteDB6[[Site Name]:[Pcode]],3,FALSE)</f>
        <v>0</v>
      </c>
      <c r="EG405" s="865" t="str">
        <f t="shared" si="11"/>
        <v>Covered</v>
      </c>
      <c r="EH405" s="865">
        <f>VLOOKUP(WWWW[[#This Row],[Site Name]],Site_DB!$C$389:$D$1120,2,FALSE)</f>
        <v>0</v>
      </c>
    </row>
    <row r="406" spans="1:138">
      <c r="A406" s="860" t="s">
        <v>3263</v>
      </c>
      <c r="B406" s="860" t="s">
        <v>144</v>
      </c>
      <c r="C406" s="861" t="s">
        <v>144</v>
      </c>
      <c r="D406" s="861" t="s">
        <v>3277</v>
      </c>
      <c r="E406" s="861" t="s">
        <v>39</v>
      </c>
      <c r="F406" s="861" t="s">
        <v>162</v>
      </c>
      <c r="G406" s="721" t="str">
        <f>VLOOKUP(WWWW[[#This Row],[Site Name]],SiteDB6[[Site Name]:[Location Type]],8,FALSE)</f>
        <v>Camp</v>
      </c>
      <c r="H406" s="861" t="s">
        <v>163</v>
      </c>
      <c r="I406" s="851">
        <v>43</v>
      </c>
      <c r="J406" s="851">
        <v>197</v>
      </c>
      <c r="K406" s="863" t="s">
        <v>3278</v>
      </c>
      <c r="L406" s="859" t="s">
        <v>3279</v>
      </c>
      <c r="M406" s="851"/>
      <c r="N406" s="851"/>
      <c r="O406" s="851"/>
      <c r="P406" s="851"/>
      <c r="Q406" s="864" t="s">
        <v>43</v>
      </c>
      <c r="R406" s="851"/>
      <c r="S406" s="851"/>
      <c r="T406" s="523">
        <v>0</v>
      </c>
      <c r="U406" s="851"/>
      <c r="V406" s="851"/>
      <c r="W406" s="851">
        <v>3</v>
      </c>
      <c r="X406" s="851"/>
      <c r="Y406" s="851"/>
      <c r="Z406" s="851"/>
      <c r="AA406" s="851"/>
      <c r="AB406" s="851"/>
      <c r="AC406" s="851"/>
      <c r="AD406" s="851"/>
      <c r="AE406" s="851"/>
      <c r="AF406" s="851"/>
      <c r="AG406" s="851"/>
      <c r="AH406" s="851">
        <v>3</v>
      </c>
      <c r="AI406" s="851"/>
      <c r="AJ406" s="851"/>
      <c r="AK406" s="851"/>
      <c r="AL406" s="851"/>
      <c r="AM406" s="851"/>
      <c r="AN406" s="851"/>
      <c r="AO406" s="865"/>
      <c r="AP406" s="851">
        <v>7</v>
      </c>
      <c r="AQ406" s="851"/>
      <c r="AR406" s="866"/>
      <c r="AS406" s="851"/>
      <c r="AT406" s="851"/>
      <c r="AU406" s="851"/>
      <c r="AV406" s="851"/>
      <c r="AW406" s="851">
        <v>7</v>
      </c>
      <c r="AX406" s="862" t="s">
        <v>43</v>
      </c>
      <c r="AY406" s="865" t="s">
        <v>140</v>
      </c>
      <c r="AZ406" s="851"/>
      <c r="BA406" s="851"/>
      <c r="BB406" s="851"/>
      <c r="BC406" s="523"/>
      <c r="BD406" s="523"/>
      <c r="BE406" s="862"/>
      <c r="BF406" s="851">
        <v>3</v>
      </c>
      <c r="BG406" s="851"/>
      <c r="BH406" s="851"/>
      <c r="BI406" s="851">
        <v>3</v>
      </c>
      <c r="BJ406" s="851"/>
      <c r="BK406" s="851"/>
      <c r="BL406" s="851">
        <v>2</v>
      </c>
      <c r="BM406" s="851"/>
      <c r="BN406" s="851"/>
      <c r="BO406" s="862"/>
      <c r="BP406" s="867"/>
      <c r="BQ406" s="866"/>
      <c r="BR406" s="862"/>
      <c r="BS406" s="472"/>
      <c r="BT406" s="472"/>
      <c r="BU406" s="474"/>
      <c r="BV406" s="472"/>
      <c r="BW406" s="523"/>
      <c r="BX406" s="523"/>
      <c r="BY406" s="523"/>
      <c r="BZ406" s="868" t="str">
        <f>IFERROR(WWWW[[#This Row],['#_Water sources passed]]/WWWW[[#This Row],['#_Water sources tested for fecal coliform ]],"no test")</f>
        <v>no test</v>
      </c>
      <c r="CA406" s="866" t="str">
        <f>IFERROR(WWWW[[#This Row],['#_Household passed]]/WWWW[[#This Row],['#_Household water samples tested for fecal coliform]],"no test")</f>
        <v>no test</v>
      </c>
      <c r="CB406" s="867" t="str">
        <f>IF(AND(WWWW[[#This Row],[% of water sources passed]]="no test",WWWW[[#This Row],[% Household passed]]="no test"),"No Test","Tested")</f>
        <v>No Test</v>
      </c>
      <c r="CC406" s="867">
        <f>WWWW[[#This Row],['#_Constructed/existing protected hand dug well]]-WWWW[[#This Row],['#_Non-functional protected hand dug well]]</f>
        <v>0</v>
      </c>
      <c r="CD406" s="867">
        <f>(WWWW[[#This Row],['#_Constructed/Existing tube wells/boreholes/handpumps_WASH_agency]]+WWWW[[#This Row],['#_Non-Cluster partner water tube-wells/boreholes/handpumps]])-WWWW[[#This Row],['#_Non-functional tube wells/boreholes/handpumps]]</f>
        <v>3</v>
      </c>
      <c r="CE406" s="867">
        <f>WWWW[[#This Row],['#_Constructed/Existingwater storage tank with gravity fed reticulation system]]-WWWW[[#This Row],['#_Non-functional storage tank gravity fed reticulation system]]</f>
        <v>0</v>
      </c>
      <c r="CF406" s="867">
        <f>(WWWW[[#This Row],['#_Water_Liters_supplied_by_Water boating or water trucking]]/90)/15</f>
        <v>0</v>
      </c>
      <c r="CG406" s="867">
        <f>WWWW[[#This Row],['#_Water_Liters_from_Constructed/Existing water distribution system from river or natural spring]]/90/15</f>
        <v>0</v>
      </c>
      <c r="CH406" s="473">
        <f>WWWW[[#This Row],['#_of water points in TLS/CFS /THF]]*500</f>
        <v>0</v>
      </c>
      <c r="CI40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0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06" s="866">
        <f>IF(WWWW[[#This Row],[Location Type 1]]="Village",WWWW[[#This Row],[Access to safe drinking water for Village]],WWWW[[#This Row],[Access to safe drinking water for Camp]])</f>
        <v>1</v>
      </c>
      <c r="CL406" s="864">
        <f>WWWW[[#This Row],[%Equitable and continuous access to sufficient quantity of safe drinking water]]*WWWW[[#This Row],[Total PoP ]]</f>
        <v>197</v>
      </c>
      <c r="CM406" s="866">
        <f>IF((WWWW[[#This Row],['#_Constructed/Existing protected/fenced ponds]]*250)/WWWW[[#This Row],[Total PoP ]]&gt;1,1,(WWWW[[#This Row],['#_Constructed/Existing protected/fenced ponds]]*250)/WWWW[[#This Row],[Total PoP ]])</f>
        <v>0</v>
      </c>
      <c r="CN406" s="864">
        <f>WWWW[[#This Row],[% Access to unimproved water points]]*WWWW[[#This Row],[Total PoP ]]</f>
        <v>0</v>
      </c>
      <c r="CO40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0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406" s="864">
        <f>WWWW[[#This Row],[HRP1]]/500</f>
        <v>0.39400000000000002</v>
      </c>
      <c r="CR406" s="869">
        <f>1-WWWW[[#This Row],[% Equitable and continuous access to sufficient quantity of domestic water]]</f>
        <v>0</v>
      </c>
      <c r="CS406" s="864">
        <f>WWWW[[#This Row],[%equitable and continuous access to sufficient quantity of safe drinking and domestic water''s GAP]]*WWWW[[#This Row],[Total PoP ]]</f>
        <v>0</v>
      </c>
      <c r="CT406" s="867">
        <f>IF(WWWW[[#This Row],[Total required water points]]-WWWW[[#This Row],['#Water points coverage]]&lt;0,0,WWWW[[#This Row],[Total required water points]]-WWWW[[#This Row],['#Water points coverage]])</f>
        <v>0.60599999999999998</v>
      </c>
      <c r="CU406" s="867">
        <f>ROUND(IF(WWWW[[#This Row],[Total PoP ]]&lt;500,1,WWWW[[#This Row],[Total PoP ]]/500),0)</f>
        <v>1</v>
      </c>
      <c r="CV406" s="867">
        <f>(WWWW[[#This Row],['#_Constructed latrines_by_WASHAgencies]]+WWWW[[#This Row],['#_Non Cluster partner latrines]])-WWWW[[#This Row],['#_Non-functional latrines]]</f>
        <v>7</v>
      </c>
      <c r="CW406" s="804">
        <f>WWWW[[#This Row],[HRP2]]/WWWW[[#This Row],[Total PoP ]]</f>
        <v>0.71065989847715738</v>
      </c>
      <c r="CX40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40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6" s="473">
        <f>IF(WWWW[[#This Row],['# of functional latrines in THF supported by WASH partners during the reporting period2]]="",0,WWWW[[#This Row],['# of functional latrines in THF supported by WASH partners during the reporting period2]]*50)</f>
        <v>0</v>
      </c>
      <c r="DB406" s="473">
        <f>WWWW[[#This Row],['# students access to functioning school latrines_HRP5]]+WWWW[[#This Row],['# People access to functioning latrines in THF_HRP5]]</f>
        <v>0</v>
      </c>
      <c r="DC406" s="867">
        <f>ROUND(IF(WWWW[[#This Row],[Location Type 1]]="camp",WWWW[[#This Row],[Total PoP ]]/20,IF(WWWW[[#This Row],[Location Type 1]]="Temporary Location",WWWW[[#This Row],[Total PoP ]]/50,(WWWW[[#This Row],[Total PoP ]]/6))),0)</f>
        <v>10</v>
      </c>
      <c r="DD406" s="867">
        <f>IF(WWWW[[#This Row],[Total required Latrines]]-(WWWW[[#This Row],['#_Constructed latrines_by_WASHAgencies]]+WWWW[[#This Row],['#_Non Cluster partner latrines]])&lt;0,0,WWWW[[#This Row],[Total required Latrines]]-(WWWW[[#This Row],['#_Constructed latrines_by_WASHAgencies]]+WWWW[[#This Row],['#_Non Cluster partner latrines]]))</f>
        <v>3</v>
      </c>
      <c r="DE406" s="869">
        <f>1-WWWW[[#This Row],[% people access to functioning Latrine]]</f>
        <v>0.28934010152284262</v>
      </c>
      <c r="DF406" s="868">
        <f>IF(OR(WWWW[[#This Row],['#_Non-functional latrines]]="",WWWW[[#This Row],['#_Non-functional latrines]]=0),0,WWWW[[#This Row],['#_Non-functional latrines]]/(WWWW[[#This Row],['#_Constructed latrines_by_WASHAgencies]]+WWWW[[#This Row],['#_Non Cluster partner latrines]]))</f>
        <v>0</v>
      </c>
      <c r="DG406" s="864">
        <f>IF(500*(WWWW[[#This Row],['#_male hygiene promoters]]+WWWW[[#This Row],['#_female hygiene promoters]])&gt;WWWW[[#This Row],[Total PoP ]],WWWW[[#This Row],[Total PoP ]],500*(WWWW[[#This Row],['#_male hygiene promoters]]+WWWW[[#This Row],['#_female hygiene promoters]]))</f>
        <v>197</v>
      </c>
      <c r="DH40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6" s="867">
        <f>IF(WWWW[[#This Row],['# People with access to soap]]&gt;WWWW[[#This Row],['# People with access to Sanity Pads]],WWWW[[#This Row],['# People with access to soap]],WWWW[[#This Row],['# People with access to Sanity Pads]])</f>
        <v>0</v>
      </c>
      <c r="DK406" s="867">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406" s="869">
        <f>IF(WWWW[[#This Row],[HRP3]]/WWWW[[#This Row],[Total PoP ]]&gt;1,1,WWWW[[#This Row],[HRP3]]/WWWW[[#This Row],[Total PoP ]])</f>
        <v>1</v>
      </c>
      <c r="DM406" s="868">
        <f>1-WWWW[[#This Row],[Hygiene Coverage%]]</f>
        <v>0</v>
      </c>
      <c r="DN406" s="866">
        <f>WWWW[[#This Row],['# people reached by regular dedicated hygiene promotion_5]]/WWWW[[#This Row],[Total PoP ]]</f>
        <v>1</v>
      </c>
      <c r="DO40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6" s="867">
        <f>WWWW[[#This Row],['#_Constructed/Existing hand washing stations]]-WWWW[[#This Row],['#_Non-Functional_hand_washing_stations]]</f>
        <v>3</v>
      </c>
      <c r="DR406" s="864">
        <f>IF(WWWW[[#This Row],['# Functional hand washing stations during reporting period]]*20&gt;WWWW[[#This Row],[Total HH]],WWWW[[#This Row],[Total HH]],WWWW[[#This Row],['# Functional hand washing stations during reporting period]]*20)</f>
        <v>43</v>
      </c>
      <c r="DS406" s="864">
        <f>IF(WWWW[[#This Row],[Is sufficient soap available for TLS? (Yes/No)]]="yes",WWWW[[#This Row],['#_Constructed/Existing hand washing stations at TLS]],0)</f>
        <v>0</v>
      </c>
      <c r="DT406" s="479">
        <f>IF(WWWW[[#This Row],['# Functional hand washing stations during reporting period]]*100&gt;WWWW[[#This Row],[Total PoP ]],WWWW[[#This Row],[Total PoP ]],WWWW[[#This Row],['# Functional hand washing stations during reporting period]]*100)</f>
        <v>197</v>
      </c>
      <c r="DU406" s="479" t="str">
        <f>IF(OR(WWWW[[#This Row],['#_students at TLS_CFS]]="",WWWW[[#This Row],['#_students at TLS_CFS]]=0),"No","Yes")</f>
        <v>No</v>
      </c>
      <c r="DV40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6" s="862" t="str">
        <f>VLOOKUP(WWWW[[#This Row],[Site Name]],SiteDB6[[Site Name]:[CCCM Management]],6,FALSE)</f>
        <v>Yes</v>
      </c>
      <c r="DZ406" s="862" t="str">
        <f>VLOOKUP(WWWW[[#This Row],[Site Name]],SiteDB6[[Site Name]:[CCCM Focal Agency]],7,FALSE)</f>
        <v>KBC-MYT</v>
      </c>
      <c r="EA406" s="862" t="str">
        <f>VLOOKUP(WWWW[[#This Row],[Site Name]],SiteDB6[[Site Name]:[Location Type 1]],9,FALSE)</f>
        <v>Camp</v>
      </c>
      <c r="EB406" s="862" t="str">
        <f>VLOOKUP(WWWW[[#This Row],[Site Name]],SiteDB6[[Site Name]:[Type of Accommodation]],10,FALSE)</f>
        <v>Camp</v>
      </c>
      <c r="EC406" s="862" t="str">
        <f>VLOOKUP(WWWW[[#This Row],[Site Name]],SiteDB6[[Site Name]:[Ethnic or GCA/NGCA]],11,FALSE)</f>
        <v>GCA</v>
      </c>
      <c r="ED406" s="862">
        <f>VLOOKUP(WWWW[[#This Row],[Site Name]],SiteDB6[[Site Name]:[Lat]],12,FALSE)</f>
        <v>25.3959740909091</v>
      </c>
      <c r="EE406" s="862">
        <f>VLOOKUP(WWWW[[#This Row],[Site Name]],SiteDB6[[Site Name]:[Long]],13,FALSE)</f>
        <v>97.382997575757599</v>
      </c>
      <c r="EF406" s="862" t="str">
        <f>VLOOKUP(WWWW[[#This Row],[Site Name]],SiteDB6[[Site Name]:[Pcode]],3,FALSE)</f>
        <v>MMR001CMP010</v>
      </c>
      <c r="EG406" s="865" t="str">
        <f t="shared" si="11"/>
        <v>Covered</v>
      </c>
      <c r="EH406" s="865" t="str">
        <f>VLOOKUP(WWWW[[#This Row],[Site Name]],Site_DB!$C$389:$D$1120,2,FALSE)</f>
        <v>cccm_2019OCT</v>
      </c>
    </row>
    <row r="407" spans="1:138">
      <c r="A407" s="860" t="s">
        <v>3263</v>
      </c>
      <c r="B407" s="860" t="s">
        <v>38</v>
      </c>
      <c r="C407" s="861" t="s">
        <v>38</v>
      </c>
      <c r="D407" s="861" t="s">
        <v>3049</v>
      </c>
      <c r="E407" s="861" t="s">
        <v>39</v>
      </c>
      <c r="F407" s="861" t="s">
        <v>145</v>
      </c>
      <c r="G407" s="721" t="str">
        <f>VLOOKUP(WWWW[[#This Row],[Site Name]],SiteDB6[[Site Name]:[Location Type]],8,FALSE)</f>
        <v>Camp</v>
      </c>
      <c r="H407" s="861" t="s">
        <v>239</v>
      </c>
      <c r="I407" s="851">
        <v>101</v>
      </c>
      <c r="J407" s="851">
        <v>458</v>
      </c>
      <c r="K407" s="863" t="s">
        <v>3619</v>
      </c>
      <c r="L407" s="859" t="s">
        <v>3620</v>
      </c>
      <c r="M407" s="851"/>
      <c r="N407" s="851"/>
      <c r="O407" s="851"/>
      <c r="P407" s="851"/>
      <c r="Q407" s="864" t="s">
        <v>43</v>
      </c>
      <c r="R407" s="851"/>
      <c r="S407" s="851"/>
      <c r="T407" s="523"/>
      <c r="U407" s="851"/>
      <c r="V407" s="851"/>
      <c r="W407" s="851"/>
      <c r="X407" s="851"/>
      <c r="Y407" s="851"/>
      <c r="Z407" s="851"/>
      <c r="AA407" s="851">
        <v>1</v>
      </c>
      <c r="AB407" s="851"/>
      <c r="AC407" s="851"/>
      <c r="AD407" s="851"/>
      <c r="AE407" s="851"/>
      <c r="AF407" s="851"/>
      <c r="AG407" s="851"/>
      <c r="AH407" s="851"/>
      <c r="AI407" s="851"/>
      <c r="AJ407" s="851"/>
      <c r="AK407" s="851"/>
      <c r="AL407" s="851"/>
      <c r="AM407" s="851">
        <v>4</v>
      </c>
      <c r="AN407" s="851"/>
      <c r="AO407" s="865"/>
      <c r="AP407" s="851">
        <v>90</v>
      </c>
      <c r="AQ407" s="851"/>
      <c r="AR407" s="866"/>
      <c r="AS407" s="851"/>
      <c r="AT407" s="851"/>
      <c r="AU407" s="851"/>
      <c r="AV407" s="851"/>
      <c r="AW407" s="851"/>
      <c r="AX407" s="862" t="s">
        <v>43</v>
      </c>
      <c r="AY407" s="865" t="s">
        <v>140</v>
      </c>
      <c r="AZ407" s="851">
        <v>0</v>
      </c>
      <c r="BA407" s="851"/>
      <c r="BB407" s="851"/>
      <c r="BC407" s="523"/>
      <c r="BD407" s="523"/>
      <c r="BE407" s="862"/>
      <c r="BF407" s="851">
        <v>2</v>
      </c>
      <c r="BG407" s="851"/>
      <c r="BH407" s="851"/>
      <c r="BI407" s="851">
        <v>3</v>
      </c>
      <c r="BJ407" s="851"/>
      <c r="BK407" s="851"/>
      <c r="BL407" s="851">
        <v>2</v>
      </c>
      <c r="BM407" s="851">
        <v>6</v>
      </c>
      <c r="BN407" s="851"/>
      <c r="BO407" s="862" t="s">
        <v>139</v>
      </c>
      <c r="BP407" s="867"/>
      <c r="BQ407" s="472">
        <v>0.75</v>
      </c>
      <c r="BR407" s="862"/>
      <c r="BS407" s="472"/>
      <c r="BT407" s="472"/>
      <c r="BU407" s="474"/>
      <c r="BV407" s="472"/>
      <c r="BW407" s="523"/>
      <c r="BX407" s="523"/>
      <c r="BY407" s="523"/>
      <c r="BZ407" s="868" t="str">
        <f>IFERROR(WWWW[[#This Row],['#_Water sources passed]]/WWWW[[#This Row],['#_Water sources tested for fecal coliform ]],"no test")</f>
        <v>no test</v>
      </c>
      <c r="CA407" s="866" t="str">
        <f>IFERROR(WWWW[[#This Row],['#_Household passed]]/WWWW[[#This Row],['#_Household water samples tested for fecal coliform]],"no test")</f>
        <v>no test</v>
      </c>
      <c r="CB407" s="867" t="str">
        <f>IF(AND(WWWW[[#This Row],[% of water sources passed]]="no test",WWWW[[#This Row],[% Household passed]]="no test"),"No Test","Tested")</f>
        <v>No Test</v>
      </c>
      <c r="CC407" s="867">
        <f>WWWW[[#This Row],['#_Constructed/existing protected hand dug well]]-WWWW[[#This Row],['#_Non-functional protected hand dug well]]</f>
        <v>0</v>
      </c>
      <c r="CD407" s="867">
        <f>(WWWW[[#This Row],['#_Constructed/Existing tube wells/boreholes/handpumps_WASH_agency]]+WWWW[[#This Row],['#_Non-Cluster partner water tube-wells/boreholes/handpumps]])-WWWW[[#This Row],['#_Non-functional tube wells/boreholes/handpumps]]</f>
        <v>0</v>
      </c>
      <c r="CE407" s="867">
        <f>WWWW[[#This Row],['#_Constructed/Existingwater storage tank with gravity fed reticulation system]]-WWWW[[#This Row],['#_Non-functional storage tank gravity fed reticulation system]]</f>
        <v>1</v>
      </c>
      <c r="CF407" s="867">
        <f>(WWWW[[#This Row],['#_Water_Liters_supplied_by_Water boating or water trucking]]/90)/15</f>
        <v>0</v>
      </c>
      <c r="CG407" s="867">
        <f>WWWW[[#This Row],['#_Water_Liters_from_Constructed/Existing water distribution system from river or natural spring]]/90/15</f>
        <v>0</v>
      </c>
      <c r="CH407" s="473">
        <f>WWWW[[#This Row],['#_of water points in TLS/CFS /THF]]*500</f>
        <v>0</v>
      </c>
      <c r="CI40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40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407" s="866">
        <f>IF(WWWW[[#This Row],[Location Type 1]]="Village",WWWW[[#This Row],[Access to safe drinking water for Village]],WWWW[[#This Row],[Access to safe drinking water for Camp]])</f>
        <v>0.14556040756914121</v>
      </c>
      <c r="CL407" s="864">
        <f>WWWW[[#This Row],[%Equitable and continuous access to sufficient quantity of safe drinking water]]*WWWW[[#This Row],[Total PoP ]]</f>
        <v>66.666666666666671</v>
      </c>
      <c r="CM407" s="866">
        <f>IF((WWWW[[#This Row],['#_Constructed/Existing protected/fenced ponds]]*250)/WWWW[[#This Row],[Total PoP ]]&gt;1,1,(WWWW[[#This Row],['#_Constructed/Existing protected/fenced ponds]]*250)/WWWW[[#This Row],[Total PoP ]])</f>
        <v>0</v>
      </c>
      <c r="CN407" s="864">
        <f>WWWW[[#This Row],[% Access to unimproved water points]]*WWWW[[#This Row],[Total PoP ]]</f>
        <v>0</v>
      </c>
      <c r="CO40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40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07" s="864">
        <f>WWWW[[#This Row],[HRP1]]/500</f>
        <v>0.13333333333333333</v>
      </c>
      <c r="CR407" s="869">
        <f>1-WWWW[[#This Row],[% Equitable and continuous access to sufficient quantity of domestic water]]</f>
        <v>0.85443959243085876</v>
      </c>
      <c r="CS407" s="864">
        <f>WWWW[[#This Row],[%equitable and continuous access to sufficient quantity of safe drinking and domestic water''s GAP]]*WWWW[[#This Row],[Total PoP ]]</f>
        <v>391.33333333333331</v>
      </c>
      <c r="CT407" s="867">
        <f>IF(WWWW[[#This Row],[Total required water points]]-WWWW[[#This Row],['#Water points coverage]]&lt;0,0,WWWW[[#This Row],[Total required water points]]-WWWW[[#This Row],['#Water points coverage]])</f>
        <v>0.8666666666666667</v>
      </c>
      <c r="CU407" s="867">
        <f>ROUND(IF(WWWW[[#This Row],[Total PoP ]]&lt;500,1,WWWW[[#This Row],[Total PoP ]]/500),0)</f>
        <v>1</v>
      </c>
      <c r="CV407" s="867">
        <f>(WWWW[[#This Row],['#_Constructed latrines_by_WASHAgencies]]+WWWW[[#This Row],['#_Non Cluster partner latrines]])-WWWW[[#This Row],['#_Non-functional latrines]]</f>
        <v>90</v>
      </c>
      <c r="CW407" s="804">
        <f>WWWW[[#This Row],[HRP2]]/WWWW[[#This Row],[Total PoP ]]</f>
        <v>1</v>
      </c>
      <c r="CX40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40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7" s="473">
        <f>IF(WWWW[[#This Row],['# of functional latrines in THF supported by WASH partners during the reporting period2]]="",0,WWWW[[#This Row],['# of functional latrines in THF supported by WASH partners during the reporting period2]]*50)</f>
        <v>0</v>
      </c>
      <c r="DB407" s="473">
        <f>WWWW[[#This Row],['# students access to functioning school latrines_HRP5]]+WWWW[[#This Row],['# People access to functioning latrines in THF_HRP5]]</f>
        <v>0</v>
      </c>
      <c r="DC407" s="867">
        <f>ROUND(IF(WWWW[[#This Row],[Location Type 1]]="camp",WWWW[[#This Row],[Total PoP ]]/20,IF(WWWW[[#This Row],[Location Type 1]]="Temporary Location",WWWW[[#This Row],[Total PoP ]]/50,(WWWW[[#This Row],[Total PoP ]]/6))),0)</f>
        <v>23</v>
      </c>
      <c r="DD407" s="867">
        <f>IF(WWWW[[#This Row],[Total required Latrines]]-(WWWW[[#This Row],['#_Constructed latrines_by_WASHAgencies]]+WWWW[[#This Row],['#_Non Cluster partner latrines]])&lt;0,0,WWWW[[#This Row],[Total required Latrines]]-(WWWW[[#This Row],['#_Constructed latrines_by_WASHAgencies]]+WWWW[[#This Row],['#_Non Cluster partner latrines]]))</f>
        <v>0</v>
      </c>
      <c r="DE407" s="869">
        <f>1-WWWW[[#This Row],[% people access to functioning Latrine]]</f>
        <v>0</v>
      </c>
      <c r="DF407" s="868">
        <f>IF(OR(WWWW[[#This Row],['#_Non-functional latrines]]="",WWWW[[#This Row],['#_Non-functional latrines]]=0),0,WWWW[[#This Row],['#_Non-functional latrines]]/(WWWW[[#This Row],['#_Constructed latrines_by_WASHAgencies]]+WWWW[[#This Row],['#_Non Cluster partner latrines]]))</f>
        <v>0</v>
      </c>
      <c r="DG407" s="864">
        <f>IF(500*(WWWW[[#This Row],['#_male hygiene promoters]]+WWWW[[#This Row],['#_female hygiene promoters]])&gt;WWWW[[#This Row],[Total PoP ]],WWWW[[#This Row],[Total PoP ]],500*(WWWW[[#This Row],['#_male hygiene promoters]]+WWWW[[#This Row],['#_female hygiene promoters]]))</f>
        <v>458</v>
      </c>
      <c r="DH40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0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7" s="867">
        <f>IF(WWWW[[#This Row],['# People with access to soap]]&gt;WWWW[[#This Row],['# People with access to Sanity Pads]],WWWW[[#This Row],['# People with access to soap]],WWWW[[#This Row],['# People with access to Sanity Pads]])</f>
        <v>30</v>
      </c>
      <c r="DK407" s="867">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407" s="869">
        <f>IF(WWWW[[#This Row],[HRP3]]/WWWW[[#This Row],[Total PoP ]]&gt;1,1,WWWW[[#This Row],[HRP3]]/WWWW[[#This Row],[Total PoP ]])</f>
        <v>1</v>
      </c>
      <c r="DM407" s="868">
        <f>1-WWWW[[#This Row],[Hygiene Coverage%]]</f>
        <v>0</v>
      </c>
      <c r="DN407" s="866">
        <f>WWWW[[#This Row],['# people reached by regular dedicated hygiene promotion_5]]/WWWW[[#This Row],[Total PoP ]]</f>
        <v>1</v>
      </c>
      <c r="DO40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5.9405940594059403E-2</v>
      </c>
      <c r="DP40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7" s="867">
        <f>WWWW[[#This Row],['#_Constructed/Existing hand washing stations]]-WWWW[[#This Row],['#_Non-Functional_hand_washing_stations]]</f>
        <v>2</v>
      </c>
      <c r="DR407" s="864">
        <f>IF(WWWW[[#This Row],['# Functional hand washing stations during reporting period]]*20&gt;WWWW[[#This Row],[Total HH]],WWWW[[#This Row],[Total HH]],WWWW[[#This Row],['# Functional hand washing stations during reporting period]]*20)</f>
        <v>40</v>
      </c>
      <c r="DS407" s="864">
        <f>IF(WWWW[[#This Row],[Is sufficient soap available for TLS? (Yes/No)]]="yes",WWWW[[#This Row],['#_Constructed/Existing hand washing stations at TLS]],0)</f>
        <v>0</v>
      </c>
      <c r="DT407" s="479">
        <f>IF(WWWW[[#This Row],['# Functional hand washing stations during reporting period]]*100&gt;WWWW[[#This Row],[Total PoP ]],WWWW[[#This Row],[Total PoP ]],WWWW[[#This Row],['# Functional hand washing stations during reporting period]]*100)</f>
        <v>200</v>
      </c>
      <c r="DU407" s="479" t="str">
        <f>IF(OR(WWWW[[#This Row],['#_students at TLS_CFS]]="",WWWW[[#This Row],['#_students at TLS_CFS]]=0),"No","Yes")</f>
        <v>No</v>
      </c>
      <c r="DV40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7" s="862" t="str">
        <f>VLOOKUP(WWWW[[#This Row],[Site Name]],SiteDB6[[Site Name]:[CCCM Management]],6,FALSE)</f>
        <v>Yes</v>
      </c>
      <c r="DZ407" s="862" t="str">
        <f>VLOOKUP(WWWW[[#This Row],[Site Name]],SiteDB6[[Site Name]:[CCCM Focal Agency]],7,FALSE)</f>
        <v>KMSS-MYT</v>
      </c>
      <c r="EA407" s="862" t="str">
        <f>VLOOKUP(WWWW[[#This Row],[Site Name]],SiteDB6[[Site Name]:[Location Type 1]],9,FALSE)</f>
        <v>Camp</v>
      </c>
      <c r="EB407" s="862" t="str">
        <f>VLOOKUP(WWWW[[#This Row],[Site Name]],SiteDB6[[Site Name]:[Type of Accommodation]],10,FALSE)</f>
        <v>Camp</v>
      </c>
      <c r="EC407" s="862" t="str">
        <f>VLOOKUP(WWWW[[#This Row],[Site Name]],SiteDB6[[Site Name]:[Ethnic or GCA/NGCA]],11,FALSE)</f>
        <v>NGCA</v>
      </c>
      <c r="ED407" s="862">
        <f>VLOOKUP(WWWW[[#This Row],[Site Name]],SiteDB6[[Site Name]:[Lat]],12,FALSE)</f>
        <v>25.220278</v>
      </c>
      <c r="EE407" s="862">
        <f>VLOOKUP(WWWW[[#This Row],[Site Name]],SiteDB6[[Site Name]:[Long]],13,FALSE)</f>
        <v>97.915833000000006</v>
      </c>
      <c r="EF407" s="862" t="str">
        <f>VLOOKUP(WWWW[[#This Row],[Site Name]],SiteDB6[[Site Name]:[Pcode]],3,FALSE)</f>
        <v>MMR001CMP113</v>
      </c>
      <c r="EG407" s="865" t="str">
        <f t="shared" si="11"/>
        <v>Covered</v>
      </c>
      <c r="EH407" s="865" t="str">
        <f>VLOOKUP(WWWW[[#This Row],[Site Name]],Site_DB!$C$389:$D$1120,2,FALSE)</f>
        <v>cccm_2019OCT</v>
      </c>
    </row>
    <row r="408" spans="1:138">
      <c r="A408" s="860" t="s">
        <v>3263</v>
      </c>
      <c r="B408" s="860" t="s">
        <v>312</v>
      </c>
      <c r="C408" s="861" t="s">
        <v>312</v>
      </c>
      <c r="D408" s="861"/>
      <c r="E408" s="861" t="s">
        <v>39</v>
      </c>
      <c r="F408" s="861" t="s">
        <v>151</v>
      </c>
      <c r="G408" s="721" t="str">
        <f>VLOOKUP(WWWW[[#This Row],[Site Name]],SiteDB6[[Site Name]:[Location Type]],8,FALSE)</f>
        <v>Camp</v>
      </c>
      <c r="H408" s="861" t="s">
        <v>233</v>
      </c>
      <c r="I408" s="851">
        <v>70</v>
      </c>
      <c r="J408" s="851">
        <v>350</v>
      </c>
      <c r="K408" s="863"/>
      <c r="L408" s="859"/>
      <c r="M408" s="851"/>
      <c r="N408" s="851"/>
      <c r="O408" s="851"/>
      <c r="P408" s="851"/>
      <c r="Q408" s="864"/>
      <c r="R408" s="851"/>
      <c r="S408" s="851"/>
      <c r="T408" s="523"/>
      <c r="U408" s="851"/>
      <c r="V408" s="851"/>
      <c r="W408" s="851"/>
      <c r="X408" s="851"/>
      <c r="Y408" s="851"/>
      <c r="Z408" s="851"/>
      <c r="AA408" s="851"/>
      <c r="AB408" s="851"/>
      <c r="AC408" s="851"/>
      <c r="AD408" s="851"/>
      <c r="AE408" s="851"/>
      <c r="AF408" s="851"/>
      <c r="AG408" s="851"/>
      <c r="AH408" s="851"/>
      <c r="AI408" s="851"/>
      <c r="AJ408" s="851"/>
      <c r="AK408" s="851"/>
      <c r="AL408" s="851"/>
      <c r="AM408" s="851"/>
      <c r="AN408" s="851"/>
      <c r="AO408" s="865"/>
      <c r="AP408" s="851"/>
      <c r="AQ408" s="851"/>
      <c r="AR408" s="866"/>
      <c r="AS408" s="851"/>
      <c r="AT408" s="851"/>
      <c r="AU408" s="851"/>
      <c r="AV408" s="851"/>
      <c r="AW408" s="851"/>
      <c r="AX408" s="862"/>
      <c r="AY408" s="865"/>
      <c r="AZ408" s="851"/>
      <c r="BA408" s="851"/>
      <c r="BB408" s="851"/>
      <c r="BC408" s="523"/>
      <c r="BD408" s="523"/>
      <c r="BE408" s="862"/>
      <c r="BF408" s="851"/>
      <c r="BG408" s="851"/>
      <c r="BH408" s="851"/>
      <c r="BI408" s="851"/>
      <c r="BJ408" s="851"/>
      <c r="BK408" s="851"/>
      <c r="BL408" s="851"/>
      <c r="BM408" s="851"/>
      <c r="BN408" s="851"/>
      <c r="BO408" s="862"/>
      <c r="BP408" s="867"/>
      <c r="BQ408" s="866"/>
      <c r="BR408" s="862"/>
      <c r="BS408" s="472"/>
      <c r="BT408" s="472"/>
      <c r="BU408" s="474"/>
      <c r="BV408" s="472"/>
      <c r="BW408" s="523"/>
      <c r="BX408" s="523"/>
      <c r="BY408" s="523"/>
      <c r="BZ408" s="868" t="str">
        <f>IFERROR(WWWW[[#This Row],['#_Water sources passed]]/WWWW[[#This Row],['#_Water sources tested for fecal coliform ]],"no test")</f>
        <v>no test</v>
      </c>
      <c r="CA408" s="866" t="str">
        <f>IFERROR(WWWW[[#This Row],['#_Household passed]]/WWWW[[#This Row],['#_Household water samples tested for fecal coliform]],"no test")</f>
        <v>no test</v>
      </c>
      <c r="CB408" s="867" t="str">
        <f>IF(AND(WWWW[[#This Row],[% of water sources passed]]="no test",WWWW[[#This Row],[% Household passed]]="no test"),"No Test","Tested")</f>
        <v>No Test</v>
      </c>
      <c r="CC408" s="867">
        <f>WWWW[[#This Row],['#_Constructed/existing protected hand dug well]]-WWWW[[#This Row],['#_Non-functional protected hand dug well]]</f>
        <v>0</v>
      </c>
      <c r="CD408" s="867">
        <f>(WWWW[[#This Row],['#_Constructed/Existing tube wells/boreholes/handpumps_WASH_agency]]+WWWW[[#This Row],['#_Non-Cluster partner water tube-wells/boreholes/handpumps]])-WWWW[[#This Row],['#_Non-functional tube wells/boreholes/handpumps]]</f>
        <v>0</v>
      </c>
      <c r="CE408" s="867">
        <f>WWWW[[#This Row],['#_Constructed/Existingwater storage tank with gravity fed reticulation system]]-WWWW[[#This Row],['#_Non-functional storage tank gravity fed reticulation system]]</f>
        <v>0</v>
      </c>
      <c r="CF408" s="867">
        <f>(WWWW[[#This Row],['#_Water_Liters_supplied_by_Water boating or water trucking]]/90)/15</f>
        <v>0</v>
      </c>
      <c r="CG408" s="867">
        <f>WWWW[[#This Row],['#_Water_Liters_from_Constructed/Existing water distribution system from river or natural spring]]/90/15</f>
        <v>0</v>
      </c>
      <c r="CH408" s="473">
        <f>WWWW[[#This Row],['#_of water points in TLS/CFS /THF]]*500</f>
        <v>0</v>
      </c>
      <c r="CI40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0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08" s="866">
        <f>IF(WWWW[[#This Row],[Location Type 1]]="Village",WWWW[[#This Row],[Access to safe drinking water for Village]],WWWW[[#This Row],[Access to safe drinking water for Camp]])</f>
        <v>0</v>
      </c>
      <c r="CL408" s="864">
        <f>WWWW[[#This Row],[%Equitable and continuous access to sufficient quantity of safe drinking water]]*WWWW[[#This Row],[Total PoP ]]</f>
        <v>0</v>
      </c>
      <c r="CM408" s="866">
        <f>IF((WWWW[[#This Row],['#_Constructed/Existing protected/fenced ponds]]*250)/WWWW[[#This Row],[Total PoP ]]&gt;1,1,(WWWW[[#This Row],['#_Constructed/Existing protected/fenced ponds]]*250)/WWWW[[#This Row],[Total PoP ]])</f>
        <v>0</v>
      </c>
      <c r="CN408" s="864">
        <f>WWWW[[#This Row],[% Access to unimproved water points]]*WWWW[[#This Row],[Total PoP ]]</f>
        <v>0</v>
      </c>
      <c r="CO40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0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08" s="864">
        <f>WWWW[[#This Row],[HRP1]]/500</f>
        <v>0</v>
      </c>
      <c r="CR408" s="869">
        <f>1-WWWW[[#This Row],[% Equitable and continuous access to sufficient quantity of domestic water]]</f>
        <v>1</v>
      </c>
      <c r="CS408" s="864">
        <f>WWWW[[#This Row],[%equitable and continuous access to sufficient quantity of safe drinking and domestic water''s GAP]]*WWWW[[#This Row],[Total PoP ]]</f>
        <v>350</v>
      </c>
      <c r="CT408" s="867">
        <f>IF(WWWW[[#This Row],[Total required water points]]-WWWW[[#This Row],['#Water points coverage]]&lt;0,0,WWWW[[#This Row],[Total required water points]]-WWWW[[#This Row],['#Water points coverage]])</f>
        <v>1</v>
      </c>
      <c r="CU408" s="867">
        <f>ROUND(IF(WWWW[[#This Row],[Total PoP ]]&lt;500,1,WWWW[[#This Row],[Total PoP ]]/500),0)</f>
        <v>1</v>
      </c>
      <c r="CV408" s="867">
        <f>(WWWW[[#This Row],['#_Constructed latrines_by_WASHAgencies]]+WWWW[[#This Row],['#_Non Cluster partner latrines]])-WWWW[[#This Row],['#_Non-functional latrines]]</f>
        <v>0</v>
      </c>
      <c r="CW408" s="804">
        <f>WWWW[[#This Row],[HRP2]]/WWWW[[#This Row],[Total PoP ]]</f>
        <v>0</v>
      </c>
      <c r="CX40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0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8" s="473">
        <f>IF(WWWW[[#This Row],['# of functional latrines in THF supported by WASH partners during the reporting period2]]="",0,WWWW[[#This Row],['# of functional latrines in THF supported by WASH partners during the reporting period2]]*50)</f>
        <v>0</v>
      </c>
      <c r="DB408" s="473">
        <f>WWWW[[#This Row],['# students access to functioning school latrines_HRP5]]+WWWW[[#This Row],['# People access to functioning latrines in THF_HRP5]]</f>
        <v>0</v>
      </c>
      <c r="DC408" s="867">
        <f>ROUND(IF(WWWW[[#This Row],[Location Type 1]]="camp",WWWW[[#This Row],[Total PoP ]]/20,IF(WWWW[[#This Row],[Location Type 1]]="Temporary Location",WWWW[[#This Row],[Total PoP ]]/50,(WWWW[[#This Row],[Total PoP ]]/6))),0)</f>
        <v>18</v>
      </c>
      <c r="DD408" s="867">
        <f>IF(WWWW[[#This Row],[Total required Latrines]]-(WWWW[[#This Row],['#_Constructed latrines_by_WASHAgencies]]+WWWW[[#This Row],['#_Non Cluster partner latrines]])&lt;0,0,WWWW[[#This Row],[Total required Latrines]]-(WWWW[[#This Row],['#_Constructed latrines_by_WASHAgencies]]+WWWW[[#This Row],['#_Non Cluster partner latrines]]))</f>
        <v>18</v>
      </c>
      <c r="DE408" s="869">
        <f>1-WWWW[[#This Row],[% people access to functioning Latrine]]</f>
        <v>1</v>
      </c>
      <c r="DF408" s="868">
        <f>IF(OR(WWWW[[#This Row],['#_Non-functional latrines]]="",WWWW[[#This Row],['#_Non-functional latrines]]=0),0,WWWW[[#This Row],['#_Non-functional latrines]]/(WWWW[[#This Row],['#_Constructed latrines_by_WASHAgencies]]+WWWW[[#This Row],['#_Non Cluster partner latrines]]))</f>
        <v>0</v>
      </c>
      <c r="DG408" s="864">
        <f>IF(500*(WWWW[[#This Row],['#_male hygiene promoters]]+WWWW[[#This Row],['#_female hygiene promoters]])&gt;WWWW[[#This Row],[Total PoP ]],WWWW[[#This Row],[Total PoP ]],500*(WWWW[[#This Row],['#_male hygiene promoters]]+WWWW[[#This Row],['#_female hygiene promoters]]))</f>
        <v>0</v>
      </c>
      <c r="DH40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8" s="867">
        <f>IF(WWWW[[#This Row],['# People with access to soap]]&gt;WWWW[[#This Row],['# People with access to Sanity Pads]],WWWW[[#This Row],['# People with access to soap]],WWWW[[#This Row],['# People with access to Sanity Pads]])</f>
        <v>0</v>
      </c>
      <c r="DK40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08" s="869">
        <f>IF(WWWW[[#This Row],[HRP3]]/WWWW[[#This Row],[Total PoP ]]&gt;1,1,WWWW[[#This Row],[HRP3]]/WWWW[[#This Row],[Total PoP ]])</f>
        <v>0</v>
      </c>
      <c r="DM408" s="868">
        <f>1-WWWW[[#This Row],[Hygiene Coverage%]]</f>
        <v>1</v>
      </c>
      <c r="DN408" s="866">
        <f>WWWW[[#This Row],['# people reached by regular dedicated hygiene promotion_5]]/WWWW[[#This Row],[Total PoP ]]</f>
        <v>0</v>
      </c>
      <c r="DO40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8" s="867">
        <f>WWWW[[#This Row],['#_Constructed/Existing hand washing stations]]-WWWW[[#This Row],['#_Non-Functional_hand_washing_stations]]</f>
        <v>0</v>
      </c>
      <c r="DR408" s="864">
        <f>IF(WWWW[[#This Row],['# Functional hand washing stations during reporting period]]*20&gt;WWWW[[#This Row],[Total HH]],WWWW[[#This Row],[Total HH]],WWWW[[#This Row],['# Functional hand washing stations during reporting period]]*20)</f>
        <v>0</v>
      </c>
      <c r="DS408" s="864">
        <f>IF(WWWW[[#This Row],[Is sufficient soap available for TLS? (Yes/No)]]="yes",WWWW[[#This Row],['#_Constructed/Existing hand washing stations at TLS]],0)</f>
        <v>0</v>
      </c>
      <c r="DT408" s="479">
        <f>IF(WWWW[[#This Row],['# Functional hand washing stations during reporting period]]*100&gt;WWWW[[#This Row],[Total PoP ]],WWWW[[#This Row],[Total PoP ]],WWWW[[#This Row],['# Functional hand washing stations during reporting period]]*100)</f>
        <v>0</v>
      </c>
      <c r="DU408" s="479" t="str">
        <f>IF(OR(WWWW[[#This Row],['#_students at TLS_CFS]]="",WWWW[[#This Row],['#_students at TLS_CFS]]=0),"No","Yes")</f>
        <v>No</v>
      </c>
      <c r="DV40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8" s="862" t="str">
        <f>VLOOKUP(WWWW[[#This Row],[Site Name]],SiteDB6[[Site Name]:[CCCM Management]],6,FALSE)</f>
        <v>Yes</v>
      </c>
      <c r="DZ408" s="862" t="str">
        <f>VLOOKUP(WWWW[[#This Row],[Site Name]],SiteDB6[[Site Name]:[CCCM Focal Agency]],7,FALSE)</f>
        <v>KMSS-MYT</v>
      </c>
      <c r="EA408" s="862" t="str">
        <f>VLOOKUP(WWWW[[#This Row],[Site Name]],SiteDB6[[Site Name]:[Location Type 1]],9,FALSE)</f>
        <v>Camp</v>
      </c>
      <c r="EB408" s="862" t="str">
        <f>VLOOKUP(WWWW[[#This Row],[Site Name]],SiteDB6[[Site Name]:[Type of Accommodation]],10,FALSE)</f>
        <v>Camp</v>
      </c>
      <c r="EC408" s="862" t="str">
        <f>VLOOKUP(WWWW[[#This Row],[Site Name]],SiteDB6[[Site Name]:[Ethnic or GCA/NGCA]],11,FALSE)</f>
        <v>GCA</v>
      </c>
      <c r="ED408" s="862">
        <f>VLOOKUP(WWWW[[#This Row],[Site Name]],SiteDB6[[Site Name]:[Lat]],12,FALSE)</f>
        <v>25.656009999999998</v>
      </c>
      <c r="EE408" s="862">
        <f>VLOOKUP(WWWW[[#This Row],[Site Name]],SiteDB6[[Site Name]:[Long]],13,FALSE)</f>
        <v>96.361609999999999</v>
      </c>
      <c r="EF408" s="862" t="str">
        <f>VLOOKUP(WWWW[[#This Row],[Site Name]],SiteDB6[[Site Name]:[Pcode]],3,FALSE)</f>
        <v>MMR001CMP168</v>
      </c>
      <c r="EG408" s="865" t="str">
        <f t="shared" si="11"/>
        <v>Notcovered</v>
      </c>
      <c r="EH408" s="865" t="str">
        <f>VLOOKUP(WWWW[[#This Row],[Site Name]],Site_DB!$C$389:$D$1120,2,FALSE)</f>
        <v>cccm_2019OCT</v>
      </c>
    </row>
    <row r="409" spans="1:138">
      <c r="A409" s="860" t="s">
        <v>3263</v>
      </c>
      <c r="B409" s="860" t="s">
        <v>144</v>
      </c>
      <c r="C409" s="861" t="s">
        <v>144</v>
      </c>
      <c r="D409" s="861"/>
      <c r="E409" s="861" t="s">
        <v>39</v>
      </c>
      <c r="F409" s="861" t="s">
        <v>149</v>
      </c>
      <c r="G409" s="721" t="str">
        <f>VLOOKUP(WWWW[[#This Row],[Site Name]],SiteDB6[[Site Name]:[Location Type]],8,FALSE)</f>
        <v>Camp</v>
      </c>
      <c r="H409" s="861" t="s">
        <v>150</v>
      </c>
      <c r="I409" s="851">
        <v>169</v>
      </c>
      <c r="J409" s="851">
        <v>837</v>
      </c>
      <c r="K409" s="863"/>
      <c r="L409" s="859"/>
      <c r="M409" s="851"/>
      <c r="N409" s="851"/>
      <c r="O409" s="851"/>
      <c r="P409" s="851"/>
      <c r="Q409" s="864" t="s">
        <v>43</v>
      </c>
      <c r="R409" s="851"/>
      <c r="S409" s="851">
        <v>4</v>
      </c>
      <c r="T409" s="523">
        <v>0</v>
      </c>
      <c r="U409" s="851"/>
      <c r="V409" s="851"/>
      <c r="W409" s="851">
        <v>0</v>
      </c>
      <c r="X409" s="851"/>
      <c r="Y409" s="851"/>
      <c r="Z409" s="851"/>
      <c r="AA409" s="851">
        <v>1</v>
      </c>
      <c r="AB409" s="851"/>
      <c r="AC409" s="851"/>
      <c r="AD409" s="851"/>
      <c r="AE409" s="851"/>
      <c r="AF409" s="851"/>
      <c r="AG409" s="851"/>
      <c r="AH409" s="851">
        <v>0</v>
      </c>
      <c r="AI409" s="851"/>
      <c r="AJ409" s="851"/>
      <c r="AK409" s="851"/>
      <c r="AL409" s="851"/>
      <c r="AM409" s="851"/>
      <c r="AN409" s="851"/>
      <c r="AO409" s="865"/>
      <c r="AP409" s="851">
        <v>32</v>
      </c>
      <c r="AQ409" s="851"/>
      <c r="AR409" s="866"/>
      <c r="AS409" s="851"/>
      <c r="AT409" s="851"/>
      <c r="AU409" s="851"/>
      <c r="AV409" s="851"/>
      <c r="AW409" s="851">
        <v>32</v>
      </c>
      <c r="AX409" s="862" t="s">
        <v>43</v>
      </c>
      <c r="AY409" s="865" t="s">
        <v>140</v>
      </c>
      <c r="AZ409" s="851"/>
      <c r="BA409" s="851"/>
      <c r="BB409" s="851">
        <v>5</v>
      </c>
      <c r="BC409" s="523"/>
      <c r="BD409" s="523"/>
      <c r="BE409" s="862"/>
      <c r="BF409" s="851"/>
      <c r="BG409" s="851"/>
      <c r="BH409" s="851"/>
      <c r="BI409" s="851">
        <v>4</v>
      </c>
      <c r="BJ409" s="851"/>
      <c r="BK409" s="851"/>
      <c r="BL409" s="851"/>
      <c r="BM409" s="851"/>
      <c r="BN409" s="851"/>
      <c r="BO409" s="862"/>
      <c r="BP409" s="867"/>
      <c r="BQ409" s="866"/>
      <c r="BR409" s="862"/>
      <c r="BS409" s="472"/>
      <c r="BT409" s="472"/>
      <c r="BU409" s="474"/>
      <c r="BV409" s="472"/>
      <c r="BW409" s="523"/>
      <c r="BX409" s="523"/>
      <c r="BY409" s="523"/>
      <c r="BZ409" s="868" t="str">
        <f>IFERROR(WWWW[[#This Row],['#_Water sources passed]]/WWWW[[#This Row],['#_Water sources tested for fecal coliform ]],"no test")</f>
        <v>no test</v>
      </c>
      <c r="CA409" s="866" t="str">
        <f>IFERROR(WWWW[[#This Row],['#_Household passed]]/WWWW[[#This Row],['#_Household water samples tested for fecal coliform]],"no test")</f>
        <v>no test</v>
      </c>
      <c r="CB409" s="867" t="str">
        <f>IF(AND(WWWW[[#This Row],[% of water sources passed]]="no test",WWWW[[#This Row],[% Household passed]]="no test"),"No Test","Tested")</f>
        <v>No Test</v>
      </c>
      <c r="CC409" s="867">
        <f>WWWW[[#This Row],['#_Constructed/existing protected hand dug well]]-WWWW[[#This Row],['#_Non-functional protected hand dug well]]</f>
        <v>0</v>
      </c>
      <c r="CD409" s="867">
        <f>(WWWW[[#This Row],['#_Constructed/Existing tube wells/boreholes/handpumps_WASH_agency]]+WWWW[[#This Row],['#_Non-Cluster partner water tube-wells/boreholes/handpumps]])-WWWW[[#This Row],['#_Non-functional tube wells/boreholes/handpumps]]</f>
        <v>0</v>
      </c>
      <c r="CE409" s="867">
        <f>WWWW[[#This Row],['#_Constructed/Existingwater storage tank with gravity fed reticulation system]]-WWWW[[#This Row],['#_Non-functional storage tank gravity fed reticulation system]]</f>
        <v>1</v>
      </c>
      <c r="CF409" s="867">
        <f>(WWWW[[#This Row],['#_Water_Liters_supplied_by_Water boating or water trucking]]/90)/15</f>
        <v>0</v>
      </c>
      <c r="CG409" s="867">
        <f>WWWW[[#This Row],['#_Water_Liters_from_Constructed/Existing water distribution system from river or natural spring]]/90/15</f>
        <v>0</v>
      </c>
      <c r="CH409" s="473">
        <f>WWWW[[#This Row],['#_of water points in TLS/CFS /THF]]*500</f>
        <v>0</v>
      </c>
      <c r="CI40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7.9649542015133412E-2</v>
      </c>
      <c r="CJ40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7.9649542015133412E-2</v>
      </c>
      <c r="CK409" s="866">
        <f>IF(WWWW[[#This Row],[Location Type 1]]="Village",WWWW[[#This Row],[Access to safe drinking water for Village]],WWWW[[#This Row],[Access to safe drinking water for Camp]])</f>
        <v>7.9649542015133412E-2</v>
      </c>
      <c r="CL409" s="864">
        <f>WWWW[[#This Row],[%Equitable and continuous access to sufficient quantity of safe drinking water]]*WWWW[[#This Row],[Total PoP ]]</f>
        <v>66.666666666666671</v>
      </c>
      <c r="CM409" s="866">
        <f>IF((WWWW[[#This Row],['#_Constructed/Existing protected/fenced ponds]]*250)/WWWW[[#This Row],[Total PoP ]]&gt;1,1,(WWWW[[#This Row],['#_Constructed/Existing protected/fenced ponds]]*250)/WWWW[[#This Row],[Total PoP ]])</f>
        <v>0</v>
      </c>
      <c r="CN409" s="864">
        <f>WWWW[[#This Row],[% Access to unimproved water points]]*WWWW[[#This Row],[Total PoP ]]</f>
        <v>0</v>
      </c>
      <c r="CO40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P40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09" s="864">
        <f>WWWW[[#This Row],[HRP1]]/500</f>
        <v>0.13333333333333333</v>
      </c>
      <c r="CR409" s="869">
        <f>1-WWWW[[#This Row],[% Equitable and continuous access to sufficient quantity of domestic water]]</f>
        <v>0.92035045798486659</v>
      </c>
      <c r="CS409" s="864">
        <f>WWWW[[#This Row],[%equitable and continuous access to sufficient quantity of safe drinking and domestic water''s GAP]]*WWWW[[#This Row],[Total PoP ]]</f>
        <v>770.33333333333337</v>
      </c>
      <c r="CT409" s="867">
        <f>IF(WWWW[[#This Row],[Total required water points]]-WWWW[[#This Row],['#Water points coverage]]&lt;0,0,WWWW[[#This Row],[Total required water points]]-WWWW[[#This Row],['#Water points coverage]])</f>
        <v>1.8666666666666667</v>
      </c>
      <c r="CU409" s="867">
        <f>ROUND(IF(WWWW[[#This Row],[Total PoP ]]&lt;500,1,WWWW[[#This Row],[Total PoP ]]/500),0)</f>
        <v>2</v>
      </c>
      <c r="CV409" s="867">
        <f>(WWWW[[#This Row],['#_Constructed latrines_by_WASHAgencies]]+WWWW[[#This Row],['#_Non Cluster partner latrines]])-WWWW[[#This Row],['#_Non-functional latrines]]</f>
        <v>32</v>
      </c>
      <c r="CW409" s="804">
        <f>WWWW[[#This Row],[HRP2]]/WWWW[[#This Row],[Total PoP ]]</f>
        <v>0.7646356033452808</v>
      </c>
      <c r="CX40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40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0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09" s="473">
        <f>IF(WWWW[[#This Row],['# of functional latrines in THF supported by WASH partners during the reporting period2]]="",0,WWWW[[#This Row],['# of functional latrines in THF supported by WASH partners during the reporting period2]]*50)</f>
        <v>0</v>
      </c>
      <c r="DB409" s="473">
        <f>WWWW[[#This Row],['# students access to functioning school latrines_HRP5]]+WWWW[[#This Row],['# People access to functioning latrines in THF_HRP5]]</f>
        <v>0</v>
      </c>
      <c r="DC409" s="867">
        <f>ROUND(IF(WWWW[[#This Row],[Location Type 1]]="camp",WWWW[[#This Row],[Total PoP ]]/20,IF(WWWW[[#This Row],[Location Type 1]]="Temporary Location",WWWW[[#This Row],[Total PoP ]]/50,(WWWW[[#This Row],[Total PoP ]]/6))),0)</f>
        <v>42</v>
      </c>
      <c r="DD409" s="867">
        <f>IF(WWWW[[#This Row],[Total required Latrines]]-(WWWW[[#This Row],['#_Constructed latrines_by_WASHAgencies]]+WWWW[[#This Row],['#_Non Cluster partner latrines]])&lt;0,0,WWWW[[#This Row],[Total required Latrines]]-(WWWW[[#This Row],['#_Constructed latrines_by_WASHAgencies]]+WWWW[[#This Row],['#_Non Cluster partner latrines]]))</f>
        <v>10</v>
      </c>
      <c r="DE409" s="869">
        <f>1-WWWW[[#This Row],[% people access to functioning Latrine]]</f>
        <v>0.2353643966547192</v>
      </c>
      <c r="DF409" s="868">
        <f>IF(OR(WWWW[[#This Row],['#_Non-functional latrines]]="",WWWW[[#This Row],['#_Non-functional latrines]]=0),0,WWWW[[#This Row],['#_Non-functional latrines]]/(WWWW[[#This Row],['#_Constructed latrines_by_WASHAgencies]]+WWWW[[#This Row],['#_Non Cluster partner latrines]]))</f>
        <v>0</v>
      </c>
      <c r="DG409" s="864">
        <f>IF(500*(WWWW[[#This Row],['#_male hygiene promoters]]+WWWW[[#This Row],['#_female hygiene promoters]])&gt;WWWW[[#This Row],[Total PoP ]],WWWW[[#This Row],[Total PoP ]],500*(WWWW[[#This Row],['#_male hygiene promoters]]+WWWW[[#This Row],['#_female hygiene promoters]]))</f>
        <v>0</v>
      </c>
      <c r="DH40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0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09" s="867">
        <f>IF(WWWW[[#This Row],['# People with access to soap]]&gt;WWWW[[#This Row],['# People with access to Sanity Pads]],WWWW[[#This Row],['# People with access to soap]],WWWW[[#This Row],['# People with access to Sanity Pads]])</f>
        <v>0</v>
      </c>
      <c r="DK40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09" s="869">
        <f>IF(WWWW[[#This Row],[HRP3]]/WWWW[[#This Row],[Total PoP ]]&gt;1,1,WWWW[[#This Row],[HRP3]]/WWWW[[#This Row],[Total PoP ]])</f>
        <v>0</v>
      </c>
      <c r="DM409" s="868">
        <f>1-WWWW[[#This Row],[Hygiene Coverage%]]</f>
        <v>1</v>
      </c>
      <c r="DN409" s="866">
        <f>WWWW[[#This Row],['# people reached by regular dedicated hygiene promotion_5]]/WWWW[[#This Row],[Total PoP ]]</f>
        <v>0</v>
      </c>
      <c r="DO40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0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09" s="867">
        <f>WWWW[[#This Row],['#_Constructed/Existing hand washing stations]]-WWWW[[#This Row],['#_Non-Functional_hand_washing_stations]]</f>
        <v>0</v>
      </c>
      <c r="DR409" s="864">
        <f>IF(WWWW[[#This Row],['# Functional hand washing stations during reporting period]]*20&gt;WWWW[[#This Row],[Total HH]],WWWW[[#This Row],[Total HH]],WWWW[[#This Row],['# Functional hand washing stations during reporting period]]*20)</f>
        <v>0</v>
      </c>
      <c r="DS409" s="864">
        <f>IF(WWWW[[#This Row],[Is sufficient soap available for TLS? (Yes/No)]]="yes",WWWW[[#This Row],['#_Constructed/Existing hand washing stations at TLS]],0)</f>
        <v>0</v>
      </c>
      <c r="DT409" s="479">
        <f>IF(WWWW[[#This Row],['# Functional hand washing stations during reporting period]]*100&gt;WWWW[[#This Row],[Total PoP ]],WWWW[[#This Row],[Total PoP ]],WWWW[[#This Row],['# Functional hand washing stations during reporting period]]*100)</f>
        <v>0</v>
      </c>
      <c r="DU409" s="479" t="str">
        <f>IF(OR(WWWW[[#This Row],['#_students at TLS_CFS]]="",WWWW[[#This Row],['#_students at TLS_CFS]]=0),"No","Yes")</f>
        <v>No</v>
      </c>
      <c r="DV40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0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0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09" s="862" t="str">
        <f>VLOOKUP(WWWW[[#This Row],[Site Name]],SiteDB6[[Site Name]:[CCCM Management]],6,FALSE)</f>
        <v>Yes</v>
      </c>
      <c r="DZ409" s="862" t="str">
        <f>VLOOKUP(WWWW[[#This Row],[Site Name]],SiteDB6[[Site Name]:[CCCM Focal Agency]],7,FALSE)</f>
        <v>KBC-MYT</v>
      </c>
      <c r="EA409" s="862" t="str">
        <f>VLOOKUP(WWWW[[#This Row],[Site Name]],SiteDB6[[Site Name]:[Location Type 1]],9,FALSE)</f>
        <v>Camp</v>
      </c>
      <c r="EB409" s="862" t="str">
        <f>VLOOKUP(WWWW[[#This Row],[Site Name]],SiteDB6[[Site Name]:[Type of Accommodation]],10,FALSE)</f>
        <v>Camp</v>
      </c>
      <c r="EC409" s="862" t="str">
        <f>VLOOKUP(WWWW[[#This Row],[Site Name]],SiteDB6[[Site Name]:[Ethnic or GCA/NGCA]],11,FALSE)</f>
        <v>NGCA</v>
      </c>
      <c r="ED409" s="862">
        <f>VLOOKUP(WWWW[[#This Row],[Site Name]],SiteDB6[[Site Name]:[Lat]],12,FALSE)</f>
        <v>25.754110000000001</v>
      </c>
      <c r="EE409" s="862">
        <f>VLOOKUP(WWWW[[#This Row],[Site Name]],SiteDB6[[Site Name]:[Long]],13,FALSE)</f>
        <v>98.475719999999995</v>
      </c>
      <c r="EF409" s="862" t="str">
        <f>VLOOKUP(WWWW[[#This Row],[Site Name]],SiteDB6[[Site Name]:[Pcode]],3,FALSE)</f>
        <v>MMR001CMP043</v>
      </c>
      <c r="EG409" s="865" t="str">
        <f t="shared" si="11"/>
        <v>Covered</v>
      </c>
      <c r="EH409" s="865" t="str">
        <f>VLOOKUP(WWWW[[#This Row],[Site Name]],Site_DB!$C$389:$D$1120,2,FALSE)</f>
        <v>cccm_2019OCT</v>
      </c>
    </row>
    <row r="410" spans="1:138">
      <c r="A410" s="860" t="s">
        <v>3263</v>
      </c>
      <c r="B410" s="860" t="s">
        <v>144</v>
      </c>
      <c r="C410" s="861" t="s">
        <v>144</v>
      </c>
      <c r="D410" s="861"/>
      <c r="E410" s="861" t="s">
        <v>39</v>
      </c>
      <c r="F410" s="861" t="s">
        <v>160</v>
      </c>
      <c r="G410" s="721" t="str">
        <f>VLOOKUP(WWWW[[#This Row],[Site Name]],SiteDB6[[Site Name]:[Location Type]],8,FALSE)</f>
        <v>Camp_not registered</v>
      </c>
      <c r="H410" s="861" t="s">
        <v>2079</v>
      </c>
      <c r="I410" s="851">
        <v>39</v>
      </c>
      <c r="J410" s="851">
        <v>121</v>
      </c>
      <c r="K410" s="863"/>
      <c r="L410" s="859"/>
      <c r="M410" s="851"/>
      <c r="N410" s="851"/>
      <c r="O410" s="851"/>
      <c r="P410" s="851"/>
      <c r="Q410" s="864"/>
      <c r="R410" s="851"/>
      <c r="S410" s="851">
        <v>4</v>
      </c>
      <c r="T410" s="523"/>
      <c r="U410" s="851"/>
      <c r="V410" s="851"/>
      <c r="W410" s="851"/>
      <c r="X410" s="851"/>
      <c r="Y410" s="851"/>
      <c r="Z410" s="851"/>
      <c r="AA410" s="851"/>
      <c r="AB410" s="851"/>
      <c r="AC410" s="851"/>
      <c r="AD410" s="851"/>
      <c r="AE410" s="851"/>
      <c r="AF410" s="851"/>
      <c r="AG410" s="851"/>
      <c r="AH410" s="851"/>
      <c r="AI410" s="851"/>
      <c r="AJ410" s="851"/>
      <c r="AK410" s="851"/>
      <c r="AL410" s="851"/>
      <c r="AM410" s="851"/>
      <c r="AN410" s="851"/>
      <c r="AO410" s="865"/>
      <c r="AP410" s="851"/>
      <c r="AQ410" s="851"/>
      <c r="AR410" s="866"/>
      <c r="AS410" s="851"/>
      <c r="AT410" s="851"/>
      <c r="AU410" s="851"/>
      <c r="AV410" s="851"/>
      <c r="AW410" s="851"/>
      <c r="AX410" s="862" t="s">
        <v>143</v>
      </c>
      <c r="AY410" s="865" t="s">
        <v>143</v>
      </c>
      <c r="AZ410" s="851"/>
      <c r="BA410" s="851"/>
      <c r="BB410" s="851"/>
      <c r="BC410" s="523"/>
      <c r="BD410" s="523"/>
      <c r="BE410" s="862"/>
      <c r="BF410" s="851"/>
      <c r="BG410" s="851"/>
      <c r="BH410" s="851"/>
      <c r="BI410" s="851"/>
      <c r="BJ410" s="851"/>
      <c r="BK410" s="851"/>
      <c r="BL410" s="851"/>
      <c r="BM410" s="851"/>
      <c r="BN410" s="851"/>
      <c r="BO410" s="862"/>
      <c r="BP410" s="867"/>
      <c r="BQ410" s="866"/>
      <c r="BR410" s="862"/>
      <c r="BS410" s="472"/>
      <c r="BT410" s="472"/>
      <c r="BU410" s="474"/>
      <c r="BV410" s="472"/>
      <c r="BW410" s="523"/>
      <c r="BX410" s="523"/>
      <c r="BY410" s="523"/>
      <c r="BZ410" s="868" t="str">
        <f>IFERROR(WWWW[[#This Row],['#_Water sources passed]]/WWWW[[#This Row],['#_Water sources tested for fecal coliform ]],"no test")</f>
        <v>no test</v>
      </c>
      <c r="CA410" s="866" t="str">
        <f>IFERROR(WWWW[[#This Row],['#_Household passed]]/WWWW[[#This Row],['#_Household water samples tested for fecal coliform]],"no test")</f>
        <v>no test</v>
      </c>
      <c r="CB410" s="867" t="str">
        <f>IF(AND(WWWW[[#This Row],[% of water sources passed]]="no test",WWWW[[#This Row],[% Household passed]]="no test"),"No Test","Tested")</f>
        <v>No Test</v>
      </c>
      <c r="CC410" s="867">
        <f>WWWW[[#This Row],['#_Constructed/existing protected hand dug well]]-WWWW[[#This Row],['#_Non-functional protected hand dug well]]</f>
        <v>0</v>
      </c>
      <c r="CD410" s="867">
        <f>(WWWW[[#This Row],['#_Constructed/Existing tube wells/boreholes/handpumps_WASH_agency]]+WWWW[[#This Row],['#_Non-Cluster partner water tube-wells/boreholes/handpumps]])-WWWW[[#This Row],['#_Non-functional tube wells/boreholes/handpumps]]</f>
        <v>0</v>
      </c>
      <c r="CE410" s="867">
        <f>WWWW[[#This Row],['#_Constructed/Existingwater storage tank with gravity fed reticulation system]]-WWWW[[#This Row],['#_Non-functional storage tank gravity fed reticulation system]]</f>
        <v>0</v>
      </c>
      <c r="CF410" s="867">
        <f>(WWWW[[#This Row],['#_Water_Liters_supplied_by_Water boating or water trucking]]/90)/15</f>
        <v>0</v>
      </c>
      <c r="CG410" s="867">
        <f>WWWW[[#This Row],['#_Water_Liters_from_Constructed/Existing water distribution system from river or natural spring]]/90/15</f>
        <v>0</v>
      </c>
      <c r="CH410" s="473">
        <f>WWWW[[#This Row],['#_of water points in TLS/CFS /THF]]*500</f>
        <v>0</v>
      </c>
      <c r="CI41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1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10" s="866">
        <f>IF(WWWW[[#This Row],[Location Type 1]]="Village",WWWW[[#This Row],[Access to safe drinking water for Village]],WWWW[[#This Row],[Access to safe drinking water for Camp]])</f>
        <v>0</v>
      </c>
      <c r="CL410" s="864">
        <f>WWWW[[#This Row],[%Equitable and continuous access to sufficient quantity of safe drinking water]]*WWWW[[#This Row],[Total PoP ]]</f>
        <v>0</v>
      </c>
      <c r="CM410" s="866">
        <f>IF((WWWW[[#This Row],['#_Constructed/Existing protected/fenced ponds]]*250)/WWWW[[#This Row],[Total PoP ]]&gt;1,1,(WWWW[[#This Row],['#_Constructed/Existing protected/fenced ponds]]*250)/WWWW[[#This Row],[Total PoP ]])</f>
        <v>0</v>
      </c>
      <c r="CN410" s="864">
        <f>WWWW[[#This Row],[% Access to unimproved water points]]*WWWW[[#This Row],[Total PoP ]]</f>
        <v>0</v>
      </c>
      <c r="CO41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1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10" s="864">
        <f>WWWW[[#This Row],[HRP1]]/500</f>
        <v>0</v>
      </c>
      <c r="CR410" s="869">
        <f>1-WWWW[[#This Row],[% Equitable and continuous access to sufficient quantity of domestic water]]</f>
        <v>1</v>
      </c>
      <c r="CS410" s="864">
        <f>WWWW[[#This Row],[%equitable and continuous access to sufficient quantity of safe drinking and domestic water''s GAP]]*WWWW[[#This Row],[Total PoP ]]</f>
        <v>121</v>
      </c>
      <c r="CT410" s="867">
        <f>IF(WWWW[[#This Row],[Total required water points]]-WWWW[[#This Row],['#Water points coverage]]&lt;0,0,WWWW[[#This Row],[Total required water points]]-WWWW[[#This Row],['#Water points coverage]])</f>
        <v>1</v>
      </c>
      <c r="CU410" s="867">
        <f>ROUND(IF(WWWW[[#This Row],[Total PoP ]]&lt;500,1,WWWW[[#This Row],[Total PoP ]]/500),0)</f>
        <v>1</v>
      </c>
      <c r="CV410" s="867">
        <f>(WWWW[[#This Row],['#_Constructed latrines_by_WASHAgencies]]+WWWW[[#This Row],['#_Non Cluster partner latrines]])-WWWW[[#This Row],['#_Non-functional latrines]]</f>
        <v>0</v>
      </c>
      <c r="CW410" s="804">
        <f>WWWW[[#This Row],[HRP2]]/WWWW[[#This Row],[Total PoP ]]</f>
        <v>0</v>
      </c>
      <c r="CX41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1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0" s="473">
        <f>IF(WWWW[[#This Row],['# of functional latrines in THF supported by WASH partners during the reporting period2]]="",0,WWWW[[#This Row],['# of functional latrines in THF supported by WASH partners during the reporting period2]]*50)</f>
        <v>0</v>
      </c>
      <c r="DB410" s="473">
        <f>WWWW[[#This Row],['# students access to functioning school latrines_HRP5]]+WWWW[[#This Row],['# People access to functioning latrines in THF_HRP5]]</f>
        <v>0</v>
      </c>
      <c r="DC410" s="867">
        <f>ROUND(IF(WWWW[[#This Row],[Location Type 1]]="camp",WWWW[[#This Row],[Total PoP ]]/20,IF(WWWW[[#This Row],[Location Type 1]]="Temporary Location",WWWW[[#This Row],[Total PoP ]]/50,(WWWW[[#This Row],[Total PoP ]]/6))),0)</f>
        <v>6</v>
      </c>
      <c r="DD410" s="867">
        <f>IF(WWWW[[#This Row],[Total required Latrines]]-(WWWW[[#This Row],['#_Constructed latrines_by_WASHAgencies]]+WWWW[[#This Row],['#_Non Cluster partner latrines]])&lt;0,0,WWWW[[#This Row],[Total required Latrines]]-(WWWW[[#This Row],['#_Constructed latrines_by_WASHAgencies]]+WWWW[[#This Row],['#_Non Cluster partner latrines]]))</f>
        <v>6</v>
      </c>
      <c r="DE410" s="869">
        <f>1-WWWW[[#This Row],[% people access to functioning Latrine]]</f>
        <v>1</v>
      </c>
      <c r="DF410" s="868">
        <f>IF(OR(WWWW[[#This Row],['#_Non-functional latrines]]="",WWWW[[#This Row],['#_Non-functional latrines]]=0),0,WWWW[[#This Row],['#_Non-functional latrines]]/(WWWW[[#This Row],['#_Constructed latrines_by_WASHAgencies]]+WWWW[[#This Row],['#_Non Cluster partner latrines]]))</f>
        <v>0</v>
      </c>
      <c r="DG410" s="864">
        <f>IF(500*(WWWW[[#This Row],['#_male hygiene promoters]]+WWWW[[#This Row],['#_female hygiene promoters]])&gt;WWWW[[#This Row],[Total PoP ]],WWWW[[#This Row],[Total PoP ]],500*(WWWW[[#This Row],['#_male hygiene promoters]]+WWWW[[#This Row],['#_female hygiene promoters]]))</f>
        <v>0</v>
      </c>
      <c r="DH41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0" s="867">
        <f>IF(WWWW[[#This Row],['# People with access to soap]]&gt;WWWW[[#This Row],['# People with access to Sanity Pads]],WWWW[[#This Row],['# People with access to soap]],WWWW[[#This Row],['# People with access to Sanity Pads]])</f>
        <v>0</v>
      </c>
      <c r="DK41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10" s="869">
        <f>IF(WWWW[[#This Row],[HRP3]]/WWWW[[#This Row],[Total PoP ]]&gt;1,1,WWWW[[#This Row],[HRP3]]/WWWW[[#This Row],[Total PoP ]])</f>
        <v>0</v>
      </c>
      <c r="DM410" s="868">
        <f>1-WWWW[[#This Row],[Hygiene Coverage%]]</f>
        <v>1</v>
      </c>
      <c r="DN410" s="866">
        <f>WWWW[[#This Row],['# people reached by regular dedicated hygiene promotion_5]]/WWWW[[#This Row],[Total PoP ]]</f>
        <v>0</v>
      </c>
      <c r="DO41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0" s="867">
        <f>WWWW[[#This Row],['#_Constructed/Existing hand washing stations]]-WWWW[[#This Row],['#_Non-Functional_hand_washing_stations]]</f>
        <v>0</v>
      </c>
      <c r="DR410" s="864">
        <f>IF(WWWW[[#This Row],['# Functional hand washing stations during reporting period]]*20&gt;WWWW[[#This Row],[Total HH]],WWWW[[#This Row],[Total HH]],WWWW[[#This Row],['# Functional hand washing stations during reporting period]]*20)</f>
        <v>0</v>
      </c>
      <c r="DS410" s="864">
        <f>IF(WWWW[[#This Row],[Is sufficient soap available for TLS? (Yes/No)]]="yes",WWWW[[#This Row],['#_Constructed/Existing hand washing stations at TLS]],0)</f>
        <v>0</v>
      </c>
      <c r="DT410" s="479">
        <f>IF(WWWW[[#This Row],['# Functional hand washing stations during reporting period]]*100&gt;WWWW[[#This Row],[Total PoP ]],WWWW[[#This Row],[Total PoP ]],WWWW[[#This Row],['# Functional hand washing stations during reporting period]]*100)</f>
        <v>0</v>
      </c>
      <c r="DU410" s="479" t="str">
        <f>IF(OR(WWWW[[#This Row],['#_students at TLS_CFS]]="",WWWW[[#This Row],['#_students at TLS_CFS]]=0),"No","Yes")</f>
        <v>No</v>
      </c>
      <c r="DV41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0" s="862">
        <f>VLOOKUP(WWWW[[#This Row],[Site Name]],SiteDB6[[Site Name]:[CCCM Management]],6,FALSE)</f>
        <v>0</v>
      </c>
      <c r="DZ410" s="862">
        <f>VLOOKUP(WWWW[[#This Row],[Site Name]],SiteDB6[[Site Name]:[CCCM Focal Agency]],7,FALSE)</f>
        <v>0</v>
      </c>
      <c r="EA410" s="862" t="str">
        <f>VLOOKUP(WWWW[[#This Row],[Site Name]],SiteDB6[[Site Name]:[Location Type 1]],9,FALSE)</f>
        <v>Camp</v>
      </c>
      <c r="EB410" s="862" t="str">
        <f>VLOOKUP(WWWW[[#This Row],[Site Name]],SiteDB6[[Site Name]:[Type of Accommodation]],10,FALSE)</f>
        <v>Camp like setting</v>
      </c>
      <c r="EC410" s="862" t="str">
        <f>VLOOKUP(WWWW[[#This Row],[Site Name]],SiteDB6[[Site Name]:[Ethnic or GCA/NGCA]],11,FALSE)</f>
        <v>NGCA</v>
      </c>
      <c r="ED410" s="862">
        <f>VLOOKUP(WWWW[[#This Row],[Site Name]],SiteDB6[[Site Name]:[Lat]],12,FALSE)</f>
        <v>0</v>
      </c>
      <c r="EE410" s="862">
        <f>VLOOKUP(WWWW[[#This Row],[Site Name]],SiteDB6[[Site Name]:[Long]],13,FALSE)</f>
        <v>0</v>
      </c>
      <c r="EF410" s="862">
        <f>VLOOKUP(WWWW[[#This Row],[Site Name]],SiteDB6[[Site Name]:[Pcode]],3,FALSE)</f>
        <v>0</v>
      </c>
      <c r="EG410" s="865" t="str">
        <f t="shared" si="11"/>
        <v>Covered</v>
      </c>
      <c r="EH410" s="865">
        <f>VLOOKUP(WWWW[[#This Row],[Site Name]],Site_DB!$C$389:$D$1120,2,FALSE)</f>
        <v>0</v>
      </c>
    </row>
    <row r="411" spans="1:138">
      <c r="A411" s="860" t="s">
        <v>3263</v>
      </c>
      <c r="B411" s="860" t="s">
        <v>144</v>
      </c>
      <c r="C411" s="861" t="s">
        <v>144</v>
      </c>
      <c r="D411" s="861" t="s">
        <v>3277</v>
      </c>
      <c r="E411" s="861" t="s">
        <v>39</v>
      </c>
      <c r="F411" s="861" t="s">
        <v>162</v>
      </c>
      <c r="G411" s="721" t="str">
        <f>VLOOKUP(WWWW[[#This Row],[Site Name]],SiteDB6[[Site Name]:[Location Type]],8,FALSE)</f>
        <v>Camp</v>
      </c>
      <c r="H411" s="861" t="s">
        <v>164</v>
      </c>
      <c r="I411" s="851">
        <v>197</v>
      </c>
      <c r="J411" s="851">
        <v>1050</v>
      </c>
      <c r="K411" s="863" t="s">
        <v>3278</v>
      </c>
      <c r="L411" s="859" t="s">
        <v>3279</v>
      </c>
      <c r="M411" s="851"/>
      <c r="N411" s="851"/>
      <c r="O411" s="851"/>
      <c r="P411" s="851"/>
      <c r="Q411" s="864" t="s">
        <v>43</v>
      </c>
      <c r="R411" s="851"/>
      <c r="S411" s="851">
        <v>1</v>
      </c>
      <c r="T411" s="523">
        <v>1</v>
      </c>
      <c r="U411" s="851"/>
      <c r="V411" s="851"/>
      <c r="W411" s="851">
        <v>4</v>
      </c>
      <c r="X411" s="851"/>
      <c r="Y411" s="851"/>
      <c r="Z411" s="851"/>
      <c r="AA411" s="851"/>
      <c r="AB411" s="851"/>
      <c r="AC411" s="851"/>
      <c r="AD411" s="851"/>
      <c r="AE411" s="851"/>
      <c r="AF411" s="851"/>
      <c r="AG411" s="851"/>
      <c r="AH411" s="851">
        <v>5</v>
      </c>
      <c r="AI411" s="851"/>
      <c r="AJ411" s="851"/>
      <c r="AK411" s="851"/>
      <c r="AL411" s="851"/>
      <c r="AM411" s="851"/>
      <c r="AN411" s="851"/>
      <c r="AO411" s="865"/>
      <c r="AP411" s="851">
        <v>43</v>
      </c>
      <c r="AQ411" s="851"/>
      <c r="AR411" s="866"/>
      <c r="AS411" s="851"/>
      <c r="AT411" s="851"/>
      <c r="AU411" s="851"/>
      <c r="AV411" s="851"/>
      <c r="AW411" s="851">
        <v>43</v>
      </c>
      <c r="AX411" s="862" t="s">
        <v>43</v>
      </c>
      <c r="AY411" s="865" t="s">
        <v>140</v>
      </c>
      <c r="AZ411" s="851"/>
      <c r="BA411" s="851"/>
      <c r="BB411" s="851"/>
      <c r="BC411" s="523"/>
      <c r="BD411" s="523"/>
      <c r="BE411" s="862"/>
      <c r="BF411" s="851">
        <v>6</v>
      </c>
      <c r="BG411" s="851"/>
      <c r="BH411" s="851"/>
      <c r="BI411" s="851">
        <v>3</v>
      </c>
      <c r="BJ411" s="851"/>
      <c r="BK411" s="851"/>
      <c r="BL411" s="851">
        <v>5</v>
      </c>
      <c r="BM411" s="851"/>
      <c r="BN411" s="851"/>
      <c r="BO411" s="862"/>
      <c r="BP411" s="867"/>
      <c r="BQ411" s="866"/>
      <c r="BR411" s="862"/>
      <c r="BS411" s="472"/>
      <c r="BT411" s="472"/>
      <c r="BU411" s="474"/>
      <c r="BV411" s="472"/>
      <c r="BW411" s="523"/>
      <c r="BX411" s="523"/>
      <c r="BY411" s="523"/>
      <c r="BZ411" s="868" t="str">
        <f>IFERROR(WWWW[[#This Row],['#_Water sources passed]]/WWWW[[#This Row],['#_Water sources tested for fecal coliform ]],"no test")</f>
        <v>no test</v>
      </c>
      <c r="CA411" s="866" t="str">
        <f>IFERROR(WWWW[[#This Row],['#_Household passed]]/WWWW[[#This Row],['#_Household water samples tested for fecal coliform]],"no test")</f>
        <v>no test</v>
      </c>
      <c r="CB411" s="867" t="str">
        <f>IF(AND(WWWW[[#This Row],[% of water sources passed]]="no test",WWWW[[#This Row],[% Household passed]]="no test"),"No Test","Tested")</f>
        <v>No Test</v>
      </c>
      <c r="CC411" s="867">
        <f>WWWW[[#This Row],['#_Constructed/existing protected hand dug well]]-WWWW[[#This Row],['#_Non-functional protected hand dug well]]</f>
        <v>1</v>
      </c>
      <c r="CD411" s="867">
        <f>(WWWW[[#This Row],['#_Constructed/Existing tube wells/boreholes/handpumps_WASH_agency]]+WWWW[[#This Row],['#_Non-Cluster partner water tube-wells/boreholes/handpumps]])-WWWW[[#This Row],['#_Non-functional tube wells/boreholes/handpumps]]</f>
        <v>4</v>
      </c>
      <c r="CE411" s="867">
        <f>WWWW[[#This Row],['#_Constructed/Existingwater storage tank with gravity fed reticulation system]]-WWWW[[#This Row],['#_Non-functional storage tank gravity fed reticulation system]]</f>
        <v>0</v>
      </c>
      <c r="CF411" s="867">
        <f>(WWWW[[#This Row],['#_Water_Liters_supplied_by_Water boating or water trucking]]/90)/15</f>
        <v>0</v>
      </c>
      <c r="CG411" s="867">
        <f>WWWW[[#This Row],['#_Water_Liters_from_Constructed/Existing water distribution system from river or natural spring]]/90/15</f>
        <v>0</v>
      </c>
      <c r="CH411" s="473">
        <f>WWWW[[#This Row],['#_of water points in TLS/CFS /THF]]*500</f>
        <v>0</v>
      </c>
      <c r="CI41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11" s="866">
        <f>IF(WWWW[[#This Row],[Location Type 1]]="Village",WWWW[[#This Row],[Access to safe drinking water for Village]],WWWW[[#This Row],[Access to safe drinking water for Camp]])</f>
        <v>1</v>
      </c>
      <c r="CL411" s="864">
        <f>WWWW[[#This Row],[%Equitable and continuous access to sufficient quantity of safe drinking water]]*WWWW[[#This Row],[Total PoP ]]</f>
        <v>1050</v>
      </c>
      <c r="CM411" s="866">
        <f>IF((WWWW[[#This Row],['#_Constructed/Existing protected/fenced ponds]]*250)/WWWW[[#This Row],[Total PoP ]]&gt;1,1,(WWWW[[#This Row],['#_Constructed/Existing protected/fenced ponds]]*250)/WWWW[[#This Row],[Total PoP ]])</f>
        <v>0</v>
      </c>
      <c r="CN411" s="864">
        <f>WWWW[[#This Row],[% Access to unimproved water points]]*WWWW[[#This Row],[Total PoP ]]</f>
        <v>0</v>
      </c>
      <c r="CO41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Q411" s="864">
        <f>WWWW[[#This Row],[HRP1]]/500</f>
        <v>2.1</v>
      </c>
      <c r="CR411" s="869">
        <f>1-WWWW[[#This Row],[% Equitable and continuous access to sufficient quantity of domestic water]]</f>
        <v>0</v>
      </c>
      <c r="CS411" s="864">
        <f>WWWW[[#This Row],[%equitable and continuous access to sufficient quantity of safe drinking and domestic water''s GAP]]*WWWW[[#This Row],[Total PoP ]]</f>
        <v>0</v>
      </c>
      <c r="CT411" s="867">
        <f>IF(WWWW[[#This Row],[Total required water points]]-WWWW[[#This Row],['#Water points coverage]]&lt;0,0,WWWW[[#This Row],[Total required water points]]-WWWW[[#This Row],['#Water points coverage]])</f>
        <v>0</v>
      </c>
      <c r="CU411" s="867">
        <f>ROUND(IF(WWWW[[#This Row],[Total PoP ]]&lt;500,1,WWWW[[#This Row],[Total PoP ]]/500),0)</f>
        <v>2</v>
      </c>
      <c r="CV411" s="867">
        <f>(WWWW[[#This Row],['#_Constructed latrines_by_WASHAgencies]]+WWWW[[#This Row],['#_Non Cluster partner latrines]])-WWWW[[#This Row],['#_Non-functional latrines]]</f>
        <v>43</v>
      </c>
      <c r="CW411" s="804">
        <f>WWWW[[#This Row],[HRP2]]/WWWW[[#This Row],[Total PoP ]]</f>
        <v>0.81904761904761902</v>
      </c>
      <c r="CX41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CY41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1" s="473">
        <f>IF(WWWW[[#This Row],['# of functional latrines in THF supported by WASH partners during the reporting period2]]="",0,WWWW[[#This Row],['# of functional latrines in THF supported by WASH partners during the reporting period2]]*50)</f>
        <v>0</v>
      </c>
      <c r="DB411" s="473">
        <f>WWWW[[#This Row],['# students access to functioning school latrines_HRP5]]+WWWW[[#This Row],['# People access to functioning latrines in THF_HRP5]]</f>
        <v>0</v>
      </c>
      <c r="DC411" s="867">
        <f>ROUND(IF(WWWW[[#This Row],[Location Type 1]]="camp",WWWW[[#This Row],[Total PoP ]]/20,IF(WWWW[[#This Row],[Location Type 1]]="Temporary Location",WWWW[[#This Row],[Total PoP ]]/50,(WWWW[[#This Row],[Total PoP ]]/6))),0)</f>
        <v>53</v>
      </c>
      <c r="DD411" s="867">
        <f>IF(WWWW[[#This Row],[Total required Latrines]]-(WWWW[[#This Row],['#_Constructed latrines_by_WASHAgencies]]+WWWW[[#This Row],['#_Non Cluster partner latrines]])&lt;0,0,WWWW[[#This Row],[Total required Latrines]]-(WWWW[[#This Row],['#_Constructed latrines_by_WASHAgencies]]+WWWW[[#This Row],['#_Non Cluster partner latrines]]))</f>
        <v>10</v>
      </c>
      <c r="DE411" s="869">
        <f>1-WWWW[[#This Row],[% people access to functioning Latrine]]</f>
        <v>0.18095238095238098</v>
      </c>
      <c r="DF411" s="868">
        <f>IF(OR(WWWW[[#This Row],['#_Non-functional latrines]]="",WWWW[[#This Row],['#_Non-functional latrines]]=0),0,WWWW[[#This Row],['#_Non-functional latrines]]/(WWWW[[#This Row],['#_Constructed latrines_by_WASHAgencies]]+WWWW[[#This Row],['#_Non Cluster partner latrines]]))</f>
        <v>0</v>
      </c>
      <c r="DG411" s="864">
        <f>IF(500*(WWWW[[#This Row],['#_male hygiene promoters]]+WWWW[[#This Row],['#_female hygiene promoters]])&gt;WWWW[[#This Row],[Total PoP ]],WWWW[[#This Row],[Total PoP ]],500*(WWWW[[#This Row],['#_male hygiene promoters]]+WWWW[[#This Row],['#_female hygiene promoters]]))</f>
        <v>1050</v>
      </c>
      <c r="DH41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1" s="867">
        <f>IF(WWWW[[#This Row],['# People with access to soap]]&gt;WWWW[[#This Row],['# People with access to Sanity Pads]],WWWW[[#This Row],['# People with access to soap]],WWWW[[#This Row],['# People with access to Sanity Pads]])</f>
        <v>0</v>
      </c>
      <c r="DK411" s="867">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L411" s="869">
        <f>IF(WWWW[[#This Row],[HRP3]]/WWWW[[#This Row],[Total PoP ]]&gt;1,1,WWWW[[#This Row],[HRP3]]/WWWW[[#This Row],[Total PoP ]])</f>
        <v>1</v>
      </c>
      <c r="DM411" s="868">
        <f>1-WWWW[[#This Row],[Hygiene Coverage%]]</f>
        <v>0</v>
      </c>
      <c r="DN411" s="866">
        <f>WWWW[[#This Row],['# people reached by regular dedicated hygiene promotion_5]]/WWWW[[#This Row],[Total PoP ]]</f>
        <v>1</v>
      </c>
      <c r="DO41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1" s="867">
        <f>WWWW[[#This Row],['#_Constructed/Existing hand washing stations]]-WWWW[[#This Row],['#_Non-Functional_hand_washing_stations]]</f>
        <v>6</v>
      </c>
      <c r="DR411" s="864">
        <f>IF(WWWW[[#This Row],['# Functional hand washing stations during reporting period]]*20&gt;WWWW[[#This Row],[Total HH]],WWWW[[#This Row],[Total HH]],WWWW[[#This Row],['# Functional hand washing stations during reporting period]]*20)</f>
        <v>120</v>
      </c>
      <c r="DS411" s="864">
        <f>IF(WWWW[[#This Row],[Is sufficient soap available for TLS? (Yes/No)]]="yes",WWWW[[#This Row],['#_Constructed/Existing hand washing stations at TLS]],0)</f>
        <v>0</v>
      </c>
      <c r="DT411" s="479">
        <f>IF(WWWW[[#This Row],['# Functional hand washing stations during reporting period]]*100&gt;WWWW[[#This Row],[Total PoP ]],WWWW[[#This Row],[Total PoP ]],WWWW[[#This Row],['# Functional hand washing stations during reporting period]]*100)</f>
        <v>600</v>
      </c>
      <c r="DU411" s="479" t="str">
        <f>IF(OR(WWWW[[#This Row],['#_students at TLS_CFS]]="",WWWW[[#This Row],['#_students at TLS_CFS]]=0),"No","Yes")</f>
        <v>No</v>
      </c>
      <c r="DV41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1" s="862" t="str">
        <f>VLOOKUP(WWWW[[#This Row],[Site Name]],SiteDB6[[Site Name]:[CCCM Management]],6,FALSE)</f>
        <v>Yes</v>
      </c>
      <c r="DZ411" s="862" t="str">
        <f>VLOOKUP(WWWW[[#This Row],[Site Name]],SiteDB6[[Site Name]:[CCCM Focal Agency]],7,FALSE)</f>
        <v>KBC-MYT</v>
      </c>
      <c r="EA411" s="862" t="str">
        <f>VLOOKUP(WWWW[[#This Row],[Site Name]],SiteDB6[[Site Name]:[Location Type 1]],9,FALSE)</f>
        <v>Camp</v>
      </c>
      <c r="EB411" s="862" t="str">
        <f>VLOOKUP(WWWW[[#This Row],[Site Name]],SiteDB6[[Site Name]:[Type of Accommodation]],10,FALSE)</f>
        <v>Camp</v>
      </c>
      <c r="EC411" s="862" t="str">
        <f>VLOOKUP(WWWW[[#This Row],[Site Name]],SiteDB6[[Site Name]:[Ethnic or GCA/NGCA]],11,FALSE)</f>
        <v>GCA</v>
      </c>
      <c r="ED411" s="862">
        <f>VLOOKUP(WWWW[[#This Row],[Site Name]],SiteDB6[[Site Name]:[Lat]],12,FALSE)</f>
        <v>25.397850999999999</v>
      </c>
      <c r="EE411" s="862">
        <f>VLOOKUP(WWWW[[#This Row],[Site Name]],SiteDB6[[Site Name]:[Long]],13,FALSE)</f>
        <v>97.370900000000006</v>
      </c>
      <c r="EF411" s="862" t="str">
        <f>VLOOKUP(WWWW[[#This Row],[Site Name]],SiteDB6[[Site Name]:[Pcode]],3,FALSE)</f>
        <v>MMR001CMP018</v>
      </c>
      <c r="EG411" s="865" t="str">
        <f t="shared" si="11"/>
        <v>Covered</v>
      </c>
      <c r="EH411" s="865" t="str">
        <f>VLOOKUP(WWWW[[#This Row],[Site Name]],Site_DB!$C$389:$D$1120,2,FALSE)</f>
        <v>cccm_2019OCT</v>
      </c>
    </row>
    <row r="412" spans="1:138">
      <c r="A412" s="860" t="s">
        <v>3263</v>
      </c>
      <c r="B412" s="860" t="s">
        <v>38</v>
      </c>
      <c r="C412" s="861" t="s">
        <v>38</v>
      </c>
      <c r="D412" s="861" t="s">
        <v>3372</v>
      </c>
      <c r="E412" s="861" t="s">
        <v>39</v>
      </c>
      <c r="F412" s="861" t="s">
        <v>162</v>
      </c>
      <c r="G412" s="721" t="str">
        <f>VLOOKUP(WWWW[[#This Row],[Site Name]],SiteDB6[[Site Name]:[Location Type]],8,FALSE)</f>
        <v>Camp</v>
      </c>
      <c r="H412" s="861" t="s">
        <v>236</v>
      </c>
      <c r="I412" s="851">
        <v>90</v>
      </c>
      <c r="J412" s="851">
        <v>430</v>
      </c>
      <c r="K412" s="863" t="s">
        <v>3619</v>
      </c>
      <c r="L412" s="859" t="s">
        <v>3620</v>
      </c>
      <c r="M412" s="851"/>
      <c r="N412" s="851"/>
      <c r="O412" s="851"/>
      <c r="P412" s="851"/>
      <c r="Q412" s="864" t="s">
        <v>43</v>
      </c>
      <c r="R412" s="851"/>
      <c r="S412" s="851"/>
      <c r="T412" s="523">
        <v>1</v>
      </c>
      <c r="U412" s="851"/>
      <c r="V412" s="851"/>
      <c r="W412" s="851"/>
      <c r="X412" s="851"/>
      <c r="Y412" s="851"/>
      <c r="Z412" s="851"/>
      <c r="AA412" s="851"/>
      <c r="AB412" s="851"/>
      <c r="AC412" s="851"/>
      <c r="AD412" s="851"/>
      <c r="AE412" s="851"/>
      <c r="AF412" s="851"/>
      <c r="AG412" s="851"/>
      <c r="AH412" s="851"/>
      <c r="AI412" s="851">
        <v>1</v>
      </c>
      <c r="AJ412" s="851">
        <v>1</v>
      </c>
      <c r="AK412" s="851"/>
      <c r="AL412" s="851"/>
      <c r="AM412" s="851">
        <v>1</v>
      </c>
      <c r="AN412" s="851"/>
      <c r="AO412" s="865"/>
      <c r="AP412" s="851">
        <v>22</v>
      </c>
      <c r="AQ412" s="851"/>
      <c r="AR412" s="866"/>
      <c r="AS412" s="851"/>
      <c r="AT412" s="851"/>
      <c r="AU412" s="851"/>
      <c r="AV412" s="851"/>
      <c r="AW412" s="851"/>
      <c r="AX412" s="862" t="s">
        <v>43</v>
      </c>
      <c r="AY412" s="865" t="s">
        <v>140</v>
      </c>
      <c r="AZ412" s="851">
        <v>1</v>
      </c>
      <c r="BA412" s="851"/>
      <c r="BB412" s="851"/>
      <c r="BC412" s="523"/>
      <c r="BD412" s="523"/>
      <c r="BE412" s="862"/>
      <c r="BF412" s="851"/>
      <c r="BG412" s="851"/>
      <c r="BH412" s="851"/>
      <c r="BI412" s="851">
        <v>3</v>
      </c>
      <c r="BJ412" s="851"/>
      <c r="BK412" s="851"/>
      <c r="BL412" s="851">
        <v>2</v>
      </c>
      <c r="BM412" s="851"/>
      <c r="BN412" s="851"/>
      <c r="BO412" s="862"/>
      <c r="BP412" s="867"/>
      <c r="BQ412" s="866"/>
      <c r="BR412" s="862"/>
      <c r="BS412" s="472"/>
      <c r="BT412" s="472"/>
      <c r="BU412" s="474"/>
      <c r="BV412" s="472"/>
      <c r="BW412" s="523"/>
      <c r="BX412" s="523"/>
      <c r="BY412" s="523"/>
      <c r="BZ412" s="868">
        <f>IFERROR(WWWW[[#This Row],['#_Water sources passed]]/WWWW[[#This Row],['#_Water sources tested for fecal coliform ]],"no test")</f>
        <v>1</v>
      </c>
      <c r="CA412" s="866" t="str">
        <f>IFERROR(WWWW[[#This Row],['#_Household passed]]/WWWW[[#This Row],['#_Household water samples tested for fecal coliform]],"no test")</f>
        <v>no test</v>
      </c>
      <c r="CB412" s="867" t="str">
        <f>IF(AND(WWWW[[#This Row],[% of water sources passed]]="no test",WWWW[[#This Row],[% Household passed]]="no test"),"No Test","Tested")</f>
        <v>Tested</v>
      </c>
      <c r="CC412" s="867">
        <f>WWWW[[#This Row],['#_Constructed/existing protected hand dug well]]-WWWW[[#This Row],['#_Non-functional protected hand dug well]]</f>
        <v>1</v>
      </c>
      <c r="CD412" s="867">
        <f>(WWWW[[#This Row],['#_Constructed/Existing tube wells/boreholes/handpumps_WASH_agency]]+WWWW[[#This Row],['#_Non-Cluster partner water tube-wells/boreholes/handpumps]])-WWWW[[#This Row],['#_Non-functional tube wells/boreholes/handpumps]]</f>
        <v>0</v>
      </c>
      <c r="CE412" s="867">
        <f>WWWW[[#This Row],['#_Constructed/Existingwater storage tank with gravity fed reticulation system]]-WWWW[[#This Row],['#_Non-functional storage tank gravity fed reticulation system]]</f>
        <v>0</v>
      </c>
      <c r="CF412" s="867">
        <f>(WWWW[[#This Row],['#_Water_Liters_supplied_by_Water boating or water trucking]]/90)/15</f>
        <v>0</v>
      </c>
      <c r="CG412" s="867">
        <f>WWWW[[#This Row],['#_Water_Liters_from_Constructed/Existing water distribution system from river or natural spring]]/90/15</f>
        <v>0</v>
      </c>
      <c r="CH412" s="473">
        <f>WWWW[[#This Row],['#_of water points in TLS/CFS /THF]]*500</f>
        <v>0</v>
      </c>
      <c r="CI41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0.93023255813953487</v>
      </c>
      <c r="CJ41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0.58139534883720934</v>
      </c>
      <c r="CK412" s="866">
        <f>IF(WWWW[[#This Row],[Location Type 1]]="Village",WWWW[[#This Row],[Access to safe drinking water for Village]],WWWW[[#This Row],[Access to safe drinking water for Camp]])</f>
        <v>0.93023255813953487</v>
      </c>
      <c r="CL412" s="864">
        <f>WWWW[[#This Row],[%Equitable and continuous access to sufficient quantity of safe drinking water]]*WWWW[[#This Row],[Total PoP ]]</f>
        <v>400</v>
      </c>
      <c r="CM412" s="866">
        <f>IF((WWWW[[#This Row],['#_Constructed/Existing protected/fenced ponds]]*250)/WWWW[[#This Row],[Total PoP ]]&gt;1,1,(WWWW[[#This Row],['#_Constructed/Existing protected/fenced ponds]]*250)/WWWW[[#This Row],[Total PoP ]])</f>
        <v>0</v>
      </c>
      <c r="CN412" s="864">
        <f>WWWW[[#This Row],[% Access to unimproved water points]]*WWWW[[#This Row],[Total PoP ]]</f>
        <v>0</v>
      </c>
      <c r="CO41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P41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412" s="864">
        <f>WWWW[[#This Row],[HRP1]]/500</f>
        <v>0.8</v>
      </c>
      <c r="CR412" s="869">
        <f>1-WWWW[[#This Row],[% Equitable and continuous access to sufficient quantity of domestic water]]</f>
        <v>6.9767441860465129E-2</v>
      </c>
      <c r="CS412" s="864">
        <f>WWWW[[#This Row],[%equitable and continuous access to sufficient quantity of safe drinking and domestic water''s GAP]]*WWWW[[#This Row],[Total PoP ]]</f>
        <v>30.000000000000007</v>
      </c>
      <c r="CT412" s="867">
        <f>IF(WWWW[[#This Row],[Total required water points]]-WWWW[[#This Row],['#Water points coverage]]&lt;0,0,WWWW[[#This Row],[Total required water points]]-WWWW[[#This Row],['#Water points coverage]])</f>
        <v>0.19999999999999996</v>
      </c>
      <c r="CU412" s="867">
        <f>ROUND(IF(WWWW[[#This Row],[Total PoP ]]&lt;500,1,WWWW[[#This Row],[Total PoP ]]/500),0)</f>
        <v>1</v>
      </c>
      <c r="CV412" s="867">
        <f>(WWWW[[#This Row],['#_Constructed latrines_by_WASHAgencies]]+WWWW[[#This Row],['#_Non Cluster partner latrines]])-WWWW[[#This Row],['#_Non-functional latrines]]</f>
        <v>22</v>
      </c>
      <c r="CW412" s="804">
        <f>WWWW[[#This Row],[HRP2]]/WWWW[[#This Row],[Total PoP ]]</f>
        <v>1</v>
      </c>
      <c r="CX41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430</v>
      </c>
      <c r="CY41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2" s="473">
        <f>IF(WWWW[[#This Row],['# of functional latrines in THF supported by WASH partners during the reporting period2]]="",0,WWWW[[#This Row],['# of functional latrines in THF supported by WASH partners during the reporting period2]]*50)</f>
        <v>0</v>
      </c>
      <c r="DB412" s="473">
        <f>WWWW[[#This Row],['# students access to functioning school latrines_HRP5]]+WWWW[[#This Row],['# People access to functioning latrines in THF_HRP5]]</f>
        <v>0</v>
      </c>
      <c r="DC412" s="867">
        <f>ROUND(IF(WWWW[[#This Row],[Location Type 1]]="camp",WWWW[[#This Row],[Total PoP ]]/20,IF(WWWW[[#This Row],[Location Type 1]]="Temporary Location",WWWW[[#This Row],[Total PoP ]]/50,(WWWW[[#This Row],[Total PoP ]]/6))),0)</f>
        <v>22</v>
      </c>
      <c r="DD412" s="867">
        <f>IF(WWWW[[#This Row],[Total required Latrines]]-(WWWW[[#This Row],['#_Constructed latrines_by_WASHAgencies]]+WWWW[[#This Row],['#_Non Cluster partner latrines]])&lt;0,0,WWWW[[#This Row],[Total required Latrines]]-(WWWW[[#This Row],['#_Constructed latrines_by_WASHAgencies]]+WWWW[[#This Row],['#_Non Cluster partner latrines]]))</f>
        <v>0</v>
      </c>
      <c r="DE412" s="869">
        <f>1-WWWW[[#This Row],[% people access to functioning Latrine]]</f>
        <v>0</v>
      </c>
      <c r="DF412" s="868">
        <f>IF(OR(WWWW[[#This Row],['#_Non-functional latrines]]="",WWWW[[#This Row],['#_Non-functional latrines]]=0),0,WWWW[[#This Row],['#_Non-functional latrines]]/(WWWW[[#This Row],['#_Constructed latrines_by_WASHAgencies]]+WWWW[[#This Row],['#_Non Cluster partner latrines]]))</f>
        <v>0</v>
      </c>
      <c r="DG412" s="864">
        <f>IF(500*(WWWW[[#This Row],['#_male hygiene promoters]]+WWWW[[#This Row],['#_female hygiene promoters]])&gt;WWWW[[#This Row],[Total PoP ]],WWWW[[#This Row],[Total PoP ]],500*(WWWW[[#This Row],['#_male hygiene promoters]]+WWWW[[#This Row],['#_female hygiene promoters]]))</f>
        <v>430</v>
      </c>
      <c r="DH41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2" s="867">
        <f>IF(WWWW[[#This Row],['# People with access to soap]]&gt;WWWW[[#This Row],['# People with access to Sanity Pads]],WWWW[[#This Row],['# People with access to soap]],WWWW[[#This Row],['# People with access to Sanity Pads]])</f>
        <v>0</v>
      </c>
      <c r="DK412" s="867">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L412" s="869">
        <f>IF(WWWW[[#This Row],[HRP3]]/WWWW[[#This Row],[Total PoP ]]&gt;1,1,WWWW[[#This Row],[HRP3]]/WWWW[[#This Row],[Total PoP ]])</f>
        <v>1</v>
      </c>
      <c r="DM412" s="868">
        <f>1-WWWW[[#This Row],[Hygiene Coverage%]]</f>
        <v>0</v>
      </c>
      <c r="DN412" s="866">
        <f>WWWW[[#This Row],['# people reached by regular dedicated hygiene promotion_5]]/WWWW[[#This Row],[Total PoP ]]</f>
        <v>1</v>
      </c>
      <c r="DO41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2" s="867">
        <f>WWWW[[#This Row],['#_Constructed/Existing hand washing stations]]-WWWW[[#This Row],['#_Non-Functional_hand_washing_stations]]</f>
        <v>0</v>
      </c>
      <c r="DR412" s="864">
        <f>IF(WWWW[[#This Row],['# Functional hand washing stations during reporting period]]*20&gt;WWWW[[#This Row],[Total HH]],WWWW[[#This Row],[Total HH]],WWWW[[#This Row],['# Functional hand washing stations during reporting period]]*20)</f>
        <v>0</v>
      </c>
      <c r="DS412" s="864">
        <f>IF(WWWW[[#This Row],[Is sufficient soap available for TLS? (Yes/No)]]="yes",WWWW[[#This Row],['#_Constructed/Existing hand washing stations at TLS]],0)</f>
        <v>0</v>
      </c>
      <c r="DT412" s="479">
        <f>IF(WWWW[[#This Row],['# Functional hand washing stations during reporting period]]*100&gt;WWWW[[#This Row],[Total PoP ]],WWWW[[#This Row],[Total PoP ]],WWWW[[#This Row],['# Functional hand washing stations during reporting period]]*100)</f>
        <v>0</v>
      </c>
      <c r="DU412" s="479" t="str">
        <f>IF(OR(WWWW[[#This Row],['#_students at TLS_CFS]]="",WWWW[[#This Row],['#_students at TLS_CFS]]=0),"No","Yes")</f>
        <v>No</v>
      </c>
      <c r="DV41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2" s="862" t="str">
        <f>VLOOKUP(WWWW[[#This Row],[Site Name]],SiteDB6[[Site Name]:[CCCM Management]],6,FALSE)</f>
        <v>Yes</v>
      </c>
      <c r="DZ412" s="862" t="str">
        <f>VLOOKUP(WWWW[[#This Row],[Site Name]],SiteDB6[[Site Name]:[CCCM Focal Agency]],7,FALSE)</f>
        <v>KMSS-MYT</v>
      </c>
      <c r="EA412" s="862" t="str">
        <f>VLOOKUP(WWWW[[#This Row],[Site Name]],SiteDB6[[Site Name]:[Location Type 1]],9,FALSE)</f>
        <v>Camp</v>
      </c>
      <c r="EB412" s="862" t="str">
        <f>VLOOKUP(WWWW[[#This Row],[Site Name]],SiteDB6[[Site Name]:[Type of Accommodation]],10,FALSE)</f>
        <v>Camp</v>
      </c>
      <c r="EC412" s="862" t="str">
        <f>VLOOKUP(WWWW[[#This Row],[Site Name]],SiteDB6[[Site Name]:[Ethnic or GCA/NGCA]],11,FALSE)</f>
        <v>GCA</v>
      </c>
      <c r="ED412" s="862">
        <f>VLOOKUP(WWWW[[#This Row],[Site Name]],SiteDB6[[Site Name]:[Lat]],12,FALSE)</f>
        <v>25.403476999999999</v>
      </c>
      <c r="EE412" s="862">
        <f>VLOOKUP(WWWW[[#This Row],[Site Name]],SiteDB6[[Site Name]:[Long]],13,FALSE)</f>
        <v>97.373361000000003</v>
      </c>
      <c r="EF412" s="862" t="str">
        <f>VLOOKUP(WWWW[[#This Row],[Site Name]],SiteDB6[[Site Name]:[Pcode]],3,FALSE)</f>
        <v>MMR001CMP019</v>
      </c>
      <c r="EG412" s="865" t="str">
        <f t="shared" ref="EG412:EG443" si="12">IF(C412="none","Notcovered","Covered")</f>
        <v>Covered</v>
      </c>
      <c r="EH412" s="865" t="str">
        <f>VLOOKUP(WWWW[[#This Row],[Site Name]],Site_DB!$C$389:$D$1120,2,FALSE)</f>
        <v>cccm_2019OCT</v>
      </c>
    </row>
    <row r="413" spans="1:138">
      <c r="A413" s="860" t="s">
        <v>3263</v>
      </c>
      <c r="B413" s="860" t="s">
        <v>144</v>
      </c>
      <c r="C413" s="861" t="s">
        <v>144</v>
      </c>
      <c r="D413" s="861" t="s">
        <v>3277</v>
      </c>
      <c r="E413" s="861" t="s">
        <v>39</v>
      </c>
      <c r="F413" s="861" t="s">
        <v>155</v>
      </c>
      <c r="G413" s="721" t="str">
        <f>VLOOKUP(WWWW[[#This Row],[Site Name]],SiteDB6[[Site Name]:[Location Type]],8,FALSE)</f>
        <v>Camp</v>
      </c>
      <c r="H413" s="861" t="s">
        <v>156</v>
      </c>
      <c r="I413" s="851">
        <v>13</v>
      </c>
      <c r="J413" s="851">
        <v>66</v>
      </c>
      <c r="K413" s="863" t="s">
        <v>3278</v>
      </c>
      <c r="L413" s="859" t="s">
        <v>3279</v>
      </c>
      <c r="M413" s="851"/>
      <c r="N413" s="851"/>
      <c r="O413" s="851"/>
      <c r="P413" s="851"/>
      <c r="Q413" s="864" t="s">
        <v>43</v>
      </c>
      <c r="R413" s="851"/>
      <c r="S413" s="851">
        <v>3</v>
      </c>
      <c r="T413" s="523">
        <v>0</v>
      </c>
      <c r="U413" s="851"/>
      <c r="V413" s="851"/>
      <c r="W413" s="851">
        <v>1</v>
      </c>
      <c r="X413" s="851"/>
      <c r="Y413" s="851"/>
      <c r="Z413" s="851"/>
      <c r="AA413" s="851"/>
      <c r="AB413" s="851"/>
      <c r="AC413" s="851"/>
      <c r="AD413" s="851"/>
      <c r="AE413" s="851"/>
      <c r="AF413" s="851"/>
      <c r="AG413" s="851"/>
      <c r="AH413" s="851">
        <v>2</v>
      </c>
      <c r="AI413" s="851"/>
      <c r="AJ413" s="851"/>
      <c r="AK413" s="851"/>
      <c r="AL413" s="851"/>
      <c r="AM413" s="851"/>
      <c r="AN413" s="851"/>
      <c r="AO413" s="865"/>
      <c r="AP413" s="851">
        <v>6</v>
      </c>
      <c r="AQ413" s="851"/>
      <c r="AR413" s="866"/>
      <c r="AS413" s="851"/>
      <c r="AT413" s="851"/>
      <c r="AU413" s="851"/>
      <c r="AV413" s="851"/>
      <c r="AW413" s="851">
        <v>6</v>
      </c>
      <c r="AX413" s="862" t="s">
        <v>43</v>
      </c>
      <c r="AY413" s="865" t="s">
        <v>1195</v>
      </c>
      <c r="AZ413" s="851"/>
      <c r="BA413" s="851"/>
      <c r="BB413" s="851"/>
      <c r="BC413" s="523"/>
      <c r="BD413" s="523"/>
      <c r="BE413" s="862"/>
      <c r="BF413" s="851">
        <v>2</v>
      </c>
      <c r="BG413" s="851"/>
      <c r="BH413" s="851"/>
      <c r="BI413" s="851">
        <v>2</v>
      </c>
      <c r="BJ413" s="851"/>
      <c r="BK413" s="851"/>
      <c r="BL413" s="851">
        <v>1</v>
      </c>
      <c r="BM413" s="851"/>
      <c r="BN413" s="851"/>
      <c r="BO413" s="862"/>
      <c r="BP413" s="867"/>
      <c r="BQ413" s="866"/>
      <c r="BR413" s="862"/>
      <c r="BS413" s="472"/>
      <c r="BT413" s="472"/>
      <c r="BU413" s="474"/>
      <c r="BV413" s="472"/>
      <c r="BW413" s="523"/>
      <c r="BX413" s="523"/>
      <c r="BY413" s="523"/>
      <c r="BZ413" s="868" t="str">
        <f>IFERROR(WWWW[[#This Row],['#_Water sources passed]]/WWWW[[#This Row],['#_Water sources tested for fecal coliform ]],"no test")</f>
        <v>no test</v>
      </c>
      <c r="CA413" s="866" t="str">
        <f>IFERROR(WWWW[[#This Row],['#_Household passed]]/WWWW[[#This Row],['#_Household water samples tested for fecal coliform]],"no test")</f>
        <v>no test</v>
      </c>
      <c r="CB413" s="867" t="str">
        <f>IF(AND(WWWW[[#This Row],[% of water sources passed]]="no test",WWWW[[#This Row],[% Household passed]]="no test"),"No Test","Tested")</f>
        <v>No Test</v>
      </c>
      <c r="CC413" s="867">
        <f>WWWW[[#This Row],['#_Constructed/existing protected hand dug well]]-WWWW[[#This Row],['#_Non-functional protected hand dug well]]</f>
        <v>0</v>
      </c>
      <c r="CD413" s="867">
        <f>(WWWW[[#This Row],['#_Constructed/Existing tube wells/boreholes/handpumps_WASH_agency]]+WWWW[[#This Row],['#_Non-Cluster partner water tube-wells/boreholes/handpumps]])-WWWW[[#This Row],['#_Non-functional tube wells/boreholes/handpumps]]</f>
        <v>1</v>
      </c>
      <c r="CE413" s="867">
        <f>WWWW[[#This Row],['#_Constructed/Existingwater storage tank with gravity fed reticulation system]]-WWWW[[#This Row],['#_Non-functional storage tank gravity fed reticulation system]]</f>
        <v>0</v>
      </c>
      <c r="CF413" s="867">
        <f>(WWWW[[#This Row],['#_Water_Liters_supplied_by_Water boating or water trucking]]/90)/15</f>
        <v>0</v>
      </c>
      <c r="CG413" s="867">
        <f>WWWW[[#This Row],['#_Water_Liters_from_Constructed/Existing water distribution system from river or natural spring]]/90/15</f>
        <v>0</v>
      </c>
      <c r="CH413" s="473">
        <f>WWWW[[#This Row],['#_of water points in TLS/CFS /THF]]*500</f>
        <v>0</v>
      </c>
      <c r="CI41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13" s="866">
        <f>IF(WWWW[[#This Row],[Location Type 1]]="Village",WWWW[[#This Row],[Access to safe drinking water for Village]],WWWW[[#This Row],[Access to safe drinking water for Camp]])</f>
        <v>1</v>
      </c>
      <c r="CL413" s="864">
        <f>WWWW[[#This Row],[%Equitable and continuous access to sufficient quantity of safe drinking water]]*WWWW[[#This Row],[Total PoP ]]</f>
        <v>66</v>
      </c>
      <c r="CM413" s="866">
        <f>IF((WWWW[[#This Row],['#_Constructed/Existing protected/fenced ponds]]*250)/WWWW[[#This Row],[Total PoP ]]&gt;1,1,(WWWW[[#This Row],['#_Constructed/Existing protected/fenced ponds]]*250)/WWWW[[#This Row],[Total PoP ]])</f>
        <v>0</v>
      </c>
      <c r="CN413" s="864">
        <f>WWWW[[#This Row],[% Access to unimproved water points]]*WWWW[[#This Row],[Total PoP ]]</f>
        <v>0</v>
      </c>
      <c r="CO41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Q413" s="864">
        <f>WWWW[[#This Row],[HRP1]]/500</f>
        <v>0.13200000000000001</v>
      </c>
      <c r="CR413" s="869">
        <f>1-WWWW[[#This Row],[% Equitable and continuous access to sufficient quantity of domestic water]]</f>
        <v>0</v>
      </c>
      <c r="CS413" s="864">
        <f>WWWW[[#This Row],[%equitable and continuous access to sufficient quantity of safe drinking and domestic water''s GAP]]*WWWW[[#This Row],[Total PoP ]]</f>
        <v>0</v>
      </c>
      <c r="CT413" s="867">
        <f>IF(WWWW[[#This Row],[Total required water points]]-WWWW[[#This Row],['#Water points coverage]]&lt;0,0,WWWW[[#This Row],[Total required water points]]-WWWW[[#This Row],['#Water points coverage]])</f>
        <v>0.86799999999999999</v>
      </c>
      <c r="CU413" s="867">
        <f>ROUND(IF(WWWW[[#This Row],[Total PoP ]]&lt;500,1,WWWW[[#This Row],[Total PoP ]]/500),0)</f>
        <v>1</v>
      </c>
      <c r="CV413" s="867">
        <f>(WWWW[[#This Row],['#_Constructed latrines_by_WASHAgencies]]+WWWW[[#This Row],['#_Non Cluster partner latrines]])-WWWW[[#This Row],['#_Non-functional latrines]]</f>
        <v>6</v>
      </c>
      <c r="CW413" s="804">
        <f>WWWW[[#This Row],[HRP2]]/WWWW[[#This Row],[Total PoP ]]</f>
        <v>1</v>
      </c>
      <c r="CX41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CY41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3" s="473">
        <f>IF(WWWW[[#This Row],['# of functional latrines in THF supported by WASH partners during the reporting period2]]="",0,WWWW[[#This Row],['# of functional latrines in THF supported by WASH partners during the reporting period2]]*50)</f>
        <v>0</v>
      </c>
      <c r="DB413" s="473">
        <f>WWWW[[#This Row],['# students access to functioning school latrines_HRP5]]+WWWW[[#This Row],['# People access to functioning latrines in THF_HRP5]]</f>
        <v>0</v>
      </c>
      <c r="DC413" s="867">
        <f>ROUND(IF(WWWW[[#This Row],[Location Type 1]]="camp",WWWW[[#This Row],[Total PoP ]]/20,IF(WWWW[[#This Row],[Location Type 1]]="Temporary Location",WWWW[[#This Row],[Total PoP ]]/50,(WWWW[[#This Row],[Total PoP ]]/6))),0)</f>
        <v>3</v>
      </c>
      <c r="DD413" s="867">
        <f>IF(WWWW[[#This Row],[Total required Latrines]]-(WWWW[[#This Row],['#_Constructed latrines_by_WASHAgencies]]+WWWW[[#This Row],['#_Non Cluster partner latrines]])&lt;0,0,WWWW[[#This Row],[Total required Latrines]]-(WWWW[[#This Row],['#_Constructed latrines_by_WASHAgencies]]+WWWW[[#This Row],['#_Non Cluster partner latrines]]))</f>
        <v>0</v>
      </c>
      <c r="DE413" s="869">
        <f>1-WWWW[[#This Row],[% people access to functioning Latrine]]</f>
        <v>0</v>
      </c>
      <c r="DF413" s="868">
        <f>IF(OR(WWWW[[#This Row],['#_Non-functional latrines]]="",WWWW[[#This Row],['#_Non-functional latrines]]=0),0,WWWW[[#This Row],['#_Non-functional latrines]]/(WWWW[[#This Row],['#_Constructed latrines_by_WASHAgencies]]+WWWW[[#This Row],['#_Non Cluster partner latrines]]))</f>
        <v>0</v>
      </c>
      <c r="DG413" s="864">
        <f>IF(500*(WWWW[[#This Row],['#_male hygiene promoters]]+WWWW[[#This Row],['#_female hygiene promoters]])&gt;WWWW[[#This Row],[Total PoP ]],WWWW[[#This Row],[Total PoP ]],500*(WWWW[[#This Row],['#_male hygiene promoters]]+WWWW[[#This Row],['#_female hygiene promoters]]))</f>
        <v>66</v>
      </c>
      <c r="DH41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3" s="867">
        <f>IF(WWWW[[#This Row],['# People with access to soap]]&gt;WWWW[[#This Row],['# People with access to Sanity Pads]],WWWW[[#This Row],['# People with access to soap]],WWWW[[#This Row],['# People with access to Sanity Pads]])</f>
        <v>0</v>
      </c>
      <c r="DK413" s="867">
        <f>IF(WWWW[[#This Row],['# people reached by regular dedicated hygiene promotion_5]]&gt;WWWW[[#This Row],['# People received regular supply of hygiene items_6]],WWWW[[#This Row],['# people reached by regular dedicated hygiene promotion_5]],WWWW[[#This Row],['# People received regular supply of hygiene items_6]])</f>
        <v>66</v>
      </c>
      <c r="DL413" s="869">
        <f>IF(WWWW[[#This Row],[HRP3]]/WWWW[[#This Row],[Total PoP ]]&gt;1,1,WWWW[[#This Row],[HRP3]]/WWWW[[#This Row],[Total PoP ]])</f>
        <v>1</v>
      </c>
      <c r="DM413" s="868">
        <f>1-WWWW[[#This Row],[Hygiene Coverage%]]</f>
        <v>0</v>
      </c>
      <c r="DN413" s="866">
        <f>WWWW[[#This Row],['# people reached by regular dedicated hygiene promotion_5]]/WWWW[[#This Row],[Total PoP ]]</f>
        <v>1</v>
      </c>
      <c r="DO41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3" s="867">
        <f>WWWW[[#This Row],['#_Constructed/Existing hand washing stations]]-WWWW[[#This Row],['#_Non-Functional_hand_washing_stations]]</f>
        <v>2</v>
      </c>
      <c r="DR413" s="864">
        <f>IF(WWWW[[#This Row],['# Functional hand washing stations during reporting period]]*20&gt;WWWW[[#This Row],[Total HH]],WWWW[[#This Row],[Total HH]],WWWW[[#This Row],['# Functional hand washing stations during reporting period]]*20)</f>
        <v>13</v>
      </c>
      <c r="DS413" s="864">
        <f>IF(WWWW[[#This Row],[Is sufficient soap available for TLS? (Yes/No)]]="yes",WWWW[[#This Row],['#_Constructed/Existing hand washing stations at TLS]],0)</f>
        <v>0</v>
      </c>
      <c r="DT413" s="479">
        <f>IF(WWWW[[#This Row],['# Functional hand washing stations during reporting period]]*100&gt;WWWW[[#This Row],[Total PoP ]],WWWW[[#This Row],[Total PoP ]],WWWW[[#This Row],['# Functional hand washing stations during reporting period]]*100)</f>
        <v>66</v>
      </c>
      <c r="DU413" s="479" t="str">
        <f>IF(OR(WWWW[[#This Row],['#_students at TLS_CFS]]="",WWWW[[#This Row],['#_students at TLS_CFS]]=0),"No","Yes")</f>
        <v>No</v>
      </c>
      <c r="DV41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3" s="862" t="str">
        <f>VLOOKUP(WWWW[[#This Row],[Site Name]],SiteDB6[[Site Name]:[CCCM Management]],6,FALSE)</f>
        <v>Yes</v>
      </c>
      <c r="DZ413" s="862" t="str">
        <f>VLOOKUP(WWWW[[#This Row],[Site Name]],SiteDB6[[Site Name]:[CCCM Focal Agency]],7,FALSE)</f>
        <v>KBC-MYT</v>
      </c>
      <c r="EA413" s="862" t="str">
        <f>VLOOKUP(WWWW[[#This Row],[Site Name]],SiteDB6[[Site Name]:[Location Type 1]],9,FALSE)</f>
        <v>Camp</v>
      </c>
      <c r="EB413" s="862" t="str">
        <f>VLOOKUP(WWWW[[#This Row],[Site Name]],SiteDB6[[Site Name]:[Type of Accommodation]],10,FALSE)</f>
        <v>Camp</v>
      </c>
      <c r="EC413" s="862" t="str">
        <f>VLOOKUP(WWWW[[#This Row],[Site Name]],SiteDB6[[Site Name]:[Ethnic or GCA/NGCA]],11,FALSE)</f>
        <v>GCA</v>
      </c>
      <c r="ED413" s="862">
        <f>VLOOKUP(WWWW[[#This Row],[Site Name]],SiteDB6[[Site Name]:[Lat]],12,FALSE)</f>
        <v>25.305669999999999</v>
      </c>
      <c r="EE413" s="862">
        <f>VLOOKUP(WWWW[[#This Row],[Site Name]],SiteDB6[[Site Name]:[Long]],13,FALSE)</f>
        <v>96.922619999999995</v>
      </c>
      <c r="EF413" s="862" t="str">
        <f>VLOOKUP(WWWW[[#This Row],[Site Name]],SiteDB6[[Site Name]:[Pcode]],3,FALSE)</f>
        <v>MMR001CMP078</v>
      </c>
      <c r="EG413" s="865" t="str">
        <f t="shared" si="12"/>
        <v>Covered</v>
      </c>
      <c r="EH413" s="865" t="str">
        <f>VLOOKUP(WWWW[[#This Row],[Site Name]],Site_DB!$C$389:$D$1120,2,FALSE)</f>
        <v>cccm_2019OCT</v>
      </c>
    </row>
    <row r="414" spans="1:138">
      <c r="A414" s="860" t="s">
        <v>3263</v>
      </c>
      <c r="B414" s="860" t="s">
        <v>144</v>
      </c>
      <c r="C414" s="861" t="s">
        <v>144</v>
      </c>
      <c r="D414" s="861" t="s">
        <v>247</v>
      </c>
      <c r="E414" s="861" t="s">
        <v>39</v>
      </c>
      <c r="F414" s="861" t="s">
        <v>208</v>
      </c>
      <c r="G414" s="721" t="str">
        <f>VLOOKUP(WWWW[[#This Row],[Site Name]],SiteDB6[[Site Name]:[Location Type]],8,FALSE)</f>
        <v>Camp_not registered</v>
      </c>
      <c r="H414" s="861" t="s">
        <v>292</v>
      </c>
      <c r="I414" s="851">
        <v>440</v>
      </c>
      <c r="J414" s="851">
        <v>2199</v>
      </c>
      <c r="K414" s="863">
        <v>43647</v>
      </c>
      <c r="L414" s="859">
        <v>44012</v>
      </c>
      <c r="M414" s="851"/>
      <c r="N414" s="851"/>
      <c r="O414" s="851"/>
      <c r="P414" s="851"/>
      <c r="Q414" s="864" t="s">
        <v>43</v>
      </c>
      <c r="R414" s="851"/>
      <c r="S414" s="851"/>
      <c r="T414" s="523"/>
      <c r="U414" s="851"/>
      <c r="V414" s="851"/>
      <c r="W414" s="851">
        <v>1</v>
      </c>
      <c r="X414" s="851">
        <v>0</v>
      </c>
      <c r="Y414" s="851"/>
      <c r="Z414" s="851"/>
      <c r="AA414" s="851"/>
      <c r="AB414" s="851"/>
      <c r="AC414" s="851"/>
      <c r="AD414" s="851">
        <v>0</v>
      </c>
      <c r="AE414" s="851">
        <v>0</v>
      </c>
      <c r="AF414" s="851"/>
      <c r="AG414" s="851">
        <v>0</v>
      </c>
      <c r="AH414" s="851">
        <v>0</v>
      </c>
      <c r="AI414" s="851"/>
      <c r="AJ414" s="851"/>
      <c r="AK414" s="851"/>
      <c r="AL414" s="851"/>
      <c r="AM414" s="851">
        <v>20</v>
      </c>
      <c r="AN414" s="851"/>
      <c r="AO414" s="865"/>
      <c r="AP414" s="851"/>
      <c r="AQ414" s="851">
        <v>0</v>
      </c>
      <c r="AR414" s="866"/>
      <c r="AS414" s="851"/>
      <c r="AT414" s="851"/>
      <c r="AU414" s="851"/>
      <c r="AV414" s="851"/>
      <c r="AW414" s="851">
        <v>0</v>
      </c>
      <c r="AX414" s="862" t="s">
        <v>143</v>
      </c>
      <c r="AY414" s="865" t="s">
        <v>143</v>
      </c>
      <c r="AZ414" s="851"/>
      <c r="BA414" s="851"/>
      <c r="BB414" s="851">
        <v>51</v>
      </c>
      <c r="BC414" s="523"/>
      <c r="BD414" s="523"/>
      <c r="BE414" s="862"/>
      <c r="BF414" s="851"/>
      <c r="BG414" s="851"/>
      <c r="BH414" s="851"/>
      <c r="BI414" s="851">
        <v>0</v>
      </c>
      <c r="BJ414" s="851"/>
      <c r="BK414" s="851"/>
      <c r="BL414" s="851"/>
      <c r="BM414" s="851"/>
      <c r="BN414" s="851"/>
      <c r="BO414" s="862"/>
      <c r="BP414" s="867"/>
      <c r="BQ414" s="866"/>
      <c r="BR414" s="862"/>
      <c r="BS414" s="472"/>
      <c r="BT414" s="472"/>
      <c r="BU414" s="474"/>
      <c r="BV414" s="472"/>
      <c r="BW414" s="523"/>
      <c r="BX414" s="523"/>
      <c r="BY414" s="523"/>
      <c r="BZ414" s="868" t="str">
        <f>IFERROR(WWWW[[#This Row],['#_Water sources passed]]/WWWW[[#This Row],['#_Water sources tested for fecal coliform ]],"no test")</f>
        <v>no test</v>
      </c>
      <c r="CA414" s="866" t="str">
        <f>IFERROR(WWWW[[#This Row],['#_Household passed]]/WWWW[[#This Row],['#_Household water samples tested for fecal coliform]],"no test")</f>
        <v>no test</v>
      </c>
      <c r="CB414" s="867" t="str">
        <f>IF(AND(WWWW[[#This Row],[% of water sources passed]]="no test",WWWW[[#This Row],[% Household passed]]="no test"),"No Test","Tested")</f>
        <v>No Test</v>
      </c>
      <c r="CC414" s="867">
        <f>WWWW[[#This Row],['#_Constructed/existing protected hand dug well]]-WWWW[[#This Row],['#_Non-functional protected hand dug well]]</f>
        <v>0</v>
      </c>
      <c r="CD414" s="867">
        <f>(WWWW[[#This Row],['#_Constructed/Existing tube wells/boreholes/handpumps_WASH_agency]]+WWWW[[#This Row],['#_Non-Cluster partner water tube-wells/boreholes/handpumps]])-WWWW[[#This Row],['#_Non-functional tube wells/boreholes/handpumps]]</f>
        <v>1</v>
      </c>
      <c r="CE414" s="867">
        <f>WWWW[[#This Row],['#_Constructed/Existingwater storage tank with gravity fed reticulation system]]-WWWW[[#This Row],['#_Non-functional storage tank gravity fed reticulation system]]</f>
        <v>0</v>
      </c>
      <c r="CF414" s="867">
        <f>(WWWW[[#This Row],['#_Water_Liters_supplied_by_Water boating or water trucking]]/90)/15</f>
        <v>0</v>
      </c>
      <c r="CG414" s="867">
        <f>WWWW[[#This Row],['#_Water_Liters_from_Constructed/Existing water distribution system from river or natural spring]]/90/15</f>
        <v>0</v>
      </c>
      <c r="CH414" s="473">
        <f>WWWW[[#This Row],['#_of water points in TLS/CFS /THF]]*500</f>
        <v>0</v>
      </c>
      <c r="CI41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J41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K414" s="866">
        <f>IF(WWWW[[#This Row],[Location Type 1]]="Village",WWWW[[#This Row],[Access to safe drinking water for Village]],WWWW[[#This Row],[Access to safe drinking water for Camp]])</f>
        <v>0.22737608003638018</v>
      </c>
      <c r="CL414" s="864">
        <f>WWWW[[#This Row],[%Equitable and continuous access to sufficient quantity of safe drinking water]]*WWWW[[#This Row],[Total PoP ]]</f>
        <v>500</v>
      </c>
      <c r="CM414" s="866">
        <f>IF((WWWW[[#This Row],['#_Constructed/Existing protected/fenced ponds]]*250)/WWWW[[#This Row],[Total PoP ]]&gt;1,1,(WWWW[[#This Row],['#_Constructed/Existing protected/fenced ponds]]*250)/WWWW[[#This Row],[Total PoP ]])</f>
        <v>0</v>
      </c>
      <c r="CN414" s="864">
        <f>WWWW[[#This Row],[% Access to unimproved water points]]*WWWW[[#This Row],[Total PoP ]]</f>
        <v>0</v>
      </c>
      <c r="CO41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P41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Q414" s="864">
        <f>WWWW[[#This Row],[HRP1]]/500</f>
        <v>1</v>
      </c>
      <c r="CR414" s="869">
        <f>1-WWWW[[#This Row],[% Equitable and continuous access to sufficient quantity of domestic water]]</f>
        <v>0.77262391996361979</v>
      </c>
      <c r="CS414" s="864">
        <f>WWWW[[#This Row],[%equitable and continuous access to sufficient quantity of safe drinking and domestic water''s GAP]]*WWWW[[#This Row],[Total PoP ]]</f>
        <v>1699</v>
      </c>
      <c r="CT414" s="867">
        <f>IF(WWWW[[#This Row],[Total required water points]]-WWWW[[#This Row],['#Water points coverage]]&lt;0,0,WWWW[[#This Row],[Total required water points]]-WWWW[[#This Row],['#Water points coverage]])</f>
        <v>3</v>
      </c>
      <c r="CU414" s="867">
        <f>ROUND(IF(WWWW[[#This Row],[Total PoP ]]&lt;500,1,WWWW[[#This Row],[Total PoP ]]/500),0)</f>
        <v>4</v>
      </c>
      <c r="CV414" s="867">
        <f>(WWWW[[#This Row],['#_Constructed latrines_by_WASHAgencies]]+WWWW[[#This Row],['#_Non Cluster partner latrines]])-WWWW[[#This Row],['#_Non-functional latrines]]</f>
        <v>0</v>
      </c>
      <c r="CW414" s="804">
        <f>WWWW[[#This Row],[HRP2]]/WWWW[[#This Row],[Total PoP ]]</f>
        <v>0</v>
      </c>
      <c r="CX41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1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4" s="473">
        <f>IF(WWWW[[#This Row],['# of functional latrines in THF supported by WASH partners during the reporting period2]]="",0,WWWW[[#This Row],['# of functional latrines in THF supported by WASH partners during the reporting period2]]*50)</f>
        <v>0</v>
      </c>
      <c r="DB414" s="473">
        <f>WWWW[[#This Row],['# students access to functioning school latrines_HRP5]]+WWWW[[#This Row],['# People access to functioning latrines in THF_HRP5]]</f>
        <v>0</v>
      </c>
      <c r="DC414" s="867">
        <f>ROUND(IF(WWWW[[#This Row],[Location Type 1]]="camp",WWWW[[#This Row],[Total PoP ]]/20,IF(WWWW[[#This Row],[Location Type 1]]="Temporary Location",WWWW[[#This Row],[Total PoP ]]/50,(WWWW[[#This Row],[Total PoP ]]/6))),0)</f>
        <v>110</v>
      </c>
      <c r="DD414" s="867">
        <f>IF(WWWW[[#This Row],[Total required Latrines]]-(WWWW[[#This Row],['#_Constructed latrines_by_WASHAgencies]]+WWWW[[#This Row],['#_Non Cluster partner latrines]])&lt;0,0,WWWW[[#This Row],[Total required Latrines]]-(WWWW[[#This Row],['#_Constructed latrines_by_WASHAgencies]]+WWWW[[#This Row],['#_Non Cluster partner latrines]]))</f>
        <v>110</v>
      </c>
      <c r="DE414" s="869">
        <f>1-WWWW[[#This Row],[% people access to functioning Latrine]]</f>
        <v>1</v>
      </c>
      <c r="DF414" s="868">
        <f>IF(OR(WWWW[[#This Row],['#_Non-functional latrines]]="",WWWW[[#This Row],['#_Non-functional latrines]]=0),0,WWWW[[#This Row],['#_Non-functional latrines]]/(WWWW[[#This Row],['#_Constructed latrines_by_WASHAgencies]]+WWWW[[#This Row],['#_Non Cluster partner latrines]]))</f>
        <v>0</v>
      </c>
      <c r="DG414" s="864">
        <f>IF(500*(WWWW[[#This Row],['#_male hygiene promoters]]+WWWW[[#This Row],['#_female hygiene promoters]])&gt;WWWW[[#This Row],[Total PoP ]],WWWW[[#This Row],[Total PoP ]],500*(WWWW[[#This Row],['#_male hygiene promoters]]+WWWW[[#This Row],['#_female hygiene promoters]]))</f>
        <v>0</v>
      </c>
      <c r="DH41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4" s="867">
        <f>IF(WWWW[[#This Row],['# People with access to soap]]&gt;WWWW[[#This Row],['# People with access to Sanity Pads]],WWWW[[#This Row],['# People with access to soap]],WWWW[[#This Row],['# People with access to Sanity Pads]])</f>
        <v>0</v>
      </c>
      <c r="DK41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14" s="869">
        <f>IF(WWWW[[#This Row],[HRP3]]/WWWW[[#This Row],[Total PoP ]]&gt;1,1,WWWW[[#This Row],[HRP3]]/WWWW[[#This Row],[Total PoP ]])</f>
        <v>0</v>
      </c>
      <c r="DM414" s="868">
        <f>1-WWWW[[#This Row],[Hygiene Coverage%]]</f>
        <v>1</v>
      </c>
      <c r="DN414" s="866">
        <f>WWWW[[#This Row],['# people reached by regular dedicated hygiene promotion_5]]/WWWW[[#This Row],[Total PoP ]]</f>
        <v>0</v>
      </c>
      <c r="DO41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4" s="867">
        <f>WWWW[[#This Row],['#_Constructed/Existing hand washing stations]]-WWWW[[#This Row],['#_Non-Functional_hand_washing_stations]]</f>
        <v>0</v>
      </c>
      <c r="DR414" s="864">
        <f>IF(WWWW[[#This Row],['# Functional hand washing stations during reporting period]]*20&gt;WWWW[[#This Row],[Total HH]],WWWW[[#This Row],[Total HH]],WWWW[[#This Row],['# Functional hand washing stations during reporting period]]*20)</f>
        <v>0</v>
      </c>
      <c r="DS414" s="864">
        <f>IF(WWWW[[#This Row],[Is sufficient soap available for TLS? (Yes/No)]]="yes",WWWW[[#This Row],['#_Constructed/Existing hand washing stations at TLS]],0)</f>
        <v>0</v>
      </c>
      <c r="DT414" s="479">
        <f>IF(WWWW[[#This Row],['# Functional hand washing stations during reporting period]]*100&gt;WWWW[[#This Row],[Total PoP ]],WWWW[[#This Row],[Total PoP ]],WWWW[[#This Row],['# Functional hand washing stations during reporting period]]*100)</f>
        <v>0</v>
      </c>
      <c r="DU414" s="479" t="str">
        <f>IF(OR(WWWW[[#This Row],['#_students at TLS_CFS]]="",WWWW[[#This Row],['#_students at TLS_CFS]]=0),"No","Yes")</f>
        <v>No</v>
      </c>
      <c r="DV41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4" s="862">
        <f>VLOOKUP(WWWW[[#This Row],[Site Name]],SiteDB6[[Site Name]:[CCCM Management]],6,FALSE)</f>
        <v>0</v>
      </c>
      <c r="DZ414" s="862">
        <f>VLOOKUP(WWWW[[#This Row],[Site Name]],SiteDB6[[Site Name]:[CCCM Focal Agency]],7,FALSE)</f>
        <v>0</v>
      </c>
      <c r="EA414" s="862" t="str">
        <f>VLOOKUP(WWWW[[#This Row],[Site Name]],SiteDB6[[Site Name]:[Location Type 1]],9,FALSE)</f>
        <v>Camp</v>
      </c>
      <c r="EB414" s="862" t="str">
        <f>VLOOKUP(WWWW[[#This Row],[Site Name]],SiteDB6[[Site Name]:[Type of Accommodation]],10,FALSE)</f>
        <v>School</v>
      </c>
      <c r="EC414" s="862" t="str">
        <f>VLOOKUP(WWWW[[#This Row],[Site Name]],SiteDB6[[Site Name]:[Ethnic or GCA/NGCA]],11,FALSE)</f>
        <v>NGCA</v>
      </c>
      <c r="ED414" s="862">
        <f>VLOOKUP(WWWW[[#This Row],[Site Name]],SiteDB6[[Site Name]:[Lat]],12,FALSE)</f>
        <v>0</v>
      </c>
      <c r="EE414" s="862">
        <f>VLOOKUP(WWWW[[#This Row],[Site Name]],SiteDB6[[Site Name]:[Long]],13,FALSE)</f>
        <v>0</v>
      </c>
      <c r="EF414" s="862">
        <f>VLOOKUP(WWWW[[#This Row],[Site Name]],SiteDB6[[Site Name]:[Pcode]],3,FALSE)</f>
        <v>0</v>
      </c>
      <c r="EG414" s="865" t="str">
        <f t="shared" si="12"/>
        <v>Covered</v>
      </c>
      <c r="EH414" s="865">
        <f>VLOOKUP(WWWW[[#This Row],[Site Name]],Site_DB!$C$389:$D$1120,2,FALSE)</f>
        <v>0</v>
      </c>
    </row>
    <row r="415" spans="1:138">
      <c r="A415" s="860" t="s">
        <v>3263</v>
      </c>
      <c r="B415" s="860" t="s">
        <v>144</v>
      </c>
      <c r="C415" s="861" t="s">
        <v>144</v>
      </c>
      <c r="D415" s="861" t="s">
        <v>3277</v>
      </c>
      <c r="E415" s="861" t="s">
        <v>39</v>
      </c>
      <c r="F415" s="861" t="s">
        <v>162</v>
      </c>
      <c r="G415" s="721" t="str">
        <f>VLOOKUP(WWWW[[#This Row],[Site Name]],SiteDB6[[Site Name]:[Location Type]],8,FALSE)</f>
        <v>Camp</v>
      </c>
      <c r="H415" s="861" t="s">
        <v>2166</v>
      </c>
      <c r="I415" s="851">
        <v>118</v>
      </c>
      <c r="J415" s="851">
        <v>489</v>
      </c>
      <c r="K415" s="863" t="s">
        <v>3278</v>
      </c>
      <c r="L415" s="859" t="s">
        <v>3279</v>
      </c>
      <c r="M415" s="851"/>
      <c r="N415" s="851"/>
      <c r="O415" s="851"/>
      <c r="P415" s="851"/>
      <c r="Q415" s="864" t="s">
        <v>43</v>
      </c>
      <c r="R415" s="851"/>
      <c r="S415" s="851">
        <v>5</v>
      </c>
      <c r="T415" s="523">
        <v>1</v>
      </c>
      <c r="U415" s="851"/>
      <c r="V415" s="851"/>
      <c r="W415" s="851">
        <v>7</v>
      </c>
      <c r="X415" s="851"/>
      <c r="Y415" s="851"/>
      <c r="Z415" s="851"/>
      <c r="AA415" s="851"/>
      <c r="AB415" s="851"/>
      <c r="AC415" s="851"/>
      <c r="AD415" s="851"/>
      <c r="AE415" s="851"/>
      <c r="AF415" s="851"/>
      <c r="AG415" s="851"/>
      <c r="AH415" s="851">
        <v>6</v>
      </c>
      <c r="AI415" s="851"/>
      <c r="AJ415" s="851"/>
      <c r="AK415" s="851"/>
      <c r="AL415" s="851"/>
      <c r="AM415" s="851"/>
      <c r="AN415" s="851"/>
      <c r="AO415" s="865"/>
      <c r="AP415" s="851">
        <v>16</v>
      </c>
      <c r="AQ415" s="851"/>
      <c r="AR415" s="866"/>
      <c r="AS415" s="851"/>
      <c r="AT415" s="851"/>
      <c r="AU415" s="851"/>
      <c r="AV415" s="851"/>
      <c r="AW415" s="851">
        <v>16</v>
      </c>
      <c r="AX415" s="862" t="s">
        <v>43</v>
      </c>
      <c r="AY415" s="865" t="s">
        <v>140</v>
      </c>
      <c r="AZ415" s="851"/>
      <c r="BA415" s="851"/>
      <c r="BB415" s="851"/>
      <c r="BC415" s="523"/>
      <c r="BD415" s="523"/>
      <c r="BE415" s="862"/>
      <c r="BF415" s="851">
        <v>6</v>
      </c>
      <c r="BG415" s="851"/>
      <c r="BH415" s="851"/>
      <c r="BI415" s="851">
        <v>0</v>
      </c>
      <c r="BJ415" s="851"/>
      <c r="BK415" s="851"/>
      <c r="BL415" s="851">
        <v>2</v>
      </c>
      <c r="BM415" s="851"/>
      <c r="BN415" s="851"/>
      <c r="BO415" s="862"/>
      <c r="BP415" s="867"/>
      <c r="BQ415" s="866"/>
      <c r="BR415" s="862"/>
      <c r="BS415" s="472"/>
      <c r="BT415" s="472"/>
      <c r="BU415" s="474"/>
      <c r="BV415" s="472"/>
      <c r="BW415" s="523"/>
      <c r="BX415" s="523"/>
      <c r="BY415" s="523"/>
      <c r="BZ415" s="868" t="str">
        <f>IFERROR(WWWW[[#This Row],['#_Water sources passed]]/WWWW[[#This Row],['#_Water sources tested for fecal coliform ]],"no test")</f>
        <v>no test</v>
      </c>
      <c r="CA415" s="866" t="str">
        <f>IFERROR(WWWW[[#This Row],['#_Household passed]]/WWWW[[#This Row],['#_Household water samples tested for fecal coliform]],"no test")</f>
        <v>no test</v>
      </c>
      <c r="CB415" s="867" t="str">
        <f>IF(AND(WWWW[[#This Row],[% of water sources passed]]="no test",WWWW[[#This Row],[% Household passed]]="no test"),"No Test","Tested")</f>
        <v>No Test</v>
      </c>
      <c r="CC415" s="867">
        <f>WWWW[[#This Row],['#_Constructed/existing protected hand dug well]]-WWWW[[#This Row],['#_Non-functional protected hand dug well]]</f>
        <v>1</v>
      </c>
      <c r="CD415" s="867">
        <f>(WWWW[[#This Row],['#_Constructed/Existing tube wells/boreholes/handpumps_WASH_agency]]+WWWW[[#This Row],['#_Non-Cluster partner water tube-wells/boreholes/handpumps]])-WWWW[[#This Row],['#_Non-functional tube wells/boreholes/handpumps]]</f>
        <v>7</v>
      </c>
      <c r="CE415" s="867">
        <f>WWWW[[#This Row],['#_Constructed/Existingwater storage tank with gravity fed reticulation system]]-WWWW[[#This Row],['#_Non-functional storage tank gravity fed reticulation system]]</f>
        <v>0</v>
      </c>
      <c r="CF415" s="867">
        <f>(WWWW[[#This Row],['#_Water_Liters_supplied_by_Water boating or water trucking]]/90)/15</f>
        <v>0</v>
      </c>
      <c r="CG415" s="867">
        <f>WWWW[[#This Row],['#_Water_Liters_from_Constructed/Existing water distribution system from river or natural spring]]/90/15</f>
        <v>0</v>
      </c>
      <c r="CH415" s="473">
        <f>WWWW[[#This Row],['#_of water points in TLS/CFS /THF]]*500</f>
        <v>0</v>
      </c>
      <c r="CI41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15" s="866">
        <f>IF(WWWW[[#This Row],[Location Type 1]]="Village",WWWW[[#This Row],[Access to safe drinking water for Village]],WWWW[[#This Row],[Access to safe drinking water for Camp]])</f>
        <v>1</v>
      </c>
      <c r="CL415" s="864">
        <f>WWWW[[#This Row],[%Equitable and continuous access to sufficient quantity of safe drinking water]]*WWWW[[#This Row],[Total PoP ]]</f>
        <v>489</v>
      </c>
      <c r="CM415" s="866">
        <f>IF((WWWW[[#This Row],['#_Constructed/Existing protected/fenced ponds]]*250)/WWWW[[#This Row],[Total PoP ]]&gt;1,1,(WWWW[[#This Row],['#_Constructed/Existing protected/fenced ponds]]*250)/WWWW[[#This Row],[Total PoP ]])</f>
        <v>0</v>
      </c>
      <c r="CN415" s="864">
        <f>WWWW[[#This Row],[% Access to unimproved water points]]*WWWW[[#This Row],[Total PoP ]]</f>
        <v>0</v>
      </c>
      <c r="CO41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Q415" s="864">
        <f>WWWW[[#This Row],[HRP1]]/500</f>
        <v>0.97799999999999998</v>
      </c>
      <c r="CR415" s="869">
        <f>1-WWWW[[#This Row],[% Equitable and continuous access to sufficient quantity of domestic water]]</f>
        <v>0</v>
      </c>
      <c r="CS415" s="864">
        <f>WWWW[[#This Row],[%equitable and continuous access to sufficient quantity of safe drinking and domestic water''s GAP]]*WWWW[[#This Row],[Total PoP ]]</f>
        <v>0</v>
      </c>
      <c r="CT415" s="867">
        <f>IF(WWWW[[#This Row],[Total required water points]]-WWWW[[#This Row],['#Water points coverage]]&lt;0,0,WWWW[[#This Row],[Total required water points]]-WWWW[[#This Row],['#Water points coverage]])</f>
        <v>2.200000000000002E-2</v>
      </c>
      <c r="CU415" s="867">
        <f>ROUND(IF(WWWW[[#This Row],[Total PoP ]]&lt;500,1,WWWW[[#This Row],[Total PoP ]]/500),0)</f>
        <v>1</v>
      </c>
      <c r="CV415" s="867">
        <f>(WWWW[[#This Row],['#_Constructed latrines_by_WASHAgencies]]+WWWW[[#This Row],['#_Non Cluster partner latrines]])-WWWW[[#This Row],['#_Non-functional latrines]]</f>
        <v>16</v>
      </c>
      <c r="CW415" s="804">
        <f>WWWW[[#This Row],[HRP2]]/WWWW[[#This Row],[Total PoP ]]</f>
        <v>0.65439672801635995</v>
      </c>
      <c r="CX41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41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5" s="473">
        <f>IF(WWWW[[#This Row],['# of functional latrines in THF supported by WASH partners during the reporting period2]]="",0,WWWW[[#This Row],['# of functional latrines in THF supported by WASH partners during the reporting period2]]*50)</f>
        <v>0</v>
      </c>
      <c r="DB415" s="473">
        <f>WWWW[[#This Row],['# students access to functioning school latrines_HRP5]]+WWWW[[#This Row],['# People access to functioning latrines in THF_HRP5]]</f>
        <v>0</v>
      </c>
      <c r="DC415" s="867">
        <f>ROUND(IF(WWWW[[#This Row],[Location Type 1]]="camp",WWWW[[#This Row],[Total PoP ]]/20,IF(WWWW[[#This Row],[Location Type 1]]="Temporary Location",WWWW[[#This Row],[Total PoP ]]/50,(WWWW[[#This Row],[Total PoP ]]/6))),0)</f>
        <v>24</v>
      </c>
      <c r="DD415" s="867">
        <f>IF(WWWW[[#This Row],[Total required Latrines]]-(WWWW[[#This Row],['#_Constructed latrines_by_WASHAgencies]]+WWWW[[#This Row],['#_Non Cluster partner latrines]])&lt;0,0,WWWW[[#This Row],[Total required Latrines]]-(WWWW[[#This Row],['#_Constructed latrines_by_WASHAgencies]]+WWWW[[#This Row],['#_Non Cluster partner latrines]]))</f>
        <v>8</v>
      </c>
      <c r="DE415" s="869">
        <f>1-WWWW[[#This Row],[% people access to functioning Latrine]]</f>
        <v>0.34560327198364005</v>
      </c>
      <c r="DF415" s="868">
        <f>IF(OR(WWWW[[#This Row],['#_Non-functional latrines]]="",WWWW[[#This Row],['#_Non-functional latrines]]=0),0,WWWW[[#This Row],['#_Non-functional latrines]]/(WWWW[[#This Row],['#_Constructed latrines_by_WASHAgencies]]+WWWW[[#This Row],['#_Non Cluster partner latrines]]))</f>
        <v>0</v>
      </c>
      <c r="DG415" s="864">
        <f>IF(500*(WWWW[[#This Row],['#_male hygiene promoters]]+WWWW[[#This Row],['#_female hygiene promoters]])&gt;WWWW[[#This Row],[Total PoP ]],WWWW[[#This Row],[Total PoP ]],500*(WWWW[[#This Row],['#_male hygiene promoters]]+WWWW[[#This Row],['#_female hygiene promoters]]))</f>
        <v>489</v>
      </c>
      <c r="DH41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5" s="867">
        <f>IF(WWWW[[#This Row],['# People with access to soap]]&gt;WWWW[[#This Row],['# People with access to Sanity Pads]],WWWW[[#This Row],['# People with access to soap]],WWWW[[#This Row],['# People with access to Sanity Pads]])</f>
        <v>0</v>
      </c>
      <c r="DK415" s="867">
        <f>IF(WWWW[[#This Row],['# people reached by regular dedicated hygiene promotion_5]]&gt;WWWW[[#This Row],['# People received regular supply of hygiene items_6]],WWWW[[#This Row],['# people reached by regular dedicated hygiene promotion_5]],WWWW[[#This Row],['# People received regular supply of hygiene items_6]])</f>
        <v>489</v>
      </c>
      <c r="DL415" s="869">
        <f>IF(WWWW[[#This Row],[HRP3]]/WWWW[[#This Row],[Total PoP ]]&gt;1,1,WWWW[[#This Row],[HRP3]]/WWWW[[#This Row],[Total PoP ]])</f>
        <v>1</v>
      </c>
      <c r="DM415" s="868">
        <f>1-WWWW[[#This Row],[Hygiene Coverage%]]</f>
        <v>0</v>
      </c>
      <c r="DN415" s="866">
        <f>WWWW[[#This Row],['# people reached by regular dedicated hygiene promotion_5]]/WWWW[[#This Row],[Total PoP ]]</f>
        <v>1</v>
      </c>
      <c r="DO41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5" s="867">
        <f>WWWW[[#This Row],['#_Constructed/Existing hand washing stations]]-WWWW[[#This Row],['#_Non-Functional_hand_washing_stations]]</f>
        <v>6</v>
      </c>
      <c r="DR415" s="864">
        <f>IF(WWWW[[#This Row],['# Functional hand washing stations during reporting period]]*20&gt;WWWW[[#This Row],[Total HH]],WWWW[[#This Row],[Total HH]],WWWW[[#This Row],['# Functional hand washing stations during reporting period]]*20)</f>
        <v>118</v>
      </c>
      <c r="DS415" s="864">
        <f>IF(WWWW[[#This Row],[Is sufficient soap available for TLS? (Yes/No)]]="yes",WWWW[[#This Row],['#_Constructed/Existing hand washing stations at TLS]],0)</f>
        <v>0</v>
      </c>
      <c r="DT415" s="479">
        <f>IF(WWWW[[#This Row],['# Functional hand washing stations during reporting period]]*100&gt;WWWW[[#This Row],[Total PoP ]],WWWW[[#This Row],[Total PoP ]],WWWW[[#This Row],['# Functional hand washing stations during reporting period]]*100)</f>
        <v>489</v>
      </c>
      <c r="DU415" s="479" t="str">
        <f>IF(OR(WWWW[[#This Row],['#_students at TLS_CFS]]="",WWWW[[#This Row],['#_students at TLS_CFS]]=0),"No","Yes")</f>
        <v>No</v>
      </c>
      <c r="DV41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5" s="862">
        <f>VLOOKUP(WWWW[[#This Row],[Site Name]],SiteDB6[[Site Name]:[CCCM Management]],6,FALSE)</f>
        <v>0</v>
      </c>
      <c r="DZ415" s="862" t="str">
        <f>VLOOKUP(WWWW[[#This Row],[Site Name]],SiteDB6[[Site Name]:[CCCM Focal Agency]],7,FALSE)</f>
        <v>KBC-MYT</v>
      </c>
      <c r="EA415" s="862" t="str">
        <f>VLOOKUP(WWWW[[#This Row],[Site Name]],SiteDB6[[Site Name]:[Location Type 1]],9,FALSE)</f>
        <v>Camp</v>
      </c>
      <c r="EB415" s="862" t="str">
        <f>VLOOKUP(WWWW[[#This Row],[Site Name]],SiteDB6[[Site Name]:[Type of Accommodation]],10,FALSE)</f>
        <v>Camp</v>
      </c>
      <c r="EC415" s="862" t="str">
        <f>VLOOKUP(WWWW[[#This Row],[Site Name]],SiteDB6[[Site Name]:[Ethnic or GCA/NGCA]],11,FALSE)</f>
        <v>GCA</v>
      </c>
      <c r="ED415" s="862">
        <f>VLOOKUP(WWWW[[#This Row],[Site Name]],SiteDB6[[Site Name]:[Lat]],12,FALSE)</f>
        <v>0</v>
      </c>
      <c r="EE415" s="862">
        <f>VLOOKUP(WWWW[[#This Row],[Site Name]],SiteDB6[[Site Name]:[Long]],13,FALSE)</f>
        <v>0</v>
      </c>
      <c r="EF415" s="862" t="str">
        <f>VLOOKUP(WWWW[[#This Row],[Site Name]],SiteDB6[[Site Name]:[Pcode]],3,FALSE)</f>
        <v>MMR001CMP265</v>
      </c>
      <c r="EG415" s="865" t="str">
        <f t="shared" si="12"/>
        <v>Covered</v>
      </c>
      <c r="EH415" s="865" t="str">
        <f>VLOOKUP(WWWW[[#This Row],[Site Name]],Site_DB!$C$389:$D$1120,2,FALSE)</f>
        <v>cccm_2019OCT</v>
      </c>
    </row>
    <row r="416" spans="1:138">
      <c r="A416" s="860" t="s">
        <v>3263</v>
      </c>
      <c r="B416" s="860" t="s">
        <v>38</v>
      </c>
      <c r="C416" s="861" t="s">
        <v>38</v>
      </c>
      <c r="D416" s="861" t="s">
        <v>244</v>
      </c>
      <c r="E416" s="861" t="s">
        <v>39</v>
      </c>
      <c r="F416" s="861" t="s">
        <v>162</v>
      </c>
      <c r="G416" s="721" t="str">
        <f>VLOOKUP(WWWW[[#This Row],[Site Name]],SiteDB6[[Site Name]:[Location Type]],8,FALSE)</f>
        <v>Camp</v>
      </c>
      <c r="H416" s="861" t="s">
        <v>1111</v>
      </c>
      <c r="I416" s="851">
        <v>14</v>
      </c>
      <c r="J416" s="851">
        <v>39</v>
      </c>
      <c r="K416" s="863">
        <v>43810</v>
      </c>
      <c r="L416" s="859">
        <v>44175</v>
      </c>
      <c r="M416" s="851"/>
      <c r="N416" s="851">
        <v>2</v>
      </c>
      <c r="O416" s="851"/>
      <c r="P416" s="851"/>
      <c r="Q416" s="864" t="s">
        <v>43</v>
      </c>
      <c r="R416" s="851">
        <v>1</v>
      </c>
      <c r="S416" s="851">
        <v>2</v>
      </c>
      <c r="T416" s="523"/>
      <c r="U416" s="851"/>
      <c r="V416" s="851"/>
      <c r="W416" s="851">
        <v>1</v>
      </c>
      <c r="X416" s="851"/>
      <c r="Y416" s="851"/>
      <c r="Z416" s="851"/>
      <c r="AA416" s="851"/>
      <c r="AB416" s="851"/>
      <c r="AC416" s="851"/>
      <c r="AD416" s="851"/>
      <c r="AE416" s="851"/>
      <c r="AF416" s="851"/>
      <c r="AG416" s="851"/>
      <c r="AH416" s="851">
        <v>14</v>
      </c>
      <c r="AI416" s="851">
        <v>1</v>
      </c>
      <c r="AJ416" s="851"/>
      <c r="AK416" s="851">
        <v>2</v>
      </c>
      <c r="AL416" s="851">
        <v>1</v>
      </c>
      <c r="AM416" s="851"/>
      <c r="AN416" s="851"/>
      <c r="AO416" s="865"/>
      <c r="AP416" s="851"/>
      <c r="AQ416" s="851"/>
      <c r="AR416" s="866"/>
      <c r="AS416" s="851"/>
      <c r="AT416" s="851"/>
      <c r="AU416" s="851"/>
      <c r="AV416" s="851"/>
      <c r="AW416" s="851"/>
      <c r="AX416" s="862" t="s">
        <v>43</v>
      </c>
      <c r="AY416" s="865" t="s">
        <v>140</v>
      </c>
      <c r="AZ416" s="851"/>
      <c r="BA416" s="851"/>
      <c r="BB416" s="851"/>
      <c r="BC416" s="523"/>
      <c r="BD416" s="523"/>
      <c r="BE416" s="862"/>
      <c r="BF416" s="851">
        <v>2</v>
      </c>
      <c r="BG416" s="851"/>
      <c r="BH416" s="851"/>
      <c r="BI416" s="851">
        <v>2</v>
      </c>
      <c r="BJ416" s="851"/>
      <c r="BK416" s="851"/>
      <c r="BL416" s="851">
        <v>0</v>
      </c>
      <c r="BM416" s="851">
        <v>6</v>
      </c>
      <c r="BN416" s="851"/>
      <c r="BO416" s="862" t="s">
        <v>139</v>
      </c>
      <c r="BP416" s="867"/>
      <c r="BQ416" s="866"/>
      <c r="BR416" s="862"/>
      <c r="BS416" s="472">
        <v>0.3</v>
      </c>
      <c r="BT416" s="472">
        <v>0.3</v>
      </c>
      <c r="BU416" s="523"/>
      <c r="BV416" s="472"/>
      <c r="BW416" s="523"/>
      <c r="BX416" s="523"/>
      <c r="BY416" s="523"/>
      <c r="BZ416" s="868">
        <f>IFERROR(WWWW[[#This Row],['#_Water sources passed]]/WWWW[[#This Row],['#_Water sources tested for fecal coliform ]],"no test")</f>
        <v>0</v>
      </c>
      <c r="CA416" s="866">
        <f>IFERROR(WWWW[[#This Row],['#_Household passed]]/WWWW[[#This Row],['#_Household water samples tested for fecal coliform]],"no test")</f>
        <v>0.5</v>
      </c>
      <c r="CB416" s="867" t="str">
        <f>IF(AND(WWWW[[#This Row],[% of water sources passed]]="no test",WWWW[[#This Row],[% Household passed]]="no test"),"No Test","Tested")</f>
        <v>Tested</v>
      </c>
      <c r="CC416" s="867">
        <f>WWWW[[#This Row],['#_Constructed/existing protected hand dug well]]-WWWW[[#This Row],['#_Non-functional protected hand dug well]]</f>
        <v>0</v>
      </c>
      <c r="CD416" s="867">
        <f>(WWWW[[#This Row],['#_Constructed/Existing tube wells/boreholes/handpumps_WASH_agency]]+WWWW[[#This Row],['#_Non-Cluster partner water tube-wells/boreholes/handpumps]])-WWWW[[#This Row],['#_Non-functional tube wells/boreholes/handpumps]]</f>
        <v>1</v>
      </c>
      <c r="CE416" s="867">
        <f>WWWW[[#This Row],['#_Constructed/Existingwater storage tank with gravity fed reticulation system]]-WWWW[[#This Row],['#_Non-functional storage tank gravity fed reticulation system]]</f>
        <v>0</v>
      </c>
      <c r="CF416" s="867">
        <f>(WWWW[[#This Row],['#_Water_Liters_supplied_by_Water boating or water trucking]]/90)/15</f>
        <v>0</v>
      </c>
      <c r="CG416" s="867">
        <f>WWWW[[#This Row],['#_Water_Liters_from_Constructed/Existing water distribution system from river or natural spring]]/90/15</f>
        <v>0</v>
      </c>
      <c r="CH416" s="473">
        <f>WWWW[[#This Row],['#_of water points in TLS/CFS /THF]]*500</f>
        <v>0</v>
      </c>
      <c r="CI41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16" s="866">
        <f>IF(WWWW[[#This Row],[Location Type 1]]="Village",WWWW[[#This Row],[Access to safe drinking water for Village]],WWWW[[#This Row],[Access to safe drinking water for Camp]])</f>
        <v>1</v>
      </c>
      <c r="CL416" s="864">
        <f>WWWW[[#This Row],[%Equitable and continuous access to sufficient quantity of safe drinking water]]*WWWW[[#This Row],[Total PoP ]]</f>
        <v>39</v>
      </c>
      <c r="CM416" s="866">
        <f>IF((WWWW[[#This Row],['#_Constructed/Existing protected/fenced ponds]]*250)/WWWW[[#This Row],[Total PoP ]]&gt;1,1,(WWWW[[#This Row],['#_Constructed/Existing protected/fenced ponds]]*250)/WWWW[[#This Row],[Total PoP ]])</f>
        <v>0</v>
      </c>
      <c r="CN416" s="864">
        <f>WWWW[[#This Row],[% Access to unimproved water points]]*WWWW[[#This Row],[Total PoP ]]</f>
        <v>0</v>
      </c>
      <c r="CO41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Q416" s="864">
        <f>WWWW[[#This Row],[HRP1]]/500</f>
        <v>7.8E-2</v>
      </c>
      <c r="CR416" s="869">
        <f>1-WWWW[[#This Row],[% Equitable and continuous access to sufficient quantity of domestic water]]</f>
        <v>0</v>
      </c>
      <c r="CS416" s="864">
        <f>WWWW[[#This Row],[%equitable and continuous access to sufficient quantity of safe drinking and domestic water''s GAP]]*WWWW[[#This Row],[Total PoP ]]</f>
        <v>0</v>
      </c>
      <c r="CT416" s="867">
        <f>IF(WWWW[[#This Row],[Total required water points]]-WWWW[[#This Row],['#Water points coverage]]&lt;0,0,WWWW[[#This Row],[Total required water points]]-WWWW[[#This Row],['#Water points coverage]])</f>
        <v>0.92200000000000004</v>
      </c>
      <c r="CU416" s="867">
        <f>ROUND(IF(WWWW[[#This Row],[Total PoP ]]&lt;500,1,WWWW[[#This Row],[Total PoP ]]/500),0)</f>
        <v>1</v>
      </c>
      <c r="CV416" s="867">
        <f>(WWWW[[#This Row],['#_Constructed latrines_by_WASHAgencies]]+WWWW[[#This Row],['#_Non Cluster partner latrines]])-WWWW[[#This Row],['#_Non-functional latrines]]</f>
        <v>0</v>
      </c>
      <c r="CW416" s="804">
        <f>WWWW[[#This Row],[HRP2]]/WWWW[[#This Row],[Total PoP ]]</f>
        <v>0</v>
      </c>
      <c r="CX41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1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6" s="473">
        <f>IF(WWWW[[#This Row],['# of functional latrines in THF supported by WASH partners during the reporting period2]]="",0,WWWW[[#This Row],['# of functional latrines in THF supported by WASH partners during the reporting period2]]*50)</f>
        <v>0</v>
      </c>
      <c r="DB416" s="473">
        <f>WWWW[[#This Row],['# students access to functioning school latrines_HRP5]]+WWWW[[#This Row],['# People access to functioning latrines in THF_HRP5]]</f>
        <v>0</v>
      </c>
      <c r="DC416" s="867">
        <f>ROUND(IF(WWWW[[#This Row],[Location Type 1]]="camp",WWWW[[#This Row],[Total PoP ]]/20,IF(WWWW[[#This Row],[Location Type 1]]="Temporary Location",WWWW[[#This Row],[Total PoP ]]/50,(WWWW[[#This Row],[Total PoP ]]/6))),0)</f>
        <v>2</v>
      </c>
      <c r="DD416" s="867">
        <f>IF(WWWW[[#This Row],[Total required Latrines]]-(WWWW[[#This Row],['#_Constructed latrines_by_WASHAgencies]]+WWWW[[#This Row],['#_Non Cluster partner latrines]])&lt;0,0,WWWW[[#This Row],[Total required Latrines]]-(WWWW[[#This Row],['#_Constructed latrines_by_WASHAgencies]]+WWWW[[#This Row],['#_Non Cluster partner latrines]]))</f>
        <v>2</v>
      </c>
      <c r="DE416" s="869">
        <f>1-WWWW[[#This Row],[% people access to functioning Latrine]]</f>
        <v>1</v>
      </c>
      <c r="DF416" s="868">
        <f>IF(OR(WWWW[[#This Row],['#_Non-functional latrines]]="",WWWW[[#This Row],['#_Non-functional latrines]]=0),0,WWWW[[#This Row],['#_Non-functional latrines]]/(WWWW[[#This Row],['#_Constructed latrines_by_WASHAgencies]]+WWWW[[#This Row],['#_Non Cluster partner latrines]]))</f>
        <v>0</v>
      </c>
      <c r="DG416" s="864">
        <f>IF(500*(WWWW[[#This Row],['#_male hygiene promoters]]+WWWW[[#This Row],['#_female hygiene promoters]])&gt;WWWW[[#This Row],[Total PoP ]],WWWW[[#This Row],[Total PoP ]],500*(WWWW[[#This Row],['#_male hygiene promoters]]+WWWW[[#This Row],['#_female hygiene promoters]]))</f>
        <v>0</v>
      </c>
      <c r="DH41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1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6" s="867">
        <f>IF(WWWW[[#This Row],['# People with access to soap]]&gt;WWWW[[#This Row],['# People with access to Sanity Pads]],WWWW[[#This Row],['# People with access to soap]],WWWW[[#This Row],['# People with access to Sanity Pads]])</f>
        <v>30</v>
      </c>
      <c r="DK416" s="867">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416" s="869">
        <f>IF(WWWW[[#This Row],[HRP3]]/WWWW[[#This Row],[Total PoP ]]&gt;1,1,WWWW[[#This Row],[HRP3]]/WWWW[[#This Row],[Total PoP ]])</f>
        <v>0.76923076923076927</v>
      </c>
      <c r="DM416" s="868">
        <f>1-WWWW[[#This Row],[Hygiene Coverage%]]</f>
        <v>0.23076923076923073</v>
      </c>
      <c r="DN416" s="866">
        <f>WWWW[[#This Row],['# people reached by regular dedicated hygiene promotion_5]]/WWWW[[#This Row],[Total PoP ]]</f>
        <v>0</v>
      </c>
      <c r="DO41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1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6" s="867">
        <f>WWWW[[#This Row],['#_Constructed/Existing hand washing stations]]-WWWW[[#This Row],['#_Non-Functional_hand_washing_stations]]</f>
        <v>2</v>
      </c>
      <c r="DR416" s="864">
        <f>IF(WWWW[[#This Row],['# Functional hand washing stations during reporting period]]*20&gt;WWWW[[#This Row],[Total HH]],WWWW[[#This Row],[Total HH]],WWWW[[#This Row],['# Functional hand washing stations during reporting period]]*20)</f>
        <v>14</v>
      </c>
      <c r="DS416" s="864">
        <f>IF(WWWW[[#This Row],[Is sufficient soap available for TLS? (Yes/No)]]="yes",WWWW[[#This Row],['#_Constructed/Existing hand washing stations at TLS]],0)</f>
        <v>0</v>
      </c>
      <c r="DT416" s="479">
        <f>IF(WWWW[[#This Row],['# Functional hand washing stations during reporting period]]*100&gt;WWWW[[#This Row],[Total PoP ]],WWWW[[#This Row],[Total PoP ]],WWWW[[#This Row],['# Functional hand washing stations during reporting period]]*100)</f>
        <v>39</v>
      </c>
      <c r="DU416" s="479" t="str">
        <f>IF(OR(WWWW[[#This Row],['#_students at TLS_CFS]]="",WWWW[[#This Row],['#_students at TLS_CFS]]=0),"No","Yes")</f>
        <v>No</v>
      </c>
      <c r="DV41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6" s="862">
        <f>VLOOKUP(WWWW[[#This Row],[Site Name]],SiteDB6[[Site Name]:[CCCM Management]],6,FALSE)</f>
        <v>0</v>
      </c>
      <c r="DZ416" s="862" t="str">
        <f>VLOOKUP(WWWW[[#This Row],[Site Name]],SiteDB6[[Site Name]:[CCCM Focal Agency]],7,FALSE)</f>
        <v>KMSS-MYT</v>
      </c>
      <c r="EA416" s="862" t="str">
        <f>VLOOKUP(WWWW[[#This Row],[Site Name]],SiteDB6[[Site Name]:[Location Type 1]],9,FALSE)</f>
        <v>Camp</v>
      </c>
      <c r="EB416" s="862" t="str">
        <f>VLOOKUP(WWWW[[#This Row],[Site Name]],SiteDB6[[Site Name]:[Type of Accommodation]],10,FALSE)</f>
        <v>Camp</v>
      </c>
      <c r="EC416" s="862" t="str">
        <f>VLOOKUP(WWWW[[#This Row],[Site Name]],SiteDB6[[Site Name]:[Ethnic or GCA/NGCA]],11,FALSE)</f>
        <v>GCA</v>
      </c>
      <c r="ED416" s="862">
        <f>VLOOKUP(WWWW[[#This Row],[Site Name]],SiteDB6[[Site Name]:[Lat]],12,FALSE)</f>
        <v>0</v>
      </c>
      <c r="EE416" s="862">
        <f>VLOOKUP(WWWW[[#This Row],[Site Name]],SiteDB6[[Site Name]:[Long]],13,FALSE)</f>
        <v>0</v>
      </c>
      <c r="EF416" s="862" t="str">
        <f>VLOOKUP(WWWW[[#This Row],[Site Name]],SiteDB6[[Site Name]:[Pcode]],3,FALSE)</f>
        <v>MMR001CMP256</v>
      </c>
      <c r="EG416" s="865" t="str">
        <f t="shared" si="12"/>
        <v>Covered</v>
      </c>
      <c r="EH416" s="865" t="str">
        <f>VLOOKUP(WWWW[[#This Row],[Site Name]],Site_DB!$C$389:$D$1120,2,FALSE)</f>
        <v>cccm_2019OCT</v>
      </c>
    </row>
    <row r="417" spans="1:138">
      <c r="A417" s="860" t="s">
        <v>3263</v>
      </c>
      <c r="B417" s="860" t="s">
        <v>144</v>
      </c>
      <c r="C417" s="861" t="s">
        <v>144</v>
      </c>
      <c r="D417" s="861"/>
      <c r="E417" s="861" t="s">
        <v>39</v>
      </c>
      <c r="F417" s="861" t="s">
        <v>162</v>
      </c>
      <c r="G417" s="721" t="str">
        <f>VLOOKUP(WWWW[[#This Row],[Site Name]],SiteDB6[[Site Name]:[Location Type]],8,FALSE)</f>
        <v>Camp_not registered</v>
      </c>
      <c r="H417" s="861" t="s">
        <v>2080</v>
      </c>
      <c r="I417" s="851">
        <v>51</v>
      </c>
      <c r="J417" s="851">
        <v>252</v>
      </c>
      <c r="K417" s="863"/>
      <c r="L417" s="859"/>
      <c r="M417" s="851"/>
      <c r="N417" s="851"/>
      <c r="O417" s="851"/>
      <c r="P417" s="851"/>
      <c r="Q417" s="864"/>
      <c r="R417" s="851"/>
      <c r="S417" s="851">
        <v>4</v>
      </c>
      <c r="T417" s="523">
        <v>0</v>
      </c>
      <c r="U417" s="851"/>
      <c r="V417" s="851"/>
      <c r="W417" s="851">
        <v>0</v>
      </c>
      <c r="X417" s="851"/>
      <c r="Y417" s="851"/>
      <c r="Z417" s="851"/>
      <c r="AA417" s="851"/>
      <c r="AB417" s="851"/>
      <c r="AC417" s="851"/>
      <c r="AD417" s="851"/>
      <c r="AE417" s="851"/>
      <c r="AF417" s="851"/>
      <c r="AG417" s="851"/>
      <c r="AH417" s="851">
        <v>0</v>
      </c>
      <c r="AI417" s="851"/>
      <c r="AJ417" s="851"/>
      <c r="AK417" s="851"/>
      <c r="AL417" s="851"/>
      <c r="AM417" s="851"/>
      <c r="AN417" s="851"/>
      <c r="AO417" s="865"/>
      <c r="AP417" s="851">
        <v>0</v>
      </c>
      <c r="AQ417" s="851"/>
      <c r="AR417" s="866"/>
      <c r="AS417" s="851"/>
      <c r="AT417" s="851"/>
      <c r="AU417" s="851"/>
      <c r="AV417" s="851"/>
      <c r="AW417" s="851">
        <v>0</v>
      </c>
      <c r="AX417" s="862" t="s">
        <v>143</v>
      </c>
      <c r="AY417" s="865" t="s">
        <v>143</v>
      </c>
      <c r="AZ417" s="851"/>
      <c r="BA417" s="851"/>
      <c r="BB417" s="851"/>
      <c r="BC417" s="523"/>
      <c r="BD417" s="523"/>
      <c r="BE417" s="862"/>
      <c r="BF417" s="851"/>
      <c r="BG417" s="851"/>
      <c r="BH417" s="851"/>
      <c r="BI417" s="851">
        <v>0</v>
      </c>
      <c r="BJ417" s="851"/>
      <c r="BK417" s="851"/>
      <c r="BL417" s="851"/>
      <c r="BM417" s="851"/>
      <c r="BN417" s="851"/>
      <c r="BO417" s="862"/>
      <c r="BP417" s="867"/>
      <c r="BQ417" s="866"/>
      <c r="BR417" s="862"/>
      <c r="BS417" s="472"/>
      <c r="BT417" s="472"/>
      <c r="BU417" s="474"/>
      <c r="BV417" s="472"/>
      <c r="BW417" s="523"/>
      <c r="BX417" s="523"/>
      <c r="BY417" s="523"/>
      <c r="BZ417" s="868" t="str">
        <f>IFERROR(WWWW[[#This Row],['#_Water sources passed]]/WWWW[[#This Row],['#_Water sources tested for fecal coliform ]],"no test")</f>
        <v>no test</v>
      </c>
      <c r="CA417" s="866" t="str">
        <f>IFERROR(WWWW[[#This Row],['#_Household passed]]/WWWW[[#This Row],['#_Household water samples tested for fecal coliform]],"no test")</f>
        <v>no test</v>
      </c>
      <c r="CB417" s="867" t="str">
        <f>IF(AND(WWWW[[#This Row],[% of water sources passed]]="no test",WWWW[[#This Row],[% Household passed]]="no test"),"No Test","Tested")</f>
        <v>No Test</v>
      </c>
      <c r="CC417" s="867">
        <f>WWWW[[#This Row],['#_Constructed/existing protected hand dug well]]-WWWW[[#This Row],['#_Non-functional protected hand dug well]]</f>
        <v>0</v>
      </c>
      <c r="CD417" s="867">
        <f>(WWWW[[#This Row],['#_Constructed/Existing tube wells/boreholes/handpumps_WASH_agency]]+WWWW[[#This Row],['#_Non-Cluster partner water tube-wells/boreholes/handpumps]])-WWWW[[#This Row],['#_Non-functional tube wells/boreholes/handpumps]]</f>
        <v>0</v>
      </c>
      <c r="CE417" s="867">
        <f>WWWW[[#This Row],['#_Constructed/Existingwater storage tank with gravity fed reticulation system]]-WWWW[[#This Row],['#_Non-functional storage tank gravity fed reticulation system]]</f>
        <v>0</v>
      </c>
      <c r="CF417" s="867">
        <f>(WWWW[[#This Row],['#_Water_Liters_supplied_by_Water boating or water trucking]]/90)/15</f>
        <v>0</v>
      </c>
      <c r="CG417" s="867">
        <f>WWWW[[#This Row],['#_Water_Liters_from_Constructed/Existing water distribution system from river or natural spring]]/90/15</f>
        <v>0</v>
      </c>
      <c r="CH417" s="473">
        <f>WWWW[[#This Row],['#_of water points in TLS/CFS /THF]]*500</f>
        <v>0</v>
      </c>
      <c r="CI41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1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17" s="866">
        <f>IF(WWWW[[#This Row],[Location Type 1]]="Village",WWWW[[#This Row],[Access to safe drinking water for Village]],WWWW[[#This Row],[Access to safe drinking water for Camp]])</f>
        <v>0</v>
      </c>
      <c r="CL417" s="864">
        <f>WWWW[[#This Row],[%Equitable and continuous access to sufficient quantity of safe drinking water]]*WWWW[[#This Row],[Total PoP ]]</f>
        <v>0</v>
      </c>
      <c r="CM417" s="866">
        <f>IF((WWWW[[#This Row],['#_Constructed/Existing protected/fenced ponds]]*250)/WWWW[[#This Row],[Total PoP ]]&gt;1,1,(WWWW[[#This Row],['#_Constructed/Existing protected/fenced ponds]]*250)/WWWW[[#This Row],[Total PoP ]])</f>
        <v>0</v>
      </c>
      <c r="CN417" s="864">
        <f>WWWW[[#This Row],[% Access to unimproved water points]]*WWWW[[#This Row],[Total PoP ]]</f>
        <v>0</v>
      </c>
      <c r="CO41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1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17" s="864">
        <f>WWWW[[#This Row],[HRP1]]/500</f>
        <v>0</v>
      </c>
      <c r="CR417" s="869">
        <f>1-WWWW[[#This Row],[% Equitable and continuous access to sufficient quantity of domestic water]]</f>
        <v>1</v>
      </c>
      <c r="CS417" s="864">
        <f>WWWW[[#This Row],[%equitable and continuous access to sufficient quantity of safe drinking and domestic water''s GAP]]*WWWW[[#This Row],[Total PoP ]]</f>
        <v>252</v>
      </c>
      <c r="CT417" s="867">
        <f>IF(WWWW[[#This Row],[Total required water points]]-WWWW[[#This Row],['#Water points coverage]]&lt;0,0,WWWW[[#This Row],[Total required water points]]-WWWW[[#This Row],['#Water points coverage]])</f>
        <v>1</v>
      </c>
      <c r="CU417" s="867">
        <f>ROUND(IF(WWWW[[#This Row],[Total PoP ]]&lt;500,1,WWWW[[#This Row],[Total PoP ]]/500),0)</f>
        <v>1</v>
      </c>
      <c r="CV417" s="867">
        <f>(WWWW[[#This Row],['#_Constructed latrines_by_WASHAgencies]]+WWWW[[#This Row],['#_Non Cluster partner latrines]])-WWWW[[#This Row],['#_Non-functional latrines]]</f>
        <v>0</v>
      </c>
      <c r="CW417" s="804">
        <f>WWWW[[#This Row],[HRP2]]/WWWW[[#This Row],[Total PoP ]]</f>
        <v>0</v>
      </c>
      <c r="CX41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1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7" s="473">
        <f>IF(WWWW[[#This Row],['# of functional latrines in THF supported by WASH partners during the reporting period2]]="",0,WWWW[[#This Row],['# of functional latrines in THF supported by WASH partners during the reporting period2]]*50)</f>
        <v>0</v>
      </c>
      <c r="DB417" s="473">
        <f>WWWW[[#This Row],['# students access to functioning school latrines_HRP5]]+WWWW[[#This Row],['# People access to functioning latrines in THF_HRP5]]</f>
        <v>0</v>
      </c>
      <c r="DC417" s="867">
        <f>ROUND(IF(WWWW[[#This Row],[Location Type 1]]="camp",WWWW[[#This Row],[Total PoP ]]/20,IF(WWWW[[#This Row],[Location Type 1]]="Temporary Location",WWWW[[#This Row],[Total PoP ]]/50,(WWWW[[#This Row],[Total PoP ]]/6))),0)</f>
        <v>13</v>
      </c>
      <c r="DD417" s="867">
        <f>IF(WWWW[[#This Row],[Total required Latrines]]-(WWWW[[#This Row],['#_Constructed latrines_by_WASHAgencies]]+WWWW[[#This Row],['#_Non Cluster partner latrines]])&lt;0,0,WWWW[[#This Row],[Total required Latrines]]-(WWWW[[#This Row],['#_Constructed latrines_by_WASHAgencies]]+WWWW[[#This Row],['#_Non Cluster partner latrines]]))</f>
        <v>13</v>
      </c>
      <c r="DE417" s="869">
        <f>1-WWWW[[#This Row],[% people access to functioning Latrine]]</f>
        <v>1</v>
      </c>
      <c r="DF417" s="868">
        <f>IF(OR(WWWW[[#This Row],['#_Non-functional latrines]]="",WWWW[[#This Row],['#_Non-functional latrines]]=0),0,WWWW[[#This Row],['#_Non-functional latrines]]/(WWWW[[#This Row],['#_Constructed latrines_by_WASHAgencies]]+WWWW[[#This Row],['#_Non Cluster partner latrines]]))</f>
        <v>0</v>
      </c>
      <c r="DG417" s="864">
        <f>IF(500*(WWWW[[#This Row],['#_male hygiene promoters]]+WWWW[[#This Row],['#_female hygiene promoters]])&gt;WWWW[[#This Row],[Total PoP ]],WWWW[[#This Row],[Total PoP ]],500*(WWWW[[#This Row],['#_male hygiene promoters]]+WWWW[[#This Row],['#_female hygiene promoters]]))</f>
        <v>0</v>
      </c>
      <c r="DH41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7" s="867">
        <f>IF(WWWW[[#This Row],['# People with access to soap]]&gt;WWWW[[#This Row],['# People with access to Sanity Pads]],WWWW[[#This Row],['# People with access to soap]],WWWW[[#This Row],['# People with access to Sanity Pads]])</f>
        <v>0</v>
      </c>
      <c r="DK417"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17" s="869">
        <f>IF(WWWW[[#This Row],[HRP3]]/WWWW[[#This Row],[Total PoP ]]&gt;1,1,WWWW[[#This Row],[HRP3]]/WWWW[[#This Row],[Total PoP ]])</f>
        <v>0</v>
      </c>
      <c r="DM417" s="868">
        <f>1-WWWW[[#This Row],[Hygiene Coverage%]]</f>
        <v>1</v>
      </c>
      <c r="DN417" s="866">
        <f>WWWW[[#This Row],['# people reached by regular dedicated hygiene promotion_5]]/WWWW[[#This Row],[Total PoP ]]</f>
        <v>0</v>
      </c>
      <c r="DO41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7" s="867">
        <f>WWWW[[#This Row],['#_Constructed/Existing hand washing stations]]-WWWW[[#This Row],['#_Non-Functional_hand_washing_stations]]</f>
        <v>0</v>
      </c>
      <c r="DR417" s="864">
        <f>IF(WWWW[[#This Row],['# Functional hand washing stations during reporting period]]*20&gt;WWWW[[#This Row],[Total HH]],WWWW[[#This Row],[Total HH]],WWWW[[#This Row],['# Functional hand washing stations during reporting period]]*20)</f>
        <v>0</v>
      </c>
      <c r="DS417" s="864">
        <f>IF(WWWW[[#This Row],[Is sufficient soap available for TLS? (Yes/No)]]="yes",WWWW[[#This Row],['#_Constructed/Existing hand washing stations at TLS]],0)</f>
        <v>0</v>
      </c>
      <c r="DT417" s="479">
        <f>IF(WWWW[[#This Row],['# Functional hand washing stations during reporting period]]*100&gt;WWWW[[#This Row],[Total PoP ]],WWWW[[#This Row],[Total PoP ]],WWWW[[#This Row],['# Functional hand washing stations during reporting period]]*100)</f>
        <v>0</v>
      </c>
      <c r="DU417" s="479" t="str">
        <f>IF(OR(WWWW[[#This Row],['#_students at TLS_CFS]]="",WWWW[[#This Row],['#_students at TLS_CFS]]=0),"No","Yes")</f>
        <v>No</v>
      </c>
      <c r="DV41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7" s="862">
        <f>VLOOKUP(WWWW[[#This Row],[Site Name]],SiteDB6[[Site Name]:[CCCM Management]],6,FALSE)</f>
        <v>0</v>
      </c>
      <c r="DZ417" s="862">
        <f>VLOOKUP(WWWW[[#This Row],[Site Name]],SiteDB6[[Site Name]:[CCCM Focal Agency]],7,FALSE)</f>
        <v>0</v>
      </c>
      <c r="EA417" s="862" t="str">
        <f>VLOOKUP(WWWW[[#This Row],[Site Name]],SiteDB6[[Site Name]:[Location Type 1]],9,FALSE)</f>
        <v>Camp</v>
      </c>
      <c r="EB417" s="862" t="str">
        <f>VLOOKUP(WWWW[[#This Row],[Site Name]],SiteDB6[[Site Name]:[Type of Accommodation]],10,FALSE)</f>
        <v>Camp like setting</v>
      </c>
      <c r="EC417" s="862" t="str">
        <f>VLOOKUP(WWWW[[#This Row],[Site Name]],SiteDB6[[Site Name]:[Ethnic or GCA/NGCA]],11,FALSE)</f>
        <v>NGCA</v>
      </c>
      <c r="ED417" s="862">
        <f>VLOOKUP(WWWW[[#This Row],[Site Name]],SiteDB6[[Site Name]:[Lat]],12,FALSE)</f>
        <v>0</v>
      </c>
      <c r="EE417" s="862">
        <f>VLOOKUP(WWWW[[#This Row],[Site Name]],SiteDB6[[Site Name]:[Long]],13,FALSE)</f>
        <v>0</v>
      </c>
      <c r="EF417" s="862">
        <f>VLOOKUP(WWWW[[#This Row],[Site Name]],SiteDB6[[Site Name]:[Pcode]],3,FALSE)</f>
        <v>0</v>
      </c>
      <c r="EG417" s="865" t="str">
        <f t="shared" si="12"/>
        <v>Covered</v>
      </c>
      <c r="EH417" s="865">
        <f>VLOOKUP(WWWW[[#This Row],[Site Name]],Site_DB!$C$389:$D$1120,2,FALSE)</f>
        <v>0</v>
      </c>
    </row>
    <row r="418" spans="1:138">
      <c r="A418" s="860" t="s">
        <v>3263</v>
      </c>
      <c r="B418" s="860" t="s">
        <v>144</v>
      </c>
      <c r="C418" s="861" t="s">
        <v>144</v>
      </c>
      <c r="D418" s="861" t="s">
        <v>3277</v>
      </c>
      <c r="E418" s="861" t="s">
        <v>39</v>
      </c>
      <c r="F418" s="861" t="s">
        <v>176</v>
      </c>
      <c r="G418" s="721" t="str">
        <f>VLOOKUP(WWWW[[#This Row],[Site Name]],SiteDB6[[Site Name]:[Location Type]],8,FALSE)</f>
        <v>Camp</v>
      </c>
      <c r="H418" s="861" t="s">
        <v>177</v>
      </c>
      <c r="I418" s="851">
        <v>60</v>
      </c>
      <c r="J418" s="851">
        <v>289</v>
      </c>
      <c r="K418" s="863" t="s">
        <v>3278</v>
      </c>
      <c r="L418" s="859" t="s">
        <v>3279</v>
      </c>
      <c r="M418" s="851"/>
      <c r="N418" s="851"/>
      <c r="O418" s="851"/>
      <c r="P418" s="851"/>
      <c r="Q418" s="864" t="s">
        <v>43</v>
      </c>
      <c r="R418" s="851"/>
      <c r="S418" s="851"/>
      <c r="T418" s="523">
        <v>1</v>
      </c>
      <c r="U418" s="851"/>
      <c r="V418" s="851"/>
      <c r="W418" s="851"/>
      <c r="X418" s="851"/>
      <c r="Y418" s="851"/>
      <c r="Z418" s="851"/>
      <c r="AA418" s="851"/>
      <c r="AB418" s="851"/>
      <c r="AC418" s="851"/>
      <c r="AD418" s="851"/>
      <c r="AE418" s="851">
        <v>1</v>
      </c>
      <c r="AF418" s="851"/>
      <c r="AG418" s="851"/>
      <c r="AH418" s="851">
        <v>1</v>
      </c>
      <c r="AI418" s="851"/>
      <c r="AJ418" s="851"/>
      <c r="AK418" s="851"/>
      <c r="AL418" s="851"/>
      <c r="AM418" s="851"/>
      <c r="AN418" s="851"/>
      <c r="AO418" s="865"/>
      <c r="AP418" s="851">
        <v>12</v>
      </c>
      <c r="AQ418" s="851"/>
      <c r="AR418" s="866"/>
      <c r="AS418" s="851"/>
      <c r="AT418" s="851"/>
      <c r="AU418" s="851"/>
      <c r="AV418" s="851"/>
      <c r="AW418" s="851">
        <v>12</v>
      </c>
      <c r="AX418" s="862" t="s">
        <v>43</v>
      </c>
      <c r="AY418" s="865" t="s">
        <v>140</v>
      </c>
      <c r="AZ418" s="851"/>
      <c r="BA418" s="851"/>
      <c r="BB418" s="851"/>
      <c r="BC418" s="523"/>
      <c r="BD418" s="523"/>
      <c r="BE418" s="862"/>
      <c r="BF418" s="851">
        <v>4</v>
      </c>
      <c r="BG418" s="851"/>
      <c r="BH418" s="851"/>
      <c r="BI418" s="851">
        <v>2</v>
      </c>
      <c r="BJ418" s="851"/>
      <c r="BK418" s="851"/>
      <c r="BL418" s="851">
        <v>2</v>
      </c>
      <c r="BM418" s="851"/>
      <c r="BN418" s="851"/>
      <c r="BO418" s="862"/>
      <c r="BP418" s="867"/>
      <c r="BQ418" s="866"/>
      <c r="BR418" s="862"/>
      <c r="BS418" s="472"/>
      <c r="BT418" s="472"/>
      <c r="BU418" s="474"/>
      <c r="BV418" s="472"/>
      <c r="BW418" s="523"/>
      <c r="BX418" s="523"/>
      <c r="BY418" s="523"/>
      <c r="BZ418" s="868" t="str">
        <f>IFERROR(WWWW[[#This Row],['#_Water sources passed]]/WWWW[[#This Row],['#_Water sources tested for fecal coliform ]],"no test")</f>
        <v>no test</v>
      </c>
      <c r="CA418" s="866" t="str">
        <f>IFERROR(WWWW[[#This Row],['#_Household passed]]/WWWW[[#This Row],['#_Household water samples tested for fecal coliform]],"no test")</f>
        <v>no test</v>
      </c>
      <c r="CB418" s="867" t="str">
        <f>IF(AND(WWWW[[#This Row],[% of water sources passed]]="no test",WWWW[[#This Row],[% Household passed]]="no test"),"No Test","Tested")</f>
        <v>No Test</v>
      </c>
      <c r="CC418" s="867">
        <f>WWWW[[#This Row],['#_Constructed/existing protected hand dug well]]-WWWW[[#This Row],['#_Non-functional protected hand dug well]]</f>
        <v>1</v>
      </c>
      <c r="CD418" s="867">
        <f>(WWWW[[#This Row],['#_Constructed/Existing tube wells/boreholes/handpumps_WASH_agency]]+WWWW[[#This Row],['#_Non-Cluster partner water tube-wells/boreholes/handpumps]])-WWWW[[#This Row],['#_Non-functional tube wells/boreholes/handpumps]]</f>
        <v>0</v>
      </c>
      <c r="CE418" s="867">
        <f>WWWW[[#This Row],['#_Constructed/Existingwater storage tank with gravity fed reticulation system]]-WWWW[[#This Row],['#_Non-functional storage tank gravity fed reticulation system]]</f>
        <v>0</v>
      </c>
      <c r="CF418" s="867">
        <f>(WWWW[[#This Row],['#_Water_Liters_supplied_by_Water boating or water trucking]]/90)/15</f>
        <v>0</v>
      </c>
      <c r="CG418" s="867">
        <f>WWWW[[#This Row],['#_Water_Liters_from_Constructed/Existing water distribution system from river or natural spring]]/90/15</f>
        <v>0</v>
      </c>
      <c r="CH418" s="473">
        <f>WWWW[[#This Row],['#_of water points in TLS/CFS /THF]]*500</f>
        <v>0</v>
      </c>
      <c r="CI41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K418" s="866">
        <f>IF(WWWW[[#This Row],[Location Type 1]]="Village",WWWW[[#This Row],[Access to safe drinking water for Village]],WWWW[[#This Row],[Access to safe drinking water for Camp]])</f>
        <v>1</v>
      </c>
      <c r="CL418" s="864">
        <f>WWWW[[#This Row],[%Equitable and continuous access to sufficient quantity of safe drinking water]]*WWWW[[#This Row],[Total PoP ]]</f>
        <v>289</v>
      </c>
      <c r="CM418" s="866">
        <f>IF((WWWW[[#This Row],['#_Constructed/Existing protected/fenced ponds]]*250)/WWWW[[#This Row],[Total PoP ]]&gt;1,1,(WWWW[[#This Row],['#_Constructed/Existing protected/fenced ponds]]*250)/WWWW[[#This Row],[Total PoP ]])</f>
        <v>0.86505190311418689</v>
      </c>
      <c r="CN418" s="864">
        <f>WWWW[[#This Row],[% Access to unimproved water points]]*WWWW[[#This Row],[Total PoP ]]</f>
        <v>250</v>
      </c>
      <c r="CO41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Q418" s="864">
        <f>WWWW[[#This Row],[HRP1]]/500</f>
        <v>0.57799999999999996</v>
      </c>
      <c r="CR418" s="869">
        <f>1-WWWW[[#This Row],[% Equitable and continuous access to sufficient quantity of domestic water]]</f>
        <v>0</v>
      </c>
      <c r="CS418" s="864">
        <f>WWWW[[#This Row],[%equitable and continuous access to sufficient quantity of safe drinking and domestic water''s GAP]]*WWWW[[#This Row],[Total PoP ]]</f>
        <v>0</v>
      </c>
      <c r="CT418" s="867">
        <f>IF(WWWW[[#This Row],[Total required water points]]-WWWW[[#This Row],['#Water points coverage]]&lt;0,0,WWWW[[#This Row],[Total required water points]]-WWWW[[#This Row],['#Water points coverage]])</f>
        <v>0.42200000000000004</v>
      </c>
      <c r="CU418" s="867">
        <f>ROUND(IF(WWWW[[#This Row],[Total PoP ]]&lt;500,1,WWWW[[#This Row],[Total PoP ]]/500),0)</f>
        <v>1</v>
      </c>
      <c r="CV418" s="867">
        <f>(WWWW[[#This Row],['#_Constructed latrines_by_WASHAgencies]]+WWWW[[#This Row],['#_Non Cluster partner latrines]])-WWWW[[#This Row],['#_Non-functional latrines]]</f>
        <v>12</v>
      </c>
      <c r="CW418" s="804">
        <f>WWWW[[#This Row],[HRP2]]/WWWW[[#This Row],[Total PoP ]]</f>
        <v>0.83044982698961933</v>
      </c>
      <c r="CX41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41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8" s="473">
        <f>IF(WWWW[[#This Row],['# of functional latrines in THF supported by WASH partners during the reporting period2]]="",0,WWWW[[#This Row],['# of functional latrines in THF supported by WASH partners during the reporting period2]]*50)</f>
        <v>0</v>
      </c>
      <c r="DB418" s="473">
        <f>WWWW[[#This Row],['# students access to functioning school latrines_HRP5]]+WWWW[[#This Row],['# People access to functioning latrines in THF_HRP5]]</f>
        <v>0</v>
      </c>
      <c r="DC418" s="867">
        <f>ROUND(IF(WWWW[[#This Row],[Location Type 1]]="camp",WWWW[[#This Row],[Total PoP ]]/20,IF(WWWW[[#This Row],[Location Type 1]]="Temporary Location",WWWW[[#This Row],[Total PoP ]]/50,(WWWW[[#This Row],[Total PoP ]]/6))),0)</f>
        <v>14</v>
      </c>
      <c r="DD418" s="867">
        <f>IF(WWWW[[#This Row],[Total required Latrines]]-(WWWW[[#This Row],['#_Constructed latrines_by_WASHAgencies]]+WWWW[[#This Row],['#_Non Cluster partner latrines]])&lt;0,0,WWWW[[#This Row],[Total required Latrines]]-(WWWW[[#This Row],['#_Constructed latrines_by_WASHAgencies]]+WWWW[[#This Row],['#_Non Cluster partner latrines]]))</f>
        <v>2</v>
      </c>
      <c r="DE418" s="869">
        <f>1-WWWW[[#This Row],[% people access to functioning Latrine]]</f>
        <v>0.16955017301038067</v>
      </c>
      <c r="DF418" s="868">
        <f>IF(OR(WWWW[[#This Row],['#_Non-functional latrines]]="",WWWW[[#This Row],['#_Non-functional latrines]]=0),0,WWWW[[#This Row],['#_Non-functional latrines]]/(WWWW[[#This Row],['#_Constructed latrines_by_WASHAgencies]]+WWWW[[#This Row],['#_Non Cluster partner latrines]]))</f>
        <v>0</v>
      </c>
      <c r="DG418" s="864">
        <f>IF(500*(WWWW[[#This Row],['#_male hygiene promoters]]+WWWW[[#This Row],['#_female hygiene promoters]])&gt;WWWW[[#This Row],[Total PoP ]],WWWW[[#This Row],[Total PoP ]],500*(WWWW[[#This Row],['#_male hygiene promoters]]+WWWW[[#This Row],['#_female hygiene promoters]]))</f>
        <v>289</v>
      </c>
      <c r="DH41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8" s="867">
        <f>IF(WWWW[[#This Row],['# People with access to soap]]&gt;WWWW[[#This Row],['# People with access to Sanity Pads]],WWWW[[#This Row],['# People with access to soap]],WWWW[[#This Row],['# People with access to Sanity Pads]])</f>
        <v>0</v>
      </c>
      <c r="DK418" s="867">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L418" s="869">
        <f>IF(WWWW[[#This Row],[HRP3]]/WWWW[[#This Row],[Total PoP ]]&gt;1,1,WWWW[[#This Row],[HRP3]]/WWWW[[#This Row],[Total PoP ]])</f>
        <v>1</v>
      </c>
      <c r="DM418" s="868">
        <f>1-WWWW[[#This Row],[Hygiene Coverage%]]</f>
        <v>0</v>
      </c>
      <c r="DN418" s="866">
        <f>WWWW[[#This Row],['# people reached by regular dedicated hygiene promotion_5]]/WWWW[[#This Row],[Total PoP ]]</f>
        <v>1</v>
      </c>
      <c r="DO41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8" s="867">
        <f>WWWW[[#This Row],['#_Constructed/Existing hand washing stations]]-WWWW[[#This Row],['#_Non-Functional_hand_washing_stations]]</f>
        <v>4</v>
      </c>
      <c r="DR418" s="864">
        <f>IF(WWWW[[#This Row],['# Functional hand washing stations during reporting period]]*20&gt;WWWW[[#This Row],[Total HH]],WWWW[[#This Row],[Total HH]],WWWW[[#This Row],['# Functional hand washing stations during reporting period]]*20)</f>
        <v>60</v>
      </c>
      <c r="DS418" s="864">
        <f>IF(WWWW[[#This Row],[Is sufficient soap available for TLS? (Yes/No)]]="yes",WWWW[[#This Row],['#_Constructed/Existing hand washing stations at TLS]],0)</f>
        <v>0</v>
      </c>
      <c r="DT418" s="479">
        <f>IF(WWWW[[#This Row],['# Functional hand washing stations during reporting period]]*100&gt;WWWW[[#This Row],[Total PoP ]],WWWW[[#This Row],[Total PoP ]],WWWW[[#This Row],['# Functional hand washing stations during reporting period]]*100)</f>
        <v>289</v>
      </c>
      <c r="DU418" s="479" t="str">
        <f>IF(OR(WWWW[[#This Row],['#_students at TLS_CFS]]="",WWWW[[#This Row],['#_students at TLS_CFS]]=0),"No","Yes")</f>
        <v>No</v>
      </c>
      <c r="DV41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8" s="862" t="str">
        <f>VLOOKUP(WWWW[[#This Row],[Site Name]],SiteDB6[[Site Name]:[CCCM Management]],6,FALSE)</f>
        <v>Yes</v>
      </c>
      <c r="DZ418" s="862" t="str">
        <f>VLOOKUP(WWWW[[#This Row],[Site Name]],SiteDB6[[Site Name]:[CCCM Focal Agency]],7,FALSE)</f>
        <v>KBC-MYT</v>
      </c>
      <c r="EA418" s="862" t="str">
        <f>VLOOKUP(WWWW[[#This Row],[Site Name]],SiteDB6[[Site Name]:[Location Type 1]],9,FALSE)</f>
        <v>Camp</v>
      </c>
      <c r="EB418" s="862" t="str">
        <f>VLOOKUP(WWWW[[#This Row],[Site Name]],SiteDB6[[Site Name]:[Type of Accommodation]],10,FALSE)</f>
        <v>Camp</v>
      </c>
      <c r="EC418" s="862" t="str">
        <f>VLOOKUP(WWWW[[#This Row],[Site Name]],SiteDB6[[Site Name]:[Ethnic or GCA/NGCA]],11,FALSE)</f>
        <v>GCA</v>
      </c>
      <c r="ED418" s="862">
        <f>VLOOKUP(WWWW[[#This Row],[Site Name]],SiteDB6[[Site Name]:[Lat]],12,FALSE)</f>
        <v>27.337499999999999</v>
      </c>
      <c r="EE418" s="862">
        <f>VLOOKUP(WWWW[[#This Row],[Site Name]],SiteDB6[[Site Name]:[Long]],13,FALSE)</f>
        <v>97.416121000000004</v>
      </c>
      <c r="EF418" s="862" t="str">
        <f>VLOOKUP(WWWW[[#This Row],[Site Name]],SiteDB6[[Site Name]:[Pcode]],3,FALSE)</f>
        <v>MMR001CMP234</v>
      </c>
      <c r="EG418" s="865" t="str">
        <f t="shared" si="12"/>
        <v>Covered</v>
      </c>
      <c r="EH418" s="865" t="str">
        <f>VLOOKUP(WWWW[[#This Row],[Site Name]],Site_DB!$C$389:$D$1120,2,FALSE)</f>
        <v>cccm_2019OCT</v>
      </c>
    </row>
    <row r="419" spans="1:138">
      <c r="A419" s="860" t="s">
        <v>3263</v>
      </c>
      <c r="B419" s="860" t="s">
        <v>144</v>
      </c>
      <c r="C419" s="861" t="s">
        <v>144</v>
      </c>
      <c r="D419" s="861" t="s">
        <v>3277</v>
      </c>
      <c r="E419" s="861" t="s">
        <v>39</v>
      </c>
      <c r="F419" s="861" t="s">
        <v>155</v>
      </c>
      <c r="G419" s="721" t="str">
        <f>VLOOKUP(WWWW[[#This Row],[Site Name]],SiteDB6[[Site Name]:[Location Type]],8,FALSE)</f>
        <v>Camp</v>
      </c>
      <c r="H419" s="861" t="s">
        <v>2175</v>
      </c>
      <c r="I419" s="851">
        <v>16</v>
      </c>
      <c r="J419" s="851">
        <v>78</v>
      </c>
      <c r="K419" s="863" t="s">
        <v>3278</v>
      </c>
      <c r="L419" s="859" t="s">
        <v>3279</v>
      </c>
      <c r="M419" s="851"/>
      <c r="N419" s="851"/>
      <c r="O419" s="851"/>
      <c r="P419" s="851"/>
      <c r="Q419" s="864" t="s">
        <v>43</v>
      </c>
      <c r="R419" s="851"/>
      <c r="S419" s="851">
        <v>3</v>
      </c>
      <c r="T419" s="523">
        <v>0</v>
      </c>
      <c r="U419" s="851"/>
      <c r="V419" s="851"/>
      <c r="W419" s="851">
        <v>1</v>
      </c>
      <c r="X419" s="851"/>
      <c r="Y419" s="851"/>
      <c r="Z419" s="851"/>
      <c r="AA419" s="851"/>
      <c r="AB419" s="851"/>
      <c r="AC419" s="851"/>
      <c r="AD419" s="851"/>
      <c r="AE419" s="851"/>
      <c r="AF419" s="851"/>
      <c r="AG419" s="851"/>
      <c r="AH419" s="851">
        <v>2</v>
      </c>
      <c r="AI419" s="851"/>
      <c r="AJ419" s="851"/>
      <c r="AK419" s="851"/>
      <c r="AL419" s="851"/>
      <c r="AM419" s="851"/>
      <c r="AN419" s="851"/>
      <c r="AO419" s="865"/>
      <c r="AP419" s="851">
        <v>2</v>
      </c>
      <c r="AQ419" s="851"/>
      <c r="AR419" s="866"/>
      <c r="AS419" s="851"/>
      <c r="AT419" s="851"/>
      <c r="AU419" s="851"/>
      <c r="AV419" s="851"/>
      <c r="AW419" s="851">
        <v>2</v>
      </c>
      <c r="AX419" s="862" t="s">
        <v>43</v>
      </c>
      <c r="AY419" s="865" t="s">
        <v>140</v>
      </c>
      <c r="AZ419" s="851"/>
      <c r="BA419" s="851"/>
      <c r="BB419" s="851"/>
      <c r="BC419" s="523"/>
      <c r="BD419" s="523"/>
      <c r="BE419" s="862"/>
      <c r="BF419" s="851">
        <v>2</v>
      </c>
      <c r="BG419" s="851"/>
      <c r="BH419" s="851"/>
      <c r="BI419" s="851">
        <v>2</v>
      </c>
      <c r="BJ419" s="851"/>
      <c r="BK419" s="851"/>
      <c r="BL419" s="851">
        <v>1</v>
      </c>
      <c r="BM419" s="851"/>
      <c r="BN419" s="851"/>
      <c r="BO419" s="862"/>
      <c r="BP419" s="867"/>
      <c r="BQ419" s="866"/>
      <c r="BR419" s="862"/>
      <c r="BS419" s="472"/>
      <c r="BT419" s="472"/>
      <c r="BU419" s="474"/>
      <c r="BV419" s="472"/>
      <c r="BW419" s="523"/>
      <c r="BX419" s="523"/>
      <c r="BY419" s="523"/>
      <c r="BZ419" s="868" t="str">
        <f>IFERROR(WWWW[[#This Row],['#_Water sources passed]]/WWWW[[#This Row],['#_Water sources tested for fecal coliform ]],"no test")</f>
        <v>no test</v>
      </c>
      <c r="CA419" s="866" t="str">
        <f>IFERROR(WWWW[[#This Row],['#_Household passed]]/WWWW[[#This Row],['#_Household water samples tested for fecal coliform]],"no test")</f>
        <v>no test</v>
      </c>
      <c r="CB419" s="867" t="str">
        <f>IF(AND(WWWW[[#This Row],[% of water sources passed]]="no test",WWWW[[#This Row],[% Household passed]]="no test"),"No Test","Tested")</f>
        <v>No Test</v>
      </c>
      <c r="CC419" s="867">
        <f>WWWW[[#This Row],['#_Constructed/existing protected hand dug well]]-WWWW[[#This Row],['#_Non-functional protected hand dug well]]</f>
        <v>0</v>
      </c>
      <c r="CD419" s="867">
        <f>(WWWW[[#This Row],['#_Constructed/Existing tube wells/boreholes/handpumps_WASH_agency]]+WWWW[[#This Row],['#_Non-Cluster partner water tube-wells/boreholes/handpumps]])-WWWW[[#This Row],['#_Non-functional tube wells/boreholes/handpumps]]</f>
        <v>1</v>
      </c>
      <c r="CE419" s="867">
        <f>WWWW[[#This Row],['#_Constructed/Existingwater storage tank with gravity fed reticulation system]]-WWWW[[#This Row],['#_Non-functional storage tank gravity fed reticulation system]]</f>
        <v>0</v>
      </c>
      <c r="CF419" s="867">
        <f>(WWWW[[#This Row],['#_Water_Liters_supplied_by_Water boating or water trucking]]/90)/15</f>
        <v>0</v>
      </c>
      <c r="CG419" s="867">
        <f>WWWW[[#This Row],['#_Water_Liters_from_Constructed/Existing water distribution system from river or natural spring]]/90/15</f>
        <v>0</v>
      </c>
      <c r="CH419" s="473">
        <f>WWWW[[#This Row],['#_of water points in TLS/CFS /THF]]*500</f>
        <v>0</v>
      </c>
      <c r="CI41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1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19" s="866">
        <f>IF(WWWW[[#This Row],[Location Type 1]]="Village",WWWW[[#This Row],[Access to safe drinking water for Village]],WWWW[[#This Row],[Access to safe drinking water for Camp]])</f>
        <v>1</v>
      </c>
      <c r="CL419" s="864">
        <f>WWWW[[#This Row],[%Equitable and continuous access to sufficient quantity of safe drinking water]]*WWWW[[#This Row],[Total PoP ]]</f>
        <v>78</v>
      </c>
      <c r="CM419" s="866">
        <f>IF((WWWW[[#This Row],['#_Constructed/Existing protected/fenced ponds]]*250)/WWWW[[#This Row],[Total PoP ]]&gt;1,1,(WWWW[[#This Row],['#_Constructed/Existing protected/fenced ponds]]*250)/WWWW[[#This Row],[Total PoP ]])</f>
        <v>0</v>
      </c>
      <c r="CN419" s="864">
        <f>WWWW[[#This Row],[% Access to unimproved water points]]*WWWW[[#This Row],[Total PoP ]]</f>
        <v>0</v>
      </c>
      <c r="CO41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1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Q419" s="864">
        <f>WWWW[[#This Row],[HRP1]]/500</f>
        <v>0.156</v>
      </c>
      <c r="CR419" s="869">
        <f>1-WWWW[[#This Row],[% Equitable and continuous access to sufficient quantity of domestic water]]</f>
        <v>0</v>
      </c>
      <c r="CS419" s="864">
        <f>WWWW[[#This Row],[%equitable and continuous access to sufficient quantity of safe drinking and domestic water''s GAP]]*WWWW[[#This Row],[Total PoP ]]</f>
        <v>0</v>
      </c>
      <c r="CT419" s="867">
        <f>IF(WWWW[[#This Row],[Total required water points]]-WWWW[[#This Row],['#Water points coverage]]&lt;0,0,WWWW[[#This Row],[Total required water points]]-WWWW[[#This Row],['#Water points coverage]])</f>
        <v>0.84399999999999997</v>
      </c>
      <c r="CU419" s="867">
        <f>ROUND(IF(WWWW[[#This Row],[Total PoP ]]&lt;500,1,WWWW[[#This Row],[Total PoP ]]/500),0)</f>
        <v>1</v>
      </c>
      <c r="CV419" s="867">
        <f>(WWWW[[#This Row],['#_Constructed latrines_by_WASHAgencies]]+WWWW[[#This Row],['#_Non Cluster partner latrines]])-WWWW[[#This Row],['#_Non-functional latrines]]</f>
        <v>2</v>
      </c>
      <c r="CW419" s="804">
        <f>WWWW[[#This Row],[HRP2]]/WWWW[[#This Row],[Total PoP ]]</f>
        <v>0.51282051282051277</v>
      </c>
      <c r="CX41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41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1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19" s="473">
        <f>IF(WWWW[[#This Row],['# of functional latrines in THF supported by WASH partners during the reporting period2]]="",0,WWWW[[#This Row],['# of functional latrines in THF supported by WASH partners during the reporting period2]]*50)</f>
        <v>0</v>
      </c>
      <c r="DB419" s="473">
        <f>WWWW[[#This Row],['# students access to functioning school latrines_HRP5]]+WWWW[[#This Row],['# People access to functioning latrines in THF_HRP5]]</f>
        <v>0</v>
      </c>
      <c r="DC419" s="867">
        <f>ROUND(IF(WWWW[[#This Row],[Location Type 1]]="camp",WWWW[[#This Row],[Total PoP ]]/20,IF(WWWW[[#This Row],[Location Type 1]]="Temporary Location",WWWW[[#This Row],[Total PoP ]]/50,(WWWW[[#This Row],[Total PoP ]]/6))),0)</f>
        <v>4</v>
      </c>
      <c r="DD419" s="867">
        <f>IF(WWWW[[#This Row],[Total required Latrines]]-(WWWW[[#This Row],['#_Constructed latrines_by_WASHAgencies]]+WWWW[[#This Row],['#_Non Cluster partner latrines]])&lt;0,0,WWWW[[#This Row],[Total required Latrines]]-(WWWW[[#This Row],['#_Constructed latrines_by_WASHAgencies]]+WWWW[[#This Row],['#_Non Cluster partner latrines]]))</f>
        <v>2</v>
      </c>
      <c r="DE419" s="869">
        <f>1-WWWW[[#This Row],[% people access to functioning Latrine]]</f>
        <v>0.48717948717948723</v>
      </c>
      <c r="DF419" s="868">
        <f>IF(OR(WWWW[[#This Row],['#_Non-functional latrines]]="",WWWW[[#This Row],['#_Non-functional latrines]]=0),0,WWWW[[#This Row],['#_Non-functional latrines]]/(WWWW[[#This Row],['#_Constructed latrines_by_WASHAgencies]]+WWWW[[#This Row],['#_Non Cluster partner latrines]]))</f>
        <v>0</v>
      </c>
      <c r="DG419" s="864">
        <f>IF(500*(WWWW[[#This Row],['#_male hygiene promoters]]+WWWW[[#This Row],['#_female hygiene promoters]])&gt;WWWW[[#This Row],[Total PoP ]],WWWW[[#This Row],[Total PoP ]],500*(WWWW[[#This Row],['#_male hygiene promoters]]+WWWW[[#This Row],['#_female hygiene promoters]]))</f>
        <v>78</v>
      </c>
      <c r="DH41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1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19" s="867">
        <f>IF(WWWW[[#This Row],['# People with access to soap]]&gt;WWWW[[#This Row],['# People with access to Sanity Pads]],WWWW[[#This Row],['# People with access to soap]],WWWW[[#This Row],['# People with access to Sanity Pads]])</f>
        <v>0</v>
      </c>
      <c r="DK419" s="867">
        <f>IF(WWWW[[#This Row],['# people reached by regular dedicated hygiene promotion_5]]&gt;WWWW[[#This Row],['# People received regular supply of hygiene items_6]],WWWW[[#This Row],['# people reached by regular dedicated hygiene promotion_5]],WWWW[[#This Row],['# People received regular supply of hygiene items_6]])</f>
        <v>78</v>
      </c>
      <c r="DL419" s="869">
        <f>IF(WWWW[[#This Row],[HRP3]]/WWWW[[#This Row],[Total PoP ]]&gt;1,1,WWWW[[#This Row],[HRP3]]/WWWW[[#This Row],[Total PoP ]])</f>
        <v>1</v>
      </c>
      <c r="DM419" s="868">
        <f>1-WWWW[[#This Row],[Hygiene Coverage%]]</f>
        <v>0</v>
      </c>
      <c r="DN419" s="866">
        <f>WWWW[[#This Row],['# people reached by regular dedicated hygiene promotion_5]]/WWWW[[#This Row],[Total PoP ]]</f>
        <v>1</v>
      </c>
      <c r="DO41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1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19" s="867">
        <f>WWWW[[#This Row],['#_Constructed/Existing hand washing stations]]-WWWW[[#This Row],['#_Non-Functional_hand_washing_stations]]</f>
        <v>2</v>
      </c>
      <c r="DR419" s="864">
        <f>IF(WWWW[[#This Row],['# Functional hand washing stations during reporting period]]*20&gt;WWWW[[#This Row],[Total HH]],WWWW[[#This Row],[Total HH]],WWWW[[#This Row],['# Functional hand washing stations during reporting period]]*20)</f>
        <v>16</v>
      </c>
      <c r="DS419" s="864">
        <f>IF(WWWW[[#This Row],[Is sufficient soap available for TLS? (Yes/No)]]="yes",WWWW[[#This Row],['#_Constructed/Existing hand washing stations at TLS]],0)</f>
        <v>0</v>
      </c>
      <c r="DT419" s="479">
        <f>IF(WWWW[[#This Row],['# Functional hand washing stations during reporting period]]*100&gt;WWWW[[#This Row],[Total PoP ]],WWWW[[#This Row],[Total PoP ]],WWWW[[#This Row],['# Functional hand washing stations during reporting period]]*100)</f>
        <v>78</v>
      </c>
      <c r="DU419" s="479" t="str">
        <f>IF(OR(WWWW[[#This Row],['#_students at TLS_CFS]]="",WWWW[[#This Row],['#_students at TLS_CFS]]=0),"No","Yes")</f>
        <v>No</v>
      </c>
      <c r="DV41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19" s="862" t="str">
        <f>VLOOKUP(WWWW[[#This Row],[Site Name]],SiteDB6[[Site Name]:[CCCM Management]],6,FALSE)</f>
        <v>Yes</v>
      </c>
      <c r="DZ419" s="862" t="str">
        <f>VLOOKUP(WWWW[[#This Row],[Site Name]],SiteDB6[[Site Name]:[CCCM Focal Agency]],7,FALSE)</f>
        <v>KBC-MYT</v>
      </c>
      <c r="EA419" s="862" t="str">
        <f>VLOOKUP(WWWW[[#This Row],[Site Name]],SiteDB6[[Site Name]:[Location Type 1]],9,FALSE)</f>
        <v>Camp</v>
      </c>
      <c r="EB419" s="862" t="str">
        <f>VLOOKUP(WWWW[[#This Row],[Site Name]],SiteDB6[[Site Name]:[Type of Accommodation]],10,FALSE)</f>
        <v>Camp</v>
      </c>
      <c r="EC419" s="862" t="str">
        <f>VLOOKUP(WWWW[[#This Row],[Site Name]],SiteDB6[[Site Name]:[Ethnic or GCA/NGCA]],11,FALSE)</f>
        <v>GCA</v>
      </c>
      <c r="ED419" s="862">
        <f>VLOOKUP(WWWW[[#This Row],[Site Name]],SiteDB6[[Site Name]:[Lat]],12,FALSE)</f>
        <v>25.296579999999999</v>
      </c>
      <c r="EE419" s="862">
        <f>VLOOKUP(WWWW[[#This Row],[Site Name]],SiteDB6[[Site Name]:[Long]],13,FALSE)</f>
        <v>96.942279999999997</v>
      </c>
      <c r="EF419" s="862" t="str">
        <f>VLOOKUP(WWWW[[#This Row],[Site Name]],SiteDB6[[Site Name]:[Pcode]],3,FALSE)</f>
        <v>MMR001CMP077</v>
      </c>
      <c r="EG419" s="865" t="str">
        <f t="shared" si="12"/>
        <v>Covered</v>
      </c>
      <c r="EH419" s="865" t="str">
        <f>VLOOKUP(WWWW[[#This Row],[Site Name]],Site_DB!$C$389:$D$1120,2,FALSE)</f>
        <v>cccm_2019OCT</v>
      </c>
    </row>
    <row r="420" spans="1:138">
      <c r="A420" s="860" t="s">
        <v>3263</v>
      </c>
      <c r="B420" s="860" t="s">
        <v>312</v>
      </c>
      <c r="C420" s="861" t="s">
        <v>312</v>
      </c>
      <c r="D420" s="861"/>
      <c r="E420" s="861" t="s">
        <v>39</v>
      </c>
      <c r="F420" s="861" t="s">
        <v>145</v>
      </c>
      <c r="G420" s="721" t="str">
        <f>VLOOKUP(WWWW[[#This Row],[Site Name]],SiteDB6[[Site Name]:[Location Type]],8,FALSE)</f>
        <v>Camp</v>
      </c>
      <c r="H420" s="861" t="s">
        <v>1052</v>
      </c>
      <c r="I420" s="851">
        <v>62</v>
      </c>
      <c r="J420" s="851">
        <v>410</v>
      </c>
      <c r="K420" s="863"/>
      <c r="L420" s="859"/>
      <c r="M420" s="851"/>
      <c r="N420" s="851"/>
      <c r="O420" s="851"/>
      <c r="P420" s="851"/>
      <c r="Q420" s="864"/>
      <c r="R420" s="851"/>
      <c r="S420" s="851">
        <v>3</v>
      </c>
      <c r="T420" s="523"/>
      <c r="U420" s="851"/>
      <c r="V420" s="851"/>
      <c r="W420" s="851"/>
      <c r="X420" s="851"/>
      <c r="Y420" s="851"/>
      <c r="Z420" s="851"/>
      <c r="AA420" s="851"/>
      <c r="AB420" s="851"/>
      <c r="AC420" s="851"/>
      <c r="AD420" s="851"/>
      <c r="AE420" s="851"/>
      <c r="AF420" s="851"/>
      <c r="AG420" s="851"/>
      <c r="AH420" s="851"/>
      <c r="AI420" s="851"/>
      <c r="AJ420" s="851"/>
      <c r="AK420" s="851"/>
      <c r="AL420" s="851"/>
      <c r="AM420" s="851"/>
      <c r="AN420" s="851"/>
      <c r="AO420" s="865"/>
      <c r="AP420" s="851"/>
      <c r="AQ420" s="851"/>
      <c r="AR420" s="866"/>
      <c r="AS420" s="851"/>
      <c r="AT420" s="851"/>
      <c r="AU420" s="851"/>
      <c r="AV420" s="851"/>
      <c r="AW420" s="851"/>
      <c r="AX420" s="862"/>
      <c r="AY420" s="865"/>
      <c r="AZ420" s="851"/>
      <c r="BA420" s="851"/>
      <c r="BB420" s="851"/>
      <c r="BC420" s="523"/>
      <c r="BD420" s="523"/>
      <c r="BE420" s="862"/>
      <c r="BF420" s="851"/>
      <c r="BG420" s="851"/>
      <c r="BH420" s="851"/>
      <c r="BI420" s="851"/>
      <c r="BJ420" s="851"/>
      <c r="BK420" s="851"/>
      <c r="BL420" s="851"/>
      <c r="BM420" s="851"/>
      <c r="BN420" s="851"/>
      <c r="BO420" s="862"/>
      <c r="BP420" s="867"/>
      <c r="BQ420" s="866"/>
      <c r="BR420" s="862"/>
      <c r="BS420" s="472"/>
      <c r="BT420" s="472"/>
      <c r="BU420" s="474"/>
      <c r="BV420" s="472"/>
      <c r="BW420" s="523"/>
      <c r="BX420" s="523"/>
      <c r="BY420" s="523"/>
      <c r="BZ420" s="868" t="str">
        <f>IFERROR(WWWW[[#This Row],['#_Water sources passed]]/WWWW[[#This Row],['#_Water sources tested for fecal coliform ]],"no test")</f>
        <v>no test</v>
      </c>
      <c r="CA420" s="866" t="str">
        <f>IFERROR(WWWW[[#This Row],['#_Household passed]]/WWWW[[#This Row],['#_Household water samples tested for fecal coliform]],"no test")</f>
        <v>no test</v>
      </c>
      <c r="CB420" s="867" t="str">
        <f>IF(AND(WWWW[[#This Row],[% of water sources passed]]="no test",WWWW[[#This Row],[% Household passed]]="no test"),"No Test","Tested")</f>
        <v>No Test</v>
      </c>
      <c r="CC420" s="867">
        <f>WWWW[[#This Row],['#_Constructed/existing protected hand dug well]]-WWWW[[#This Row],['#_Non-functional protected hand dug well]]</f>
        <v>0</v>
      </c>
      <c r="CD420" s="867">
        <f>(WWWW[[#This Row],['#_Constructed/Existing tube wells/boreholes/handpumps_WASH_agency]]+WWWW[[#This Row],['#_Non-Cluster partner water tube-wells/boreholes/handpumps]])-WWWW[[#This Row],['#_Non-functional tube wells/boreholes/handpumps]]</f>
        <v>0</v>
      </c>
      <c r="CE420" s="867">
        <f>WWWW[[#This Row],['#_Constructed/Existingwater storage tank with gravity fed reticulation system]]-WWWW[[#This Row],['#_Non-functional storage tank gravity fed reticulation system]]</f>
        <v>0</v>
      </c>
      <c r="CF420" s="867">
        <f>(WWWW[[#This Row],['#_Water_Liters_supplied_by_Water boating or water trucking]]/90)/15</f>
        <v>0</v>
      </c>
      <c r="CG420" s="867">
        <f>WWWW[[#This Row],['#_Water_Liters_from_Constructed/Existing water distribution system from river or natural spring]]/90/15</f>
        <v>0</v>
      </c>
      <c r="CH420" s="473">
        <f>WWWW[[#This Row],['#_of water points in TLS/CFS /THF]]*500</f>
        <v>0</v>
      </c>
      <c r="CI42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2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20" s="866">
        <f>IF(WWWW[[#This Row],[Location Type 1]]="Village",WWWW[[#This Row],[Access to safe drinking water for Village]],WWWW[[#This Row],[Access to safe drinking water for Camp]])</f>
        <v>0</v>
      </c>
      <c r="CL420" s="864">
        <f>WWWW[[#This Row],[%Equitable and continuous access to sufficient quantity of safe drinking water]]*WWWW[[#This Row],[Total PoP ]]</f>
        <v>0</v>
      </c>
      <c r="CM420" s="866">
        <f>IF((WWWW[[#This Row],['#_Constructed/Existing protected/fenced ponds]]*250)/WWWW[[#This Row],[Total PoP ]]&gt;1,1,(WWWW[[#This Row],['#_Constructed/Existing protected/fenced ponds]]*250)/WWWW[[#This Row],[Total PoP ]])</f>
        <v>0</v>
      </c>
      <c r="CN420" s="864">
        <f>WWWW[[#This Row],[% Access to unimproved water points]]*WWWW[[#This Row],[Total PoP ]]</f>
        <v>0</v>
      </c>
      <c r="CO42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2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20" s="864">
        <f>WWWW[[#This Row],[HRP1]]/500</f>
        <v>0</v>
      </c>
      <c r="CR420" s="869">
        <f>1-WWWW[[#This Row],[% Equitable and continuous access to sufficient quantity of domestic water]]</f>
        <v>1</v>
      </c>
      <c r="CS420" s="864">
        <f>WWWW[[#This Row],[%equitable and continuous access to sufficient quantity of safe drinking and domestic water''s GAP]]*WWWW[[#This Row],[Total PoP ]]</f>
        <v>410</v>
      </c>
      <c r="CT420" s="867">
        <f>IF(WWWW[[#This Row],[Total required water points]]-WWWW[[#This Row],['#Water points coverage]]&lt;0,0,WWWW[[#This Row],[Total required water points]]-WWWW[[#This Row],['#Water points coverage]])</f>
        <v>1</v>
      </c>
      <c r="CU420" s="867">
        <f>ROUND(IF(WWWW[[#This Row],[Total PoP ]]&lt;500,1,WWWW[[#This Row],[Total PoP ]]/500),0)</f>
        <v>1</v>
      </c>
      <c r="CV420" s="867">
        <f>(WWWW[[#This Row],['#_Constructed latrines_by_WASHAgencies]]+WWWW[[#This Row],['#_Non Cluster partner latrines]])-WWWW[[#This Row],['#_Non-functional latrines]]</f>
        <v>0</v>
      </c>
      <c r="CW420" s="804">
        <f>WWWW[[#This Row],[HRP2]]/WWWW[[#This Row],[Total PoP ]]</f>
        <v>0</v>
      </c>
      <c r="CX42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2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0" s="473">
        <f>IF(WWWW[[#This Row],['# of functional latrines in THF supported by WASH partners during the reporting period2]]="",0,WWWW[[#This Row],['# of functional latrines in THF supported by WASH partners during the reporting period2]]*50)</f>
        <v>0</v>
      </c>
      <c r="DB420" s="473">
        <f>WWWW[[#This Row],['# students access to functioning school latrines_HRP5]]+WWWW[[#This Row],['# People access to functioning latrines in THF_HRP5]]</f>
        <v>0</v>
      </c>
      <c r="DC420" s="867">
        <f>ROUND(IF(WWWW[[#This Row],[Location Type 1]]="camp",WWWW[[#This Row],[Total PoP ]]/20,IF(WWWW[[#This Row],[Location Type 1]]="Temporary Location",WWWW[[#This Row],[Total PoP ]]/50,(WWWW[[#This Row],[Total PoP ]]/6))),0)</f>
        <v>21</v>
      </c>
      <c r="DD420" s="867">
        <f>IF(WWWW[[#This Row],[Total required Latrines]]-(WWWW[[#This Row],['#_Constructed latrines_by_WASHAgencies]]+WWWW[[#This Row],['#_Non Cluster partner latrines]])&lt;0,0,WWWW[[#This Row],[Total required Latrines]]-(WWWW[[#This Row],['#_Constructed latrines_by_WASHAgencies]]+WWWW[[#This Row],['#_Non Cluster partner latrines]]))</f>
        <v>21</v>
      </c>
      <c r="DE420" s="869">
        <f>1-WWWW[[#This Row],[% people access to functioning Latrine]]</f>
        <v>1</v>
      </c>
      <c r="DF420" s="868">
        <f>IF(OR(WWWW[[#This Row],['#_Non-functional latrines]]="",WWWW[[#This Row],['#_Non-functional latrines]]=0),0,WWWW[[#This Row],['#_Non-functional latrines]]/(WWWW[[#This Row],['#_Constructed latrines_by_WASHAgencies]]+WWWW[[#This Row],['#_Non Cluster partner latrines]]))</f>
        <v>0</v>
      </c>
      <c r="DG420" s="864">
        <f>IF(500*(WWWW[[#This Row],['#_male hygiene promoters]]+WWWW[[#This Row],['#_female hygiene promoters]])&gt;WWWW[[#This Row],[Total PoP ]],WWWW[[#This Row],[Total PoP ]],500*(WWWW[[#This Row],['#_male hygiene promoters]]+WWWW[[#This Row],['#_female hygiene promoters]]))</f>
        <v>0</v>
      </c>
      <c r="DH42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0" s="867">
        <f>IF(WWWW[[#This Row],['# People with access to soap]]&gt;WWWW[[#This Row],['# People with access to Sanity Pads]],WWWW[[#This Row],['# People with access to soap]],WWWW[[#This Row],['# People with access to Sanity Pads]])</f>
        <v>0</v>
      </c>
      <c r="DK42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20" s="869">
        <f>IF(WWWW[[#This Row],[HRP3]]/WWWW[[#This Row],[Total PoP ]]&gt;1,1,WWWW[[#This Row],[HRP3]]/WWWW[[#This Row],[Total PoP ]])</f>
        <v>0</v>
      </c>
      <c r="DM420" s="868">
        <f>1-WWWW[[#This Row],[Hygiene Coverage%]]</f>
        <v>1</v>
      </c>
      <c r="DN420" s="866">
        <f>WWWW[[#This Row],['# people reached by regular dedicated hygiene promotion_5]]/WWWW[[#This Row],[Total PoP ]]</f>
        <v>0</v>
      </c>
      <c r="DO42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0" s="867">
        <f>WWWW[[#This Row],['#_Constructed/Existing hand washing stations]]-WWWW[[#This Row],['#_Non-Functional_hand_washing_stations]]</f>
        <v>0</v>
      </c>
      <c r="DR420" s="864">
        <f>IF(WWWW[[#This Row],['# Functional hand washing stations during reporting period]]*20&gt;WWWW[[#This Row],[Total HH]],WWWW[[#This Row],[Total HH]],WWWW[[#This Row],['# Functional hand washing stations during reporting period]]*20)</f>
        <v>0</v>
      </c>
      <c r="DS420" s="864">
        <f>IF(WWWW[[#This Row],[Is sufficient soap available for TLS? (Yes/No)]]="yes",WWWW[[#This Row],['#_Constructed/Existing hand washing stations at TLS]],0)</f>
        <v>0</v>
      </c>
      <c r="DT420" s="479">
        <f>IF(WWWW[[#This Row],['# Functional hand washing stations during reporting period]]*100&gt;WWWW[[#This Row],[Total PoP ]],WWWW[[#This Row],[Total PoP ]],WWWW[[#This Row],['# Functional hand washing stations during reporting period]]*100)</f>
        <v>0</v>
      </c>
      <c r="DU420" s="479" t="str">
        <f>IF(OR(WWWW[[#This Row],['#_students at TLS_CFS]]="",WWWW[[#This Row],['#_students at TLS_CFS]]=0),"No","Yes")</f>
        <v>No</v>
      </c>
      <c r="DV42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0" s="862">
        <f>VLOOKUP(WWWW[[#This Row],[Site Name]],SiteDB6[[Site Name]:[CCCM Management]],6,FALSE)</f>
        <v>0</v>
      </c>
      <c r="DZ420" s="862" t="str">
        <f>VLOOKUP(WWWW[[#This Row],[Site Name]],SiteDB6[[Site Name]:[CCCM Focal Agency]],7,FALSE)</f>
        <v>uncovered</v>
      </c>
      <c r="EA420" s="862" t="str">
        <f>VLOOKUP(WWWW[[#This Row],[Site Name]],SiteDB6[[Site Name]:[Location Type 1]],9,FALSE)</f>
        <v>Camp</v>
      </c>
      <c r="EB420" s="862" t="str">
        <f>VLOOKUP(WWWW[[#This Row],[Site Name]],SiteDB6[[Site Name]:[Type of Accommodation]],10,FALSE)</f>
        <v>Camp like setting</v>
      </c>
      <c r="EC420" s="862" t="str">
        <f>VLOOKUP(WWWW[[#This Row],[Site Name]],SiteDB6[[Site Name]:[Ethnic or GCA/NGCA]],11,FALSE)</f>
        <v>GCA</v>
      </c>
      <c r="ED420" s="862">
        <f>VLOOKUP(WWWW[[#This Row],[Site Name]],SiteDB6[[Site Name]:[Lat]],12,FALSE)</f>
        <v>25.305008999999998</v>
      </c>
      <c r="EE420" s="862">
        <f>VLOOKUP(WWWW[[#This Row],[Site Name]],SiteDB6[[Site Name]:[Long]],13,FALSE)</f>
        <v>97.430321000000006</v>
      </c>
      <c r="EF420" s="862" t="str">
        <f>VLOOKUP(WWWW[[#This Row],[Site Name]],SiteDB6[[Site Name]:[Pcode]],3,FALSE)</f>
        <v>MMR001CMP248</v>
      </c>
      <c r="EG420" s="865" t="str">
        <f t="shared" si="12"/>
        <v>Notcovered</v>
      </c>
      <c r="EH420" s="865" t="str">
        <f>VLOOKUP(WWWW[[#This Row],[Site Name]],Site_DB!$C$389:$D$1120,2,FALSE)</f>
        <v>cccm_2019OCT</v>
      </c>
    </row>
    <row r="421" spans="1:138">
      <c r="A421" s="860" t="s">
        <v>3263</v>
      </c>
      <c r="B421" s="860" t="s">
        <v>245</v>
      </c>
      <c r="C421" s="861" t="s">
        <v>245</v>
      </c>
      <c r="D421" s="861" t="s">
        <v>310</v>
      </c>
      <c r="E421" s="861" t="s">
        <v>39</v>
      </c>
      <c r="F421" s="861" t="s">
        <v>145</v>
      </c>
      <c r="G421" s="721" t="str">
        <f>VLOOKUP(WWWW[[#This Row],[Site Name]],SiteDB6[[Site Name]:[Location Type]],8,FALSE)</f>
        <v>Camp</v>
      </c>
      <c r="H421" s="861" t="s">
        <v>271</v>
      </c>
      <c r="I421" s="851">
        <v>92</v>
      </c>
      <c r="J421" s="851">
        <v>448</v>
      </c>
      <c r="K421" s="863">
        <v>43313</v>
      </c>
      <c r="L421" s="859">
        <v>44043</v>
      </c>
      <c r="M421" s="851"/>
      <c r="N421" s="851">
        <v>1</v>
      </c>
      <c r="O421" s="851"/>
      <c r="P421" s="851"/>
      <c r="Q421" s="864" t="s">
        <v>43</v>
      </c>
      <c r="R421" s="851">
        <v>4</v>
      </c>
      <c r="S421" s="851">
        <v>4</v>
      </c>
      <c r="T421" s="523">
        <v>2</v>
      </c>
      <c r="U421" s="851"/>
      <c r="V421" s="851"/>
      <c r="W421" s="851">
        <v>1</v>
      </c>
      <c r="X421" s="851"/>
      <c r="Y421" s="851"/>
      <c r="Z421" s="851"/>
      <c r="AA421" s="851">
        <v>0</v>
      </c>
      <c r="AB421" s="851"/>
      <c r="AC421" s="851"/>
      <c r="AD421" s="851">
        <v>0</v>
      </c>
      <c r="AE421" s="851">
        <v>0</v>
      </c>
      <c r="AF421" s="851">
        <v>0</v>
      </c>
      <c r="AG421" s="851">
        <v>0</v>
      </c>
      <c r="AH421" s="851">
        <v>2</v>
      </c>
      <c r="AI421" s="851"/>
      <c r="AJ421" s="851"/>
      <c r="AK421" s="851"/>
      <c r="AL421" s="851"/>
      <c r="AM421" s="851">
        <v>0</v>
      </c>
      <c r="AN421" s="851">
        <v>0</v>
      </c>
      <c r="AO421" s="865"/>
      <c r="AP421" s="851">
        <v>20</v>
      </c>
      <c r="AQ421" s="851">
        <v>20</v>
      </c>
      <c r="AR421" s="866" t="s">
        <v>2917</v>
      </c>
      <c r="AS421" s="851"/>
      <c r="AT421" s="851"/>
      <c r="AU421" s="851"/>
      <c r="AV421" s="851"/>
      <c r="AW421" s="851">
        <v>0</v>
      </c>
      <c r="AX421" s="862" t="s">
        <v>43</v>
      </c>
      <c r="AY421" s="865" t="s">
        <v>140</v>
      </c>
      <c r="AZ421" s="851">
        <v>2</v>
      </c>
      <c r="BA421" s="851">
        <v>2</v>
      </c>
      <c r="BB421" s="851">
        <v>0</v>
      </c>
      <c r="BC421" s="523"/>
      <c r="BD421" s="523"/>
      <c r="BE421" s="862"/>
      <c r="BF421" s="851">
        <v>8</v>
      </c>
      <c r="BG421" s="851"/>
      <c r="BH421" s="851">
        <v>0</v>
      </c>
      <c r="BI421" s="851">
        <v>4</v>
      </c>
      <c r="BJ421" s="851"/>
      <c r="BK421" s="851">
        <v>0</v>
      </c>
      <c r="BL421" s="851">
        <v>0</v>
      </c>
      <c r="BM421" s="851"/>
      <c r="BN421" s="851"/>
      <c r="BO421" s="862" t="s">
        <v>139</v>
      </c>
      <c r="BP421" s="867"/>
      <c r="BQ421" s="866"/>
      <c r="BR421" s="862"/>
      <c r="BS421" s="472"/>
      <c r="BT421" s="472"/>
      <c r="BU421" s="474"/>
      <c r="BV421" s="472"/>
      <c r="BW421" s="523"/>
      <c r="BX421" s="523"/>
      <c r="BY421" s="523"/>
      <c r="BZ421" s="868" t="str">
        <f>IFERROR(WWWW[[#This Row],['#_Water sources passed]]/WWWW[[#This Row],['#_Water sources tested for fecal coliform ]],"no test")</f>
        <v>no test</v>
      </c>
      <c r="CA421" s="866" t="str">
        <f>IFERROR(WWWW[[#This Row],['#_Household passed]]/WWWW[[#This Row],['#_Household water samples tested for fecal coliform]],"no test")</f>
        <v>no test</v>
      </c>
      <c r="CB421" s="867" t="str">
        <f>IF(AND(WWWW[[#This Row],[% of water sources passed]]="no test",WWWW[[#This Row],[% Household passed]]="no test"),"No Test","Tested")</f>
        <v>No Test</v>
      </c>
      <c r="CC421" s="867">
        <f>WWWW[[#This Row],['#_Constructed/existing protected hand dug well]]-WWWW[[#This Row],['#_Non-functional protected hand dug well]]</f>
        <v>2</v>
      </c>
      <c r="CD421" s="867">
        <f>(WWWW[[#This Row],['#_Constructed/Existing tube wells/boreholes/handpumps_WASH_agency]]+WWWW[[#This Row],['#_Non-Cluster partner water tube-wells/boreholes/handpumps]])-WWWW[[#This Row],['#_Non-functional tube wells/boreholes/handpumps]]</f>
        <v>1</v>
      </c>
      <c r="CE421" s="867">
        <f>WWWW[[#This Row],['#_Constructed/Existingwater storage tank with gravity fed reticulation system]]-WWWW[[#This Row],['#_Non-functional storage tank gravity fed reticulation system]]</f>
        <v>0</v>
      </c>
      <c r="CF421" s="867">
        <f>(WWWW[[#This Row],['#_Water_Liters_supplied_by_Water boating or water trucking]]/90)/15</f>
        <v>0</v>
      </c>
      <c r="CG421" s="867">
        <f>WWWW[[#This Row],['#_Water_Liters_from_Constructed/Existing water distribution system from river or natural spring]]/90/15</f>
        <v>0</v>
      </c>
      <c r="CH421" s="473">
        <f>WWWW[[#This Row],['#_of water points in TLS/CFS /THF]]*500</f>
        <v>0</v>
      </c>
      <c r="CI42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1" s="866">
        <f>IF(WWWW[[#This Row],[Location Type 1]]="Village",WWWW[[#This Row],[Access to safe drinking water for Village]],WWWW[[#This Row],[Access to safe drinking water for Camp]])</f>
        <v>1</v>
      </c>
      <c r="CL421" s="864">
        <f>WWWW[[#This Row],[%Equitable and continuous access to sufficient quantity of safe drinking water]]*WWWW[[#This Row],[Total PoP ]]</f>
        <v>448</v>
      </c>
      <c r="CM421" s="866">
        <f>IF((WWWW[[#This Row],['#_Constructed/Existing protected/fenced ponds]]*250)/WWWW[[#This Row],[Total PoP ]]&gt;1,1,(WWWW[[#This Row],['#_Constructed/Existing protected/fenced ponds]]*250)/WWWW[[#This Row],[Total PoP ]])</f>
        <v>0</v>
      </c>
      <c r="CN421" s="864">
        <f>WWWW[[#This Row],[% Access to unimproved water points]]*WWWW[[#This Row],[Total PoP ]]</f>
        <v>0</v>
      </c>
      <c r="CO42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Q421" s="864">
        <f>WWWW[[#This Row],[HRP1]]/500</f>
        <v>0.89600000000000002</v>
      </c>
      <c r="CR421" s="869">
        <f>1-WWWW[[#This Row],[% Equitable and continuous access to sufficient quantity of domestic water]]</f>
        <v>0</v>
      </c>
      <c r="CS421" s="864">
        <f>WWWW[[#This Row],[%equitable and continuous access to sufficient quantity of safe drinking and domestic water''s GAP]]*WWWW[[#This Row],[Total PoP ]]</f>
        <v>0</v>
      </c>
      <c r="CT421" s="867">
        <f>IF(WWWW[[#This Row],[Total required water points]]-WWWW[[#This Row],['#Water points coverage]]&lt;0,0,WWWW[[#This Row],[Total required water points]]-WWWW[[#This Row],['#Water points coverage]])</f>
        <v>0.10399999999999998</v>
      </c>
      <c r="CU421" s="867">
        <f>ROUND(IF(WWWW[[#This Row],[Total PoP ]]&lt;500,1,WWWW[[#This Row],[Total PoP ]]/500),0)</f>
        <v>1</v>
      </c>
      <c r="CV421" s="867">
        <f>(WWWW[[#This Row],['#_Constructed latrines_by_WASHAgencies]]+WWWW[[#This Row],['#_Non Cluster partner latrines]])-WWWW[[#This Row],['#_Non-functional latrines]]</f>
        <v>40</v>
      </c>
      <c r="CW421" s="804">
        <f>WWWW[[#This Row],[HRP2]]/WWWW[[#This Row],[Total PoP ]]</f>
        <v>1</v>
      </c>
      <c r="CX42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448</v>
      </c>
      <c r="CY42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1" s="473">
        <f>IF(WWWW[[#This Row],['# of functional latrines in THF supported by WASH partners during the reporting period2]]="",0,WWWW[[#This Row],['# of functional latrines in THF supported by WASH partners during the reporting period2]]*50)</f>
        <v>0</v>
      </c>
      <c r="DB421" s="473">
        <f>WWWW[[#This Row],['# students access to functioning school latrines_HRP5]]+WWWW[[#This Row],['# People access to functioning latrines in THF_HRP5]]</f>
        <v>0</v>
      </c>
      <c r="DC421" s="867">
        <f>ROUND(IF(WWWW[[#This Row],[Location Type 1]]="camp",WWWW[[#This Row],[Total PoP ]]/20,IF(WWWW[[#This Row],[Location Type 1]]="Temporary Location",WWWW[[#This Row],[Total PoP ]]/50,(WWWW[[#This Row],[Total PoP ]]/6))),0)</f>
        <v>22</v>
      </c>
      <c r="DD421" s="867">
        <f>IF(WWWW[[#This Row],[Total required Latrines]]-(WWWW[[#This Row],['#_Constructed latrines_by_WASHAgencies]]+WWWW[[#This Row],['#_Non Cluster partner latrines]])&lt;0,0,WWWW[[#This Row],[Total required Latrines]]-(WWWW[[#This Row],['#_Constructed latrines_by_WASHAgencies]]+WWWW[[#This Row],['#_Non Cluster partner latrines]]))</f>
        <v>0</v>
      </c>
      <c r="DE421" s="869">
        <f>1-WWWW[[#This Row],[% people access to functioning Latrine]]</f>
        <v>0</v>
      </c>
      <c r="DF421" s="868">
        <f>IF(OR(WWWW[[#This Row],['#_Non-functional latrines]]="",WWWW[[#This Row],['#_Non-functional latrines]]=0),0,WWWW[[#This Row],['#_Non-functional latrines]]/(WWWW[[#This Row],['#_Constructed latrines_by_WASHAgencies]]+WWWW[[#This Row],['#_Non Cluster partner latrines]]))</f>
        <v>0</v>
      </c>
      <c r="DG421" s="864">
        <f>IF(500*(WWWW[[#This Row],['#_male hygiene promoters]]+WWWW[[#This Row],['#_female hygiene promoters]])&gt;WWWW[[#This Row],[Total PoP ]],WWWW[[#This Row],[Total PoP ]],500*(WWWW[[#This Row],['#_male hygiene promoters]]+WWWW[[#This Row],['#_female hygiene promoters]]))</f>
        <v>0</v>
      </c>
      <c r="DH42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1" s="867">
        <f>IF(WWWW[[#This Row],['# People with access to soap]]&gt;WWWW[[#This Row],['# People with access to Sanity Pads]],WWWW[[#This Row],['# People with access to soap]],WWWW[[#This Row],['# People with access to Sanity Pads]])</f>
        <v>0</v>
      </c>
      <c r="DK42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21" s="869">
        <f>IF(WWWW[[#This Row],[HRP3]]/WWWW[[#This Row],[Total PoP ]]&gt;1,1,WWWW[[#This Row],[HRP3]]/WWWW[[#This Row],[Total PoP ]])</f>
        <v>0</v>
      </c>
      <c r="DM421" s="868">
        <f>1-WWWW[[#This Row],[Hygiene Coverage%]]</f>
        <v>1</v>
      </c>
      <c r="DN421" s="866">
        <f>WWWW[[#This Row],['# people reached by regular dedicated hygiene promotion_5]]/WWWW[[#This Row],[Total PoP ]]</f>
        <v>0</v>
      </c>
      <c r="DO42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1" s="867">
        <f>WWWW[[#This Row],['#_Constructed/Existing hand washing stations]]-WWWW[[#This Row],['#_Non-Functional_hand_washing_stations]]</f>
        <v>8</v>
      </c>
      <c r="DR421" s="864">
        <f>IF(WWWW[[#This Row],['# Functional hand washing stations during reporting period]]*20&gt;WWWW[[#This Row],[Total HH]],WWWW[[#This Row],[Total HH]],WWWW[[#This Row],['# Functional hand washing stations during reporting period]]*20)</f>
        <v>92</v>
      </c>
      <c r="DS421" s="864">
        <f>IF(WWWW[[#This Row],[Is sufficient soap available for TLS? (Yes/No)]]="yes",WWWW[[#This Row],['#_Constructed/Existing hand washing stations at TLS]],0)</f>
        <v>0</v>
      </c>
      <c r="DT421" s="479">
        <f>IF(WWWW[[#This Row],['# Functional hand washing stations during reporting period]]*100&gt;WWWW[[#This Row],[Total PoP ]],WWWW[[#This Row],[Total PoP ]],WWWW[[#This Row],['# Functional hand washing stations during reporting period]]*100)</f>
        <v>448</v>
      </c>
      <c r="DU421" s="479" t="str">
        <f>IF(OR(WWWW[[#This Row],['#_students at TLS_CFS]]="",WWWW[[#This Row],['#_students at TLS_CFS]]=0),"No","Yes")</f>
        <v>No</v>
      </c>
      <c r="DV42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1" s="862" t="str">
        <f>VLOOKUP(WWWW[[#This Row],[Site Name]],SiteDB6[[Site Name]:[CCCM Management]],6,FALSE)</f>
        <v>Yes</v>
      </c>
      <c r="DZ421" s="862" t="str">
        <f>VLOOKUP(WWWW[[#This Row],[Site Name]],SiteDB6[[Site Name]:[CCCM Focal Agency]],7,FALSE)</f>
        <v>Shalom</v>
      </c>
      <c r="EA421" s="862" t="str">
        <f>VLOOKUP(WWWW[[#This Row],[Site Name]],SiteDB6[[Site Name]:[Location Type 1]],9,FALSE)</f>
        <v>Camp</v>
      </c>
      <c r="EB421" s="862" t="str">
        <f>VLOOKUP(WWWW[[#This Row],[Site Name]],SiteDB6[[Site Name]:[Type of Accommodation]],10,FALSE)</f>
        <v>Camp</v>
      </c>
      <c r="EC421" s="862" t="str">
        <f>VLOOKUP(WWWW[[#This Row],[Site Name]],SiteDB6[[Site Name]:[Ethnic or GCA/NGCA]],11,FALSE)</f>
        <v>GCA</v>
      </c>
      <c r="ED421" s="862">
        <f>VLOOKUP(WWWW[[#This Row],[Site Name]],SiteDB6[[Site Name]:[Lat]],12,FALSE)</f>
        <v>25.321710740740698</v>
      </c>
      <c r="EE421" s="862">
        <f>VLOOKUP(WWWW[[#This Row],[Site Name]],SiteDB6[[Site Name]:[Long]],13,FALSE)</f>
        <v>97.404195925926004</v>
      </c>
      <c r="EF421" s="862" t="str">
        <f>VLOOKUP(WWWW[[#This Row],[Site Name]],SiteDB6[[Site Name]:[Pcode]],3,FALSE)</f>
        <v>MMR001CMP028</v>
      </c>
      <c r="EG421" s="865" t="str">
        <f t="shared" si="12"/>
        <v>Covered</v>
      </c>
      <c r="EH421" s="865" t="str">
        <f>VLOOKUP(WWWW[[#This Row],[Site Name]],Site_DB!$C$389:$D$1120,2,FALSE)</f>
        <v>cccm_2019OCT</v>
      </c>
    </row>
    <row r="422" spans="1:138">
      <c r="A422" s="860" t="s">
        <v>3263</v>
      </c>
      <c r="B422" s="860" t="s">
        <v>144</v>
      </c>
      <c r="C422" s="861" t="s">
        <v>144</v>
      </c>
      <c r="D422" s="861" t="s">
        <v>3280</v>
      </c>
      <c r="E422" s="861" t="s">
        <v>39</v>
      </c>
      <c r="F422" s="861" t="s">
        <v>145</v>
      </c>
      <c r="G422" s="721" t="str">
        <f>VLOOKUP(WWWW[[#This Row],[Site Name]],SiteDB6[[Site Name]:[Location Type]],8,FALSE)</f>
        <v>Camp</v>
      </c>
      <c r="H422" s="861" t="s">
        <v>178</v>
      </c>
      <c r="I422" s="851">
        <v>140</v>
      </c>
      <c r="J422" s="851">
        <v>875</v>
      </c>
      <c r="K422" s="863">
        <v>43475</v>
      </c>
      <c r="L422" s="859" t="s">
        <v>3281</v>
      </c>
      <c r="M422" s="851"/>
      <c r="N422" s="851"/>
      <c r="O422" s="851"/>
      <c r="P422" s="851"/>
      <c r="Q422" s="864" t="s">
        <v>43</v>
      </c>
      <c r="R422" s="851"/>
      <c r="S422" s="851">
        <v>3</v>
      </c>
      <c r="T422" s="523">
        <v>0</v>
      </c>
      <c r="U422" s="851"/>
      <c r="V422" s="851"/>
      <c r="W422" s="851">
        <v>0</v>
      </c>
      <c r="X422" s="851"/>
      <c r="Y422" s="851"/>
      <c r="Z422" s="851"/>
      <c r="AA422" s="851">
        <v>1</v>
      </c>
      <c r="AB422" s="851"/>
      <c r="AC422" s="851"/>
      <c r="AD422" s="851"/>
      <c r="AE422" s="851"/>
      <c r="AF422" s="851"/>
      <c r="AG422" s="851"/>
      <c r="AH422" s="851">
        <v>0</v>
      </c>
      <c r="AI422" s="851"/>
      <c r="AJ422" s="851"/>
      <c r="AK422" s="851"/>
      <c r="AL422" s="851"/>
      <c r="AM422" s="851"/>
      <c r="AN422" s="851"/>
      <c r="AO422" s="865"/>
      <c r="AP422" s="851">
        <v>50</v>
      </c>
      <c r="AQ422" s="851"/>
      <c r="AR422" s="866"/>
      <c r="AS422" s="851"/>
      <c r="AT422" s="851"/>
      <c r="AU422" s="851"/>
      <c r="AV422" s="851"/>
      <c r="AW422" s="851">
        <v>50</v>
      </c>
      <c r="AX422" s="862" t="s">
        <v>43</v>
      </c>
      <c r="AY422" s="865" t="s">
        <v>140</v>
      </c>
      <c r="AZ422" s="851"/>
      <c r="BA422" s="851"/>
      <c r="BB422" s="851"/>
      <c r="BC422" s="523"/>
      <c r="BD422" s="523"/>
      <c r="BE422" s="862"/>
      <c r="BF422" s="851">
        <v>50</v>
      </c>
      <c r="BG422" s="851"/>
      <c r="BH422" s="851"/>
      <c r="BI422" s="851">
        <v>4</v>
      </c>
      <c r="BJ422" s="851"/>
      <c r="BK422" s="851"/>
      <c r="BL422" s="851">
        <v>3</v>
      </c>
      <c r="BM422" s="851"/>
      <c r="BN422" s="851"/>
      <c r="BO422" s="862"/>
      <c r="BP422" s="867"/>
      <c r="BQ422" s="866"/>
      <c r="BR422" s="862"/>
      <c r="BS422" s="472"/>
      <c r="BT422" s="472"/>
      <c r="BU422" s="474"/>
      <c r="BV422" s="472"/>
      <c r="BW422" s="523"/>
      <c r="BX422" s="523"/>
      <c r="BY422" s="523"/>
      <c r="BZ422" s="868" t="str">
        <f>IFERROR(WWWW[[#This Row],['#_Water sources passed]]/WWWW[[#This Row],['#_Water sources tested for fecal coliform ]],"no test")</f>
        <v>no test</v>
      </c>
      <c r="CA422" s="866" t="str">
        <f>IFERROR(WWWW[[#This Row],['#_Household passed]]/WWWW[[#This Row],['#_Household water samples tested for fecal coliform]],"no test")</f>
        <v>no test</v>
      </c>
      <c r="CB422" s="867" t="str">
        <f>IF(AND(WWWW[[#This Row],[% of water sources passed]]="no test",WWWW[[#This Row],[% Household passed]]="no test"),"No Test","Tested")</f>
        <v>No Test</v>
      </c>
      <c r="CC422" s="867">
        <f>WWWW[[#This Row],['#_Constructed/existing protected hand dug well]]-WWWW[[#This Row],['#_Non-functional protected hand dug well]]</f>
        <v>0</v>
      </c>
      <c r="CD422" s="867">
        <f>(WWWW[[#This Row],['#_Constructed/Existing tube wells/boreholes/handpumps_WASH_agency]]+WWWW[[#This Row],['#_Non-Cluster partner water tube-wells/boreholes/handpumps]])-WWWW[[#This Row],['#_Non-functional tube wells/boreholes/handpumps]]</f>
        <v>0</v>
      </c>
      <c r="CE422" s="867">
        <f>WWWW[[#This Row],['#_Constructed/Existingwater storage tank with gravity fed reticulation system]]-WWWW[[#This Row],['#_Non-functional storage tank gravity fed reticulation system]]</f>
        <v>1</v>
      </c>
      <c r="CF422" s="867">
        <f>(WWWW[[#This Row],['#_Water_Liters_supplied_by_Water boating or water trucking]]/90)/15</f>
        <v>0</v>
      </c>
      <c r="CG422" s="867">
        <f>WWWW[[#This Row],['#_Water_Liters_from_Constructed/Existing water distribution system from river or natural spring]]/90/15</f>
        <v>0</v>
      </c>
      <c r="CH422" s="473">
        <f>WWWW[[#This Row],['#_of water points in TLS/CFS /THF]]*500</f>
        <v>0</v>
      </c>
      <c r="CI42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7.6190476190476197E-2</v>
      </c>
      <c r="CJ42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7.6190476190476197E-2</v>
      </c>
      <c r="CK422" s="866">
        <f>IF(WWWW[[#This Row],[Location Type 1]]="Village",WWWW[[#This Row],[Access to safe drinking water for Village]],WWWW[[#This Row],[Access to safe drinking water for Camp]])</f>
        <v>7.6190476190476197E-2</v>
      </c>
      <c r="CL422" s="864">
        <f>WWWW[[#This Row],[%Equitable and continuous access to sufficient quantity of safe drinking water]]*WWWW[[#This Row],[Total PoP ]]</f>
        <v>66.666666666666671</v>
      </c>
      <c r="CM422" s="866">
        <f>IF((WWWW[[#This Row],['#_Constructed/Existing protected/fenced ponds]]*250)/WWWW[[#This Row],[Total PoP ]]&gt;1,1,(WWWW[[#This Row],['#_Constructed/Existing protected/fenced ponds]]*250)/WWWW[[#This Row],[Total PoP ]])</f>
        <v>0</v>
      </c>
      <c r="CN422" s="864">
        <f>WWWW[[#This Row],[% Access to unimproved water points]]*WWWW[[#This Row],[Total PoP ]]</f>
        <v>0</v>
      </c>
      <c r="CO42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P42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22" s="864">
        <f>WWWW[[#This Row],[HRP1]]/500</f>
        <v>0.13333333333333333</v>
      </c>
      <c r="CR422" s="869">
        <f>1-WWWW[[#This Row],[% Equitable and continuous access to sufficient quantity of domestic water]]</f>
        <v>0.92380952380952386</v>
      </c>
      <c r="CS422" s="864">
        <f>WWWW[[#This Row],[%equitable and continuous access to sufficient quantity of safe drinking and domestic water''s GAP]]*WWWW[[#This Row],[Total PoP ]]</f>
        <v>808.33333333333337</v>
      </c>
      <c r="CT422" s="867">
        <f>IF(WWWW[[#This Row],[Total required water points]]-WWWW[[#This Row],['#Water points coverage]]&lt;0,0,WWWW[[#This Row],[Total required water points]]-WWWW[[#This Row],['#Water points coverage]])</f>
        <v>1.8666666666666667</v>
      </c>
      <c r="CU422" s="867">
        <f>ROUND(IF(WWWW[[#This Row],[Total PoP ]]&lt;500,1,WWWW[[#This Row],[Total PoP ]]/500),0)</f>
        <v>2</v>
      </c>
      <c r="CV422" s="867">
        <f>(WWWW[[#This Row],['#_Constructed latrines_by_WASHAgencies]]+WWWW[[#This Row],['#_Non Cluster partner latrines]])-WWWW[[#This Row],['#_Non-functional latrines]]</f>
        <v>50</v>
      </c>
      <c r="CW422" s="804">
        <f>WWWW[[#This Row],[HRP2]]/WWWW[[#This Row],[Total PoP ]]</f>
        <v>1</v>
      </c>
      <c r="CX42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875</v>
      </c>
      <c r="CY42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2" s="473">
        <f>IF(WWWW[[#This Row],['# of functional latrines in THF supported by WASH partners during the reporting period2]]="",0,WWWW[[#This Row],['# of functional latrines in THF supported by WASH partners during the reporting period2]]*50)</f>
        <v>0</v>
      </c>
      <c r="DB422" s="473">
        <f>WWWW[[#This Row],['# students access to functioning school latrines_HRP5]]+WWWW[[#This Row],['# People access to functioning latrines in THF_HRP5]]</f>
        <v>0</v>
      </c>
      <c r="DC422" s="867">
        <f>ROUND(IF(WWWW[[#This Row],[Location Type 1]]="camp",WWWW[[#This Row],[Total PoP ]]/20,IF(WWWW[[#This Row],[Location Type 1]]="Temporary Location",WWWW[[#This Row],[Total PoP ]]/50,(WWWW[[#This Row],[Total PoP ]]/6))),0)</f>
        <v>44</v>
      </c>
      <c r="DD422" s="867">
        <f>IF(WWWW[[#This Row],[Total required Latrines]]-(WWWW[[#This Row],['#_Constructed latrines_by_WASHAgencies]]+WWWW[[#This Row],['#_Non Cluster partner latrines]])&lt;0,0,WWWW[[#This Row],[Total required Latrines]]-(WWWW[[#This Row],['#_Constructed latrines_by_WASHAgencies]]+WWWW[[#This Row],['#_Non Cluster partner latrines]]))</f>
        <v>0</v>
      </c>
      <c r="DE422" s="869">
        <f>1-WWWW[[#This Row],[% people access to functioning Latrine]]</f>
        <v>0</v>
      </c>
      <c r="DF422" s="868">
        <f>IF(OR(WWWW[[#This Row],['#_Non-functional latrines]]="",WWWW[[#This Row],['#_Non-functional latrines]]=0),0,WWWW[[#This Row],['#_Non-functional latrines]]/(WWWW[[#This Row],['#_Constructed latrines_by_WASHAgencies]]+WWWW[[#This Row],['#_Non Cluster partner latrines]]))</f>
        <v>0</v>
      </c>
      <c r="DG422" s="864">
        <f>IF(500*(WWWW[[#This Row],['#_male hygiene promoters]]+WWWW[[#This Row],['#_female hygiene promoters]])&gt;WWWW[[#This Row],[Total PoP ]],WWWW[[#This Row],[Total PoP ]],500*(WWWW[[#This Row],['#_male hygiene promoters]]+WWWW[[#This Row],['#_female hygiene promoters]]))</f>
        <v>875</v>
      </c>
      <c r="DH42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2" s="867">
        <f>IF(WWWW[[#This Row],['# People with access to soap]]&gt;WWWW[[#This Row],['# People with access to Sanity Pads]],WWWW[[#This Row],['# People with access to soap]],WWWW[[#This Row],['# People with access to Sanity Pads]])</f>
        <v>0</v>
      </c>
      <c r="DK422" s="867">
        <f>IF(WWWW[[#This Row],['# people reached by regular dedicated hygiene promotion_5]]&gt;WWWW[[#This Row],['# People received regular supply of hygiene items_6]],WWWW[[#This Row],['# people reached by regular dedicated hygiene promotion_5]],WWWW[[#This Row],['# People received regular supply of hygiene items_6]])</f>
        <v>875</v>
      </c>
      <c r="DL422" s="869">
        <f>IF(WWWW[[#This Row],[HRP3]]/WWWW[[#This Row],[Total PoP ]]&gt;1,1,WWWW[[#This Row],[HRP3]]/WWWW[[#This Row],[Total PoP ]])</f>
        <v>1</v>
      </c>
      <c r="DM422" s="868">
        <f>1-WWWW[[#This Row],[Hygiene Coverage%]]</f>
        <v>0</v>
      </c>
      <c r="DN422" s="866">
        <f>WWWW[[#This Row],['# people reached by regular dedicated hygiene promotion_5]]/WWWW[[#This Row],[Total PoP ]]</f>
        <v>1</v>
      </c>
      <c r="DO42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2" s="867">
        <f>WWWW[[#This Row],['#_Constructed/Existing hand washing stations]]-WWWW[[#This Row],['#_Non-Functional_hand_washing_stations]]</f>
        <v>50</v>
      </c>
      <c r="DR422" s="864">
        <f>IF(WWWW[[#This Row],['# Functional hand washing stations during reporting period]]*20&gt;WWWW[[#This Row],[Total HH]],WWWW[[#This Row],[Total HH]],WWWW[[#This Row],['# Functional hand washing stations during reporting period]]*20)</f>
        <v>140</v>
      </c>
      <c r="DS422" s="864">
        <f>IF(WWWW[[#This Row],[Is sufficient soap available for TLS? (Yes/No)]]="yes",WWWW[[#This Row],['#_Constructed/Existing hand washing stations at TLS]],0)</f>
        <v>0</v>
      </c>
      <c r="DT422" s="479">
        <f>IF(WWWW[[#This Row],['# Functional hand washing stations during reporting period]]*100&gt;WWWW[[#This Row],[Total PoP ]],WWWW[[#This Row],[Total PoP ]],WWWW[[#This Row],['# Functional hand washing stations during reporting period]]*100)</f>
        <v>875</v>
      </c>
      <c r="DU422" s="479" t="str">
        <f>IF(OR(WWWW[[#This Row],['#_students at TLS_CFS]]="",WWWW[[#This Row],['#_students at TLS_CFS]]=0),"No","Yes")</f>
        <v>No</v>
      </c>
      <c r="DV42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2" s="862" t="str">
        <f>VLOOKUP(WWWW[[#This Row],[Site Name]],SiteDB6[[Site Name]:[CCCM Management]],6,FALSE)</f>
        <v>Yes</v>
      </c>
      <c r="DZ422" s="862" t="str">
        <f>VLOOKUP(WWWW[[#This Row],[Site Name]],SiteDB6[[Site Name]:[CCCM Focal Agency]],7,FALSE)</f>
        <v>KBC-MYT</v>
      </c>
      <c r="EA422" s="862" t="str">
        <f>VLOOKUP(WWWW[[#This Row],[Site Name]],SiteDB6[[Site Name]:[Location Type 1]],9,FALSE)</f>
        <v>Camp</v>
      </c>
      <c r="EB422" s="862" t="str">
        <f>VLOOKUP(WWWW[[#This Row],[Site Name]],SiteDB6[[Site Name]:[Type of Accommodation]],10,FALSE)</f>
        <v>Camp</v>
      </c>
      <c r="EC422" s="862" t="str">
        <f>VLOOKUP(WWWW[[#This Row],[Site Name]],SiteDB6[[Site Name]:[Ethnic or GCA/NGCA]],11,FALSE)</f>
        <v>NGCA</v>
      </c>
      <c r="ED422" s="862">
        <f>VLOOKUP(WWWW[[#This Row],[Site Name]],SiteDB6[[Site Name]:[Lat]],12,FALSE)</f>
        <v>25.200333000000001</v>
      </c>
      <c r="EE422" s="862">
        <f>VLOOKUP(WWWW[[#This Row],[Site Name]],SiteDB6[[Site Name]:[Long]],13,FALSE)</f>
        <v>97.807182999999995</v>
      </c>
      <c r="EF422" s="862" t="str">
        <f>VLOOKUP(WWWW[[#This Row],[Site Name]],SiteDB6[[Site Name]:[Pcode]],3,FALSE)</f>
        <v>MMR001CMP115</v>
      </c>
      <c r="EG422" s="865" t="str">
        <f t="shared" si="12"/>
        <v>Covered</v>
      </c>
      <c r="EH422" s="865" t="str">
        <f>VLOOKUP(WWWW[[#This Row],[Site Name]],Site_DB!$C$389:$D$1120,2,FALSE)</f>
        <v>cccm_2019OCT</v>
      </c>
    </row>
    <row r="423" spans="1:138">
      <c r="A423" s="860" t="s">
        <v>3263</v>
      </c>
      <c r="B423" s="860" t="s">
        <v>3373</v>
      </c>
      <c r="C423" s="861" t="s">
        <v>3373</v>
      </c>
      <c r="D423" s="861" t="s">
        <v>3375</v>
      </c>
      <c r="E423" s="861" t="s">
        <v>39</v>
      </c>
      <c r="F423" s="861" t="s">
        <v>40</v>
      </c>
      <c r="G423" s="721" t="str">
        <f>VLOOKUP(WWWW[[#This Row],[Site Name]],SiteDB6[[Site Name]:[Location Type]],8,FALSE)</f>
        <v>Camp</v>
      </c>
      <c r="H423" s="861" t="s">
        <v>186</v>
      </c>
      <c r="I423" s="851">
        <v>429</v>
      </c>
      <c r="J423" s="851">
        <v>1900</v>
      </c>
      <c r="K423" s="863" t="s">
        <v>3603</v>
      </c>
      <c r="L423" s="859" t="s">
        <v>3384</v>
      </c>
      <c r="M423" s="851"/>
      <c r="N423" s="851">
        <v>18</v>
      </c>
      <c r="O423" s="851">
        <v>37</v>
      </c>
      <c r="P423" s="851"/>
      <c r="Q423" s="864" t="s">
        <v>43</v>
      </c>
      <c r="R423" s="851">
        <v>14</v>
      </c>
      <c r="S423" s="851">
        <v>42</v>
      </c>
      <c r="T423" s="523">
        <v>0</v>
      </c>
      <c r="U423" s="851"/>
      <c r="V423" s="851"/>
      <c r="W423" s="851">
        <v>4</v>
      </c>
      <c r="X423" s="851"/>
      <c r="Y423" s="851"/>
      <c r="Z423" s="851"/>
      <c r="AA423" s="851"/>
      <c r="AB423" s="851"/>
      <c r="AC423" s="851"/>
      <c r="AD423" s="851"/>
      <c r="AE423" s="851"/>
      <c r="AF423" s="851"/>
      <c r="AG423" s="851">
        <v>5</v>
      </c>
      <c r="AH423" s="851"/>
      <c r="AI423" s="851"/>
      <c r="AJ423" s="851"/>
      <c r="AK423" s="851"/>
      <c r="AL423" s="851"/>
      <c r="AM423" s="851">
        <v>8</v>
      </c>
      <c r="AN423" s="851"/>
      <c r="AO423" s="865" t="s">
        <v>3380</v>
      </c>
      <c r="AP423" s="851">
        <v>110</v>
      </c>
      <c r="AQ423" s="851"/>
      <c r="AR423" s="866"/>
      <c r="AS423" s="851"/>
      <c r="AT423" s="851"/>
      <c r="AU423" s="851"/>
      <c r="AV423" s="851"/>
      <c r="AW423" s="851">
        <v>110</v>
      </c>
      <c r="AX423" s="862" t="s">
        <v>43</v>
      </c>
      <c r="AY423" s="865" t="s">
        <v>140</v>
      </c>
      <c r="AZ423" s="851"/>
      <c r="BA423" s="851"/>
      <c r="BB423" s="851">
        <v>4</v>
      </c>
      <c r="BC423" s="523"/>
      <c r="BD423" s="523">
        <v>76</v>
      </c>
      <c r="BE423" s="862" t="s">
        <v>3381</v>
      </c>
      <c r="BF423" s="851">
        <v>7</v>
      </c>
      <c r="BG423" s="851"/>
      <c r="BH423" s="851"/>
      <c r="BI423" s="851">
        <v>10</v>
      </c>
      <c r="BJ423" s="851"/>
      <c r="BK423" s="851"/>
      <c r="BL423" s="851">
        <v>6</v>
      </c>
      <c r="BM423" s="851"/>
      <c r="BN423" s="851"/>
      <c r="BO423" s="862"/>
      <c r="BP423" s="867"/>
      <c r="BQ423" s="866"/>
      <c r="BR423" s="862" t="s">
        <v>3382</v>
      </c>
      <c r="BS423" s="472"/>
      <c r="BT423" s="472"/>
      <c r="BU423" s="474"/>
      <c r="BV423" s="472"/>
      <c r="BW423" s="523"/>
      <c r="BX423" s="523"/>
      <c r="BY423" s="523"/>
      <c r="BZ423" s="868" t="str">
        <f>IFERROR(WWWW[[#This Row],['#_Water sources passed]]/WWWW[[#This Row],['#_Water sources tested for fecal coliform ]],"no test")</f>
        <v>no test</v>
      </c>
      <c r="CA423" s="866" t="str">
        <f>IFERROR(WWWW[[#This Row],['#_Household passed]]/WWWW[[#This Row],['#_Household water samples tested for fecal coliform]],"no test")</f>
        <v>no test</v>
      </c>
      <c r="CB423" s="867" t="str">
        <f>IF(AND(WWWW[[#This Row],[% of water sources passed]]="no test",WWWW[[#This Row],[% Household passed]]="no test"),"No Test","Tested")</f>
        <v>No Test</v>
      </c>
      <c r="CC423" s="867">
        <f>WWWW[[#This Row],['#_Constructed/existing protected hand dug well]]-WWWW[[#This Row],['#_Non-functional protected hand dug well]]</f>
        <v>0</v>
      </c>
      <c r="CD423" s="867">
        <f>(WWWW[[#This Row],['#_Constructed/Existing tube wells/boreholes/handpumps_WASH_agency]]+WWWW[[#This Row],['#_Non-Cluster partner water tube-wells/boreholes/handpumps]])-WWWW[[#This Row],['#_Non-functional tube wells/boreholes/handpumps]]</f>
        <v>4</v>
      </c>
      <c r="CE423" s="867">
        <f>WWWW[[#This Row],['#_Constructed/Existingwater storage tank with gravity fed reticulation system]]-WWWW[[#This Row],['#_Non-functional storage tank gravity fed reticulation system]]</f>
        <v>0</v>
      </c>
      <c r="CF423" s="867">
        <f>(WWWW[[#This Row],['#_Water_Liters_supplied_by_Water boating or water trucking]]/90)/15</f>
        <v>0</v>
      </c>
      <c r="CG423" s="867">
        <f>WWWW[[#This Row],['#_Water_Liters_from_Constructed/Existing water distribution system from river or natural spring]]/90/15</f>
        <v>0</v>
      </c>
      <c r="CH423" s="473">
        <f>WWWW[[#This Row],['#_of water points in TLS/CFS /THF]]*500</f>
        <v>0</v>
      </c>
      <c r="CI42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0.52631578947368418</v>
      </c>
      <c r="CK423" s="866">
        <f>IF(WWWW[[#This Row],[Location Type 1]]="Village",WWWW[[#This Row],[Access to safe drinking water for Village]],WWWW[[#This Row],[Access to safe drinking water for Camp]])</f>
        <v>1</v>
      </c>
      <c r="CL423" s="864">
        <f>WWWW[[#This Row],[%Equitable and continuous access to sufficient quantity of safe drinking water]]*WWWW[[#This Row],[Total PoP ]]</f>
        <v>1900</v>
      </c>
      <c r="CM423" s="866">
        <f>IF((WWWW[[#This Row],['#_Constructed/Existing protected/fenced ponds]]*250)/WWWW[[#This Row],[Total PoP ]]&gt;1,1,(WWWW[[#This Row],['#_Constructed/Existing protected/fenced ponds]]*250)/WWWW[[#This Row],[Total PoP ]])</f>
        <v>0</v>
      </c>
      <c r="CN423" s="864">
        <f>WWWW[[#This Row],[% Access to unimproved water points]]*WWWW[[#This Row],[Total PoP ]]</f>
        <v>0</v>
      </c>
      <c r="CO42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Q423" s="864">
        <f>WWWW[[#This Row],[HRP1]]/500</f>
        <v>3.8</v>
      </c>
      <c r="CR423" s="869">
        <f>1-WWWW[[#This Row],[% Equitable and continuous access to sufficient quantity of domestic water]]</f>
        <v>0</v>
      </c>
      <c r="CS423" s="864">
        <f>WWWW[[#This Row],[%equitable and continuous access to sufficient quantity of safe drinking and domestic water''s GAP]]*WWWW[[#This Row],[Total PoP ]]</f>
        <v>0</v>
      </c>
      <c r="CT423" s="867">
        <f>IF(WWWW[[#This Row],[Total required water points]]-WWWW[[#This Row],['#Water points coverage]]&lt;0,0,WWWW[[#This Row],[Total required water points]]-WWWW[[#This Row],['#Water points coverage]])</f>
        <v>0.20000000000000018</v>
      </c>
      <c r="CU423" s="867">
        <f>ROUND(IF(WWWW[[#This Row],[Total PoP ]]&lt;500,1,WWWW[[#This Row],[Total PoP ]]/500),0)</f>
        <v>4</v>
      </c>
      <c r="CV423" s="867">
        <f>(WWWW[[#This Row],['#_Constructed latrines_by_WASHAgencies]]+WWWW[[#This Row],['#_Non Cluster partner latrines]])-WWWW[[#This Row],['#_Non-functional latrines]]</f>
        <v>110</v>
      </c>
      <c r="CW423" s="804">
        <f>WWWW[[#This Row],[HRP2]]/WWWW[[#This Row],[Total PoP ]]</f>
        <v>1</v>
      </c>
      <c r="CX42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CY42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3" s="473">
        <f>IF(WWWW[[#This Row],['# of functional latrines in THF supported by WASH partners during the reporting period2]]="",0,WWWW[[#This Row],['# of functional latrines in THF supported by WASH partners during the reporting period2]]*50)</f>
        <v>0</v>
      </c>
      <c r="DB423" s="473">
        <f>WWWW[[#This Row],['# students access to functioning school latrines_HRP5]]+WWWW[[#This Row],['# People access to functioning latrines in THF_HRP5]]</f>
        <v>0</v>
      </c>
      <c r="DC423" s="867">
        <f>ROUND(IF(WWWW[[#This Row],[Location Type 1]]="camp",WWWW[[#This Row],[Total PoP ]]/20,IF(WWWW[[#This Row],[Location Type 1]]="Temporary Location",WWWW[[#This Row],[Total PoP ]]/50,(WWWW[[#This Row],[Total PoP ]]/6))),0)</f>
        <v>95</v>
      </c>
      <c r="DD423" s="867">
        <f>IF(WWWW[[#This Row],[Total required Latrines]]-(WWWW[[#This Row],['#_Constructed latrines_by_WASHAgencies]]+WWWW[[#This Row],['#_Non Cluster partner latrines]])&lt;0,0,WWWW[[#This Row],[Total required Latrines]]-(WWWW[[#This Row],['#_Constructed latrines_by_WASHAgencies]]+WWWW[[#This Row],['#_Non Cluster partner latrines]]))</f>
        <v>0</v>
      </c>
      <c r="DE423" s="869">
        <f>1-WWWW[[#This Row],[% people access to functioning Latrine]]</f>
        <v>0</v>
      </c>
      <c r="DF423" s="868">
        <f>IF(OR(WWWW[[#This Row],['#_Non-functional latrines]]="",WWWW[[#This Row],['#_Non-functional latrines]]=0),0,WWWW[[#This Row],['#_Non-functional latrines]]/(WWWW[[#This Row],['#_Constructed latrines_by_WASHAgencies]]+WWWW[[#This Row],['#_Non Cluster partner latrines]]))</f>
        <v>0</v>
      </c>
      <c r="DG423" s="864">
        <f>IF(500*(WWWW[[#This Row],['#_male hygiene promoters]]+WWWW[[#This Row],['#_female hygiene promoters]])&gt;WWWW[[#This Row],[Total PoP ]],WWWW[[#This Row],[Total PoP ]],500*(WWWW[[#This Row],['#_male hygiene promoters]]+WWWW[[#This Row],['#_female hygiene promoters]]))</f>
        <v>1900</v>
      </c>
      <c r="DH42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3" s="867">
        <f>IF(WWWW[[#This Row],['# People with access to soap]]&gt;WWWW[[#This Row],['# People with access to Sanity Pads]],WWWW[[#This Row],['# People with access to soap]],WWWW[[#This Row],['# People with access to Sanity Pads]])</f>
        <v>0</v>
      </c>
      <c r="DK423" s="867">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L423" s="869">
        <f>IF(WWWW[[#This Row],[HRP3]]/WWWW[[#This Row],[Total PoP ]]&gt;1,1,WWWW[[#This Row],[HRP3]]/WWWW[[#This Row],[Total PoP ]])</f>
        <v>1</v>
      </c>
      <c r="DM423" s="868">
        <f>1-WWWW[[#This Row],[Hygiene Coverage%]]</f>
        <v>0</v>
      </c>
      <c r="DN423" s="866">
        <f>WWWW[[#This Row],['# people reached by regular dedicated hygiene promotion_5]]/WWWW[[#This Row],[Total PoP ]]</f>
        <v>1</v>
      </c>
      <c r="DO42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3" s="867">
        <f>WWWW[[#This Row],['#_Constructed/Existing hand washing stations]]-WWWW[[#This Row],['#_Non-Functional_hand_washing_stations]]</f>
        <v>7</v>
      </c>
      <c r="DR423" s="864">
        <f>IF(WWWW[[#This Row],['# Functional hand washing stations during reporting period]]*20&gt;WWWW[[#This Row],[Total HH]],WWWW[[#This Row],[Total HH]],WWWW[[#This Row],['# Functional hand washing stations during reporting period]]*20)</f>
        <v>140</v>
      </c>
      <c r="DS423" s="864">
        <f>IF(WWWW[[#This Row],[Is sufficient soap available for TLS? (Yes/No)]]="yes",WWWW[[#This Row],['#_Constructed/Existing hand washing stations at TLS]],0)</f>
        <v>0</v>
      </c>
      <c r="DT423" s="479">
        <f>IF(WWWW[[#This Row],['# Functional hand washing stations during reporting period]]*100&gt;WWWW[[#This Row],[Total PoP ]],WWWW[[#This Row],[Total PoP ]],WWWW[[#This Row],['# Functional hand washing stations during reporting period]]*100)</f>
        <v>700</v>
      </c>
      <c r="DU423" s="479" t="str">
        <f>IF(OR(WWWW[[#This Row],['#_students at TLS_CFS]]="",WWWW[[#This Row],['#_students at TLS_CFS]]=0),"No","Yes")</f>
        <v>No</v>
      </c>
      <c r="DV42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3" s="862" t="str">
        <f>VLOOKUP(WWWW[[#This Row],[Site Name]],SiteDB6[[Site Name]:[CCCM Management]],6,FALSE)</f>
        <v>Yes</v>
      </c>
      <c r="DZ423" s="862" t="str">
        <f>VLOOKUP(WWWW[[#This Row],[Site Name]],SiteDB6[[Site Name]:[CCCM Focal Agency]],7,FALSE)</f>
        <v>KBC-BMO</v>
      </c>
      <c r="EA423" s="862" t="str">
        <f>VLOOKUP(WWWW[[#This Row],[Site Name]],SiteDB6[[Site Name]:[Location Type 1]],9,FALSE)</f>
        <v>Camp</v>
      </c>
      <c r="EB423" s="862" t="str">
        <f>VLOOKUP(WWWW[[#This Row],[Site Name]],SiteDB6[[Site Name]:[Type of Accommodation]],10,FALSE)</f>
        <v>Camp</v>
      </c>
      <c r="EC423" s="862" t="str">
        <f>VLOOKUP(WWWW[[#This Row],[Site Name]],SiteDB6[[Site Name]:[Ethnic or GCA/NGCA]],11,FALSE)</f>
        <v>GCA</v>
      </c>
      <c r="ED423" s="862">
        <f>VLOOKUP(WWWW[[#This Row],[Site Name]],SiteDB6[[Site Name]:[Lat]],12,FALSE)</f>
        <v>23.972453000000002</v>
      </c>
      <c r="EE423" s="862">
        <f>VLOOKUP(WWWW[[#This Row],[Site Name]],SiteDB6[[Site Name]:[Long]],13,FALSE)</f>
        <v>97.225881000000001</v>
      </c>
      <c r="EF423" s="862" t="str">
        <f>VLOOKUP(WWWW[[#This Row],[Site Name]],SiteDB6[[Site Name]:[Pcode]],3,FALSE)</f>
        <v>MMR001CMP218</v>
      </c>
      <c r="EG423" s="865" t="str">
        <f t="shared" si="12"/>
        <v>Covered</v>
      </c>
      <c r="EH423" s="865" t="str">
        <f>VLOOKUP(WWWW[[#This Row],[Site Name]],Site_DB!$C$389:$D$1120,2,FALSE)</f>
        <v>cccm_2019OCT</v>
      </c>
    </row>
    <row r="424" spans="1:138">
      <c r="A424" s="860" t="s">
        <v>3263</v>
      </c>
      <c r="B424" s="860" t="s">
        <v>144</v>
      </c>
      <c r="C424" s="861" t="s">
        <v>144</v>
      </c>
      <c r="D424" s="861" t="s">
        <v>3277</v>
      </c>
      <c r="E424" s="861" t="s">
        <v>39</v>
      </c>
      <c r="F424" s="861" t="s">
        <v>162</v>
      </c>
      <c r="G424" s="721" t="str">
        <f>VLOOKUP(WWWW[[#This Row],[Site Name]],SiteDB6[[Site Name]:[Location Type]],8,FALSE)</f>
        <v>Camp</v>
      </c>
      <c r="H424" s="861" t="s">
        <v>166</v>
      </c>
      <c r="I424" s="851">
        <v>99</v>
      </c>
      <c r="J424" s="851">
        <v>547</v>
      </c>
      <c r="K424" s="863" t="s">
        <v>3278</v>
      </c>
      <c r="L424" s="859" t="s">
        <v>3279</v>
      </c>
      <c r="M424" s="851"/>
      <c r="N424" s="851"/>
      <c r="O424" s="851"/>
      <c r="P424" s="851"/>
      <c r="Q424" s="864" t="s">
        <v>43</v>
      </c>
      <c r="R424" s="851"/>
      <c r="S424" s="851"/>
      <c r="T424" s="523">
        <v>0</v>
      </c>
      <c r="U424" s="851"/>
      <c r="V424" s="851"/>
      <c r="W424" s="851">
        <v>3</v>
      </c>
      <c r="X424" s="851"/>
      <c r="Y424" s="851"/>
      <c r="Z424" s="851"/>
      <c r="AA424" s="851"/>
      <c r="AB424" s="851"/>
      <c r="AC424" s="851"/>
      <c r="AD424" s="851"/>
      <c r="AE424" s="851"/>
      <c r="AF424" s="851"/>
      <c r="AG424" s="851"/>
      <c r="AH424" s="851">
        <v>2</v>
      </c>
      <c r="AI424" s="851"/>
      <c r="AJ424" s="851"/>
      <c r="AK424" s="851"/>
      <c r="AL424" s="851"/>
      <c r="AM424" s="851"/>
      <c r="AN424" s="851"/>
      <c r="AO424" s="865"/>
      <c r="AP424" s="851">
        <v>8</v>
      </c>
      <c r="AQ424" s="851"/>
      <c r="AR424" s="866"/>
      <c r="AS424" s="851"/>
      <c r="AT424" s="851"/>
      <c r="AU424" s="851"/>
      <c r="AV424" s="851"/>
      <c r="AW424" s="851">
        <v>8</v>
      </c>
      <c r="AX424" s="862" t="s">
        <v>43</v>
      </c>
      <c r="AY424" s="865" t="s">
        <v>1195</v>
      </c>
      <c r="AZ424" s="851"/>
      <c r="BA424" s="851"/>
      <c r="BB424" s="851"/>
      <c r="BC424" s="523"/>
      <c r="BD424" s="523"/>
      <c r="BE424" s="862"/>
      <c r="BF424" s="851">
        <v>5</v>
      </c>
      <c r="BG424" s="851"/>
      <c r="BH424" s="851"/>
      <c r="BI424" s="851">
        <v>2</v>
      </c>
      <c r="BJ424" s="851"/>
      <c r="BK424" s="851"/>
      <c r="BL424" s="851">
        <v>1</v>
      </c>
      <c r="BM424" s="851"/>
      <c r="BN424" s="851"/>
      <c r="BO424" s="862"/>
      <c r="BP424" s="867"/>
      <c r="BQ424" s="866"/>
      <c r="BR424" s="862"/>
      <c r="BS424" s="472"/>
      <c r="BT424" s="472"/>
      <c r="BU424" s="474"/>
      <c r="BV424" s="472"/>
      <c r="BW424" s="523"/>
      <c r="BX424" s="523"/>
      <c r="BY424" s="523"/>
      <c r="BZ424" s="868" t="str">
        <f>IFERROR(WWWW[[#This Row],['#_Water sources passed]]/WWWW[[#This Row],['#_Water sources tested for fecal coliform ]],"no test")</f>
        <v>no test</v>
      </c>
      <c r="CA424" s="866" t="str">
        <f>IFERROR(WWWW[[#This Row],['#_Household passed]]/WWWW[[#This Row],['#_Household water samples tested for fecal coliform]],"no test")</f>
        <v>no test</v>
      </c>
      <c r="CB424" s="867" t="str">
        <f>IF(AND(WWWW[[#This Row],[% of water sources passed]]="no test",WWWW[[#This Row],[% Household passed]]="no test"),"No Test","Tested")</f>
        <v>No Test</v>
      </c>
      <c r="CC424" s="867">
        <f>WWWW[[#This Row],['#_Constructed/existing protected hand dug well]]-WWWW[[#This Row],['#_Non-functional protected hand dug well]]</f>
        <v>0</v>
      </c>
      <c r="CD424" s="867">
        <f>(WWWW[[#This Row],['#_Constructed/Existing tube wells/boreholes/handpumps_WASH_agency]]+WWWW[[#This Row],['#_Non-Cluster partner water tube-wells/boreholes/handpumps]])-WWWW[[#This Row],['#_Non-functional tube wells/boreholes/handpumps]]</f>
        <v>3</v>
      </c>
      <c r="CE424" s="867">
        <f>WWWW[[#This Row],['#_Constructed/Existingwater storage tank with gravity fed reticulation system]]-WWWW[[#This Row],['#_Non-functional storage tank gravity fed reticulation system]]</f>
        <v>0</v>
      </c>
      <c r="CF424" s="867">
        <f>(WWWW[[#This Row],['#_Water_Liters_supplied_by_Water boating or water trucking]]/90)/15</f>
        <v>0</v>
      </c>
      <c r="CG424" s="867">
        <f>WWWW[[#This Row],['#_Water_Liters_from_Constructed/Existing water distribution system from river or natural spring]]/90/15</f>
        <v>0</v>
      </c>
      <c r="CH424" s="473">
        <f>WWWW[[#This Row],['#_of water points in TLS/CFS /THF]]*500</f>
        <v>0</v>
      </c>
      <c r="CI42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4" s="866">
        <f>IF(WWWW[[#This Row],[Location Type 1]]="Village",WWWW[[#This Row],[Access to safe drinking water for Village]],WWWW[[#This Row],[Access to safe drinking water for Camp]])</f>
        <v>1</v>
      </c>
      <c r="CL424" s="864">
        <f>WWWW[[#This Row],[%Equitable and continuous access to sufficient quantity of safe drinking water]]*WWWW[[#This Row],[Total PoP ]]</f>
        <v>547</v>
      </c>
      <c r="CM424" s="866">
        <f>IF((WWWW[[#This Row],['#_Constructed/Existing protected/fenced ponds]]*250)/WWWW[[#This Row],[Total PoP ]]&gt;1,1,(WWWW[[#This Row],['#_Constructed/Existing protected/fenced ponds]]*250)/WWWW[[#This Row],[Total PoP ]])</f>
        <v>0</v>
      </c>
      <c r="CN424" s="864">
        <f>WWWW[[#This Row],[% Access to unimproved water points]]*WWWW[[#This Row],[Total PoP ]]</f>
        <v>0</v>
      </c>
      <c r="CO42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424" s="864">
        <f>WWWW[[#This Row],[HRP1]]/500</f>
        <v>1.0940000000000001</v>
      </c>
      <c r="CR424" s="869">
        <f>1-WWWW[[#This Row],[% Equitable and continuous access to sufficient quantity of domestic water]]</f>
        <v>0</v>
      </c>
      <c r="CS424" s="864">
        <f>WWWW[[#This Row],[%equitable and continuous access to sufficient quantity of safe drinking and domestic water''s GAP]]*WWWW[[#This Row],[Total PoP ]]</f>
        <v>0</v>
      </c>
      <c r="CT424" s="867">
        <f>IF(WWWW[[#This Row],[Total required water points]]-WWWW[[#This Row],['#Water points coverage]]&lt;0,0,WWWW[[#This Row],[Total required water points]]-WWWW[[#This Row],['#Water points coverage]])</f>
        <v>0</v>
      </c>
      <c r="CU424" s="867">
        <f>ROUND(IF(WWWW[[#This Row],[Total PoP ]]&lt;500,1,WWWW[[#This Row],[Total PoP ]]/500),0)</f>
        <v>1</v>
      </c>
      <c r="CV424" s="867">
        <f>(WWWW[[#This Row],['#_Constructed latrines_by_WASHAgencies]]+WWWW[[#This Row],['#_Non Cluster partner latrines]])-WWWW[[#This Row],['#_Non-functional latrines]]</f>
        <v>8</v>
      </c>
      <c r="CW424" s="804">
        <f>WWWW[[#This Row],[HRP2]]/WWWW[[#This Row],[Total PoP ]]</f>
        <v>0.29250457038391225</v>
      </c>
      <c r="CX42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42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4" s="473">
        <f>IF(WWWW[[#This Row],['# of functional latrines in THF supported by WASH partners during the reporting period2]]="",0,WWWW[[#This Row],['# of functional latrines in THF supported by WASH partners during the reporting period2]]*50)</f>
        <v>0</v>
      </c>
      <c r="DB424" s="473">
        <f>WWWW[[#This Row],['# students access to functioning school latrines_HRP5]]+WWWW[[#This Row],['# People access to functioning latrines in THF_HRP5]]</f>
        <v>0</v>
      </c>
      <c r="DC424" s="867">
        <f>ROUND(IF(WWWW[[#This Row],[Location Type 1]]="camp",WWWW[[#This Row],[Total PoP ]]/20,IF(WWWW[[#This Row],[Location Type 1]]="Temporary Location",WWWW[[#This Row],[Total PoP ]]/50,(WWWW[[#This Row],[Total PoP ]]/6))),0)</f>
        <v>27</v>
      </c>
      <c r="DD424" s="867">
        <f>IF(WWWW[[#This Row],[Total required Latrines]]-(WWWW[[#This Row],['#_Constructed latrines_by_WASHAgencies]]+WWWW[[#This Row],['#_Non Cluster partner latrines]])&lt;0,0,WWWW[[#This Row],[Total required Latrines]]-(WWWW[[#This Row],['#_Constructed latrines_by_WASHAgencies]]+WWWW[[#This Row],['#_Non Cluster partner latrines]]))</f>
        <v>19</v>
      </c>
      <c r="DE424" s="869">
        <f>1-WWWW[[#This Row],[% people access to functioning Latrine]]</f>
        <v>0.7074954296160878</v>
      </c>
      <c r="DF424" s="868">
        <f>IF(OR(WWWW[[#This Row],['#_Non-functional latrines]]="",WWWW[[#This Row],['#_Non-functional latrines]]=0),0,WWWW[[#This Row],['#_Non-functional latrines]]/(WWWW[[#This Row],['#_Constructed latrines_by_WASHAgencies]]+WWWW[[#This Row],['#_Non Cluster partner latrines]]))</f>
        <v>0</v>
      </c>
      <c r="DG424" s="864">
        <f>IF(500*(WWWW[[#This Row],['#_male hygiene promoters]]+WWWW[[#This Row],['#_female hygiene promoters]])&gt;WWWW[[#This Row],[Total PoP ]],WWWW[[#This Row],[Total PoP ]],500*(WWWW[[#This Row],['#_male hygiene promoters]]+WWWW[[#This Row],['#_female hygiene promoters]]))</f>
        <v>500</v>
      </c>
      <c r="DH42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4" s="867">
        <f>IF(WWWW[[#This Row],['# People with access to soap]]&gt;WWWW[[#This Row],['# People with access to Sanity Pads]],WWWW[[#This Row],['# People with access to soap]],WWWW[[#This Row],['# People with access to Sanity Pads]])</f>
        <v>0</v>
      </c>
      <c r="DK424" s="86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424" s="869">
        <f>IF(WWWW[[#This Row],[HRP3]]/WWWW[[#This Row],[Total PoP ]]&gt;1,1,WWWW[[#This Row],[HRP3]]/WWWW[[#This Row],[Total PoP ]])</f>
        <v>0.91407678244972579</v>
      </c>
      <c r="DM424" s="868">
        <f>1-WWWW[[#This Row],[Hygiene Coverage%]]</f>
        <v>8.5923217550274211E-2</v>
      </c>
      <c r="DN424" s="866">
        <f>WWWW[[#This Row],['# people reached by regular dedicated hygiene promotion_5]]/WWWW[[#This Row],[Total PoP ]]</f>
        <v>0.91407678244972579</v>
      </c>
      <c r="DO42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4" s="867">
        <f>WWWW[[#This Row],['#_Constructed/Existing hand washing stations]]-WWWW[[#This Row],['#_Non-Functional_hand_washing_stations]]</f>
        <v>5</v>
      </c>
      <c r="DR424" s="864">
        <f>IF(WWWW[[#This Row],['# Functional hand washing stations during reporting period]]*20&gt;WWWW[[#This Row],[Total HH]],WWWW[[#This Row],[Total HH]],WWWW[[#This Row],['# Functional hand washing stations during reporting period]]*20)</f>
        <v>99</v>
      </c>
      <c r="DS424" s="864">
        <f>IF(WWWW[[#This Row],[Is sufficient soap available for TLS? (Yes/No)]]="yes",WWWW[[#This Row],['#_Constructed/Existing hand washing stations at TLS]],0)</f>
        <v>0</v>
      </c>
      <c r="DT424" s="479">
        <f>IF(WWWW[[#This Row],['# Functional hand washing stations during reporting period]]*100&gt;WWWW[[#This Row],[Total PoP ]],WWWW[[#This Row],[Total PoP ]],WWWW[[#This Row],['# Functional hand washing stations during reporting period]]*100)</f>
        <v>500</v>
      </c>
      <c r="DU424" s="479" t="str">
        <f>IF(OR(WWWW[[#This Row],['#_students at TLS_CFS]]="",WWWW[[#This Row],['#_students at TLS_CFS]]=0),"No","Yes")</f>
        <v>No</v>
      </c>
      <c r="DV42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4" s="862" t="str">
        <f>VLOOKUP(WWWW[[#This Row],[Site Name]],SiteDB6[[Site Name]:[CCCM Management]],6,FALSE)</f>
        <v>Yes</v>
      </c>
      <c r="DZ424" s="862" t="str">
        <f>VLOOKUP(WWWW[[#This Row],[Site Name]],SiteDB6[[Site Name]:[CCCM Focal Agency]],7,FALSE)</f>
        <v>KBC-MYT</v>
      </c>
      <c r="EA424" s="862" t="str">
        <f>VLOOKUP(WWWW[[#This Row],[Site Name]],SiteDB6[[Site Name]:[Location Type 1]],9,FALSE)</f>
        <v>Camp</v>
      </c>
      <c r="EB424" s="862" t="str">
        <f>VLOOKUP(WWWW[[#This Row],[Site Name]],SiteDB6[[Site Name]:[Type of Accommodation]],10,FALSE)</f>
        <v>Camp</v>
      </c>
      <c r="EC424" s="862" t="str">
        <f>VLOOKUP(WWWW[[#This Row],[Site Name]],SiteDB6[[Site Name]:[Ethnic or GCA/NGCA]],11,FALSE)</f>
        <v>GCA</v>
      </c>
      <c r="ED424" s="862">
        <f>VLOOKUP(WWWW[[#This Row],[Site Name]],SiteDB6[[Site Name]:[Lat]],12,FALSE)</f>
        <v>25.362420757575801</v>
      </c>
      <c r="EE424" s="862">
        <f>VLOOKUP(WWWW[[#This Row],[Site Name]],SiteDB6[[Site Name]:[Long]],13,FALSE)</f>
        <v>97.409035000000003</v>
      </c>
      <c r="EF424" s="862" t="str">
        <f>VLOOKUP(WWWW[[#This Row],[Site Name]],SiteDB6[[Site Name]:[Pcode]],3,FALSE)</f>
        <v>MMR001CMP015</v>
      </c>
      <c r="EG424" s="865" t="str">
        <f t="shared" si="12"/>
        <v>Covered</v>
      </c>
      <c r="EH424" s="865" t="str">
        <f>VLOOKUP(WWWW[[#This Row],[Site Name]],Site_DB!$C$389:$D$1120,2,FALSE)</f>
        <v>cccm_2019OCT</v>
      </c>
    </row>
    <row r="425" spans="1:138">
      <c r="A425" s="860" t="s">
        <v>3263</v>
      </c>
      <c r="B425" s="860" t="s">
        <v>144</v>
      </c>
      <c r="C425" s="861" t="s">
        <v>144</v>
      </c>
      <c r="D425" s="861" t="s">
        <v>3277</v>
      </c>
      <c r="E425" s="861" t="s">
        <v>39</v>
      </c>
      <c r="F425" s="861" t="s">
        <v>162</v>
      </c>
      <c r="G425" s="721" t="str">
        <f>VLOOKUP(WWWW[[#This Row],[Site Name]],SiteDB6[[Site Name]:[Location Type]],8,FALSE)</f>
        <v>Camp</v>
      </c>
      <c r="H425" s="861" t="s">
        <v>167</v>
      </c>
      <c r="I425" s="851">
        <v>132</v>
      </c>
      <c r="J425" s="851">
        <v>676</v>
      </c>
      <c r="K425" s="863" t="s">
        <v>3278</v>
      </c>
      <c r="L425" s="859" t="s">
        <v>3279</v>
      </c>
      <c r="M425" s="851"/>
      <c r="N425" s="851"/>
      <c r="O425" s="851"/>
      <c r="P425" s="851"/>
      <c r="Q425" s="864" t="s">
        <v>43</v>
      </c>
      <c r="R425" s="851"/>
      <c r="S425" s="851">
        <v>5</v>
      </c>
      <c r="T425" s="523">
        <v>0</v>
      </c>
      <c r="U425" s="851"/>
      <c r="V425" s="851"/>
      <c r="W425" s="851">
        <v>3</v>
      </c>
      <c r="X425" s="851"/>
      <c r="Y425" s="851"/>
      <c r="Z425" s="851"/>
      <c r="AA425" s="851"/>
      <c r="AB425" s="851"/>
      <c r="AC425" s="851"/>
      <c r="AD425" s="851"/>
      <c r="AE425" s="851"/>
      <c r="AF425" s="851"/>
      <c r="AG425" s="851"/>
      <c r="AH425" s="851">
        <v>2</v>
      </c>
      <c r="AI425" s="851"/>
      <c r="AJ425" s="851"/>
      <c r="AK425" s="851"/>
      <c r="AL425" s="851"/>
      <c r="AM425" s="851"/>
      <c r="AN425" s="851"/>
      <c r="AO425" s="865"/>
      <c r="AP425" s="851">
        <v>32</v>
      </c>
      <c r="AQ425" s="851"/>
      <c r="AR425" s="866"/>
      <c r="AS425" s="851"/>
      <c r="AT425" s="851"/>
      <c r="AU425" s="851"/>
      <c r="AV425" s="851"/>
      <c r="AW425" s="851">
        <v>32</v>
      </c>
      <c r="AX425" s="862" t="s">
        <v>43</v>
      </c>
      <c r="AY425" s="865" t="s">
        <v>140</v>
      </c>
      <c r="AZ425" s="851"/>
      <c r="BA425" s="851"/>
      <c r="BB425" s="851"/>
      <c r="BC425" s="523"/>
      <c r="BD425" s="523"/>
      <c r="BE425" s="862"/>
      <c r="BF425" s="851">
        <v>4</v>
      </c>
      <c r="BG425" s="851"/>
      <c r="BH425" s="851"/>
      <c r="BI425" s="851">
        <v>2</v>
      </c>
      <c r="BJ425" s="851"/>
      <c r="BK425" s="851"/>
      <c r="BL425" s="851">
        <v>1</v>
      </c>
      <c r="BM425" s="851"/>
      <c r="BN425" s="851"/>
      <c r="BO425" s="862"/>
      <c r="BP425" s="867"/>
      <c r="BQ425" s="866"/>
      <c r="BR425" s="862"/>
      <c r="BS425" s="472"/>
      <c r="BT425" s="472"/>
      <c r="BU425" s="474"/>
      <c r="BV425" s="472"/>
      <c r="BW425" s="523"/>
      <c r="BX425" s="523"/>
      <c r="BY425" s="523"/>
      <c r="BZ425" s="868" t="str">
        <f>IFERROR(WWWW[[#This Row],['#_Water sources passed]]/WWWW[[#This Row],['#_Water sources tested for fecal coliform ]],"no test")</f>
        <v>no test</v>
      </c>
      <c r="CA425" s="866" t="str">
        <f>IFERROR(WWWW[[#This Row],['#_Household passed]]/WWWW[[#This Row],['#_Household water samples tested for fecal coliform]],"no test")</f>
        <v>no test</v>
      </c>
      <c r="CB425" s="867" t="str">
        <f>IF(AND(WWWW[[#This Row],[% of water sources passed]]="no test",WWWW[[#This Row],[% Household passed]]="no test"),"No Test","Tested")</f>
        <v>No Test</v>
      </c>
      <c r="CC425" s="867">
        <f>WWWW[[#This Row],['#_Constructed/existing protected hand dug well]]-WWWW[[#This Row],['#_Non-functional protected hand dug well]]</f>
        <v>0</v>
      </c>
      <c r="CD425" s="867">
        <f>(WWWW[[#This Row],['#_Constructed/Existing tube wells/boreholes/handpumps_WASH_agency]]+WWWW[[#This Row],['#_Non-Cluster partner water tube-wells/boreholes/handpumps]])-WWWW[[#This Row],['#_Non-functional tube wells/boreholes/handpumps]]</f>
        <v>3</v>
      </c>
      <c r="CE425" s="867">
        <f>WWWW[[#This Row],['#_Constructed/Existingwater storage tank with gravity fed reticulation system]]-WWWW[[#This Row],['#_Non-functional storage tank gravity fed reticulation system]]</f>
        <v>0</v>
      </c>
      <c r="CF425" s="867">
        <f>(WWWW[[#This Row],['#_Water_Liters_supplied_by_Water boating or water trucking]]/90)/15</f>
        <v>0</v>
      </c>
      <c r="CG425" s="867">
        <f>WWWW[[#This Row],['#_Water_Liters_from_Constructed/Existing water distribution system from river or natural spring]]/90/15</f>
        <v>0</v>
      </c>
      <c r="CH425" s="473">
        <f>WWWW[[#This Row],['#_of water points in TLS/CFS /THF]]*500</f>
        <v>0</v>
      </c>
      <c r="CI42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5" s="866">
        <f>IF(WWWW[[#This Row],[Location Type 1]]="Village",WWWW[[#This Row],[Access to safe drinking water for Village]],WWWW[[#This Row],[Access to safe drinking water for Camp]])</f>
        <v>1</v>
      </c>
      <c r="CL425" s="864">
        <f>WWWW[[#This Row],[%Equitable and continuous access to sufficient quantity of safe drinking water]]*WWWW[[#This Row],[Total PoP ]]</f>
        <v>676</v>
      </c>
      <c r="CM425" s="866">
        <f>IF((WWWW[[#This Row],['#_Constructed/Existing protected/fenced ponds]]*250)/WWWW[[#This Row],[Total PoP ]]&gt;1,1,(WWWW[[#This Row],['#_Constructed/Existing protected/fenced ponds]]*250)/WWWW[[#This Row],[Total PoP ]])</f>
        <v>0</v>
      </c>
      <c r="CN425" s="864">
        <f>WWWW[[#This Row],[% Access to unimproved water points]]*WWWW[[#This Row],[Total PoP ]]</f>
        <v>0</v>
      </c>
      <c r="CO42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Q425" s="864">
        <f>WWWW[[#This Row],[HRP1]]/500</f>
        <v>1.3520000000000001</v>
      </c>
      <c r="CR425" s="869">
        <f>1-WWWW[[#This Row],[% Equitable and continuous access to sufficient quantity of domestic water]]</f>
        <v>0</v>
      </c>
      <c r="CS425" s="864">
        <f>WWWW[[#This Row],[%equitable and continuous access to sufficient quantity of safe drinking and domestic water''s GAP]]*WWWW[[#This Row],[Total PoP ]]</f>
        <v>0</v>
      </c>
      <c r="CT425" s="867">
        <f>IF(WWWW[[#This Row],[Total required water points]]-WWWW[[#This Row],['#Water points coverage]]&lt;0,0,WWWW[[#This Row],[Total required water points]]-WWWW[[#This Row],['#Water points coverage]])</f>
        <v>0</v>
      </c>
      <c r="CU425" s="867">
        <f>ROUND(IF(WWWW[[#This Row],[Total PoP ]]&lt;500,1,WWWW[[#This Row],[Total PoP ]]/500),0)</f>
        <v>1</v>
      </c>
      <c r="CV425" s="867">
        <f>(WWWW[[#This Row],['#_Constructed latrines_by_WASHAgencies]]+WWWW[[#This Row],['#_Non Cluster partner latrines]])-WWWW[[#This Row],['#_Non-functional latrines]]</f>
        <v>32</v>
      </c>
      <c r="CW425" s="804">
        <f>WWWW[[#This Row],[HRP2]]/WWWW[[#This Row],[Total PoP ]]</f>
        <v>0.94674556213017746</v>
      </c>
      <c r="CX42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42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5" s="473">
        <f>IF(WWWW[[#This Row],['# of functional latrines in THF supported by WASH partners during the reporting period2]]="",0,WWWW[[#This Row],['# of functional latrines in THF supported by WASH partners during the reporting period2]]*50)</f>
        <v>0</v>
      </c>
      <c r="DB425" s="473">
        <f>WWWW[[#This Row],['# students access to functioning school latrines_HRP5]]+WWWW[[#This Row],['# People access to functioning latrines in THF_HRP5]]</f>
        <v>0</v>
      </c>
      <c r="DC425" s="867">
        <f>ROUND(IF(WWWW[[#This Row],[Location Type 1]]="camp",WWWW[[#This Row],[Total PoP ]]/20,IF(WWWW[[#This Row],[Location Type 1]]="Temporary Location",WWWW[[#This Row],[Total PoP ]]/50,(WWWW[[#This Row],[Total PoP ]]/6))),0)</f>
        <v>34</v>
      </c>
      <c r="DD425" s="867">
        <f>IF(WWWW[[#This Row],[Total required Latrines]]-(WWWW[[#This Row],['#_Constructed latrines_by_WASHAgencies]]+WWWW[[#This Row],['#_Non Cluster partner latrines]])&lt;0,0,WWWW[[#This Row],[Total required Latrines]]-(WWWW[[#This Row],['#_Constructed latrines_by_WASHAgencies]]+WWWW[[#This Row],['#_Non Cluster partner latrines]]))</f>
        <v>2</v>
      </c>
      <c r="DE425" s="869">
        <f>1-WWWW[[#This Row],[% people access to functioning Latrine]]</f>
        <v>5.3254437869822535E-2</v>
      </c>
      <c r="DF425" s="868">
        <f>IF(OR(WWWW[[#This Row],['#_Non-functional latrines]]="",WWWW[[#This Row],['#_Non-functional latrines]]=0),0,WWWW[[#This Row],['#_Non-functional latrines]]/(WWWW[[#This Row],['#_Constructed latrines_by_WASHAgencies]]+WWWW[[#This Row],['#_Non Cluster partner latrines]]))</f>
        <v>0</v>
      </c>
      <c r="DG425" s="864">
        <f>IF(500*(WWWW[[#This Row],['#_male hygiene promoters]]+WWWW[[#This Row],['#_female hygiene promoters]])&gt;WWWW[[#This Row],[Total PoP ]],WWWW[[#This Row],[Total PoP ]],500*(WWWW[[#This Row],['#_male hygiene promoters]]+WWWW[[#This Row],['#_female hygiene promoters]]))</f>
        <v>500</v>
      </c>
      <c r="DH42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5" s="867">
        <f>IF(WWWW[[#This Row],['# People with access to soap]]&gt;WWWW[[#This Row],['# People with access to Sanity Pads]],WWWW[[#This Row],['# People with access to soap]],WWWW[[#This Row],['# People with access to Sanity Pads]])</f>
        <v>0</v>
      </c>
      <c r="DK425" s="86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425" s="869">
        <f>IF(WWWW[[#This Row],[HRP3]]/WWWW[[#This Row],[Total PoP ]]&gt;1,1,WWWW[[#This Row],[HRP3]]/WWWW[[#This Row],[Total PoP ]])</f>
        <v>0.73964497041420119</v>
      </c>
      <c r="DM425" s="868">
        <f>1-WWWW[[#This Row],[Hygiene Coverage%]]</f>
        <v>0.26035502958579881</v>
      </c>
      <c r="DN425" s="866">
        <f>WWWW[[#This Row],['# people reached by regular dedicated hygiene promotion_5]]/WWWW[[#This Row],[Total PoP ]]</f>
        <v>0.73964497041420119</v>
      </c>
      <c r="DO42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5" s="867">
        <f>WWWW[[#This Row],['#_Constructed/Existing hand washing stations]]-WWWW[[#This Row],['#_Non-Functional_hand_washing_stations]]</f>
        <v>4</v>
      </c>
      <c r="DR425" s="864">
        <f>IF(WWWW[[#This Row],['# Functional hand washing stations during reporting period]]*20&gt;WWWW[[#This Row],[Total HH]],WWWW[[#This Row],[Total HH]],WWWW[[#This Row],['# Functional hand washing stations during reporting period]]*20)</f>
        <v>80</v>
      </c>
      <c r="DS425" s="864">
        <f>IF(WWWW[[#This Row],[Is sufficient soap available for TLS? (Yes/No)]]="yes",WWWW[[#This Row],['#_Constructed/Existing hand washing stations at TLS]],0)</f>
        <v>0</v>
      </c>
      <c r="DT425" s="479">
        <f>IF(WWWW[[#This Row],['# Functional hand washing stations during reporting period]]*100&gt;WWWW[[#This Row],[Total PoP ]],WWWW[[#This Row],[Total PoP ]],WWWW[[#This Row],['# Functional hand washing stations during reporting period]]*100)</f>
        <v>400</v>
      </c>
      <c r="DU425" s="479" t="str">
        <f>IF(OR(WWWW[[#This Row],['#_students at TLS_CFS]]="",WWWW[[#This Row],['#_students at TLS_CFS]]=0),"No","Yes")</f>
        <v>No</v>
      </c>
      <c r="DV42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5" s="862" t="str">
        <f>VLOOKUP(WWWW[[#This Row],[Site Name]],SiteDB6[[Site Name]:[CCCM Management]],6,FALSE)</f>
        <v>Yes</v>
      </c>
      <c r="DZ425" s="862" t="str">
        <f>VLOOKUP(WWWW[[#This Row],[Site Name]],SiteDB6[[Site Name]:[CCCM Focal Agency]],7,FALSE)</f>
        <v>KBC-MYT</v>
      </c>
      <c r="EA425" s="862" t="str">
        <f>VLOOKUP(WWWW[[#This Row],[Site Name]],SiteDB6[[Site Name]:[Location Type 1]],9,FALSE)</f>
        <v>Camp</v>
      </c>
      <c r="EB425" s="862" t="str">
        <f>VLOOKUP(WWWW[[#This Row],[Site Name]],SiteDB6[[Site Name]:[Type of Accommodation]],10,FALSE)</f>
        <v>Camp</v>
      </c>
      <c r="EC425" s="862" t="str">
        <f>VLOOKUP(WWWW[[#This Row],[Site Name]],SiteDB6[[Site Name]:[Ethnic or GCA/NGCA]],11,FALSE)</f>
        <v>GCA</v>
      </c>
      <c r="ED425" s="862">
        <f>VLOOKUP(WWWW[[#This Row],[Site Name]],SiteDB6[[Site Name]:[Lat]],12,FALSE)</f>
        <v>25.3510167948718</v>
      </c>
      <c r="EE425" s="862">
        <f>VLOOKUP(WWWW[[#This Row],[Site Name]],SiteDB6[[Site Name]:[Long]],13,FALSE)</f>
        <v>97.403402307692303</v>
      </c>
      <c r="EF425" s="862" t="str">
        <f>VLOOKUP(WWWW[[#This Row],[Site Name]],SiteDB6[[Site Name]:[Pcode]],3,FALSE)</f>
        <v>MMR001CMP014</v>
      </c>
      <c r="EG425" s="865" t="str">
        <f t="shared" si="12"/>
        <v>Covered</v>
      </c>
      <c r="EH425" s="865" t="str">
        <f>VLOOKUP(WWWW[[#This Row],[Site Name]],Site_DB!$C$389:$D$1120,2,FALSE)</f>
        <v>cccm_2019OCT</v>
      </c>
    </row>
    <row r="426" spans="1:138">
      <c r="A426" s="860" t="s">
        <v>3263</v>
      </c>
      <c r="B426" s="860" t="s">
        <v>3376</v>
      </c>
      <c r="C426" s="861" t="s">
        <v>3376</v>
      </c>
      <c r="D426" s="404" t="s">
        <v>3644</v>
      </c>
      <c r="E426" s="861" t="s">
        <v>39</v>
      </c>
      <c r="F426" s="861" t="s">
        <v>198</v>
      </c>
      <c r="G426" s="721" t="str">
        <f>VLOOKUP(WWWW[[#This Row],[Site Name]],SiteDB6[[Site Name]:[Location Type]],8,FALSE)</f>
        <v>Camp</v>
      </c>
      <c r="H426" s="861" t="s">
        <v>203</v>
      </c>
      <c r="I426" s="851">
        <v>141</v>
      </c>
      <c r="J426" s="851">
        <v>800</v>
      </c>
      <c r="K426" s="863" t="s">
        <v>3604</v>
      </c>
      <c r="L426" s="859" t="s">
        <v>3605</v>
      </c>
      <c r="M426" s="851"/>
      <c r="N426" s="851"/>
      <c r="O426" s="851">
        <v>4</v>
      </c>
      <c r="P426" s="851"/>
      <c r="Q426" s="864" t="s">
        <v>43</v>
      </c>
      <c r="R426" s="851">
        <v>2</v>
      </c>
      <c r="S426" s="851">
        <v>2</v>
      </c>
      <c r="T426" s="523">
        <v>1</v>
      </c>
      <c r="U426" s="851"/>
      <c r="V426" s="851"/>
      <c r="W426" s="851"/>
      <c r="X426" s="851">
        <v>1</v>
      </c>
      <c r="Y426" s="851"/>
      <c r="Z426" s="851"/>
      <c r="AA426" s="851"/>
      <c r="AB426" s="851"/>
      <c r="AC426" s="851"/>
      <c r="AD426" s="851"/>
      <c r="AE426" s="851"/>
      <c r="AF426" s="851"/>
      <c r="AG426" s="851"/>
      <c r="AH426" s="851"/>
      <c r="AI426" s="851"/>
      <c r="AJ426" s="851"/>
      <c r="AK426" s="851"/>
      <c r="AL426" s="851"/>
      <c r="AM426" s="851"/>
      <c r="AN426" s="851"/>
      <c r="AO426" s="865" t="s">
        <v>3380</v>
      </c>
      <c r="AP426" s="851">
        <v>21</v>
      </c>
      <c r="AQ426" s="851"/>
      <c r="AR426" s="866"/>
      <c r="AS426" s="851"/>
      <c r="AT426" s="851"/>
      <c r="AU426" s="851"/>
      <c r="AV426" s="851"/>
      <c r="AW426" s="851"/>
      <c r="AX426" s="862" t="s">
        <v>43</v>
      </c>
      <c r="AY426" s="865" t="s">
        <v>140</v>
      </c>
      <c r="AZ426" s="851"/>
      <c r="BA426" s="851"/>
      <c r="BB426" s="851">
        <v>5</v>
      </c>
      <c r="BC426" s="523"/>
      <c r="BD426" s="523"/>
      <c r="BE426" s="862"/>
      <c r="BF426" s="851">
        <v>12</v>
      </c>
      <c r="BG426" s="851"/>
      <c r="BH426" s="851"/>
      <c r="BI426" s="851">
        <v>5</v>
      </c>
      <c r="BJ426" s="851"/>
      <c r="BK426" s="851"/>
      <c r="BL426" s="851">
        <v>6</v>
      </c>
      <c r="BM426" s="851">
        <v>141</v>
      </c>
      <c r="BN426" s="851"/>
      <c r="BO426" s="862" t="s">
        <v>139</v>
      </c>
      <c r="BP426" s="867"/>
      <c r="BQ426" s="866"/>
      <c r="BR426" s="806" t="s">
        <v>3645</v>
      </c>
      <c r="BS426" s="472"/>
      <c r="BT426" s="472"/>
      <c r="BU426" s="474"/>
      <c r="BV426" s="472"/>
      <c r="BW426" s="523"/>
      <c r="BX426" s="523"/>
      <c r="BY426" s="523"/>
      <c r="BZ426" s="868" t="str">
        <f>IFERROR(WWWW[[#This Row],['#_Water sources passed]]/WWWW[[#This Row],['#_Water sources tested for fecal coliform ]],"no test")</f>
        <v>no test</v>
      </c>
      <c r="CA426" s="866" t="str">
        <f>IFERROR(WWWW[[#This Row],['#_Household passed]]/WWWW[[#This Row],['#_Household water samples tested for fecal coliform]],"no test")</f>
        <v>no test</v>
      </c>
      <c r="CB426" s="867" t="str">
        <f>IF(AND(WWWW[[#This Row],[% of water sources passed]]="no test",WWWW[[#This Row],[% Household passed]]="no test"),"No Test","Tested")</f>
        <v>No Test</v>
      </c>
      <c r="CC426" s="867">
        <f>WWWW[[#This Row],['#_Constructed/existing protected hand dug well]]-WWWW[[#This Row],['#_Non-functional protected hand dug well]]</f>
        <v>1</v>
      </c>
      <c r="CD426" s="867">
        <f>(WWWW[[#This Row],['#_Constructed/Existing tube wells/boreholes/handpumps_WASH_agency]]+WWWW[[#This Row],['#_Non-Cluster partner water tube-wells/boreholes/handpumps]])-WWWW[[#This Row],['#_Non-functional tube wells/boreholes/handpumps]]</f>
        <v>1</v>
      </c>
      <c r="CE426" s="867">
        <f>WWWW[[#This Row],['#_Constructed/Existingwater storage tank with gravity fed reticulation system]]-WWWW[[#This Row],['#_Non-functional storage tank gravity fed reticulation system]]</f>
        <v>0</v>
      </c>
      <c r="CF426" s="867">
        <f>(WWWW[[#This Row],['#_Water_Liters_supplied_by_Water boating or water trucking]]/90)/15</f>
        <v>0</v>
      </c>
      <c r="CG426" s="867">
        <f>WWWW[[#This Row],['#_Water_Liters_from_Constructed/Existing water distribution system from river or natural spring]]/90/15</f>
        <v>0</v>
      </c>
      <c r="CH426" s="473">
        <f>WWWW[[#This Row],['#_of water points in TLS/CFS /THF]]*500</f>
        <v>0</v>
      </c>
      <c r="CI42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v>
      </c>
      <c r="CK426" s="866">
        <f>IF(WWWW[[#This Row],[Location Type 1]]="Village",WWWW[[#This Row],[Access to safe drinking water for Village]],WWWW[[#This Row],[Access to safe drinking water for Camp]])</f>
        <v>1</v>
      </c>
      <c r="CL426" s="864">
        <f>WWWW[[#This Row],[%Equitable and continuous access to sufficient quantity of safe drinking water]]*WWWW[[#This Row],[Total PoP ]]</f>
        <v>800</v>
      </c>
      <c r="CM426" s="866">
        <f>IF((WWWW[[#This Row],['#_Constructed/Existing protected/fenced ponds]]*250)/WWWW[[#This Row],[Total PoP ]]&gt;1,1,(WWWW[[#This Row],['#_Constructed/Existing protected/fenced ponds]]*250)/WWWW[[#This Row],[Total PoP ]])</f>
        <v>0</v>
      </c>
      <c r="CN426" s="864">
        <f>WWWW[[#This Row],[% Access to unimproved water points]]*WWWW[[#This Row],[Total PoP ]]</f>
        <v>0</v>
      </c>
      <c r="CO42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Q426" s="864">
        <f>WWWW[[#This Row],[HRP1]]/500</f>
        <v>1.6</v>
      </c>
      <c r="CR426" s="869">
        <f>1-WWWW[[#This Row],[% Equitable and continuous access to sufficient quantity of domestic water]]</f>
        <v>0</v>
      </c>
      <c r="CS426" s="864">
        <f>WWWW[[#This Row],[%equitable and continuous access to sufficient quantity of safe drinking and domestic water''s GAP]]*WWWW[[#This Row],[Total PoP ]]</f>
        <v>0</v>
      </c>
      <c r="CT426" s="867">
        <f>IF(WWWW[[#This Row],[Total required water points]]-WWWW[[#This Row],['#Water points coverage]]&lt;0,0,WWWW[[#This Row],[Total required water points]]-WWWW[[#This Row],['#Water points coverage]])</f>
        <v>0.39999999999999991</v>
      </c>
      <c r="CU426" s="867">
        <f>ROUND(IF(WWWW[[#This Row],[Total PoP ]]&lt;500,1,WWWW[[#This Row],[Total PoP ]]/500),0)</f>
        <v>2</v>
      </c>
      <c r="CV426" s="867">
        <f>(WWWW[[#This Row],['#_Constructed latrines_by_WASHAgencies]]+WWWW[[#This Row],['#_Non Cluster partner latrines]])-WWWW[[#This Row],['#_Non-functional latrines]]</f>
        <v>21</v>
      </c>
      <c r="CW426" s="804">
        <f>WWWW[[#This Row],[HRP2]]/WWWW[[#This Row],[Total PoP ]]</f>
        <v>0.52500000000000002</v>
      </c>
      <c r="CX42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CY42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6" s="473">
        <f>IF(WWWW[[#This Row],['# of functional latrines in THF supported by WASH partners during the reporting period2]]="",0,WWWW[[#This Row],['# of functional latrines in THF supported by WASH partners during the reporting period2]]*50)</f>
        <v>0</v>
      </c>
      <c r="DB426" s="473">
        <f>WWWW[[#This Row],['# students access to functioning school latrines_HRP5]]+WWWW[[#This Row],['# People access to functioning latrines in THF_HRP5]]</f>
        <v>0</v>
      </c>
      <c r="DC426" s="867">
        <f>ROUND(IF(WWWW[[#This Row],[Location Type 1]]="camp",WWWW[[#This Row],[Total PoP ]]/20,IF(WWWW[[#This Row],[Location Type 1]]="Temporary Location",WWWW[[#This Row],[Total PoP ]]/50,(WWWW[[#This Row],[Total PoP ]]/6))),0)</f>
        <v>40</v>
      </c>
      <c r="DD426" s="867">
        <f>IF(WWWW[[#This Row],[Total required Latrines]]-(WWWW[[#This Row],['#_Constructed latrines_by_WASHAgencies]]+WWWW[[#This Row],['#_Non Cluster partner latrines]])&lt;0,0,WWWW[[#This Row],[Total required Latrines]]-(WWWW[[#This Row],['#_Constructed latrines_by_WASHAgencies]]+WWWW[[#This Row],['#_Non Cluster partner latrines]]))</f>
        <v>19</v>
      </c>
      <c r="DE426" s="869">
        <f>1-WWWW[[#This Row],[% people access to functioning Latrine]]</f>
        <v>0.47499999999999998</v>
      </c>
      <c r="DF426" s="868">
        <f>IF(OR(WWWW[[#This Row],['#_Non-functional latrines]]="",WWWW[[#This Row],['#_Non-functional latrines]]=0),0,WWWW[[#This Row],['#_Non-functional latrines]]/(WWWW[[#This Row],['#_Constructed latrines_by_WASHAgencies]]+WWWW[[#This Row],['#_Non Cluster partner latrines]]))</f>
        <v>0</v>
      </c>
      <c r="DG426" s="864">
        <f>IF(500*(WWWW[[#This Row],['#_male hygiene promoters]]+WWWW[[#This Row],['#_female hygiene promoters]])&gt;WWWW[[#This Row],[Total PoP ]],WWWW[[#This Row],[Total PoP ]],500*(WWWW[[#This Row],['#_male hygiene promoters]]+WWWW[[#This Row],['#_female hygiene promoters]]))</f>
        <v>800</v>
      </c>
      <c r="DH42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800</v>
      </c>
      <c r="DI42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6" s="867">
        <f>IF(WWWW[[#This Row],['# People with access to soap]]&gt;WWWW[[#This Row],['# People with access to Sanity Pads]],WWWW[[#This Row],['# People with access to soap]],WWWW[[#This Row],['# People with access to Sanity Pads]])</f>
        <v>800</v>
      </c>
      <c r="DK426" s="867">
        <f>IF(WWWW[[#This Row],['# people reached by regular dedicated hygiene promotion_5]]&gt;WWWW[[#This Row],['# People received regular supply of hygiene items_6]],WWWW[[#This Row],['# people reached by regular dedicated hygiene promotion_5]],WWWW[[#This Row],['# People received regular supply of hygiene items_6]])</f>
        <v>800</v>
      </c>
      <c r="DL426" s="869">
        <f>IF(WWWW[[#This Row],[HRP3]]/WWWW[[#This Row],[Total PoP ]]&gt;1,1,WWWW[[#This Row],[HRP3]]/WWWW[[#This Row],[Total PoP ]])</f>
        <v>1</v>
      </c>
      <c r="DM426" s="868">
        <f>1-WWWW[[#This Row],[Hygiene Coverage%]]</f>
        <v>0</v>
      </c>
      <c r="DN426" s="866">
        <f>WWWW[[#This Row],['# people reached by regular dedicated hygiene promotion_5]]/WWWW[[#This Row],[Total PoP ]]</f>
        <v>1</v>
      </c>
      <c r="DO42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2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6" s="867">
        <f>WWWW[[#This Row],['#_Constructed/Existing hand washing stations]]-WWWW[[#This Row],['#_Non-Functional_hand_washing_stations]]</f>
        <v>12</v>
      </c>
      <c r="DR426" s="864">
        <f>IF(WWWW[[#This Row],['# Functional hand washing stations during reporting period]]*20&gt;WWWW[[#This Row],[Total HH]],WWWW[[#This Row],[Total HH]],WWWW[[#This Row],['# Functional hand washing stations during reporting period]]*20)</f>
        <v>141</v>
      </c>
      <c r="DS426" s="864">
        <f>IF(WWWW[[#This Row],[Is sufficient soap available for TLS? (Yes/No)]]="yes",WWWW[[#This Row],['#_Constructed/Existing hand washing stations at TLS]],0)</f>
        <v>0</v>
      </c>
      <c r="DT426" s="479">
        <f>IF(WWWW[[#This Row],['# Functional hand washing stations during reporting period]]*100&gt;WWWW[[#This Row],[Total PoP ]],WWWW[[#This Row],[Total PoP ]],WWWW[[#This Row],['# Functional hand washing stations during reporting period]]*100)</f>
        <v>800</v>
      </c>
      <c r="DU426" s="479" t="str">
        <f>IF(OR(WWWW[[#This Row],['#_students at TLS_CFS]]="",WWWW[[#This Row],['#_students at TLS_CFS]]=0),"No","Yes")</f>
        <v>No</v>
      </c>
      <c r="DV42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6" s="862" t="str">
        <f>VLOOKUP(WWWW[[#This Row],[Site Name]],SiteDB6[[Site Name]:[CCCM Management]],6,FALSE)</f>
        <v>Yes</v>
      </c>
      <c r="DZ426" s="862" t="str">
        <f>VLOOKUP(WWWW[[#This Row],[Site Name]],SiteDB6[[Site Name]:[CCCM Focal Agency]],7,FALSE)</f>
        <v>Shalom</v>
      </c>
      <c r="EA426" s="862" t="str">
        <f>VLOOKUP(WWWW[[#This Row],[Site Name]],SiteDB6[[Site Name]:[Location Type 1]],9,FALSE)</f>
        <v>Camp</v>
      </c>
      <c r="EB426" s="862" t="str">
        <f>VLOOKUP(WWWW[[#This Row],[Site Name]],SiteDB6[[Site Name]:[Type of Accommodation]],10,FALSE)</f>
        <v>Camp</v>
      </c>
      <c r="EC426" s="862" t="str">
        <f>VLOOKUP(WWWW[[#This Row],[Site Name]],SiteDB6[[Site Name]:[Ethnic or GCA/NGCA]],11,FALSE)</f>
        <v>GCA</v>
      </c>
      <c r="ED426" s="862">
        <f>VLOOKUP(WWWW[[#This Row],[Site Name]],SiteDB6[[Site Name]:[Lat]],12,FALSE)</f>
        <v>24.2631743589744</v>
      </c>
      <c r="EE426" s="862">
        <f>VLOOKUP(WWWW[[#This Row],[Site Name]],SiteDB6[[Site Name]:[Long]],13,FALSE)</f>
        <v>97.240183461538507</v>
      </c>
      <c r="EF426" s="862" t="str">
        <f>VLOOKUP(WWWW[[#This Row],[Site Name]],SiteDB6[[Site Name]:[Pcode]],3,FALSE)</f>
        <v>MMR001CMP049</v>
      </c>
      <c r="EG426" s="865" t="str">
        <f t="shared" si="12"/>
        <v>Covered</v>
      </c>
      <c r="EH426" s="865" t="str">
        <f>VLOOKUP(WWWW[[#This Row],[Site Name]],Site_DB!$C$389:$D$1120,2,FALSE)</f>
        <v>cccm_2019OCT</v>
      </c>
    </row>
    <row r="427" spans="1:138">
      <c r="A427" s="860" t="s">
        <v>3263</v>
      </c>
      <c r="B427" s="860" t="s">
        <v>144</v>
      </c>
      <c r="C427" s="861" t="s">
        <v>144</v>
      </c>
      <c r="D427" s="861" t="s">
        <v>3277</v>
      </c>
      <c r="E427" s="861" t="s">
        <v>39</v>
      </c>
      <c r="F427" s="861" t="s">
        <v>155</v>
      </c>
      <c r="G427" s="721" t="str">
        <f>VLOOKUP(WWWW[[#This Row],[Site Name]],SiteDB6[[Site Name]:[Location Type]],8,FALSE)</f>
        <v>Camp_not registered</v>
      </c>
      <c r="H427" s="861" t="s">
        <v>2073</v>
      </c>
      <c r="I427" s="851">
        <v>6</v>
      </c>
      <c r="J427" s="851">
        <v>36</v>
      </c>
      <c r="K427" s="863" t="s">
        <v>3278</v>
      </c>
      <c r="L427" s="859" t="s">
        <v>3279</v>
      </c>
      <c r="M427" s="851"/>
      <c r="N427" s="851"/>
      <c r="O427" s="851"/>
      <c r="P427" s="851"/>
      <c r="Q427" s="864" t="s">
        <v>43</v>
      </c>
      <c r="R427" s="851"/>
      <c r="S427" s="851">
        <v>1</v>
      </c>
      <c r="T427" s="523">
        <v>0</v>
      </c>
      <c r="U427" s="851"/>
      <c r="V427" s="851"/>
      <c r="W427" s="851">
        <v>1</v>
      </c>
      <c r="X427" s="851"/>
      <c r="Y427" s="851"/>
      <c r="Z427" s="851"/>
      <c r="AA427" s="851"/>
      <c r="AB427" s="851"/>
      <c r="AC427" s="851"/>
      <c r="AD427" s="851"/>
      <c r="AE427" s="851"/>
      <c r="AF427" s="851"/>
      <c r="AG427" s="851"/>
      <c r="AH427" s="851">
        <v>3</v>
      </c>
      <c r="AI427" s="851"/>
      <c r="AJ427" s="851"/>
      <c r="AK427" s="851"/>
      <c r="AL427" s="851"/>
      <c r="AM427" s="851"/>
      <c r="AN427" s="851"/>
      <c r="AO427" s="865"/>
      <c r="AP427" s="851">
        <v>2</v>
      </c>
      <c r="AQ427" s="851"/>
      <c r="AR427" s="866"/>
      <c r="AS427" s="851"/>
      <c r="AT427" s="851"/>
      <c r="AU427" s="851"/>
      <c r="AV427" s="851"/>
      <c r="AW427" s="851">
        <v>2</v>
      </c>
      <c r="AX427" s="862" t="s">
        <v>43</v>
      </c>
      <c r="AY427" s="865" t="s">
        <v>140</v>
      </c>
      <c r="AZ427" s="851"/>
      <c r="BA427" s="851"/>
      <c r="BB427" s="851"/>
      <c r="BC427" s="523"/>
      <c r="BD427" s="523"/>
      <c r="BE427" s="862"/>
      <c r="BF427" s="851">
        <v>1</v>
      </c>
      <c r="BG427" s="851"/>
      <c r="BH427" s="851"/>
      <c r="BI427" s="851">
        <v>0</v>
      </c>
      <c r="BJ427" s="851"/>
      <c r="BK427" s="851"/>
      <c r="BL427" s="851">
        <v>1</v>
      </c>
      <c r="BM427" s="851"/>
      <c r="BN427" s="851"/>
      <c r="BO427" s="862"/>
      <c r="BP427" s="867"/>
      <c r="BQ427" s="866"/>
      <c r="BR427" s="862"/>
      <c r="BS427" s="472"/>
      <c r="BT427" s="472"/>
      <c r="BU427" s="474"/>
      <c r="BV427" s="472"/>
      <c r="BW427" s="523"/>
      <c r="BX427" s="523"/>
      <c r="BY427" s="523"/>
      <c r="BZ427" s="868" t="str">
        <f>IFERROR(WWWW[[#This Row],['#_Water sources passed]]/WWWW[[#This Row],['#_Water sources tested for fecal coliform ]],"no test")</f>
        <v>no test</v>
      </c>
      <c r="CA427" s="866" t="str">
        <f>IFERROR(WWWW[[#This Row],['#_Household passed]]/WWWW[[#This Row],['#_Household water samples tested for fecal coliform]],"no test")</f>
        <v>no test</v>
      </c>
      <c r="CB427" s="867" t="str">
        <f>IF(AND(WWWW[[#This Row],[% of water sources passed]]="no test",WWWW[[#This Row],[% Household passed]]="no test"),"No Test","Tested")</f>
        <v>No Test</v>
      </c>
      <c r="CC427" s="867">
        <f>WWWW[[#This Row],['#_Constructed/existing protected hand dug well]]-WWWW[[#This Row],['#_Non-functional protected hand dug well]]</f>
        <v>0</v>
      </c>
      <c r="CD427" s="867">
        <f>(WWWW[[#This Row],['#_Constructed/Existing tube wells/boreholes/handpumps_WASH_agency]]+WWWW[[#This Row],['#_Non-Cluster partner water tube-wells/boreholes/handpumps]])-WWWW[[#This Row],['#_Non-functional tube wells/boreholes/handpumps]]</f>
        <v>1</v>
      </c>
      <c r="CE427" s="867">
        <f>WWWW[[#This Row],['#_Constructed/Existingwater storage tank with gravity fed reticulation system]]-WWWW[[#This Row],['#_Non-functional storage tank gravity fed reticulation system]]</f>
        <v>0</v>
      </c>
      <c r="CF427" s="867">
        <f>(WWWW[[#This Row],['#_Water_Liters_supplied_by_Water boating or water trucking]]/90)/15</f>
        <v>0</v>
      </c>
      <c r="CG427" s="867">
        <f>WWWW[[#This Row],['#_Water_Liters_from_Constructed/Existing water distribution system from river or natural spring]]/90/15</f>
        <v>0</v>
      </c>
      <c r="CH427" s="473">
        <f>WWWW[[#This Row],['#_of water points in TLS/CFS /THF]]*500</f>
        <v>0</v>
      </c>
      <c r="CI42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7" s="866">
        <f>IF(WWWW[[#This Row],[Location Type 1]]="Village",WWWW[[#This Row],[Access to safe drinking water for Village]],WWWW[[#This Row],[Access to safe drinking water for Camp]])</f>
        <v>1</v>
      </c>
      <c r="CL427" s="864">
        <f>WWWW[[#This Row],[%Equitable and continuous access to sufficient quantity of safe drinking water]]*WWWW[[#This Row],[Total PoP ]]</f>
        <v>36</v>
      </c>
      <c r="CM427" s="866">
        <f>IF((WWWW[[#This Row],['#_Constructed/Existing protected/fenced ponds]]*250)/WWWW[[#This Row],[Total PoP ]]&gt;1,1,(WWWW[[#This Row],['#_Constructed/Existing protected/fenced ponds]]*250)/WWWW[[#This Row],[Total PoP ]])</f>
        <v>0</v>
      </c>
      <c r="CN427" s="864">
        <f>WWWW[[#This Row],[% Access to unimproved water points]]*WWWW[[#This Row],[Total PoP ]]</f>
        <v>0</v>
      </c>
      <c r="CO42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Q427" s="864">
        <f>WWWW[[#This Row],[HRP1]]/500</f>
        <v>7.1999999999999995E-2</v>
      </c>
      <c r="CR427" s="869">
        <f>1-WWWW[[#This Row],[% Equitable and continuous access to sufficient quantity of domestic water]]</f>
        <v>0</v>
      </c>
      <c r="CS427" s="864">
        <f>WWWW[[#This Row],[%equitable and continuous access to sufficient quantity of safe drinking and domestic water''s GAP]]*WWWW[[#This Row],[Total PoP ]]</f>
        <v>0</v>
      </c>
      <c r="CT427" s="867">
        <f>IF(WWWW[[#This Row],[Total required water points]]-WWWW[[#This Row],['#Water points coverage]]&lt;0,0,WWWW[[#This Row],[Total required water points]]-WWWW[[#This Row],['#Water points coverage]])</f>
        <v>0.92800000000000005</v>
      </c>
      <c r="CU427" s="867">
        <f>ROUND(IF(WWWW[[#This Row],[Total PoP ]]&lt;500,1,WWWW[[#This Row],[Total PoP ]]/500),0)</f>
        <v>1</v>
      </c>
      <c r="CV427" s="867">
        <f>(WWWW[[#This Row],['#_Constructed latrines_by_WASHAgencies]]+WWWW[[#This Row],['#_Non Cluster partner latrines]])-WWWW[[#This Row],['#_Non-functional latrines]]</f>
        <v>2</v>
      </c>
      <c r="CW427" s="804">
        <f>WWWW[[#This Row],[HRP2]]/WWWW[[#This Row],[Total PoP ]]</f>
        <v>1</v>
      </c>
      <c r="CX42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CY42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7" s="473">
        <f>IF(WWWW[[#This Row],['# of functional latrines in THF supported by WASH partners during the reporting period2]]="",0,WWWW[[#This Row],['# of functional latrines in THF supported by WASH partners during the reporting period2]]*50)</f>
        <v>0</v>
      </c>
      <c r="DB427" s="473">
        <f>WWWW[[#This Row],['# students access to functioning school latrines_HRP5]]+WWWW[[#This Row],['# People access to functioning latrines in THF_HRP5]]</f>
        <v>0</v>
      </c>
      <c r="DC427" s="867">
        <f>ROUND(IF(WWWW[[#This Row],[Location Type 1]]="camp",WWWW[[#This Row],[Total PoP ]]/20,IF(WWWW[[#This Row],[Location Type 1]]="Temporary Location",WWWW[[#This Row],[Total PoP ]]/50,(WWWW[[#This Row],[Total PoP ]]/6))),0)</f>
        <v>2</v>
      </c>
      <c r="DD427" s="867">
        <f>IF(WWWW[[#This Row],[Total required Latrines]]-(WWWW[[#This Row],['#_Constructed latrines_by_WASHAgencies]]+WWWW[[#This Row],['#_Non Cluster partner latrines]])&lt;0,0,WWWW[[#This Row],[Total required Latrines]]-(WWWW[[#This Row],['#_Constructed latrines_by_WASHAgencies]]+WWWW[[#This Row],['#_Non Cluster partner latrines]]))</f>
        <v>0</v>
      </c>
      <c r="DE427" s="869">
        <f>1-WWWW[[#This Row],[% people access to functioning Latrine]]</f>
        <v>0</v>
      </c>
      <c r="DF427" s="868">
        <f>IF(OR(WWWW[[#This Row],['#_Non-functional latrines]]="",WWWW[[#This Row],['#_Non-functional latrines]]=0),0,WWWW[[#This Row],['#_Non-functional latrines]]/(WWWW[[#This Row],['#_Constructed latrines_by_WASHAgencies]]+WWWW[[#This Row],['#_Non Cluster partner latrines]]))</f>
        <v>0</v>
      </c>
      <c r="DG427" s="864">
        <f>IF(500*(WWWW[[#This Row],['#_male hygiene promoters]]+WWWW[[#This Row],['#_female hygiene promoters]])&gt;WWWW[[#This Row],[Total PoP ]],WWWW[[#This Row],[Total PoP ]],500*(WWWW[[#This Row],['#_male hygiene promoters]]+WWWW[[#This Row],['#_female hygiene promoters]]))</f>
        <v>36</v>
      </c>
      <c r="DH42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7" s="867">
        <f>IF(WWWW[[#This Row],['# People with access to soap]]&gt;WWWW[[#This Row],['# People with access to Sanity Pads]],WWWW[[#This Row],['# People with access to soap]],WWWW[[#This Row],['# People with access to Sanity Pads]])</f>
        <v>0</v>
      </c>
      <c r="DK427" s="867">
        <f>IF(WWWW[[#This Row],['# people reached by regular dedicated hygiene promotion_5]]&gt;WWWW[[#This Row],['# People received regular supply of hygiene items_6]],WWWW[[#This Row],['# people reached by regular dedicated hygiene promotion_5]],WWWW[[#This Row],['# People received regular supply of hygiene items_6]])</f>
        <v>36</v>
      </c>
      <c r="DL427" s="869">
        <f>IF(WWWW[[#This Row],[HRP3]]/WWWW[[#This Row],[Total PoP ]]&gt;1,1,WWWW[[#This Row],[HRP3]]/WWWW[[#This Row],[Total PoP ]])</f>
        <v>1</v>
      </c>
      <c r="DM427" s="868">
        <f>1-WWWW[[#This Row],[Hygiene Coverage%]]</f>
        <v>0</v>
      </c>
      <c r="DN427" s="866">
        <f>WWWW[[#This Row],['# people reached by regular dedicated hygiene promotion_5]]/WWWW[[#This Row],[Total PoP ]]</f>
        <v>1</v>
      </c>
      <c r="DO42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7" s="867">
        <f>WWWW[[#This Row],['#_Constructed/Existing hand washing stations]]-WWWW[[#This Row],['#_Non-Functional_hand_washing_stations]]</f>
        <v>1</v>
      </c>
      <c r="DR427" s="864">
        <f>IF(WWWW[[#This Row],['# Functional hand washing stations during reporting period]]*20&gt;WWWW[[#This Row],[Total HH]],WWWW[[#This Row],[Total HH]],WWWW[[#This Row],['# Functional hand washing stations during reporting period]]*20)</f>
        <v>6</v>
      </c>
      <c r="DS427" s="864">
        <f>IF(WWWW[[#This Row],[Is sufficient soap available for TLS? (Yes/No)]]="yes",WWWW[[#This Row],['#_Constructed/Existing hand washing stations at TLS]],0)</f>
        <v>0</v>
      </c>
      <c r="DT427" s="479">
        <f>IF(WWWW[[#This Row],['# Functional hand washing stations during reporting period]]*100&gt;WWWW[[#This Row],[Total PoP ]],WWWW[[#This Row],[Total PoP ]],WWWW[[#This Row],['# Functional hand washing stations during reporting period]]*100)</f>
        <v>36</v>
      </c>
      <c r="DU427" s="479" t="str">
        <f>IF(OR(WWWW[[#This Row],['#_students at TLS_CFS]]="",WWWW[[#This Row],['#_students at TLS_CFS]]=0),"No","Yes")</f>
        <v>No</v>
      </c>
      <c r="DV42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7" s="862">
        <f>VLOOKUP(WWWW[[#This Row],[Site Name]],SiteDB6[[Site Name]:[CCCM Management]],6,FALSE)</f>
        <v>0</v>
      </c>
      <c r="DZ427" s="862">
        <f>VLOOKUP(WWWW[[#This Row],[Site Name]],SiteDB6[[Site Name]:[CCCM Focal Agency]],7,FALSE)</f>
        <v>0</v>
      </c>
      <c r="EA427" s="862" t="str">
        <f>VLOOKUP(WWWW[[#This Row],[Site Name]],SiteDB6[[Site Name]:[Location Type 1]],9,FALSE)</f>
        <v>Camp</v>
      </c>
      <c r="EB427" s="862" t="str">
        <f>VLOOKUP(WWWW[[#This Row],[Site Name]],SiteDB6[[Site Name]:[Type of Accommodation]],10,FALSE)</f>
        <v>Camp like setting</v>
      </c>
      <c r="EC427" s="862" t="str">
        <f>VLOOKUP(WWWW[[#This Row],[Site Name]],SiteDB6[[Site Name]:[Ethnic or GCA/NGCA]],11,FALSE)</f>
        <v>GCA</v>
      </c>
      <c r="ED427" s="862">
        <f>VLOOKUP(WWWW[[#This Row],[Site Name]],SiteDB6[[Site Name]:[Lat]],12,FALSE)</f>
        <v>0</v>
      </c>
      <c r="EE427" s="862">
        <f>VLOOKUP(WWWW[[#This Row],[Site Name]],SiteDB6[[Site Name]:[Long]],13,FALSE)</f>
        <v>0</v>
      </c>
      <c r="EF427" s="862">
        <f>VLOOKUP(WWWW[[#This Row],[Site Name]],SiteDB6[[Site Name]:[Pcode]],3,FALSE)</f>
        <v>0</v>
      </c>
      <c r="EG427" s="865" t="str">
        <f t="shared" si="12"/>
        <v>Covered</v>
      </c>
      <c r="EH427" s="865">
        <f>VLOOKUP(WWWW[[#This Row],[Site Name]],Site_DB!$C$389:$D$1120,2,FALSE)</f>
        <v>0</v>
      </c>
    </row>
    <row r="428" spans="1:138">
      <c r="A428" s="860" t="s">
        <v>3263</v>
      </c>
      <c r="B428" s="860" t="s">
        <v>144</v>
      </c>
      <c r="C428" s="861" t="s">
        <v>144</v>
      </c>
      <c r="D428" s="861" t="s">
        <v>3277</v>
      </c>
      <c r="E428" s="861" t="s">
        <v>39</v>
      </c>
      <c r="F428" s="861" t="s">
        <v>155</v>
      </c>
      <c r="G428" s="721" t="str">
        <f>VLOOKUP(WWWW[[#This Row],[Site Name]],SiteDB6[[Site Name]:[Location Type]],8,FALSE)</f>
        <v>Camp</v>
      </c>
      <c r="H428" s="861" t="s">
        <v>2174</v>
      </c>
      <c r="I428" s="851">
        <v>105</v>
      </c>
      <c r="J428" s="851">
        <v>474</v>
      </c>
      <c r="K428" s="863" t="s">
        <v>3278</v>
      </c>
      <c r="L428" s="859" t="s">
        <v>3279</v>
      </c>
      <c r="M428" s="851"/>
      <c r="N428" s="851"/>
      <c r="O428" s="851"/>
      <c r="P428" s="851"/>
      <c r="Q428" s="864" t="s">
        <v>43</v>
      </c>
      <c r="R428" s="851"/>
      <c r="S428" s="851">
        <v>2</v>
      </c>
      <c r="T428" s="523">
        <v>1</v>
      </c>
      <c r="U428" s="851"/>
      <c r="V428" s="851"/>
      <c r="W428" s="851"/>
      <c r="X428" s="851"/>
      <c r="Y428" s="851"/>
      <c r="Z428" s="851"/>
      <c r="AA428" s="851"/>
      <c r="AB428" s="851"/>
      <c r="AC428" s="851"/>
      <c r="AD428" s="851"/>
      <c r="AE428" s="851"/>
      <c r="AF428" s="851"/>
      <c r="AG428" s="851"/>
      <c r="AH428" s="851">
        <v>2</v>
      </c>
      <c r="AI428" s="851"/>
      <c r="AJ428" s="851"/>
      <c r="AK428" s="851"/>
      <c r="AL428" s="851"/>
      <c r="AM428" s="851"/>
      <c r="AN428" s="851"/>
      <c r="AO428" s="865"/>
      <c r="AP428" s="851">
        <v>13</v>
      </c>
      <c r="AQ428" s="851"/>
      <c r="AR428" s="866"/>
      <c r="AS428" s="851"/>
      <c r="AT428" s="851"/>
      <c r="AU428" s="851"/>
      <c r="AV428" s="851"/>
      <c r="AW428" s="851">
        <v>12</v>
      </c>
      <c r="AX428" s="862" t="s">
        <v>43</v>
      </c>
      <c r="AY428" s="865" t="s">
        <v>140</v>
      </c>
      <c r="AZ428" s="851"/>
      <c r="BA428" s="851"/>
      <c r="BB428" s="851"/>
      <c r="BC428" s="523"/>
      <c r="BD428" s="523"/>
      <c r="BE428" s="862"/>
      <c r="BF428" s="851">
        <v>3</v>
      </c>
      <c r="BG428" s="851"/>
      <c r="BH428" s="851"/>
      <c r="BI428" s="851">
        <v>3</v>
      </c>
      <c r="BJ428" s="851"/>
      <c r="BK428" s="851"/>
      <c r="BL428" s="851">
        <v>2</v>
      </c>
      <c r="BM428" s="851"/>
      <c r="BN428" s="851"/>
      <c r="BO428" s="862"/>
      <c r="BP428" s="867"/>
      <c r="BQ428" s="866"/>
      <c r="BR428" s="862"/>
      <c r="BS428" s="472"/>
      <c r="BT428" s="472"/>
      <c r="BU428" s="474"/>
      <c r="BV428" s="472"/>
      <c r="BW428" s="523"/>
      <c r="BX428" s="523"/>
      <c r="BY428" s="523"/>
      <c r="BZ428" s="868" t="str">
        <f>IFERROR(WWWW[[#This Row],['#_Water sources passed]]/WWWW[[#This Row],['#_Water sources tested for fecal coliform ]],"no test")</f>
        <v>no test</v>
      </c>
      <c r="CA428" s="866" t="str">
        <f>IFERROR(WWWW[[#This Row],['#_Household passed]]/WWWW[[#This Row],['#_Household water samples tested for fecal coliform]],"no test")</f>
        <v>no test</v>
      </c>
      <c r="CB428" s="867" t="str">
        <f>IF(AND(WWWW[[#This Row],[% of water sources passed]]="no test",WWWW[[#This Row],[% Household passed]]="no test"),"No Test","Tested")</f>
        <v>No Test</v>
      </c>
      <c r="CC428" s="867">
        <f>WWWW[[#This Row],['#_Constructed/existing protected hand dug well]]-WWWW[[#This Row],['#_Non-functional protected hand dug well]]</f>
        <v>1</v>
      </c>
      <c r="CD428" s="867">
        <f>(WWWW[[#This Row],['#_Constructed/Existing tube wells/boreholes/handpumps_WASH_agency]]+WWWW[[#This Row],['#_Non-Cluster partner water tube-wells/boreholes/handpumps]])-WWWW[[#This Row],['#_Non-functional tube wells/boreholes/handpumps]]</f>
        <v>0</v>
      </c>
      <c r="CE428" s="867">
        <f>WWWW[[#This Row],['#_Constructed/Existingwater storage tank with gravity fed reticulation system]]-WWWW[[#This Row],['#_Non-functional storage tank gravity fed reticulation system]]</f>
        <v>0</v>
      </c>
      <c r="CF428" s="867">
        <f>(WWWW[[#This Row],['#_Water_Liters_supplied_by_Water boating or water trucking]]/90)/15</f>
        <v>0</v>
      </c>
      <c r="CG428" s="867">
        <f>WWWW[[#This Row],['#_Water_Liters_from_Constructed/Existing water distribution system from river or natural spring]]/90/15</f>
        <v>0</v>
      </c>
      <c r="CH428" s="473">
        <f>WWWW[[#This Row],['#_of water points in TLS/CFS /THF]]*500</f>
        <v>0</v>
      </c>
      <c r="CI42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J42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K428" s="866">
        <f>IF(WWWW[[#This Row],[Location Type 1]]="Village",WWWW[[#This Row],[Access to safe drinking water for Village]],WWWW[[#This Row],[Access to safe drinking water for Camp]])</f>
        <v>0.84388185654008441</v>
      </c>
      <c r="CL428" s="864">
        <f>WWWW[[#This Row],[%Equitable and continuous access to sufficient quantity of safe drinking water]]*WWWW[[#This Row],[Total PoP ]]</f>
        <v>400</v>
      </c>
      <c r="CM428" s="866">
        <f>IF((WWWW[[#This Row],['#_Constructed/Existing protected/fenced ponds]]*250)/WWWW[[#This Row],[Total PoP ]]&gt;1,1,(WWWW[[#This Row],['#_Constructed/Existing protected/fenced ponds]]*250)/WWWW[[#This Row],[Total PoP ]])</f>
        <v>0</v>
      </c>
      <c r="CN428" s="864">
        <f>WWWW[[#This Row],[% Access to unimproved water points]]*WWWW[[#This Row],[Total PoP ]]</f>
        <v>0</v>
      </c>
      <c r="CO42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P42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428" s="864">
        <f>WWWW[[#This Row],[HRP1]]/500</f>
        <v>0.8</v>
      </c>
      <c r="CR428" s="869">
        <f>1-WWWW[[#This Row],[% Equitable and continuous access to sufficient quantity of domestic water]]</f>
        <v>0.15611814345991559</v>
      </c>
      <c r="CS428" s="864">
        <f>WWWW[[#This Row],[%equitable and continuous access to sufficient quantity of safe drinking and domestic water''s GAP]]*WWWW[[#This Row],[Total PoP ]]</f>
        <v>73.999999999999986</v>
      </c>
      <c r="CT428" s="867">
        <f>IF(WWWW[[#This Row],[Total required water points]]-WWWW[[#This Row],['#Water points coverage]]&lt;0,0,WWWW[[#This Row],[Total required water points]]-WWWW[[#This Row],['#Water points coverage]])</f>
        <v>0.19999999999999996</v>
      </c>
      <c r="CU428" s="867">
        <f>ROUND(IF(WWWW[[#This Row],[Total PoP ]]&lt;500,1,WWWW[[#This Row],[Total PoP ]]/500),0)</f>
        <v>1</v>
      </c>
      <c r="CV428" s="867">
        <f>(WWWW[[#This Row],['#_Constructed latrines_by_WASHAgencies]]+WWWW[[#This Row],['#_Non Cluster partner latrines]])-WWWW[[#This Row],['#_Non-functional latrines]]</f>
        <v>13</v>
      </c>
      <c r="CW428" s="804">
        <f>WWWW[[#This Row],[HRP2]]/WWWW[[#This Row],[Total PoP ]]</f>
        <v>0.54852320675105481</v>
      </c>
      <c r="CX42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42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8" s="473">
        <f>IF(WWWW[[#This Row],['# of functional latrines in THF supported by WASH partners during the reporting period2]]="",0,WWWW[[#This Row],['# of functional latrines in THF supported by WASH partners during the reporting period2]]*50)</f>
        <v>0</v>
      </c>
      <c r="DB428" s="473">
        <f>WWWW[[#This Row],['# students access to functioning school latrines_HRP5]]+WWWW[[#This Row],['# People access to functioning latrines in THF_HRP5]]</f>
        <v>0</v>
      </c>
      <c r="DC428" s="867">
        <f>ROUND(IF(WWWW[[#This Row],[Location Type 1]]="camp",WWWW[[#This Row],[Total PoP ]]/20,IF(WWWW[[#This Row],[Location Type 1]]="Temporary Location",WWWW[[#This Row],[Total PoP ]]/50,(WWWW[[#This Row],[Total PoP ]]/6))),0)</f>
        <v>24</v>
      </c>
      <c r="DD428" s="867">
        <f>IF(WWWW[[#This Row],[Total required Latrines]]-(WWWW[[#This Row],['#_Constructed latrines_by_WASHAgencies]]+WWWW[[#This Row],['#_Non Cluster partner latrines]])&lt;0,0,WWWW[[#This Row],[Total required Latrines]]-(WWWW[[#This Row],['#_Constructed latrines_by_WASHAgencies]]+WWWW[[#This Row],['#_Non Cluster partner latrines]]))</f>
        <v>11</v>
      </c>
      <c r="DE428" s="869">
        <f>1-WWWW[[#This Row],[% people access to functioning Latrine]]</f>
        <v>0.45147679324894519</v>
      </c>
      <c r="DF428" s="868">
        <f>IF(OR(WWWW[[#This Row],['#_Non-functional latrines]]="",WWWW[[#This Row],['#_Non-functional latrines]]=0),0,WWWW[[#This Row],['#_Non-functional latrines]]/(WWWW[[#This Row],['#_Constructed latrines_by_WASHAgencies]]+WWWW[[#This Row],['#_Non Cluster partner latrines]]))</f>
        <v>0</v>
      </c>
      <c r="DG428" s="864">
        <f>IF(500*(WWWW[[#This Row],['#_male hygiene promoters]]+WWWW[[#This Row],['#_female hygiene promoters]])&gt;WWWW[[#This Row],[Total PoP ]],WWWW[[#This Row],[Total PoP ]],500*(WWWW[[#This Row],['#_male hygiene promoters]]+WWWW[[#This Row],['#_female hygiene promoters]]))</f>
        <v>474</v>
      </c>
      <c r="DH42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8" s="867">
        <f>IF(WWWW[[#This Row],['# People with access to soap]]&gt;WWWW[[#This Row],['# People with access to Sanity Pads]],WWWW[[#This Row],['# People with access to soap]],WWWW[[#This Row],['# People with access to Sanity Pads]])</f>
        <v>0</v>
      </c>
      <c r="DK428" s="867">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L428" s="869">
        <f>IF(WWWW[[#This Row],[HRP3]]/WWWW[[#This Row],[Total PoP ]]&gt;1,1,WWWW[[#This Row],[HRP3]]/WWWW[[#This Row],[Total PoP ]])</f>
        <v>1</v>
      </c>
      <c r="DM428" s="868">
        <f>1-WWWW[[#This Row],[Hygiene Coverage%]]</f>
        <v>0</v>
      </c>
      <c r="DN428" s="866">
        <f>WWWW[[#This Row],['# people reached by regular dedicated hygiene promotion_5]]/WWWW[[#This Row],[Total PoP ]]</f>
        <v>1</v>
      </c>
      <c r="DO42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8" s="867">
        <f>WWWW[[#This Row],['#_Constructed/Existing hand washing stations]]-WWWW[[#This Row],['#_Non-Functional_hand_washing_stations]]</f>
        <v>3</v>
      </c>
      <c r="DR428" s="864">
        <f>IF(WWWW[[#This Row],['# Functional hand washing stations during reporting period]]*20&gt;WWWW[[#This Row],[Total HH]],WWWW[[#This Row],[Total HH]],WWWW[[#This Row],['# Functional hand washing stations during reporting period]]*20)</f>
        <v>60</v>
      </c>
      <c r="DS428" s="864">
        <f>IF(WWWW[[#This Row],[Is sufficient soap available for TLS? (Yes/No)]]="yes",WWWW[[#This Row],['#_Constructed/Existing hand washing stations at TLS]],0)</f>
        <v>0</v>
      </c>
      <c r="DT428" s="479">
        <f>IF(WWWW[[#This Row],['# Functional hand washing stations during reporting period]]*100&gt;WWWW[[#This Row],[Total PoP ]],WWWW[[#This Row],[Total PoP ]],WWWW[[#This Row],['# Functional hand washing stations during reporting period]]*100)</f>
        <v>300</v>
      </c>
      <c r="DU428" s="479" t="str">
        <f>IF(OR(WWWW[[#This Row],['#_students at TLS_CFS]]="",WWWW[[#This Row],['#_students at TLS_CFS]]=0),"No","Yes")</f>
        <v>No</v>
      </c>
      <c r="DV42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8" s="862">
        <f>VLOOKUP(WWWW[[#This Row],[Site Name]],SiteDB6[[Site Name]:[CCCM Management]],6,FALSE)</f>
        <v>0</v>
      </c>
      <c r="DZ428" s="862" t="str">
        <f>VLOOKUP(WWWW[[#This Row],[Site Name]],SiteDB6[[Site Name]:[CCCM Focal Agency]],7,FALSE)</f>
        <v>KBC-MYT</v>
      </c>
      <c r="EA428" s="862" t="str">
        <f>VLOOKUP(WWWW[[#This Row],[Site Name]],SiteDB6[[Site Name]:[Location Type 1]],9,FALSE)</f>
        <v>Camp</v>
      </c>
      <c r="EB428" s="862" t="str">
        <f>VLOOKUP(WWWW[[#This Row],[Site Name]],SiteDB6[[Site Name]:[Type of Accommodation]],10,FALSE)</f>
        <v>Camp</v>
      </c>
      <c r="EC428" s="862" t="str">
        <f>VLOOKUP(WWWW[[#This Row],[Site Name]],SiteDB6[[Site Name]:[Ethnic or GCA/NGCA]],11,FALSE)</f>
        <v>GCA</v>
      </c>
      <c r="ED428" s="862">
        <f>VLOOKUP(WWWW[[#This Row],[Site Name]],SiteDB6[[Site Name]:[Lat]],12,FALSE)</f>
        <v>25.379014999999999</v>
      </c>
      <c r="EE428" s="862">
        <f>VLOOKUP(WWWW[[#This Row],[Site Name]],SiteDB6[[Site Name]:[Long]],13,FALSE)</f>
        <v>97.104997409999996</v>
      </c>
      <c r="EF428" s="862" t="str">
        <f>VLOOKUP(WWWW[[#This Row],[Site Name]],SiteDB6[[Site Name]:[Pcode]],3,FALSE)</f>
        <v>MMR001CMP261</v>
      </c>
      <c r="EG428" s="865" t="str">
        <f t="shared" si="12"/>
        <v>Covered</v>
      </c>
      <c r="EH428" s="865" t="str">
        <f>VLOOKUP(WWWW[[#This Row],[Site Name]],Site_DB!$C$389:$D$1120,2,FALSE)</f>
        <v>cccm_2019OCT</v>
      </c>
    </row>
    <row r="429" spans="1:138">
      <c r="A429" s="860" t="s">
        <v>3263</v>
      </c>
      <c r="B429" s="860" t="s">
        <v>144</v>
      </c>
      <c r="C429" s="861" t="s">
        <v>144</v>
      </c>
      <c r="D429" s="861" t="s">
        <v>3277</v>
      </c>
      <c r="E429" s="861" t="s">
        <v>39</v>
      </c>
      <c r="F429" s="861" t="s">
        <v>155</v>
      </c>
      <c r="G429" s="721" t="str">
        <f>VLOOKUP(WWWW[[#This Row],[Site Name]],SiteDB6[[Site Name]:[Location Type]],8,FALSE)</f>
        <v>Camp</v>
      </c>
      <c r="H429" s="861" t="s">
        <v>158</v>
      </c>
      <c r="I429" s="851">
        <v>10</v>
      </c>
      <c r="J429" s="851">
        <v>41</v>
      </c>
      <c r="K429" s="863" t="s">
        <v>3278</v>
      </c>
      <c r="L429" s="859" t="s">
        <v>3279</v>
      </c>
      <c r="M429" s="851"/>
      <c r="N429" s="851"/>
      <c r="O429" s="851"/>
      <c r="P429" s="851"/>
      <c r="Q429" s="864" t="s">
        <v>43</v>
      </c>
      <c r="R429" s="851"/>
      <c r="S429" s="851">
        <v>5</v>
      </c>
      <c r="T429" s="523">
        <v>1</v>
      </c>
      <c r="U429" s="851"/>
      <c r="V429" s="851"/>
      <c r="W429" s="851"/>
      <c r="X429" s="851"/>
      <c r="Y429" s="851"/>
      <c r="Z429" s="851"/>
      <c r="AA429" s="851"/>
      <c r="AB429" s="851"/>
      <c r="AC429" s="851"/>
      <c r="AD429" s="851"/>
      <c r="AE429" s="851"/>
      <c r="AF429" s="851"/>
      <c r="AG429" s="851"/>
      <c r="AH429" s="851">
        <v>3</v>
      </c>
      <c r="AI429" s="851"/>
      <c r="AJ429" s="851"/>
      <c r="AK429" s="851"/>
      <c r="AL429" s="851"/>
      <c r="AM429" s="851"/>
      <c r="AN429" s="851"/>
      <c r="AO429" s="865"/>
      <c r="AP429" s="851">
        <v>3</v>
      </c>
      <c r="AQ429" s="851"/>
      <c r="AR429" s="866"/>
      <c r="AS429" s="851"/>
      <c r="AT429" s="851"/>
      <c r="AU429" s="851"/>
      <c r="AV429" s="851"/>
      <c r="AW429" s="851">
        <v>3</v>
      </c>
      <c r="AX429" s="862" t="s">
        <v>43</v>
      </c>
      <c r="AY429" s="865" t="s">
        <v>140</v>
      </c>
      <c r="AZ429" s="851"/>
      <c r="BA429" s="851"/>
      <c r="BB429" s="851"/>
      <c r="BC429" s="523"/>
      <c r="BD429" s="523"/>
      <c r="BE429" s="862"/>
      <c r="BF429" s="851">
        <v>2</v>
      </c>
      <c r="BG429" s="851"/>
      <c r="BH429" s="851"/>
      <c r="BI429" s="851">
        <v>2</v>
      </c>
      <c r="BJ429" s="851"/>
      <c r="BK429" s="851"/>
      <c r="BL429" s="851">
        <v>1</v>
      </c>
      <c r="BM429" s="851"/>
      <c r="BN429" s="851"/>
      <c r="BO429" s="862"/>
      <c r="BP429" s="867"/>
      <c r="BQ429" s="866"/>
      <c r="BR429" s="862"/>
      <c r="BS429" s="472"/>
      <c r="BT429" s="472"/>
      <c r="BU429" s="474"/>
      <c r="BV429" s="472"/>
      <c r="BW429" s="523"/>
      <c r="BX429" s="523"/>
      <c r="BY429" s="523"/>
      <c r="BZ429" s="868" t="str">
        <f>IFERROR(WWWW[[#This Row],['#_Water sources passed]]/WWWW[[#This Row],['#_Water sources tested for fecal coliform ]],"no test")</f>
        <v>no test</v>
      </c>
      <c r="CA429" s="866" t="str">
        <f>IFERROR(WWWW[[#This Row],['#_Household passed]]/WWWW[[#This Row],['#_Household water samples tested for fecal coliform]],"no test")</f>
        <v>no test</v>
      </c>
      <c r="CB429" s="867" t="str">
        <f>IF(AND(WWWW[[#This Row],[% of water sources passed]]="no test",WWWW[[#This Row],[% Household passed]]="no test"),"No Test","Tested")</f>
        <v>No Test</v>
      </c>
      <c r="CC429" s="867">
        <f>WWWW[[#This Row],['#_Constructed/existing protected hand dug well]]-WWWW[[#This Row],['#_Non-functional protected hand dug well]]</f>
        <v>1</v>
      </c>
      <c r="CD429" s="867">
        <f>(WWWW[[#This Row],['#_Constructed/Existing tube wells/boreholes/handpumps_WASH_agency]]+WWWW[[#This Row],['#_Non-Cluster partner water tube-wells/boreholes/handpumps]])-WWWW[[#This Row],['#_Non-functional tube wells/boreholes/handpumps]]</f>
        <v>0</v>
      </c>
      <c r="CE429" s="867">
        <f>WWWW[[#This Row],['#_Constructed/Existingwater storage tank with gravity fed reticulation system]]-WWWW[[#This Row],['#_Non-functional storage tank gravity fed reticulation system]]</f>
        <v>0</v>
      </c>
      <c r="CF429" s="867">
        <f>(WWWW[[#This Row],['#_Water_Liters_supplied_by_Water boating or water trucking]]/90)/15</f>
        <v>0</v>
      </c>
      <c r="CG429" s="867">
        <f>WWWW[[#This Row],['#_Water_Liters_from_Constructed/Existing water distribution system from river or natural spring]]/90/15</f>
        <v>0</v>
      </c>
      <c r="CH429" s="473">
        <f>WWWW[[#This Row],['#_of water points in TLS/CFS /THF]]*500</f>
        <v>0</v>
      </c>
      <c r="CI42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2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29" s="866">
        <f>IF(WWWW[[#This Row],[Location Type 1]]="Village",WWWW[[#This Row],[Access to safe drinking water for Village]],WWWW[[#This Row],[Access to safe drinking water for Camp]])</f>
        <v>1</v>
      </c>
      <c r="CL429" s="864">
        <f>WWWW[[#This Row],[%Equitable and continuous access to sufficient quantity of safe drinking water]]*WWWW[[#This Row],[Total PoP ]]</f>
        <v>41</v>
      </c>
      <c r="CM429" s="866">
        <f>IF((WWWW[[#This Row],['#_Constructed/Existing protected/fenced ponds]]*250)/WWWW[[#This Row],[Total PoP ]]&gt;1,1,(WWWW[[#This Row],['#_Constructed/Existing protected/fenced ponds]]*250)/WWWW[[#This Row],[Total PoP ]])</f>
        <v>0</v>
      </c>
      <c r="CN429" s="864">
        <f>WWWW[[#This Row],[% Access to unimproved water points]]*WWWW[[#This Row],[Total PoP ]]</f>
        <v>0</v>
      </c>
      <c r="CO42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2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Q429" s="864">
        <f>WWWW[[#This Row],[HRP1]]/500</f>
        <v>8.2000000000000003E-2</v>
      </c>
      <c r="CR429" s="869">
        <f>1-WWWW[[#This Row],[% Equitable and continuous access to sufficient quantity of domestic water]]</f>
        <v>0</v>
      </c>
      <c r="CS429" s="864">
        <f>WWWW[[#This Row],[%equitable and continuous access to sufficient quantity of safe drinking and domestic water''s GAP]]*WWWW[[#This Row],[Total PoP ]]</f>
        <v>0</v>
      </c>
      <c r="CT429" s="867">
        <f>IF(WWWW[[#This Row],[Total required water points]]-WWWW[[#This Row],['#Water points coverage]]&lt;0,0,WWWW[[#This Row],[Total required water points]]-WWWW[[#This Row],['#Water points coverage]])</f>
        <v>0.91800000000000004</v>
      </c>
      <c r="CU429" s="867">
        <f>ROUND(IF(WWWW[[#This Row],[Total PoP ]]&lt;500,1,WWWW[[#This Row],[Total PoP ]]/500),0)</f>
        <v>1</v>
      </c>
      <c r="CV429" s="867">
        <f>(WWWW[[#This Row],['#_Constructed latrines_by_WASHAgencies]]+WWWW[[#This Row],['#_Non Cluster partner latrines]])-WWWW[[#This Row],['#_Non-functional latrines]]</f>
        <v>3</v>
      </c>
      <c r="CW429" s="804">
        <f>WWWW[[#This Row],[HRP2]]/WWWW[[#This Row],[Total PoP ]]</f>
        <v>1</v>
      </c>
      <c r="CX42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CY42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2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29" s="473">
        <f>IF(WWWW[[#This Row],['# of functional latrines in THF supported by WASH partners during the reporting period2]]="",0,WWWW[[#This Row],['# of functional latrines in THF supported by WASH partners during the reporting period2]]*50)</f>
        <v>0</v>
      </c>
      <c r="DB429" s="473">
        <f>WWWW[[#This Row],['# students access to functioning school latrines_HRP5]]+WWWW[[#This Row],['# People access to functioning latrines in THF_HRP5]]</f>
        <v>0</v>
      </c>
      <c r="DC429" s="867">
        <f>ROUND(IF(WWWW[[#This Row],[Location Type 1]]="camp",WWWW[[#This Row],[Total PoP ]]/20,IF(WWWW[[#This Row],[Location Type 1]]="Temporary Location",WWWW[[#This Row],[Total PoP ]]/50,(WWWW[[#This Row],[Total PoP ]]/6))),0)</f>
        <v>2</v>
      </c>
      <c r="DD429" s="867">
        <f>IF(WWWW[[#This Row],[Total required Latrines]]-(WWWW[[#This Row],['#_Constructed latrines_by_WASHAgencies]]+WWWW[[#This Row],['#_Non Cluster partner latrines]])&lt;0,0,WWWW[[#This Row],[Total required Latrines]]-(WWWW[[#This Row],['#_Constructed latrines_by_WASHAgencies]]+WWWW[[#This Row],['#_Non Cluster partner latrines]]))</f>
        <v>0</v>
      </c>
      <c r="DE429" s="869">
        <f>1-WWWW[[#This Row],[% people access to functioning Latrine]]</f>
        <v>0</v>
      </c>
      <c r="DF429" s="868">
        <f>IF(OR(WWWW[[#This Row],['#_Non-functional latrines]]="",WWWW[[#This Row],['#_Non-functional latrines]]=0),0,WWWW[[#This Row],['#_Non-functional latrines]]/(WWWW[[#This Row],['#_Constructed latrines_by_WASHAgencies]]+WWWW[[#This Row],['#_Non Cluster partner latrines]]))</f>
        <v>0</v>
      </c>
      <c r="DG429" s="864">
        <f>IF(500*(WWWW[[#This Row],['#_male hygiene promoters]]+WWWW[[#This Row],['#_female hygiene promoters]])&gt;WWWW[[#This Row],[Total PoP ]],WWWW[[#This Row],[Total PoP ]],500*(WWWW[[#This Row],['#_male hygiene promoters]]+WWWW[[#This Row],['#_female hygiene promoters]]))</f>
        <v>41</v>
      </c>
      <c r="DH42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2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29" s="867">
        <f>IF(WWWW[[#This Row],['# People with access to soap]]&gt;WWWW[[#This Row],['# People with access to Sanity Pads]],WWWW[[#This Row],['# People with access to soap]],WWWW[[#This Row],['# People with access to Sanity Pads]])</f>
        <v>0</v>
      </c>
      <c r="DK429" s="867">
        <f>IF(WWWW[[#This Row],['# people reached by regular dedicated hygiene promotion_5]]&gt;WWWW[[#This Row],['# People received regular supply of hygiene items_6]],WWWW[[#This Row],['# people reached by regular dedicated hygiene promotion_5]],WWWW[[#This Row],['# People received regular supply of hygiene items_6]])</f>
        <v>41</v>
      </c>
      <c r="DL429" s="869">
        <f>IF(WWWW[[#This Row],[HRP3]]/WWWW[[#This Row],[Total PoP ]]&gt;1,1,WWWW[[#This Row],[HRP3]]/WWWW[[#This Row],[Total PoP ]])</f>
        <v>1</v>
      </c>
      <c r="DM429" s="868">
        <f>1-WWWW[[#This Row],[Hygiene Coverage%]]</f>
        <v>0</v>
      </c>
      <c r="DN429" s="866">
        <f>WWWW[[#This Row],['# people reached by regular dedicated hygiene promotion_5]]/WWWW[[#This Row],[Total PoP ]]</f>
        <v>1</v>
      </c>
      <c r="DO42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2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29" s="867">
        <f>WWWW[[#This Row],['#_Constructed/Existing hand washing stations]]-WWWW[[#This Row],['#_Non-Functional_hand_washing_stations]]</f>
        <v>2</v>
      </c>
      <c r="DR429" s="864">
        <f>IF(WWWW[[#This Row],['# Functional hand washing stations during reporting period]]*20&gt;WWWW[[#This Row],[Total HH]],WWWW[[#This Row],[Total HH]],WWWW[[#This Row],['# Functional hand washing stations during reporting period]]*20)</f>
        <v>10</v>
      </c>
      <c r="DS429" s="864">
        <f>IF(WWWW[[#This Row],[Is sufficient soap available for TLS? (Yes/No)]]="yes",WWWW[[#This Row],['#_Constructed/Existing hand washing stations at TLS]],0)</f>
        <v>0</v>
      </c>
      <c r="DT429" s="479">
        <f>IF(WWWW[[#This Row],['# Functional hand washing stations during reporting period]]*100&gt;WWWW[[#This Row],[Total PoP ]],WWWW[[#This Row],[Total PoP ]],WWWW[[#This Row],['# Functional hand washing stations during reporting period]]*100)</f>
        <v>41</v>
      </c>
      <c r="DU429" s="479" t="str">
        <f>IF(OR(WWWW[[#This Row],['#_students at TLS_CFS]]="",WWWW[[#This Row],['#_students at TLS_CFS]]=0),"No","Yes")</f>
        <v>No</v>
      </c>
      <c r="DV42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29" s="862" t="str">
        <f>VLOOKUP(WWWW[[#This Row],[Site Name]],SiteDB6[[Site Name]:[CCCM Management]],6,FALSE)</f>
        <v>Yes</v>
      </c>
      <c r="DZ429" s="862" t="str">
        <f>VLOOKUP(WWWW[[#This Row],[Site Name]],SiteDB6[[Site Name]:[CCCM Focal Agency]],7,FALSE)</f>
        <v>KBC-MYT</v>
      </c>
      <c r="EA429" s="862" t="str">
        <f>VLOOKUP(WWWW[[#This Row],[Site Name]],SiteDB6[[Site Name]:[Location Type 1]],9,FALSE)</f>
        <v>Camp</v>
      </c>
      <c r="EB429" s="862" t="str">
        <f>VLOOKUP(WWWW[[#This Row],[Site Name]],SiteDB6[[Site Name]:[Type of Accommodation]],10,FALSE)</f>
        <v>Camp</v>
      </c>
      <c r="EC429" s="862" t="str">
        <f>VLOOKUP(WWWW[[#This Row],[Site Name]],SiteDB6[[Site Name]:[Ethnic or GCA/NGCA]],11,FALSE)</f>
        <v>GCA</v>
      </c>
      <c r="ED429" s="862">
        <f>VLOOKUP(WWWW[[#This Row],[Site Name]],SiteDB6[[Site Name]:[Lat]],12,FALSE)</f>
        <v>25.30442</v>
      </c>
      <c r="EE429" s="862">
        <f>VLOOKUP(WWWW[[#This Row],[Site Name]],SiteDB6[[Site Name]:[Long]],13,FALSE)</f>
        <v>96.948740000000001</v>
      </c>
      <c r="EF429" s="862" t="str">
        <f>VLOOKUP(WWWW[[#This Row],[Site Name]],SiteDB6[[Site Name]:[Pcode]],3,FALSE)</f>
        <v>MMR001CMP079</v>
      </c>
      <c r="EG429" s="865" t="str">
        <f t="shared" si="12"/>
        <v>Covered</v>
      </c>
      <c r="EH429" s="865" t="str">
        <f>VLOOKUP(WWWW[[#This Row],[Site Name]],Site_DB!$C$389:$D$1120,2,FALSE)</f>
        <v>cccm_2019OCT</v>
      </c>
    </row>
    <row r="430" spans="1:138">
      <c r="A430" s="860" t="s">
        <v>3263</v>
      </c>
      <c r="B430" s="860" t="s">
        <v>144</v>
      </c>
      <c r="C430" s="861" t="s">
        <v>144</v>
      </c>
      <c r="D430" s="861" t="s">
        <v>3277</v>
      </c>
      <c r="E430" s="861" t="s">
        <v>39</v>
      </c>
      <c r="F430" s="861" t="s">
        <v>160</v>
      </c>
      <c r="G430" s="721" t="str">
        <f>VLOOKUP(WWWW[[#This Row],[Site Name]],SiteDB6[[Site Name]:[Location Type]],8,FALSE)</f>
        <v>Camp</v>
      </c>
      <c r="H430" s="861" t="s">
        <v>161</v>
      </c>
      <c r="I430" s="851">
        <v>22</v>
      </c>
      <c r="J430" s="851">
        <v>113</v>
      </c>
      <c r="K430" s="863" t="s">
        <v>3278</v>
      </c>
      <c r="L430" s="859" t="s">
        <v>3279</v>
      </c>
      <c r="M430" s="851"/>
      <c r="N430" s="851"/>
      <c r="O430" s="851"/>
      <c r="P430" s="851"/>
      <c r="Q430" s="864" t="s">
        <v>43</v>
      </c>
      <c r="R430" s="851"/>
      <c r="S430" s="851">
        <v>1</v>
      </c>
      <c r="T430" s="523">
        <v>0</v>
      </c>
      <c r="U430" s="851"/>
      <c r="V430" s="851"/>
      <c r="W430" s="851">
        <v>3</v>
      </c>
      <c r="X430" s="851"/>
      <c r="Y430" s="851"/>
      <c r="Z430" s="851"/>
      <c r="AA430" s="851"/>
      <c r="AB430" s="851"/>
      <c r="AC430" s="851"/>
      <c r="AD430" s="851"/>
      <c r="AE430" s="851"/>
      <c r="AF430" s="851"/>
      <c r="AG430" s="851"/>
      <c r="AH430" s="851">
        <v>0</v>
      </c>
      <c r="AI430" s="851"/>
      <c r="AJ430" s="851"/>
      <c r="AK430" s="851"/>
      <c r="AL430" s="851"/>
      <c r="AM430" s="851"/>
      <c r="AN430" s="851"/>
      <c r="AO430" s="865"/>
      <c r="AP430" s="851">
        <v>5</v>
      </c>
      <c r="AQ430" s="851"/>
      <c r="AR430" s="866"/>
      <c r="AS430" s="851"/>
      <c r="AT430" s="851"/>
      <c r="AU430" s="851"/>
      <c r="AV430" s="851"/>
      <c r="AW430" s="851"/>
      <c r="AX430" s="862" t="s">
        <v>43</v>
      </c>
      <c r="AY430" s="865" t="s">
        <v>1195</v>
      </c>
      <c r="AZ430" s="851"/>
      <c r="BA430" s="851"/>
      <c r="BB430" s="851"/>
      <c r="BC430" s="523"/>
      <c r="BD430" s="523"/>
      <c r="BE430" s="862"/>
      <c r="BF430" s="851">
        <v>2</v>
      </c>
      <c r="BG430" s="851"/>
      <c r="BH430" s="851"/>
      <c r="BI430" s="851">
        <v>2</v>
      </c>
      <c r="BJ430" s="851"/>
      <c r="BK430" s="851"/>
      <c r="BL430" s="851">
        <v>1</v>
      </c>
      <c r="BM430" s="851"/>
      <c r="BN430" s="851"/>
      <c r="BO430" s="862"/>
      <c r="BP430" s="867"/>
      <c r="BQ430" s="866"/>
      <c r="BR430" s="862"/>
      <c r="BS430" s="472"/>
      <c r="BT430" s="472"/>
      <c r="BU430" s="474"/>
      <c r="BV430" s="472"/>
      <c r="BW430" s="523"/>
      <c r="BX430" s="523"/>
      <c r="BY430" s="523"/>
      <c r="BZ430" s="868" t="str">
        <f>IFERROR(WWWW[[#This Row],['#_Water sources passed]]/WWWW[[#This Row],['#_Water sources tested for fecal coliform ]],"no test")</f>
        <v>no test</v>
      </c>
      <c r="CA430" s="866" t="str">
        <f>IFERROR(WWWW[[#This Row],['#_Household passed]]/WWWW[[#This Row],['#_Household water samples tested for fecal coliform]],"no test")</f>
        <v>no test</v>
      </c>
      <c r="CB430" s="867" t="str">
        <f>IF(AND(WWWW[[#This Row],[% of water sources passed]]="no test",WWWW[[#This Row],[% Household passed]]="no test"),"No Test","Tested")</f>
        <v>No Test</v>
      </c>
      <c r="CC430" s="867">
        <f>WWWW[[#This Row],['#_Constructed/existing protected hand dug well]]-WWWW[[#This Row],['#_Non-functional protected hand dug well]]</f>
        <v>0</v>
      </c>
      <c r="CD430" s="867">
        <f>(WWWW[[#This Row],['#_Constructed/Existing tube wells/boreholes/handpumps_WASH_agency]]+WWWW[[#This Row],['#_Non-Cluster partner water tube-wells/boreholes/handpumps]])-WWWW[[#This Row],['#_Non-functional tube wells/boreholes/handpumps]]</f>
        <v>3</v>
      </c>
      <c r="CE430" s="867">
        <f>WWWW[[#This Row],['#_Constructed/Existingwater storage tank with gravity fed reticulation system]]-WWWW[[#This Row],['#_Non-functional storage tank gravity fed reticulation system]]</f>
        <v>0</v>
      </c>
      <c r="CF430" s="867">
        <f>(WWWW[[#This Row],['#_Water_Liters_supplied_by_Water boating or water trucking]]/90)/15</f>
        <v>0</v>
      </c>
      <c r="CG430" s="867">
        <f>WWWW[[#This Row],['#_Water_Liters_from_Constructed/Existing water distribution system from river or natural spring]]/90/15</f>
        <v>0</v>
      </c>
      <c r="CH430" s="473">
        <f>WWWW[[#This Row],['#_of water points in TLS/CFS /THF]]*500</f>
        <v>0</v>
      </c>
      <c r="CI43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0" s="866">
        <f>IF(WWWW[[#This Row],[Location Type 1]]="Village",WWWW[[#This Row],[Access to safe drinking water for Village]],WWWW[[#This Row],[Access to safe drinking water for Camp]])</f>
        <v>1</v>
      </c>
      <c r="CL430" s="864">
        <f>WWWW[[#This Row],[%Equitable and continuous access to sufficient quantity of safe drinking water]]*WWWW[[#This Row],[Total PoP ]]</f>
        <v>113</v>
      </c>
      <c r="CM430" s="866">
        <f>IF((WWWW[[#This Row],['#_Constructed/Existing protected/fenced ponds]]*250)/WWWW[[#This Row],[Total PoP ]]&gt;1,1,(WWWW[[#This Row],['#_Constructed/Existing protected/fenced ponds]]*250)/WWWW[[#This Row],[Total PoP ]])</f>
        <v>0</v>
      </c>
      <c r="CN430" s="864">
        <f>WWWW[[#This Row],[% Access to unimproved water points]]*WWWW[[#This Row],[Total PoP ]]</f>
        <v>0</v>
      </c>
      <c r="CO43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Q430" s="864">
        <f>WWWW[[#This Row],[HRP1]]/500</f>
        <v>0.22600000000000001</v>
      </c>
      <c r="CR430" s="869">
        <f>1-WWWW[[#This Row],[% Equitable and continuous access to sufficient quantity of domestic water]]</f>
        <v>0</v>
      </c>
      <c r="CS430" s="864">
        <f>WWWW[[#This Row],[%equitable and continuous access to sufficient quantity of safe drinking and domestic water''s GAP]]*WWWW[[#This Row],[Total PoP ]]</f>
        <v>0</v>
      </c>
      <c r="CT430" s="867">
        <f>IF(WWWW[[#This Row],[Total required water points]]-WWWW[[#This Row],['#Water points coverage]]&lt;0,0,WWWW[[#This Row],[Total required water points]]-WWWW[[#This Row],['#Water points coverage]])</f>
        <v>0.77400000000000002</v>
      </c>
      <c r="CU430" s="867">
        <f>ROUND(IF(WWWW[[#This Row],[Total PoP ]]&lt;500,1,WWWW[[#This Row],[Total PoP ]]/500),0)</f>
        <v>1</v>
      </c>
      <c r="CV430" s="867">
        <f>(WWWW[[#This Row],['#_Constructed latrines_by_WASHAgencies]]+WWWW[[#This Row],['#_Non Cluster partner latrines]])-WWWW[[#This Row],['#_Non-functional latrines]]</f>
        <v>5</v>
      </c>
      <c r="CW430" s="804">
        <f>WWWW[[#This Row],[HRP2]]/WWWW[[#This Row],[Total PoP ]]</f>
        <v>0.88495575221238942</v>
      </c>
      <c r="CX43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43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0" s="473">
        <f>IF(WWWW[[#This Row],['# of functional latrines in THF supported by WASH partners during the reporting period2]]="",0,WWWW[[#This Row],['# of functional latrines in THF supported by WASH partners during the reporting period2]]*50)</f>
        <v>0</v>
      </c>
      <c r="DB430" s="473">
        <f>WWWW[[#This Row],['# students access to functioning school latrines_HRP5]]+WWWW[[#This Row],['# People access to functioning latrines in THF_HRP5]]</f>
        <v>0</v>
      </c>
      <c r="DC430" s="867">
        <f>ROUND(IF(WWWW[[#This Row],[Location Type 1]]="camp",WWWW[[#This Row],[Total PoP ]]/20,IF(WWWW[[#This Row],[Location Type 1]]="Temporary Location",WWWW[[#This Row],[Total PoP ]]/50,(WWWW[[#This Row],[Total PoP ]]/6))),0)</f>
        <v>6</v>
      </c>
      <c r="DD430" s="867">
        <f>IF(WWWW[[#This Row],[Total required Latrines]]-(WWWW[[#This Row],['#_Constructed latrines_by_WASHAgencies]]+WWWW[[#This Row],['#_Non Cluster partner latrines]])&lt;0,0,WWWW[[#This Row],[Total required Latrines]]-(WWWW[[#This Row],['#_Constructed latrines_by_WASHAgencies]]+WWWW[[#This Row],['#_Non Cluster partner latrines]]))</f>
        <v>1</v>
      </c>
      <c r="DE430" s="869">
        <f>1-WWWW[[#This Row],[% people access to functioning Latrine]]</f>
        <v>0.11504424778761058</v>
      </c>
      <c r="DF430" s="868">
        <f>IF(OR(WWWW[[#This Row],['#_Non-functional latrines]]="",WWWW[[#This Row],['#_Non-functional latrines]]=0),0,WWWW[[#This Row],['#_Non-functional latrines]]/(WWWW[[#This Row],['#_Constructed latrines_by_WASHAgencies]]+WWWW[[#This Row],['#_Non Cluster partner latrines]]))</f>
        <v>0</v>
      </c>
      <c r="DG430" s="864">
        <f>IF(500*(WWWW[[#This Row],['#_male hygiene promoters]]+WWWW[[#This Row],['#_female hygiene promoters]])&gt;WWWW[[#This Row],[Total PoP ]],WWWW[[#This Row],[Total PoP ]],500*(WWWW[[#This Row],['#_male hygiene promoters]]+WWWW[[#This Row],['#_female hygiene promoters]]))</f>
        <v>113</v>
      </c>
      <c r="DH43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0" s="867">
        <f>IF(WWWW[[#This Row],['# People with access to soap]]&gt;WWWW[[#This Row],['# People with access to Sanity Pads]],WWWW[[#This Row],['# People with access to soap]],WWWW[[#This Row],['# People with access to Sanity Pads]])</f>
        <v>0</v>
      </c>
      <c r="DK430" s="867">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L430" s="869">
        <f>IF(WWWW[[#This Row],[HRP3]]/WWWW[[#This Row],[Total PoP ]]&gt;1,1,WWWW[[#This Row],[HRP3]]/WWWW[[#This Row],[Total PoP ]])</f>
        <v>1</v>
      </c>
      <c r="DM430" s="868">
        <f>1-WWWW[[#This Row],[Hygiene Coverage%]]</f>
        <v>0</v>
      </c>
      <c r="DN430" s="866">
        <f>WWWW[[#This Row],['# people reached by regular dedicated hygiene promotion_5]]/WWWW[[#This Row],[Total PoP ]]</f>
        <v>1</v>
      </c>
      <c r="DO43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0" s="867">
        <f>WWWW[[#This Row],['#_Constructed/Existing hand washing stations]]-WWWW[[#This Row],['#_Non-Functional_hand_washing_stations]]</f>
        <v>2</v>
      </c>
      <c r="DR430" s="864">
        <f>IF(WWWW[[#This Row],['# Functional hand washing stations during reporting period]]*20&gt;WWWW[[#This Row],[Total HH]],WWWW[[#This Row],[Total HH]],WWWW[[#This Row],['# Functional hand washing stations during reporting period]]*20)</f>
        <v>22</v>
      </c>
      <c r="DS430" s="864">
        <f>IF(WWWW[[#This Row],[Is sufficient soap available for TLS? (Yes/No)]]="yes",WWWW[[#This Row],['#_Constructed/Existing hand washing stations at TLS]],0)</f>
        <v>0</v>
      </c>
      <c r="DT430" s="479">
        <f>IF(WWWW[[#This Row],['# Functional hand washing stations during reporting period]]*100&gt;WWWW[[#This Row],[Total PoP ]],WWWW[[#This Row],[Total PoP ]],WWWW[[#This Row],['# Functional hand washing stations during reporting period]]*100)</f>
        <v>113</v>
      </c>
      <c r="DU430" s="479" t="str">
        <f>IF(OR(WWWW[[#This Row],['#_students at TLS_CFS]]="",WWWW[[#This Row],['#_students at TLS_CFS]]=0),"No","Yes")</f>
        <v>No</v>
      </c>
      <c r="DV43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0" s="862" t="str">
        <f>VLOOKUP(WWWW[[#This Row],[Site Name]],SiteDB6[[Site Name]:[CCCM Management]],6,FALSE)</f>
        <v>Yes</v>
      </c>
      <c r="DZ430" s="862" t="str">
        <f>VLOOKUP(WWWW[[#This Row],[Site Name]],SiteDB6[[Site Name]:[CCCM Focal Agency]],7,FALSE)</f>
        <v>KBC-MYT</v>
      </c>
      <c r="EA430" s="862" t="str">
        <f>VLOOKUP(WWWW[[#This Row],[Site Name]],SiteDB6[[Site Name]:[Location Type 1]],9,FALSE)</f>
        <v>Camp</v>
      </c>
      <c r="EB430" s="862" t="str">
        <f>VLOOKUP(WWWW[[#This Row],[Site Name]],SiteDB6[[Site Name]:[Type of Accommodation]],10,FALSE)</f>
        <v>Camp</v>
      </c>
      <c r="EC430" s="862" t="str">
        <f>VLOOKUP(WWWW[[#This Row],[Site Name]],SiteDB6[[Site Name]:[Ethnic or GCA/NGCA]],11,FALSE)</f>
        <v>GCA</v>
      </c>
      <c r="ED430" s="862">
        <f>VLOOKUP(WWWW[[#This Row],[Site Name]],SiteDB6[[Site Name]:[Lat]],12,FALSE)</f>
        <v>24.998349999999999</v>
      </c>
      <c r="EE430" s="862">
        <f>VLOOKUP(WWWW[[#This Row],[Site Name]],SiteDB6[[Site Name]:[Long]],13,FALSE)</f>
        <v>96.364949999999993</v>
      </c>
      <c r="EF430" s="862" t="str">
        <f>VLOOKUP(WWWW[[#This Row],[Site Name]],SiteDB6[[Site Name]:[Pcode]],3,FALSE)</f>
        <v>MMR001CMP152</v>
      </c>
      <c r="EG430" s="865" t="str">
        <f t="shared" si="12"/>
        <v>Covered</v>
      </c>
      <c r="EH430" s="865" t="str">
        <f>VLOOKUP(WWWW[[#This Row],[Site Name]],Site_DB!$C$389:$D$1120,2,FALSE)</f>
        <v>cccm_2019OCT</v>
      </c>
    </row>
    <row r="431" spans="1:138">
      <c r="A431" s="860" t="s">
        <v>3263</v>
      </c>
      <c r="B431" s="860" t="s">
        <v>144</v>
      </c>
      <c r="C431" s="861" t="s">
        <v>144</v>
      </c>
      <c r="D431" s="861" t="s">
        <v>3280</v>
      </c>
      <c r="E431" s="861" t="s">
        <v>39</v>
      </c>
      <c r="F431" s="861" t="s">
        <v>187</v>
      </c>
      <c r="G431" s="721" t="str">
        <f>VLOOKUP(WWWW[[#This Row],[Site Name]],SiteDB6[[Site Name]:[Location Type]],8,FALSE)</f>
        <v>Camp</v>
      </c>
      <c r="H431" s="861" t="s">
        <v>188</v>
      </c>
      <c r="I431" s="851">
        <v>127</v>
      </c>
      <c r="J431" s="851">
        <v>547</v>
      </c>
      <c r="K431" s="863">
        <v>43475</v>
      </c>
      <c r="L431" s="859" t="s">
        <v>3281</v>
      </c>
      <c r="M431" s="851"/>
      <c r="N431" s="851"/>
      <c r="O431" s="851"/>
      <c r="P431" s="851"/>
      <c r="Q431" s="864" t="s">
        <v>43</v>
      </c>
      <c r="R431" s="851"/>
      <c r="S431" s="851"/>
      <c r="T431" s="523">
        <v>0</v>
      </c>
      <c r="U431" s="851"/>
      <c r="V431" s="851"/>
      <c r="W431" s="851">
        <v>0</v>
      </c>
      <c r="X431" s="851"/>
      <c r="Y431" s="851"/>
      <c r="Z431" s="851"/>
      <c r="AA431" s="851">
        <v>1</v>
      </c>
      <c r="AB431" s="851"/>
      <c r="AC431" s="851"/>
      <c r="AD431" s="851"/>
      <c r="AE431" s="851"/>
      <c r="AF431" s="851"/>
      <c r="AG431" s="851"/>
      <c r="AH431" s="851">
        <v>0</v>
      </c>
      <c r="AI431" s="851"/>
      <c r="AJ431" s="851"/>
      <c r="AK431" s="851"/>
      <c r="AL431" s="851"/>
      <c r="AM431" s="851"/>
      <c r="AN431" s="851"/>
      <c r="AO431" s="865"/>
      <c r="AP431" s="851">
        <v>90</v>
      </c>
      <c r="AQ431" s="851"/>
      <c r="AR431" s="866"/>
      <c r="AS431" s="851"/>
      <c r="AT431" s="851"/>
      <c r="AU431" s="851"/>
      <c r="AV431" s="851"/>
      <c r="AW431" s="851">
        <v>90</v>
      </c>
      <c r="AX431" s="862" t="s">
        <v>43</v>
      </c>
      <c r="AY431" s="865" t="s">
        <v>140</v>
      </c>
      <c r="AZ431" s="851"/>
      <c r="BA431" s="851"/>
      <c r="BB431" s="851"/>
      <c r="BC431" s="523"/>
      <c r="BD431" s="523"/>
      <c r="BE431" s="862"/>
      <c r="BF431" s="851">
        <v>90</v>
      </c>
      <c r="BG431" s="851"/>
      <c r="BH431" s="851"/>
      <c r="BI431" s="851">
        <v>0</v>
      </c>
      <c r="BJ431" s="851"/>
      <c r="BK431" s="851"/>
      <c r="BL431" s="851">
        <v>2</v>
      </c>
      <c r="BM431" s="851"/>
      <c r="BN431" s="851"/>
      <c r="BO431" s="862"/>
      <c r="BP431" s="867"/>
      <c r="BQ431" s="866"/>
      <c r="BR431" s="862"/>
      <c r="BS431" s="472"/>
      <c r="BT431" s="472"/>
      <c r="BU431" s="474"/>
      <c r="BV431" s="472"/>
      <c r="BW431" s="523"/>
      <c r="BX431" s="523"/>
      <c r="BY431" s="523"/>
      <c r="BZ431" s="868" t="str">
        <f>IFERROR(WWWW[[#This Row],['#_Water sources passed]]/WWWW[[#This Row],['#_Water sources tested for fecal coliform ]],"no test")</f>
        <v>no test</v>
      </c>
      <c r="CA431" s="866" t="str">
        <f>IFERROR(WWWW[[#This Row],['#_Household passed]]/WWWW[[#This Row],['#_Household water samples tested for fecal coliform]],"no test")</f>
        <v>no test</v>
      </c>
      <c r="CB431" s="867" t="str">
        <f>IF(AND(WWWW[[#This Row],[% of water sources passed]]="no test",WWWW[[#This Row],[% Household passed]]="no test"),"No Test","Tested")</f>
        <v>No Test</v>
      </c>
      <c r="CC431" s="867">
        <f>WWWW[[#This Row],['#_Constructed/existing protected hand dug well]]-WWWW[[#This Row],['#_Non-functional protected hand dug well]]</f>
        <v>0</v>
      </c>
      <c r="CD431" s="867">
        <f>(WWWW[[#This Row],['#_Constructed/Existing tube wells/boreholes/handpumps_WASH_agency]]+WWWW[[#This Row],['#_Non-Cluster partner water tube-wells/boreholes/handpumps]])-WWWW[[#This Row],['#_Non-functional tube wells/boreholes/handpumps]]</f>
        <v>0</v>
      </c>
      <c r="CE431" s="867">
        <f>WWWW[[#This Row],['#_Constructed/Existingwater storage tank with gravity fed reticulation system]]-WWWW[[#This Row],['#_Non-functional storage tank gravity fed reticulation system]]</f>
        <v>1</v>
      </c>
      <c r="CF431" s="867">
        <f>(WWWW[[#This Row],['#_Water_Liters_supplied_by_Water boating or water trucking]]/90)/15</f>
        <v>0</v>
      </c>
      <c r="CG431" s="867">
        <f>WWWW[[#This Row],['#_Water_Liters_from_Constructed/Existing water distribution system from river or natural spring]]/90/15</f>
        <v>0</v>
      </c>
      <c r="CH431" s="473">
        <f>WWWW[[#This Row],['#_of water points in TLS/CFS /THF]]*500</f>
        <v>0</v>
      </c>
      <c r="CI43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0.12187690432663011</v>
      </c>
      <c r="CJ43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0.12187690432663011</v>
      </c>
      <c r="CK431" s="866">
        <f>IF(WWWW[[#This Row],[Location Type 1]]="Village",WWWW[[#This Row],[Access to safe drinking water for Village]],WWWW[[#This Row],[Access to safe drinking water for Camp]])</f>
        <v>0.12187690432663011</v>
      </c>
      <c r="CL431" s="864">
        <f>WWWW[[#This Row],[%Equitable and continuous access to sufficient quantity of safe drinking water]]*WWWW[[#This Row],[Total PoP ]]</f>
        <v>66.666666666666671</v>
      </c>
      <c r="CM431" s="866">
        <f>IF((WWWW[[#This Row],['#_Constructed/Existing protected/fenced ponds]]*250)/WWWW[[#This Row],[Total PoP ]]&gt;1,1,(WWWW[[#This Row],['#_Constructed/Existing protected/fenced ponds]]*250)/WWWW[[#This Row],[Total PoP ]])</f>
        <v>0</v>
      </c>
      <c r="CN431" s="864">
        <f>WWWW[[#This Row],[% Access to unimproved water points]]*WWWW[[#This Row],[Total PoP ]]</f>
        <v>0</v>
      </c>
      <c r="CO43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0.12187690432663011</v>
      </c>
      <c r="CP43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31" s="864">
        <f>WWWW[[#This Row],[HRP1]]/500</f>
        <v>0.13333333333333333</v>
      </c>
      <c r="CR431" s="869">
        <f>1-WWWW[[#This Row],[% Equitable and continuous access to sufficient quantity of domestic water]]</f>
        <v>0.87812309567336988</v>
      </c>
      <c r="CS431" s="864">
        <f>WWWW[[#This Row],[%equitable and continuous access to sufficient quantity of safe drinking and domestic water''s GAP]]*WWWW[[#This Row],[Total PoP ]]</f>
        <v>480.33333333333331</v>
      </c>
      <c r="CT431" s="867">
        <f>IF(WWWW[[#This Row],[Total required water points]]-WWWW[[#This Row],['#Water points coverage]]&lt;0,0,WWWW[[#This Row],[Total required water points]]-WWWW[[#This Row],['#Water points coverage]])</f>
        <v>0.8666666666666667</v>
      </c>
      <c r="CU431" s="867">
        <f>ROUND(IF(WWWW[[#This Row],[Total PoP ]]&lt;500,1,WWWW[[#This Row],[Total PoP ]]/500),0)</f>
        <v>1</v>
      </c>
      <c r="CV431" s="867">
        <f>(WWWW[[#This Row],['#_Constructed latrines_by_WASHAgencies]]+WWWW[[#This Row],['#_Non Cluster partner latrines]])-WWWW[[#This Row],['#_Non-functional latrines]]</f>
        <v>90</v>
      </c>
      <c r="CW431" s="804">
        <f>WWWW[[#This Row],[HRP2]]/WWWW[[#This Row],[Total PoP ]]</f>
        <v>1</v>
      </c>
      <c r="CX43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43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1" s="473">
        <f>IF(WWWW[[#This Row],['# of functional latrines in THF supported by WASH partners during the reporting period2]]="",0,WWWW[[#This Row],['# of functional latrines in THF supported by WASH partners during the reporting period2]]*50)</f>
        <v>0</v>
      </c>
      <c r="DB431" s="473">
        <f>WWWW[[#This Row],['# students access to functioning school latrines_HRP5]]+WWWW[[#This Row],['# People access to functioning latrines in THF_HRP5]]</f>
        <v>0</v>
      </c>
      <c r="DC431" s="867">
        <f>ROUND(IF(WWWW[[#This Row],[Location Type 1]]="camp",WWWW[[#This Row],[Total PoP ]]/20,IF(WWWW[[#This Row],[Location Type 1]]="Temporary Location",WWWW[[#This Row],[Total PoP ]]/50,(WWWW[[#This Row],[Total PoP ]]/6))),0)</f>
        <v>27</v>
      </c>
      <c r="DD431" s="867">
        <f>IF(WWWW[[#This Row],[Total required Latrines]]-(WWWW[[#This Row],['#_Constructed latrines_by_WASHAgencies]]+WWWW[[#This Row],['#_Non Cluster partner latrines]])&lt;0,0,WWWW[[#This Row],[Total required Latrines]]-(WWWW[[#This Row],['#_Constructed latrines_by_WASHAgencies]]+WWWW[[#This Row],['#_Non Cluster partner latrines]]))</f>
        <v>0</v>
      </c>
      <c r="DE431" s="869">
        <f>1-WWWW[[#This Row],[% people access to functioning Latrine]]</f>
        <v>0</v>
      </c>
      <c r="DF431" s="868">
        <f>IF(OR(WWWW[[#This Row],['#_Non-functional latrines]]="",WWWW[[#This Row],['#_Non-functional latrines]]=0),0,WWWW[[#This Row],['#_Non-functional latrines]]/(WWWW[[#This Row],['#_Constructed latrines_by_WASHAgencies]]+WWWW[[#This Row],['#_Non Cluster partner latrines]]))</f>
        <v>0</v>
      </c>
      <c r="DG431" s="864">
        <f>IF(500*(WWWW[[#This Row],['#_male hygiene promoters]]+WWWW[[#This Row],['#_female hygiene promoters]])&gt;WWWW[[#This Row],[Total PoP ]],WWWW[[#This Row],[Total PoP ]],500*(WWWW[[#This Row],['#_male hygiene promoters]]+WWWW[[#This Row],['#_female hygiene promoters]]))</f>
        <v>547</v>
      </c>
      <c r="DH43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1" s="867">
        <f>IF(WWWW[[#This Row],['# People with access to soap]]&gt;WWWW[[#This Row],['# People with access to Sanity Pads]],WWWW[[#This Row],['# People with access to soap]],WWWW[[#This Row],['# People with access to Sanity Pads]])</f>
        <v>0</v>
      </c>
      <c r="DK431" s="867">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431" s="869">
        <f>IF(WWWW[[#This Row],[HRP3]]/WWWW[[#This Row],[Total PoP ]]&gt;1,1,WWWW[[#This Row],[HRP3]]/WWWW[[#This Row],[Total PoP ]])</f>
        <v>1</v>
      </c>
      <c r="DM431" s="868">
        <f>1-WWWW[[#This Row],[Hygiene Coverage%]]</f>
        <v>0</v>
      </c>
      <c r="DN431" s="866">
        <f>WWWW[[#This Row],['# people reached by regular dedicated hygiene promotion_5]]/WWWW[[#This Row],[Total PoP ]]</f>
        <v>1</v>
      </c>
      <c r="DO43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1" s="867">
        <f>WWWW[[#This Row],['#_Constructed/Existing hand washing stations]]-WWWW[[#This Row],['#_Non-Functional_hand_washing_stations]]</f>
        <v>90</v>
      </c>
      <c r="DR431" s="864">
        <f>IF(WWWW[[#This Row],['# Functional hand washing stations during reporting period]]*20&gt;WWWW[[#This Row],[Total HH]],WWWW[[#This Row],[Total HH]],WWWW[[#This Row],['# Functional hand washing stations during reporting period]]*20)</f>
        <v>127</v>
      </c>
      <c r="DS431" s="864">
        <f>IF(WWWW[[#This Row],[Is sufficient soap available for TLS? (Yes/No)]]="yes",WWWW[[#This Row],['#_Constructed/Existing hand washing stations at TLS]],0)</f>
        <v>0</v>
      </c>
      <c r="DT431" s="479">
        <f>IF(WWWW[[#This Row],['# Functional hand washing stations during reporting period]]*100&gt;WWWW[[#This Row],[Total PoP ]],WWWW[[#This Row],[Total PoP ]],WWWW[[#This Row],['# Functional hand washing stations during reporting period]]*100)</f>
        <v>547</v>
      </c>
      <c r="DU431" s="479" t="str">
        <f>IF(OR(WWWW[[#This Row],['#_students at TLS_CFS]]="",WWWW[[#This Row],['#_students at TLS_CFS]]=0),"No","Yes")</f>
        <v>No</v>
      </c>
      <c r="DV43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1" s="862" t="str">
        <f>VLOOKUP(WWWW[[#This Row],[Site Name]],SiteDB6[[Site Name]:[CCCM Management]],6,FALSE)</f>
        <v>Yes</v>
      </c>
      <c r="DZ431" s="862" t="str">
        <f>VLOOKUP(WWWW[[#This Row],[Site Name]],SiteDB6[[Site Name]:[CCCM Focal Agency]],7,FALSE)</f>
        <v>KBC-MYT</v>
      </c>
      <c r="EA431" s="862" t="str">
        <f>VLOOKUP(WWWW[[#This Row],[Site Name]],SiteDB6[[Site Name]:[Location Type 1]],9,FALSE)</f>
        <v>Camp</v>
      </c>
      <c r="EB431" s="862" t="str">
        <f>VLOOKUP(WWWW[[#This Row],[Site Name]],SiteDB6[[Site Name]:[Type of Accommodation]],10,FALSE)</f>
        <v>Camp</v>
      </c>
      <c r="EC431" s="862" t="str">
        <f>VLOOKUP(WWWW[[#This Row],[Site Name]],SiteDB6[[Site Name]:[Ethnic or GCA/NGCA]],11,FALSE)</f>
        <v>NGCA</v>
      </c>
      <c r="ED431" s="862">
        <f>VLOOKUP(WWWW[[#This Row],[Site Name]],SiteDB6[[Site Name]:[Lat]],12,FALSE)</f>
        <v>26.569633</v>
      </c>
      <c r="EE431" s="862">
        <f>VLOOKUP(WWWW[[#This Row],[Site Name]],SiteDB6[[Site Name]:[Long]],13,FALSE)</f>
        <v>97.745480999999998</v>
      </c>
      <c r="EF431" s="862" t="str">
        <f>VLOOKUP(WWWW[[#This Row],[Site Name]],SiteDB6[[Site Name]:[Pcode]],3,FALSE)</f>
        <v>MMR001CMP238</v>
      </c>
      <c r="EG431" s="865" t="str">
        <f t="shared" si="12"/>
        <v>Covered</v>
      </c>
      <c r="EH431" s="865" t="str">
        <f>VLOOKUP(WWWW[[#This Row],[Site Name]],Site_DB!$C$389:$D$1120,2,FALSE)</f>
        <v>cccm_2019OCT</v>
      </c>
    </row>
    <row r="432" spans="1:138">
      <c r="A432" s="860" t="s">
        <v>3263</v>
      </c>
      <c r="B432" s="860" t="s">
        <v>144</v>
      </c>
      <c r="C432" s="861" t="s">
        <v>144</v>
      </c>
      <c r="D432" s="861" t="s">
        <v>3277</v>
      </c>
      <c r="E432" s="861" t="s">
        <v>39</v>
      </c>
      <c r="F432" s="861" t="s">
        <v>162</v>
      </c>
      <c r="G432" s="721" t="str">
        <f>VLOOKUP(WWWW[[#This Row],[Site Name]],SiteDB6[[Site Name]:[Location Type]],8,FALSE)</f>
        <v>Camp</v>
      </c>
      <c r="H432" s="861" t="s">
        <v>168</v>
      </c>
      <c r="I432" s="851">
        <v>61</v>
      </c>
      <c r="J432" s="851">
        <v>290</v>
      </c>
      <c r="K432" s="863" t="s">
        <v>3278</v>
      </c>
      <c r="L432" s="859" t="s">
        <v>3279</v>
      </c>
      <c r="M432" s="851"/>
      <c r="N432" s="851"/>
      <c r="O432" s="851"/>
      <c r="P432" s="851"/>
      <c r="Q432" s="864" t="s">
        <v>43</v>
      </c>
      <c r="R432" s="851"/>
      <c r="S432" s="851">
        <v>4</v>
      </c>
      <c r="T432" s="523">
        <v>1</v>
      </c>
      <c r="U432" s="851"/>
      <c r="V432" s="851"/>
      <c r="W432" s="851">
        <v>1</v>
      </c>
      <c r="X432" s="851"/>
      <c r="Y432" s="851"/>
      <c r="Z432" s="851"/>
      <c r="AA432" s="851"/>
      <c r="AB432" s="851"/>
      <c r="AC432" s="851"/>
      <c r="AD432" s="851"/>
      <c r="AE432" s="851"/>
      <c r="AF432" s="851"/>
      <c r="AG432" s="851"/>
      <c r="AH432" s="851">
        <v>2</v>
      </c>
      <c r="AI432" s="851"/>
      <c r="AJ432" s="851"/>
      <c r="AK432" s="851"/>
      <c r="AL432" s="851"/>
      <c r="AM432" s="851"/>
      <c r="AN432" s="851"/>
      <c r="AO432" s="865"/>
      <c r="AP432" s="851">
        <v>7</v>
      </c>
      <c r="AQ432" s="851"/>
      <c r="AR432" s="866"/>
      <c r="AS432" s="851"/>
      <c r="AT432" s="851"/>
      <c r="AU432" s="851"/>
      <c r="AV432" s="851"/>
      <c r="AW432" s="851">
        <v>7</v>
      </c>
      <c r="AX432" s="862" t="s">
        <v>43</v>
      </c>
      <c r="AY432" s="865" t="s">
        <v>1195</v>
      </c>
      <c r="AZ432" s="851"/>
      <c r="BA432" s="851"/>
      <c r="BB432" s="851"/>
      <c r="BC432" s="523"/>
      <c r="BD432" s="523"/>
      <c r="BE432" s="862"/>
      <c r="BF432" s="851">
        <v>3</v>
      </c>
      <c r="BG432" s="851"/>
      <c r="BH432" s="851"/>
      <c r="BI432" s="851">
        <v>3</v>
      </c>
      <c r="BJ432" s="851"/>
      <c r="BK432" s="851"/>
      <c r="BL432" s="851">
        <v>1</v>
      </c>
      <c r="BM432" s="851"/>
      <c r="BN432" s="851"/>
      <c r="BO432" s="862"/>
      <c r="BP432" s="867"/>
      <c r="BQ432" s="866"/>
      <c r="BR432" s="862"/>
      <c r="BS432" s="472"/>
      <c r="BT432" s="472"/>
      <c r="BU432" s="474"/>
      <c r="BV432" s="472"/>
      <c r="BW432" s="523"/>
      <c r="BX432" s="523"/>
      <c r="BY432" s="523"/>
      <c r="BZ432" s="868" t="str">
        <f>IFERROR(WWWW[[#This Row],['#_Water sources passed]]/WWWW[[#This Row],['#_Water sources tested for fecal coliform ]],"no test")</f>
        <v>no test</v>
      </c>
      <c r="CA432" s="866" t="str">
        <f>IFERROR(WWWW[[#This Row],['#_Household passed]]/WWWW[[#This Row],['#_Household water samples tested for fecal coliform]],"no test")</f>
        <v>no test</v>
      </c>
      <c r="CB432" s="867" t="str">
        <f>IF(AND(WWWW[[#This Row],[% of water sources passed]]="no test",WWWW[[#This Row],[% Household passed]]="no test"),"No Test","Tested")</f>
        <v>No Test</v>
      </c>
      <c r="CC432" s="867">
        <f>WWWW[[#This Row],['#_Constructed/existing protected hand dug well]]-WWWW[[#This Row],['#_Non-functional protected hand dug well]]</f>
        <v>1</v>
      </c>
      <c r="CD432" s="867">
        <f>(WWWW[[#This Row],['#_Constructed/Existing tube wells/boreholes/handpumps_WASH_agency]]+WWWW[[#This Row],['#_Non-Cluster partner water tube-wells/boreholes/handpumps]])-WWWW[[#This Row],['#_Non-functional tube wells/boreholes/handpumps]]</f>
        <v>1</v>
      </c>
      <c r="CE432" s="867">
        <f>WWWW[[#This Row],['#_Constructed/Existingwater storage tank with gravity fed reticulation system]]-WWWW[[#This Row],['#_Non-functional storage tank gravity fed reticulation system]]</f>
        <v>0</v>
      </c>
      <c r="CF432" s="867">
        <f>(WWWW[[#This Row],['#_Water_Liters_supplied_by_Water boating or water trucking]]/90)/15</f>
        <v>0</v>
      </c>
      <c r="CG432" s="867">
        <f>WWWW[[#This Row],['#_Water_Liters_from_Constructed/Existing water distribution system from river or natural spring]]/90/15</f>
        <v>0</v>
      </c>
      <c r="CH432" s="473">
        <f>WWWW[[#This Row],['#_of water points in TLS/CFS /THF]]*500</f>
        <v>0</v>
      </c>
      <c r="CI43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2" s="866">
        <f>IF(WWWW[[#This Row],[Location Type 1]]="Village",WWWW[[#This Row],[Access to safe drinking water for Village]],WWWW[[#This Row],[Access to safe drinking water for Camp]])</f>
        <v>1</v>
      </c>
      <c r="CL432" s="864">
        <f>WWWW[[#This Row],[%Equitable and continuous access to sufficient quantity of safe drinking water]]*WWWW[[#This Row],[Total PoP ]]</f>
        <v>290</v>
      </c>
      <c r="CM432" s="866">
        <f>IF((WWWW[[#This Row],['#_Constructed/Existing protected/fenced ponds]]*250)/WWWW[[#This Row],[Total PoP ]]&gt;1,1,(WWWW[[#This Row],['#_Constructed/Existing protected/fenced ponds]]*250)/WWWW[[#This Row],[Total PoP ]])</f>
        <v>0</v>
      </c>
      <c r="CN432" s="864">
        <f>WWWW[[#This Row],[% Access to unimproved water points]]*WWWW[[#This Row],[Total PoP ]]</f>
        <v>0</v>
      </c>
      <c r="CO43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Q432" s="864">
        <f>WWWW[[#This Row],[HRP1]]/500</f>
        <v>0.57999999999999996</v>
      </c>
      <c r="CR432" s="869">
        <f>1-WWWW[[#This Row],[% Equitable and continuous access to sufficient quantity of domestic water]]</f>
        <v>0</v>
      </c>
      <c r="CS432" s="864">
        <f>WWWW[[#This Row],[%equitable and continuous access to sufficient quantity of safe drinking and domestic water''s GAP]]*WWWW[[#This Row],[Total PoP ]]</f>
        <v>0</v>
      </c>
      <c r="CT432" s="867">
        <f>IF(WWWW[[#This Row],[Total required water points]]-WWWW[[#This Row],['#Water points coverage]]&lt;0,0,WWWW[[#This Row],[Total required water points]]-WWWW[[#This Row],['#Water points coverage]])</f>
        <v>0.42000000000000004</v>
      </c>
      <c r="CU432" s="867">
        <f>ROUND(IF(WWWW[[#This Row],[Total PoP ]]&lt;500,1,WWWW[[#This Row],[Total PoP ]]/500),0)</f>
        <v>1</v>
      </c>
      <c r="CV432" s="867">
        <f>(WWWW[[#This Row],['#_Constructed latrines_by_WASHAgencies]]+WWWW[[#This Row],['#_Non Cluster partner latrines]])-WWWW[[#This Row],['#_Non-functional latrines]]</f>
        <v>7</v>
      </c>
      <c r="CW432" s="804">
        <f>WWWW[[#This Row],[HRP2]]/WWWW[[#This Row],[Total PoP ]]</f>
        <v>0.48275862068965519</v>
      </c>
      <c r="CX43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43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2" s="473">
        <f>IF(WWWW[[#This Row],['# of functional latrines in THF supported by WASH partners during the reporting period2]]="",0,WWWW[[#This Row],['# of functional latrines in THF supported by WASH partners during the reporting period2]]*50)</f>
        <v>0</v>
      </c>
      <c r="DB432" s="473">
        <f>WWWW[[#This Row],['# students access to functioning school latrines_HRP5]]+WWWW[[#This Row],['# People access to functioning latrines in THF_HRP5]]</f>
        <v>0</v>
      </c>
      <c r="DC432" s="867">
        <f>ROUND(IF(WWWW[[#This Row],[Location Type 1]]="camp",WWWW[[#This Row],[Total PoP ]]/20,IF(WWWW[[#This Row],[Location Type 1]]="Temporary Location",WWWW[[#This Row],[Total PoP ]]/50,(WWWW[[#This Row],[Total PoP ]]/6))),0)</f>
        <v>15</v>
      </c>
      <c r="DD432" s="867">
        <f>IF(WWWW[[#This Row],[Total required Latrines]]-(WWWW[[#This Row],['#_Constructed latrines_by_WASHAgencies]]+WWWW[[#This Row],['#_Non Cluster partner latrines]])&lt;0,0,WWWW[[#This Row],[Total required Latrines]]-(WWWW[[#This Row],['#_Constructed latrines_by_WASHAgencies]]+WWWW[[#This Row],['#_Non Cluster partner latrines]]))</f>
        <v>8</v>
      </c>
      <c r="DE432" s="869">
        <f>1-WWWW[[#This Row],[% people access to functioning Latrine]]</f>
        <v>0.51724137931034475</v>
      </c>
      <c r="DF432" s="868">
        <f>IF(OR(WWWW[[#This Row],['#_Non-functional latrines]]="",WWWW[[#This Row],['#_Non-functional latrines]]=0),0,WWWW[[#This Row],['#_Non-functional latrines]]/(WWWW[[#This Row],['#_Constructed latrines_by_WASHAgencies]]+WWWW[[#This Row],['#_Non Cluster partner latrines]]))</f>
        <v>0</v>
      </c>
      <c r="DG432" s="864">
        <f>IF(500*(WWWW[[#This Row],['#_male hygiene promoters]]+WWWW[[#This Row],['#_female hygiene promoters]])&gt;WWWW[[#This Row],[Total PoP ]],WWWW[[#This Row],[Total PoP ]],500*(WWWW[[#This Row],['#_male hygiene promoters]]+WWWW[[#This Row],['#_female hygiene promoters]]))</f>
        <v>290</v>
      </c>
      <c r="DH43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2" s="867">
        <f>IF(WWWW[[#This Row],['# People with access to soap]]&gt;WWWW[[#This Row],['# People with access to Sanity Pads]],WWWW[[#This Row],['# People with access to soap]],WWWW[[#This Row],['# People with access to Sanity Pads]])</f>
        <v>0</v>
      </c>
      <c r="DK432" s="867">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L432" s="869">
        <f>IF(WWWW[[#This Row],[HRP3]]/WWWW[[#This Row],[Total PoP ]]&gt;1,1,WWWW[[#This Row],[HRP3]]/WWWW[[#This Row],[Total PoP ]])</f>
        <v>1</v>
      </c>
      <c r="DM432" s="868">
        <f>1-WWWW[[#This Row],[Hygiene Coverage%]]</f>
        <v>0</v>
      </c>
      <c r="DN432" s="866">
        <f>WWWW[[#This Row],['# people reached by regular dedicated hygiene promotion_5]]/WWWW[[#This Row],[Total PoP ]]</f>
        <v>1</v>
      </c>
      <c r="DO43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2" s="867">
        <f>WWWW[[#This Row],['#_Constructed/Existing hand washing stations]]-WWWW[[#This Row],['#_Non-Functional_hand_washing_stations]]</f>
        <v>3</v>
      </c>
      <c r="DR432" s="864">
        <f>IF(WWWW[[#This Row],['# Functional hand washing stations during reporting period]]*20&gt;WWWW[[#This Row],[Total HH]],WWWW[[#This Row],[Total HH]],WWWW[[#This Row],['# Functional hand washing stations during reporting period]]*20)</f>
        <v>60</v>
      </c>
      <c r="DS432" s="864">
        <f>IF(WWWW[[#This Row],[Is sufficient soap available for TLS? (Yes/No)]]="yes",WWWW[[#This Row],['#_Constructed/Existing hand washing stations at TLS]],0)</f>
        <v>0</v>
      </c>
      <c r="DT432" s="479">
        <f>IF(WWWW[[#This Row],['# Functional hand washing stations during reporting period]]*100&gt;WWWW[[#This Row],[Total PoP ]],WWWW[[#This Row],[Total PoP ]],WWWW[[#This Row],['# Functional hand washing stations during reporting period]]*100)</f>
        <v>290</v>
      </c>
      <c r="DU432" s="479" t="str">
        <f>IF(OR(WWWW[[#This Row],['#_students at TLS_CFS]]="",WWWW[[#This Row],['#_students at TLS_CFS]]=0),"No","Yes")</f>
        <v>No</v>
      </c>
      <c r="DV43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2" s="862" t="str">
        <f>VLOOKUP(WWWW[[#This Row],[Site Name]],SiteDB6[[Site Name]:[CCCM Management]],6,FALSE)</f>
        <v>Yes</v>
      </c>
      <c r="DZ432" s="862" t="str">
        <f>VLOOKUP(WWWW[[#This Row],[Site Name]],SiteDB6[[Site Name]:[CCCM Focal Agency]],7,FALSE)</f>
        <v>KBC-MYT</v>
      </c>
      <c r="EA432" s="862" t="str">
        <f>VLOOKUP(WWWW[[#This Row],[Site Name]],SiteDB6[[Site Name]:[Location Type 1]],9,FALSE)</f>
        <v>Camp</v>
      </c>
      <c r="EB432" s="862" t="str">
        <f>VLOOKUP(WWWW[[#This Row],[Site Name]],SiteDB6[[Site Name]:[Type of Accommodation]],10,FALSE)</f>
        <v>Camp</v>
      </c>
      <c r="EC432" s="862" t="str">
        <f>VLOOKUP(WWWW[[#This Row],[Site Name]],SiteDB6[[Site Name]:[Ethnic or GCA/NGCA]],11,FALSE)</f>
        <v>GCA</v>
      </c>
      <c r="ED432" s="862">
        <f>VLOOKUP(WWWW[[#This Row],[Site Name]],SiteDB6[[Site Name]:[Lat]],12,FALSE)</f>
        <v>25.360463124999999</v>
      </c>
      <c r="EE432" s="862">
        <f>VLOOKUP(WWWW[[#This Row],[Site Name]],SiteDB6[[Site Name]:[Long]],13,FALSE)</f>
        <v>97.4113064583333</v>
      </c>
      <c r="EF432" s="862" t="str">
        <f>VLOOKUP(WWWW[[#This Row],[Site Name]],SiteDB6[[Site Name]:[Pcode]],3,FALSE)</f>
        <v>MMR001CMP016</v>
      </c>
      <c r="EG432" s="865" t="str">
        <f t="shared" si="12"/>
        <v>Covered</v>
      </c>
      <c r="EH432" s="865" t="str">
        <f>VLOOKUP(WWWW[[#This Row],[Site Name]],Site_DB!$C$389:$D$1120,2,FALSE)</f>
        <v>cccm_2019OCT</v>
      </c>
    </row>
    <row r="433" spans="1:138">
      <c r="A433" s="860" t="s">
        <v>3263</v>
      </c>
      <c r="B433" s="860" t="s">
        <v>195</v>
      </c>
      <c r="C433" s="861" t="s">
        <v>195</v>
      </c>
      <c r="D433" s="861" t="s">
        <v>3367</v>
      </c>
      <c r="E433" s="861" t="s">
        <v>39</v>
      </c>
      <c r="F433" s="861" t="s">
        <v>145</v>
      </c>
      <c r="G433" s="721" t="str">
        <f>VLOOKUP(WWWW[[#This Row],[Site Name]],SiteDB6[[Site Name]:[Location Type]],8,FALSE)</f>
        <v>Camp</v>
      </c>
      <c r="H433" s="861" t="s">
        <v>227</v>
      </c>
      <c r="I433" s="851">
        <v>144</v>
      </c>
      <c r="J433" s="851">
        <v>680</v>
      </c>
      <c r="K433" s="863" t="s">
        <v>3609</v>
      </c>
      <c r="L433" s="859" t="s">
        <v>3610</v>
      </c>
      <c r="M433" s="851"/>
      <c r="N433" s="851"/>
      <c r="O433" s="851"/>
      <c r="P433" s="851"/>
      <c r="Q433" s="864"/>
      <c r="R433" s="851"/>
      <c r="S433" s="851"/>
      <c r="T433" s="523"/>
      <c r="U433" s="851"/>
      <c r="V433" s="851"/>
      <c r="W433" s="851"/>
      <c r="X433" s="851"/>
      <c r="Y433" s="851"/>
      <c r="Z433" s="851"/>
      <c r="AA433" s="851">
        <v>2</v>
      </c>
      <c r="AB433" s="851"/>
      <c r="AC433" s="851"/>
      <c r="AD433" s="851"/>
      <c r="AE433" s="851"/>
      <c r="AF433" s="851">
        <v>48240</v>
      </c>
      <c r="AG433" s="851"/>
      <c r="AH433" s="851"/>
      <c r="AI433" s="851"/>
      <c r="AJ433" s="851"/>
      <c r="AK433" s="851"/>
      <c r="AL433" s="851"/>
      <c r="AM433" s="851"/>
      <c r="AN433" s="851">
        <v>2</v>
      </c>
      <c r="AO433" s="865"/>
      <c r="AP433" s="851">
        <v>89</v>
      </c>
      <c r="AQ433" s="851"/>
      <c r="AR433" s="866"/>
      <c r="AS433" s="851"/>
      <c r="AT433" s="851"/>
      <c r="AU433" s="851"/>
      <c r="AV433" s="851"/>
      <c r="AW433" s="851"/>
      <c r="AX433" s="862" t="s">
        <v>43</v>
      </c>
      <c r="AY433" s="865" t="s">
        <v>140</v>
      </c>
      <c r="AZ433" s="851"/>
      <c r="BA433" s="851"/>
      <c r="BB433" s="851"/>
      <c r="BC433" s="523"/>
      <c r="BD433" s="523"/>
      <c r="BE433" s="862"/>
      <c r="BF433" s="851">
        <v>4</v>
      </c>
      <c r="BG433" s="851"/>
      <c r="BH433" s="851"/>
      <c r="BI433" s="851">
        <v>5</v>
      </c>
      <c r="BJ433" s="851"/>
      <c r="BK433" s="851"/>
      <c r="BL433" s="851"/>
      <c r="BM433" s="851">
        <v>144</v>
      </c>
      <c r="BN433" s="851"/>
      <c r="BO433" s="862"/>
      <c r="BP433" s="867"/>
      <c r="BQ433" s="866"/>
      <c r="BR433" s="806" t="s">
        <v>3645</v>
      </c>
      <c r="BS433" s="472"/>
      <c r="BT433" s="472"/>
      <c r="BU433" s="474"/>
      <c r="BV433" s="472"/>
      <c r="BW433" s="523"/>
      <c r="BX433" s="523"/>
      <c r="BY433" s="523"/>
      <c r="BZ433" s="868" t="str">
        <f>IFERROR(WWWW[[#This Row],['#_Water sources passed]]/WWWW[[#This Row],['#_Water sources tested for fecal coliform ]],"no test")</f>
        <v>no test</v>
      </c>
      <c r="CA433" s="866" t="str">
        <f>IFERROR(WWWW[[#This Row],['#_Household passed]]/WWWW[[#This Row],['#_Household water samples tested for fecal coliform]],"no test")</f>
        <v>no test</v>
      </c>
      <c r="CB433" s="867" t="str">
        <f>IF(AND(WWWW[[#This Row],[% of water sources passed]]="no test",WWWW[[#This Row],[% Household passed]]="no test"),"No Test","Tested")</f>
        <v>No Test</v>
      </c>
      <c r="CC433" s="867">
        <f>WWWW[[#This Row],['#_Constructed/existing protected hand dug well]]-WWWW[[#This Row],['#_Non-functional protected hand dug well]]</f>
        <v>0</v>
      </c>
      <c r="CD433" s="867">
        <f>(WWWW[[#This Row],['#_Constructed/Existing tube wells/boreholes/handpumps_WASH_agency]]+WWWW[[#This Row],['#_Non-Cluster partner water tube-wells/boreholes/handpumps]])-WWWW[[#This Row],['#_Non-functional tube wells/boreholes/handpumps]]</f>
        <v>0</v>
      </c>
      <c r="CE433" s="867">
        <f>WWWW[[#This Row],['#_Constructed/Existingwater storage tank with gravity fed reticulation system]]-WWWW[[#This Row],['#_Non-functional storage tank gravity fed reticulation system]]</f>
        <v>2</v>
      </c>
      <c r="CF433" s="867">
        <f>(WWWW[[#This Row],['#_Water_Liters_supplied_by_Water boating or water trucking]]/90)/15</f>
        <v>0</v>
      </c>
      <c r="CG433" s="867">
        <f>WWWW[[#This Row],['#_Water_Liters_from_Constructed/Existing water distribution system from river or natural spring]]/90/15</f>
        <v>35.733333333333334</v>
      </c>
      <c r="CH433" s="473">
        <f>WWWW[[#This Row],['#_of water points in TLS/CFS /THF]]*500</f>
        <v>1000</v>
      </c>
      <c r="CI43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0.24862745098039216</v>
      </c>
      <c r="CJ43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0.24862745098039216</v>
      </c>
      <c r="CK433" s="866">
        <f>IF(WWWW[[#This Row],[Location Type 1]]="Village",WWWW[[#This Row],[Access to safe drinking water for Village]],WWWW[[#This Row],[Access to safe drinking water for Camp]])</f>
        <v>0.24862745098039216</v>
      </c>
      <c r="CL433" s="864">
        <f>WWWW[[#This Row],[%Equitable and continuous access to sufficient quantity of safe drinking water]]*WWWW[[#This Row],[Total PoP ]]</f>
        <v>169.06666666666666</v>
      </c>
      <c r="CM433" s="866">
        <f>IF((WWWW[[#This Row],['#_Constructed/Existing protected/fenced ponds]]*250)/WWWW[[#This Row],[Total PoP ]]&gt;1,1,(WWWW[[#This Row],['#_Constructed/Existing protected/fenced ponds]]*250)/WWWW[[#This Row],[Total PoP ]])</f>
        <v>0</v>
      </c>
      <c r="CN433" s="864">
        <f>WWWW[[#This Row],[% Access to unimproved water points]]*WWWW[[#This Row],[Total PoP ]]</f>
        <v>0</v>
      </c>
      <c r="CO43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0.24862745098039216</v>
      </c>
      <c r="CP43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169.06666666666666</v>
      </c>
      <c r="CQ433" s="864">
        <f>WWWW[[#This Row],[HRP1]]/500</f>
        <v>0.33813333333333334</v>
      </c>
      <c r="CR433" s="869">
        <f>1-WWWW[[#This Row],[% Equitable and continuous access to sufficient quantity of domestic water]]</f>
        <v>0.75137254901960782</v>
      </c>
      <c r="CS433" s="864">
        <f>WWWW[[#This Row],[%equitable and continuous access to sufficient quantity of safe drinking and domestic water''s GAP]]*WWWW[[#This Row],[Total PoP ]]</f>
        <v>510.93333333333334</v>
      </c>
      <c r="CT433" s="867">
        <f>IF(WWWW[[#This Row],[Total required water points]]-WWWW[[#This Row],['#Water points coverage]]&lt;0,0,WWWW[[#This Row],[Total required water points]]-WWWW[[#This Row],['#Water points coverage]])</f>
        <v>0.6618666666666666</v>
      </c>
      <c r="CU433" s="867">
        <f>ROUND(IF(WWWW[[#This Row],[Total PoP ]]&lt;500,1,WWWW[[#This Row],[Total PoP ]]/500),0)</f>
        <v>1</v>
      </c>
      <c r="CV433" s="867">
        <f>(WWWW[[#This Row],['#_Constructed latrines_by_WASHAgencies]]+WWWW[[#This Row],['#_Non Cluster partner latrines]])-WWWW[[#This Row],['#_Non-functional latrines]]</f>
        <v>89</v>
      </c>
      <c r="CW433" s="804">
        <f>WWWW[[#This Row],[HRP2]]/WWWW[[#This Row],[Total PoP ]]</f>
        <v>1</v>
      </c>
      <c r="CX43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CY43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3" s="473">
        <f>IF(WWWW[[#This Row],['# of functional latrines in THF supported by WASH partners during the reporting period2]]="",0,WWWW[[#This Row],['# of functional latrines in THF supported by WASH partners during the reporting period2]]*50)</f>
        <v>0</v>
      </c>
      <c r="DB433" s="473">
        <f>WWWW[[#This Row],['# students access to functioning school latrines_HRP5]]+WWWW[[#This Row],['# People access to functioning latrines in THF_HRP5]]</f>
        <v>0</v>
      </c>
      <c r="DC433" s="867">
        <f>ROUND(IF(WWWW[[#This Row],[Location Type 1]]="camp",WWWW[[#This Row],[Total PoP ]]/20,IF(WWWW[[#This Row],[Location Type 1]]="Temporary Location",WWWW[[#This Row],[Total PoP ]]/50,(WWWW[[#This Row],[Total PoP ]]/6))),0)</f>
        <v>34</v>
      </c>
      <c r="DD433" s="867">
        <f>IF(WWWW[[#This Row],[Total required Latrines]]-(WWWW[[#This Row],['#_Constructed latrines_by_WASHAgencies]]+WWWW[[#This Row],['#_Non Cluster partner latrines]])&lt;0,0,WWWW[[#This Row],[Total required Latrines]]-(WWWW[[#This Row],['#_Constructed latrines_by_WASHAgencies]]+WWWW[[#This Row],['#_Non Cluster partner latrines]]))</f>
        <v>0</v>
      </c>
      <c r="DE433" s="869">
        <f>1-WWWW[[#This Row],[% people access to functioning Latrine]]</f>
        <v>0</v>
      </c>
      <c r="DF433" s="868">
        <f>IF(OR(WWWW[[#This Row],['#_Non-functional latrines]]="",WWWW[[#This Row],['#_Non-functional latrines]]=0),0,WWWW[[#This Row],['#_Non-functional latrines]]/(WWWW[[#This Row],['#_Constructed latrines_by_WASHAgencies]]+WWWW[[#This Row],['#_Non Cluster partner latrines]]))</f>
        <v>0</v>
      </c>
      <c r="DG433" s="864">
        <f>IF(500*(WWWW[[#This Row],['#_male hygiene promoters]]+WWWW[[#This Row],['#_female hygiene promoters]])&gt;WWWW[[#This Row],[Total PoP ]],WWWW[[#This Row],[Total PoP ]],500*(WWWW[[#This Row],['#_male hygiene promoters]]+WWWW[[#This Row],['#_female hygiene promoters]]))</f>
        <v>0</v>
      </c>
      <c r="DH43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680</v>
      </c>
      <c r="DI43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3" s="867">
        <f>IF(WWWW[[#This Row],['# People with access to soap]]&gt;WWWW[[#This Row],['# People with access to Sanity Pads]],WWWW[[#This Row],['# People with access to soap]],WWWW[[#This Row],['# People with access to Sanity Pads]])</f>
        <v>680</v>
      </c>
      <c r="DK433" s="867">
        <f>IF(WWWW[[#This Row],['# people reached by regular dedicated hygiene promotion_5]]&gt;WWWW[[#This Row],['# People received regular supply of hygiene items_6]],WWWW[[#This Row],['# people reached by regular dedicated hygiene promotion_5]],WWWW[[#This Row],['# People received regular supply of hygiene items_6]])</f>
        <v>680</v>
      </c>
      <c r="DL433" s="869">
        <f>IF(WWWW[[#This Row],[HRP3]]/WWWW[[#This Row],[Total PoP ]]&gt;1,1,WWWW[[#This Row],[HRP3]]/WWWW[[#This Row],[Total PoP ]])</f>
        <v>1</v>
      </c>
      <c r="DM433" s="868">
        <f>1-WWWW[[#This Row],[Hygiene Coverage%]]</f>
        <v>0</v>
      </c>
      <c r="DN433" s="866">
        <f>WWWW[[#This Row],['# people reached by regular dedicated hygiene promotion_5]]/WWWW[[#This Row],[Total PoP ]]</f>
        <v>0</v>
      </c>
      <c r="DO43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3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3" s="867">
        <f>WWWW[[#This Row],['#_Constructed/Existing hand washing stations]]-WWWW[[#This Row],['#_Non-Functional_hand_washing_stations]]</f>
        <v>4</v>
      </c>
      <c r="DR433" s="864">
        <f>IF(WWWW[[#This Row],['# Functional hand washing stations during reporting period]]*20&gt;WWWW[[#This Row],[Total HH]],WWWW[[#This Row],[Total HH]],WWWW[[#This Row],['# Functional hand washing stations during reporting period]]*20)</f>
        <v>80</v>
      </c>
      <c r="DS433" s="864">
        <f>IF(WWWW[[#This Row],[Is sufficient soap available for TLS? (Yes/No)]]="yes",WWWW[[#This Row],['#_Constructed/Existing hand washing stations at TLS]],0)</f>
        <v>0</v>
      </c>
      <c r="DT433" s="479">
        <f>IF(WWWW[[#This Row],['# Functional hand washing stations during reporting period]]*100&gt;WWWW[[#This Row],[Total PoP ]],WWWW[[#This Row],[Total PoP ]],WWWW[[#This Row],['# Functional hand washing stations during reporting period]]*100)</f>
        <v>400</v>
      </c>
      <c r="DU433" s="479" t="str">
        <f>IF(OR(WWWW[[#This Row],['#_students at TLS_CFS]]="",WWWW[[#This Row],['#_students at TLS_CFS]]=0),"No","Yes")</f>
        <v>No</v>
      </c>
      <c r="DV43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33" s="862">
        <f>VLOOKUP(WWWW[[#This Row],[Site Name]],SiteDB6[[Site Name]:[CCCM Management]],6,FALSE)</f>
        <v>0</v>
      </c>
      <c r="DZ433" s="862" t="str">
        <f>VLOOKUP(WWWW[[#This Row],[Site Name]],SiteDB6[[Site Name]:[CCCM Focal Agency]],7,FALSE)</f>
        <v>uncovered</v>
      </c>
      <c r="EA433" s="862" t="str">
        <f>VLOOKUP(WWWW[[#This Row],[Site Name]],SiteDB6[[Site Name]:[Location Type 1]],9,FALSE)</f>
        <v>Camp</v>
      </c>
      <c r="EB433" s="862" t="str">
        <f>VLOOKUP(WWWW[[#This Row],[Site Name]],SiteDB6[[Site Name]:[Type of Accommodation]],10,FALSE)</f>
        <v>Boarding School</v>
      </c>
      <c r="EC433" s="862" t="str">
        <f>VLOOKUP(WWWW[[#This Row],[Site Name]],SiteDB6[[Site Name]:[Ethnic or GCA/NGCA]],11,FALSE)</f>
        <v>NGCA</v>
      </c>
      <c r="ED433" s="862">
        <f>VLOOKUP(WWWW[[#This Row],[Site Name]],SiteDB6[[Site Name]:[Lat]],12,FALSE)</f>
        <v>24.752471</v>
      </c>
      <c r="EE433" s="862">
        <f>VLOOKUP(WWWW[[#This Row],[Site Name]],SiteDB6[[Site Name]:[Long]],13,FALSE)</f>
        <v>97.541793999999996</v>
      </c>
      <c r="EF433" s="862" t="str">
        <f>VLOOKUP(WWWW[[#This Row],[Site Name]],SiteDB6[[Site Name]:[Pcode]],3,FALSE)</f>
        <v>MMR001CMP208</v>
      </c>
      <c r="EG433" s="865" t="str">
        <f t="shared" si="12"/>
        <v>Covered</v>
      </c>
      <c r="EH433" s="865" t="str">
        <f>VLOOKUP(WWWW[[#This Row],[Site Name]],Site_DB!$C$389:$D$1120,2,FALSE)</f>
        <v>cccm_2019OCT</v>
      </c>
    </row>
    <row r="434" spans="1:138">
      <c r="A434" s="860" t="s">
        <v>3263</v>
      </c>
      <c r="B434" s="860" t="s">
        <v>144</v>
      </c>
      <c r="C434" s="861" t="s">
        <v>144</v>
      </c>
      <c r="D434" s="861" t="s">
        <v>244</v>
      </c>
      <c r="E434" s="861" t="s">
        <v>39</v>
      </c>
      <c r="F434" s="861" t="s">
        <v>217</v>
      </c>
      <c r="G434" s="721" t="str">
        <f>VLOOKUP(WWWW[[#This Row],[Site Name]],SiteDB6[[Site Name]:[Location Type]],8,FALSE)</f>
        <v>Camp</v>
      </c>
      <c r="H434" s="861" t="s">
        <v>2070</v>
      </c>
      <c r="I434" s="851">
        <v>386</v>
      </c>
      <c r="J434" s="851">
        <v>1397</v>
      </c>
      <c r="K434" s="863">
        <v>43556</v>
      </c>
      <c r="L434" s="859">
        <v>43951</v>
      </c>
      <c r="M434" s="851"/>
      <c r="N434" s="851"/>
      <c r="O434" s="851">
        <v>74</v>
      </c>
      <c r="P434" s="851"/>
      <c r="Q434" s="864"/>
      <c r="R434" s="851">
        <v>19</v>
      </c>
      <c r="S434" s="851">
        <v>55</v>
      </c>
      <c r="T434" s="523">
        <v>13</v>
      </c>
      <c r="U434" s="851"/>
      <c r="V434" s="851"/>
      <c r="W434" s="851">
        <v>1</v>
      </c>
      <c r="X434" s="851"/>
      <c r="Y434" s="851"/>
      <c r="Z434" s="851"/>
      <c r="AA434" s="851"/>
      <c r="AB434" s="851"/>
      <c r="AC434" s="851"/>
      <c r="AD434" s="851"/>
      <c r="AE434" s="851"/>
      <c r="AF434" s="851"/>
      <c r="AG434" s="851">
        <v>7</v>
      </c>
      <c r="AH434" s="851"/>
      <c r="AI434" s="851"/>
      <c r="AJ434" s="851"/>
      <c r="AK434" s="851"/>
      <c r="AL434" s="851"/>
      <c r="AM434" s="851"/>
      <c r="AN434" s="851"/>
      <c r="AO434" s="865" t="s">
        <v>3380</v>
      </c>
      <c r="AP434" s="851">
        <v>5</v>
      </c>
      <c r="AQ434" s="851"/>
      <c r="AR434" s="866"/>
      <c r="AS434" s="851"/>
      <c r="AT434" s="851"/>
      <c r="AU434" s="851"/>
      <c r="AV434" s="851"/>
      <c r="AW434" s="851"/>
      <c r="AX434" s="862" t="s">
        <v>43</v>
      </c>
      <c r="AY434" s="865" t="s">
        <v>143</v>
      </c>
      <c r="AZ434" s="851"/>
      <c r="BA434" s="851"/>
      <c r="BB434" s="851">
        <v>50</v>
      </c>
      <c r="BC434" s="523"/>
      <c r="BD434" s="523"/>
      <c r="BE434" s="862"/>
      <c r="BF434" s="851"/>
      <c r="BG434" s="851"/>
      <c r="BH434" s="851"/>
      <c r="BI434" s="851"/>
      <c r="BJ434" s="851"/>
      <c r="BK434" s="851"/>
      <c r="BL434" s="851"/>
      <c r="BM434" s="851"/>
      <c r="BN434" s="851"/>
      <c r="BO434" s="862" t="s">
        <v>139</v>
      </c>
      <c r="BP434" s="867"/>
      <c r="BQ434" s="866"/>
      <c r="BR434" s="862" t="s">
        <v>3382</v>
      </c>
      <c r="BS434" s="472"/>
      <c r="BT434" s="472"/>
      <c r="BU434" s="474"/>
      <c r="BV434" s="472"/>
      <c r="BW434" s="523"/>
      <c r="BX434" s="523"/>
      <c r="BY434" s="523"/>
      <c r="BZ434" s="868" t="str">
        <f>IFERROR(WWWW[[#This Row],['#_Water sources passed]]/WWWW[[#This Row],['#_Water sources tested for fecal coliform ]],"no test")</f>
        <v>no test</v>
      </c>
      <c r="CA434" s="866" t="str">
        <f>IFERROR(WWWW[[#This Row],['#_Household passed]]/WWWW[[#This Row],['#_Household water samples tested for fecal coliform]],"no test")</f>
        <v>no test</v>
      </c>
      <c r="CB434" s="867" t="str">
        <f>IF(AND(WWWW[[#This Row],[% of water sources passed]]="no test",WWWW[[#This Row],[% Household passed]]="no test"),"No Test","Tested")</f>
        <v>No Test</v>
      </c>
      <c r="CC434" s="867">
        <f>WWWW[[#This Row],['#_Constructed/existing protected hand dug well]]-WWWW[[#This Row],['#_Non-functional protected hand dug well]]</f>
        <v>13</v>
      </c>
      <c r="CD434" s="867">
        <f>(WWWW[[#This Row],['#_Constructed/Existing tube wells/boreholes/handpumps_WASH_agency]]+WWWW[[#This Row],['#_Non-Cluster partner water tube-wells/boreholes/handpumps]])-WWWW[[#This Row],['#_Non-functional tube wells/boreholes/handpumps]]</f>
        <v>1</v>
      </c>
      <c r="CE434" s="867">
        <f>WWWW[[#This Row],['#_Constructed/Existingwater storage tank with gravity fed reticulation system]]-WWWW[[#This Row],['#_Non-functional storage tank gravity fed reticulation system]]</f>
        <v>0</v>
      </c>
      <c r="CF434" s="867">
        <f>(WWWW[[#This Row],['#_Water_Liters_supplied_by_Water boating or water trucking]]/90)/15</f>
        <v>0</v>
      </c>
      <c r="CG434" s="867">
        <f>WWWW[[#This Row],['#_Water_Liters_from_Constructed/Existing water distribution system from river or natural spring]]/90/15</f>
        <v>0</v>
      </c>
      <c r="CH434" s="473">
        <f>WWWW[[#This Row],['#_of water points in TLS/CFS /THF]]*500</f>
        <v>0</v>
      </c>
      <c r="CI43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4" s="866">
        <f>IF(WWWW[[#This Row],[Location Type 1]]="Village",WWWW[[#This Row],[Access to safe drinking water for Village]],WWWW[[#This Row],[Access to safe drinking water for Camp]])</f>
        <v>1</v>
      </c>
      <c r="CL434" s="864">
        <f>WWWW[[#This Row],[%Equitable and continuous access to sufficient quantity of safe drinking water]]*WWWW[[#This Row],[Total PoP ]]</f>
        <v>1397</v>
      </c>
      <c r="CM434" s="866">
        <f>IF((WWWW[[#This Row],['#_Constructed/Existing protected/fenced ponds]]*250)/WWWW[[#This Row],[Total PoP ]]&gt;1,1,(WWWW[[#This Row],['#_Constructed/Existing protected/fenced ponds]]*250)/WWWW[[#This Row],[Total PoP ]])</f>
        <v>0</v>
      </c>
      <c r="CN434" s="864">
        <f>WWWW[[#This Row],[% Access to unimproved water points]]*WWWW[[#This Row],[Total PoP ]]</f>
        <v>0</v>
      </c>
      <c r="CO43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Q434" s="864">
        <f>WWWW[[#This Row],[HRP1]]/500</f>
        <v>2.794</v>
      </c>
      <c r="CR434" s="869">
        <f>1-WWWW[[#This Row],[% Equitable and continuous access to sufficient quantity of domestic water]]</f>
        <v>0</v>
      </c>
      <c r="CS434" s="864">
        <f>WWWW[[#This Row],[%equitable and continuous access to sufficient quantity of safe drinking and domestic water''s GAP]]*WWWW[[#This Row],[Total PoP ]]</f>
        <v>0</v>
      </c>
      <c r="CT434" s="867">
        <f>IF(WWWW[[#This Row],[Total required water points]]-WWWW[[#This Row],['#Water points coverage]]&lt;0,0,WWWW[[#This Row],[Total required water points]]-WWWW[[#This Row],['#Water points coverage]])</f>
        <v>0.20599999999999996</v>
      </c>
      <c r="CU434" s="867">
        <f>ROUND(IF(WWWW[[#This Row],[Total PoP ]]&lt;500,1,WWWW[[#This Row],[Total PoP ]]/500),0)</f>
        <v>3</v>
      </c>
      <c r="CV434" s="867">
        <f>(WWWW[[#This Row],['#_Constructed latrines_by_WASHAgencies]]+WWWW[[#This Row],['#_Non Cluster partner latrines]])-WWWW[[#This Row],['#_Non-functional latrines]]</f>
        <v>5</v>
      </c>
      <c r="CW434" s="804">
        <f>WWWW[[#This Row],[HRP2]]/WWWW[[#This Row],[Total PoP ]]</f>
        <v>7.158196134574088E-2</v>
      </c>
      <c r="CX43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43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4" s="473">
        <f>IF(WWWW[[#This Row],['# of functional latrines in THF supported by WASH partners during the reporting period2]]="",0,WWWW[[#This Row],['# of functional latrines in THF supported by WASH partners during the reporting period2]]*50)</f>
        <v>0</v>
      </c>
      <c r="DB434" s="473">
        <f>WWWW[[#This Row],['# students access to functioning school latrines_HRP5]]+WWWW[[#This Row],['# People access to functioning latrines in THF_HRP5]]</f>
        <v>0</v>
      </c>
      <c r="DC434" s="867">
        <f>ROUND(IF(WWWW[[#This Row],[Location Type 1]]="camp",WWWW[[#This Row],[Total PoP ]]/20,IF(WWWW[[#This Row],[Location Type 1]]="Temporary Location",WWWW[[#This Row],[Total PoP ]]/50,(WWWW[[#This Row],[Total PoP ]]/6))),0)</f>
        <v>70</v>
      </c>
      <c r="DD434" s="867">
        <f>IF(WWWW[[#This Row],[Total required Latrines]]-(WWWW[[#This Row],['#_Constructed latrines_by_WASHAgencies]]+WWWW[[#This Row],['#_Non Cluster partner latrines]])&lt;0,0,WWWW[[#This Row],[Total required Latrines]]-(WWWW[[#This Row],['#_Constructed latrines_by_WASHAgencies]]+WWWW[[#This Row],['#_Non Cluster partner latrines]]))</f>
        <v>65</v>
      </c>
      <c r="DE434" s="869">
        <f>1-WWWW[[#This Row],[% people access to functioning Latrine]]</f>
        <v>0.92841803865425909</v>
      </c>
      <c r="DF434" s="868">
        <f>IF(OR(WWWW[[#This Row],['#_Non-functional latrines]]="",WWWW[[#This Row],['#_Non-functional latrines]]=0),0,WWWW[[#This Row],['#_Non-functional latrines]]/(WWWW[[#This Row],['#_Constructed latrines_by_WASHAgencies]]+WWWW[[#This Row],['#_Non Cluster partner latrines]]))</f>
        <v>0</v>
      </c>
      <c r="DG434" s="864">
        <f>IF(500*(WWWW[[#This Row],['#_male hygiene promoters]]+WWWW[[#This Row],['#_female hygiene promoters]])&gt;WWWW[[#This Row],[Total PoP ]],WWWW[[#This Row],[Total PoP ]],500*(WWWW[[#This Row],['#_male hygiene promoters]]+WWWW[[#This Row],['#_female hygiene promoters]]))</f>
        <v>0</v>
      </c>
      <c r="DH43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4" s="867">
        <f>IF(WWWW[[#This Row],['# People with access to soap]]&gt;WWWW[[#This Row],['# People with access to Sanity Pads]],WWWW[[#This Row],['# People with access to soap]],WWWW[[#This Row],['# People with access to Sanity Pads]])</f>
        <v>0</v>
      </c>
      <c r="DK43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34" s="869">
        <f>IF(WWWW[[#This Row],[HRP3]]/WWWW[[#This Row],[Total PoP ]]&gt;1,1,WWWW[[#This Row],[HRP3]]/WWWW[[#This Row],[Total PoP ]])</f>
        <v>0</v>
      </c>
      <c r="DM434" s="868">
        <f>1-WWWW[[#This Row],[Hygiene Coverage%]]</f>
        <v>1</v>
      </c>
      <c r="DN434" s="866">
        <f>WWWW[[#This Row],['# people reached by regular dedicated hygiene promotion_5]]/WWWW[[#This Row],[Total PoP ]]</f>
        <v>0</v>
      </c>
      <c r="DO43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4" s="867">
        <f>WWWW[[#This Row],['#_Constructed/Existing hand washing stations]]-WWWW[[#This Row],['#_Non-Functional_hand_washing_stations]]</f>
        <v>0</v>
      </c>
      <c r="DR434" s="864">
        <f>IF(WWWW[[#This Row],['# Functional hand washing stations during reporting period]]*20&gt;WWWW[[#This Row],[Total HH]],WWWW[[#This Row],[Total HH]],WWWW[[#This Row],['# Functional hand washing stations during reporting period]]*20)</f>
        <v>0</v>
      </c>
      <c r="DS434" s="864">
        <f>IF(WWWW[[#This Row],[Is sufficient soap available for TLS? (Yes/No)]]="yes",WWWW[[#This Row],['#_Constructed/Existing hand washing stations at TLS]],0)</f>
        <v>0</v>
      </c>
      <c r="DT434" s="479">
        <f>IF(WWWW[[#This Row],['# Functional hand washing stations during reporting period]]*100&gt;WWWW[[#This Row],[Total PoP ]],WWWW[[#This Row],[Total PoP ]],WWWW[[#This Row],['# Functional hand washing stations during reporting period]]*100)</f>
        <v>0</v>
      </c>
      <c r="DU434" s="479" t="str">
        <f>IF(OR(WWWW[[#This Row],['#_students at TLS_CFS]]="",WWWW[[#This Row],['#_students at TLS_CFS]]=0),"No","Yes")</f>
        <v>No</v>
      </c>
      <c r="DV43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4" s="862">
        <f>VLOOKUP(WWWW[[#This Row],[Site Name]],SiteDB6[[Site Name]:[CCCM Management]],6,FALSE)</f>
        <v>0</v>
      </c>
      <c r="DZ434" s="862" t="str">
        <f>VLOOKUP(WWWW[[#This Row],[Site Name]],SiteDB6[[Site Name]:[CCCM Focal Agency]],7,FALSE)</f>
        <v>uncovered</v>
      </c>
      <c r="EA434" s="862" t="str">
        <f>VLOOKUP(WWWW[[#This Row],[Site Name]],SiteDB6[[Site Name]:[Location Type 1]],9,FALSE)</f>
        <v>Camp</v>
      </c>
      <c r="EB434" s="862" t="str">
        <f>VLOOKUP(WWWW[[#This Row],[Site Name]],SiteDB6[[Site Name]:[Type of Accommodation]],10,FALSE)</f>
        <v>Camp like setting</v>
      </c>
      <c r="EC434" s="862" t="str">
        <f>VLOOKUP(WWWW[[#This Row],[Site Name]],SiteDB6[[Site Name]:[Ethnic or GCA/NGCA]],11,FALSE)</f>
        <v>NGCA</v>
      </c>
      <c r="ED434" s="862">
        <f>VLOOKUP(WWWW[[#This Row],[Site Name]],SiteDB6[[Site Name]:[Lat]],12,FALSE)</f>
        <v>0</v>
      </c>
      <c r="EE434" s="862">
        <f>VLOOKUP(WWWW[[#This Row],[Site Name]],SiteDB6[[Site Name]:[Long]],13,FALSE)</f>
        <v>0</v>
      </c>
      <c r="EF434" s="862" t="str">
        <f>VLOOKUP(WWWW[[#This Row],[Site Name]],SiteDB6[[Site Name]:[Pcode]],3,FALSE)</f>
        <v>MMR001CMP273</v>
      </c>
      <c r="EG434" s="865" t="str">
        <f t="shared" si="12"/>
        <v>Covered</v>
      </c>
      <c r="EH434" s="865" t="str">
        <f>VLOOKUP(WWWW[[#This Row],[Site Name]],Site_DB!$C$389:$D$1120,2,FALSE)</f>
        <v>cccm_2019OCT</v>
      </c>
    </row>
    <row r="435" spans="1:138">
      <c r="A435" s="860" t="s">
        <v>3263</v>
      </c>
      <c r="B435" s="860" t="s">
        <v>144</v>
      </c>
      <c r="C435" s="861" t="s">
        <v>144</v>
      </c>
      <c r="D435" s="861" t="s">
        <v>3277</v>
      </c>
      <c r="E435" s="861" t="s">
        <v>39</v>
      </c>
      <c r="F435" s="861" t="s">
        <v>145</v>
      </c>
      <c r="G435" s="721" t="str">
        <f>VLOOKUP(WWWW[[#This Row],[Site Name]],SiteDB6[[Site Name]:[Location Type]],8,FALSE)</f>
        <v>Camp</v>
      </c>
      <c r="H435" s="861" t="s">
        <v>179</v>
      </c>
      <c r="I435" s="851">
        <v>28</v>
      </c>
      <c r="J435" s="851">
        <v>159</v>
      </c>
      <c r="K435" s="863" t="s">
        <v>3278</v>
      </c>
      <c r="L435" s="859" t="s">
        <v>3279</v>
      </c>
      <c r="M435" s="851"/>
      <c r="N435" s="851"/>
      <c r="O435" s="851"/>
      <c r="P435" s="851"/>
      <c r="Q435" s="864" t="s">
        <v>43</v>
      </c>
      <c r="R435" s="851"/>
      <c r="S435" s="851">
        <v>1</v>
      </c>
      <c r="T435" s="523">
        <v>2</v>
      </c>
      <c r="U435" s="851"/>
      <c r="V435" s="851"/>
      <c r="W435" s="851">
        <v>1</v>
      </c>
      <c r="X435" s="851"/>
      <c r="Y435" s="851"/>
      <c r="Z435" s="851"/>
      <c r="AA435" s="851">
        <v>0</v>
      </c>
      <c r="AB435" s="851"/>
      <c r="AC435" s="851"/>
      <c r="AD435" s="851"/>
      <c r="AE435" s="851"/>
      <c r="AF435" s="851"/>
      <c r="AG435" s="851"/>
      <c r="AH435" s="851">
        <v>3</v>
      </c>
      <c r="AI435" s="851"/>
      <c r="AJ435" s="851"/>
      <c r="AK435" s="851"/>
      <c r="AL435" s="851"/>
      <c r="AM435" s="851"/>
      <c r="AN435" s="851"/>
      <c r="AO435" s="865"/>
      <c r="AP435" s="851">
        <v>6</v>
      </c>
      <c r="AQ435" s="851"/>
      <c r="AR435" s="866"/>
      <c r="AS435" s="851"/>
      <c r="AT435" s="851"/>
      <c r="AU435" s="851"/>
      <c r="AV435" s="851"/>
      <c r="AW435" s="851">
        <v>6</v>
      </c>
      <c r="AX435" s="862" t="s">
        <v>43</v>
      </c>
      <c r="AY435" s="865" t="s">
        <v>140</v>
      </c>
      <c r="AZ435" s="851"/>
      <c r="BA435" s="851"/>
      <c r="BB435" s="851"/>
      <c r="BC435" s="523"/>
      <c r="BD435" s="523"/>
      <c r="BE435" s="862"/>
      <c r="BF435" s="851">
        <v>2</v>
      </c>
      <c r="BG435" s="851"/>
      <c r="BH435" s="851"/>
      <c r="BI435" s="851">
        <v>3</v>
      </c>
      <c r="BJ435" s="851"/>
      <c r="BK435" s="851"/>
      <c r="BL435" s="851">
        <v>1</v>
      </c>
      <c r="BM435" s="851"/>
      <c r="BN435" s="851"/>
      <c r="BO435" s="862"/>
      <c r="BP435" s="867"/>
      <c r="BQ435" s="866"/>
      <c r="BR435" s="862"/>
      <c r="BS435" s="472"/>
      <c r="BT435" s="472"/>
      <c r="BU435" s="474"/>
      <c r="BV435" s="472"/>
      <c r="BW435" s="523"/>
      <c r="BX435" s="523"/>
      <c r="BY435" s="523"/>
      <c r="BZ435" s="868" t="str">
        <f>IFERROR(WWWW[[#This Row],['#_Water sources passed]]/WWWW[[#This Row],['#_Water sources tested for fecal coliform ]],"no test")</f>
        <v>no test</v>
      </c>
      <c r="CA435" s="866" t="str">
        <f>IFERROR(WWWW[[#This Row],['#_Household passed]]/WWWW[[#This Row],['#_Household water samples tested for fecal coliform]],"no test")</f>
        <v>no test</v>
      </c>
      <c r="CB435" s="867" t="str">
        <f>IF(AND(WWWW[[#This Row],[% of water sources passed]]="no test",WWWW[[#This Row],[% Household passed]]="no test"),"No Test","Tested")</f>
        <v>No Test</v>
      </c>
      <c r="CC435" s="867">
        <f>WWWW[[#This Row],['#_Constructed/existing protected hand dug well]]-WWWW[[#This Row],['#_Non-functional protected hand dug well]]</f>
        <v>2</v>
      </c>
      <c r="CD435" s="867">
        <f>(WWWW[[#This Row],['#_Constructed/Existing tube wells/boreholes/handpumps_WASH_agency]]+WWWW[[#This Row],['#_Non-Cluster partner water tube-wells/boreholes/handpumps]])-WWWW[[#This Row],['#_Non-functional tube wells/boreholes/handpumps]]</f>
        <v>1</v>
      </c>
      <c r="CE435" s="867">
        <f>WWWW[[#This Row],['#_Constructed/Existingwater storage tank with gravity fed reticulation system]]-WWWW[[#This Row],['#_Non-functional storage tank gravity fed reticulation system]]</f>
        <v>0</v>
      </c>
      <c r="CF435" s="867">
        <f>(WWWW[[#This Row],['#_Water_Liters_supplied_by_Water boating or water trucking]]/90)/15</f>
        <v>0</v>
      </c>
      <c r="CG435" s="867">
        <f>WWWW[[#This Row],['#_Water_Liters_from_Constructed/Existing water distribution system from river or natural spring]]/90/15</f>
        <v>0</v>
      </c>
      <c r="CH435" s="473">
        <f>WWWW[[#This Row],['#_of water points in TLS/CFS /THF]]*500</f>
        <v>0</v>
      </c>
      <c r="CI43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5" s="866">
        <f>IF(WWWW[[#This Row],[Location Type 1]]="Village",WWWW[[#This Row],[Access to safe drinking water for Village]],WWWW[[#This Row],[Access to safe drinking water for Camp]])</f>
        <v>1</v>
      </c>
      <c r="CL435" s="864">
        <f>WWWW[[#This Row],[%Equitable and continuous access to sufficient quantity of safe drinking water]]*WWWW[[#This Row],[Total PoP ]]</f>
        <v>159</v>
      </c>
      <c r="CM435" s="866">
        <f>IF((WWWW[[#This Row],['#_Constructed/Existing protected/fenced ponds]]*250)/WWWW[[#This Row],[Total PoP ]]&gt;1,1,(WWWW[[#This Row],['#_Constructed/Existing protected/fenced ponds]]*250)/WWWW[[#This Row],[Total PoP ]])</f>
        <v>0</v>
      </c>
      <c r="CN435" s="864">
        <f>WWWW[[#This Row],[% Access to unimproved water points]]*WWWW[[#This Row],[Total PoP ]]</f>
        <v>0</v>
      </c>
      <c r="CO43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Q435" s="864">
        <f>WWWW[[#This Row],[HRP1]]/500</f>
        <v>0.318</v>
      </c>
      <c r="CR435" s="869">
        <f>1-WWWW[[#This Row],[% Equitable and continuous access to sufficient quantity of domestic water]]</f>
        <v>0</v>
      </c>
      <c r="CS435" s="864">
        <f>WWWW[[#This Row],[%equitable and continuous access to sufficient quantity of safe drinking and domestic water''s GAP]]*WWWW[[#This Row],[Total PoP ]]</f>
        <v>0</v>
      </c>
      <c r="CT435" s="867">
        <f>IF(WWWW[[#This Row],[Total required water points]]-WWWW[[#This Row],['#Water points coverage]]&lt;0,0,WWWW[[#This Row],[Total required water points]]-WWWW[[#This Row],['#Water points coverage]])</f>
        <v>0.68199999999999994</v>
      </c>
      <c r="CU435" s="867">
        <f>ROUND(IF(WWWW[[#This Row],[Total PoP ]]&lt;500,1,WWWW[[#This Row],[Total PoP ]]/500),0)</f>
        <v>1</v>
      </c>
      <c r="CV435" s="867">
        <f>(WWWW[[#This Row],['#_Constructed latrines_by_WASHAgencies]]+WWWW[[#This Row],['#_Non Cluster partner latrines]])-WWWW[[#This Row],['#_Non-functional latrines]]</f>
        <v>6</v>
      </c>
      <c r="CW435" s="804">
        <f>WWWW[[#This Row],[HRP2]]/WWWW[[#This Row],[Total PoP ]]</f>
        <v>0.75471698113207553</v>
      </c>
      <c r="CX43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43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5" s="473">
        <f>IF(WWWW[[#This Row],['# of functional latrines in THF supported by WASH partners during the reporting period2]]="",0,WWWW[[#This Row],['# of functional latrines in THF supported by WASH partners during the reporting period2]]*50)</f>
        <v>0</v>
      </c>
      <c r="DB435" s="473">
        <f>WWWW[[#This Row],['# students access to functioning school latrines_HRP5]]+WWWW[[#This Row],['# People access to functioning latrines in THF_HRP5]]</f>
        <v>0</v>
      </c>
      <c r="DC435" s="867">
        <f>ROUND(IF(WWWW[[#This Row],[Location Type 1]]="camp",WWWW[[#This Row],[Total PoP ]]/20,IF(WWWW[[#This Row],[Location Type 1]]="Temporary Location",WWWW[[#This Row],[Total PoP ]]/50,(WWWW[[#This Row],[Total PoP ]]/6))),0)</f>
        <v>8</v>
      </c>
      <c r="DD435" s="867">
        <f>IF(WWWW[[#This Row],[Total required Latrines]]-(WWWW[[#This Row],['#_Constructed latrines_by_WASHAgencies]]+WWWW[[#This Row],['#_Non Cluster partner latrines]])&lt;0,0,WWWW[[#This Row],[Total required Latrines]]-(WWWW[[#This Row],['#_Constructed latrines_by_WASHAgencies]]+WWWW[[#This Row],['#_Non Cluster partner latrines]]))</f>
        <v>2</v>
      </c>
      <c r="DE435" s="869">
        <f>1-WWWW[[#This Row],[% people access to functioning Latrine]]</f>
        <v>0.24528301886792447</v>
      </c>
      <c r="DF435" s="868">
        <f>IF(OR(WWWW[[#This Row],['#_Non-functional latrines]]="",WWWW[[#This Row],['#_Non-functional latrines]]=0),0,WWWW[[#This Row],['#_Non-functional latrines]]/(WWWW[[#This Row],['#_Constructed latrines_by_WASHAgencies]]+WWWW[[#This Row],['#_Non Cluster partner latrines]]))</f>
        <v>0</v>
      </c>
      <c r="DG435" s="864">
        <f>IF(500*(WWWW[[#This Row],['#_male hygiene promoters]]+WWWW[[#This Row],['#_female hygiene promoters]])&gt;WWWW[[#This Row],[Total PoP ]],WWWW[[#This Row],[Total PoP ]],500*(WWWW[[#This Row],['#_male hygiene promoters]]+WWWW[[#This Row],['#_female hygiene promoters]]))</f>
        <v>159</v>
      </c>
      <c r="DH43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5" s="867">
        <f>IF(WWWW[[#This Row],['# People with access to soap]]&gt;WWWW[[#This Row],['# People with access to Sanity Pads]],WWWW[[#This Row],['# People with access to soap]],WWWW[[#This Row],['# People with access to Sanity Pads]])</f>
        <v>0</v>
      </c>
      <c r="DK435" s="867">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L435" s="869">
        <f>IF(WWWW[[#This Row],[HRP3]]/WWWW[[#This Row],[Total PoP ]]&gt;1,1,WWWW[[#This Row],[HRP3]]/WWWW[[#This Row],[Total PoP ]])</f>
        <v>1</v>
      </c>
      <c r="DM435" s="868">
        <f>1-WWWW[[#This Row],[Hygiene Coverage%]]</f>
        <v>0</v>
      </c>
      <c r="DN435" s="866">
        <f>WWWW[[#This Row],['# people reached by regular dedicated hygiene promotion_5]]/WWWW[[#This Row],[Total PoP ]]</f>
        <v>1</v>
      </c>
      <c r="DO43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5" s="867">
        <f>WWWW[[#This Row],['#_Constructed/Existing hand washing stations]]-WWWW[[#This Row],['#_Non-Functional_hand_washing_stations]]</f>
        <v>2</v>
      </c>
      <c r="DR435" s="864">
        <f>IF(WWWW[[#This Row],['# Functional hand washing stations during reporting period]]*20&gt;WWWW[[#This Row],[Total HH]],WWWW[[#This Row],[Total HH]],WWWW[[#This Row],['# Functional hand washing stations during reporting period]]*20)</f>
        <v>28</v>
      </c>
      <c r="DS435" s="864">
        <f>IF(WWWW[[#This Row],[Is sufficient soap available for TLS? (Yes/No)]]="yes",WWWW[[#This Row],['#_Constructed/Existing hand washing stations at TLS]],0)</f>
        <v>0</v>
      </c>
      <c r="DT435" s="479">
        <f>IF(WWWW[[#This Row],['# Functional hand washing stations during reporting period]]*100&gt;WWWW[[#This Row],[Total PoP ]],WWWW[[#This Row],[Total PoP ]],WWWW[[#This Row],['# Functional hand washing stations during reporting period]]*100)</f>
        <v>159</v>
      </c>
      <c r="DU435" s="479" t="str">
        <f>IF(OR(WWWW[[#This Row],['#_students at TLS_CFS]]="",WWWW[[#This Row],['#_students at TLS_CFS]]=0),"No","Yes")</f>
        <v>No</v>
      </c>
      <c r="DV43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5" s="862" t="str">
        <f>VLOOKUP(WWWW[[#This Row],[Site Name]],SiteDB6[[Site Name]:[CCCM Management]],6,FALSE)</f>
        <v>Yes</v>
      </c>
      <c r="DZ435" s="862" t="str">
        <f>VLOOKUP(WWWW[[#This Row],[Site Name]],SiteDB6[[Site Name]:[CCCM Focal Agency]],7,FALSE)</f>
        <v>KBC-MYT</v>
      </c>
      <c r="EA435" s="862" t="str">
        <f>VLOOKUP(WWWW[[#This Row],[Site Name]],SiteDB6[[Site Name]:[Location Type 1]],9,FALSE)</f>
        <v>Camp</v>
      </c>
      <c r="EB435" s="862" t="str">
        <f>VLOOKUP(WWWW[[#This Row],[Site Name]],SiteDB6[[Site Name]:[Type of Accommodation]],10,FALSE)</f>
        <v>Camp</v>
      </c>
      <c r="EC435" s="862" t="str">
        <f>VLOOKUP(WWWW[[#This Row],[Site Name]],SiteDB6[[Site Name]:[Ethnic or GCA/NGCA]],11,FALSE)</f>
        <v>GCA</v>
      </c>
      <c r="ED435" s="862">
        <f>VLOOKUP(WWWW[[#This Row],[Site Name]],SiteDB6[[Site Name]:[Lat]],12,FALSE)</f>
        <v>25.356632000000001</v>
      </c>
      <c r="EE435" s="862">
        <f>VLOOKUP(WWWW[[#This Row],[Site Name]],SiteDB6[[Site Name]:[Long]],13,FALSE)</f>
        <v>97.451965000000001</v>
      </c>
      <c r="EF435" s="862" t="str">
        <f>VLOOKUP(WWWW[[#This Row],[Site Name]],SiteDB6[[Site Name]:[Pcode]],3,FALSE)</f>
        <v>MMR001CMP027</v>
      </c>
      <c r="EG435" s="865" t="str">
        <f t="shared" si="12"/>
        <v>Covered</v>
      </c>
      <c r="EH435" s="865" t="str">
        <f>VLOOKUP(WWWW[[#This Row],[Site Name]],Site_DB!$C$389:$D$1120,2,FALSE)</f>
        <v>cccm_2019OCT</v>
      </c>
    </row>
    <row r="436" spans="1:138">
      <c r="A436" s="860" t="s">
        <v>3263</v>
      </c>
      <c r="B436" s="860" t="s">
        <v>144</v>
      </c>
      <c r="C436" s="861" t="s">
        <v>144</v>
      </c>
      <c r="D436" s="861" t="s">
        <v>3280</v>
      </c>
      <c r="E436" s="861" t="s">
        <v>39</v>
      </c>
      <c r="F436" s="861" t="s">
        <v>187</v>
      </c>
      <c r="G436" s="721" t="str">
        <f>VLOOKUP(WWWW[[#This Row],[Site Name]],SiteDB6[[Site Name]:[Location Type]],8,FALSE)</f>
        <v>Camp</v>
      </c>
      <c r="H436" s="861" t="s">
        <v>190</v>
      </c>
      <c r="I436" s="851">
        <v>63</v>
      </c>
      <c r="J436" s="851">
        <v>325</v>
      </c>
      <c r="K436" s="863">
        <v>43475</v>
      </c>
      <c r="L436" s="859" t="s">
        <v>3281</v>
      </c>
      <c r="M436" s="851"/>
      <c r="N436" s="851"/>
      <c r="O436" s="851"/>
      <c r="P436" s="851"/>
      <c r="Q436" s="864" t="s">
        <v>43</v>
      </c>
      <c r="R436" s="851"/>
      <c r="S436" s="851"/>
      <c r="T436" s="523">
        <v>0</v>
      </c>
      <c r="U436" s="851"/>
      <c r="V436" s="851"/>
      <c r="W436" s="851">
        <v>0</v>
      </c>
      <c r="X436" s="851"/>
      <c r="Y436" s="851"/>
      <c r="Z436" s="851"/>
      <c r="AA436" s="851">
        <v>1</v>
      </c>
      <c r="AB436" s="851"/>
      <c r="AC436" s="851"/>
      <c r="AD436" s="851"/>
      <c r="AE436" s="851"/>
      <c r="AF436" s="851"/>
      <c r="AG436" s="851"/>
      <c r="AH436" s="851">
        <v>0</v>
      </c>
      <c r="AI436" s="851"/>
      <c r="AJ436" s="851"/>
      <c r="AK436" s="851"/>
      <c r="AL436" s="851"/>
      <c r="AM436" s="851"/>
      <c r="AN436" s="851"/>
      <c r="AO436" s="865"/>
      <c r="AP436" s="851">
        <v>65</v>
      </c>
      <c r="AQ436" s="851"/>
      <c r="AR436" s="866"/>
      <c r="AS436" s="851"/>
      <c r="AT436" s="851"/>
      <c r="AU436" s="851"/>
      <c r="AV436" s="851"/>
      <c r="AW436" s="851">
        <v>65</v>
      </c>
      <c r="AX436" s="862" t="s">
        <v>43</v>
      </c>
      <c r="AY436" s="865" t="s">
        <v>140</v>
      </c>
      <c r="AZ436" s="851"/>
      <c r="BA436" s="851"/>
      <c r="BB436" s="851"/>
      <c r="BC436" s="523"/>
      <c r="BD436" s="523"/>
      <c r="BE436" s="862"/>
      <c r="BF436" s="851">
        <v>65</v>
      </c>
      <c r="BG436" s="851"/>
      <c r="BH436" s="851"/>
      <c r="BI436" s="851">
        <v>0</v>
      </c>
      <c r="BJ436" s="851"/>
      <c r="BK436" s="851"/>
      <c r="BL436" s="851">
        <v>2</v>
      </c>
      <c r="BM436" s="851"/>
      <c r="BN436" s="851"/>
      <c r="BO436" s="862"/>
      <c r="BP436" s="867"/>
      <c r="BQ436" s="866"/>
      <c r="BR436" s="862"/>
      <c r="BS436" s="472"/>
      <c r="BT436" s="472"/>
      <c r="BU436" s="474"/>
      <c r="BV436" s="472"/>
      <c r="BW436" s="523"/>
      <c r="BX436" s="523"/>
      <c r="BY436" s="523"/>
      <c r="BZ436" s="868" t="str">
        <f>IFERROR(WWWW[[#This Row],['#_Water sources passed]]/WWWW[[#This Row],['#_Water sources tested for fecal coliform ]],"no test")</f>
        <v>no test</v>
      </c>
      <c r="CA436" s="866" t="str">
        <f>IFERROR(WWWW[[#This Row],['#_Household passed]]/WWWW[[#This Row],['#_Household water samples tested for fecal coliform]],"no test")</f>
        <v>no test</v>
      </c>
      <c r="CB436" s="867" t="str">
        <f>IF(AND(WWWW[[#This Row],[% of water sources passed]]="no test",WWWW[[#This Row],[% Household passed]]="no test"),"No Test","Tested")</f>
        <v>No Test</v>
      </c>
      <c r="CC436" s="867">
        <f>WWWW[[#This Row],['#_Constructed/existing protected hand dug well]]-WWWW[[#This Row],['#_Non-functional protected hand dug well]]</f>
        <v>0</v>
      </c>
      <c r="CD436" s="867">
        <f>(WWWW[[#This Row],['#_Constructed/Existing tube wells/boreholes/handpumps_WASH_agency]]+WWWW[[#This Row],['#_Non-Cluster partner water tube-wells/boreholes/handpumps]])-WWWW[[#This Row],['#_Non-functional tube wells/boreholes/handpumps]]</f>
        <v>0</v>
      </c>
      <c r="CE436" s="867">
        <f>WWWW[[#This Row],['#_Constructed/Existingwater storage tank with gravity fed reticulation system]]-WWWW[[#This Row],['#_Non-functional storage tank gravity fed reticulation system]]</f>
        <v>1</v>
      </c>
      <c r="CF436" s="867">
        <f>(WWWW[[#This Row],['#_Water_Liters_supplied_by_Water boating or water trucking]]/90)/15</f>
        <v>0</v>
      </c>
      <c r="CG436" s="867">
        <f>WWWW[[#This Row],['#_Water_Liters_from_Constructed/Existing water distribution system from river or natural spring]]/90/15</f>
        <v>0</v>
      </c>
      <c r="CH436" s="473">
        <f>WWWW[[#This Row],['#_of water points in TLS/CFS /THF]]*500</f>
        <v>0</v>
      </c>
      <c r="CI43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0.20512820512820515</v>
      </c>
      <c r="CJ43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0.20512820512820515</v>
      </c>
      <c r="CK436" s="866">
        <f>IF(WWWW[[#This Row],[Location Type 1]]="Village",WWWW[[#This Row],[Access to safe drinking water for Village]],WWWW[[#This Row],[Access to safe drinking water for Camp]])</f>
        <v>0.20512820512820515</v>
      </c>
      <c r="CL436" s="864">
        <f>WWWW[[#This Row],[%Equitable and continuous access to sufficient quantity of safe drinking water]]*WWWW[[#This Row],[Total PoP ]]</f>
        <v>66.666666666666671</v>
      </c>
      <c r="CM436" s="866">
        <f>IF((WWWW[[#This Row],['#_Constructed/Existing protected/fenced ponds]]*250)/WWWW[[#This Row],[Total PoP ]]&gt;1,1,(WWWW[[#This Row],['#_Constructed/Existing protected/fenced ponds]]*250)/WWWW[[#This Row],[Total PoP ]])</f>
        <v>0</v>
      </c>
      <c r="CN436" s="864">
        <f>WWWW[[#This Row],[% Access to unimproved water points]]*WWWW[[#This Row],[Total PoP ]]</f>
        <v>0</v>
      </c>
      <c r="CO43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0.20512820512820515</v>
      </c>
      <c r="CP43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36" s="864">
        <f>WWWW[[#This Row],[HRP1]]/500</f>
        <v>0.13333333333333333</v>
      </c>
      <c r="CR436" s="869">
        <f>1-WWWW[[#This Row],[% Equitable and continuous access to sufficient quantity of domestic water]]</f>
        <v>0.79487179487179482</v>
      </c>
      <c r="CS436" s="864">
        <f>WWWW[[#This Row],[%equitable and continuous access to sufficient quantity of safe drinking and domestic water''s GAP]]*WWWW[[#This Row],[Total PoP ]]</f>
        <v>258.33333333333331</v>
      </c>
      <c r="CT436" s="867">
        <f>IF(WWWW[[#This Row],[Total required water points]]-WWWW[[#This Row],['#Water points coverage]]&lt;0,0,WWWW[[#This Row],[Total required water points]]-WWWW[[#This Row],['#Water points coverage]])</f>
        <v>0.8666666666666667</v>
      </c>
      <c r="CU436" s="867">
        <f>ROUND(IF(WWWW[[#This Row],[Total PoP ]]&lt;500,1,WWWW[[#This Row],[Total PoP ]]/500),0)</f>
        <v>1</v>
      </c>
      <c r="CV436" s="867">
        <f>(WWWW[[#This Row],['#_Constructed latrines_by_WASHAgencies]]+WWWW[[#This Row],['#_Non Cluster partner latrines]])-WWWW[[#This Row],['#_Non-functional latrines]]</f>
        <v>65</v>
      </c>
      <c r="CW436" s="804">
        <f>WWWW[[#This Row],[HRP2]]/WWWW[[#This Row],[Total PoP ]]</f>
        <v>1</v>
      </c>
      <c r="CX43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CY43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6" s="473">
        <f>IF(WWWW[[#This Row],['# of functional latrines in THF supported by WASH partners during the reporting period2]]="",0,WWWW[[#This Row],['# of functional latrines in THF supported by WASH partners during the reporting period2]]*50)</f>
        <v>0</v>
      </c>
      <c r="DB436" s="473">
        <f>WWWW[[#This Row],['# students access to functioning school latrines_HRP5]]+WWWW[[#This Row],['# People access to functioning latrines in THF_HRP5]]</f>
        <v>0</v>
      </c>
      <c r="DC436" s="867">
        <f>ROUND(IF(WWWW[[#This Row],[Location Type 1]]="camp",WWWW[[#This Row],[Total PoP ]]/20,IF(WWWW[[#This Row],[Location Type 1]]="Temporary Location",WWWW[[#This Row],[Total PoP ]]/50,(WWWW[[#This Row],[Total PoP ]]/6))),0)</f>
        <v>16</v>
      </c>
      <c r="DD436" s="867">
        <f>IF(WWWW[[#This Row],[Total required Latrines]]-(WWWW[[#This Row],['#_Constructed latrines_by_WASHAgencies]]+WWWW[[#This Row],['#_Non Cluster partner latrines]])&lt;0,0,WWWW[[#This Row],[Total required Latrines]]-(WWWW[[#This Row],['#_Constructed latrines_by_WASHAgencies]]+WWWW[[#This Row],['#_Non Cluster partner latrines]]))</f>
        <v>0</v>
      </c>
      <c r="DE436" s="869">
        <f>1-WWWW[[#This Row],[% people access to functioning Latrine]]</f>
        <v>0</v>
      </c>
      <c r="DF436" s="868">
        <f>IF(OR(WWWW[[#This Row],['#_Non-functional latrines]]="",WWWW[[#This Row],['#_Non-functional latrines]]=0),0,WWWW[[#This Row],['#_Non-functional latrines]]/(WWWW[[#This Row],['#_Constructed latrines_by_WASHAgencies]]+WWWW[[#This Row],['#_Non Cluster partner latrines]]))</f>
        <v>0</v>
      </c>
      <c r="DG436" s="864">
        <f>IF(500*(WWWW[[#This Row],['#_male hygiene promoters]]+WWWW[[#This Row],['#_female hygiene promoters]])&gt;WWWW[[#This Row],[Total PoP ]],WWWW[[#This Row],[Total PoP ]],500*(WWWW[[#This Row],['#_male hygiene promoters]]+WWWW[[#This Row],['#_female hygiene promoters]]))</f>
        <v>325</v>
      </c>
      <c r="DH43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6" s="867">
        <f>IF(WWWW[[#This Row],['# People with access to soap]]&gt;WWWW[[#This Row],['# People with access to Sanity Pads]],WWWW[[#This Row],['# People with access to soap]],WWWW[[#This Row],['# People with access to Sanity Pads]])</f>
        <v>0</v>
      </c>
      <c r="DK436" s="867">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L436" s="869">
        <f>IF(WWWW[[#This Row],[HRP3]]/WWWW[[#This Row],[Total PoP ]]&gt;1,1,WWWW[[#This Row],[HRP3]]/WWWW[[#This Row],[Total PoP ]])</f>
        <v>1</v>
      </c>
      <c r="DM436" s="868">
        <f>1-WWWW[[#This Row],[Hygiene Coverage%]]</f>
        <v>0</v>
      </c>
      <c r="DN436" s="866">
        <f>WWWW[[#This Row],['# people reached by regular dedicated hygiene promotion_5]]/WWWW[[#This Row],[Total PoP ]]</f>
        <v>1</v>
      </c>
      <c r="DO43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6" s="867">
        <f>WWWW[[#This Row],['#_Constructed/Existing hand washing stations]]-WWWW[[#This Row],['#_Non-Functional_hand_washing_stations]]</f>
        <v>65</v>
      </c>
      <c r="DR436" s="864">
        <f>IF(WWWW[[#This Row],['# Functional hand washing stations during reporting period]]*20&gt;WWWW[[#This Row],[Total HH]],WWWW[[#This Row],[Total HH]],WWWW[[#This Row],['# Functional hand washing stations during reporting period]]*20)</f>
        <v>63</v>
      </c>
      <c r="DS436" s="864">
        <f>IF(WWWW[[#This Row],[Is sufficient soap available for TLS? (Yes/No)]]="yes",WWWW[[#This Row],['#_Constructed/Existing hand washing stations at TLS]],0)</f>
        <v>0</v>
      </c>
      <c r="DT436" s="479">
        <f>IF(WWWW[[#This Row],['# Functional hand washing stations during reporting period]]*100&gt;WWWW[[#This Row],[Total PoP ]],WWWW[[#This Row],[Total PoP ]],WWWW[[#This Row],['# Functional hand washing stations during reporting period]]*100)</f>
        <v>325</v>
      </c>
      <c r="DU436" s="479" t="str">
        <f>IF(OR(WWWW[[#This Row],['#_students at TLS_CFS]]="",WWWW[[#This Row],['#_students at TLS_CFS]]=0),"No","Yes")</f>
        <v>No</v>
      </c>
      <c r="DV43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6" s="862" t="str">
        <f>VLOOKUP(WWWW[[#This Row],[Site Name]],SiteDB6[[Site Name]:[CCCM Management]],6,FALSE)</f>
        <v>Yes</v>
      </c>
      <c r="DZ436" s="862" t="str">
        <f>VLOOKUP(WWWW[[#This Row],[Site Name]],SiteDB6[[Site Name]:[CCCM Focal Agency]],7,FALSE)</f>
        <v>KBC-MYT</v>
      </c>
      <c r="EA436" s="862" t="str">
        <f>VLOOKUP(WWWW[[#This Row],[Site Name]],SiteDB6[[Site Name]:[Location Type 1]],9,FALSE)</f>
        <v>Camp</v>
      </c>
      <c r="EB436" s="862" t="str">
        <f>VLOOKUP(WWWW[[#This Row],[Site Name]],SiteDB6[[Site Name]:[Type of Accommodation]],10,FALSE)</f>
        <v>Camp</v>
      </c>
      <c r="EC436" s="862" t="str">
        <f>VLOOKUP(WWWW[[#This Row],[Site Name]],SiteDB6[[Site Name]:[Ethnic or GCA/NGCA]],11,FALSE)</f>
        <v>NGCA</v>
      </c>
      <c r="ED436" s="862">
        <f>VLOOKUP(WWWW[[#This Row],[Site Name]],SiteDB6[[Site Name]:[Lat]],12,FALSE)</f>
        <v>26.548506</v>
      </c>
      <c r="EE436" s="862">
        <f>VLOOKUP(WWWW[[#This Row],[Site Name]],SiteDB6[[Site Name]:[Long]],13,FALSE)</f>
        <v>97.75609</v>
      </c>
      <c r="EF436" s="862" t="str">
        <f>VLOOKUP(WWWW[[#This Row],[Site Name]],SiteDB6[[Site Name]:[Pcode]],3,FALSE)</f>
        <v>MMR001CMP239</v>
      </c>
      <c r="EG436" s="865" t="str">
        <f t="shared" si="12"/>
        <v>Covered</v>
      </c>
      <c r="EH436" s="865" t="str">
        <f>VLOOKUP(WWWW[[#This Row],[Site Name]],Site_DB!$C$389:$D$1120,2,FALSE)</f>
        <v>cccm_2019OCT</v>
      </c>
    </row>
    <row r="437" spans="1:138">
      <c r="A437" s="860" t="s">
        <v>3263</v>
      </c>
      <c r="B437" s="860" t="s">
        <v>144</v>
      </c>
      <c r="C437" s="861" t="s">
        <v>144</v>
      </c>
      <c r="D437" s="861" t="s">
        <v>3277</v>
      </c>
      <c r="E437" s="861" t="s">
        <v>39</v>
      </c>
      <c r="F437" s="861" t="s">
        <v>155</v>
      </c>
      <c r="G437" s="721" t="str">
        <f>VLOOKUP(WWWW[[#This Row],[Site Name]],SiteDB6[[Site Name]:[Location Type]],8,FALSE)</f>
        <v>Camp</v>
      </c>
      <c r="H437" s="861" t="s">
        <v>159</v>
      </c>
      <c r="I437" s="851">
        <v>28</v>
      </c>
      <c r="J437" s="851">
        <v>136</v>
      </c>
      <c r="K437" s="863" t="s">
        <v>3278</v>
      </c>
      <c r="L437" s="859" t="s">
        <v>3279</v>
      </c>
      <c r="M437" s="851"/>
      <c r="N437" s="851"/>
      <c r="O437" s="851"/>
      <c r="P437" s="851"/>
      <c r="Q437" s="864" t="s">
        <v>43</v>
      </c>
      <c r="R437" s="851"/>
      <c r="S437" s="851">
        <v>4</v>
      </c>
      <c r="T437" s="523">
        <v>1</v>
      </c>
      <c r="U437" s="851"/>
      <c r="V437" s="851"/>
      <c r="W437" s="851">
        <v>1</v>
      </c>
      <c r="X437" s="851"/>
      <c r="Y437" s="851"/>
      <c r="Z437" s="851"/>
      <c r="AA437" s="851"/>
      <c r="AB437" s="851"/>
      <c r="AC437" s="851"/>
      <c r="AD437" s="851"/>
      <c r="AE437" s="851"/>
      <c r="AF437" s="851"/>
      <c r="AG437" s="851"/>
      <c r="AH437" s="851">
        <v>3</v>
      </c>
      <c r="AI437" s="851"/>
      <c r="AJ437" s="851"/>
      <c r="AK437" s="851"/>
      <c r="AL437" s="851"/>
      <c r="AM437" s="851"/>
      <c r="AN437" s="851"/>
      <c r="AO437" s="865"/>
      <c r="AP437" s="851">
        <v>12</v>
      </c>
      <c r="AQ437" s="851"/>
      <c r="AR437" s="866"/>
      <c r="AS437" s="851"/>
      <c r="AT437" s="851"/>
      <c r="AU437" s="851"/>
      <c r="AV437" s="851"/>
      <c r="AW437" s="851">
        <v>12</v>
      </c>
      <c r="AX437" s="862" t="s">
        <v>43</v>
      </c>
      <c r="AY437" s="865" t="s">
        <v>1195</v>
      </c>
      <c r="AZ437" s="851"/>
      <c r="BA437" s="851"/>
      <c r="BB437" s="851"/>
      <c r="BC437" s="523"/>
      <c r="BD437" s="523"/>
      <c r="BE437" s="862"/>
      <c r="BF437" s="851">
        <v>6</v>
      </c>
      <c r="BG437" s="851"/>
      <c r="BH437" s="851"/>
      <c r="BI437" s="851">
        <v>2</v>
      </c>
      <c r="BJ437" s="851"/>
      <c r="BK437" s="851"/>
      <c r="BL437" s="851">
        <v>1</v>
      </c>
      <c r="BM437" s="851"/>
      <c r="BN437" s="851"/>
      <c r="BO437" s="862"/>
      <c r="BP437" s="867"/>
      <c r="BQ437" s="866"/>
      <c r="BR437" s="862"/>
      <c r="BS437" s="472"/>
      <c r="BT437" s="472"/>
      <c r="BU437" s="474"/>
      <c r="BV437" s="472"/>
      <c r="BW437" s="523"/>
      <c r="BX437" s="523"/>
      <c r="BY437" s="523"/>
      <c r="BZ437" s="868" t="str">
        <f>IFERROR(WWWW[[#This Row],['#_Water sources passed]]/WWWW[[#This Row],['#_Water sources tested for fecal coliform ]],"no test")</f>
        <v>no test</v>
      </c>
      <c r="CA437" s="866" t="str">
        <f>IFERROR(WWWW[[#This Row],['#_Household passed]]/WWWW[[#This Row],['#_Household water samples tested for fecal coliform]],"no test")</f>
        <v>no test</v>
      </c>
      <c r="CB437" s="867" t="str">
        <f>IF(AND(WWWW[[#This Row],[% of water sources passed]]="no test",WWWW[[#This Row],[% Household passed]]="no test"),"No Test","Tested")</f>
        <v>No Test</v>
      </c>
      <c r="CC437" s="867">
        <f>WWWW[[#This Row],['#_Constructed/existing protected hand dug well]]-WWWW[[#This Row],['#_Non-functional protected hand dug well]]</f>
        <v>1</v>
      </c>
      <c r="CD437" s="867">
        <f>(WWWW[[#This Row],['#_Constructed/Existing tube wells/boreholes/handpumps_WASH_agency]]+WWWW[[#This Row],['#_Non-Cluster partner water tube-wells/boreholes/handpumps]])-WWWW[[#This Row],['#_Non-functional tube wells/boreholes/handpumps]]</f>
        <v>1</v>
      </c>
      <c r="CE437" s="867">
        <f>WWWW[[#This Row],['#_Constructed/Existingwater storage tank with gravity fed reticulation system]]-WWWW[[#This Row],['#_Non-functional storage tank gravity fed reticulation system]]</f>
        <v>0</v>
      </c>
      <c r="CF437" s="867">
        <f>(WWWW[[#This Row],['#_Water_Liters_supplied_by_Water boating or water trucking]]/90)/15</f>
        <v>0</v>
      </c>
      <c r="CG437" s="867">
        <f>WWWW[[#This Row],['#_Water_Liters_from_Constructed/Existing water distribution system from river or natural spring]]/90/15</f>
        <v>0</v>
      </c>
      <c r="CH437" s="473">
        <f>WWWW[[#This Row],['#_of water points in TLS/CFS /THF]]*500</f>
        <v>0</v>
      </c>
      <c r="CI43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37" s="866">
        <f>IF(WWWW[[#This Row],[Location Type 1]]="Village",WWWW[[#This Row],[Access to safe drinking water for Village]],WWWW[[#This Row],[Access to safe drinking water for Camp]])</f>
        <v>1</v>
      </c>
      <c r="CL437" s="864">
        <f>WWWW[[#This Row],[%Equitable and continuous access to sufficient quantity of safe drinking water]]*WWWW[[#This Row],[Total PoP ]]</f>
        <v>136</v>
      </c>
      <c r="CM437" s="866">
        <f>IF((WWWW[[#This Row],['#_Constructed/Existing protected/fenced ponds]]*250)/WWWW[[#This Row],[Total PoP ]]&gt;1,1,(WWWW[[#This Row],['#_Constructed/Existing protected/fenced ponds]]*250)/WWWW[[#This Row],[Total PoP ]])</f>
        <v>0</v>
      </c>
      <c r="CN437" s="864">
        <f>WWWW[[#This Row],[% Access to unimproved water points]]*WWWW[[#This Row],[Total PoP ]]</f>
        <v>0</v>
      </c>
      <c r="CO43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Q437" s="864">
        <f>WWWW[[#This Row],[HRP1]]/500</f>
        <v>0.27200000000000002</v>
      </c>
      <c r="CR437" s="869">
        <f>1-WWWW[[#This Row],[% Equitable and continuous access to sufficient quantity of domestic water]]</f>
        <v>0</v>
      </c>
      <c r="CS437" s="864">
        <f>WWWW[[#This Row],[%equitable and continuous access to sufficient quantity of safe drinking and domestic water''s GAP]]*WWWW[[#This Row],[Total PoP ]]</f>
        <v>0</v>
      </c>
      <c r="CT437" s="867">
        <f>IF(WWWW[[#This Row],[Total required water points]]-WWWW[[#This Row],['#Water points coverage]]&lt;0,0,WWWW[[#This Row],[Total required water points]]-WWWW[[#This Row],['#Water points coverage]])</f>
        <v>0.72799999999999998</v>
      </c>
      <c r="CU437" s="867">
        <f>ROUND(IF(WWWW[[#This Row],[Total PoP ]]&lt;500,1,WWWW[[#This Row],[Total PoP ]]/500),0)</f>
        <v>1</v>
      </c>
      <c r="CV437" s="867">
        <f>(WWWW[[#This Row],['#_Constructed latrines_by_WASHAgencies]]+WWWW[[#This Row],['#_Non Cluster partner latrines]])-WWWW[[#This Row],['#_Non-functional latrines]]</f>
        <v>12</v>
      </c>
      <c r="CW437" s="804">
        <f>WWWW[[#This Row],[HRP2]]/WWWW[[#This Row],[Total PoP ]]</f>
        <v>1</v>
      </c>
      <c r="CX43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CY43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7" s="473">
        <f>IF(WWWW[[#This Row],['# of functional latrines in THF supported by WASH partners during the reporting period2]]="",0,WWWW[[#This Row],['# of functional latrines in THF supported by WASH partners during the reporting period2]]*50)</f>
        <v>0</v>
      </c>
      <c r="DB437" s="473">
        <f>WWWW[[#This Row],['# students access to functioning school latrines_HRP5]]+WWWW[[#This Row],['# People access to functioning latrines in THF_HRP5]]</f>
        <v>0</v>
      </c>
      <c r="DC437" s="867">
        <f>ROUND(IF(WWWW[[#This Row],[Location Type 1]]="camp",WWWW[[#This Row],[Total PoP ]]/20,IF(WWWW[[#This Row],[Location Type 1]]="Temporary Location",WWWW[[#This Row],[Total PoP ]]/50,(WWWW[[#This Row],[Total PoP ]]/6))),0)</f>
        <v>7</v>
      </c>
      <c r="DD437" s="867">
        <f>IF(WWWW[[#This Row],[Total required Latrines]]-(WWWW[[#This Row],['#_Constructed latrines_by_WASHAgencies]]+WWWW[[#This Row],['#_Non Cluster partner latrines]])&lt;0,0,WWWW[[#This Row],[Total required Latrines]]-(WWWW[[#This Row],['#_Constructed latrines_by_WASHAgencies]]+WWWW[[#This Row],['#_Non Cluster partner latrines]]))</f>
        <v>0</v>
      </c>
      <c r="DE437" s="869">
        <f>1-WWWW[[#This Row],[% people access to functioning Latrine]]</f>
        <v>0</v>
      </c>
      <c r="DF437" s="868">
        <f>IF(OR(WWWW[[#This Row],['#_Non-functional latrines]]="",WWWW[[#This Row],['#_Non-functional latrines]]=0),0,WWWW[[#This Row],['#_Non-functional latrines]]/(WWWW[[#This Row],['#_Constructed latrines_by_WASHAgencies]]+WWWW[[#This Row],['#_Non Cluster partner latrines]]))</f>
        <v>0</v>
      </c>
      <c r="DG437" s="864">
        <f>IF(500*(WWWW[[#This Row],['#_male hygiene promoters]]+WWWW[[#This Row],['#_female hygiene promoters]])&gt;WWWW[[#This Row],[Total PoP ]],WWWW[[#This Row],[Total PoP ]],500*(WWWW[[#This Row],['#_male hygiene promoters]]+WWWW[[#This Row],['#_female hygiene promoters]]))</f>
        <v>136</v>
      </c>
      <c r="DH43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7" s="867">
        <f>IF(WWWW[[#This Row],['# People with access to soap]]&gt;WWWW[[#This Row],['# People with access to Sanity Pads]],WWWW[[#This Row],['# People with access to soap]],WWWW[[#This Row],['# People with access to Sanity Pads]])</f>
        <v>0</v>
      </c>
      <c r="DK437" s="867">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L437" s="869">
        <f>IF(WWWW[[#This Row],[HRP3]]/WWWW[[#This Row],[Total PoP ]]&gt;1,1,WWWW[[#This Row],[HRP3]]/WWWW[[#This Row],[Total PoP ]])</f>
        <v>1</v>
      </c>
      <c r="DM437" s="868">
        <f>1-WWWW[[#This Row],[Hygiene Coverage%]]</f>
        <v>0</v>
      </c>
      <c r="DN437" s="866">
        <f>WWWW[[#This Row],['# people reached by regular dedicated hygiene promotion_5]]/WWWW[[#This Row],[Total PoP ]]</f>
        <v>1</v>
      </c>
      <c r="DO43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7" s="867">
        <f>WWWW[[#This Row],['#_Constructed/Existing hand washing stations]]-WWWW[[#This Row],['#_Non-Functional_hand_washing_stations]]</f>
        <v>6</v>
      </c>
      <c r="DR437" s="864">
        <f>IF(WWWW[[#This Row],['# Functional hand washing stations during reporting period]]*20&gt;WWWW[[#This Row],[Total HH]],WWWW[[#This Row],[Total HH]],WWWW[[#This Row],['# Functional hand washing stations during reporting period]]*20)</f>
        <v>28</v>
      </c>
      <c r="DS437" s="864">
        <f>IF(WWWW[[#This Row],[Is sufficient soap available for TLS? (Yes/No)]]="yes",WWWW[[#This Row],['#_Constructed/Existing hand washing stations at TLS]],0)</f>
        <v>0</v>
      </c>
      <c r="DT437" s="479">
        <f>IF(WWWW[[#This Row],['# Functional hand washing stations during reporting period]]*100&gt;WWWW[[#This Row],[Total PoP ]],WWWW[[#This Row],[Total PoP ]],WWWW[[#This Row],['# Functional hand washing stations during reporting period]]*100)</f>
        <v>136</v>
      </c>
      <c r="DU437" s="479" t="str">
        <f>IF(OR(WWWW[[#This Row],['#_students at TLS_CFS]]="",WWWW[[#This Row],['#_students at TLS_CFS]]=0),"No","Yes")</f>
        <v>No</v>
      </c>
      <c r="DV43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7" s="862" t="str">
        <f>VLOOKUP(WWWW[[#This Row],[Site Name]],SiteDB6[[Site Name]:[CCCM Management]],6,FALSE)</f>
        <v>Yes</v>
      </c>
      <c r="DZ437" s="862" t="str">
        <f>VLOOKUP(WWWW[[#This Row],[Site Name]],SiteDB6[[Site Name]:[CCCM Focal Agency]],7,FALSE)</f>
        <v>KBC-MYT</v>
      </c>
      <c r="EA437" s="862" t="str">
        <f>VLOOKUP(WWWW[[#This Row],[Site Name]],SiteDB6[[Site Name]:[Location Type 1]],9,FALSE)</f>
        <v>Camp</v>
      </c>
      <c r="EB437" s="862" t="str">
        <f>VLOOKUP(WWWW[[#This Row],[Site Name]],SiteDB6[[Site Name]:[Type of Accommodation]],10,FALSE)</f>
        <v>Camp</v>
      </c>
      <c r="EC437" s="862" t="str">
        <f>VLOOKUP(WWWW[[#This Row],[Site Name]],SiteDB6[[Site Name]:[Ethnic or GCA/NGCA]],11,FALSE)</f>
        <v>GCA</v>
      </c>
      <c r="ED437" s="862">
        <f>VLOOKUP(WWWW[[#This Row],[Site Name]],SiteDB6[[Site Name]:[Lat]],12,FALSE)</f>
        <v>25.225000000000001</v>
      </c>
      <c r="EE437" s="862">
        <f>VLOOKUP(WWWW[[#This Row],[Site Name]],SiteDB6[[Site Name]:[Long]],13,FALSE)</f>
        <v>96.793999999999997</v>
      </c>
      <c r="EF437" s="862" t="str">
        <f>VLOOKUP(WWWW[[#This Row],[Site Name]],SiteDB6[[Site Name]:[Pcode]],3,FALSE)</f>
        <v>MMR001CMP236</v>
      </c>
      <c r="EG437" s="865" t="str">
        <f t="shared" si="12"/>
        <v>Covered</v>
      </c>
      <c r="EH437" s="865" t="str">
        <f>VLOOKUP(WWWW[[#This Row],[Site Name]],Site_DB!$C$389:$D$1120,2,FALSE)</f>
        <v>cccm_2019OCT</v>
      </c>
    </row>
    <row r="438" spans="1:138">
      <c r="A438" s="860" t="s">
        <v>3263</v>
      </c>
      <c r="B438" s="860" t="s">
        <v>312</v>
      </c>
      <c r="C438" s="861" t="s">
        <v>312</v>
      </c>
      <c r="D438" s="861"/>
      <c r="E438" s="861" t="s">
        <v>39</v>
      </c>
      <c r="F438" s="861" t="s">
        <v>145</v>
      </c>
      <c r="G438" s="721" t="str">
        <f>VLOOKUP(WWWW[[#This Row],[Site Name]],SiteDB6[[Site Name]:[Location Type]],8,FALSE)</f>
        <v>Camp</v>
      </c>
      <c r="H438" s="861" t="s">
        <v>180</v>
      </c>
      <c r="I438" s="851">
        <v>407</v>
      </c>
      <c r="J438" s="851">
        <v>1801</v>
      </c>
      <c r="K438" s="863"/>
      <c r="L438" s="859"/>
      <c r="M438" s="851"/>
      <c r="N438" s="851"/>
      <c r="O438" s="851"/>
      <c r="P438" s="851"/>
      <c r="Q438" s="864" t="s">
        <v>43</v>
      </c>
      <c r="R438" s="851"/>
      <c r="S438" s="851">
        <v>5</v>
      </c>
      <c r="T438" s="523"/>
      <c r="U438" s="851"/>
      <c r="V438" s="851"/>
      <c r="W438" s="851"/>
      <c r="X438" s="851"/>
      <c r="Y438" s="851"/>
      <c r="Z438" s="851"/>
      <c r="AA438" s="851">
        <v>6</v>
      </c>
      <c r="AB438" s="851"/>
      <c r="AC438" s="851"/>
      <c r="AD438" s="851"/>
      <c r="AE438" s="851"/>
      <c r="AF438" s="851"/>
      <c r="AG438" s="851"/>
      <c r="AH438" s="851"/>
      <c r="AI438" s="851"/>
      <c r="AJ438" s="851"/>
      <c r="AK438" s="851"/>
      <c r="AL438" s="851"/>
      <c r="AM438" s="851"/>
      <c r="AN438" s="851"/>
      <c r="AO438" s="865"/>
      <c r="AP438" s="851">
        <v>407</v>
      </c>
      <c r="AQ438" s="851"/>
      <c r="AR438" s="866"/>
      <c r="AS438" s="851"/>
      <c r="AT438" s="851"/>
      <c r="AU438" s="851"/>
      <c r="AV438" s="851"/>
      <c r="AW438" s="851"/>
      <c r="AX438" s="862" t="s">
        <v>43</v>
      </c>
      <c r="AY438" s="865" t="s">
        <v>140</v>
      </c>
      <c r="AZ438" s="851">
        <v>3</v>
      </c>
      <c r="BA438" s="851"/>
      <c r="BB438" s="851"/>
      <c r="BC438" s="523"/>
      <c r="BD438" s="523"/>
      <c r="BE438" s="862"/>
      <c r="BF438" s="851">
        <v>400</v>
      </c>
      <c r="BG438" s="851"/>
      <c r="BH438" s="851"/>
      <c r="BI438" s="851"/>
      <c r="BJ438" s="851"/>
      <c r="BK438" s="851"/>
      <c r="BL438" s="851"/>
      <c r="BM438" s="851"/>
      <c r="BN438" s="851"/>
      <c r="BO438" s="862"/>
      <c r="BP438" s="867"/>
      <c r="BQ438" s="866"/>
      <c r="BR438" s="862"/>
      <c r="BS438" s="472"/>
      <c r="BT438" s="472"/>
      <c r="BU438" s="474"/>
      <c r="BV438" s="472"/>
      <c r="BW438" s="523"/>
      <c r="BX438" s="523"/>
      <c r="BY438" s="523"/>
      <c r="BZ438" s="868" t="str">
        <f>IFERROR(WWWW[[#This Row],['#_Water sources passed]]/WWWW[[#This Row],['#_Water sources tested for fecal coliform ]],"no test")</f>
        <v>no test</v>
      </c>
      <c r="CA438" s="866" t="str">
        <f>IFERROR(WWWW[[#This Row],['#_Household passed]]/WWWW[[#This Row],['#_Household water samples tested for fecal coliform]],"no test")</f>
        <v>no test</v>
      </c>
      <c r="CB438" s="867" t="str">
        <f>IF(AND(WWWW[[#This Row],[% of water sources passed]]="no test",WWWW[[#This Row],[% Household passed]]="no test"),"No Test","Tested")</f>
        <v>No Test</v>
      </c>
      <c r="CC438" s="867">
        <f>WWWW[[#This Row],['#_Constructed/existing protected hand dug well]]-WWWW[[#This Row],['#_Non-functional protected hand dug well]]</f>
        <v>0</v>
      </c>
      <c r="CD438" s="867">
        <f>(WWWW[[#This Row],['#_Constructed/Existing tube wells/boreholes/handpumps_WASH_agency]]+WWWW[[#This Row],['#_Non-Cluster partner water tube-wells/boreholes/handpumps]])-WWWW[[#This Row],['#_Non-functional tube wells/boreholes/handpumps]]</f>
        <v>0</v>
      </c>
      <c r="CE438" s="867">
        <f>WWWW[[#This Row],['#_Constructed/Existingwater storage tank with gravity fed reticulation system]]-WWWW[[#This Row],['#_Non-functional storage tank gravity fed reticulation system]]</f>
        <v>6</v>
      </c>
      <c r="CF438" s="867">
        <f>(WWWW[[#This Row],['#_Water_Liters_supplied_by_Water boating or water trucking]]/90)/15</f>
        <v>0</v>
      </c>
      <c r="CG438" s="867">
        <f>WWWW[[#This Row],['#_Water_Liters_from_Constructed/Existing water distribution system from river or natural spring]]/90/15</f>
        <v>0</v>
      </c>
      <c r="CH438" s="473">
        <f>WWWW[[#This Row],['#_of water points in TLS/CFS /THF]]*500</f>
        <v>0</v>
      </c>
      <c r="CI43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0.2220988339811216</v>
      </c>
      <c r="CJ43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0.2220988339811216</v>
      </c>
      <c r="CK438" s="866">
        <f>IF(WWWW[[#This Row],[Location Type 1]]="Village",WWWW[[#This Row],[Access to safe drinking water for Village]],WWWW[[#This Row],[Access to safe drinking water for Camp]])</f>
        <v>0.2220988339811216</v>
      </c>
      <c r="CL438" s="864">
        <f>WWWW[[#This Row],[%Equitable and continuous access to sufficient quantity of safe drinking water]]*WWWW[[#This Row],[Total PoP ]]</f>
        <v>400</v>
      </c>
      <c r="CM438" s="866">
        <f>IF((WWWW[[#This Row],['#_Constructed/Existing protected/fenced ponds]]*250)/WWWW[[#This Row],[Total PoP ]]&gt;1,1,(WWWW[[#This Row],['#_Constructed/Existing protected/fenced ponds]]*250)/WWWW[[#This Row],[Total PoP ]])</f>
        <v>0</v>
      </c>
      <c r="CN438" s="864">
        <f>WWWW[[#This Row],[% Access to unimproved water points]]*WWWW[[#This Row],[Total PoP ]]</f>
        <v>0</v>
      </c>
      <c r="CO43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P43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438" s="864">
        <f>WWWW[[#This Row],[HRP1]]/500</f>
        <v>0.8</v>
      </c>
      <c r="CR438" s="869">
        <f>1-WWWW[[#This Row],[% Equitable and continuous access to sufficient quantity of domestic water]]</f>
        <v>0.77790116601887838</v>
      </c>
      <c r="CS438" s="864">
        <f>WWWW[[#This Row],[%equitable and continuous access to sufficient quantity of safe drinking and domestic water''s GAP]]*WWWW[[#This Row],[Total PoP ]]</f>
        <v>1401</v>
      </c>
      <c r="CT438" s="867">
        <f>IF(WWWW[[#This Row],[Total required water points]]-WWWW[[#This Row],['#Water points coverage]]&lt;0,0,WWWW[[#This Row],[Total required water points]]-WWWW[[#This Row],['#Water points coverage]])</f>
        <v>3.2</v>
      </c>
      <c r="CU438" s="867">
        <f>ROUND(IF(WWWW[[#This Row],[Total PoP ]]&lt;500,1,WWWW[[#This Row],[Total PoP ]]/500),0)</f>
        <v>4</v>
      </c>
      <c r="CV438" s="867">
        <f>(WWWW[[#This Row],['#_Constructed latrines_by_WASHAgencies]]+WWWW[[#This Row],['#_Non Cluster partner latrines]])-WWWW[[#This Row],['#_Non-functional latrines]]</f>
        <v>407</v>
      </c>
      <c r="CW438" s="804">
        <f>WWWW[[#This Row],[HRP2]]/WWWW[[#This Row],[Total PoP ]]</f>
        <v>1</v>
      </c>
      <c r="CX43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1801</v>
      </c>
      <c r="CY43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8" s="473">
        <f>IF(WWWW[[#This Row],['# of functional latrines in THF supported by WASH partners during the reporting period2]]="",0,WWWW[[#This Row],['# of functional latrines in THF supported by WASH partners during the reporting period2]]*50)</f>
        <v>0</v>
      </c>
      <c r="DB438" s="473">
        <f>WWWW[[#This Row],['# students access to functioning school latrines_HRP5]]+WWWW[[#This Row],['# People access to functioning latrines in THF_HRP5]]</f>
        <v>0</v>
      </c>
      <c r="DC438" s="867">
        <f>ROUND(IF(WWWW[[#This Row],[Location Type 1]]="camp",WWWW[[#This Row],[Total PoP ]]/20,IF(WWWW[[#This Row],[Location Type 1]]="Temporary Location",WWWW[[#This Row],[Total PoP ]]/50,(WWWW[[#This Row],[Total PoP ]]/6))),0)</f>
        <v>300</v>
      </c>
      <c r="DD438" s="867">
        <f>IF(WWWW[[#This Row],[Total required Latrines]]-(WWWW[[#This Row],['#_Constructed latrines_by_WASHAgencies]]+WWWW[[#This Row],['#_Non Cluster partner latrines]])&lt;0,0,WWWW[[#This Row],[Total required Latrines]]-(WWWW[[#This Row],['#_Constructed latrines_by_WASHAgencies]]+WWWW[[#This Row],['#_Non Cluster partner latrines]]))</f>
        <v>0</v>
      </c>
      <c r="DE438" s="869">
        <f>1-WWWW[[#This Row],[% people access to functioning Latrine]]</f>
        <v>0</v>
      </c>
      <c r="DF438" s="868">
        <f>IF(OR(WWWW[[#This Row],['#_Non-functional latrines]]="",WWWW[[#This Row],['#_Non-functional latrines]]=0),0,WWWW[[#This Row],['#_Non-functional latrines]]/(WWWW[[#This Row],['#_Constructed latrines_by_WASHAgencies]]+WWWW[[#This Row],['#_Non Cluster partner latrines]]))</f>
        <v>0</v>
      </c>
      <c r="DG438" s="864">
        <f>IF(500*(WWWW[[#This Row],['#_male hygiene promoters]]+WWWW[[#This Row],['#_female hygiene promoters]])&gt;WWWW[[#This Row],[Total PoP ]],WWWW[[#This Row],[Total PoP ]],500*(WWWW[[#This Row],['#_male hygiene promoters]]+WWWW[[#This Row],['#_female hygiene promoters]]))</f>
        <v>0</v>
      </c>
      <c r="DH43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8" s="867">
        <f>IF(WWWW[[#This Row],['# People with access to soap]]&gt;WWWW[[#This Row],['# People with access to Sanity Pads]],WWWW[[#This Row],['# People with access to soap]],WWWW[[#This Row],['# People with access to Sanity Pads]])</f>
        <v>0</v>
      </c>
      <c r="DK43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38" s="869">
        <f>IF(WWWW[[#This Row],[HRP3]]/WWWW[[#This Row],[Total PoP ]]&gt;1,1,WWWW[[#This Row],[HRP3]]/WWWW[[#This Row],[Total PoP ]])</f>
        <v>0</v>
      </c>
      <c r="DM438" s="868">
        <f>1-WWWW[[#This Row],[Hygiene Coverage%]]</f>
        <v>1</v>
      </c>
      <c r="DN438" s="866">
        <f>WWWW[[#This Row],['# people reached by regular dedicated hygiene promotion_5]]/WWWW[[#This Row],[Total PoP ]]</f>
        <v>0</v>
      </c>
      <c r="DO43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8" s="867">
        <f>WWWW[[#This Row],['#_Constructed/Existing hand washing stations]]-WWWW[[#This Row],['#_Non-Functional_hand_washing_stations]]</f>
        <v>400</v>
      </c>
      <c r="DR438" s="864">
        <f>IF(WWWW[[#This Row],['# Functional hand washing stations during reporting period]]*20&gt;WWWW[[#This Row],[Total HH]],WWWW[[#This Row],[Total HH]],WWWW[[#This Row],['# Functional hand washing stations during reporting period]]*20)</f>
        <v>407</v>
      </c>
      <c r="DS438" s="864">
        <f>IF(WWWW[[#This Row],[Is sufficient soap available for TLS? (Yes/No)]]="yes",WWWW[[#This Row],['#_Constructed/Existing hand washing stations at TLS]],0)</f>
        <v>0</v>
      </c>
      <c r="DT438" s="479">
        <f>IF(WWWW[[#This Row],['# Functional hand washing stations during reporting period]]*100&gt;WWWW[[#This Row],[Total PoP ]],WWWW[[#This Row],[Total PoP ]],WWWW[[#This Row],['# Functional hand washing stations during reporting period]]*100)</f>
        <v>1801</v>
      </c>
      <c r="DU438" s="479" t="str">
        <f>IF(OR(WWWW[[#This Row],['#_students at TLS_CFS]]="",WWWW[[#This Row],['#_students at TLS_CFS]]=0),"No","Yes")</f>
        <v>No</v>
      </c>
      <c r="DV43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8" s="862" t="str">
        <f>VLOOKUP(WWWW[[#This Row],[Site Name]],SiteDB6[[Site Name]:[CCCM Management]],6,FALSE)</f>
        <v>Yes</v>
      </c>
      <c r="DZ438" s="862" t="str">
        <f>VLOOKUP(WWWW[[#This Row],[Site Name]],SiteDB6[[Site Name]:[CCCM Focal Agency]],7,FALSE)</f>
        <v>KMSS-MYT</v>
      </c>
      <c r="EA438" s="862" t="str">
        <f>VLOOKUP(WWWW[[#This Row],[Site Name]],SiteDB6[[Site Name]:[Location Type 1]],9,FALSE)</f>
        <v>Village Type Camp</v>
      </c>
      <c r="EB438" s="862" t="str">
        <f>VLOOKUP(WWWW[[#This Row],[Site Name]],SiteDB6[[Site Name]:[Type of Accommodation]],10,FALSE)</f>
        <v>Camp</v>
      </c>
      <c r="EC438" s="862" t="str">
        <f>VLOOKUP(WWWW[[#This Row],[Site Name]],SiteDB6[[Site Name]:[Ethnic or GCA/NGCA]],11,FALSE)</f>
        <v>NGCA</v>
      </c>
      <c r="ED438" s="862">
        <f>VLOOKUP(WWWW[[#This Row],[Site Name]],SiteDB6[[Site Name]:[Lat]],12,FALSE)</f>
        <v>24.980250000000002</v>
      </c>
      <c r="EE438" s="862">
        <f>VLOOKUP(WWWW[[#This Row],[Site Name]],SiteDB6[[Site Name]:[Long]],13,FALSE)</f>
        <v>97.715230000000005</v>
      </c>
      <c r="EF438" s="862" t="str">
        <f>VLOOKUP(WWWW[[#This Row],[Site Name]],SiteDB6[[Site Name]:[Pcode]],3,FALSE)</f>
        <v>MMR001CMP119</v>
      </c>
      <c r="EG438" s="865" t="str">
        <f t="shared" si="12"/>
        <v>Notcovered</v>
      </c>
      <c r="EH438" s="865" t="str">
        <f>VLOOKUP(WWWW[[#This Row],[Site Name]],Site_DB!$C$389:$D$1120,2,FALSE)</f>
        <v>cccm_2019OCT</v>
      </c>
    </row>
    <row r="439" spans="1:138">
      <c r="A439" s="860" t="s">
        <v>3263</v>
      </c>
      <c r="B439" s="860" t="s">
        <v>245</v>
      </c>
      <c r="C439" s="861" t="s">
        <v>245</v>
      </c>
      <c r="D439" s="861" t="s">
        <v>310</v>
      </c>
      <c r="E439" s="861" t="s">
        <v>39</v>
      </c>
      <c r="F439" s="861" t="s">
        <v>151</v>
      </c>
      <c r="G439" s="721" t="str">
        <f>VLOOKUP(WWWW[[#This Row],[Site Name]],SiteDB6[[Site Name]:[Location Type]],8,FALSE)</f>
        <v>Camp</v>
      </c>
      <c r="H439" s="861" t="s">
        <v>251</v>
      </c>
      <c r="I439" s="851">
        <v>70</v>
      </c>
      <c r="J439" s="851">
        <v>371</v>
      </c>
      <c r="K439" s="863">
        <v>43313</v>
      </c>
      <c r="L439" s="859">
        <v>44043</v>
      </c>
      <c r="M439" s="851"/>
      <c r="N439" s="851">
        <v>1</v>
      </c>
      <c r="O439" s="851"/>
      <c r="P439" s="851"/>
      <c r="Q439" s="864" t="s">
        <v>43</v>
      </c>
      <c r="R439" s="851">
        <v>10</v>
      </c>
      <c r="S439" s="851">
        <v>3</v>
      </c>
      <c r="T439" s="523">
        <v>1</v>
      </c>
      <c r="U439" s="851"/>
      <c r="V439" s="851"/>
      <c r="W439" s="851">
        <v>0</v>
      </c>
      <c r="X439" s="851">
        <v>0</v>
      </c>
      <c r="Y439" s="851"/>
      <c r="Z439" s="851"/>
      <c r="AA439" s="851">
        <v>0</v>
      </c>
      <c r="AB439" s="851"/>
      <c r="AC439" s="851"/>
      <c r="AD439" s="851">
        <v>0</v>
      </c>
      <c r="AE439" s="851">
        <v>0</v>
      </c>
      <c r="AF439" s="851">
        <v>0</v>
      </c>
      <c r="AG439" s="851">
        <v>0</v>
      </c>
      <c r="AH439" s="851">
        <v>1</v>
      </c>
      <c r="AI439" s="851"/>
      <c r="AJ439" s="851"/>
      <c r="AK439" s="851"/>
      <c r="AL439" s="851"/>
      <c r="AM439" s="851">
        <v>0</v>
      </c>
      <c r="AN439" s="851">
        <v>0</v>
      </c>
      <c r="AO439" s="865"/>
      <c r="AP439" s="851">
        <v>19</v>
      </c>
      <c r="AQ439" s="851">
        <v>7</v>
      </c>
      <c r="AR439" s="866" t="s">
        <v>2915</v>
      </c>
      <c r="AS439" s="851"/>
      <c r="AT439" s="851"/>
      <c r="AU439" s="851"/>
      <c r="AV439" s="851"/>
      <c r="AW439" s="851">
        <v>0</v>
      </c>
      <c r="AX439" s="862" t="s">
        <v>43</v>
      </c>
      <c r="AY439" s="865" t="s">
        <v>140</v>
      </c>
      <c r="AZ439" s="851">
        <v>0</v>
      </c>
      <c r="BA439" s="851">
        <v>0</v>
      </c>
      <c r="BB439" s="851">
        <v>0</v>
      </c>
      <c r="BC439" s="523"/>
      <c r="BD439" s="523"/>
      <c r="BE439" s="862"/>
      <c r="BF439" s="851">
        <v>2</v>
      </c>
      <c r="BG439" s="851"/>
      <c r="BH439" s="851">
        <v>0</v>
      </c>
      <c r="BI439" s="851">
        <v>4</v>
      </c>
      <c r="BJ439" s="851"/>
      <c r="BK439" s="851">
        <v>8</v>
      </c>
      <c r="BL439" s="851">
        <v>5</v>
      </c>
      <c r="BM439" s="851"/>
      <c r="BN439" s="851"/>
      <c r="BO439" s="862"/>
      <c r="BP439" s="867"/>
      <c r="BQ439" s="866"/>
      <c r="BR439" s="862"/>
      <c r="BS439" s="472"/>
      <c r="BT439" s="472"/>
      <c r="BU439" s="474"/>
      <c r="BV439" s="472"/>
      <c r="BW439" s="523"/>
      <c r="BX439" s="523"/>
      <c r="BY439" s="523"/>
      <c r="BZ439" s="868" t="str">
        <f>IFERROR(WWWW[[#This Row],['#_Water sources passed]]/WWWW[[#This Row],['#_Water sources tested for fecal coliform ]],"no test")</f>
        <v>no test</v>
      </c>
      <c r="CA439" s="866" t="str">
        <f>IFERROR(WWWW[[#This Row],['#_Household passed]]/WWWW[[#This Row],['#_Household water samples tested for fecal coliform]],"no test")</f>
        <v>no test</v>
      </c>
      <c r="CB439" s="867" t="str">
        <f>IF(AND(WWWW[[#This Row],[% of water sources passed]]="no test",WWWW[[#This Row],[% Household passed]]="no test"),"No Test","Tested")</f>
        <v>No Test</v>
      </c>
      <c r="CC439" s="867">
        <f>WWWW[[#This Row],['#_Constructed/existing protected hand dug well]]-WWWW[[#This Row],['#_Non-functional protected hand dug well]]</f>
        <v>1</v>
      </c>
      <c r="CD439" s="867">
        <f>(WWWW[[#This Row],['#_Constructed/Existing tube wells/boreholes/handpumps_WASH_agency]]+WWWW[[#This Row],['#_Non-Cluster partner water tube-wells/boreholes/handpumps]])-WWWW[[#This Row],['#_Non-functional tube wells/boreholes/handpumps]]</f>
        <v>0</v>
      </c>
      <c r="CE439" s="867">
        <f>WWWW[[#This Row],['#_Constructed/Existingwater storage tank with gravity fed reticulation system]]-WWWW[[#This Row],['#_Non-functional storage tank gravity fed reticulation system]]</f>
        <v>0</v>
      </c>
      <c r="CF439" s="867">
        <f>(WWWW[[#This Row],['#_Water_Liters_supplied_by_Water boating or water trucking]]/90)/15</f>
        <v>0</v>
      </c>
      <c r="CG439" s="867">
        <f>WWWW[[#This Row],['#_Water_Liters_from_Constructed/Existing water distribution system from river or natural spring]]/90/15</f>
        <v>0</v>
      </c>
      <c r="CH439" s="473">
        <f>WWWW[[#This Row],['#_of water points in TLS/CFS /THF]]*500</f>
        <v>0</v>
      </c>
      <c r="CI43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3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0.67385444743935308</v>
      </c>
      <c r="CK439" s="866">
        <f>IF(WWWW[[#This Row],[Location Type 1]]="Village",WWWW[[#This Row],[Access to safe drinking water for Village]],WWWW[[#This Row],[Access to safe drinking water for Camp]])</f>
        <v>1</v>
      </c>
      <c r="CL439" s="864">
        <f>WWWW[[#This Row],[%Equitable and continuous access to sufficient quantity of safe drinking water]]*WWWW[[#This Row],[Total PoP ]]</f>
        <v>371</v>
      </c>
      <c r="CM439" s="866">
        <f>IF((WWWW[[#This Row],['#_Constructed/Existing protected/fenced ponds]]*250)/WWWW[[#This Row],[Total PoP ]]&gt;1,1,(WWWW[[#This Row],['#_Constructed/Existing protected/fenced ponds]]*250)/WWWW[[#This Row],[Total PoP ]])</f>
        <v>0</v>
      </c>
      <c r="CN439" s="864">
        <f>WWWW[[#This Row],[% Access to unimproved water points]]*WWWW[[#This Row],[Total PoP ]]</f>
        <v>0</v>
      </c>
      <c r="CO43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3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371</v>
      </c>
      <c r="CQ439" s="864">
        <f>WWWW[[#This Row],[HRP1]]/500</f>
        <v>0.74199999999999999</v>
      </c>
      <c r="CR439" s="869">
        <f>1-WWWW[[#This Row],[% Equitable and continuous access to sufficient quantity of domestic water]]</f>
        <v>0</v>
      </c>
      <c r="CS439" s="864">
        <f>WWWW[[#This Row],[%equitable and continuous access to sufficient quantity of safe drinking and domestic water''s GAP]]*WWWW[[#This Row],[Total PoP ]]</f>
        <v>0</v>
      </c>
      <c r="CT439" s="867">
        <f>IF(WWWW[[#This Row],[Total required water points]]-WWWW[[#This Row],['#Water points coverage]]&lt;0,0,WWWW[[#This Row],[Total required water points]]-WWWW[[#This Row],['#Water points coverage]])</f>
        <v>0.25800000000000001</v>
      </c>
      <c r="CU439" s="867">
        <f>ROUND(IF(WWWW[[#This Row],[Total PoP ]]&lt;500,1,WWWW[[#This Row],[Total PoP ]]/500),0)</f>
        <v>1</v>
      </c>
      <c r="CV439" s="867">
        <f>(WWWW[[#This Row],['#_Constructed latrines_by_WASHAgencies]]+WWWW[[#This Row],['#_Non Cluster partner latrines]])-WWWW[[#This Row],['#_Non-functional latrines]]</f>
        <v>26</v>
      </c>
      <c r="CW439" s="804">
        <f>WWWW[[#This Row],[HRP2]]/WWWW[[#This Row],[Total PoP ]]</f>
        <v>1</v>
      </c>
      <c r="CX43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371</v>
      </c>
      <c r="CY43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3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39" s="473">
        <f>IF(WWWW[[#This Row],['# of functional latrines in THF supported by WASH partners during the reporting period2]]="",0,WWWW[[#This Row],['# of functional latrines in THF supported by WASH partners during the reporting period2]]*50)</f>
        <v>0</v>
      </c>
      <c r="DB439" s="473">
        <f>WWWW[[#This Row],['# students access to functioning school latrines_HRP5]]+WWWW[[#This Row],['# People access to functioning latrines in THF_HRP5]]</f>
        <v>0</v>
      </c>
      <c r="DC439" s="867">
        <f>ROUND(IF(WWWW[[#This Row],[Location Type 1]]="camp",WWWW[[#This Row],[Total PoP ]]/20,IF(WWWW[[#This Row],[Location Type 1]]="Temporary Location",WWWW[[#This Row],[Total PoP ]]/50,(WWWW[[#This Row],[Total PoP ]]/6))),0)</f>
        <v>19</v>
      </c>
      <c r="DD439" s="867">
        <f>IF(WWWW[[#This Row],[Total required Latrines]]-(WWWW[[#This Row],['#_Constructed latrines_by_WASHAgencies]]+WWWW[[#This Row],['#_Non Cluster partner latrines]])&lt;0,0,WWWW[[#This Row],[Total required Latrines]]-(WWWW[[#This Row],['#_Constructed latrines_by_WASHAgencies]]+WWWW[[#This Row],['#_Non Cluster partner latrines]]))</f>
        <v>0</v>
      </c>
      <c r="DE439" s="869">
        <f>1-WWWW[[#This Row],[% people access to functioning Latrine]]</f>
        <v>0</v>
      </c>
      <c r="DF439" s="868">
        <f>IF(OR(WWWW[[#This Row],['#_Non-functional latrines]]="",WWWW[[#This Row],['#_Non-functional latrines]]=0),0,WWWW[[#This Row],['#_Non-functional latrines]]/(WWWW[[#This Row],['#_Constructed latrines_by_WASHAgencies]]+WWWW[[#This Row],['#_Non Cluster partner latrines]]))</f>
        <v>0</v>
      </c>
      <c r="DG439" s="864">
        <f>IF(500*(WWWW[[#This Row],['#_male hygiene promoters]]+WWWW[[#This Row],['#_female hygiene promoters]])&gt;WWWW[[#This Row],[Total PoP ]],WWWW[[#This Row],[Total PoP ]],500*(WWWW[[#This Row],['#_male hygiene promoters]]+WWWW[[#This Row],['#_female hygiene promoters]]))</f>
        <v>371</v>
      </c>
      <c r="DH43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3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39" s="867">
        <f>IF(WWWW[[#This Row],['# People with access to soap]]&gt;WWWW[[#This Row],['# People with access to Sanity Pads]],WWWW[[#This Row],['# People with access to soap]],WWWW[[#This Row],['# People with access to Sanity Pads]])</f>
        <v>0</v>
      </c>
      <c r="DK439" s="867">
        <f>IF(WWWW[[#This Row],['# people reached by regular dedicated hygiene promotion_5]]&gt;WWWW[[#This Row],['# People received regular supply of hygiene items_6]],WWWW[[#This Row],['# people reached by regular dedicated hygiene promotion_5]],WWWW[[#This Row],['# People received regular supply of hygiene items_6]])</f>
        <v>371</v>
      </c>
      <c r="DL439" s="869">
        <f>IF(WWWW[[#This Row],[HRP3]]/WWWW[[#This Row],[Total PoP ]]&gt;1,1,WWWW[[#This Row],[HRP3]]/WWWW[[#This Row],[Total PoP ]])</f>
        <v>1</v>
      </c>
      <c r="DM439" s="868">
        <f>1-WWWW[[#This Row],[Hygiene Coverage%]]</f>
        <v>0</v>
      </c>
      <c r="DN439" s="866">
        <f>WWWW[[#This Row],['# people reached by regular dedicated hygiene promotion_5]]/WWWW[[#This Row],[Total PoP ]]</f>
        <v>1</v>
      </c>
      <c r="DO43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3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39" s="867">
        <f>WWWW[[#This Row],['#_Constructed/Existing hand washing stations]]-WWWW[[#This Row],['#_Non-Functional_hand_washing_stations]]</f>
        <v>2</v>
      </c>
      <c r="DR439" s="864">
        <f>IF(WWWW[[#This Row],['# Functional hand washing stations during reporting period]]*20&gt;WWWW[[#This Row],[Total HH]],WWWW[[#This Row],[Total HH]],WWWW[[#This Row],['# Functional hand washing stations during reporting period]]*20)</f>
        <v>40</v>
      </c>
      <c r="DS439" s="864">
        <f>IF(WWWW[[#This Row],[Is sufficient soap available for TLS? (Yes/No)]]="yes",WWWW[[#This Row],['#_Constructed/Existing hand washing stations at TLS]],0)</f>
        <v>0</v>
      </c>
      <c r="DT439" s="479">
        <f>IF(WWWW[[#This Row],['# Functional hand washing stations during reporting period]]*100&gt;WWWW[[#This Row],[Total PoP ]],WWWW[[#This Row],[Total PoP ]],WWWW[[#This Row],['# Functional hand washing stations during reporting period]]*100)</f>
        <v>200</v>
      </c>
      <c r="DU439" s="479" t="str">
        <f>IF(OR(WWWW[[#This Row],['#_students at TLS_CFS]]="",WWWW[[#This Row],['#_students at TLS_CFS]]=0),"No","Yes")</f>
        <v>No</v>
      </c>
      <c r="DV43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39" s="862" t="str">
        <f>VLOOKUP(WWWW[[#This Row],[Site Name]],SiteDB6[[Site Name]:[CCCM Management]],6,FALSE)</f>
        <v>Yes</v>
      </c>
      <c r="DZ439" s="862" t="str">
        <f>VLOOKUP(WWWW[[#This Row],[Site Name]],SiteDB6[[Site Name]:[CCCM Focal Agency]],7,FALSE)</f>
        <v>Shalom</v>
      </c>
      <c r="EA439" s="862" t="str">
        <f>VLOOKUP(WWWW[[#This Row],[Site Name]],SiteDB6[[Site Name]:[Location Type 1]],9,FALSE)</f>
        <v>Camp</v>
      </c>
      <c r="EB439" s="862" t="str">
        <f>VLOOKUP(WWWW[[#This Row],[Site Name]],SiteDB6[[Site Name]:[Type of Accommodation]],10,FALSE)</f>
        <v>Camp</v>
      </c>
      <c r="EC439" s="862" t="str">
        <f>VLOOKUP(WWWW[[#This Row],[Site Name]],SiteDB6[[Site Name]:[Ethnic or GCA/NGCA]],11,FALSE)</f>
        <v>GCA</v>
      </c>
      <c r="ED439" s="862">
        <f>VLOOKUP(WWWW[[#This Row],[Site Name]],SiteDB6[[Site Name]:[Lat]],12,FALSE)</f>
        <v>25.635300000000001</v>
      </c>
      <c r="EE439" s="862">
        <f>VLOOKUP(WWWW[[#This Row],[Site Name]],SiteDB6[[Site Name]:[Long]],13,FALSE)</f>
        <v>96.345569999999995</v>
      </c>
      <c r="EF439" s="862" t="str">
        <f>VLOOKUP(WWWW[[#This Row],[Site Name]],SiteDB6[[Site Name]:[Pcode]],3,FALSE)</f>
        <v>MMR001CMP176</v>
      </c>
      <c r="EG439" s="865" t="str">
        <f t="shared" si="12"/>
        <v>Covered</v>
      </c>
      <c r="EH439" s="865" t="str">
        <f>VLOOKUP(WWWW[[#This Row],[Site Name]],Site_DB!$C$389:$D$1120,2,FALSE)</f>
        <v>cccm_2019OCT</v>
      </c>
    </row>
    <row r="440" spans="1:138">
      <c r="A440" s="860" t="s">
        <v>3263</v>
      </c>
      <c r="B440" s="860" t="s">
        <v>245</v>
      </c>
      <c r="C440" s="861" t="s">
        <v>245</v>
      </c>
      <c r="D440" s="861" t="s">
        <v>310</v>
      </c>
      <c r="E440" s="861" t="s">
        <v>39</v>
      </c>
      <c r="F440" s="861" t="s">
        <v>151</v>
      </c>
      <c r="G440" s="721" t="str">
        <f>VLOOKUP(WWWW[[#This Row],[Site Name]],SiteDB6[[Site Name]:[Location Type]],8,FALSE)</f>
        <v>Camp</v>
      </c>
      <c r="H440" s="861" t="s">
        <v>252</v>
      </c>
      <c r="I440" s="851">
        <v>13</v>
      </c>
      <c r="J440" s="851">
        <v>83</v>
      </c>
      <c r="K440" s="863">
        <v>43313</v>
      </c>
      <c r="L440" s="859">
        <v>44043</v>
      </c>
      <c r="M440" s="851"/>
      <c r="N440" s="851">
        <v>1</v>
      </c>
      <c r="O440" s="851"/>
      <c r="P440" s="851"/>
      <c r="Q440" s="864" t="s">
        <v>43</v>
      </c>
      <c r="R440" s="851">
        <v>0</v>
      </c>
      <c r="S440" s="851">
        <v>1</v>
      </c>
      <c r="T440" s="523">
        <v>1</v>
      </c>
      <c r="U440" s="851"/>
      <c r="V440" s="851"/>
      <c r="W440" s="851">
        <v>0</v>
      </c>
      <c r="X440" s="851">
        <v>0</v>
      </c>
      <c r="Y440" s="851"/>
      <c r="Z440" s="851"/>
      <c r="AA440" s="851">
        <v>0</v>
      </c>
      <c r="AB440" s="851"/>
      <c r="AC440" s="851"/>
      <c r="AD440" s="851">
        <v>0</v>
      </c>
      <c r="AE440" s="851">
        <v>0</v>
      </c>
      <c r="AF440" s="851">
        <v>0</v>
      </c>
      <c r="AG440" s="851">
        <v>0</v>
      </c>
      <c r="AH440" s="851">
        <v>0</v>
      </c>
      <c r="AI440" s="851"/>
      <c r="AJ440" s="851"/>
      <c r="AK440" s="851"/>
      <c r="AL440" s="851"/>
      <c r="AM440" s="851">
        <v>0</v>
      </c>
      <c r="AN440" s="851">
        <v>0</v>
      </c>
      <c r="AO440" s="865"/>
      <c r="AP440" s="851">
        <v>5</v>
      </c>
      <c r="AQ440" s="851">
        <v>1</v>
      </c>
      <c r="AR440" s="866" t="s">
        <v>245</v>
      </c>
      <c r="AS440" s="851"/>
      <c r="AT440" s="851"/>
      <c r="AU440" s="851"/>
      <c r="AV440" s="851"/>
      <c r="AW440" s="851">
        <v>0</v>
      </c>
      <c r="AX440" s="862" t="s">
        <v>43</v>
      </c>
      <c r="AY440" s="865" t="s">
        <v>139</v>
      </c>
      <c r="AZ440" s="851">
        <v>0</v>
      </c>
      <c r="BA440" s="851">
        <v>0</v>
      </c>
      <c r="BB440" s="851">
        <v>0</v>
      </c>
      <c r="BC440" s="523"/>
      <c r="BD440" s="523"/>
      <c r="BE440" s="862"/>
      <c r="BF440" s="851">
        <v>3</v>
      </c>
      <c r="BG440" s="851"/>
      <c r="BH440" s="851">
        <v>0</v>
      </c>
      <c r="BI440" s="851">
        <v>2</v>
      </c>
      <c r="BJ440" s="851"/>
      <c r="BK440" s="851">
        <v>1</v>
      </c>
      <c r="BL440" s="851">
        <v>2</v>
      </c>
      <c r="BM440" s="851"/>
      <c r="BN440" s="851"/>
      <c r="BO440" s="862"/>
      <c r="BP440" s="867"/>
      <c r="BQ440" s="866"/>
      <c r="BR440" s="862"/>
      <c r="BS440" s="472"/>
      <c r="BT440" s="472"/>
      <c r="BU440" s="474"/>
      <c r="BV440" s="472"/>
      <c r="BW440" s="523"/>
      <c r="BX440" s="523"/>
      <c r="BY440" s="523"/>
      <c r="BZ440" s="868" t="str">
        <f>IFERROR(WWWW[[#This Row],['#_Water sources passed]]/WWWW[[#This Row],['#_Water sources tested for fecal coliform ]],"no test")</f>
        <v>no test</v>
      </c>
      <c r="CA440" s="866" t="str">
        <f>IFERROR(WWWW[[#This Row],['#_Household passed]]/WWWW[[#This Row],['#_Household water samples tested for fecal coliform]],"no test")</f>
        <v>no test</v>
      </c>
      <c r="CB440" s="867" t="str">
        <f>IF(AND(WWWW[[#This Row],[% of water sources passed]]="no test",WWWW[[#This Row],[% Household passed]]="no test"),"No Test","Tested")</f>
        <v>No Test</v>
      </c>
      <c r="CC440" s="867">
        <f>WWWW[[#This Row],['#_Constructed/existing protected hand dug well]]-WWWW[[#This Row],['#_Non-functional protected hand dug well]]</f>
        <v>1</v>
      </c>
      <c r="CD440" s="867">
        <f>(WWWW[[#This Row],['#_Constructed/Existing tube wells/boreholes/handpumps_WASH_agency]]+WWWW[[#This Row],['#_Non-Cluster partner water tube-wells/boreholes/handpumps]])-WWWW[[#This Row],['#_Non-functional tube wells/boreholes/handpumps]]</f>
        <v>0</v>
      </c>
      <c r="CE440" s="867">
        <f>WWWW[[#This Row],['#_Constructed/Existingwater storage tank with gravity fed reticulation system]]-WWWW[[#This Row],['#_Non-functional storage tank gravity fed reticulation system]]</f>
        <v>0</v>
      </c>
      <c r="CF440" s="867">
        <f>(WWWW[[#This Row],['#_Water_Liters_supplied_by_Water boating or water trucking]]/90)/15</f>
        <v>0</v>
      </c>
      <c r="CG440" s="867">
        <f>WWWW[[#This Row],['#_Water_Liters_from_Constructed/Existing water distribution system from river or natural spring]]/90/15</f>
        <v>0</v>
      </c>
      <c r="CH440" s="473">
        <f>WWWW[[#This Row],['#_of water points in TLS/CFS /THF]]*500</f>
        <v>0</v>
      </c>
      <c r="CI44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0" s="866">
        <f>IF(WWWW[[#This Row],[Location Type 1]]="Village",WWWW[[#This Row],[Access to safe drinking water for Village]],WWWW[[#This Row],[Access to safe drinking water for Camp]])</f>
        <v>1</v>
      </c>
      <c r="CL440" s="864">
        <f>WWWW[[#This Row],[%Equitable and continuous access to sufficient quantity of safe drinking water]]*WWWW[[#This Row],[Total PoP ]]</f>
        <v>83</v>
      </c>
      <c r="CM440" s="866">
        <f>IF((WWWW[[#This Row],['#_Constructed/Existing protected/fenced ponds]]*250)/WWWW[[#This Row],[Total PoP ]]&gt;1,1,(WWWW[[#This Row],['#_Constructed/Existing protected/fenced ponds]]*250)/WWWW[[#This Row],[Total PoP ]])</f>
        <v>0</v>
      </c>
      <c r="CN440" s="864">
        <f>WWWW[[#This Row],[% Access to unimproved water points]]*WWWW[[#This Row],[Total PoP ]]</f>
        <v>0</v>
      </c>
      <c r="CO44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Q440" s="864">
        <f>WWWW[[#This Row],[HRP1]]/500</f>
        <v>0.16600000000000001</v>
      </c>
      <c r="CR440" s="869">
        <f>1-WWWW[[#This Row],[% Equitable and continuous access to sufficient quantity of domestic water]]</f>
        <v>0</v>
      </c>
      <c r="CS440" s="864">
        <f>WWWW[[#This Row],[%equitable and continuous access to sufficient quantity of safe drinking and domestic water''s GAP]]*WWWW[[#This Row],[Total PoP ]]</f>
        <v>0</v>
      </c>
      <c r="CT440" s="867">
        <f>IF(WWWW[[#This Row],[Total required water points]]-WWWW[[#This Row],['#Water points coverage]]&lt;0,0,WWWW[[#This Row],[Total required water points]]-WWWW[[#This Row],['#Water points coverage]])</f>
        <v>0.83399999999999996</v>
      </c>
      <c r="CU440" s="867">
        <f>ROUND(IF(WWWW[[#This Row],[Total PoP ]]&lt;500,1,WWWW[[#This Row],[Total PoP ]]/500),0)</f>
        <v>1</v>
      </c>
      <c r="CV440" s="867">
        <f>(WWWW[[#This Row],['#_Constructed latrines_by_WASHAgencies]]+WWWW[[#This Row],['#_Non Cluster partner latrines]])-WWWW[[#This Row],['#_Non-functional latrines]]</f>
        <v>6</v>
      </c>
      <c r="CW440" s="804">
        <f>WWWW[[#This Row],[HRP2]]/WWWW[[#This Row],[Total PoP ]]</f>
        <v>1</v>
      </c>
      <c r="CX44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CY44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0" s="473">
        <f>IF(WWWW[[#This Row],['# of functional latrines in THF supported by WASH partners during the reporting period2]]="",0,WWWW[[#This Row],['# of functional latrines in THF supported by WASH partners during the reporting period2]]*50)</f>
        <v>0</v>
      </c>
      <c r="DB440" s="473">
        <f>WWWW[[#This Row],['# students access to functioning school latrines_HRP5]]+WWWW[[#This Row],['# People access to functioning latrines in THF_HRP5]]</f>
        <v>0</v>
      </c>
      <c r="DC440" s="867">
        <f>ROUND(IF(WWWW[[#This Row],[Location Type 1]]="camp",WWWW[[#This Row],[Total PoP ]]/20,IF(WWWW[[#This Row],[Location Type 1]]="Temporary Location",WWWW[[#This Row],[Total PoP ]]/50,(WWWW[[#This Row],[Total PoP ]]/6))),0)</f>
        <v>4</v>
      </c>
      <c r="DD440" s="867">
        <f>IF(WWWW[[#This Row],[Total required Latrines]]-(WWWW[[#This Row],['#_Constructed latrines_by_WASHAgencies]]+WWWW[[#This Row],['#_Non Cluster partner latrines]])&lt;0,0,WWWW[[#This Row],[Total required Latrines]]-(WWWW[[#This Row],['#_Constructed latrines_by_WASHAgencies]]+WWWW[[#This Row],['#_Non Cluster partner latrines]]))</f>
        <v>0</v>
      </c>
      <c r="DE440" s="869">
        <f>1-WWWW[[#This Row],[% people access to functioning Latrine]]</f>
        <v>0</v>
      </c>
      <c r="DF440" s="868">
        <f>IF(OR(WWWW[[#This Row],['#_Non-functional latrines]]="",WWWW[[#This Row],['#_Non-functional latrines]]=0),0,WWWW[[#This Row],['#_Non-functional latrines]]/(WWWW[[#This Row],['#_Constructed latrines_by_WASHAgencies]]+WWWW[[#This Row],['#_Non Cluster partner latrines]]))</f>
        <v>0</v>
      </c>
      <c r="DG440" s="864">
        <f>IF(500*(WWWW[[#This Row],['#_male hygiene promoters]]+WWWW[[#This Row],['#_female hygiene promoters]])&gt;WWWW[[#This Row],[Total PoP ]],WWWW[[#This Row],[Total PoP ]],500*(WWWW[[#This Row],['#_male hygiene promoters]]+WWWW[[#This Row],['#_female hygiene promoters]]))</f>
        <v>83</v>
      </c>
      <c r="DH44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0" s="867">
        <f>IF(WWWW[[#This Row],['# People with access to soap]]&gt;WWWW[[#This Row],['# People with access to Sanity Pads]],WWWW[[#This Row],['# People with access to soap]],WWWW[[#This Row],['# People with access to Sanity Pads]])</f>
        <v>0</v>
      </c>
      <c r="DK440" s="867">
        <f>IF(WWWW[[#This Row],['# people reached by regular dedicated hygiene promotion_5]]&gt;WWWW[[#This Row],['# People received regular supply of hygiene items_6]],WWWW[[#This Row],['# people reached by regular dedicated hygiene promotion_5]],WWWW[[#This Row],['# People received regular supply of hygiene items_6]])</f>
        <v>83</v>
      </c>
      <c r="DL440" s="869">
        <f>IF(WWWW[[#This Row],[HRP3]]/WWWW[[#This Row],[Total PoP ]]&gt;1,1,WWWW[[#This Row],[HRP3]]/WWWW[[#This Row],[Total PoP ]])</f>
        <v>1</v>
      </c>
      <c r="DM440" s="868">
        <f>1-WWWW[[#This Row],[Hygiene Coverage%]]</f>
        <v>0</v>
      </c>
      <c r="DN440" s="866">
        <f>WWWW[[#This Row],['# people reached by regular dedicated hygiene promotion_5]]/WWWW[[#This Row],[Total PoP ]]</f>
        <v>1</v>
      </c>
      <c r="DO44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0" s="867">
        <f>WWWW[[#This Row],['#_Constructed/Existing hand washing stations]]-WWWW[[#This Row],['#_Non-Functional_hand_washing_stations]]</f>
        <v>3</v>
      </c>
      <c r="DR440" s="864">
        <f>IF(WWWW[[#This Row],['# Functional hand washing stations during reporting period]]*20&gt;WWWW[[#This Row],[Total HH]],WWWW[[#This Row],[Total HH]],WWWW[[#This Row],['# Functional hand washing stations during reporting period]]*20)</f>
        <v>13</v>
      </c>
      <c r="DS440" s="864">
        <f>IF(WWWW[[#This Row],[Is sufficient soap available for TLS? (Yes/No)]]="yes",WWWW[[#This Row],['#_Constructed/Existing hand washing stations at TLS]],0)</f>
        <v>0</v>
      </c>
      <c r="DT440" s="479">
        <f>IF(WWWW[[#This Row],['# Functional hand washing stations during reporting period]]*100&gt;WWWW[[#This Row],[Total PoP ]],WWWW[[#This Row],[Total PoP ]],WWWW[[#This Row],['# Functional hand washing stations during reporting period]]*100)</f>
        <v>83</v>
      </c>
      <c r="DU440" s="479" t="str">
        <f>IF(OR(WWWW[[#This Row],['#_students at TLS_CFS]]="",WWWW[[#This Row],['#_students at TLS_CFS]]=0),"No","Yes")</f>
        <v>No</v>
      </c>
      <c r="DV44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0" s="862" t="str">
        <f>VLOOKUP(WWWW[[#This Row],[Site Name]],SiteDB6[[Site Name]:[CCCM Management]],6,FALSE)</f>
        <v>Yes</v>
      </c>
      <c r="DZ440" s="862" t="str">
        <f>VLOOKUP(WWWW[[#This Row],[Site Name]],SiteDB6[[Site Name]:[CCCM Focal Agency]],7,FALSE)</f>
        <v>Shalom</v>
      </c>
      <c r="EA440" s="862" t="str">
        <f>VLOOKUP(WWWW[[#This Row],[Site Name]],SiteDB6[[Site Name]:[Location Type 1]],9,FALSE)</f>
        <v>Camp</v>
      </c>
      <c r="EB440" s="862" t="str">
        <f>VLOOKUP(WWWW[[#This Row],[Site Name]],SiteDB6[[Site Name]:[Type of Accommodation]],10,FALSE)</f>
        <v>Camp</v>
      </c>
      <c r="EC440" s="862" t="str">
        <f>VLOOKUP(WWWW[[#This Row],[Site Name]],SiteDB6[[Site Name]:[Ethnic or GCA/NGCA]],11,FALSE)</f>
        <v>GCA</v>
      </c>
      <c r="ED440" s="862">
        <f>VLOOKUP(WWWW[[#This Row],[Site Name]],SiteDB6[[Site Name]:[Lat]],12,FALSE)</f>
        <v>25.616509000000001</v>
      </c>
      <c r="EE440" s="862">
        <f>VLOOKUP(WWWW[[#This Row],[Site Name]],SiteDB6[[Site Name]:[Long]],13,FALSE)</f>
        <v>96.317350000000005</v>
      </c>
      <c r="EF440" s="862" t="str">
        <f>VLOOKUP(WWWW[[#This Row],[Site Name]],SiteDB6[[Site Name]:[Pcode]],3,FALSE)</f>
        <v>MMR001CMP190</v>
      </c>
      <c r="EG440" s="865" t="str">
        <f t="shared" si="12"/>
        <v>Covered</v>
      </c>
      <c r="EH440" s="865" t="str">
        <f>VLOOKUP(WWWW[[#This Row],[Site Name]],Site_DB!$C$389:$D$1120,2,FALSE)</f>
        <v>cccm_2019OCT</v>
      </c>
    </row>
    <row r="441" spans="1:138">
      <c r="A441" s="860" t="s">
        <v>3263</v>
      </c>
      <c r="B441" s="860" t="s">
        <v>144</v>
      </c>
      <c r="C441" s="861" t="s">
        <v>144</v>
      </c>
      <c r="D441" s="861" t="s">
        <v>3277</v>
      </c>
      <c r="E441" s="861" t="s">
        <v>39</v>
      </c>
      <c r="F441" s="861" t="s">
        <v>162</v>
      </c>
      <c r="G441" s="721" t="str">
        <f>VLOOKUP(WWWW[[#This Row],[Site Name]],SiteDB6[[Site Name]:[Location Type]],8,FALSE)</f>
        <v>Camp</v>
      </c>
      <c r="H441" s="861" t="s">
        <v>169</v>
      </c>
      <c r="I441" s="851">
        <v>101</v>
      </c>
      <c r="J441" s="851">
        <v>547</v>
      </c>
      <c r="K441" s="863" t="s">
        <v>3278</v>
      </c>
      <c r="L441" s="859" t="s">
        <v>3279</v>
      </c>
      <c r="M441" s="851"/>
      <c r="N441" s="851"/>
      <c r="O441" s="851"/>
      <c r="P441" s="851"/>
      <c r="Q441" s="864" t="s">
        <v>43</v>
      </c>
      <c r="R441" s="851"/>
      <c r="S441" s="851">
        <v>5</v>
      </c>
      <c r="T441" s="523">
        <v>0</v>
      </c>
      <c r="U441" s="851"/>
      <c r="V441" s="851"/>
      <c r="W441" s="851">
        <v>2</v>
      </c>
      <c r="X441" s="851"/>
      <c r="Y441" s="851"/>
      <c r="Z441" s="851"/>
      <c r="AA441" s="851"/>
      <c r="AB441" s="851"/>
      <c r="AC441" s="851"/>
      <c r="AD441" s="851"/>
      <c r="AE441" s="851"/>
      <c r="AF441" s="851"/>
      <c r="AG441" s="851"/>
      <c r="AH441" s="851">
        <v>3</v>
      </c>
      <c r="AI441" s="851"/>
      <c r="AJ441" s="851"/>
      <c r="AK441" s="851"/>
      <c r="AL441" s="851"/>
      <c r="AM441" s="851"/>
      <c r="AN441" s="851"/>
      <c r="AO441" s="865"/>
      <c r="AP441" s="851">
        <v>34</v>
      </c>
      <c r="AQ441" s="851"/>
      <c r="AR441" s="866"/>
      <c r="AS441" s="851"/>
      <c r="AT441" s="851"/>
      <c r="AU441" s="851"/>
      <c r="AV441" s="851"/>
      <c r="AW441" s="851">
        <v>34</v>
      </c>
      <c r="AX441" s="862" t="s">
        <v>43</v>
      </c>
      <c r="AY441" s="865" t="s">
        <v>1195</v>
      </c>
      <c r="AZ441" s="851"/>
      <c r="BA441" s="851"/>
      <c r="BB441" s="851"/>
      <c r="BC441" s="523"/>
      <c r="BD441" s="523"/>
      <c r="BE441" s="862"/>
      <c r="BF441" s="851">
        <v>2</v>
      </c>
      <c r="BG441" s="851"/>
      <c r="BH441" s="851"/>
      <c r="BI441" s="851">
        <v>2</v>
      </c>
      <c r="BJ441" s="851"/>
      <c r="BK441" s="851"/>
      <c r="BL441" s="851">
        <v>2</v>
      </c>
      <c r="BM441" s="851"/>
      <c r="BN441" s="851"/>
      <c r="BO441" s="862"/>
      <c r="BP441" s="867"/>
      <c r="BQ441" s="866"/>
      <c r="BR441" s="862"/>
      <c r="BS441" s="472"/>
      <c r="BT441" s="472"/>
      <c r="BU441" s="474"/>
      <c r="BV441" s="472"/>
      <c r="BW441" s="523"/>
      <c r="BX441" s="523"/>
      <c r="BY441" s="523"/>
      <c r="BZ441" s="868" t="str">
        <f>IFERROR(WWWW[[#This Row],['#_Water sources passed]]/WWWW[[#This Row],['#_Water sources tested for fecal coliform ]],"no test")</f>
        <v>no test</v>
      </c>
      <c r="CA441" s="866" t="str">
        <f>IFERROR(WWWW[[#This Row],['#_Household passed]]/WWWW[[#This Row],['#_Household water samples tested for fecal coliform]],"no test")</f>
        <v>no test</v>
      </c>
      <c r="CB441" s="867" t="str">
        <f>IF(AND(WWWW[[#This Row],[% of water sources passed]]="no test",WWWW[[#This Row],[% Household passed]]="no test"),"No Test","Tested")</f>
        <v>No Test</v>
      </c>
      <c r="CC441" s="867">
        <f>WWWW[[#This Row],['#_Constructed/existing protected hand dug well]]-WWWW[[#This Row],['#_Non-functional protected hand dug well]]</f>
        <v>0</v>
      </c>
      <c r="CD441" s="867">
        <f>(WWWW[[#This Row],['#_Constructed/Existing tube wells/boreholes/handpumps_WASH_agency]]+WWWW[[#This Row],['#_Non-Cluster partner water tube-wells/boreholes/handpumps]])-WWWW[[#This Row],['#_Non-functional tube wells/boreholes/handpumps]]</f>
        <v>2</v>
      </c>
      <c r="CE441" s="867">
        <f>WWWW[[#This Row],['#_Constructed/Existingwater storage tank with gravity fed reticulation system]]-WWWW[[#This Row],['#_Non-functional storage tank gravity fed reticulation system]]</f>
        <v>0</v>
      </c>
      <c r="CF441" s="867">
        <f>(WWWW[[#This Row],['#_Water_Liters_supplied_by_Water boating or water trucking]]/90)/15</f>
        <v>0</v>
      </c>
      <c r="CG441" s="867">
        <f>WWWW[[#This Row],['#_Water_Liters_from_Constructed/Existing water distribution system from river or natural spring]]/90/15</f>
        <v>0</v>
      </c>
      <c r="CH441" s="473">
        <f>WWWW[[#This Row],['#_of water points in TLS/CFS /THF]]*500</f>
        <v>0</v>
      </c>
      <c r="CI44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0.91407678244972579</v>
      </c>
      <c r="CK441" s="866">
        <f>IF(WWWW[[#This Row],[Location Type 1]]="Village",WWWW[[#This Row],[Access to safe drinking water for Village]],WWWW[[#This Row],[Access to safe drinking water for Camp]])</f>
        <v>1</v>
      </c>
      <c r="CL441" s="864">
        <f>WWWW[[#This Row],[%Equitable and continuous access to sufficient quantity of safe drinking water]]*WWWW[[#This Row],[Total PoP ]]</f>
        <v>547</v>
      </c>
      <c r="CM441" s="866">
        <f>IF((WWWW[[#This Row],['#_Constructed/Existing protected/fenced ponds]]*250)/WWWW[[#This Row],[Total PoP ]]&gt;1,1,(WWWW[[#This Row],['#_Constructed/Existing protected/fenced ponds]]*250)/WWWW[[#This Row],[Total PoP ]])</f>
        <v>0</v>
      </c>
      <c r="CN441" s="864">
        <f>WWWW[[#This Row],[% Access to unimproved water points]]*WWWW[[#This Row],[Total PoP ]]</f>
        <v>0</v>
      </c>
      <c r="CO44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Q441" s="864">
        <f>WWWW[[#This Row],[HRP1]]/500</f>
        <v>1.0940000000000001</v>
      </c>
      <c r="CR441" s="869">
        <f>1-WWWW[[#This Row],[% Equitable and continuous access to sufficient quantity of domestic water]]</f>
        <v>0</v>
      </c>
      <c r="CS441" s="864">
        <f>WWWW[[#This Row],[%equitable and continuous access to sufficient quantity of safe drinking and domestic water''s GAP]]*WWWW[[#This Row],[Total PoP ]]</f>
        <v>0</v>
      </c>
      <c r="CT441" s="867">
        <f>IF(WWWW[[#This Row],[Total required water points]]-WWWW[[#This Row],['#Water points coverage]]&lt;0,0,WWWW[[#This Row],[Total required water points]]-WWWW[[#This Row],['#Water points coverage]])</f>
        <v>0</v>
      </c>
      <c r="CU441" s="867">
        <f>ROUND(IF(WWWW[[#This Row],[Total PoP ]]&lt;500,1,WWWW[[#This Row],[Total PoP ]]/500),0)</f>
        <v>1</v>
      </c>
      <c r="CV441" s="867">
        <f>(WWWW[[#This Row],['#_Constructed latrines_by_WASHAgencies]]+WWWW[[#This Row],['#_Non Cluster partner latrines]])-WWWW[[#This Row],['#_Non-functional latrines]]</f>
        <v>34</v>
      </c>
      <c r="CW441" s="804">
        <f>WWWW[[#This Row],[HRP2]]/WWWW[[#This Row],[Total PoP ]]</f>
        <v>1</v>
      </c>
      <c r="CX44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CY44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1" s="473">
        <f>IF(WWWW[[#This Row],['# of functional latrines in THF supported by WASH partners during the reporting period2]]="",0,WWWW[[#This Row],['# of functional latrines in THF supported by WASH partners during the reporting period2]]*50)</f>
        <v>0</v>
      </c>
      <c r="DB441" s="473">
        <f>WWWW[[#This Row],['# students access to functioning school latrines_HRP5]]+WWWW[[#This Row],['# People access to functioning latrines in THF_HRP5]]</f>
        <v>0</v>
      </c>
      <c r="DC441" s="867">
        <f>ROUND(IF(WWWW[[#This Row],[Location Type 1]]="camp",WWWW[[#This Row],[Total PoP ]]/20,IF(WWWW[[#This Row],[Location Type 1]]="Temporary Location",WWWW[[#This Row],[Total PoP ]]/50,(WWWW[[#This Row],[Total PoP ]]/6))),0)</f>
        <v>27</v>
      </c>
      <c r="DD441" s="867">
        <f>IF(WWWW[[#This Row],[Total required Latrines]]-(WWWW[[#This Row],['#_Constructed latrines_by_WASHAgencies]]+WWWW[[#This Row],['#_Non Cluster partner latrines]])&lt;0,0,WWWW[[#This Row],[Total required Latrines]]-(WWWW[[#This Row],['#_Constructed latrines_by_WASHAgencies]]+WWWW[[#This Row],['#_Non Cluster partner latrines]]))</f>
        <v>0</v>
      </c>
      <c r="DE441" s="869">
        <f>1-WWWW[[#This Row],[% people access to functioning Latrine]]</f>
        <v>0</v>
      </c>
      <c r="DF441" s="868">
        <f>IF(OR(WWWW[[#This Row],['#_Non-functional latrines]]="",WWWW[[#This Row],['#_Non-functional latrines]]=0),0,WWWW[[#This Row],['#_Non-functional latrines]]/(WWWW[[#This Row],['#_Constructed latrines_by_WASHAgencies]]+WWWW[[#This Row],['#_Non Cluster partner latrines]]))</f>
        <v>0</v>
      </c>
      <c r="DG441" s="864">
        <f>IF(500*(WWWW[[#This Row],['#_male hygiene promoters]]+WWWW[[#This Row],['#_female hygiene promoters]])&gt;WWWW[[#This Row],[Total PoP ]],WWWW[[#This Row],[Total PoP ]],500*(WWWW[[#This Row],['#_male hygiene promoters]]+WWWW[[#This Row],['#_female hygiene promoters]]))</f>
        <v>547</v>
      </c>
      <c r="DH44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1" s="867">
        <f>IF(WWWW[[#This Row],['# People with access to soap]]&gt;WWWW[[#This Row],['# People with access to Sanity Pads]],WWWW[[#This Row],['# People with access to soap]],WWWW[[#This Row],['# People with access to Sanity Pads]])</f>
        <v>0</v>
      </c>
      <c r="DK441" s="867">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L441" s="869">
        <f>IF(WWWW[[#This Row],[HRP3]]/WWWW[[#This Row],[Total PoP ]]&gt;1,1,WWWW[[#This Row],[HRP3]]/WWWW[[#This Row],[Total PoP ]])</f>
        <v>1</v>
      </c>
      <c r="DM441" s="868">
        <f>1-WWWW[[#This Row],[Hygiene Coverage%]]</f>
        <v>0</v>
      </c>
      <c r="DN441" s="866">
        <f>WWWW[[#This Row],['# people reached by regular dedicated hygiene promotion_5]]/WWWW[[#This Row],[Total PoP ]]</f>
        <v>1</v>
      </c>
      <c r="DO44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1" s="867">
        <f>WWWW[[#This Row],['#_Constructed/Existing hand washing stations]]-WWWW[[#This Row],['#_Non-Functional_hand_washing_stations]]</f>
        <v>2</v>
      </c>
      <c r="DR441" s="864">
        <f>IF(WWWW[[#This Row],['# Functional hand washing stations during reporting period]]*20&gt;WWWW[[#This Row],[Total HH]],WWWW[[#This Row],[Total HH]],WWWW[[#This Row],['# Functional hand washing stations during reporting period]]*20)</f>
        <v>40</v>
      </c>
      <c r="DS441" s="864">
        <f>IF(WWWW[[#This Row],[Is sufficient soap available for TLS? (Yes/No)]]="yes",WWWW[[#This Row],['#_Constructed/Existing hand washing stations at TLS]],0)</f>
        <v>0</v>
      </c>
      <c r="DT441" s="479">
        <f>IF(WWWW[[#This Row],['# Functional hand washing stations during reporting period]]*100&gt;WWWW[[#This Row],[Total PoP ]],WWWW[[#This Row],[Total PoP ]],WWWW[[#This Row],['# Functional hand washing stations during reporting period]]*100)</f>
        <v>200</v>
      </c>
      <c r="DU441" s="479" t="str">
        <f>IF(OR(WWWW[[#This Row],['#_students at TLS_CFS]]="",WWWW[[#This Row],['#_students at TLS_CFS]]=0),"No","Yes")</f>
        <v>No</v>
      </c>
      <c r="DV44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1" s="862" t="str">
        <f>VLOOKUP(WWWW[[#This Row],[Site Name]],SiteDB6[[Site Name]:[CCCM Management]],6,FALSE)</f>
        <v>Yes</v>
      </c>
      <c r="DZ441" s="862" t="str">
        <f>VLOOKUP(WWWW[[#This Row],[Site Name]],SiteDB6[[Site Name]:[CCCM Focal Agency]],7,FALSE)</f>
        <v>KBC-MYT</v>
      </c>
      <c r="EA441" s="862" t="str">
        <f>VLOOKUP(WWWW[[#This Row],[Site Name]],SiteDB6[[Site Name]:[Location Type 1]],9,FALSE)</f>
        <v>Camp</v>
      </c>
      <c r="EB441" s="862" t="str">
        <f>VLOOKUP(WWWW[[#This Row],[Site Name]],SiteDB6[[Site Name]:[Type of Accommodation]],10,FALSE)</f>
        <v>Camp</v>
      </c>
      <c r="EC441" s="862" t="str">
        <f>VLOOKUP(WWWW[[#This Row],[Site Name]],SiteDB6[[Site Name]:[Ethnic or GCA/NGCA]],11,FALSE)</f>
        <v>GCA</v>
      </c>
      <c r="ED441" s="862">
        <f>VLOOKUP(WWWW[[#This Row],[Site Name]],SiteDB6[[Site Name]:[Lat]],12,FALSE)</f>
        <v>25.428910999999999</v>
      </c>
      <c r="EE441" s="862">
        <f>VLOOKUP(WWWW[[#This Row],[Site Name]],SiteDB6[[Site Name]:[Long]],13,FALSE)</f>
        <v>97.418694000000002</v>
      </c>
      <c r="EF441" s="862" t="str">
        <f>VLOOKUP(WWWW[[#This Row],[Site Name]],SiteDB6[[Site Name]:[Pcode]],3,FALSE)</f>
        <v>MMR001CMP008</v>
      </c>
      <c r="EG441" s="865" t="str">
        <f t="shared" si="12"/>
        <v>Covered</v>
      </c>
      <c r="EH441" s="865" t="str">
        <f>VLOOKUP(WWWW[[#This Row],[Site Name]],Site_DB!$C$389:$D$1120,2,FALSE)</f>
        <v>cccm_2019OCT</v>
      </c>
    </row>
    <row r="442" spans="1:138">
      <c r="A442" s="860" t="s">
        <v>3263</v>
      </c>
      <c r="B442" s="860" t="s">
        <v>245</v>
      </c>
      <c r="C442" s="861" t="s">
        <v>245</v>
      </c>
      <c r="D442" s="861" t="s">
        <v>310</v>
      </c>
      <c r="E442" s="861" t="s">
        <v>39</v>
      </c>
      <c r="F442" s="861" t="s">
        <v>145</v>
      </c>
      <c r="G442" s="721" t="str">
        <f>VLOOKUP(WWWW[[#This Row],[Site Name]],SiteDB6[[Site Name]:[Location Type]],8,FALSE)</f>
        <v>Camp</v>
      </c>
      <c r="H442" s="861" t="s">
        <v>272</v>
      </c>
      <c r="I442" s="851">
        <v>347</v>
      </c>
      <c r="J442" s="851">
        <v>2065</v>
      </c>
      <c r="K442" s="863">
        <v>43313</v>
      </c>
      <c r="L442" s="859">
        <v>44043</v>
      </c>
      <c r="M442" s="851"/>
      <c r="N442" s="851">
        <v>1</v>
      </c>
      <c r="O442" s="851"/>
      <c r="P442" s="851"/>
      <c r="Q442" s="864" t="s">
        <v>43</v>
      </c>
      <c r="R442" s="851">
        <v>1</v>
      </c>
      <c r="S442" s="851">
        <v>3</v>
      </c>
      <c r="T442" s="523">
        <v>4</v>
      </c>
      <c r="U442" s="851"/>
      <c r="V442" s="851"/>
      <c r="W442" s="851">
        <v>3</v>
      </c>
      <c r="X442" s="851">
        <v>3</v>
      </c>
      <c r="Y442" s="851"/>
      <c r="Z442" s="851"/>
      <c r="AA442" s="851">
        <v>0</v>
      </c>
      <c r="AB442" s="851"/>
      <c r="AC442" s="851"/>
      <c r="AD442" s="851">
        <v>0</v>
      </c>
      <c r="AE442" s="851">
        <v>0</v>
      </c>
      <c r="AF442" s="851">
        <v>0</v>
      </c>
      <c r="AG442" s="851">
        <v>0</v>
      </c>
      <c r="AH442" s="851">
        <v>0</v>
      </c>
      <c r="AI442" s="851"/>
      <c r="AJ442" s="851"/>
      <c r="AK442" s="851"/>
      <c r="AL442" s="851"/>
      <c r="AM442" s="851">
        <v>0</v>
      </c>
      <c r="AN442" s="851">
        <v>0</v>
      </c>
      <c r="AO442" s="865"/>
      <c r="AP442" s="851">
        <v>30</v>
      </c>
      <c r="AQ442" s="851"/>
      <c r="AR442" s="866"/>
      <c r="AS442" s="851"/>
      <c r="AT442" s="851"/>
      <c r="AU442" s="851"/>
      <c r="AV442" s="851"/>
      <c r="AW442" s="851">
        <v>0</v>
      </c>
      <c r="AX442" s="862" t="s">
        <v>43</v>
      </c>
      <c r="AY442" s="865" t="s">
        <v>140</v>
      </c>
      <c r="AZ442" s="851">
        <v>0</v>
      </c>
      <c r="BA442" s="851">
        <v>0</v>
      </c>
      <c r="BB442" s="851">
        <v>0</v>
      </c>
      <c r="BC442" s="523"/>
      <c r="BD442" s="523"/>
      <c r="BE442" s="862"/>
      <c r="BF442" s="851">
        <v>20</v>
      </c>
      <c r="BG442" s="851"/>
      <c r="BH442" s="851">
        <v>0</v>
      </c>
      <c r="BI442" s="851">
        <v>7</v>
      </c>
      <c r="BJ442" s="851"/>
      <c r="BK442" s="851">
        <v>0</v>
      </c>
      <c r="BL442" s="851">
        <v>0</v>
      </c>
      <c r="BM442" s="851"/>
      <c r="BN442" s="851"/>
      <c r="BO442" s="862" t="s">
        <v>139</v>
      </c>
      <c r="BP442" s="867"/>
      <c r="BQ442" s="866"/>
      <c r="BR442" s="862"/>
      <c r="BS442" s="472"/>
      <c r="BT442" s="472"/>
      <c r="BU442" s="474"/>
      <c r="BV442" s="472"/>
      <c r="BW442" s="523"/>
      <c r="BX442" s="523"/>
      <c r="BY442" s="523"/>
      <c r="BZ442" s="868" t="str">
        <f>IFERROR(WWWW[[#This Row],['#_Water sources passed]]/WWWW[[#This Row],['#_Water sources tested for fecal coliform ]],"no test")</f>
        <v>no test</v>
      </c>
      <c r="CA442" s="866" t="str">
        <f>IFERROR(WWWW[[#This Row],['#_Household passed]]/WWWW[[#This Row],['#_Household water samples tested for fecal coliform]],"no test")</f>
        <v>no test</v>
      </c>
      <c r="CB442" s="867" t="str">
        <f>IF(AND(WWWW[[#This Row],[% of water sources passed]]="no test",WWWW[[#This Row],[% Household passed]]="no test"),"No Test","Tested")</f>
        <v>No Test</v>
      </c>
      <c r="CC442" s="867">
        <f>WWWW[[#This Row],['#_Constructed/existing protected hand dug well]]-WWWW[[#This Row],['#_Non-functional protected hand dug well]]</f>
        <v>4</v>
      </c>
      <c r="CD442" s="867">
        <f>(WWWW[[#This Row],['#_Constructed/Existing tube wells/boreholes/handpumps_WASH_agency]]+WWWW[[#This Row],['#_Non-Cluster partner water tube-wells/boreholes/handpumps]])-WWWW[[#This Row],['#_Non-functional tube wells/boreholes/handpumps]]</f>
        <v>6</v>
      </c>
      <c r="CE442" s="867">
        <f>WWWW[[#This Row],['#_Constructed/Existingwater storage tank with gravity fed reticulation system]]-WWWW[[#This Row],['#_Non-functional storage tank gravity fed reticulation system]]</f>
        <v>0</v>
      </c>
      <c r="CF442" s="867">
        <f>(WWWW[[#This Row],['#_Water_Liters_supplied_by_Water boating or water trucking]]/90)/15</f>
        <v>0</v>
      </c>
      <c r="CG442" s="867">
        <f>WWWW[[#This Row],['#_Water_Liters_from_Constructed/Existing water distribution system from river or natural spring]]/90/15</f>
        <v>0</v>
      </c>
      <c r="CH442" s="473">
        <f>WWWW[[#This Row],['#_of water points in TLS/CFS /THF]]*500</f>
        <v>0</v>
      </c>
      <c r="CI44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2" s="866">
        <f>IF(WWWW[[#This Row],[Location Type 1]]="Village",WWWW[[#This Row],[Access to safe drinking water for Village]],WWWW[[#This Row],[Access to safe drinking water for Camp]])</f>
        <v>1</v>
      </c>
      <c r="CL442" s="864">
        <f>WWWW[[#This Row],[%Equitable and continuous access to sufficient quantity of safe drinking water]]*WWWW[[#This Row],[Total PoP ]]</f>
        <v>2065</v>
      </c>
      <c r="CM442" s="866">
        <f>IF((WWWW[[#This Row],['#_Constructed/Existing protected/fenced ponds]]*250)/WWWW[[#This Row],[Total PoP ]]&gt;1,1,(WWWW[[#This Row],['#_Constructed/Existing protected/fenced ponds]]*250)/WWWW[[#This Row],[Total PoP ]])</f>
        <v>0</v>
      </c>
      <c r="CN442" s="864">
        <f>WWWW[[#This Row],[% Access to unimproved water points]]*WWWW[[#This Row],[Total PoP ]]</f>
        <v>0</v>
      </c>
      <c r="CO44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Q442" s="864">
        <f>WWWW[[#This Row],[HRP1]]/500</f>
        <v>4.13</v>
      </c>
      <c r="CR442" s="869">
        <f>1-WWWW[[#This Row],[% Equitable and continuous access to sufficient quantity of domestic water]]</f>
        <v>0</v>
      </c>
      <c r="CS442" s="864">
        <f>WWWW[[#This Row],[%equitable and continuous access to sufficient quantity of safe drinking and domestic water''s GAP]]*WWWW[[#This Row],[Total PoP ]]</f>
        <v>0</v>
      </c>
      <c r="CT442" s="867">
        <f>IF(WWWW[[#This Row],[Total required water points]]-WWWW[[#This Row],['#Water points coverage]]&lt;0,0,WWWW[[#This Row],[Total required water points]]-WWWW[[#This Row],['#Water points coverage]])</f>
        <v>0</v>
      </c>
      <c r="CU442" s="867">
        <f>ROUND(IF(WWWW[[#This Row],[Total PoP ]]&lt;500,1,WWWW[[#This Row],[Total PoP ]]/500),0)</f>
        <v>4</v>
      </c>
      <c r="CV442" s="867">
        <f>(WWWW[[#This Row],['#_Constructed latrines_by_WASHAgencies]]+WWWW[[#This Row],['#_Non Cluster partner latrines]])-WWWW[[#This Row],['#_Non-functional latrines]]</f>
        <v>30</v>
      </c>
      <c r="CW442" s="804">
        <f>WWWW[[#This Row],[HRP2]]/WWWW[[#This Row],[Total PoP ]]</f>
        <v>0.29055690072639223</v>
      </c>
      <c r="CX44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600</v>
      </c>
      <c r="CY44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2" s="473">
        <f>IF(WWWW[[#This Row],['# of functional latrines in THF supported by WASH partners during the reporting period2]]="",0,WWWW[[#This Row],['# of functional latrines in THF supported by WASH partners during the reporting period2]]*50)</f>
        <v>0</v>
      </c>
      <c r="DB442" s="473">
        <f>WWWW[[#This Row],['# students access to functioning school latrines_HRP5]]+WWWW[[#This Row],['# People access to functioning latrines in THF_HRP5]]</f>
        <v>0</v>
      </c>
      <c r="DC442" s="867">
        <f>ROUND(IF(WWWW[[#This Row],[Location Type 1]]="camp",WWWW[[#This Row],[Total PoP ]]/20,IF(WWWW[[#This Row],[Location Type 1]]="Temporary Location",WWWW[[#This Row],[Total PoP ]]/50,(WWWW[[#This Row],[Total PoP ]]/6))),0)</f>
        <v>103</v>
      </c>
      <c r="DD442" s="867">
        <f>IF(WWWW[[#This Row],[Total required Latrines]]-(WWWW[[#This Row],['#_Constructed latrines_by_WASHAgencies]]+WWWW[[#This Row],['#_Non Cluster partner latrines]])&lt;0,0,WWWW[[#This Row],[Total required Latrines]]-(WWWW[[#This Row],['#_Constructed latrines_by_WASHAgencies]]+WWWW[[#This Row],['#_Non Cluster partner latrines]]))</f>
        <v>73</v>
      </c>
      <c r="DE442" s="869">
        <f>1-WWWW[[#This Row],[% people access to functioning Latrine]]</f>
        <v>0.70944309927360782</v>
      </c>
      <c r="DF442" s="868">
        <f>IF(OR(WWWW[[#This Row],['#_Non-functional latrines]]="",WWWW[[#This Row],['#_Non-functional latrines]]=0),0,WWWW[[#This Row],['#_Non-functional latrines]]/(WWWW[[#This Row],['#_Constructed latrines_by_WASHAgencies]]+WWWW[[#This Row],['#_Non Cluster partner latrines]]))</f>
        <v>0</v>
      </c>
      <c r="DG442" s="864">
        <f>IF(500*(WWWW[[#This Row],['#_male hygiene promoters]]+WWWW[[#This Row],['#_female hygiene promoters]])&gt;WWWW[[#This Row],[Total PoP ]],WWWW[[#This Row],[Total PoP ]],500*(WWWW[[#This Row],['#_male hygiene promoters]]+WWWW[[#This Row],['#_female hygiene promoters]]))</f>
        <v>0</v>
      </c>
      <c r="DH44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2" s="867">
        <f>IF(WWWW[[#This Row],['# People with access to soap]]&gt;WWWW[[#This Row],['# People with access to Sanity Pads]],WWWW[[#This Row],['# People with access to soap]],WWWW[[#This Row],['# People with access to Sanity Pads]])</f>
        <v>0</v>
      </c>
      <c r="DK442"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42" s="869">
        <f>IF(WWWW[[#This Row],[HRP3]]/WWWW[[#This Row],[Total PoP ]]&gt;1,1,WWWW[[#This Row],[HRP3]]/WWWW[[#This Row],[Total PoP ]])</f>
        <v>0</v>
      </c>
      <c r="DM442" s="868">
        <f>1-WWWW[[#This Row],[Hygiene Coverage%]]</f>
        <v>1</v>
      </c>
      <c r="DN442" s="866">
        <f>WWWW[[#This Row],['# people reached by regular dedicated hygiene promotion_5]]/WWWW[[#This Row],[Total PoP ]]</f>
        <v>0</v>
      </c>
      <c r="DO44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2" s="867">
        <f>WWWW[[#This Row],['#_Constructed/Existing hand washing stations]]-WWWW[[#This Row],['#_Non-Functional_hand_washing_stations]]</f>
        <v>20</v>
      </c>
      <c r="DR442" s="864">
        <f>IF(WWWW[[#This Row],['# Functional hand washing stations during reporting period]]*20&gt;WWWW[[#This Row],[Total HH]],WWWW[[#This Row],[Total HH]],WWWW[[#This Row],['# Functional hand washing stations during reporting period]]*20)</f>
        <v>347</v>
      </c>
      <c r="DS442" s="864">
        <f>IF(WWWW[[#This Row],[Is sufficient soap available for TLS? (Yes/No)]]="yes",WWWW[[#This Row],['#_Constructed/Existing hand washing stations at TLS]],0)</f>
        <v>0</v>
      </c>
      <c r="DT442" s="479">
        <f>IF(WWWW[[#This Row],['# Functional hand washing stations during reporting period]]*100&gt;WWWW[[#This Row],[Total PoP ]],WWWW[[#This Row],[Total PoP ]],WWWW[[#This Row],['# Functional hand washing stations during reporting period]]*100)</f>
        <v>2000</v>
      </c>
      <c r="DU442" s="479" t="str">
        <f>IF(OR(WWWW[[#This Row],['#_students at TLS_CFS]]="",WWWW[[#This Row],['#_students at TLS_CFS]]=0),"No","Yes")</f>
        <v>No</v>
      </c>
      <c r="DV44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2" s="862" t="str">
        <f>VLOOKUP(WWWW[[#This Row],[Site Name]],SiteDB6[[Site Name]:[CCCM Management]],6,FALSE)</f>
        <v>Yes</v>
      </c>
      <c r="DZ442" s="862" t="str">
        <f>VLOOKUP(WWWW[[#This Row],[Site Name]],SiteDB6[[Site Name]:[CCCM Focal Agency]],7,FALSE)</f>
        <v>Shalom</v>
      </c>
      <c r="EA442" s="862" t="str">
        <f>VLOOKUP(WWWW[[#This Row],[Site Name]],SiteDB6[[Site Name]:[Location Type 1]],9,FALSE)</f>
        <v>Camp</v>
      </c>
      <c r="EB442" s="862" t="str">
        <f>VLOOKUP(WWWW[[#This Row],[Site Name]],SiteDB6[[Site Name]:[Type of Accommodation]],10,FALSE)</f>
        <v>Camp</v>
      </c>
      <c r="EC442" s="862" t="str">
        <f>VLOOKUP(WWWW[[#This Row],[Site Name]],SiteDB6[[Site Name]:[Ethnic or GCA/NGCA]],11,FALSE)</f>
        <v>GCA</v>
      </c>
      <c r="ED442" s="862">
        <f>VLOOKUP(WWWW[[#This Row],[Site Name]],SiteDB6[[Site Name]:[Lat]],12,FALSE)</f>
        <v>25.424529444444399</v>
      </c>
      <c r="EE442" s="862">
        <f>VLOOKUP(WWWW[[#This Row],[Site Name]],SiteDB6[[Site Name]:[Long]],13,FALSE)</f>
        <v>97.433419259259296</v>
      </c>
      <c r="EF442" s="862" t="str">
        <f>VLOOKUP(WWWW[[#This Row],[Site Name]],SiteDB6[[Site Name]:[Pcode]],3,FALSE)</f>
        <v>MMR001CMP031</v>
      </c>
      <c r="EG442" s="865" t="str">
        <f t="shared" si="12"/>
        <v>Covered</v>
      </c>
      <c r="EH442" s="865" t="str">
        <f>VLOOKUP(WWWW[[#This Row],[Site Name]],Site_DB!$C$389:$D$1120,2,FALSE)</f>
        <v>cccm_2019OCT</v>
      </c>
    </row>
    <row r="443" spans="1:138">
      <c r="A443" s="860" t="s">
        <v>3263</v>
      </c>
      <c r="B443" s="860" t="s">
        <v>245</v>
      </c>
      <c r="C443" s="861" t="s">
        <v>245</v>
      </c>
      <c r="D443" s="861" t="s">
        <v>310</v>
      </c>
      <c r="E443" s="861" t="s">
        <v>39</v>
      </c>
      <c r="F443" s="861" t="s">
        <v>162</v>
      </c>
      <c r="G443" s="721" t="str">
        <f>VLOOKUP(WWWW[[#This Row],[Site Name]],SiteDB6[[Site Name]:[Location Type]],8,FALSE)</f>
        <v>Camp</v>
      </c>
      <c r="H443" s="861" t="s">
        <v>266</v>
      </c>
      <c r="I443" s="851">
        <v>22</v>
      </c>
      <c r="J443" s="851">
        <v>92</v>
      </c>
      <c r="K443" s="863">
        <v>43313</v>
      </c>
      <c r="L443" s="859">
        <v>44196</v>
      </c>
      <c r="M443" s="851"/>
      <c r="N443" s="851">
        <v>1</v>
      </c>
      <c r="O443" s="851"/>
      <c r="P443" s="851"/>
      <c r="Q443" s="864" t="s">
        <v>43</v>
      </c>
      <c r="R443" s="851">
        <v>3</v>
      </c>
      <c r="S443" s="851">
        <v>7</v>
      </c>
      <c r="T443" s="523">
        <v>1</v>
      </c>
      <c r="U443" s="851"/>
      <c r="V443" s="851"/>
      <c r="W443" s="851">
        <v>1</v>
      </c>
      <c r="X443" s="851">
        <v>1</v>
      </c>
      <c r="Y443" s="851"/>
      <c r="Z443" s="851"/>
      <c r="AA443" s="851"/>
      <c r="AB443" s="851"/>
      <c r="AC443" s="851"/>
      <c r="AD443" s="851"/>
      <c r="AE443" s="851"/>
      <c r="AF443" s="851"/>
      <c r="AG443" s="851"/>
      <c r="AH443" s="851"/>
      <c r="AI443" s="851"/>
      <c r="AJ443" s="851"/>
      <c r="AK443" s="851"/>
      <c r="AL443" s="851"/>
      <c r="AM443" s="851"/>
      <c r="AN443" s="851"/>
      <c r="AO443" s="865"/>
      <c r="AP443" s="851">
        <v>5</v>
      </c>
      <c r="AQ443" s="851"/>
      <c r="AR443" s="866"/>
      <c r="AS443" s="851"/>
      <c r="AT443" s="851"/>
      <c r="AU443" s="851">
        <v>2</v>
      </c>
      <c r="AV443" s="851"/>
      <c r="AW443" s="851"/>
      <c r="AX443" s="862" t="s">
        <v>43</v>
      </c>
      <c r="AY443" s="865" t="s">
        <v>1195</v>
      </c>
      <c r="AZ443" s="851"/>
      <c r="BA443" s="851"/>
      <c r="BB443" s="851"/>
      <c r="BC443" s="523"/>
      <c r="BD443" s="523"/>
      <c r="BE443" s="862"/>
      <c r="BF443" s="851">
        <v>4</v>
      </c>
      <c r="BG443" s="851"/>
      <c r="BH443" s="851">
        <v>0</v>
      </c>
      <c r="BI443" s="851">
        <v>2</v>
      </c>
      <c r="BJ443" s="851"/>
      <c r="BK443" s="851">
        <v>0</v>
      </c>
      <c r="BL443" s="851">
        <v>0</v>
      </c>
      <c r="BM443" s="851"/>
      <c r="BN443" s="851"/>
      <c r="BO443" s="862"/>
      <c r="BP443" s="867"/>
      <c r="BQ443" s="866"/>
      <c r="BR443" s="862"/>
      <c r="BS443" s="472"/>
      <c r="BT443" s="472"/>
      <c r="BU443" s="474"/>
      <c r="BV443" s="472"/>
      <c r="BW443" s="523"/>
      <c r="BX443" s="523"/>
      <c r="BY443" s="523"/>
      <c r="BZ443" s="868" t="str">
        <f>IFERROR(WWWW[[#This Row],['#_Water sources passed]]/WWWW[[#This Row],['#_Water sources tested for fecal coliform ]],"no test")</f>
        <v>no test</v>
      </c>
      <c r="CA443" s="866" t="str">
        <f>IFERROR(WWWW[[#This Row],['#_Household passed]]/WWWW[[#This Row],['#_Household water samples tested for fecal coliform]],"no test")</f>
        <v>no test</v>
      </c>
      <c r="CB443" s="867" t="str">
        <f>IF(AND(WWWW[[#This Row],[% of water sources passed]]="no test",WWWW[[#This Row],[% Household passed]]="no test"),"No Test","Tested")</f>
        <v>No Test</v>
      </c>
      <c r="CC443" s="867">
        <f>WWWW[[#This Row],['#_Constructed/existing protected hand dug well]]-WWWW[[#This Row],['#_Non-functional protected hand dug well]]</f>
        <v>1</v>
      </c>
      <c r="CD443" s="867">
        <f>(WWWW[[#This Row],['#_Constructed/Existing tube wells/boreholes/handpumps_WASH_agency]]+WWWW[[#This Row],['#_Non-Cluster partner water tube-wells/boreholes/handpumps]])-WWWW[[#This Row],['#_Non-functional tube wells/boreholes/handpumps]]</f>
        <v>2</v>
      </c>
      <c r="CE443" s="867">
        <f>WWWW[[#This Row],['#_Constructed/Existingwater storage tank with gravity fed reticulation system]]-WWWW[[#This Row],['#_Non-functional storage tank gravity fed reticulation system]]</f>
        <v>0</v>
      </c>
      <c r="CF443" s="867">
        <f>(WWWW[[#This Row],['#_Water_Liters_supplied_by_Water boating or water trucking]]/90)/15</f>
        <v>0</v>
      </c>
      <c r="CG443" s="867">
        <f>WWWW[[#This Row],['#_Water_Liters_from_Constructed/Existing water distribution system from river or natural spring]]/90/15</f>
        <v>0</v>
      </c>
      <c r="CH443" s="473">
        <f>WWWW[[#This Row],['#_of water points in TLS/CFS /THF]]*500</f>
        <v>0</v>
      </c>
      <c r="CI44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3" s="866">
        <f>IF(WWWW[[#This Row],[Location Type 1]]="Village",WWWW[[#This Row],[Access to safe drinking water for Village]],WWWW[[#This Row],[Access to safe drinking water for Camp]])</f>
        <v>1</v>
      </c>
      <c r="CL443" s="864">
        <f>WWWW[[#This Row],[%Equitable and continuous access to sufficient quantity of safe drinking water]]*WWWW[[#This Row],[Total PoP ]]</f>
        <v>92</v>
      </c>
      <c r="CM443" s="866">
        <f>IF((WWWW[[#This Row],['#_Constructed/Existing protected/fenced ponds]]*250)/WWWW[[#This Row],[Total PoP ]]&gt;1,1,(WWWW[[#This Row],['#_Constructed/Existing protected/fenced ponds]]*250)/WWWW[[#This Row],[Total PoP ]])</f>
        <v>0</v>
      </c>
      <c r="CN443" s="864">
        <f>WWWW[[#This Row],[% Access to unimproved water points]]*WWWW[[#This Row],[Total PoP ]]</f>
        <v>0</v>
      </c>
      <c r="CO44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Q443" s="864">
        <f>WWWW[[#This Row],[HRP1]]/500</f>
        <v>0.184</v>
      </c>
      <c r="CR443" s="869">
        <f>1-WWWW[[#This Row],[% Equitable and continuous access to sufficient quantity of domestic water]]</f>
        <v>0</v>
      </c>
      <c r="CS443" s="864">
        <f>WWWW[[#This Row],[%equitable and continuous access to sufficient quantity of safe drinking and domestic water''s GAP]]*WWWW[[#This Row],[Total PoP ]]</f>
        <v>0</v>
      </c>
      <c r="CT443" s="867">
        <f>IF(WWWW[[#This Row],[Total required water points]]-WWWW[[#This Row],['#Water points coverage]]&lt;0,0,WWWW[[#This Row],[Total required water points]]-WWWW[[#This Row],['#Water points coverage]])</f>
        <v>0.81600000000000006</v>
      </c>
      <c r="CU443" s="867">
        <f>ROUND(IF(WWWW[[#This Row],[Total PoP ]]&lt;500,1,WWWW[[#This Row],[Total PoP ]]/500),0)</f>
        <v>1</v>
      </c>
      <c r="CV443" s="867">
        <f>(WWWW[[#This Row],['#_Constructed latrines_by_WASHAgencies]]+WWWW[[#This Row],['#_Non Cluster partner latrines]])-WWWW[[#This Row],['#_Non-functional latrines]]</f>
        <v>5</v>
      </c>
      <c r="CW443" s="804">
        <f>WWWW[[#This Row],[HRP2]]/WWWW[[#This Row],[Total PoP ]]</f>
        <v>1</v>
      </c>
      <c r="CX44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92</v>
      </c>
      <c r="CY44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Z44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3" s="473">
        <f>IF(WWWW[[#This Row],['# of functional latrines in THF supported by WASH partners during the reporting period2]]="",0,WWWW[[#This Row],['# of functional latrines in THF supported by WASH partners during the reporting period2]]*50)</f>
        <v>0</v>
      </c>
      <c r="DB443" s="473">
        <f>WWWW[[#This Row],['# students access to functioning school latrines_HRP5]]+WWWW[[#This Row],['# People access to functioning latrines in THF_HRP5]]</f>
        <v>0</v>
      </c>
      <c r="DC443" s="867">
        <f>ROUND(IF(WWWW[[#This Row],[Location Type 1]]="camp",WWWW[[#This Row],[Total PoP ]]/20,IF(WWWW[[#This Row],[Location Type 1]]="Temporary Location",WWWW[[#This Row],[Total PoP ]]/50,(WWWW[[#This Row],[Total PoP ]]/6))),0)</f>
        <v>5</v>
      </c>
      <c r="DD443" s="867">
        <f>IF(WWWW[[#This Row],[Total required Latrines]]-(WWWW[[#This Row],['#_Constructed latrines_by_WASHAgencies]]+WWWW[[#This Row],['#_Non Cluster partner latrines]])&lt;0,0,WWWW[[#This Row],[Total required Latrines]]-(WWWW[[#This Row],['#_Constructed latrines_by_WASHAgencies]]+WWWW[[#This Row],['#_Non Cluster partner latrines]]))</f>
        <v>0</v>
      </c>
      <c r="DE443" s="869">
        <f>1-WWWW[[#This Row],[% people access to functioning Latrine]]</f>
        <v>0</v>
      </c>
      <c r="DF443" s="868">
        <f>IF(OR(WWWW[[#This Row],['#_Non-functional latrines]]="",WWWW[[#This Row],['#_Non-functional latrines]]=0),0,WWWW[[#This Row],['#_Non-functional latrines]]/(WWWW[[#This Row],['#_Constructed latrines_by_WASHAgencies]]+WWWW[[#This Row],['#_Non Cluster partner latrines]]))</f>
        <v>0</v>
      </c>
      <c r="DG443" s="864">
        <f>IF(500*(WWWW[[#This Row],['#_male hygiene promoters]]+WWWW[[#This Row],['#_female hygiene promoters]])&gt;WWWW[[#This Row],[Total PoP ]],WWWW[[#This Row],[Total PoP ]],500*(WWWW[[#This Row],['#_male hygiene promoters]]+WWWW[[#This Row],['#_female hygiene promoters]]))</f>
        <v>0</v>
      </c>
      <c r="DH44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3" s="867">
        <f>IF(WWWW[[#This Row],['# People with access to soap]]&gt;WWWW[[#This Row],['# People with access to Sanity Pads]],WWWW[[#This Row],['# People with access to soap]],WWWW[[#This Row],['# People with access to Sanity Pads]])</f>
        <v>0</v>
      </c>
      <c r="DK44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43" s="869">
        <f>IF(WWWW[[#This Row],[HRP3]]/WWWW[[#This Row],[Total PoP ]]&gt;1,1,WWWW[[#This Row],[HRP3]]/WWWW[[#This Row],[Total PoP ]])</f>
        <v>0</v>
      </c>
      <c r="DM443" s="868">
        <f>1-WWWW[[#This Row],[Hygiene Coverage%]]</f>
        <v>1</v>
      </c>
      <c r="DN443" s="866">
        <f>WWWW[[#This Row],['# people reached by regular dedicated hygiene promotion_5]]/WWWW[[#This Row],[Total PoP ]]</f>
        <v>0</v>
      </c>
      <c r="DO44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3" s="867">
        <f>WWWW[[#This Row],['#_Constructed/Existing hand washing stations]]-WWWW[[#This Row],['#_Non-Functional_hand_washing_stations]]</f>
        <v>4</v>
      </c>
      <c r="DR443" s="864">
        <f>IF(WWWW[[#This Row],['# Functional hand washing stations during reporting period]]*20&gt;WWWW[[#This Row],[Total HH]],WWWW[[#This Row],[Total HH]],WWWW[[#This Row],['# Functional hand washing stations during reporting period]]*20)</f>
        <v>22</v>
      </c>
      <c r="DS443" s="864">
        <f>IF(WWWW[[#This Row],[Is sufficient soap available for TLS? (Yes/No)]]="yes",WWWW[[#This Row],['#_Constructed/Existing hand washing stations at TLS]],0)</f>
        <v>0</v>
      </c>
      <c r="DT443" s="479">
        <f>IF(WWWW[[#This Row],['# Functional hand washing stations during reporting period]]*100&gt;WWWW[[#This Row],[Total PoP ]],WWWW[[#This Row],[Total PoP ]],WWWW[[#This Row],['# Functional hand washing stations during reporting period]]*100)</f>
        <v>92</v>
      </c>
      <c r="DU443" s="479" t="str">
        <f>IF(OR(WWWW[[#This Row],['#_students at TLS_CFS]]="",WWWW[[#This Row],['#_students at TLS_CFS]]=0),"No","Yes")</f>
        <v>No</v>
      </c>
      <c r="DV44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3" s="862" t="str">
        <f>VLOOKUP(WWWW[[#This Row],[Site Name]],SiteDB6[[Site Name]:[CCCM Management]],6,FALSE)</f>
        <v>Yes</v>
      </c>
      <c r="DZ443" s="862" t="str">
        <f>VLOOKUP(WWWW[[#This Row],[Site Name]],SiteDB6[[Site Name]:[CCCM Focal Agency]],7,FALSE)</f>
        <v>Shalom</v>
      </c>
      <c r="EA443" s="862" t="str">
        <f>VLOOKUP(WWWW[[#This Row],[Site Name]],SiteDB6[[Site Name]:[Location Type 1]],9,FALSE)</f>
        <v>Camp</v>
      </c>
      <c r="EB443" s="862" t="str">
        <f>VLOOKUP(WWWW[[#This Row],[Site Name]],SiteDB6[[Site Name]:[Type of Accommodation]],10,FALSE)</f>
        <v>Camp</v>
      </c>
      <c r="EC443" s="862" t="str">
        <f>VLOOKUP(WWWW[[#This Row],[Site Name]],SiteDB6[[Site Name]:[Ethnic or GCA/NGCA]],11,FALSE)</f>
        <v>GCA</v>
      </c>
      <c r="ED443" s="862">
        <f>VLOOKUP(WWWW[[#This Row],[Site Name]],SiteDB6[[Site Name]:[Lat]],12,FALSE)</f>
        <v>25.374343974359</v>
      </c>
      <c r="EE443" s="862">
        <f>VLOOKUP(WWWW[[#This Row],[Site Name]],SiteDB6[[Site Name]:[Long]],13,FALSE)</f>
        <v>97.2843958974359</v>
      </c>
      <c r="EF443" s="862" t="str">
        <f>VLOOKUP(WWWW[[#This Row],[Site Name]],SiteDB6[[Site Name]:[Pcode]],3,FALSE)</f>
        <v>MMR001CMP020</v>
      </c>
      <c r="EG443" s="865" t="str">
        <f t="shared" si="12"/>
        <v>Covered</v>
      </c>
      <c r="EH443" s="865" t="str">
        <f>VLOOKUP(WWWW[[#This Row],[Site Name]],Site_DB!$C$389:$D$1120,2,FALSE)</f>
        <v>cccm_2019OCT</v>
      </c>
    </row>
    <row r="444" spans="1:138">
      <c r="A444" s="860" t="s">
        <v>3263</v>
      </c>
      <c r="B444" s="860" t="s">
        <v>144</v>
      </c>
      <c r="C444" s="861" t="s">
        <v>144</v>
      </c>
      <c r="D444" s="861"/>
      <c r="E444" s="861" t="s">
        <v>39</v>
      </c>
      <c r="F444" s="861" t="s">
        <v>217</v>
      </c>
      <c r="G444" s="721" t="str">
        <f>VLOOKUP(WWWW[[#This Row],[Site Name]],SiteDB6[[Site Name]:[Location Type]],8,FALSE)</f>
        <v>Camp_not registered</v>
      </c>
      <c r="H444" s="861" t="s">
        <v>2077</v>
      </c>
      <c r="I444" s="851">
        <v>63</v>
      </c>
      <c r="J444" s="851">
        <v>270</v>
      </c>
      <c r="K444" s="863"/>
      <c r="L444" s="859"/>
      <c r="M444" s="851"/>
      <c r="N444" s="851"/>
      <c r="O444" s="851"/>
      <c r="P444" s="851"/>
      <c r="Q444" s="864"/>
      <c r="R444" s="851"/>
      <c r="S444" s="851">
        <v>5</v>
      </c>
      <c r="T444" s="523"/>
      <c r="U444" s="851"/>
      <c r="V444" s="851"/>
      <c r="W444" s="851"/>
      <c r="X444" s="851"/>
      <c r="Y444" s="851"/>
      <c r="Z444" s="851"/>
      <c r="AA444" s="851"/>
      <c r="AB444" s="851"/>
      <c r="AC444" s="851"/>
      <c r="AD444" s="851"/>
      <c r="AE444" s="851"/>
      <c r="AF444" s="851"/>
      <c r="AG444" s="851"/>
      <c r="AH444" s="851"/>
      <c r="AI444" s="851"/>
      <c r="AJ444" s="851"/>
      <c r="AK444" s="851"/>
      <c r="AL444" s="851"/>
      <c r="AM444" s="851"/>
      <c r="AN444" s="851"/>
      <c r="AO444" s="865"/>
      <c r="AP444" s="851"/>
      <c r="AQ444" s="851"/>
      <c r="AR444" s="866"/>
      <c r="AS444" s="851"/>
      <c r="AT444" s="851"/>
      <c r="AU444" s="851"/>
      <c r="AV444" s="851"/>
      <c r="AW444" s="851"/>
      <c r="AX444" s="862" t="s">
        <v>143</v>
      </c>
      <c r="AY444" s="865" t="s">
        <v>143</v>
      </c>
      <c r="AZ444" s="851"/>
      <c r="BA444" s="851"/>
      <c r="BB444" s="851"/>
      <c r="BC444" s="523"/>
      <c r="BD444" s="523"/>
      <c r="BE444" s="862"/>
      <c r="BF444" s="851"/>
      <c r="BG444" s="851"/>
      <c r="BH444" s="851"/>
      <c r="BI444" s="851"/>
      <c r="BJ444" s="851"/>
      <c r="BK444" s="851"/>
      <c r="BL444" s="851"/>
      <c r="BM444" s="851"/>
      <c r="BN444" s="851"/>
      <c r="BO444" s="862"/>
      <c r="BP444" s="867"/>
      <c r="BQ444" s="866"/>
      <c r="BR444" s="862"/>
      <c r="BS444" s="472"/>
      <c r="BT444" s="472"/>
      <c r="BU444" s="474"/>
      <c r="BV444" s="472"/>
      <c r="BW444" s="523"/>
      <c r="BX444" s="523"/>
      <c r="BY444" s="523"/>
      <c r="BZ444" s="868" t="str">
        <f>IFERROR(WWWW[[#This Row],['#_Water sources passed]]/WWWW[[#This Row],['#_Water sources tested for fecal coliform ]],"no test")</f>
        <v>no test</v>
      </c>
      <c r="CA444" s="866" t="str">
        <f>IFERROR(WWWW[[#This Row],['#_Household passed]]/WWWW[[#This Row],['#_Household water samples tested for fecal coliform]],"no test")</f>
        <v>no test</v>
      </c>
      <c r="CB444" s="867" t="str">
        <f>IF(AND(WWWW[[#This Row],[% of water sources passed]]="no test",WWWW[[#This Row],[% Household passed]]="no test"),"No Test","Tested")</f>
        <v>No Test</v>
      </c>
      <c r="CC444" s="867">
        <f>WWWW[[#This Row],['#_Constructed/existing protected hand dug well]]-WWWW[[#This Row],['#_Non-functional protected hand dug well]]</f>
        <v>0</v>
      </c>
      <c r="CD444" s="867">
        <f>(WWWW[[#This Row],['#_Constructed/Existing tube wells/boreholes/handpumps_WASH_agency]]+WWWW[[#This Row],['#_Non-Cluster partner water tube-wells/boreholes/handpumps]])-WWWW[[#This Row],['#_Non-functional tube wells/boreholes/handpumps]]</f>
        <v>0</v>
      </c>
      <c r="CE444" s="867">
        <f>WWWW[[#This Row],['#_Constructed/Existingwater storage tank with gravity fed reticulation system]]-WWWW[[#This Row],['#_Non-functional storage tank gravity fed reticulation system]]</f>
        <v>0</v>
      </c>
      <c r="CF444" s="867">
        <f>(WWWW[[#This Row],['#_Water_Liters_supplied_by_Water boating or water trucking]]/90)/15</f>
        <v>0</v>
      </c>
      <c r="CG444" s="867">
        <f>WWWW[[#This Row],['#_Water_Liters_from_Constructed/Existing water distribution system from river or natural spring]]/90/15</f>
        <v>0</v>
      </c>
      <c r="CH444" s="473">
        <f>WWWW[[#This Row],['#_of water points in TLS/CFS /THF]]*500</f>
        <v>0</v>
      </c>
      <c r="CI44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4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44" s="866">
        <f>IF(WWWW[[#This Row],[Location Type 1]]="Village",WWWW[[#This Row],[Access to safe drinking water for Village]],WWWW[[#This Row],[Access to safe drinking water for Camp]])</f>
        <v>0</v>
      </c>
      <c r="CL444" s="864">
        <f>WWWW[[#This Row],[%Equitable and continuous access to sufficient quantity of safe drinking water]]*WWWW[[#This Row],[Total PoP ]]</f>
        <v>0</v>
      </c>
      <c r="CM444" s="866">
        <f>IF((WWWW[[#This Row],['#_Constructed/Existing protected/fenced ponds]]*250)/WWWW[[#This Row],[Total PoP ]]&gt;1,1,(WWWW[[#This Row],['#_Constructed/Existing protected/fenced ponds]]*250)/WWWW[[#This Row],[Total PoP ]])</f>
        <v>0</v>
      </c>
      <c r="CN444" s="864">
        <f>WWWW[[#This Row],[% Access to unimproved water points]]*WWWW[[#This Row],[Total PoP ]]</f>
        <v>0</v>
      </c>
      <c r="CO44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4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44" s="864">
        <f>WWWW[[#This Row],[HRP1]]/500</f>
        <v>0</v>
      </c>
      <c r="CR444" s="869">
        <f>1-WWWW[[#This Row],[% Equitable and continuous access to sufficient quantity of domestic water]]</f>
        <v>1</v>
      </c>
      <c r="CS444" s="864">
        <f>WWWW[[#This Row],[%equitable and continuous access to sufficient quantity of safe drinking and domestic water''s GAP]]*WWWW[[#This Row],[Total PoP ]]</f>
        <v>270</v>
      </c>
      <c r="CT444" s="867">
        <f>IF(WWWW[[#This Row],[Total required water points]]-WWWW[[#This Row],['#Water points coverage]]&lt;0,0,WWWW[[#This Row],[Total required water points]]-WWWW[[#This Row],['#Water points coverage]])</f>
        <v>1</v>
      </c>
      <c r="CU444" s="867">
        <f>ROUND(IF(WWWW[[#This Row],[Total PoP ]]&lt;500,1,WWWW[[#This Row],[Total PoP ]]/500),0)</f>
        <v>1</v>
      </c>
      <c r="CV444" s="867">
        <f>(WWWW[[#This Row],['#_Constructed latrines_by_WASHAgencies]]+WWWW[[#This Row],['#_Non Cluster partner latrines]])-WWWW[[#This Row],['#_Non-functional latrines]]</f>
        <v>0</v>
      </c>
      <c r="CW444" s="804">
        <f>WWWW[[#This Row],[HRP2]]/WWWW[[#This Row],[Total PoP ]]</f>
        <v>0</v>
      </c>
      <c r="CX44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4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4" s="473">
        <f>IF(WWWW[[#This Row],['# of functional latrines in THF supported by WASH partners during the reporting period2]]="",0,WWWW[[#This Row],['# of functional latrines in THF supported by WASH partners during the reporting period2]]*50)</f>
        <v>0</v>
      </c>
      <c r="DB444" s="473">
        <f>WWWW[[#This Row],['# students access to functioning school latrines_HRP5]]+WWWW[[#This Row],['# People access to functioning latrines in THF_HRP5]]</f>
        <v>0</v>
      </c>
      <c r="DC444" s="867">
        <f>ROUND(IF(WWWW[[#This Row],[Location Type 1]]="camp",WWWW[[#This Row],[Total PoP ]]/20,IF(WWWW[[#This Row],[Location Type 1]]="Temporary Location",WWWW[[#This Row],[Total PoP ]]/50,(WWWW[[#This Row],[Total PoP ]]/6))),0)</f>
        <v>14</v>
      </c>
      <c r="DD444" s="867">
        <f>IF(WWWW[[#This Row],[Total required Latrines]]-(WWWW[[#This Row],['#_Constructed latrines_by_WASHAgencies]]+WWWW[[#This Row],['#_Non Cluster partner latrines]])&lt;0,0,WWWW[[#This Row],[Total required Latrines]]-(WWWW[[#This Row],['#_Constructed latrines_by_WASHAgencies]]+WWWW[[#This Row],['#_Non Cluster partner latrines]]))</f>
        <v>14</v>
      </c>
      <c r="DE444" s="869">
        <f>1-WWWW[[#This Row],[% people access to functioning Latrine]]</f>
        <v>1</v>
      </c>
      <c r="DF444" s="868">
        <f>IF(OR(WWWW[[#This Row],['#_Non-functional latrines]]="",WWWW[[#This Row],['#_Non-functional latrines]]=0),0,WWWW[[#This Row],['#_Non-functional latrines]]/(WWWW[[#This Row],['#_Constructed latrines_by_WASHAgencies]]+WWWW[[#This Row],['#_Non Cluster partner latrines]]))</f>
        <v>0</v>
      </c>
      <c r="DG444" s="864">
        <f>IF(500*(WWWW[[#This Row],['#_male hygiene promoters]]+WWWW[[#This Row],['#_female hygiene promoters]])&gt;WWWW[[#This Row],[Total PoP ]],WWWW[[#This Row],[Total PoP ]],500*(WWWW[[#This Row],['#_male hygiene promoters]]+WWWW[[#This Row],['#_female hygiene promoters]]))</f>
        <v>0</v>
      </c>
      <c r="DH44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4" s="867">
        <f>IF(WWWW[[#This Row],['# People with access to soap]]&gt;WWWW[[#This Row],['# People with access to Sanity Pads]],WWWW[[#This Row],['# People with access to soap]],WWWW[[#This Row],['# People with access to Sanity Pads]])</f>
        <v>0</v>
      </c>
      <c r="DK44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44" s="869">
        <f>IF(WWWW[[#This Row],[HRP3]]/WWWW[[#This Row],[Total PoP ]]&gt;1,1,WWWW[[#This Row],[HRP3]]/WWWW[[#This Row],[Total PoP ]])</f>
        <v>0</v>
      </c>
      <c r="DM444" s="868">
        <f>1-WWWW[[#This Row],[Hygiene Coverage%]]</f>
        <v>1</v>
      </c>
      <c r="DN444" s="866">
        <f>WWWW[[#This Row],['# people reached by regular dedicated hygiene promotion_5]]/WWWW[[#This Row],[Total PoP ]]</f>
        <v>0</v>
      </c>
      <c r="DO44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4" s="867">
        <f>WWWW[[#This Row],['#_Constructed/Existing hand washing stations]]-WWWW[[#This Row],['#_Non-Functional_hand_washing_stations]]</f>
        <v>0</v>
      </c>
      <c r="DR444" s="864">
        <f>IF(WWWW[[#This Row],['# Functional hand washing stations during reporting period]]*20&gt;WWWW[[#This Row],[Total HH]],WWWW[[#This Row],[Total HH]],WWWW[[#This Row],['# Functional hand washing stations during reporting period]]*20)</f>
        <v>0</v>
      </c>
      <c r="DS444" s="864">
        <f>IF(WWWW[[#This Row],[Is sufficient soap available for TLS? (Yes/No)]]="yes",WWWW[[#This Row],['#_Constructed/Existing hand washing stations at TLS]],0)</f>
        <v>0</v>
      </c>
      <c r="DT444" s="479">
        <f>IF(WWWW[[#This Row],['# Functional hand washing stations during reporting period]]*100&gt;WWWW[[#This Row],[Total PoP ]],WWWW[[#This Row],[Total PoP ]],WWWW[[#This Row],['# Functional hand washing stations during reporting period]]*100)</f>
        <v>0</v>
      </c>
      <c r="DU444" s="479" t="str">
        <f>IF(OR(WWWW[[#This Row],['#_students at TLS_CFS]]="",WWWW[[#This Row],['#_students at TLS_CFS]]=0),"No","Yes")</f>
        <v>No</v>
      </c>
      <c r="DV44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4" s="862">
        <f>VLOOKUP(WWWW[[#This Row],[Site Name]],SiteDB6[[Site Name]:[CCCM Management]],6,FALSE)</f>
        <v>0</v>
      </c>
      <c r="DZ444" s="862">
        <f>VLOOKUP(WWWW[[#This Row],[Site Name]],SiteDB6[[Site Name]:[CCCM Focal Agency]],7,FALSE)</f>
        <v>0</v>
      </c>
      <c r="EA444" s="862" t="str">
        <f>VLOOKUP(WWWW[[#This Row],[Site Name]],SiteDB6[[Site Name]:[Location Type 1]],9,FALSE)</f>
        <v>Camp</v>
      </c>
      <c r="EB444" s="862" t="str">
        <f>VLOOKUP(WWWW[[#This Row],[Site Name]],SiteDB6[[Site Name]:[Type of Accommodation]],10,FALSE)</f>
        <v>Camp like setting</v>
      </c>
      <c r="EC444" s="862" t="str">
        <f>VLOOKUP(WWWW[[#This Row],[Site Name]],SiteDB6[[Site Name]:[Ethnic or GCA/NGCA]],11,FALSE)</f>
        <v>NGCA</v>
      </c>
      <c r="ED444" s="862">
        <f>VLOOKUP(WWWW[[#This Row],[Site Name]],SiteDB6[[Site Name]:[Lat]],12,FALSE)</f>
        <v>0</v>
      </c>
      <c r="EE444" s="862">
        <f>VLOOKUP(WWWW[[#This Row],[Site Name]],SiteDB6[[Site Name]:[Long]],13,FALSE)</f>
        <v>0</v>
      </c>
      <c r="EF444" s="862">
        <f>VLOOKUP(WWWW[[#This Row],[Site Name]],SiteDB6[[Site Name]:[Pcode]],3,FALSE)</f>
        <v>0</v>
      </c>
      <c r="EG444" s="865" t="str">
        <f t="shared" ref="EG444:EG475" si="13">IF(C444="none","Notcovered","Covered")</f>
        <v>Covered</v>
      </c>
      <c r="EH444" s="865">
        <f>VLOOKUP(WWWW[[#This Row],[Site Name]],Site_DB!$C$389:$D$1120,2,FALSE)</f>
        <v>0</v>
      </c>
    </row>
    <row r="445" spans="1:138">
      <c r="A445" s="860" t="s">
        <v>3263</v>
      </c>
      <c r="B445" s="860" t="s">
        <v>245</v>
      </c>
      <c r="C445" s="861" t="s">
        <v>245</v>
      </c>
      <c r="D445" s="861" t="s">
        <v>310</v>
      </c>
      <c r="E445" s="861" t="s">
        <v>39</v>
      </c>
      <c r="F445" s="861" t="s">
        <v>162</v>
      </c>
      <c r="G445" s="721" t="str">
        <f>VLOOKUP(WWWW[[#This Row],[Site Name]],SiteDB6[[Site Name]:[Location Type]],8,FALSE)</f>
        <v>Camp</v>
      </c>
      <c r="H445" s="861" t="s">
        <v>267</v>
      </c>
      <c r="I445" s="851">
        <v>21</v>
      </c>
      <c r="J445" s="851">
        <v>123</v>
      </c>
      <c r="K445" s="863">
        <v>43313</v>
      </c>
      <c r="L445" s="859">
        <v>44196</v>
      </c>
      <c r="M445" s="851"/>
      <c r="N445" s="851">
        <v>1</v>
      </c>
      <c r="O445" s="851"/>
      <c r="P445" s="851"/>
      <c r="Q445" s="864" t="s">
        <v>43</v>
      </c>
      <c r="R445" s="851">
        <v>1</v>
      </c>
      <c r="S445" s="851">
        <v>4</v>
      </c>
      <c r="T445" s="523">
        <v>0</v>
      </c>
      <c r="U445" s="851"/>
      <c r="V445" s="851"/>
      <c r="W445" s="851">
        <v>1</v>
      </c>
      <c r="X445" s="851"/>
      <c r="Y445" s="851"/>
      <c r="Z445" s="851"/>
      <c r="AA445" s="851"/>
      <c r="AB445" s="851"/>
      <c r="AC445" s="851"/>
      <c r="AD445" s="851"/>
      <c r="AE445" s="851"/>
      <c r="AF445" s="851"/>
      <c r="AG445" s="851">
        <v>1</v>
      </c>
      <c r="AH445" s="851">
        <v>1</v>
      </c>
      <c r="AI445" s="851"/>
      <c r="AJ445" s="851"/>
      <c r="AK445" s="851"/>
      <c r="AL445" s="851"/>
      <c r="AM445" s="851"/>
      <c r="AN445" s="851"/>
      <c r="AO445" s="865"/>
      <c r="AP445" s="851">
        <v>6</v>
      </c>
      <c r="AQ445" s="851">
        <v>5</v>
      </c>
      <c r="AR445" s="866" t="s">
        <v>2915</v>
      </c>
      <c r="AS445" s="851"/>
      <c r="AT445" s="851"/>
      <c r="AU445" s="851"/>
      <c r="AV445" s="851"/>
      <c r="AW445" s="851"/>
      <c r="AX445" s="862" t="s">
        <v>43</v>
      </c>
      <c r="AY445" s="865" t="s">
        <v>1195</v>
      </c>
      <c r="AZ445" s="851"/>
      <c r="BA445" s="851"/>
      <c r="BB445" s="851"/>
      <c r="BC445" s="523"/>
      <c r="BD445" s="523"/>
      <c r="BE445" s="862"/>
      <c r="BF445" s="851">
        <v>1</v>
      </c>
      <c r="BG445" s="851"/>
      <c r="BH445" s="851">
        <v>0</v>
      </c>
      <c r="BI445" s="851">
        <v>2</v>
      </c>
      <c r="BJ445" s="851"/>
      <c r="BK445" s="851">
        <v>1</v>
      </c>
      <c r="BL445" s="851">
        <v>0</v>
      </c>
      <c r="BM445" s="851"/>
      <c r="BN445" s="851"/>
      <c r="BO445" s="862"/>
      <c r="BP445" s="867"/>
      <c r="BQ445" s="866"/>
      <c r="BR445" s="862"/>
      <c r="BS445" s="472"/>
      <c r="BT445" s="472"/>
      <c r="BU445" s="474"/>
      <c r="BV445" s="472"/>
      <c r="BW445" s="523"/>
      <c r="BX445" s="523"/>
      <c r="BY445" s="523"/>
      <c r="BZ445" s="868" t="str">
        <f>IFERROR(WWWW[[#This Row],['#_Water sources passed]]/WWWW[[#This Row],['#_Water sources tested for fecal coliform ]],"no test")</f>
        <v>no test</v>
      </c>
      <c r="CA445" s="866" t="str">
        <f>IFERROR(WWWW[[#This Row],['#_Household passed]]/WWWW[[#This Row],['#_Household water samples tested for fecal coliform]],"no test")</f>
        <v>no test</v>
      </c>
      <c r="CB445" s="867" t="str">
        <f>IF(AND(WWWW[[#This Row],[% of water sources passed]]="no test",WWWW[[#This Row],[% Household passed]]="no test"),"No Test","Tested")</f>
        <v>No Test</v>
      </c>
      <c r="CC445" s="867">
        <f>WWWW[[#This Row],['#_Constructed/existing protected hand dug well]]-WWWW[[#This Row],['#_Non-functional protected hand dug well]]</f>
        <v>0</v>
      </c>
      <c r="CD445" s="867">
        <f>(WWWW[[#This Row],['#_Constructed/Existing tube wells/boreholes/handpumps_WASH_agency]]+WWWW[[#This Row],['#_Non-Cluster partner water tube-wells/boreholes/handpumps]])-WWWW[[#This Row],['#_Non-functional tube wells/boreholes/handpumps]]</f>
        <v>1</v>
      </c>
      <c r="CE445" s="867">
        <f>WWWW[[#This Row],['#_Constructed/Existingwater storage tank with gravity fed reticulation system]]-WWWW[[#This Row],['#_Non-functional storage tank gravity fed reticulation system]]</f>
        <v>0</v>
      </c>
      <c r="CF445" s="867">
        <f>(WWWW[[#This Row],['#_Water_Liters_supplied_by_Water boating or water trucking]]/90)/15</f>
        <v>0</v>
      </c>
      <c r="CG445" s="867">
        <f>WWWW[[#This Row],['#_Water_Liters_from_Constructed/Existing water distribution system from river or natural spring]]/90/15</f>
        <v>0</v>
      </c>
      <c r="CH445" s="473">
        <f>WWWW[[#This Row],['#_of water points in TLS/CFS /THF]]*500</f>
        <v>0</v>
      </c>
      <c r="CI44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5" s="866">
        <f>IF(WWWW[[#This Row],[Location Type 1]]="Village",WWWW[[#This Row],[Access to safe drinking water for Village]],WWWW[[#This Row],[Access to safe drinking water for Camp]])</f>
        <v>1</v>
      </c>
      <c r="CL445" s="864">
        <f>WWWW[[#This Row],[%Equitable and continuous access to sufficient quantity of safe drinking water]]*WWWW[[#This Row],[Total PoP ]]</f>
        <v>123</v>
      </c>
      <c r="CM445" s="866">
        <f>IF((WWWW[[#This Row],['#_Constructed/Existing protected/fenced ponds]]*250)/WWWW[[#This Row],[Total PoP ]]&gt;1,1,(WWWW[[#This Row],['#_Constructed/Existing protected/fenced ponds]]*250)/WWWW[[#This Row],[Total PoP ]])</f>
        <v>0</v>
      </c>
      <c r="CN445" s="864">
        <f>WWWW[[#This Row],[% Access to unimproved water points]]*WWWW[[#This Row],[Total PoP ]]</f>
        <v>0</v>
      </c>
      <c r="CO44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Q445" s="864">
        <f>WWWW[[#This Row],[HRP1]]/500</f>
        <v>0.246</v>
      </c>
      <c r="CR445" s="869">
        <f>1-WWWW[[#This Row],[% Equitable and continuous access to sufficient quantity of domestic water]]</f>
        <v>0</v>
      </c>
      <c r="CS445" s="864">
        <f>WWWW[[#This Row],[%equitable and continuous access to sufficient quantity of safe drinking and domestic water''s GAP]]*WWWW[[#This Row],[Total PoP ]]</f>
        <v>0</v>
      </c>
      <c r="CT445" s="867">
        <f>IF(WWWW[[#This Row],[Total required water points]]-WWWW[[#This Row],['#Water points coverage]]&lt;0,0,WWWW[[#This Row],[Total required water points]]-WWWW[[#This Row],['#Water points coverage]])</f>
        <v>0.754</v>
      </c>
      <c r="CU445" s="867">
        <f>ROUND(IF(WWWW[[#This Row],[Total PoP ]]&lt;500,1,WWWW[[#This Row],[Total PoP ]]/500),0)</f>
        <v>1</v>
      </c>
      <c r="CV445" s="867">
        <f>(WWWW[[#This Row],['#_Constructed latrines_by_WASHAgencies]]+WWWW[[#This Row],['#_Non Cluster partner latrines]])-WWWW[[#This Row],['#_Non-functional latrines]]</f>
        <v>11</v>
      </c>
      <c r="CW445" s="804">
        <f>WWWW[[#This Row],[HRP2]]/WWWW[[#This Row],[Total PoP ]]</f>
        <v>1</v>
      </c>
      <c r="CX44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123</v>
      </c>
      <c r="CY44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5" s="473">
        <f>IF(WWWW[[#This Row],['# of functional latrines in THF supported by WASH partners during the reporting period2]]="",0,WWWW[[#This Row],['# of functional latrines in THF supported by WASH partners during the reporting period2]]*50)</f>
        <v>0</v>
      </c>
      <c r="DB445" s="473">
        <f>WWWW[[#This Row],['# students access to functioning school latrines_HRP5]]+WWWW[[#This Row],['# People access to functioning latrines in THF_HRP5]]</f>
        <v>0</v>
      </c>
      <c r="DC445" s="867">
        <f>ROUND(IF(WWWW[[#This Row],[Location Type 1]]="camp",WWWW[[#This Row],[Total PoP ]]/20,IF(WWWW[[#This Row],[Location Type 1]]="Temporary Location",WWWW[[#This Row],[Total PoP ]]/50,(WWWW[[#This Row],[Total PoP ]]/6))),0)</f>
        <v>6</v>
      </c>
      <c r="DD445" s="867">
        <f>IF(WWWW[[#This Row],[Total required Latrines]]-(WWWW[[#This Row],['#_Constructed latrines_by_WASHAgencies]]+WWWW[[#This Row],['#_Non Cluster partner latrines]])&lt;0,0,WWWW[[#This Row],[Total required Latrines]]-(WWWW[[#This Row],['#_Constructed latrines_by_WASHAgencies]]+WWWW[[#This Row],['#_Non Cluster partner latrines]]))</f>
        <v>0</v>
      </c>
      <c r="DE445" s="869">
        <f>1-WWWW[[#This Row],[% people access to functioning Latrine]]</f>
        <v>0</v>
      </c>
      <c r="DF445" s="868">
        <f>IF(OR(WWWW[[#This Row],['#_Non-functional latrines]]="",WWWW[[#This Row],['#_Non-functional latrines]]=0),0,WWWW[[#This Row],['#_Non-functional latrines]]/(WWWW[[#This Row],['#_Constructed latrines_by_WASHAgencies]]+WWWW[[#This Row],['#_Non Cluster partner latrines]]))</f>
        <v>0</v>
      </c>
      <c r="DG445" s="864">
        <f>IF(500*(WWWW[[#This Row],['#_male hygiene promoters]]+WWWW[[#This Row],['#_female hygiene promoters]])&gt;WWWW[[#This Row],[Total PoP ]],WWWW[[#This Row],[Total PoP ]],500*(WWWW[[#This Row],['#_male hygiene promoters]]+WWWW[[#This Row],['#_female hygiene promoters]]))</f>
        <v>123</v>
      </c>
      <c r="DH44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5" s="867">
        <f>IF(WWWW[[#This Row],['# People with access to soap]]&gt;WWWW[[#This Row],['# People with access to Sanity Pads]],WWWW[[#This Row],['# People with access to soap]],WWWW[[#This Row],['# People with access to Sanity Pads]])</f>
        <v>0</v>
      </c>
      <c r="DK445" s="867">
        <f>IF(WWWW[[#This Row],['# people reached by regular dedicated hygiene promotion_5]]&gt;WWWW[[#This Row],['# People received regular supply of hygiene items_6]],WWWW[[#This Row],['# people reached by regular dedicated hygiene promotion_5]],WWWW[[#This Row],['# People received regular supply of hygiene items_6]])</f>
        <v>123</v>
      </c>
      <c r="DL445" s="869">
        <f>IF(WWWW[[#This Row],[HRP3]]/WWWW[[#This Row],[Total PoP ]]&gt;1,1,WWWW[[#This Row],[HRP3]]/WWWW[[#This Row],[Total PoP ]])</f>
        <v>1</v>
      </c>
      <c r="DM445" s="868">
        <f>1-WWWW[[#This Row],[Hygiene Coverage%]]</f>
        <v>0</v>
      </c>
      <c r="DN445" s="866">
        <f>WWWW[[#This Row],['# people reached by regular dedicated hygiene promotion_5]]/WWWW[[#This Row],[Total PoP ]]</f>
        <v>1</v>
      </c>
      <c r="DO44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5" s="867">
        <f>WWWW[[#This Row],['#_Constructed/Existing hand washing stations]]-WWWW[[#This Row],['#_Non-Functional_hand_washing_stations]]</f>
        <v>1</v>
      </c>
      <c r="DR445" s="864">
        <f>IF(WWWW[[#This Row],['# Functional hand washing stations during reporting period]]*20&gt;WWWW[[#This Row],[Total HH]],WWWW[[#This Row],[Total HH]],WWWW[[#This Row],['# Functional hand washing stations during reporting period]]*20)</f>
        <v>20</v>
      </c>
      <c r="DS445" s="864">
        <f>IF(WWWW[[#This Row],[Is sufficient soap available for TLS? (Yes/No)]]="yes",WWWW[[#This Row],['#_Constructed/Existing hand washing stations at TLS]],0)</f>
        <v>0</v>
      </c>
      <c r="DT445" s="479">
        <f>IF(WWWW[[#This Row],['# Functional hand washing stations during reporting period]]*100&gt;WWWW[[#This Row],[Total PoP ]],WWWW[[#This Row],[Total PoP ]],WWWW[[#This Row],['# Functional hand washing stations during reporting period]]*100)</f>
        <v>100</v>
      </c>
      <c r="DU445" s="479" t="str">
        <f>IF(OR(WWWW[[#This Row],['#_students at TLS_CFS]]="",WWWW[[#This Row],['#_students at TLS_CFS]]=0),"No","Yes")</f>
        <v>No</v>
      </c>
      <c r="DV44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5" s="862" t="str">
        <f>VLOOKUP(WWWW[[#This Row],[Site Name]],SiteDB6[[Site Name]:[CCCM Management]],6,FALSE)</f>
        <v>Yes</v>
      </c>
      <c r="DZ445" s="862" t="str">
        <f>VLOOKUP(WWWW[[#This Row],[Site Name]],SiteDB6[[Site Name]:[CCCM Focal Agency]],7,FALSE)</f>
        <v>Shalom</v>
      </c>
      <c r="EA445" s="862" t="str">
        <f>VLOOKUP(WWWW[[#This Row],[Site Name]],SiteDB6[[Site Name]:[Location Type 1]],9,FALSE)</f>
        <v>Camp</v>
      </c>
      <c r="EB445" s="862" t="str">
        <f>VLOOKUP(WWWW[[#This Row],[Site Name]],SiteDB6[[Site Name]:[Type of Accommodation]],10,FALSE)</f>
        <v>Camp</v>
      </c>
      <c r="EC445" s="862" t="str">
        <f>VLOOKUP(WWWW[[#This Row],[Site Name]],SiteDB6[[Site Name]:[Ethnic or GCA/NGCA]],11,FALSE)</f>
        <v>GCA</v>
      </c>
      <c r="ED445" s="862">
        <f>VLOOKUP(WWWW[[#This Row],[Site Name]],SiteDB6[[Site Name]:[Lat]],12,FALSE)</f>
        <v>25.371049444444399</v>
      </c>
      <c r="EE445" s="862">
        <f>VLOOKUP(WWWW[[#This Row],[Site Name]],SiteDB6[[Site Name]:[Long]],13,FALSE)</f>
        <v>97.290952037037002</v>
      </c>
      <c r="EF445" s="862" t="str">
        <f>VLOOKUP(WWWW[[#This Row],[Site Name]],SiteDB6[[Site Name]:[Pcode]],3,FALSE)</f>
        <v>MMR001CMP021</v>
      </c>
      <c r="EG445" s="865" t="str">
        <f t="shared" si="13"/>
        <v>Covered</v>
      </c>
      <c r="EH445" s="865" t="str">
        <f>VLOOKUP(WWWW[[#This Row],[Site Name]],Site_DB!$C$389:$D$1120,2,FALSE)</f>
        <v>cccm_2019OCT</v>
      </c>
    </row>
    <row r="446" spans="1:138">
      <c r="A446" s="860" t="s">
        <v>3263</v>
      </c>
      <c r="B446" s="860" t="s">
        <v>38</v>
      </c>
      <c r="C446" s="861" t="s">
        <v>38</v>
      </c>
      <c r="D446" s="861" t="s">
        <v>3372</v>
      </c>
      <c r="E446" s="861" t="s">
        <v>39</v>
      </c>
      <c r="F446" s="861" t="s">
        <v>162</v>
      </c>
      <c r="G446" s="721" t="str">
        <f>VLOOKUP(WWWW[[#This Row],[Site Name]],SiteDB6[[Site Name]:[Location Type]],8,FALSE)</f>
        <v>Camp</v>
      </c>
      <c r="H446" s="861" t="s">
        <v>237</v>
      </c>
      <c r="I446" s="851">
        <v>63</v>
      </c>
      <c r="J446" s="851">
        <v>309</v>
      </c>
      <c r="K446" s="863" t="s">
        <v>3619</v>
      </c>
      <c r="L446" s="859" t="s">
        <v>3620</v>
      </c>
      <c r="M446" s="851"/>
      <c r="N446" s="851"/>
      <c r="O446" s="851"/>
      <c r="P446" s="851"/>
      <c r="Q446" s="864" t="s">
        <v>43</v>
      </c>
      <c r="R446" s="851"/>
      <c r="S446" s="851"/>
      <c r="T446" s="523"/>
      <c r="U446" s="851"/>
      <c r="V446" s="851"/>
      <c r="W446" s="851">
        <v>4</v>
      </c>
      <c r="X446" s="851"/>
      <c r="Y446" s="851"/>
      <c r="Z446" s="851"/>
      <c r="AA446" s="851"/>
      <c r="AB446" s="851"/>
      <c r="AC446" s="851"/>
      <c r="AD446" s="851"/>
      <c r="AE446" s="851"/>
      <c r="AF446" s="851"/>
      <c r="AG446" s="851"/>
      <c r="AH446" s="851"/>
      <c r="AI446" s="851"/>
      <c r="AJ446" s="851"/>
      <c r="AK446" s="851"/>
      <c r="AL446" s="851"/>
      <c r="AM446" s="851"/>
      <c r="AN446" s="851"/>
      <c r="AO446" s="865"/>
      <c r="AP446" s="851">
        <v>20</v>
      </c>
      <c r="AQ446" s="851"/>
      <c r="AR446" s="866"/>
      <c r="AS446" s="851"/>
      <c r="AT446" s="851"/>
      <c r="AU446" s="851"/>
      <c r="AV446" s="851"/>
      <c r="AW446" s="851"/>
      <c r="AX446" s="862" t="s">
        <v>43</v>
      </c>
      <c r="AY446" s="865" t="s">
        <v>140</v>
      </c>
      <c r="AZ446" s="851">
        <v>1</v>
      </c>
      <c r="BA446" s="851"/>
      <c r="BB446" s="851"/>
      <c r="BC446" s="523"/>
      <c r="BD446" s="523"/>
      <c r="BE446" s="862"/>
      <c r="BF446" s="851"/>
      <c r="BG446" s="851"/>
      <c r="BH446" s="851"/>
      <c r="BI446" s="851">
        <v>2</v>
      </c>
      <c r="BJ446" s="851"/>
      <c r="BK446" s="851">
        <v>1</v>
      </c>
      <c r="BL446" s="851">
        <v>1</v>
      </c>
      <c r="BM446" s="851"/>
      <c r="BN446" s="851"/>
      <c r="BO446" s="474" t="s">
        <v>43</v>
      </c>
      <c r="BP446" s="867"/>
      <c r="BQ446" s="866"/>
      <c r="BR446" s="862"/>
      <c r="BS446" s="472"/>
      <c r="BT446" s="472"/>
      <c r="BU446" s="474"/>
      <c r="BV446" s="472"/>
      <c r="BW446" s="523"/>
      <c r="BX446" s="523"/>
      <c r="BY446" s="523"/>
      <c r="BZ446" s="868" t="str">
        <f>IFERROR(WWWW[[#This Row],['#_Water sources passed]]/WWWW[[#This Row],['#_Water sources tested for fecal coliform ]],"no test")</f>
        <v>no test</v>
      </c>
      <c r="CA446" s="866" t="str">
        <f>IFERROR(WWWW[[#This Row],['#_Household passed]]/WWWW[[#This Row],['#_Household water samples tested for fecal coliform]],"no test")</f>
        <v>no test</v>
      </c>
      <c r="CB446" s="867" t="str">
        <f>IF(AND(WWWW[[#This Row],[% of water sources passed]]="no test",WWWW[[#This Row],[% Household passed]]="no test"),"No Test","Tested")</f>
        <v>No Test</v>
      </c>
      <c r="CC446" s="867">
        <f>WWWW[[#This Row],['#_Constructed/existing protected hand dug well]]-WWWW[[#This Row],['#_Non-functional protected hand dug well]]</f>
        <v>0</v>
      </c>
      <c r="CD446" s="867">
        <f>(WWWW[[#This Row],['#_Constructed/Existing tube wells/boreholes/handpumps_WASH_agency]]+WWWW[[#This Row],['#_Non-Cluster partner water tube-wells/boreholes/handpumps]])-WWWW[[#This Row],['#_Non-functional tube wells/boreholes/handpumps]]</f>
        <v>4</v>
      </c>
      <c r="CE446" s="867">
        <f>WWWW[[#This Row],['#_Constructed/Existingwater storage tank with gravity fed reticulation system]]-WWWW[[#This Row],['#_Non-functional storage tank gravity fed reticulation system]]</f>
        <v>0</v>
      </c>
      <c r="CF446" s="867">
        <f>(WWWW[[#This Row],['#_Water_Liters_supplied_by_Water boating or water trucking]]/90)/15</f>
        <v>0</v>
      </c>
      <c r="CG446" s="867">
        <f>WWWW[[#This Row],['#_Water_Liters_from_Constructed/Existing water distribution system from river or natural spring]]/90/15</f>
        <v>0</v>
      </c>
      <c r="CH446" s="473">
        <f>WWWW[[#This Row],['#_of water points in TLS/CFS /THF]]*500</f>
        <v>0</v>
      </c>
      <c r="CI44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6" s="866">
        <f>IF(WWWW[[#This Row],[Location Type 1]]="Village",WWWW[[#This Row],[Access to safe drinking water for Village]],WWWW[[#This Row],[Access to safe drinking water for Camp]])</f>
        <v>1</v>
      </c>
      <c r="CL446" s="864">
        <f>WWWW[[#This Row],[%Equitable and continuous access to sufficient quantity of safe drinking water]]*WWWW[[#This Row],[Total PoP ]]</f>
        <v>309</v>
      </c>
      <c r="CM446" s="866">
        <f>IF((WWWW[[#This Row],['#_Constructed/Existing protected/fenced ponds]]*250)/WWWW[[#This Row],[Total PoP ]]&gt;1,1,(WWWW[[#This Row],['#_Constructed/Existing protected/fenced ponds]]*250)/WWWW[[#This Row],[Total PoP ]])</f>
        <v>0</v>
      </c>
      <c r="CN446" s="864">
        <f>WWWW[[#This Row],[% Access to unimproved water points]]*WWWW[[#This Row],[Total PoP ]]</f>
        <v>0</v>
      </c>
      <c r="CO44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Q446" s="864">
        <f>WWWW[[#This Row],[HRP1]]/500</f>
        <v>0.61799999999999999</v>
      </c>
      <c r="CR446" s="869">
        <f>1-WWWW[[#This Row],[% Equitable and continuous access to sufficient quantity of domestic water]]</f>
        <v>0</v>
      </c>
      <c r="CS446" s="864">
        <f>WWWW[[#This Row],[%equitable and continuous access to sufficient quantity of safe drinking and domestic water''s GAP]]*WWWW[[#This Row],[Total PoP ]]</f>
        <v>0</v>
      </c>
      <c r="CT446" s="867">
        <f>IF(WWWW[[#This Row],[Total required water points]]-WWWW[[#This Row],['#Water points coverage]]&lt;0,0,WWWW[[#This Row],[Total required water points]]-WWWW[[#This Row],['#Water points coverage]])</f>
        <v>0.38200000000000001</v>
      </c>
      <c r="CU446" s="867">
        <f>ROUND(IF(WWWW[[#This Row],[Total PoP ]]&lt;500,1,WWWW[[#This Row],[Total PoP ]]/500),0)</f>
        <v>1</v>
      </c>
      <c r="CV446" s="867">
        <f>(WWWW[[#This Row],['#_Constructed latrines_by_WASHAgencies]]+WWWW[[#This Row],['#_Non Cluster partner latrines]])-WWWW[[#This Row],['#_Non-functional latrines]]</f>
        <v>20</v>
      </c>
      <c r="CW446" s="804">
        <f>WWWW[[#This Row],[HRP2]]/WWWW[[#This Row],[Total PoP ]]</f>
        <v>1</v>
      </c>
      <c r="CX44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CY44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6" s="473">
        <f>IF(WWWW[[#This Row],['# of functional latrines in THF supported by WASH partners during the reporting period2]]="",0,WWWW[[#This Row],['# of functional latrines in THF supported by WASH partners during the reporting period2]]*50)</f>
        <v>0</v>
      </c>
      <c r="DB446" s="473">
        <f>WWWW[[#This Row],['# students access to functioning school latrines_HRP5]]+WWWW[[#This Row],['# People access to functioning latrines in THF_HRP5]]</f>
        <v>0</v>
      </c>
      <c r="DC446" s="867">
        <f>ROUND(IF(WWWW[[#This Row],[Location Type 1]]="camp",WWWW[[#This Row],[Total PoP ]]/20,IF(WWWW[[#This Row],[Location Type 1]]="Temporary Location",WWWW[[#This Row],[Total PoP ]]/50,(WWWW[[#This Row],[Total PoP ]]/6))),0)</f>
        <v>15</v>
      </c>
      <c r="DD446" s="867">
        <f>IF(WWWW[[#This Row],[Total required Latrines]]-(WWWW[[#This Row],['#_Constructed latrines_by_WASHAgencies]]+WWWW[[#This Row],['#_Non Cluster partner latrines]])&lt;0,0,WWWW[[#This Row],[Total required Latrines]]-(WWWW[[#This Row],['#_Constructed latrines_by_WASHAgencies]]+WWWW[[#This Row],['#_Non Cluster partner latrines]]))</f>
        <v>0</v>
      </c>
      <c r="DE446" s="869">
        <f>1-WWWW[[#This Row],[% people access to functioning Latrine]]</f>
        <v>0</v>
      </c>
      <c r="DF446" s="868">
        <f>IF(OR(WWWW[[#This Row],['#_Non-functional latrines]]="",WWWW[[#This Row],['#_Non-functional latrines]]=0),0,WWWW[[#This Row],['#_Non-functional latrines]]/(WWWW[[#This Row],['#_Constructed latrines_by_WASHAgencies]]+WWWW[[#This Row],['#_Non Cluster partner latrines]]))</f>
        <v>0</v>
      </c>
      <c r="DG446" s="864">
        <f>IF(500*(WWWW[[#This Row],['#_male hygiene promoters]]+WWWW[[#This Row],['#_female hygiene promoters]])&gt;WWWW[[#This Row],[Total PoP ]],WWWW[[#This Row],[Total PoP ]],500*(WWWW[[#This Row],['#_male hygiene promoters]]+WWWW[[#This Row],['#_female hygiene promoters]]))</f>
        <v>309</v>
      </c>
      <c r="DH44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6" s="867">
        <f>IF(WWWW[[#This Row],['# People with access to soap]]&gt;WWWW[[#This Row],['# People with access to Sanity Pads]],WWWW[[#This Row],['# People with access to soap]],WWWW[[#This Row],['# People with access to Sanity Pads]])</f>
        <v>0</v>
      </c>
      <c r="DK446" s="867">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L446" s="869">
        <f>IF(WWWW[[#This Row],[HRP3]]/WWWW[[#This Row],[Total PoP ]]&gt;1,1,WWWW[[#This Row],[HRP3]]/WWWW[[#This Row],[Total PoP ]])</f>
        <v>1</v>
      </c>
      <c r="DM446" s="868">
        <f>1-WWWW[[#This Row],[Hygiene Coverage%]]</f>
        <v>0</v>
      </c>
      <c r="DN446" s="866">
        <f>WWWW[[#This Row],['# people reached by regular dedicated hygiene promotion_5]]/WWWW[[#This Row],[Total PoP ]]</f>
        <v>1</v>
      </c>
      <c r="DO44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6" s="867">
        <f>WWWW[[#This Row],['#_Constructed/Existing hand washing stations]]-WWWW[[#This Row],['#_Non-Functional_hand_washing_stations]]</f>
        <v>0</v>
      </c>
      <c r="DR446" s="864">
        <f>IF(WWWW[[#This Row],['# Functional hand washing stations during reporting period]]*20&gt;WWWW[[#This Row],[Total HH]],WWWW[[#This Row],[Total HH]],WWWW[[#This Row],['# Functional hand washing stations during reporting period]]*20)</f>
        <v>0</v>
      </c>
      <c r="DS446" s="864">
        <f>IF(WWWW[[#This Row],[Is sufficient soap available for TLS? (Yes/No)]]="yes",WWWW[[#This Row],['#_Constructed/Existing hand washing stations at TLS]],0)</f>
        <v>0</v>
      </c>
      <c r="DT446" s="479">
        <f>IF(WWWW[[#This Row],['# Functional hand washing stations during reporting period]]*100&gt;WWWW[[#This Row],[Total PoP ]],WWWW[[#This Row],[Total PoP ]],WWWW[[#This Row],['# Functional hand washing stations during reporting period]]*100)</f>
        <v>0</v>
      </c>
      <c r="DU446" s="479" t="str">
        <f>IF(OR(WWWW[[#This Row],['#_students at TLS_CFS]]="",WWWW[[#This Row],['#_students at TLS_CFS]]=0),"No","Yes")</f>
        <v>No</v>
      </c>
      <c r="DV44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6" s="862" t="str">
        <f>VLOOKUP(WWWW[[#This Row],[Site Name]],SiteDB6[[Site Name]:[CCCM Management]],6,FALSE)</f>
        <v>Yes</v>
      </c>
      <c r="DZ446" s="862" t="str">
        <f>VLOOKUP(WWWW[[#This Row],[Site Name]],SiteDB6[[Site Name]:[CCCM Focal Agency]],7,FALSE)</f>
        <v>KMSS-MYT</v>
      </c>
      <c r="EA446" s="862" t="str">
        <f>VLOOKUP(WWWW[[#This Row],[Site Name]],SiteDB6[[Site Name]:[Location Type 1]],9,FALSE)</f>
        <v>Camp</v>
      </c>
      <c r="EB446" s="862" t="str">
        <f>VLOOKUP(WWWW[[#This Row],[Site Name]],SiteDB6[[Site Name]:[Type of Accommodation]],10,FALSE)</f>
        <v>Camp</v>
      </c>
      <c r="EC446" s="862" t="str">
        <f>VLOOKUP(WWWW[[#This Row],[Site Name]],SiteDB6[[Site Name]:[Ethnic or GCA/NGCA]],11,FALSE)</f>
        <v>GCA</v>
      </c>
      <c r="ED446" s="862">
        <f>VLOOKUP(WWWW[[#This Row],[Site Name]],SiteDB6[[Site Name]:[Lat]],12,FALSE)</f>
        <v>25.410569299999999</v>
      </c>
      <c r="EE446" s="862">
        <f>VLOOKUP(WWWW[[#This Row],[Site Name]],SiteDB6[[Site Name]:[Long]],13,FALSE)</f>
        <v>97.359320179999997</v>
      </c>
      <c r="EF446" s="862" t="str">
        <f>VLOOKUP(WWWW[[#This Row],[Site Name]],SiteDB6[[Site Name]:[Pcode]],3,FALSE)</f>
        <v>MMR001CMP024</v>
      </c>
      <c r="EG446" s="865" t="str">
        <f t="shared" si="13"/>
        <v>Covered</v>
      </c>
      <c r="EH446" s="865" t="str">
        <f>VLOOKUP(WWWW[[#This Row],[Site Name]],Site_DB!$C$389:$D$1120,2,FALSE)</f>
        <v>cccm_2019OCT</v>
      </c>
    </row>
    <row r="447" spans="1:138">
      <c r="A447" s="860" t="s">
        <v>3263</v>
      </c>
      <c r="B447" s="860" t="s">
        <v>144</v>
      </c>
      <c r="C447" s="861" t="s">
        <v>144</v>
      </c>
      <c r="D447" s="861" t="s">
        <v>3277</v>
      </c>
      <c r="E447" s="861" t="s">
        <v>39</v>
      </c>
      <c r="F447" s="861" t="s">
        <v>162</v>
      </c>
      <c r="G447" s="721" t="str">
        <f>VLOOKUP(WWWW[[#This Row],[Site Name]],SiteDB6[[Site Name]:[Location Type]],8,FALSE)</f>
        <v>Camp</v>
      </c>
      <c r="H447" s="861" t="s">
        <v>170</v>
      </c>
      <c r="I447" s="851">
        <v>67</v>
      </c>
      <c r="J447" s="851">
        <v>281</v>
      </c>
      <c r="K447" s="863" t="s">
        <v>3278</v>
      </c>
      <c r="L447" s="859" t="s">
        <v>3279</v>
      </c>
      <c r="M447" s="851"/>
      <c r="N447" s="851"/>
      <c r="O447" s="851"/>
      <c r="P447" s="851"/>
      <c r="Q447" s="864" t="s">
        <v>43</v>
      </c>
      <c r="R447" s="851"/>
      <c r="S447" s="851">
        <v>4</v>
      </c>
      <c r="T447" s="523">
        <v>1</v>
      </c>
      <c r="U447" s="851"/>
      <c r="V447" s="851"/>
      <c r="W447" s="851">
        <v>2</v>
      </c>
      <c r="X447" s="851"/>
      <c r="Y447" s="851"/>
      <c r="Z447" s="851"/>
      <c r="AA447" s="851"/>
      <c r="AB447" s="851"/>
      <c r="AC447" s="851"/>
      <c r="AD447" s="851"/>
      <c r="AE447" s="851"/>
      <c r="AF447" s="851"/>
      <c r="AG447" s="851"/>
      <c r="AH447" s="851">
        <v>3</v>
      </c>
      <c r="AI447" s="851"/>
      <c r="AJ447" s="851"/>
      <c r="AK447" s="851"/>
      <c r="AL447" s="851"/>
      <c r="AM447" s="851"/>
      <c r="AN447" s="851"/>
      <c r="AO447" s="865"/>
      <c r="AP447" s="851">
        <v>15</v>
      </c>
      <c r="AQ447" s="851"/>
      <c r="AR447" s="866"/>
      <c r="AS447" s="851"/>
      <c r="AT447" s="851"/>
      <c r="AU447" s="851"/>
      <c r="AV447" s="851"/>
      <c r="AW447" s="851">
        <v>15</v>
      </c>
      <c r="AX447" s="862" t="s">
        <v>43</v>
      </c>
      <c r="AY447" s="865" t="s">
        <v>140</v>
      </c>
      <c r="AZ447" s="851"/>
      <c r="BA447" s="851"/>
      <c r="BB447" s="851"/>
      <c r="BC447" s="523"/>
      <c r="BD447" s="523"/>
      <c r="BE447" s="862"/>
      <c r="BF447" s="851">
        <v>6</v>
      </c>
      <c r="BG447" s="851"/>
      <c r="BH447" s="851"/>
      <c r="BI447" s="851">
        <v>2</v>
      </c>
      <c r="BJ447" s="851"/>
      <c r="BK447" s="851"/>
      <c r="BL447" s="851">
        <v>1</v>
      </c>
      <c r="BM447" s="851"/>
      <c r="BN447" s="851"/>
      <c r="BO447" s="862"/>
      <c r="BP447" s="867"/>
      <c r="BQ447" s="866"/>
      <c r="BR447" s="862"/>
      <c r="BS447" s="472"/>
      <c r="BT447" s="472"/>
      <c r="BU447" s="474"/>
      <c r="BV447" s="472"/>
      <c r="BW447" s="523"/>
      <c r="BX447" s="523"/>
      <c r="BY447" s="523"/>
      <c r="BZ447" s="868" t="str">
        <f>IFERROR(WWWW[[#This Row],['#_Water sources passed]]/WWWW[[#This Row],['#_Water sources tested for fecal coliform ]],"no test")</f>
        <v>no test</v>
      </c>
      <c r="CA447" s="866" t="str">
        <f>IFERROR(WWWW[[#This Row],['#_Household passed]]/WWWW[[#This Row],['#_Household water samples tested for fecal coliform]],"no test")</f>
        <v>no test</v>
      </c>
      <c r="CB447" s="867" t="str">
        <f>IF(AND(WWWW[[#This Row],[% of water sources passed]]="no test",WWWW[[#This Row],[% Household passed]]="no test"),"No Test","Tested")</f>
        <v>No Test</v>
      </c>
      <c r="CC447" s="867">
        <f>WWWW[[#This Row],['#_Constructed/existing protected hand dug well]]-WWWW[[#This Row],['#_Non-functional protected hand dug well]]</f>
        <v>1</v>
      </c>
      <c r="CD447" s="867">
        <f>(WWWW[[#This Row],['#_Constructed/Existing tube wells/boreholes/handpumps_WASH_agency]]+WWWW[[#This Row],['#_Non-Cluster partner water tube-wells/boreholes/handpumps]])-WWWW[[#This Row],['#_Non-functional tube wells/boreholes/handpumps]]</f>
        <v>2</v>
      </c>
      <c r="CE447" s="867">
        <f>WWWW[[#This Row],['#_Constructed/Existingwater storage tank with gravity fed reticulation system]]-WWWW[[#This Row],['#_Non-functional storage tank gravity fed reticulation system]]</f>
        <v>0</v>
      </c>
      <c r="CF447" s="867">
        <f>(WWWW[[#This Row],['#_Water_Liters_supplied_by_Water boating or water trucking]]/90)/15</f>
        <v>0</v>
      </c>
      <c r="CG447" s="867">
        <f>WWWW[[#This Row],['#_Water_Liters_from_Constructed/Existing water distribution system from river or natural spring]]/90/15</f>
        <v>0</v>
      </c>
      <c r="CH447" s="473">
        <f>WWWW[[#This Row],['#_of water points in TLS/CFS /THF]]*500</f>
        <v>0</v>
      </c>
      <c r="CI44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7" s="866">
        <f>IF(WWWW[[#This Row],[Location Type 1]]="Village",WWWW[[#This Row],[Access to safe drinking water for Village]],WWWW[[#This Row],[Access to safe drinking water for Camp]])</f>
        <v>1</v>
      </c>
      <c r="CL447" s="864">
        <f>WWWW[[#This Row],[%Equitable and continuous access to sufficient quantity of safe drinking water]]*WWWW[[#This Row],[Total PoP ]]</f>
        <v>281</v>
      </c>
      <c r="CM447" s="866">
        <f>IF((WWWW[[#This Row],['#_Constructed/Existing protected/fenced ponds]]*250)/WWWW[[#This Row],[Total PoP ]]&gt;1,1,(WWWW[[#This Row],['#_Constructed/Existing protected/fenced ponds]]*250)/WWWW[[#This Row],[Total PoP ]])</f>
        <v>0</v>
      </c>
      <c r="CN447" s="864">
        <f>WWWW[[#This Row],[% Access to unimproved water points]]*WWWW[[#This Row],[Total PoP ]]</f>
        <v>0</v>
      </c>
      <c r="CO44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Q447" s="864">
        <f>WWWW[[#This Row],[HRP1]]/500</f>
        <v>0.56200000000000006</v>
      </c>
      <c r="CR447" s="869">
        <f>1-WWWW[[#This Row],[% Equitable and continuous access to sufficient quantity of domestic water]]</f>
        <v>0</v>
      </c>
      <c r="CS447" s="864">
        <f>WWWW[[#This Row],[%equitable and continuous access to sufficient quantity of safe drinking and domestic water''s GAP]]*WWWW[[#This Row],[Total PoP ]]</f>
        <v>0</v>
      </c>
      <c r="CT447" s="867">
        <f>IF(WWWW[[#This Row],[Total required water points]]-WWWW[[#This Row],['#Water points coverage]]&lt;0,0,WWWW[[#This Row],[Total required water points]]-WWWW[[#This Row],['#Water points coverage]])</f>
        <v>0.43799999999999994</v>
      </c>
      <c r="CU447" s="867">
        <f>ROUND(IF(WWWW[[#This Row],[Total PoP ]]&lt;500,1,WWWW[[#This Row],[Total PoP ]]/500),0)</f>
        <v>1</v>
      </c>
      <c r="CV447" s="867">
        <f>(WWWW[[#This Row],['#_Constructed latrines_by_WASHAgencies]]+WWWW[[#This Row],['#_Non Cluster partner latrines]])-WWWW[[#This Row],['#_Non-functional latrines]]</f>
        <v>15</v>
      </c>
      <c r="CW447" s="804">
        <f>WWWW[[#This Row],[HRP2]]/WWWW[[#This Row],[Total PoP ]]</f>
        <v>1</v>
      </c>
      <c r="CX44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281</v>
      </c>
      <c r="CY44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7" s="473">
        <f>IF(WWWW[[#This Row],['# of functional latrines in THF supported by WASH partners during the reporting period2]]="",0,WWWW[[#This Row],['# of functional latrines in THF supported by WASH partners during the reporting period2]]*50)</f>
        <v>0</v>
      </c>
      <c r="DB447" s="473">
        <f>WWWW[[#This Row],['# students access to functioning school latrines_HRP5]]+WWWW[[#This Row],['# People access to functioning latrines in THF_HRP5]]</f>
        <v>0</v>
      </c>
      <c r="DC447" s="867">
        <f>ROUND(IF(WWWW[[#This Row],[Location Type 1]]="camp",WWWW[[#This Row],[Total PoP ]]/20,IF(WWWW[[#This Row],[Location Type 1]]="Temporary Location",WWWW[[#This Row],[Total PoP ]]/50,(WWWW[[#This Row],[Total PoP ]]/6))),0)</f>
        <v>14</v>
      </c>
      <c r="DD447" s="867">
        <f>IF(WWWW[[#This Row],[Total required Latrines]]-(WWWW[[#This Row],['#_Constructed latrines_by_WASHAgencies]]+WWWW[[#This Row],['#_Non Cluster partner latrines]])&lt;0,0,WWWW[[#This Row],[Total required Latrines]]-(WWWW[[#This Row],['#_Constructed latrines_by_WASHAgencies]]+WWWW[[#This Row],['#_Non Cluster partner latrines]]))</f>
        <v>0</v>
      </c>
      <c r="DE447" s="869">
        <f>1-WWWW[[#This Row],[% people access to functioning Latrine]]</f>
        <v>0</v>
      </c>
      <c r="DF447" s="868">
        <f>IF(OR(WWWW[[#This Row],['#_Non-functional latrines]]="",WWWW[[#This Row],['#_Non-functional latrines]]=0),0,WWWW[[#This Row],['#_Non-functional latrines]]/(WWWW[[#This Row],['#_Constructed latrines_by_WASHAgencies]]+WWWW[[#This Row],['#_Non Cluster partner latrines]]))</f>
        <v>0</v>
      </c>
      <c r="DG447" s="864">
        <f>IF(500*(WWWW[[#This Row],['#_male hygiene promoters]]+WWWW[[#This Row],['#_female hygiene promoters]])&gt;WWWW[[#This Row],[Total PoP ]],WWWW[[#This Row],[Total PoP ]],500*(WWWW[[#This Row],['#_male hygiene promoters]]+WWWW[[#This Row],['#_female hygiene promoters]]))</f>
        <v>281</v>
      </c>
      <c r="DH44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7" s="867">
        <f>IF(WWWW[[#This Row],['# People with access to soap]]&gt;WWWW[[#This Row],['# People with access to Sanity Pads]],WWWW[[#This Row],['# People with access to soap]],WWWW[[#This Row],['# People with access to Sanity Pads]])</f>
        <v>0</v>
      </c>
      <c r="DK447" s="867">
        <f>IF(WWWW[[#This Row],['# people reached by regular dedicated hygiene promotion_5]]&gt;WWWW[[#This Row],['# People received regular supply of hygiene items_6]],WWWW[[#This Row],['# people reached by regular dedicated hygiene promotion_5]],WWWW[[#This Row],['# People received regular supply of hygiene items_6]])</f>
        <v>281</v>
      </c>
      <c r="DL447" s="869">
        <f>IF(WWWW[[#This Row],[HRP3]]/WWWW[[#This Row],[Total PoP ]]&gt;1,1,WWWW[[#This Row],[HRP3]]/WWWW[[#This Row],[Total PoP ]])</f>
        <v>1</v>
      </c>
      <c r="DM447" s="868">
        <f>1-WWWW[[#This Row],[Hygiene Coverage%]]</f>
        <v>0</v>
      </c>
      <c r="DN447" s="866">
        <f>WWWW[[#This Row],['# people reached by regular dedicated hygiene promotion_5]]/WWWW[[#This Row],[Total PoP ]]</f>
        <v>1</v>
      </c>
      <c r="DO44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7" s="867">
        <f>WWWW[[#This Row],['#_Constructed/Existing hand washing stations]]-WWWW[[#This Row],['#_Non-Functional_hand_washing_stations]]</f>
        <v>6</v>
      </c>
      <c r="DR447" s="864">
        <f>IF(WWWW[[#This Row],['# Functional hand washing stations during reporting period]]*20&gt;WWWW[[#This Row],[Total HH]],WWWW[[#This Row],[Total HH]],WWWW[[#This Row],['# Functional hand washing stations during reporting period]]*20)</f>
        <v>67</v>
      </c>
      <c r="DS447" s="864">
        <f>IF(WWWW[[#This Row],[Is sufficient soap available for TLS? (Yes/No)]]="yes",WWWW[[#This Row],['#_Constructed/Existing hand washing stations at TLS]],0)</f>
        <v>0</v>
      </c>
      <c r="DT447" s="479">
        <f>IF(WWWW[[#This Row],['# Functional hand washing stations during reporting period]]*100&gt;WWWW[[#This Row],[Total PoP ]],WWWW[[#This Row],[Total PoP ]],WWWW[[#This Row],['# Functional hand washing stations during reporting period]]*100)</f>
        <v>281</v>
      </c>
      <c r="DU447" s="479" t="str">
        <f>IF(OR(WWWW[[#This Row],['#_students at TLS_CFS]]="",WWWW[[#This Row],['#_students at TLS_CFS]]=0),"No","Yes")</f>
        <v>No</v>
      </c>
      <c r="DV44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7" s="862" t="str">
        <f>VLOOKUP(WWWW[[#This Row],[Site Name]],SiteDB6[[Site Name]:[CCCM Management]],6,FALSE)</f>
        <v>Yes</v>
      </c>
      <c r="DZ447" s="862" t="str">
        <f>VLOOKUP(WWWW[[#This Row],[Site Name]],SiteDB6[[Site Name]:[CCCM Focal Agency]],7,FALSE)</f>
        <v>KBC-MYT</v>
      </c>
      <c r="EA447" s="862" t="str">
        <f>VLOOKUP(WWWW[[#This Row],[Site Name]],SiteDB6[[Site Name]:[Location Type 1]],9,FALSE)</f>
        <v>Camp</v>
      </c>
      <c r="EB447" s="862" t="str">
        <f>VLOOKUP(WWWW[[#This Row],[Site Name]],SiteDB6[[Site Name]:[Type of Accommodation]],10,FALSE)</f>
        <v>Camp</v>
      </c>
      <c r="EC447" s="862" t="str">
        <f>VLOOKUP(WWWW[[#This Row],[Site Name]],SiteDB6[[Site Name]:[Ethnic or GCA/NGCA]],11,FALSE)</f>
        <v>GCA</v>
      </c>
      <c r="ED447" s="862">
        <f>VLOOKUP(WWWW[[#This Row],[Site Name]],SiteDB6[[Site Name]:[Lat]],12,FALSE)</f>
        <v>25.422194000000001</v>
      </c>
      <c r="EE447" s="862">
        <f>VLOOKUP(WWWW[[#This Row],[Site Name]],SiteDB6[[Site Name]:[Long]],13,FALSE)</f>
        <v>97.394547000000003</v>
      </c>
      <c r="EF447" s="862" t="str">
        <f>VLOOKUP(WWWW[[#This Row],[Site Name]],SiteDB6[[Site Name]:[Pcode]],3,FALSE)</f>
        <v>MMR001CMP002</v>
      </c>
      <c r="EG447" s="865" t="str">
        <f t="shared" si="13"/>
        <v>Covered</v>
      </c>
      <c r="EH447" s="865" t="str">
        <f>VLOOKUP(WWWW[[#This Row],[Site Name]],Site_DB!$C$389:$D$1120,2,FALSE)</f>
        <v>cccm_2019OCT</v>
      </c>
    </row>
    <row r="448" spans="1:138">
      <c r="A448" s="860" t="s">
        <v>3263</v>
      </c>
      <c r="B448" s="860" t="s">
        <v>38</v>
      </c>
      <c r="C448" s="861" t="s">
        <v>38</v>
      </c>
      <c r="D448" s="861" t="s">
        <v>3372</v>
      </c>
      <c r="E448" s="861" t="s">
        <v>39</v>
      </c>
      <c r="F448" s="861" t="s">
        <v>162</v>
      </c>
      <c r="G448" s="721" t="str">
        <f>VLOOKUP(WWWW[[#This Row],[Site Name]],SiteDB6[[Site Name]:[Location Type]],8,FALSE)</f>
        <v>Camp</v>
      </c>
      <c r="H448" s="861" t="s">
        <v>238</v>
      </c>
      <c r="I448" s="851">
        <v>147</v>
      </c>
      <c r="J448" s="851">
        <v>882</v>
      </c>
      <c r="K448" s="863" t="s">
        <v>3619</v>
      </c>
      <c r="L448" s="859" t="s">
        <v>3620</v>
      </c>
      <c r="M448" s="851"/>
      <c r="N448" s="851">
        <v>2</v>
      </c>
      <c r="O448" s="851"/>
      <c r="P448" s="851"/>
      <c r="Q448" s="864" t="s">
        <v>43</v>
      </c>
      <c r="R448" s="851">
        <v>3</v>
      </c>
      <c r="S448" s="851">
        <v>4</v>
      </c>
      <c r="T448" s="523">
        <v>5</v>
      </c>
      <c r="U448" s="851">
        <v>1</v>
      </c>
      <c r="V448" s="851"/>
      <c r="W448" s="851">
        <v>2</v>
      </c>
      <c r="X448" s="851"/>
      <c r="Y448" s="851"/>
      <c r="Z448" s="851"/>
      <c r="AA448" s="851">
        <v>5</v>
      </c>
      <c r="AB448" s="851"/>
      <c r="AC448" s="851">
        <v>1</v>
      </c>
      <c r="AD448" s="851"/>
      <c r="AE448" s="851"/>
      <c r="AF448" s="851"/>
      <c r="AG448" s="851"/>
      <c r="AH448" s="851"/>
      <c r="AI448" s="851">
        <v>4</v>
      </c>
      <c r="AJ448" s="851">
        <v>2</v>
      </c>
      <c r="AK448" s="851">
        <v>4</v>
      </c>
      <c r="AL448" s="851">
        <v>1</v>
      </c>
      <c r="AM448" s="851"/>
      <c r="AN448" s="851"/>
      <c r="AO448" s="865"/>
      <c r="AP448" s="851">
        <v>74</v>
      </c>
      <c r="AQ448" s="851"/>
      <c r="AR448" s="866"/>
      <c r="AS448" s="851"/>
      <c r="AT448" s="851">
        <v>3</v>
      </c>
      <c r="AU448" s="851">
        <v>18</v>
      </c>
      <c r="AV448" s="851"/>
      <c r="AW448" s="851">
        <v>8</v>
      </c>
      <c r="AX448" s="862" t="s">
        <v>43</v>
      </c>
      <c r="AY448" s="865" t="s">
        <v>140</v>
      </c>
      <c r="AZ448" s="851">
        <v>1</v>
      </c>
      <c r="BA448" s="851"/>
      <c r="BB448" s="851"/>
      <c r="BC448" s="523"/>
      <c r="BD448" s="523"/>
      <c r="BE448" s="862"/>
      <c r="BF448" s="851"/>
      <c r="BG448" s="851">
        <v>3</v>
      </c>
      <c r="BH448" s="851"/>
      <c r="BI448" s="851">
        <v>13</v>
      </c>
      <c r="BJ448" s="851">
        <v>2</v>
      </c>
      <c r="BK448" s="851"/>
      <c r="BL448" s="851">
        <v>4</v>
      </c>
      <c r="BM448" s="851"/>
      <c r="BN448" s="851"/>
      <c r="BO448" s="474" t="s">
        <v>43</v>
      </c>
      <c r="BP448" s="867">
        <v>3</v>
      </c>
      <c r="BQ448" s="866"/>
      <c r="BR448" s="862"/>
      <c r="BS448" s="472">
        <v>0.3</v>
      </c>
      <c r="BT448" s="472">
        <v>0.4</v>
      </c>
      <c r="BU448" s="523"/>
      <c r="BV448" s="472">
        <v>0.1</v>
      </c>
      <c r="BW448" s="523"/>
      <c r="BX448" s="523"/>
      <c r="BY448" s="523"/>
      <c r="BZ448" s="868">
        <f>IFERROR(WWWW[[#This Row],['#_Water sources passed]]/WWWW[[#This Row],['#_Water sources tested for fecal coliform ]],"no test")</f>
        <v>0.5</v>
      </c>
      <c r="CA448" s="866">
        <f>IFERROR(WWWW[[#This Row],['#_Household passed]]/WWWW[[#This Row],['#_Household water samples tested for fecal coliform]],"no test")</f>
        <v>0.25</v>
      </c>
      <c r="CB448" s="867" t="str">
        <f>IF(AND(WWWW[[#This Row],[% of water sources passed]]="no test",WWWW[[#This Row],[% Household passed]]="no test"),"No Test","Tested")</f>
        <v>Tested</v>
      </c>
      <c r="CC448" s="867">
        <f>WWWW[[#This Row],['#_Constructed/existing protected hand dug well]]-WWWW[[#This Row],['#_Non-functional protected hand dug well]]</f>
        <v>4</v>
      </c>
      <c r="CD448" s="867">
        <f>(WWWW[[#This Row],['#_Constructed/Existing tube wells/boreholes/handpumps_WASH_agency]]+WWWW[[#This Row],['#_Non-Cluster partner water tube-wells/boreholes/handpumps]])-WWWW[[#This Row],['#_Non-functional tube wells/boreholes/handpumps]]</f>
        <v>2</v>
      </c>
      <c r="CE448" s="867">
        <f>WWWW[[#This Row],['#_Constructed/Existingwater storage tank with gravity fed reticulation system]]-WWWW[[#This Row],['#_Non-functional storage tank gravity fed reticulation system]]</f>
        <v>5</v>
      </c>
      <c r="CF448" s="867">
        <f>(WWWW[[#This Row],['#_Water_Liters_supplied_by_Water boating or water trucking]]/90)/15</f>
        <v>0</v>
      </c>
      <c r="CG448" s="867">
        <f>WWWW[[#This Row],['#_Water_Liters_from_Constructed/Existing water distribution system from river or natural spring]]/90/15</f>
        <v>0</v>
      </c>
      <c r="CH448" s="473">
        <f>WWWW[[#This Row],['#_of water points in TLS/CFS /THF]]*500</f>
        <v>0</v>
      </c>
      <c r="CI44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4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48" s="866">
        <f>IF(WWWW[[#This Row],[Location Type 1]]="Village",WWWW[[#This Row],[Access to safe drinking water for Village]],WWWW[[#This Row],[Access to safe drinking water for Camp]])</f>
        <v>1</v>
      </c>
      <c r="CL448" s="864">
        <f>WWWW[[#This Row],[%Equitable and continuous access to sufficient quantity of safe drinking water]]*WWWW[[#This Row],[Total PoP ]]</f>
        <v>882</v>
      </c>
      <c r="CM448" s="866">
        <f>IF((WWWW[[#This Row],['#_Constructed/Existing protected/fenced ponds]]*250)/WWWW[[#This Row],[Total PoP ]]&gt;1,1,(WWWW[[#This Row],['#_Constructed/Existing protected/fenced ponds]]*250)/WWWW[[#This Row],[Total PoP ]])</f>
        <v>0</v>
      </c>
      <c r="CN448" s="864">
        <f>WWWW[[#This Row],[% Access to unimproved water points]]*WWWW[[#This Row],[Total PoP ]]</f>
        <v>0</v>
      </c>
      <c r="CO44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4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Q448" s="864">
        <f>WWWW[[#This Row],[HRP1]]/500</f>
        <v>1.764</v>
      </c>
      <c r="CR448" s="869">
        <f>1-WWWW[[#This Row],[% Equitable and continuous access to sufficient quantity of domestic water]]</f>
        <v>0</v>
      </c>
      <c r="CS448" s="864">
        <f>WWWW[[#This Row],[%equitable and continuous access to sufficient quantity of safe drinking and domestic water''s GAP]]*WWWW[[#This Row],[Total PoP ]]</f>
        <v>0</v>
      </c>
      <c r="CT448" s="867">
        <f>IF(WWWW[[#This Row],[Total required water points]]-WWWW[[#This Row],['#Water points coverage]]&lt;0,0,WWWW[[#This Row],[Total required water points]]-WWWW[[#This Row],['#Water points coverage]])</f>
        <v>0.23599999999999999</v>
      </c>
      <c r="CU448" s="867">
        <f>ROUND(IF(WWWW[[#This Row],[Total PoP ]]&lt;500,1,WWWW[[#This Row],[Total PoP ]]/500),0)</f>
        <v>2</v>
      </c>
      <c r="CV448" s="867">
        <f>(WWWW[[#This Row],['#_Constructed latrines_by_WASHAgencies]]+WWWW[[#This Row],['#_Non Cluster partner latrines]])-WWWW[[#This Row],['#_Non-functional latrines]]</f>
        <v>74</v>
      </c>
      <c r="CW448" s="804">
        <f>WWWW[[#This Row],[HRP2]]/WWWW[[#This Row],[Total PoP ]]</f>
        <v>1</v>
      </c>
      <c r="CX44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882</v>
      </c>
      <c r="CY44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Z44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8" s="473">
        <f>IF(WWWW[[#This Row],['# of functional latrines in THF supported by WASH partners during the reporting period2]]="",0,WWWW[[#This Row],['# of functional latrines in THF supported by WASH partners during the reporting period2]]*50)</f>
        <v>0</v>
      </c>
      <c r="DB448" s="473">
        <f>WWWW[[#This Row],['# students access to functioning school latrines_HRP5]]+WWWW[[#This Row],['# People access to functioning latrines in THF_HRP5]]</f>
        <v>0</v>
      </c>
      <c r="DC448" s="867">
        <f>ROUND(IF(WWWW[[#This Row],[Location Type 1]]="camp",WWWW[[#This Row],[Total PoP ]]/20,IF(WWWW[[#This Row],[Location Type 1]]="Temporary Location",WWWW[[#This Row],[Total PoP ]]/50,(WWWW[[#This Row],[Total PoP ]]/6))),0)</f>
        <v>44</v>
      </c>
      <c r="DD448" s="867">
        <f>IF(WWWW[[#This Row],[Total required Latrines]]-(WWWW[[#This Row],['#_Constructed latrines_by_WASHAgencies]]+WWWW[[#This Row],['#_Non Cluster partner latrines]])&lt;0,0,WWWW[[#This Row],[Total required Latrines]]-(WWWW[[#This Row],['#_Constructed latrines_by_WASHAgencies]]+WWWW[[#This Row],['#_Non Cluster partner latrines]]))</f>
        <v>0</v>
      </c>
      <c r="DE448" s="869">
        <f>1-WWWW[[#This Row],[% people access to functioning Latrine]]</f>
        <v>0</v>
      </c>
      <c r="DF448" s="868">
        <f>IF(OR(WWWW[[#This Row],['#_Non-functional latrines]]="",WWWW[[#This Row],['#_Non-functional latrines]]=0),0,WWWW[[#This Row],['#_Non-functional latrines]]/(WWWW[[#This Row],['#_Constructed latrines_by_WASHAgencies]]+WWWW[[#This Row],['#_Non Cluster partner latrines]]))</f>
        <v>0</v>
      </c>
      <c r="DG448" s="864">
        <f>IF(500*(WWWW[[#This Row],['#_male hygiene promoters]]+WWWW[[#This Row],['#_female hygiene promoters]])&gt;WWWW[[#This Row],[Total PoP ]],WWWW[[#This Row],[Total PoP ]],500*(WWWW[[#This Row],['#_male hygiene promoters]]+WWWW[[#This Row],['#_female hygiene promoters]]))</f>
        <v>882</v>
      </c>
      <c r="DH44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8" s="867">
        <f>IF(WWWW[[#This Row],['# People with access to soap]]&gt;WWWW[[#This Row],['# People with access to Sanity Pads]],WWWW[[#This Row],['# People with access to soap]],WWWW[[#This Row],['# People with access to Sanity Pads]])</f>
        <v>0</v>
      </c>
      <c r="DK448" s="867">
        <f>IF(WWWW[[#This Row],['# people reached by regular dedicated hygiene promotion_5]]&gt;WWWW[[#This Row],['# People received regular supply of hygiene items_6]],WWWW[[#This Row],['# people reached by regular dedicated hygiene promotion_5]],WWWW[[#This Row],['# People received regular supply of hygiene items_6]])</f>
        <v>882</v>
      </c>
      <c r="DL448" s="869">
        <f>IF(WWWW[[#This Row],[HRP3]]/WWWW[[#This Row],[Total PoP ]]&gt;1,1,WWWW[[#This Row],[HRP3]]/WWWW[[#This Row],[Total PoP ]])</f>
        <v>1</v>
      </c>
      <c r="DM448" s="868">
        <f>1-WWWW[[#This Row],[Hygiene Coverage%]]</f>
        <v>0</v>
      </c>
      <c r="DN448" s="866">
        <f>WWWW[[#This Row],['# people reached by regular dedicated hygiene promotion_5]]/WWWW[[#This Row],[Total PoP ]]</f>
        <v>1</v>
      </c>
      <c r="DO44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8" s="867">
        <f>WWWW[[#This Row],['#_Constructed/Existing hand washing stations]]-WWWW[[#This Row],['#_Non-Functional_hand_washing_stations]]</f>
        <v>-3</v>
      </c>
      <c r="DR448" s="864">
        <f>IF(WWWW[[#This Row],['# Functional hand washing stations during reporting period]]*20&gt;WWWW[[#This Row],[Total HH]],WWWW[[#This Row],[Total HH]],WWWW[[#This Row],['# Functional hand washing stations during reporting period]]*20)</f>
        <v>-60</v>
      </c>
      <c r="DS448" s="864">
        <f>IF(WWWW[[#This Row],[Is sufficient soap available for TLS? (Yes/No)]]="yes",WWWW[[#This Row],['#_Constructed/Existing hand washing stations at TLS]],0)</f>
        <v>0</v>
      </c>
      <c r="DT448" s="479">
        <f>IF(WWWW[[#This Row],['# Functional hand washing stations during reporting period]]*100&gt;WWWW[[#This Row],[Total PoP ]],WWWW[[#This Row],[Total PoP ]],WWWW[[#This Row],['# Functional hand washing stations during reporting period]]*100)</f>
        <v>-300</v>
      </c>
      <c r="DU448" s="479" t="str">
        <f>IF(OR(WWWW[[#This Row],['#_students at TLS_CFS]]="",WWWW[[#This Row],['#_students at TLS_CFS]]=0),"No","Yes")</f>
        <v>No</v>
      </c>
      <c r="DV44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8" s="862" t="str">
        <f>VLOOKUP(WWWW[[#This Row],[Site Name]],SiteDB6[[Site Name]:[CCCM Management]],6,FALSE)</f>
        <v>Yes</v>
      </c>
      <c r="DZ448" s="862" t="str">
        <f>VLOOKUP(WWWW[[#This Row],[Site Name]],SiteDB6[[Site Name]:[CCCM Focal Agency]],7,FALSE)</f>
        <v>KMSS-MYT</v>
      </c>
      <c r="EA448" s="862" t="str">
        <f>VLOOKUP(WWWW[[#This Row],[Site Name]],SiteDB6[[Site Name]:[Location Type 1]],9,FALSE)</f>
        <v>Camp</v>
      </c>
      <c r="EB448" s="862" t="str">
        <f>VLOOKUP(WWWW[[#This Row],[Site Name]],SiteDB6[[Site Name]:[Type of Accommodation]],10,FALSE)</f>
        <v>Camp</v>
      </c>
      <c r="EC448" s="862" t="str">
        <f>VLOOKUP(WWWW[[#This Row],[Site Name]],SiteDB6[[Site Name]:[Ethnic or GCA/NGCA]],11,FALSE)</f>
        <v>GCA</v>
      </c>
      <c r="ED448" s="862">
        <f>VLOOKUP(WWWW[[#This Row],[Site Name]],SiteDB6[[Site Name]:[Lat]],12,FALSE)</f>
        <v>25.493819999999999</v>
      </c>
      <c r="EE448" s="862">
        <f>VLOOKUP(WWWW[[#This Row],[Site Name]],SiteDB6[[Site Name]:[Long]],13,FALSE)</f>
        <v>97.4345</v>
      </c>
      <c r="EF448" s="862" t="str">
        <f>VLOOKUP(WWWW[[#This Row],[Site Name]],SiteDB6[[Site Name]:[Pcode]],3,FALSE)</f>
        <v>MMR001CMP162</v>
      </c>
      <c r="EG448" s="865" t="str">
        <f t="shared" si="13"/>
        <v>Covered</v>
      </c>
      <c r="EH448" s="865" t="str">
        <f>VLOOKUP(WWWW[[#This Row],[Site Name]],Site_DB!$C$389:$D$1120,2,FALSE)</f>
        <v>cccm_2019OCT</v>
      </c>
    </row>
    <row r="449" spans="1:138">
      <c r="A449" s="860" t="s">
        <v>3263</v>
      </c>
      <c r="B449" s="860" t="s">
        <v>38</v>
      </c>
      <c r="C449" s="861" t="s">
        <v>38</v>
      </c>
      <c r="D449" s="861" t="s">
        <v>3372</v>
      </c>
      <c r="E449" s="861" t="s">
        <v>39</v>
      </c>
      <c r="F449" s="861" t="s">
        <v>162</v>
      </c>
      <c r="G449" s="721" t="str">
        <f>VLOOKUP(WWWW[[#This Row],[Site Name]],SiteDB6[[Site Name]:[Location Type]],8,FALSE)</f>
        <v>Camp</v>
      </c>
      <c r="H449" s="861" t="s">
        <v>2167</v>
      </c>
      <c r="I449" s="851">
        <v>255</v>
      </c>
      <c r="J449" s="851">
        <v>1374</v>
      </c>
      <c r="K449" s="863" t="s">
        <v>3619</v>
      </c>
      <c r="L449" s="859" t="s">
        <v>3620</v>
      </c>
      <c r="M449" s="851"/>
      <c r="N449" s="851"/>
      <c r="O449" s="851"/>
      <c r="P449" s="851"/>
      <c r="Q449" s="864" t="s">
        <v>43</v>
      </c>
      <c r="R449" s="851">
        <v>3</v>
      </c>
      <c r="S449" s="851">
        <v>4</v>
      </c>
      <c r="T449" s="523">
        <v>2</v>
      </c>
      <c r="U449" s="851"/>
      <c r="V449" s="851">
        <v>1</v>
      </c>
      <c r="W449" s="851"/>
      <c r="X449" s="851"/>
      <c r="Y449" s="851"/>
      <c r="Z449" s="851"/>
      <c r="AA449" s="851">
        <v>2</v>
      </c>
      <c r="AB449" s="851"/>
      <c r="AC449" s="851"/>
      <c r="AD449" s="851"/>
      <c r="AE449" s="851"/>
      <c r="AF449" s="851"/>
      <c r="AG449" s="851"/>
      <c r="AH449" s="851"/>
      <c r="AI449" s="851">
        <v>4</v>
      </c>
      <c r="AJ449" s="851"/>
      <c r="AK449" s="851">
        <v>4</v>
      </c>
      <c r="AL449" s="851">
        <v>2</v>
      </c>
      <c r="AM449" s="851"/>
      <c r="AN449" s="851"/>
      <c r="AO449" s="865"/>
      <c r="AP449" s="851">
        <v>62</v>
      </c>
      <c r="AQ449" s="851"/>
      <c r="AR449" s="866"/>
      <c r="AS449" s="851"/>
      <c r="AT449" s="851"/>
      <c r="AU449" s="851"/>
      <c r="AV449" s="851"/>
      <c r="AW449" s="851"/>
      <c r="AX449" s="862" t="s">
        <v>43</v>
      </c>
      <c r="AY449" s="865" t="s">
        <v>140</v>
      </c>
      <c r="AZ449" s="851">
        <v>1</v>
      </c>
      <c r="BA449" s="851"/>
      <c r="BB449" s="851">
        <v>62</v>
      </c>
      <c r="BC449" s="523"/>
      <c r="BD449" s="523"/>
      <c r="BE449" s="862"/>
      <c r="BF449" s="851"/>
      <c r="BG449" s="851"/>
      <c r="BH449" s="851">
        <v>7</v>
      </c>
      <c r="BI449" s="851">
        <v>7</v>
      </c>
      <c r="BJ449" s="851"/>
      <c r="BK449" s="851"/>
      <c r="BL449" s="851"/>
      <c r="BM449" s="851"/>
      <c r="BN449" s="851"/>
      <c r="BO449" s="862"/>
      <c r="BP449" s="867">
        <v>6</v>
      </c>
      <c r="BQ449" s="866"/>
      <c r="BR449" s="862"/>
      <c r="BS449" s="472">
        <v>0.35</v>
      </c>
      <c r="BT449" s="472">
        <v>0.3</v>
      </c>
      <c r="BU449" s="523"/>
      <c r="BV449" s="472">
        <v>0.15</v>
      </c>
      <c r="BW449" s="523"/>
      <c r="BX449" s="523"/>
      <c r="BY449" s="523"/>
      <c r="BZ449" s="868">
        <f>IFERROR(WWWW[[#This Row],['#_Water sources passed]]/WWWW[[#This Row],['#_Water sources tested for fecal coliform ]],"no test")</f>
        <v>0</v>
      </c>
      <c r="CA449" s="866">
        <f>IFERROR(WWWW[[#This Row],['#_Household passed]]/WWWW[[#This Row],['#_Household water samples tested for fecal coliform]],"no test")</f>
        <v>0.5</v>
      </c>
      <c r="CB449" s="867" t="str">
        <f>IF(AND(WWWW[[#This Row],[% of water sources passed]]="no test",WWWW[[#This Row],[% Household passed]]="no test"),"No Test","Tested")</f>
        <v>Tested</v>
      </c>
      <c r="CC449" s="867">
        <f>WWWW[[#This Row],['#_Constructed/existing protected hand dug well]]-WWWW[[#This Row],['#_Non-functional protected hand dug well]]</f>
        <v>2</v>
      </c>
      <c r="CD449" s="867">
        <f>(WWWW[[#This Row],['#_Constructed/Existing tube wells/boreholes/handpumps_WASH_agency]]+WWWW[[#This Row],['#_Non-Cluster partner water tube-wells/boreholes/handpumps]])-WWWW[[#This Row],['#_Non-functional tube wells/boreholes/handpumps]]</f>
        <v>0</v>
      </c>
      <c r="CE449" s="867">
        <f>WWWW[[#This Row],['#_Constructed/Existingwater storage tank with gravity fed reticulation system]]-WWWW[[#This Row],['#_Non-functional storage tank gravity fed reticulation system]]</f>
        <v>2</v>
      </c>
      <c r="CF449" s="867">
        <f>(WWWW[[#This Row],['#_Water_Liters_supplied_by_Water boating or water trucking]]/90)/15</f>
        <v>0</v>
      </c>
      <c r="CG449" s="867">
        <f>WWWW[[#This Row],['#_Water_Liters_from_Constructed/Existing water distribution system from river or natural spring]]/90/15</f>
        <v>0</v>
      </c>
      <c r="CH449" s="473">
        <f>WWWW[[#This Row],['#_of water points in TLS/CFS /THF]]*500</f>
        <v>0</v>
      </c>
      <c r="CI44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0.67928190198932559</v>
      </c>
      <c r="CJ44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0.46094129063561379</v>
      </c>
      <c r="CK449" s="866">
        <f>IF(WWWW[[#This Row],[Location Type 1]]="Village",WWWW[[#This Row],[Access to safe drinking water for Village]],WWWW[[#This Row],[Access to safe drinking water for Camp]])</f>
        <v>0.67928190198932559</v>
      </c>
      <c r="CL449" s="864">
        <f>WWWW[[#This Row],[%Equitable and continuous access to sufficient quantity of safe drinking water]]*WWWW[[#This Row],[Total PoP ]]</f>
        <v>933.33333333333337</v>
      </c>
      <c r="CM449" s="866">
        <f>IF((WWWW[[#This Row],['#_Constructed/Existing protected/fenced ponds]]*250)/WWWW[[#This Row],[Total PoP ]]&gt;1,1,(WWWW[[#This Row],['#_Constructed/Existing protected/fenced ponds]]*250)/WWWW[[#This Row],[Total PoP ]])</f>
        <v>0</v>
      </c>
      <c r="CN449" s="864">
        <f>WWWW[[#This Row],[% Access to unimproved water points]]*WWWW[[#This Row],[Total PoP ]]</f>
        <v>0</v>
      </c>
      <c r="CO44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0.67928190198932559</v>
      </c>
      <c r="CP44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Q449" s="864">
        <f>WWWW[[#This Row],[HRP1]]/500</f>
        <v>1.8666666666666667</v>
      </c>
      <c r="CR449" s="869">
        <f>1-WWWW[[#This Row],[% Equitable and continuous access to sufficient quantity of domestic water]]</f>
        <v>0.32071809801067441</v>
      </c>
      <c r="CS449" s="864">
        <f>WWWW[[#This Row],[%equitable and continuous access to sufficient quantity of safe drinking and domestic water''s GAP]]*WWWW[[#This Row],[Total PoP ]]</f>
        <v>440.66666666666663</v>
      </c>
      <c r="CT449" s="867">
        <f>IF(WWWW[[#This Row],[Total required water points]]-WWWW[[#This Row],['#Water points coverage]]&lt;0,0,WWWW[[#This Row],[Total required water points]]-WWWW[[#This Row],['#Water points coverage]])</f>
        <v>1.1333333333333333</v>
      </c>
      <c r="CU449" s="867">
        <f>ROUND(IF(WWWW[[#This Row],[Total PoP ]]&lt;500,1,WWWW[[#This Row],[Total PoP ]]/500),0)</f>
        <v>3</v>
      </c>
      <c r="CV449" s="867">
        <f>(WWWW[[#This Row],['#_Constructed latrines_by_WASHAgencies]]+WWWW[[#This Row],['#_Non Cluster partner latrines]])-WWWW[[#This Row],['#_Non-functional latrines]]</f>
        <v>62</v>
      </c>
      <c r="CW449" s="804">
        <f>WWWW[[#This Row],[HRP2]]/WWWW[[#This Row],[Total PoP ]]</f>
        <v>0.91703056768558955</v>
      </c>
      <c r="CX44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1260</v>
      </c>
      <c r="CY44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4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49" s="473">
        <f>IF(WWWW[[#This Row],['# of functional latrines in THF supported by WASH partners during the reporting period2]]="",0,WWWW[[#This Row],['# of functional latrines in THF supported by WASH partners during the reporting period2]]*50)</f>
        <v>0</v>
      </c>
      <c r="DB449" s="473">
        <f>WWWW[[#This Row],['# students access to functioning school latrines_HRP5]]+WWWW[[#This Row],['# People access to functioning latrines in THF_HRP5]]</f>
        <v>0</v>
      </c>
      <c r="DC449" s="867">
        <f>ROUND(IF(WWWW[[#This Row],[Location Type 1]]="camp",WWWW[[#This Row],[Total PoP ]]/20,IF(WWWW[[#This Row],[Location Type 1]]="Temporary Location",WWWW[[#This Row],[Total PoP ]]/50,(WWWW[[#This Row],[Total PoP ]]/6))),0)</f>
        <v>69</v>
      </c>
      <c r="DD449" s="867">
        <f>IF(WWWW[[#This Row],[Total required Latrines]]-(WWWW[[#This Row],['#_Constructed latrines_by_WASHAgencies]]+WWWW[[#This Row],['#_Non Cluster partner latrines]])&lt;0,0,WWWW[[#This Row],[Total required Latrines]]-(WWWW[[#This Row],['#_Constructed latrines_by_WASHAgencies]]+WWWW[[#This Row],['#_Non Cluster partner latrines]]))</f>
        <v>7</v>
      </c>
      <c r="DE449" s="869">
        <f>1-WWWW[[#This Row],[% people access to functioning Latrine]]</f>
        <v>8.2969432314410452E-2</v>
      </c>
      <c r="DF449" s="868">
        <f>IF(OR(WWWW[[#This Row],['#_Non-functional latrines]]="",WWWW[[#This Row],['#_Non-functional latrines]]=0),0,WWWW[[#This Row],['#_Non-functional latrines]]/(WWWW[[#This Row],['#_Constructed latrines_by_WASHAgencies]]+WWWW[[#This Row],['#_Non Cluster partner latrines]]))</f>
        <v>0</v>
      </c>
      <c r="DG449" s="864">
        <f>IF(500*(WWWW[[#This Row],['#_male hygiene promoters]]+WWWW[[#This Row],['#_female hygiene promoters]])&gt;WWWW[[#This Row],[Total PoP ]],WWWW[[#This Row],[Total PoP ]],500*(WWWW[[#This Row],['#_male hygiene promoters]]+WWWW[[#This Row],['#_female hygiene promoters]]))</f>
        <v>0</v>
      </c>
      <c r="DH44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4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49" s="867">
        <f>IF(WWWW[[#This Row],['# People with access to soap]]&gt;WWWW[[#This Row],['# People with access to Sanity Pads]],WWWW[[#This Row],['# People with access to soap]],WWWW[[#This Row],['# People with access to Sanity Pads]])</f>
        <v>0</v>
      </c>
      <c r="DK44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49" s="869">
        <f>IF(WWWW[[#This Row],[HRP3]]/WWWW[[#This Row],[Total PoP ]]&gt;1,1,WWWW[[#This Row],[HRP3]]/WWWW[[#This Row],[Total PoP ]])</f>
        <v>0</v>
      </c>
      <c r="DM449" s="868">
        <f>1-WWWW[[#This Row],[Hygiene Coverage%]]</f>
        <v>1</v>
      </c>
      <c r="DN449" s="866">
        <f>WWWW[[#This Row],['# people reached by regular dedicated hygiene promotion_5]]/WWWW[[#This Row],[Total PoP ]]</f>
        <v>0</v>
      </c>
      <c r="DO44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4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49" s="867">
        <f>WWWW[[#This Row],['#_Constructed/Existing hand washing stations]]-WWWW[[#This Row],['#_Non-Functional_hand_washing_stations]]</f>
        <v>0</v>
      </c>
      <c r="DR449" s="864">
        <f>IF(WWWW[[#This Row],['# Functional hand washing stations during reporting period]]*20&gt;WWWW[[#This Row],[Total HH]],WWWW[[#This Row],[Total HH]],WWWW[[#This Row],['# Functional hand washing stations during reporting period]]*20)</f>
        <v>0</v>
      </c>
      <c r="DS449" s="864">
        <f>IF(WWWW[[#This Row],[Is sufficient soap available for TLS? (Yes/No)]]="yes",WWWW[[#This Row],['#_Constructed/Existing hand washing stations at TLS]],0)</f>
        <v>0</v>
      </c>
      <c r="DT449" s="479">
        <f>IF(WWWW[[#This Row],['# Functional hand washing stations during reporting period]]*100&gt;WWWW[[#This Row],[Total PoP ]],WWWW[[#This Row],[Total PoP ]],WWWW[[#This Row],['# Functional hand washing stations during reporting period]]*100)</f>
        <v>0</v>
      </c>
      <c r="DU449" s="479" t="str">
        <f>IF(OR(WWWW[[#This Row],['#_students at TLS_CFS]]="",WWWW[[#This Row],['#_students at TLS_CFS]]=0),"No","Yes")</f>
        <v>No</v>
      </c>
      <c r="DV44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49" s="862" t="str">
        <f>VLOOKUP(WWWW[[#This Row],[Site Name]],SiteDB6[[Site Name]:[CCCM Management]],6,FALSE)</f>
        <v>Yes</v>
      </c>
      <c r="DZ449" s="862" t="str">
        <f>VLOOKUP(WWWW[[#This Row],[Site Name]],SiteDB6[[Site Name]:[CCCM Focal Agency]],7,FALSE)</f>
        <v>KMSS-MYT</v>
      </c>
      <c r="EA449" s="862" t="str">
        <f>VLOOKUP(WWWW[[#This Row],[Site Name]],SiteDB6[[Site Name]:[Location Type 1]],9,FALSE)</f>
        <v>Camp</v>
      </c>
      <c r="EB449" s="862" t="str">
        <f>VLOOKUP(WWWW[[#This Row],[Site Name]],SiteDB6[[Site Name]:[Type of Accommodation]],10,FALSE)</f>
        <v>Camp</v>
      </c>
      <c r="EC449" s="862" t="str">
        <f>VLOOKUP(WWWW[[#This Row],[Site Name]],SiteDB6[[Site Name]:[Ethnic or GCA/NGCA]],11,FALSE)</f>
        <v>GCA</v>
      </c>
      <c r="ED449" s="862">
        <f>VLOOKUP(WWWW[[#This Row],[Site Name]],SiteDB6[[Site Name]:[Lat]],12,FALSE)</f>
        <v>25.493819999999999</v>
      </c>
      <c r="EE449" s="862">
        <f>VLOOKUP(WWWW[[#This Row],[Site Name]],SiteDB6[[Site Name]:[Long]],13,FALSE)</f>
        <v>97.4345</v>
      </c>
      <c r="EF449" s="862" t="str">
        <f>VLOOKUP(WWWW[[#This Row],[Site Name]],SiteDB6[[Site Name]:[Pcode]],3,FALSE)</f>
        <v>MMR001CMP271</v>
      </c>
      <c r="EG449" s="865" t="str">
        <f t="shared" si="13"/>
        <v>Covered</v>
      </c>
      <c r="EH449" s="865" t="str">
        <f>VLOOKUP(WWWW[[#This Row],[Site Name]],Site_DB!$C$389:$D$1120,2,FALSE)</f>
        <v>cccm_2019OCT</v>
      </c>
    </row>
    <row r="450" spans="1:138">
      <c r="A450" s="860" t="s">
        <v>3263</v>
      </c>
      <c r="B450" s="860" t="s">
        <v>38</v>
      </c>
      <c r="C450" s="861" t="s">
        <v>38</v>
      </c>
      <c r="D450" s="861" t="s">
        <v>3049</v>
      </c>
      <c r="E450" s="861" t="s">
        <v>39</v>
      </c>
      <c r="F450" s="861" t="s">
        <v>145</v>
      </c>
      <c r="G450" s="721" t="str">
        <f>VLOOKUP(WWWW[[#This Row],[Site Name]],SiteDB6[[Site Name]:[Location Type]],8,FALSE)</f>
        <v>Camp</v>
      </c>
      <c r="H450" s="861" t="s">
        <v>240</v>
      </c>
      <c r="I450" s="851">
        <v>283</v>
      </c>
      <c r="J450" s="851">
        <v>1481</v>
      </c>
      <c r="K450" s="863" t="s">
        <v>3619</v>
      </c>
      <c r="L450" s="859" t="s">
        <v>3620</v>
      </c>
      <c r="M450" s="851"/>
      <c r="N450" s="851"/>
      <c r="O450" s="851"/>
      <c r="P450" s="851"/>
      <c r="Q450" s="864" t="s">
        <v>43</v>
      </c>
      <c r="R450" s="851"/>
      <c r="S450" s="851"/>
      <c r="T450" s="523">
        <v>10</v>
      </c>
      <c r="U450" s="851"/>
      <c r="V450" s="851"/>
      <c r="W450" s="851"/>
      <c r="X450" s="851"/>
      <c r="Y450" s="851"/>
      <c r="Z450" s="851"/>
      <c r="AA450" s="851"/>
      <c r="AB450" s="851"/>
      <c r="AC450" s="851"/>
      <c r="AD450" s="851"/>
      <c r="AE450" s="851"/>
      <c r="AF450" s="851"/>
      <c r="AG450" s="851"/>
      <c r="AH450" s="851"/>
      <c r="AI450" s="851"/>
      <c r="AJ450" s="851">
        <v>2</v>
      </c>
      <c r="AK450" s="851">
        <v>1</v>
      </c>
      <c r="AL450" s="851"/>
      <c r="AM450" s="851">
        <v>2</v>
      </c>
      <c r="AN450" s="851"/>
      <c r="AO450" s="865"/>
      <c r="AP450" s="851">
        <v>97</v>
      </c>
      <c r="AQ450" s="851"/>
      <c r="AR450" s="866"/>
      <c r="AS450" s="851"/>
      <c r="AT450" s="851"/>
      <c r="AU450" s="851"/>
      <c r="AV450" s="851"/>
      <c r="AW450" s="851"/>
      <c r="AX450" s="862" t="s">
        <v>43</v>
      </c>
      <c r="AY450" s="865" t="s">
        <v>140</v>
      </c>
      <c r="AZ450" s="851">
        <v>4</v>
      </c>
      <c r="BA450" s="851"/>
      <c r="BB450" s="851"/>
      <c r="BC450" s="523"/>
      <c r="BD450" s="523"/>
      <c r="BE450" s="862"/>
      <c r="BF450" s="851"/>
      <c r="BG450" s="851"/>
      <c r="BH450" s="851"/>
      <c r="BI450" s="851">
        <v>6</v>
      </c>
      <c r="BJ450" s="851"/>
      <c r="BK450" s="851"/>
      <c r="BL450" s="851">
        <v>4</v>
      </c>
      <c r="BM450" s="851"/>
      <c r="BN450" s="851"/>
      <c r="BO450" s="862" t="s">
        <v>139</v>
      </c>
      <c r="BP450" s="867"/>
      <c r="BQ450" s="866"/>
      <c r="BR450" s="862"/>
      <c r="BS450" s="472"/>
      <c r="BT450" s="472"/>
      <c r="BU450" s="474"/>
      <c r="BV450" s="472"/>
      <c r="BW450" s="523"/>
      <c r="BX450" s="523"/>
      <c r="BY450" s="523"/>
      <c r="BZ450" s="868" t="str">
        <f>IFERROR(WWWW[[#This Row],['#_Water sources passed]]/WWWW[[#This Row],['#_Water sources tested for fecal coliform ]],"no test")</f>
        <v>no test</v>
      </c>
      <c r="CA450" s="866">
        <f>IFERROR(WWWW[[#This Row],['#_Household passed]]/WWWW[[#This Row],['#_Household water samples tested for fecal coliform]],"no test")</f>
        <v>0</v>
      </c>
      <c r="CB450" s="867" t="str">
        <f>IF(AND(WWWW[[#This Row],[% of water sources passed]]="no test",WWWW[[#This Row],[% Household passed]]="no test"),"No Test","Tested")</f>
        <v>Tested</v>
      </c>
      <c r="CC450" s="867">
        <f>WWWW[[#This Row],['#_Constructed/existing protected hand dug well]]-WWWW[[#This Row],['#_Non-functional protected hand dug well]]</f>
        <v>10</v>
      </c>
      <c r="CD450" s="867">
        <f>(WWWW[[#This Row],['#_Constructed/Existing tube wells/boreholes/handpumps_WASH_agency]]+WWWW[[#This Row],['#_Non-Cluster partner water tube-wells/boreholes/handpumps]])-WWWW[[#This Row],['#_Non-functional tube wells/boreholes/handpumps]]</f>
        <v>0</v>
      </c>
      <c r="CE450" s="867">
        <f>WWWW[[#This Row],['#_Constructed/Existingwater storage tank with gravity fed reticulation system]]-WWWW[[#This Row],['#_Non-functional storage tank gravity fed reticulation system]]</f>
        <v>0</v>
      </c>
      <c r="CF450" s="867">
        <f>(WWWW[[#This Row],['#_Water_Liters_supplied_by_Water boating or water trucking]]/90)/15</f>
        <v>0</v>
      </c>
      <c r="CG450" s="867">
        <f>WWWW[[#This Row],['#_Water_Liters_from_Constructed/Existing water distribution system from river or natural spring]]/90/15</f>
        <v>0</v>
      </c>
      <c r="CH450" s="473">
        <f>WWWW[[#This Row],['#_of water points in TLS/CFS /THF]]*500</f>
        <v>0</v>
      </c>
      <c r="CI45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50" s="866">
        <f>IF(WWWW[[#This Row],[Location Type 1]]="Village",WWWW[[#This Row],[Access to safe drinking water for Village]],WWWW[[#This Row],[Access to safe drinking water for Camp]])</f>
        <v>1</v>
      </c>
      <c r="CL450" s="864">
        <f>WWWW[[#This Row],[%Equitable and continuous access to sufficient quantity of safe drinking water]]*WWWW[[#This Row],[Total PoP ]]</f>
        <v>1481</v>
      </c>
      <c r="CM450" s="866">
        <f>IF((WWWW[[#This Row],['#_Constructed/Existing protected/fenced ponds]]*250)/WWWW[[#This Row],[Total PoP ]]&gt;1,1,(WWWW[[#This Row],['#_Constructed/Existing protected/fenced ponds]]*250)/WWWW[[#This Row],[Total PoP ]])</f>
        <v>0</v>
      </c>
      <c r="CN450" s="864">
        <f>WWWW[[#This Row],[% Access to unimproved water points]]*WWWW[[#This Row],[Total PoP ]]</f>
        <v>0</v>
      </c>
      <c r="CO45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Q450" s="864">
        <f>WWWW[[#This Row],[HRP1]]/500</f>
        <v>2.9620000000000002</v>
      </c>
      <c r="CR450" s="869">
        <f>1-WWWW[[#This Row],[% Equitable and continuous access to sufficient quantity of domestic water]]</f>
        <v>0</v>
      </c>
      <c r="CS450" s="864">
        <f>WWWW[[#This Row],[%equitable and continuous access to sufficient quantity of safe drinking and domestic water''s GAP]]*WWWW[[#This Row],[Total PoP ]]</f>
        <v>0</v>
      </c>
      <c r="CT450" s="867">
        <f>IF(WWWW[[#This Row],[Total required water points]]-WWWW[[#This Row],['#Water points coverage]]&lt;0,0,WWWW[[#This Row],[Total required water points]]-WWWW[[#This Row],['#Water points coverage]])</f>
        <v>3.7999999999999812E-2</v>
      </c>
      <c r="CU450" s="867">
        <f>ROUND(IF(WWWW[[#This Row],[Total PoP ]]&lt;500,1,WWWW[[#This Row],[Total PoP ]]/500),0)</f>
        <v>3</v>
      </c>
      <c r="CV450" s="867">
        <f>(WWWW[[#This Row],['#_Constructed latrines_by_WASHAgencies]]+WWWW[[#This Row],['#_Non Cluster partner latrines]])-WWWW[[#This Row],['#_Non-functional latrines]]</f>
        <v>97</v>
      </c>
      <c r="CW450" s="804">
        <f>WWWW[[#This Row],[HRP2]]/WWWW[[#This Row],[Total PoP ]]</f>
        <v>1</v>
      </c>
      <c r="CX45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1481</v>
      </c>
      <c r="CY45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0" s="473">
        <f>IF(WWWW[[#This Row],['# of functional latrines in THF supported by WASH partners during the reporting period2]]="",0,WWWW[[#This Row],['# of functional latrines in THF supported by WASH partners during the reporting period2]]*50)</f>
        <v>0</v>
      </c>
      <c r="DB450" s="473">
        <f>WWWW[[#This Row],['# students access to functioning school latrines_HRP5]]+WWWW[[#This Row],['# People access to functioning latrines in THF_HRP5]]</f>
        <v>0</v>
      </c>
      <c r="DC450" s="867">
        <f>ROUND(IF(WWWW[[#This Row],[Location Type 1]]="camp",WWWW[[#This Row],[Total PoP ]]/20,IF(WWWW[[#This Row],[Location Type 1]]="Temporary Location",WWWW[[#This Row],[Total PoP ]]/50,(WWWW[[#This Row],[Total PoP ]]/6))),0)</f>
        <v>74</v>
      </c>
      <c r="DD450" s="867">
        <f>IF(WWWW[[#This Row],[Total required Latrines]]-(WWWW[[#This Row],['#_Constructed latrines_by_WASHAgencies]]+WWWW[[#This Row],['#_Non Cluster partner latrines]])&lt;0,0,WWWW[[#This Row],[Total required Latrines]]-(WWWW[[#This Row],['#_Constructed latrines_by_WASHAgencies]]+WWWW[[#This Row],['#_Non Cluster partner latrines]]))</f>
        <v>0</v>
      </c>
      <c r="DE450" s="869">
        <f>1-WWWW[[#This Row],[% people access to functioning Latrine]]</f>
        <v>0</v>
      </c>
      <c r="DF450" s="868">
        <f>IF(OR(WWWW[[#This Row],['#_Non-functional latrines]]="",WWWW[[#This Row],['#_Non-functional latrines]]=0),0,WWWW[[#This Row],['#_Non-functional latrines]]/(WWWW[[#This Row],['#_Constructed latrines_by_WASHAgencies]]+WWWW[[#This Row],['#_Non Cluster partner latrines]]))</f>
        <v>0</v>
      </c>
      <c r="DG450" s="864">
        <f>IF(500*(WWWW[[#This Row],['#_male hygiene promoters]]+WWWW[[#This Row],['#_female hygiene promoters]])&gt;WWWW[[#This Row],[Total PoP ]],WWWW[[#This Row],[Total PoP ]],500*(WWWW[[#This Row],['#_male hygiene promoters]]+WWWW[[#This Row],['#_female hygiene promoters]]))</f>
        <v>1481</v>
      </c>
      <c r="DH45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0" s="867">
        <f>IF(WWWW[[#This Row],['# People with access to soap]]&gt;WWWW[[#This Row],['# People with access to Sanity Pads]],WWWW[[#This Row],['# People with access to soap]],WWWW[[#This Row],['# People with access to Sanity Pads]])</f>
        <v>0</v>
      </c>
      <c r="DK450" s="867">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DL450" s="869">
        <f>IF(WWWW[[#This Row],[HRP3]]/WWWW[[#This Row],[Total PoP ]]&gt;1,1,WWWW[[#This Row],[HRP3]]/WWWW[[#This Row],[Total PoP ]])</f>
        <v>1</v>
      </c>
      <c r="DM450" s="868">
        <f>1-WWWW[[#This Row],[Hygiene Coverage%]]</f>
        <v>0</v>
      </c>
      <c r="DN450" s="866">
        <f>WWWW[[#This Row],['# people reached by regular dedicated hygiene promotion_5]]/WWWW[[#This Row],[Total PoP ]]</f>
        <v>1</v>
      </c>
      <c r="DO45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0" s="867">
        <f>WWWW[[#This Row],['#_Constructed/Existing hand washing stations]]-WWWW[[#This Row],['#_Non-Functional_hand_washing_stations]]</f>
        <v>0</v>
      </c>
      <c r="DR450" s="864">
        <f>IF(WWWW[[#This Row],['# Functional hand washing stations during reporting period]]*20&gt;WWWW[[#This Row],[Total HH]],WWWW[[#This Row],[Total HH]],WWWW[[#This Row],['# Functional hand washing stations during reporting period]]*20)</f>
        <v>0</v>
      </c>
      <c r="DS450" s="864">
        <f>IF(WWWW[[#This Row],[Is sufficient soap available for TLS? (Yes/No)]]="yes",WWWW[[#This Row],['#_Constructed/Existing hand washing stations at TLS]],0)</f>
        <v>0</v>
      </c>
      <c r="DT450" s="479">
        <f>IF(WWWW[[#This Row],['# Functional hand washing stations during reporting period]]*100&gt;WWWW[[#This Row],[Total PoP ]],WWWW[[#This Row],[Total PoP ]],WWWW[[#This Row],['# Functional hand washing stations during reporting period]]*100)</f>
        <v>0</v>
      </c>
      <c r="DU450" s="479" t="str">
        <f>IF(OR(WWWW[[#This Row],['#_students at TLS_CFS]]="",WWWW[[#This Row],['#_students at TLS_CFS]]=0),"No","Yes")</f>
        <v>No</v>
      </c>
      <c r="DV45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0" s="862" t="str">
        <f>VLOOKUP(WWWW[[#This Row],[Site Name]],SiteDB6[[Site Name]:[CCCM Management]],6,FALSE)</f>
        <v>Yes</v>
      </c>
      <c r="DZ450" s="862" t="str">
        <f>VLOOKUP(WWWW[[#This Row],[Site Name]],SiteDB6[[Site Name]:[CCCM Focal Agency]],7,FALSE)</f>
        <v>KMSS-MYT</v>
      </c>
      <c r="EA450" s="862" t="str">
        <f>VLOOKUP(WWWW[[#This Row],[Site Name]],SiteDB6[[Site Name]:[Location Type 1]],9,FALSE)</f>
        <v>Camp</v>
      </c>
      <c r="EB450" s="862" t="str">
        <f>VLOOKUP(WWWW[[#This Row],[Site Name]],SiteDB6[[Site Name]:[Type of Accommodation]],10,FALSE)</f>
        <v>Camp</v>
      </c>
      <c r="EC450" s="862" t="str">
        <f>VLOOKUP(WWWW[[#This Row],[Site Name]],SiteDB6[[Site Name]:[Ethnic or GCA/NGCA]],11,FALSE)</f>
        <v>GCA</v>
      </c>
      <c r="ED450" s="862">
        <f>VLOOKUP(WWWW[[#This Row],[Site Name]],SiteDB6[[Site Name]:[Lat]],12,FALSE)</f>
        <v>25.415667500000001</v>
      </c>
      <c r="EE450" s="862">
        <f>VLOOKUP(WWWW[[#This Row],[Site Name]],SiteDB6[[Site Name]:[Long]],13,FALSE)</f>
        <v>97.437782499999997</v>
      </c>
      <c r="EF450" s="862" t="str">
        <f>VLOOKUP(WWWW[[#This Row],[Site Name]],SiteDB6[[Site Name]:[Pcode]],3,FALSE)</f>
        <v>MMR001CMP029</v>
      </c>
      <c r="EG450" s="865" t="str">
        <f t="shared" si="13"/>
        <v>Covered</v>
      </c>
      <c r="EH450" s="865" t="str">
        <f>VLOOKUP(WWWW[[#This Row],[Site Name]],Site_DB!$C$389:$D$1120,2,FALSE)</f>
        <v>cccm_2019OCT</v>
      </c>
    </row>
    <row r="451" spans="1:138">
      <c r="A451" s="860" t="s">
        <v>3263</v>
      </c>
      <c r="B451" s="860" t="s">
        <v>144</v>
      </c>
      <c r="C451" s="861" t="s">
        <v>144</v>
      </c>
      <c r="D451" s="861"/>
      <c r="E451" s="861" t="s">
        <v>39</v>
      </c>
      <c r="F451" s="861" t="s">
        <v>217</v>
      </c>
      <c r="G451" s="721" t="str">
        <f>VLOOKUP(WWWW[[#This Row],[Site Name]],SiteDB6[[Site Name]:[Location Type]],8,FALSE)</f>
        <v>Camp_not registered</v>
      </c>
      <c r="H451" s="861" t="s">
        <v>2075</v>
      </c>
      <c r="I451" s="851">
        <v>78</v>
      </c>
      <c r="J451" s="851">
        <v>324</v>
      </c>
      <c r="K451" s="863"/>
      <c r="L451" s="859"/>
      <c r="M451" s="851"/>
      <c r="N451" s="851"/>
      <c r="O451" s="851"/>
      <c r="P451" s="851"/>
      <c r="Q451" s="864"/>
      <c r="R451" s="851"/>
      <c r="S451" s="851"/>
      <c r="T451" s="523"/>
      <c r="U451" s="851"/>
      <c r="V451" s="851"/>
      <c r="W451" s="851"/>
      <c r="X451" s="851"/>
      <c r="Y451" s="851"/>
      <c r="Z451" s="851"/>
      <c r="AA451" s="851"/>
      <c r="AB451" s="851"/>
      <c r="AC451" s="851"/>
      <c r="AD451" s="851"/>
      <c r="AE451" s="851"/>
      <c r="AF451" s="851"/>
      <c r="AG451" s="851"/>
      <c r="AH451" s="851">
        <v>0</v>
      </c>
      <c r="AI451" s="851"/>
      <c r="AJ451" s="851"/>
      <c r="AK451" s="851"/>
      <c r="AL451" s="851"/>
      <c r="AM451" s="851"/>
      <c r="AN451" s="851"/>
      <c r="AO451" s="865"/>
      <c r="AP451" s="851"/>
      <c r="AQ451" s="851"/>
      <c r="AR451" s="866"/>
      <c r="AS451" s="851"/>
      <c r="AT451" s="851"/>
      <c r="AU451" s="851"/>
      <c r="AV451" s="851"/>
      <c r="AW451" s="851"/>
      <c r="AX451" s="862" t="s">
        <v>43</v>
      </c>
      <c r="AY451" s="865" t="s">
        <v>143</v>
      </c>
      <c r="AZ451" s="851"/>
      <c r="BA451" s="851"/>
      <c r="BB451" s="851"/>
      <c r="BC451" s="523"/>
      <c r="BD451" s="523"/>
      <c r="BE451" s="862"/>
      <c r="BF451" s="851"/>
      <c r="BG451" s="851"/>
      <c r="BH451" s="851"/>
      <c r="BI451" s="851">
        <v>0</v>
      </c>
      <c r="BJ451" s="851"/>
      <c r="BK451" s="851"/>
      <c r="BL451" s="851"/>
      <c r="BM451" s="851"/>
      <c r="BN451" s="851"/>
      <c r="BO451" s="862"/>
      <c r="BP451" s="867"/>
      <c r="BQ451" s="866"/>
      <c r="BR451" s="862"/>
      <c r="BS451" s="472"/>
      <c r="BT451" s="472"/>
      <c r="BU451" s="474"/>
      <c r="BV451" s="472"/>
      <c r="BW451" s="523"/>
      <c r="BX451" s="523"/>
      <c r="BY451" s="523"/>
      <c r="BZ451" s="868" t="str">
        <f>IFERROR(WWWW[[#This Row],['#_Water sources passed]]/WWWW[[#This Row],['#_Water sources tested for fecal coliform ]],"no test")</f>
        <v>no test</v>
      </c>
      <c r="CA451" s="866" t="str">
        <f>IFERROR(WWWW[[#This Row],['#_Household passed]]/WWWW[[#This Row],['#_Household water samples tested for fecal coliform]],"no test")</f>
        <v>no test</v>
      </c>
      <c r="CB451" s="867" t="str">
        <f>IF(AND(WWWW[[#This Row],[% of water sources passed]]="no test",WWWW[[#This Row],[% Household passed]]="no test"),"No Test","Tested")</f>
        <v>No Test</v>
      </c>
      <c r="CC451" s="867">
        <f>WWWW[[#This Row],['#_Constructed/existing protected hand dug well]]-WWWW[[#This Row],['#_Non-functional protected hand dug well]]</f>
        <v>0</v>
      </c>
      <c r="CD451" s="867">
        <f>(WWWW[[#This Row],['#_Constructed/Existing tube wells/boreholes/handpumps_WASH_agency]]+WWWW[[#This Row],['#_Non-Cluster partner water tube-wells/boreholes/handpumps]])-WWWW[[#This Row],['#_Non-functional tube wells/boreholes/handpumps]]</f>
        <v>0</v>
      </c>
      <c r="CE451" s="867">
        <f>WWWW[[#This Row],['#_Constructed/Existingwater storage tank with gravity fed reticulation system]]-WWWW[[#This Row],['#_Non-functional storage tank gravity fed reticulation system]]</f>
        <v>0</v>
      </c>
      <c r="CF451" s="867">
        <f>(WWWW[[#This Row],['#_Water_Liters_supplied_by_Water boating or water trucking]]/90)/15</f>
        <v>0</v>
      </c>
      <c r="CG451" s="867">
        <f>WWWW[[#This Row],['#_Water_Liters_from_Constructed/Existing water distribution system from river or natural spring]]/90/15</f>
        <v>0</v>
      </c>
      <c r="CH451" s="473">
        <f>WWWW[[#This Row],['#_of water points in TLS/CFS /THF]]*500</f>
        <v>0</v>
      </c>
      <c r="CI45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5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51" s="866">
        <f>IF(WWWW[[#This Row],[Location Type 1]]="Village",WWWW[[#This Row],[Access to safe drinking water for Village]],WWWW[[#This Row],[Access to safe drinking water for Camp]])</f>
        <v>0</v>
      </c>
      <c r="CL451" s="864">
        <f>WWWW[[#This Row],[%Equitable and continuous access to sufficient quantity of safe drinking water]]*WWWW[[#This Row],[Total PoP ]]</f>
        <v>0</v>
      </c>
      <c r="CM451" s="866">
        <f>IF((WWWW[[#This Row],['#_Constructed/Existing protected/fenced ponds]]*250)/WWWW[[#This Row],[Total PoP ]]&gt;1,1,(WWWW[[#This Row],['#_Constructed/Existing protected/fenced ponds]]*250)/WWWW[[#This Row],[Total PoP ]])</f>
        <v>0</v>
      </c>
      <c r="CN451" s="864">
        <f>WWWW[[#This Row],[% Access to unimproved water points]]*WWWW[[#This Row],[Total PoP ]]</f>
        <v>0</v>
      </c>
      <c r="CO45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5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51" s="864">
        <f>WWWW[[#This Row],[HRP1]]/500</f>
        <v>0</v>
      </c>
      <c r="CR451" s="869">
        <f>1-WWWW[[#This Row],[% Equitable and continuous access to sufficient quantity of domestic water]]</f>
        <v>1</v>
      </c>
      <c r="CS451" s="864">
        <f>WWWW[[#This Row],[%equitable and continuous access to sufficient quantity of safe drinking and domestic water''s GAP]]*WWWW[[#This Row],[Total PoP ]]</f>
        <v>324</v>
      </c>
      <c r="CT451" s="867">
        <f>IF(WWWW[[#This Row],[Total required water points]]-WWWW[[#This Row],['#Water points coverage]]&lt;0,0,WWWW[[#This Row],[Total required water points]]-WWWW[[#This Row],['#Water points coverage]])</f>
        <v>1</v>
      </c>
      <c r="CU451" s="867">
        <f>ROUND(IF(WWWW[[#This Row],[Total PoP ]]&lt;500,1,WWWW[[#This Row],[Total PoP ]]/500),0)</f>
        <v>1</v>
      </c>
      <c r="CV451" s="867">
        <f>(WWWW[[#This Row],['#_Constructed latrines_by_WASHAgencies]]+WWWW[[#This Row],['#_Non Cluster partner latrines]])-WWWW[[#This Row],['#_Non-functional latrines]]</f>
        <v>0</v>
      </c>
      <c r="CW451" s="804">
        <f>WWWW[[#This Row],[HRP2]]/WWWW[[#This Row],[Total PoP ]]</f>
        <v>0</v>
      </c>
      <c r="CX45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5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1" s="473">
        <f>IF(WWWW[[#This Row],['# of functional latrines in THF supported by WASH partners during the reporting period2]]="",0,WWWW[[#This Row],['# of functional latrines in THF supported by WASH partners during the reporting period2]]*50)</f>
        <v>0</v>
      </c>
      <c r="DB451" s="473">
        <f>WWWW[[#This Row],['# students access to functioning school latrines_HRP5]]+WWWW[[#This Row],['# People access to functioning latrines in THF_HRP5]]</f>
        <v>0</v>
      </c>
      <c r="DC451" s="867">
        <f>ROUND(IF(WWWW[[#This Row],[Location Type 1]]="camp",WWWW[[#This Row],[Total PoP ]]/20,IF(WWWW[[#This Row],[Location Type 1]]="Temporary Location",WWWW[[#This Row],[Total PoP ]]/50,(WWWW[[#This Row],[Total PoP ]]/6))),0)</f>
        <v>16</v>
      </c>
      <c r="DD451" s="867">
        <f>IF(WWWW[[#This Row],[Total required Latrines]]-(WWWW[[#This Row],['#_Constructed latrines_by_WASHAgencies]]+WWWW[[#This Row],['#_Non Cluster partner latrines]])&lt;0,0,WWWW[[#This Row],[Total required Latrines]]-(WWWW[[#This Row],['#_Constructed latrines_by_WASHAgencies]]+WWWW[[#This Row],['#_Non Cluster partner latrines]]))</f>
        <v>16</v>
      </c>
      <c r="DE451" s="869">
        <f>1-WWWW[[#This Row],[% people access to functioning Latrine]]</f>
        <v>1</v>
      </c>
      <c r="DF451" s="868">
        <f>IF(OR(WWWW[[#This Row],['#_Non-functional latrines]]="",WWWW[[#This Row],['#_Non-functional latrines]]=0),0,WWWW[[#This Row],['#_Non-functional latrines]]/(WWWW[[#This Row],['#_Constructed latrines_by_WASHAgencies]]+WWWW[[#This Row],['#_Non Cluster partner latrines]]))</f>
        <v>0</v>
      </c>
      <c r="DG451" s="864">
        <f>IF(500*(WWWW[[#This Row],['#_male hygiene promoters]]+WWWW[[#This Row],['#_female hygiene promoters]])&gt;WWWW[[#This Row],[Total PoP ]],WWWW[[#This Row],[Total PoP ]],500*(WWWW[[#This Row],['#_male hygiene promoters]]+WWWW[[#This Row],['#_female hygiene promoters]]))</f>
        <v>0</v>
      </c>
      <c r="DH45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1" s="867">
        <f>IF(WWWW[[#This Row],['# People with access to soap]]&gt;WWWW[[#This Row],['# People with access to Sanity Pads]],WWWW[[#This Row],['# People with access to soap]],WWWW[[#This Row],['# People with access to Sanity Pads]])</f>
        <v>0</v>
      </c>
      <c r="DK45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51" s="869">
        <f>IF(WWWW[[#This Row],[HRP3]]/WWWW[[#This Row],[Total PoP ]]&gt;1,1,WWWW[[#This Row],[HRP3]]/WWWW[[#This Row],[Total PoP ]])</f>
        <v>0</v>
      </c>
      <c r="DM451" s="868">
        <f>1-WWWW[[#This Row],[Hygiene Coverage%]]</f>
        <v>1</v>
      </c>
      <c r="DN451" s="866">
        <f>WWWW[[#This Row],['# people reached by regular dedicated hygiene promotion_5]]/WWWW[[#This Row],[Total PoP ]]</f>
        <v>0</v>
      </c>
      <c r="DO45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1" s="867">
        <f>WWWW[[#This Row],['#_Constructed/Existing hand washing stations]]-WWWW[[#This Row],['#_Non-Functional_hand_washing_stations]]</f>
        <v>0</v>
      </c>
      <c r="DR451" s="864">
        <f>IF(WWWW[[#This Row],['# Functional hand washing stations during reporting period]]*20&gt;WWWW[[#This Row],[Total HH]],WWWW[[#This Row],[Total HH]],WWWW[[#This Row],['# Functional hand washing stations during reporting period]]*20)</f>
        <v>0</v>
      </c>
      <c r="DS451" s="864">
        <f>IF(WWWW[[#This Row],[Is sufficient soap available for TLS? (Yes/No)]]="yes",WWWW[[#This Row],['#_Constructed/Existing hand washing stations at TLS]],0)</f>
        <v>0</v>
      </c>
      <c r="DT451" s="479">
        <f>IF(WWWW[[#This Row],['# Functional hand washing stations during reporting period]]*100&gt;WWWW[[#This Row],[Total PoP ]],WWWW[[#This Row],[Total PoP ]],WWWW[[#This Row],['# Functional hand washing stations during reporting period]]*100)</f>
        <v>0</v>
      </c>
      <c r="DU451" s="479" t="str">
        <f>IF(OR(WWWW[[#This Row],['#_students at TLS_CFS]]="",WWWW[[#This Row],['#_students at TLS_CFS]]=0),"No","Yes")</f>
        <v>No</v>
      </c>
      <c r="DV45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1" s="862">
        <f>VLOOKUP(WWWW[[#This Row],[Site Name]],SiteDB6[[Site Name]:[CCCM Management]],6,FALSE)</f>
        <v>0</v>
      </c>
      <c r="DZ451" s="862">
        <f>VLOOKUP(WWWW[[#This Row],[Site Name]],SiteDB6[[Site Name]:[CCCM Focal Agency]],7,FALSE)</f>
        <v>0</v>
      </c>
      <c r="EA451" s="862" t="str">
        <f>VLOOKUP(WWWW[[#This Row],[Site Name]],SiteDB6[[Site Name]:[Location Type 1]],9,FALSE)</f>
        <v>Camp</v>
      </c>
      <c r="EB451" s="862" t="str">
        <f>VLOOKUP(WWWW[[#This Row],[Site Name]],SiteDB6[[Site Name]:[Type of Accommodation]],10,FALSE)</f>
        <v>Camp like setting</v>
      </c>
      <c r="EC451" s="862" t="str">
        <f>VLOOKUP(WWWW[[#This Row],[Site Name]],SiteDB6[[Site Name]:[Ethnic or GCA/NGCA]],11,FALSE)</f>
        <v>NGCA</v>
      </c>
      <c r="ED451" s="862">
        <f>VLOOKUP(WWWW[[#This Row],[Site Name]],SiteDB6[[Site Name]:[Lat]],12,FALSE)</f>
        <v>0</v>
      </c>
      <c r="EE451" s="862">
        <f>VLOOKUP(WWWW[[#This Row],[Site Name]],SiteDB6[[Site Name]:[Long]],13,FALSE)</f>
        <v>0</v>
      </c>
      <c r="EF451" s="862">
        <f>VLOOKUP(WWWW[[#This Row],[Site Name]],SiteDB6[[Site Name]:[Pcode]],3,FALSE)</f>
        <v>0</v>
      </c>
      <c r="EG451" s="865" t="str">
        <f t="shared" si="13"/>
        <v>Covered</v>
      </c>
      <c r="EH451" s="865">
        <f>VLOOKUP(WWWW[[#This Row],[Site Name]],Site_DB!$C$389:$D$1120,2,FALSE)</f>
        <v>0</v>
      </c>
    </row>
    <row r="452" spans="1:138">
      <c r="A452" s="860" t="s">
        <v>3263</v>
      </c>
      <c r="B452" s="860" t="s">
        <v>144</v>
      </c>
      <c r="C452" s="861" t="s">
        <v>144</v>
      </c>
      <c r="D452" s="861" t="s">
        <v>3277</v>
      </c>
      <c r="E452" s="861" t="s">
        <v>39</v>
      </c>
      <c r="F452" s="861" t="s">
        <v>145</v>
      </c>
      <c r="G452" s="721" t="str">
        <f>VLOOKUP(WWWW[[#This Row],[Site Name]],SiteDB6[[Site Name]:[Location Type]],8,FALSE)</f>
        <v>Camp</v>
      </c>
      <c r="H452" s="861" t="s">
        <v>181</v>
      </c>
      <c r="I452" s="851">
        <v>494</v>
      </c>
      <c r="J452" s="851">
        <v>2500</v>
      </c>
      <c r="K452" s="863" t="s">
        <v>3278</v>
      </c>
      <c r="L452" s="859" t="s">
        <v>3279</v>
      </c>
      <c r="M452" s="851"/>
      <c r="N452" s="851"/>
      <c r="O452" s="851"/>
      <c r="P452" s="851"/>
      <c r="Q452" s="864" t="s">
        <v>43</v>
      </c>
      <c r="R452" s="851"/>
      <c r="S452" s="851"/>
      <c r="T452" s="523">
        <v>9</v>
      </c>
      <c r="U452" s="851"/>
      <c r="V452" s="851"/>
      <c r="W452" s="851">
        <v>2</v>
      </c>
      <c r="X452" s="851"/>
      <c r="Y452" s="851"/>
      <c r="Z452" s="851"/>
      <c r="AA452" s="851"/>
      <c r="AB452" s="851"/>
      <c r="AC452" s="851"/>
      <c r="AD452" s="851">
        <v>9000</v>
      </c>
      <c r="AE452" s="851"/>
      <c r="AF452" s="851"/>
      <c r="AG452" s="851"/>
      <c r="AH452" s="851">
        <v>9</v>
      </c>
      <c r="AI452" s="851"/>
      <c r="AJ452" s="851"/>
      <c r="AK452" s="851"/>
      <c r="AL452" s="851"/>
      <c r="AM452" s="851"/>
      <c r="AN452" s="851"/>
      <c r="AO452" s="865"/>
      <c r="AP452" s="851">
        <v>130</v>
      </c>
      <c r="AQ452" s="851"/>
      <c r="AR452" s="866"/>
      <c r="AS452" s="851"/>
      <c r="AT452" s="851"/>
      <c r="AU452" s="851"/>
      <c r="AV452" s="851"/>
      <c r="AW452" s="851">
        <v>130</v>
      </c>
      <c r="AX452" s="862" t="s">
        <v>43</v>
      </c>
      <c r="AY452" s="865" t="s">
        <v>140</v>
      </c>
      <c r="AZ452" s="851"/>
      <c r="BA452" s="851"/>
      <c r="BB452" s="851"/>
      <c r="BC452" s="523"/>
      <c r="BD452" s="523"/>
      <c r="BE452" s="862"/>
      <c r="BF452" s="851">
        <v>2</v>
      </c>
      <c r="BG452" s="851"/>
      <c r="BH452" s="851"/>
      <c r="BI452" s="851">
        <v>6</v>
      </c>
      <c r="BJ452" s="851"/>
      <c r="BK452" s="851"/>
      <c r="BL452" s="851">
        <v>5</v>
      </c>
      <c r="BM452" s="851"/>
      <c r="BN452" s="851"/>
      <c r="BO452" s="862"/>
      <c r="BP452" s="867"/>
      <c r="BQ452" s="866"/>
      <c r="BR452" s="862"/>
      <c r="BS452" s="472"/>
      <c r="BT452" s="472"/>
      <c r="BU452" s="474"/>
      <c r="BV452" s="472"/>
      <c r="BW452" s="523"/>
      <c r="BX452" s="523"/>
      <c r="BY452" s="523"/>
      <c r="BZ452" s="868" t="str">
        <f>IFERROR(WWWW[[#This Row],['#_Water sources passed]]/WWWW[[#This Row],['#_Water sources tested for fecal coliform ]],"no test")</f>
        <v>no test</v>
      </c>
      <c r="CA452" s="866" t="str">
        <f>IFERROR(WWWW[[#This Row],['#_Household passed]]/WWWW[[#This Row],['#_Household water samples tested for fecal coliform]],"no test")</f>
        <v>no test</v>
      </c>
      <c r="CB452" s="867" t="str">
        <f>IF(AND(WWWW[[#This Row],[% of water sources passed]]="no test",WWWW[[#This Row],[% Household passed]]="no test"),"No Test","Tested")</f>
        <v>No Test</v>
      </c>
      <c r="CC452" s="867">
        <f>WWWW[[#This Row],['#_Constructed/existing protected hand dug well]]-WWWW[[#This Row],['#_Non-functional protected hand dug well]]</f>
        <v>9</v>
      </c>
      <c r="CD452" s="867">
        <f>(WWWW[[#This Row],['#_Constructed/Existing tube wells/boreholes/handpumps_WASH_agency]]+WWWW[[#This Row],['#_Non-Cluster partner water tube-wells/boreholes/handpumps]])-WWWW[[#This Row],['#_Non-functional tube wells/boreholes/handpumps]]</f>
        <v>2</v>
      </c>
      <c r="CE452" s="867">
        <f>WWWW[[#This Row],['#_Constructed/Existingwater storage tank with gravity fed reticulation system]]-WWWW[[#This Row],['#_Non-functional storage tank gravity fed reticulation system]]</f>
        <v>0</v>
      </c>
      <c r="CF452" s="867">
        <f>(WWWW[[#This Row],['#_Water_Liters_supplied_by_Water boating or water trucking]]/90)/15</f>
        <v>6.666666666666667</v>
      </c>
      <c r="CG452" s="867">
        <f>WWWW[[#This Row],['#_Water_Liters_from_Constructed/Existing water distribution system from river or natural spring]]/90/15</f>
        <v>0</v>
      </c>
      <c r="CH452" s="473">
        <f>WWWW[[#This Row],['#_of water points in TLS/CFS /THF]]*500</f>
        <v>0</v>
      </c>
      <c r="CI45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52" s="866">
        <f>IF(WWWW[[#This Row],[Location Type 1]]="Village",WWWW[[#This Row],[Access to safe drinking water for Village]],WWWW[[#This Row],[Access to safe drinking water for Camp]])</f>
        <v>1</v>
      </c>
      <c r="CL452" s="864">
        <f>WWWW[[#This Row],[%Equitable and continuous access to sufficient quantity of safe drinking water]]*WWWW[[#This Row],[Total PoP ]]</f>
        <v>2500</v>
      </c>
      <c r="CM452" s="866">
        <f>IF((WWWW[[#This Row],['#_Constructed/Existing protected/fenced ponds]]*250)/WWWW[[#This Row],[Total PoP ]]&gt;1,1,(WWWW[[#This Row],['#_Constructed/Existing protected/fenced ponds]]*250)/WWWW[[#This Row],[Total PoP ]])</f>
        <v>0</v>
      </c>
      <c r="CN452" s="864">
        <f>WWWW[[#This Row],[% Access to unimproved water points]]*WWWW[[#This Row],[Total PoP ]]</f>
        <v>0</v>
      </c>
      <c r="CO45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Q452" s="864">
        <f>WWWW[[#This Row],[HRP1]]/500</f>
        <v>5</v>
      </c>
      <c r="CR452" s="869">
        <f>1-WWWW[[#This Row],[% Equitable and continuous access to sufficient quantity of domestic water]]</f>
        <v>0</v>
      </c>
      <c r="CS452" s="864">
        <f>WWWW[[#This Row],[%equitable and continuous access to sufficient quantity of safe drinking and domestic water''s GAP]]*WWWW[[#This Row],[Total PoP ]]</f>
        <v>0</v>
      </c>
      <c r="CT452" s="867">
        <f>IF(WWWW[[#This Row],[Total required water points]]-WWWW[[#This Row],['#Water points coverage]]&lt;0,0,WWWW[[#This Row],[Total required water points]]-WWWW[[#This Row],['#Water points coverage]])</f>
        <v>0</v>
      </c>
      <c r="CU452" s="867">
        <f>ROUND(IF(WWWW[[#This Row],[Total PoP ]]&lt;500,1,WWWW[[#This Row],[Total PoP ]]/500),0)</f>
        <v>5</v>
      </c>
      <c r="CV452" s="867">
        <f>(WWWW[[#This Row],['#_Constructed latrines_by_WASHAgencies]]+WWWW[[#This Row],['#_Non Cluster partner latrines]])-WWWW[[#This Row],['#_Non-functional latrines]]</f>
        <v>130</v>
      </c>
      <c r="CW452" s="804">
        <f>WWWW[[#This Row],[HRP2]]/WWWW[[#This Row],[Total PoP ]]</f>
        <v>1</v>
      </c>
      <c r="CX45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CY45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2" s="473">
        <f>IF(WWWW[[#This Row],['# of functional latrines in THF supported by WASH partners during the reporting period2]]="",0,WWWW[[#This Row],['# of functional latrines in THF supported by WASH partners during the reporting period2]]*50)</f>
        <v>0</v>
      </c>
      <c r="DB452" s="473">
        <f>WWWW[[#This Row],['# students access to functioning school latrines_HRP5]]+WWWW[[#This Row],['# People access to functioning latrines in THF_HRP5]]</f>
        <v>0</v>
      </c>
      <c r="DC452" s="867">
        <f>ROUND(IF(WWWW[[#This Row],[Location Type 1]]="camp",WWWW[[#This Row],[Total PoP ]]/20,IF(WWWW[[#This Row],[Location Type 1]]="Temporary Location",WWWW[[#This Row],[Total PoP ]]/50,(WWWW[[#This Row],[Total PoP ]]/6))),0)</f>
        <v>125</v>
      </c>
      <c r="DD452" s="867">
        <f>IF(WWWW[[#This Row],[Total required Latrines]]-(WWWW[[#This Row],['#_Constructed latrines_by_WASHAgencies]]+WWWW[[#This Row],['#_Non Cluster partner latrines]])&lt;0,0,WWWW[[#This Row],[Total required Latrines]]-(WWWW[[#This Row],['#_Constructed latrines_by_WASHAgencies]]+WWWW[[#This Row],['#_Non Cluster partner latrines]]))</f>
        <v>0</v>
      </c>
      <c r="DE452" s="869">
        <f>1-WWWW[[#This Row],[% people access to functioning Latrine]]</f>
        <v>0</v>
      </c>
      <c r="DF452" s="868">
        <f>IF(OR(WWWW[[#This Row],['#_Non-functional latrines]]="",WWWW[[#This Row],['#_Non-functional latrines]]=0),0,WWWW[[#This Row],['#_Non-functional latrines]]/(WWWW[[#This Row],['#_Constructed latrines_by_WASHAgencies]]+WWWW[[#This Row],['#_Non Cluster partner latrines]]))</f>
        <v>0</v>
      </c>
      <c r="DG452" s="864">
        <f>IF(500*(WWWW[[#This Row],['#_male hygiene promoters]]+WWWW[[#This Row],['#_female hygiene promoters]])&gt;WWWW[[#This Row],[Total PoP ]],WWWW[[#This Row],[Total PoP ]],500*(WWWW[[#This Row],['#_male hygiene promoters]]+WWWW[[#This Row],['#_female hygiene promoters]]))</f>
        <v>2500</v>
      </c>
      <c r="DH45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2" s="867">
        <f>IF(WWWW[[#This Row],['# People with access to soap]]&gt;WWWW[[#This Row],['# People with access to Sanity Pads]],WWWW[[#This Row],['# People with access to soap]],WWWW[[#This Row],['# People with access to Sanity Pads]])</f>
        <v>0</v>
      </c>
      <c r="DK452" s="867">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L452" s="869">
        <f>IF(WWWW[[#This Row],[HRP3]]/WWWW[[#This Row],[Total PoP ]]&gt;1,1,WWWW[[#This Row],[HRP3]]/WWWW[[#This Row],[Total PoP ]])</f>
        <v>1</v>
      </c>
      <c r="DM452" s="868">
        <f>1-WWWW[[#This Row],[Hygiene Coverage%]]</f>
        <v>0</v>
      </c>
      <c r="DN452" s="866">
        <f>WWWW[[#This Row],['# people reached by regular dedicated hygiene promotion_5]]/WWWW[[#This Row],[Total PoP ]]</f>
        <v>1</v>
      </c>
      <c r="DO45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2" s="867">
        <f>WWWW[[#This Row],['#_Constructed/Existing hand washing stations]]-WWWW[[#This Row],['#_Non-Functional_hand_washing_stations]]</f>
        <v>2</v>
      </c>
      <c r="DR452" s="864">
        <f>IF(WWWW[[#This Row],['# Functional hand washing stations during reporting period]]*20&gt;WWWW[[#This Row],[Total HH]],WWWW[[#This Row],[Total HH]],WWWW[[#This Row],['# Functional hand washing stations during reporting period]]*20)</f>
        <v>40</v>
      </c>
      <c r="DS452" s="864">
        <f>IF(WWWW[[#This Row],[Is sufficient soap available for TLS? (Yes/No)]]="yes",WWWW[[#This Row],['#_Constructed/Existing hand washing stations at TLS]],0)</f>
        <v>0</v>
      </c>
      <c r="DT452" s="479">
        <f>IF(WWWW[[#This Row],['# Functional hand washing stations during reporting period]]*100&gt;WWWW[[#This Row],[Total PoP ]],WWWW[[#This Row],[Total PoP ]],WWWW[[#This Row],['# Functional hand washing stations during reporting period]]*100)</f>
        <v>200</v>
      </c>
      <c r="DU452" s="479" t="str">
        <f>IF(OR(WWWW[[#This Row],['#_students at TLS_CFS]]="",WWWW[[#This Row],['#_students at TLS_CFS]]=0),"No","Yes")</f>
        <v>No</v>
      </c>
      <c r="DV45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2" s="862" t="str">
        <f>VLOOKUP(WWWW[[#This Row],[Site Name]],SiteDB6[[Site Name]:[CCCM Management]],6,FALSE)</f>
        <v>Yes</v>
      </c>
      <c r="DZ452" s="862" t="str">
        <f>VLOOKUP(WWWW[[#This Row],[Site Name]],SiteDB6[[Site Name]:[CCCM Focal Agency]],7,FALSE)</f>
        <v>KBC-MYT</v>
      </c>
      <c r="EA452" s="862" t="str">
        <f>VLOOKUP(WWWW[[#This Row],[Site Name]],SiteDB6[[Site Name]:[Location Type 1]],9,FALSE)</f>
        <v>Camp</v>
      </c>
      <c r="EB452" s="862" t="str">
        <f>VLOOKUP(WWWW[[#This Row],[Site Name]],SiteDB6[[Site Name]:[Type of Accommodation]],10,FALSE)</f>
        <v>Camp</v>
      </c>
      <c r="EC452" s="862" t="str">
        <f>VLOOKUP(WWWW[[#This Row],[Site Name]],SiteDB6[[Site Name]:[Ethnic or GCA/NGCA]],11,FALSE)</f>
        <v>GCA</v>
      </c>
      <c r="ED452" s="862">
        <f>VLOOKUP(WWWW[[#This Row],[Site Name]],SiteDB6[[Site Name]:[Lat]],12,FALSE)</f>
        <v>25.4118005797101</v>
      </c>
      <c r="EE452" s="862">
        <f>VLOOKUP(WWWW[[#This Row],[Site Name]],SiteDB6[[Site Name]:[Long]],13,FALSE)</f>
        <v>97.434855869565197</v>
      </c>
      <c r="EF452" s="862" t="str">
        <f>VLOOKUP(WWWW[[#This Row],[Site Name]],SiteDB6[[Site Name]:[Pcode]],3,FALSE)</f>
        <v>MMR001CMP040</v>
      </c>
      <c r="EG452" s="865" t="str">
        <f t="shared" si="13"/>
        <v>Covered</v>
      </c>
      <c r="EH452" s="865" t="str">
        <f>VLOOKUP(WWWW[[#This Row],[Site Name]],Site_DB!$C$389:$D$1120,2,FALSE)</f>
        <v>cccm_2019OCT</v>
      </c>
    </row>
    <row r="453" spans="1:138">
      <c r="A453" s="860" t="s">
        <v>3263</v>
      </c>
      <c r="B453" s="860" t="s">
        <v>38</v>
      </c>
      <c r="C453" s="861" t="s">
        <v>38</v>
      </c>
      <c r="D453" s="861" t="s">
        <v>3049</v>
      </c>
      <c r="E453" s="861" t="s">
        <v>39</v>
      </c>
      <c r="F453" s="861" t="s">
        <v>208</v>
      </c>
      <c r="G453" s="721" t="str">
        <f>VLOOKUP(WWWW[[#This Row],[Site Name]],SiteDB6[[Site Name]:[Location Type]],8,FALSE)</f>
        <v>Camp</v>
      </c>
      <c r="H453" s="861" t="s">
        <v>235</v>
      </c>
      <c r="I453" s="851">
        <v>101</v>
      </c>
      <c r="J453" s="851">
        <v>458</v>
      </c>
      <c r="K453" s="863" t="s">
        <v>3619</v>
      </c>
      <c r="L453" s="859" t="s">
        <v>3620</v>
      </c>
      <c r="M453" s="851"/>
      <c r="N453" s="851">
        <v>2</v>
      </c>
      <c r="O453" s="851"/>
      <c r="P453" s="851"/>
      <c r="Q453" s="864" t="s">
        <v>43</v>
      </c>
      <c r="R453" s="851"/>
      <c r="S453" s="851"/>
      <c r="T453" s="523"/>
      <c r="U453" s="851"/>
      <c r="V453" s="851"/>
      <c r="W453" s="851"/>
      <c r="X453" s="851"/>
      <c r="Y453" s="851"/>
      <c r="Z453" s="851"/>
      <c r="AA453" s="851">
        <v>1</v>
      </c>
      <c r="AB453" s="851"/>
      <c r="AC453" s="851"/>
      <c r="AD453" s="851"/>
      <c r="AE453" s="851"/>
      <c r="AF453" s="851"/>
      <c r="AG453" s="851"/>
      <c r="AH453" s="851"/>
      <c r="AI453" s="851"/>
      <c r="AJ453" s="851"/>
      <c r="AK453" s="851"/>
      <c r="AL453" s="851"/>
      <c r="AM453" s="851">
        <v>3</v>
      </c>
      <c r="AN453" s="851"/>
      <c r="AO453" s="865"/>
      <c r="AP453" s="851">
        <v>86</v>
      </c>
      <c r="AQ453" s="851"/>
      <c r="AR453" s="866"/>
      <c r="AS453" s="851"/>
      <c r="AT453" s="851"/>
      <c r="AU453" s="851"/>
      <c r="AV453" s="851"/>
      <c r="AW453" s="851"/>
      <c r="AX453" s="862" t="s">
        <v>43</v>
      </c>
      <c r="AY453" s="865" t="s">
        <v>140</v>
      </c>
      <c r="AZ453" s="851">
        <v>1</v>
      </c>
      <c r="BA453" s="851"/>
      <c r="BB453" s="851"/>
      <c r="BC453" s="523"/>
      <c r="BD453" s="523"/>
      <c r="BE453" s="862"/>
      <c r="BF453" s="851"/>
      <c r="BG453" s="851"/>
      <c r="BH453" s="851"/>
      <c r="BI453" s="851">
        <v>3</v>
      </c>
      <c r="BJ453" s="851"/>
      <c r="BK453" s="851"/>
      <c r="BL453" s="851">
        <v>2</v>
      </c>
      <c r="BM453" s="851"/>
      <c r="BN453" s="851"/>
      <c r="BO453" s="862" t="s">
        <v>139</v>
      </c>
      <c r="BP453" s="867"/>
      <c r="BQ453" s="866">
        <v>0.75</v>
      </c>
      <c r="BR453" s="862"/>
      <c r="BS453" s="472"/>
      <c r="BT453" s="472"/>
      <c r="BU453" s="474"/>
      <c r="BV453" s="472"/>
      <c r="BW453" s="523"/>
      <c r="BX453" s="523"/>
      <c r="BY453" s="523"/>
      <c r="BZ453" s="868" t="str">
        <f>IFERROR(WWWW[[#This Row],['#_Water sources passed]]/WWWW[[#This Row],['#_Water sources tested for fecal coliform ]],"no test")</f>
        <v>no test</v>
      </c>
      <c r="CA453" s="866" t="str">
        <f>IFERROR(WWWW[[#This Row],['#_Household passed]]/WWWW[[#This Row],['#_Household water samples tested for fecal coliform]],"no test")</f>
        <v>no test</v>
      </c>
      <c r="CB453" s="867" t="str">
        <f>IF(AND(WWWW[[#This Row],[% of water sources passed]]="no test",WWWW[[#This Row],[% Household passed]]="no test"),"No Test","Tested")</f>
        <v>No Test</v>
      </c>
      <c r="CC453" s="867">
        <f>WWWW[[#This Row],['#_Constructed/existing protected hand dug well]]-WWWW[[#This Row],['#_Non-functional protected hand dug well]]</f>
        <v>0</v>
      </c>
      <c r="CD453" s="867">
        <f>(WWWW[[#This Row],['#_Constructed/Existing tube wells/boreholes/handpumps_WASH_agency]]+WWWW[[#This Row],['#_Non-Cluster partner water tube-wells/boreholes/handpumps]])-WWWW[[#This Row],['#_Non-functional tube wells/boreholes/handpumps]]</f>
        <v>0</v>
      </c>
      <c r="CE453" s="867">
        <f>WWWW[[#This Row],['#_Constructed/Existingwater storage tank with gravity fed reticulation system]]-WWWW[[#This Row],['#_Non-functional storage tank gravity fed reticulation system]]</f>
        <v>1</v>
      </c>
      <c r="CF453" s="867">
        <f>(WWWW[[#This Row],['#_Water_Liters_supplied_by_Water boating or water trucking]]/90)/15</f>
        <v>0</v>
      </c>
      <c r="CG453" s="867">
        <f>WWWW[[#This Row],['#_Water_Liters_from_Constructed/Existing water distribution system from river or natural spring]]/90/15</f>
        <v>0</v>
      </c>
      <c r="CH453" s="473">
        <f>WWWW[[#This Row],['#_of water points in TLS/CFS /THF]]*500</f>
        <v>0</v>
      </c>
      <c r="CI45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0.14556040756914121</v>
      </c>
      <c r="CJ45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0.14556040756914121</v>
      </c>
      <c r="CK453" s="866">
        <f>IF(WWWW[[#This Row],[Location Type 1]]="Village",WWWW[[#This Row],[Access to safe drinking water for Village]],WWWW[[#This Row],[Access to safe drinking water for Camp]])</f>
        <v>0.14556040756914121</v>
      </c>
      <c r="CL453" s="864">
        <f>WWWW[[#This Row],[%Equitable and continuous access to sufficient quantity of safe drinking water]]*WWWW[[#This Row],[Total PoP ]]</f>
        <v>66.666666666666671</v>
      </c>
      <c r="CM453" s="866">
        <f>IF((WWWW[[#This Row],['#_Constructed/Existing protected/fenced ponds]]*250)/WWWW[[#This Row],[Total PoP ]]&gt;1,1,(WWWW[[#This Row],['#_Constructed/Existing protected/fenced ponds]]*250)/WWWW[[#This Row],[Total PoP ]])</f>
        <v>0</v>
      </c>
      <c r="CN453" s="864">
        <f>WWWW[[#This Row],[% Access to unimproved water points]]*WWWW[[#This Row],[Total PoP ]]</f>
        <v>0</v>
      </c>
      <c r="CO45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P45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453" s="864">
        <f>WWWW[[#This Row],[HRP1]]/500</f>
        <v>0.13333333333333333</v>
      </c>
      <c r="CR453" s="869">
        <f>1-WWWW[[#This Row],[% Equitable and continuous access to sufficient quantity of domestic water]]</f>
        <v>0.85443959243085876</v>
      </c>
      <c r="CS453" s="864">
        <f>WWWW[[#This Row],[%equitable and continuous access to sufficient quantity of safe drinking and domestic water''s GAP]]*WWWW[[#This Row],[Total PoP ]]</f>
        <v>391.33333333333331</v>
      </c>
      <c r="CT453" s="867">
        <f>IF(WWWW[[#This Row],[Total required water points]]-WWWW[[#This Row],['#Water points coverage]]&lt;0,0,WWWW[[#This Row],[Total required water points]]-WWWW[[#This Row],['#Water points coverage]])</f>
        <v>0.8666666666666667</v>
      </c>
      <c r="CU453" s="867">
        <f>ROUND(IF(WWWW[[#This Row],[Total PoP ]]&lt;500,1,WWWW[[#This Row],[Total PoP ]]/500),0)</f>
        <v>1</v>
      </c>
      <c r="CV453" s="867">
        <f>(WWWW[[#This Row],['#_Constructed latrines_by_WASHAgencies]]+WWWW[[#This Row],['#_Non Cluster partner latrines]])-WWWW[[#This Row],['#_Non-functional latrines]]</f>
        <v>86</v>
      </c>
      <c r="CW453" s="804">
        <f>WWWW[[#This Row],[HRP2]]/WWWW[[#This Row],[Total PoP ]]</f>
        <v>1</v>
      </c>
      <c r="CX45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458</v>
      </c>
      <c r="CY45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3" s="473">
        <f>IF(WWWW[[#This Row],['# of functional latrines in THF supported by WASH partners during the reporting period2]]="",0,WWWW[[#This Row],['# of functional latrines in THF supported by WASH partners during the reporting period2]]*50)</f>
        <v>0</v>
      </c>
      <c r="DB453" s="473">
        <f>WWWW[[#This Row],['# students access to functioning school latrines_HRP5]]+WWWW[[#This Row],['# People access to functioning latrines in THF_HRP5]]</f>
        <v>0</v>
      </c>
      <c r="DC453" s="867">
        <f>ROUND(IF(WWWW[[#This Row],[Location Type 1]]="camp",WWWW[[#This Row],[Total PoP ]]/20,IF(WWWW[[#This Row],[Location Type 1]]="Temporary Location",WWWW[[#This Row],[Total PoP ]]/50,(WWWW[[#This Row],[Total PoP ]]/6))),0)</f>
        <v>23</v>
      </c>
      <c r="DD453" s="867">
        <f>IF(WWWW[[#This Row],[Total required Latrines]]-(WWWW[[#This Row],['#_Constructed latrines_by_WASHAgencies]]+WWWW[[#This Row],['#_Non Cluster partner latrines]])&lt;0,0,WWWW[[#This Row],[Total required Latrines]]-(WWWW[[#This Row],['#_Constructed latrines_by_WASHAgencies]]+WWWW[[#This Row],['#_Non Cluster partner latrines]]))</f>
        <v>0</v>
      </c>
      <c r="DE453" s="869">
        <f>1-WWWW[[#This Row],[% people access to functioning Latrine]]</f>
        <v>0</v>
      </c>
      <c r="DF453" s="868">
        <f>IF(OR(WWWW[[#This Row],['#_Non-functional latrines]]="",WWWW[[#This Row],['#_Non-functional latrines]]=0),0,WWWW[[#This Row],['#_Non-functional latrines]]/(WWWW[[#This Row],['#_Constructed latrines_by_WASHAgencies]]+WWWW[[#This Row],['#_Non Cluster partner latrines]]))</f>
        <v>0</v>
      </c>
      <c r="DG453" s="864">
        <f>IF(500*(WWWW[[#This Row],['#_male hygiene promoters]]+WWWW[[#This Row],['#_female hygiene promoters]])&gt;WWWW[[#This Row],[Total PoP ]],WWWW[[#This Row],[Total PoP ]],500*(WWWW[[#This Row],['#_male hygiene promoters]]+WWWW[[#This Row],['#_female hygiene promoters]]))</f>
        <v>458</v>
      </c>
      <c r="DH45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3" s="867">
        <f>IF(WWWW[[#This Row],['# People with access to soap]]&gt;WWWW[[#This Row],['# People with access to Sanity Pads]],WWWW[[#This Row],['# People with access to soap]],WWWW[[#This Row],['# People with access to Sanity Pads]])</f>
        <v>0</v>
      </c>
      <c r="DK453" s="867">
        <f>IF(WWWW[[#This Row],['# people reached by regular dedicated hygiene promotion_5]]&gt;WWWW[[#This Row],['# People received regular supply of hygiene items_6]],WWWW[[#This Row],['# people reached by regular dedicated hygiene promotion_5]],WWWW[[#This Row],['# People received regular supply of hygiene items_6]])</f>
        <v>458</v>
      </c>
      <c r="DL453" s="869">
        <f>IF(WWWW[[#This Row],[HRP3]]/WWWW[[#This Row],[Total PoP ]]&gt;1,1,WWWW[[#This Row],[HRP3]]/WWWW[[#This Row],[Total PoP ]])</f>
        <v>1</v>
      </c>
      <c r="DM453" s="868">
        <f>1-WWWW[[#This Row],[Hygiene Coverage%]]</f>
        <v>0</v>
      </c>
      <c r="DN453" s="866">
        <f>WWWW[[#This Row],['# people reached by regular dedicated hygiene promotion_5]]/WWWW[[#This Row],[Total PoP ]]</f>
        <v>1</v>
      </c>
      <c r="DO45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3" s="867">
        <f>WWWW[[#This Row],['#_Constructed/Existing hand washing stations]]-WWWW[[#This Row],['#_Non-Functional_hand_washing_stations]]</f>
        <v>0</v>
      </c>
      <c r="DR453" s="864">
        <f>IF(WWWW[[#This Row],['# Functional hand washing stations during reporting period]]*20&gt;WWWW[[#This Row],[Total HH]],WWWW[[#This Row],[Total HH]],WWWW[[#This Row],['# Functional hand washing stations during reporting period]]*20)</f>
        <v>0</v>
      </c>
      <c r="DS453" s="864">
        <f>IF(WWWW[[#This Row],[Is sufficient soap available for TLS? (Yes/No)]]="yes",WWWW[[#This Row],['#_Constructed/Existing hand washing stations at TLS]],0)</f>
        <v>0</v>
      </c>
      <c r="DT453" s="479">
        <f>IF(WWWW[[#This Row],['# Functional hand washing stations during reporting period]]*100&gt;WWWW[[#This Row],[Total PoP ]],WWWW[[#This Row],[Total PoP ]],WWWW[[#This Row],['# Functional hand washing stations during reporting period]]*100)</f>
        <v>0</v>
      </c>
      <c r="DU453" s="479" t="str">
        <f>IF(OR(WWWW[[#This Row],['#_students at TLS_CFS]]="",WWWW[[#This Row],['#_students at TLS_CFS]]=0),"No","Yes")</f>
        <v>No</v>
      </c>
      <c r="DV45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3" s="862" t="str">
        <f>VLOOKUP(WWWW[[#This Row],[Site Name]],SiteDB6[[Site Name]:[CCCM Management]],6,FALSE)</f>
        <v>Yes</v>
      </c>
      <c r="DZ453" s="862" t="str">
        <f>VLOOKUP(WWWW[[#This Row],[Site Name]],SiteDB6[[Site Name]:[CCCM Focal Agency]],7,FALSE)</f>
        <v>KMSS-MYT</v>
      </c>
      <c r="EA453" s="862" t="str">
        <f>VLOOKUP(WWWW[[#This Row],[Site Name]],SiteDB6[[Site Name]:[Location Type 1]],9,FALSE)</f>
        <v>Camp</v>
      </c>
      <c r="EB453" s="862" t="str">
        <f>VLOOKUP(WWWW[[#This Row],[Site Name]],SiteDB6[[Site Name]:[Type of Accommodation]],10,FALSE)</f>
        <v>Camp</v>
      </c>
      <c r="EC453" s="862" t="str">
        <f>VLOOKUP(WWWW[[#This Row],[Site Name]],SiteDB6[[Site Name]:[Ethnic or GCA/NGCA]],11,FALSE)</f>
        <v>NGCA</v>
      </c>
      <c r="ED453" s="862">
        <f>VLOOKUP(WWWW[[#This Row],[Site Name]],SiteDB6[[Site Name]:[Lat]],12,FALSE)</f>
        <v>24.461033</v>
      </c>
      <c r="EE453" s="862">
        <f>VLOOKUP(WWWW[[#This Row],[Site Name]],SiteDB6[[Site Name]:[Long]],13,FALSE)</f>
        <v>97.537099999999995</v>
      </c>
      <c r="EF453" s="862" t="str">
        <f>VLOOKUP(WWWW[[#This Row],[Site Name]],SiteDB6[[Site Name]:[Pcode]],3,FALSE)</f>
        <v>MMR001CMP123</v>
      </c>
      <c r="EG453" s="865" t="str">
        <f t="shared" si="13"/>
        <v>Covered</v>
      </c>
      <c r="EH453" s="865" t="str">
        <f>VLOOKUP(WWWW[[#This Row],[Site Name]],Site_DB!$C$389:$D$1120,2,FALSE)</f>
        <v>cccm_2019OCT</v>
      </c>
    </row>
    <row r="454" spans="1:138">
      <c r="A454" s="860" t="s">
        <v>3263</v>
      </c>
      <c r="B454" s="860" t="s">
        <v>38</v>
      </c>
      <c r="C454" s="861" t="s">
        <v>38</v>
      </c>
      <c r="D454" s="861" t="s">
        <v>244</v>
      </c>
      <c r="E454" s="861" t="s">
        <v>39</v>
      </c>
      <c r="F454" s="861" t="s">
        <v>162</v>
      </c>
      <c r="G454" s="721" t="str">
        <f>VLOOKUP(WWWW[[#This Row],[Site Name]],SiteDB6[[Site Name]:[Location Type]],8,FALSE)</f>
        <v>Camp_not registered</v>
      </c>
      <c r="H454" s="861" t="s">
        <v>3091</v>
      </c>
      <c r="I454" s="851">
        <v>26</v>
      </c>
      <c r="J454" s="851">
        <v>130</v>
      </c>
      <c r="K454" s="863">
        <v>43810</v>
      </c>
      <c r="L454" s="859">
        <v>44175</v>
      </c>
      <c r="M454" s="851"/>
      <c r="N454" s="851">
        <v>1</v>
      </c>
      <c r="O454" s="851"/>
      <c r="P454" s="851"/>
      <c r="Q454" s="864" t="s">
        <v>43</v>
      </c>
      <c r="R454" s="851">
        <v>2</v>
      </c>
      <c r="S454" s="851">
        <v>1</v>
      </c>
      <c r="T454" s="523"/>
      <c r="U454" s="851"/>
      <c r="V454" s="851"/>
      <c r="W454" s="851">
        <v>2</v>
      </c>
      <c r="X454" s="851"/>
      <c r="Y454" s="851"/>
      <c r="Z454" s="851">
        <v>1</v>
      </c>
      <c r="AA454" s="851"/>
      <c r="AB454" s="851"/>
      <c r="AC454" s="851"/>
      <c r="AD454" s="851"/>
      <c r="AE454" s="851"/>
      <c r="AF454" s="851"/>
      <c r="AG454" s="851"/>
      <c r="AH454" s="851"/>
      <c r="AI454" s="851"/>
      <c r="AJ454" s="851"/>
      <c r="AK454" s="851"/>
      <c r="AL454" s="851"/>
      <c r="AM454" s="851"/>
      <c r="AN454" s="851"/>
      <c r="AO454" s="865"/>
      <c r="AP454" s="851">
        <v>4</v>
      </c>
      <c r="AQ454" s="851"/>
      <c r="AR454" s="866"/>
      <c r="AS454" s="851"/>
      <c r="AT454" s="851"/>
      <c r="AU454" s="851"/>
      <c r="AV454" s="851"/>
      <c r="AW454" s="851"/>
      <c r="AX454" s="862" t="s">
        <v>43</v>
      </c>
      <c r="AY454" s="865" t="s">
        <v>139</v>
      </c>
      <c r="AZ454" s="851"/>
      <c r="BA454" s="851"/>
      <c r="BB454" s="851"/>
      <c r="BC454" s="523"/>
      <c r="BD454" s="523"/>
      <c r="BE454" s="862"/>
      <c r="BF454" s="851"/>
      <c r="BG454" s="851"/>
      <c r="BH454" s="851"/>
      <c r="BI454" s="851"/>
      <c r="BJ454" s="851"/>
      <c r="BK454" s="851"/>
      <c r="BL454" s="851"/>
      <c r="BM454" s="851">
        <v>6</v>
      </c>
      <c r="BN454" s="851"/>
      <c r="BO454" s="862" t="s">
        <v>139</v>
      </c>
      <c r="BP454" s="867"/>
      <c r="BQ454" s="866"/>
      <c r="BR454" s="862"/>
      <c r="BS454" s="919">
        <v>0.3</v>
      </c>
      <c r="BT454" s="919">
        <v>0.3</v>
      </c>
      <c r="BU454" s="920">
        <v>10</v>
      </c>
      <c r="BV454" s="919">
        <v>0.05</v>
      </c>
      <c r="BW454" s="523"/>
      <c r="BX454" s="523"/>
      <c r="BY454" s="523"/>
      <c r="BZ454" s="868" t="str">
        <f>IFERROR(WWWW[[#This Row],['#_Water sources passed]]/WWWW[[#This Row],['#_Water sources tested for fecal coliform ]],"no test")</f>
        <v>no test</v>
      </c>
      <c r="CA454" s="866" t="str">
        <f>IFERROR(WWWW[[#This Row],['#_Household passed]]/WWWW[[#This Row],['#_Household water samples tested for fecal coliform]],"no test")</f>
        <v>no test</v>
      </c>
      <c r="CB454" s="867" t="str">
        <f>IF(AND(WWWW[[#This Row],[% of water sources passed]]="no test",WWWW[[#This Row],[% Household passed]]="no test"),"No Test","Tested")</f>
        <v>No Test</v>
      </c>
      <c r="CC454" s="867">
        <f>WWWW[[#This Row],['#_Constructed/existing protected hand dug well]]-WWWW[[#This Row],['#_Non-functional protected hand dug well]]</f>
        <v>0</v>
      </c>
      <c r="CD454" s="867">
        <f>(WWWW[[#This Row],['#_Constructed/Existing tube wells/boreholes/handpumps_WASH_agency]]+WWWW[[#This Row],['#_Non-Cluster partner water tube-wells/boreholes/handpumps]])-WWWW[[#This Row],['#_Non-functional tube wells/boreholes/handpumps]]</f>
        <v>2</v>
      </c>
      <c r="CE454" s="867">
        <f>WWWW[[#This Row],['#_Constructed/Existingwater storage tank with gravity fed reticulation system]]-WWWW[[#This Row],['#_Non-functional storage tank gravity fed reticulation system]]</f>
        <v>0</v>
      </c>
      <c r="CF454" s="867">
        <f>(WWWW[[#This Row],['#_Water_Liters_supplied_by_Water boating or water trucking]]/90)/15</f>
        <v>0</v>
      </c>
      <c r="CG454" s="867">
        <f>WWWW[[#This Row],['#_Water_Liters_from_Constructed/Existing water distribution system from river or natural spring]]/90/15</f>
        <v>0</v>
      </c>
      <c r="CH454" s="473">
        <f>WWWW[[#This Row],['#_of water points in TLS/CFS /THF]]*500</f>
        <v>0</v>
      </c>
      <c r="CI45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54" s="866">
        <f>IF(WWWW[[#This Row],[Location Type 1]]="Village",WWWW[[#This Row],[Access to safe drinking water for Village]],WWWW[[#This Row],[Access to safe drinking water for Camp]])</f>
        <v>1</v>
      </c>
      <c r="CL454" s="864">
        <f>WWWW[[#This Row],[%Equitable and continuous access to sufficient quantity of safe drinking water]]*WWWW[[#This Row],[Total PoP ]]</f>
        <v>130</v>
      </c>
      <c r="CM454" s="866">
        <f>IF((WWWW[[#This Row],['#_Constructed/Existing protected/fenced ponds]]*250)/WWWW[[#This Row],[Total PoP ]]&gt;1,1,(WWWW[[#This Row],['#_Constructed/Existing protected/fenced ponds]]*250)/WWWW[[#This Row],[Total PoP ]])</f>
        <v>0</v>
      </c>
      <c r="CN454" s="864">
        <f>WWWW[[#This Row],[% Access to unimproved water points]]*WWWW[[#This Row],[Total PoP ]]</f>
        <v>0</v>
      </c>
      <c r="CO45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Q454" s="864">
        <f>WWWW[[#This Row],[HRP1]]/500</f>
        <v>0.26</v>
      </c>
      <c r="CR454" s="869">
        <f>1-WWWW[[#This Row],[% Equitable and continuous access to sufficient quantity of domestic water]]</f>
        <v>0</v>
      </c>
      <c r="CS454" s="864">
        <f>WWWW[[#This Row],[%equitable and continuous access to sufficient quantity of safe drinking and domestic water''s GAP]]*WWWW[[#This Row],[Total PoP ]]</f>
        <v>0</v>
      </c>
      <c r="CT454" s="867">
        <f>IF(WWWW[[#This Row],[Total required water points]]-WWWW[[#This Row],['#Water points coverage]]&lt;0,0,WWWW[[#This Row],[Total required water points]]-WWWW[[#This Row],['#Water points coverage]])</f>
        <v>0.74</v>
      </c>
      <c r="CU454" s="867">
        <f>ROUND(IF(WWWW[[#This Row],[Total PoP ]]&lt;500,1,WWWW[[#This Row],[Total PoP ]]/500),0)</f>
        <v>1</v>
      </c>
      <c r="CV454" s="867">
        <f>(WWWW[[#This Row],['#_Constructed latrines_by_WASHAgencies]]+WWWW[[#This Row],['#_Non Cluster partner latrines]])-WWWW[[#This Row],['#_Non-functional latrines]]</f>
        <v>4</v>
      </c>
      <c r="CW454" s="804">
        <f>WWWW[[#This Row],[HRP2]]/WWWW[[#This Row],[Total PoP ]]</f>
        <v>0.61538461538461542</v>
      </c>
      <c r="CX45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45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4" s="473">
        <f>IF(WWWW[[#This Row],['# of functional latrines in THF supported by WASH partners during the reporting period2]]="",0,WWWW[[#This Row],['# of functional latrines in THF supported by WASH partners during the reporting period2]]*50)</f>
        <v>0</v>
      </c>
      <c r="DB454" s="473">
        <f>WWWW[[#This Row],['# students access to functioning school latrines_HRP5]]+WWWW[[#This Row],['# People access to functioning latrines in THF_HRP5]]</f>
        <v>0</v>
      </c>
      <c r="DC454" s="867">
        <f>ROUND(IF(WWWW[[#This Row],[Location Type 1]]="camp",WWWW[[#This Row],[Total PoP ]]/20,IF(WWWW[[#This Row],[Location Type 1]]="Temporary Location",WWWW[[#This Row],[Total PoP ]]/50,(WWWW[[#This Row],[Total PoP ]]/6))),0)</f>
        <v>7</v>
      </c>
      <c r="DD454" s="867">
        <f>IF(WWWW[[#This Row],[Total required Latrines]]-(WWWW[[#This Row],['#_Constructed latrines_by_WASHAgencies]]+WWWW[[#This Row],['#_Non Cluster partner latrines]])&lt;0,0,WWWW[[#This Row],[Total required Latrines]]-(WWWW[[#This Row],['#_Constructed latrines_by_WASHAgencies]]+WWWW[[#This Row],['#_Non Cluster partner latrines]]))</f>
        <v>3</v>
      </c>
      <c r="DE454" s="869">
        <f>1-WWWW[[#This Row],[% people access to functioning Latrine]]</f>
        <v>0.38461538461538458</v>
      </c>
      <c r="DF454" s="868">
        <f>IF(OR(WWWW[[#This Row],['#_Non-functional latrines]]="",WWWW[[#This Row],['#_Non-functional latrines]]=0),0,WWWW[[#This Row],['#_Non-functional latrines]]/(WWWW[[#This Row],['#_Constructed latrines_by_WASHAgencies]]+WWWW[[#This Row],['#_Non Cluster partner latrines]]))</f>
        <v>0</v>
      </c>
      <c r="DG454" s="864">
        <f>IF(500*(WWWW[[#This Row],['#_male hygiene promoters]]+WWWW[[#This Row],['#_female hygiene promoters]])&gt;WWWW[[#This Row],[Total PoP ]],WWWW[[#This Row],[Total PoP ]],500*(WWWW[[#This Row],['#_male hygiene promoters]]+WWWW[[#This Row],['#_female hygiene promoters]]))</f>
        <v>0</v>
      </c>
      <c r="DH45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5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4" s="867">
        <f>IF(WWWW[[#This Row],['# People with access to soap]]&gt;WWWW[[#This Row],['# People with access to Sanity Pads]],WWWW[[#This Row],['# People with access to soap]],WWWW[[#This Row],['# People with access to Sanity Pads]])</f>
        <v>30</v>
      </c>
      <c r="DK454" s="867">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454" s="869">
        <f>IF(WWWW[[#This Row],[HRP3]]/WWWW[[#This Row],[Total PoP ]]&gt;1,1,WWWW[[#This Row],[HRP3]]/WWWW[[#This Row],[Total PoP ]])</f>
        <v>0.23076923076923078</v>
      </c>
      <c r="DM454" s="868">
        <f>1-WWWW[[#This Row],[Hygiene Coverage%]]</f>
        <v>0.76923076923076916</v>
      </c>
      <c r="DN454" s="866">
        <f>WWWW[[#This Row],['# people reached by regular dedicated hygiene promotion_5]]/WWWW[[#This Row],[Total PoP ]]</f>
        <v>0</v>
      </c>
      <c r="DO45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P45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4" s="867">
        <f>WWWW[[#This Row],['#_Constructed/Existing hand washing stations]]-WWWW[[#This Row],['#_Non-Functional_hand_washing_stations]]</f>
        <v>0</v>
      </c>
      <c r="DR454" s="864">
        <f>IF(WWWW[[#This Row],['# Functional hand washing stations during reporting period]]*20&gt;WWWW[[#This Row],[Total HH]],WWWW[[#This Row],[Total HH]],WWWW[[#This Row],['# Functional hand washing stations during reporting period]]*20)</f>
        <v>0</v>
      </c>
      <c r="DS454" s="864">
        <f>IF(WWWW[[#This Row],[Is sufficient soap available for TLS? (Yes/No)]]="yes",WWWW[[#This Row],['#_Constructed/Existing hand washing stations at TLS]],0)</f>
        <v>0</v>
      </c>
      <c r="DT454" s="479">
        <f>IF(WWWW[[#This Row],['# Functional hand washing stations during reporting period]]*100&gt;WWWW[[#This Row],[Total PoP ]],WWWW[[#This Row],[Total PoP ]],WWWW[[#This Row],['# Functional hand washing stations during reporting period]]*100)</f>
        <v>0</v>
      </c>
      <c r="DU454" s="479" t="str">
        <f>IF(OR(WWWW[[#This Row],['#_students at TLS_CFS]]="",WWWW[[#This Row],['#_students at TLS_CFS]]=0),"No","Yes")</f>
        <v>No</v>
      </c>
      <c r="DV454" s="804">
        <f>IF(WWWW[[#This Row],['#_of_affected_people_surveyed_who_report_feeling_informed_about_the_different_WASH_services_available_to_them]]="","",WWWW[[#This Row],['#_of_affected_people_surveyed_who_report_feeling_informed_about_the_different_WASH_services_available_to_them]]/WWWW[[#This Row],[Total PoP ]])</f>
        <v>7.6923076923076927E-2</v>
      </c>
      <c r="DW4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4" s="862">
        <f>VLOOKUP(WWWW[[#This Row],[Site Name]],SiteDB6[[Site Name]:[CCCM Management]],6,FALSE)</f>
        <v>0</v>
      </c>
      <c r="DZ454" s="862">
        <f>VLOOKUP(WWWW[[#This Row],[Site Name]],SiteDB6[[Site Name]:[CCCM Focal Agency]],7,FALSE)</f>
        <v>0</v>
      </c>
      <c r="EA454" s="862" t="str">
        <f>VLOOKUP(WWWW[[#This Row],[Site Name]],SiteDB6[[Site Name]:[Location Type 1]],9,FALSE)</f>
        <v>Camp</v>
      </c>
      <c r="EB454" s="862" t="str">
        <f>VLOOKUP(WWWW[[#This Row],[Site Name]],SiteDB6[[Site Name]:[Type of Accommodation]],10,FALSE)</f>
        <v>Camp</v>
      </c>
      <c r="EC454" s="862" t="str">
        <f>VLOOKUP(WWWW[[#This Row],[Site Name]],SiteDB6[[Site Name]:[Ethnic or GCA/NGCA]],11,FALSE)</f>
        <v>GCA</v>
      </c>
      <c r="ED454" s="862">
        <f>VLOOKUP(WWWW[[#This Row],[Site Name]],SiteDB6[[Site Name]:[Lat]],12,FALSE)</f>
        <v>0</v>
      </c>
      <c r="EE454" s="862">
        <f>VLOOKUP(WWWW[[#This Row],[Site Name]],SiteDB6[[Site Name]:[Long]],13,FALSE)</f>
        <v>0</v>
      </c>
      <c r="EF454" s="862">
        <f>VLOOKUP(WWWW[[#This Row],[Site Name]],SiteDB6[[Site Name]:[Pcode]],3,FALSE)</f>
        <v>0</v>
      </c>
      <c r="EG454" s="865" t="str">
        <f t="shared" si="13"/>
        <v>Covered</v>
      </c>
      <c r="EH454" s="865">
        <f>VLOOKUP(WWWW[[#This Row],[Site Name]],Site_DB!$C$389:$D$1120,2,FALSE)</f>
        <v>0</v>
      </c>
    </row>
    <row r="455" spans="1:138">
      <c r="A455" s="860" t="s">
        <v>3263</v>
      </c>
      <c r="B455" s="860" t="s">
        <v>312</v>
      </c>
      <c r="C455" s="861" t="s">
        <v>312</v>
      </c>
      <c r="D455" s="861"/>
      <c r="E455" s="861" t="s">
        <v>39</v>
      </c>
      <c r="F455" s="861" t="s">
        <v>162</v>
      </c>
      <c r="G455" s="721" t="str">
        <f>VLOOKUP(WWWW[[#This Row],[Site Name]],SiteDB6[[Site Name]:[Location Type]],8,FALSE)</f>
        <v>Camp</v>
      </c>
      <c r="H455" s="861" t="s">
        <v>3130</v>
      </c>
      <c r="I455" s="851">
        <v>30</v>
      </c>
      <c r="J455" s="851">
        <v>159</v>
      </c>
      <c r="K455" s="863"/>
      <c r="L455" s="859"/>
      <c r="M455" s="851"/>
      <c r="N455" s="851"/>
      <c r="O455" s="851"/>
      <c r="P455" s="851"/>
      <c r="Q455" s="864"/>
      <c r="R455" s="851"/>
      <c r="S455" s="851">
        <v>4</v>
      </c>
      <c r="T455" s="523"/>
      <c r="U455" s="851"/>
      <c r="V455" s="851"/>
      <c r="W455" s="851"/>
      <c r="X455" s="851"/>
      <c r="Y455" s="851"/>
      <c r="Z455" s="851"/>
      <c r="AA455" s="851"/>
      <c r="AB455" s="851"/>
      <c r="AC455" s="851"/>
      <c r="AD455" s="851"/>
      <c r="AE455" s="851"/>
      <c r="AF455" s="851"/>
      <c r="AG455" s="851"/>
      <c r="AH455" s="851"/>
      <c r="AI455" s="851"/>
      <c r="AJ455" s="851"/>
      <c r="AK455" s="851"/>
      <c r="AL455" s="851"/>
      <c r="AM455" s="851"/>
      <c r="AN455" s="851"/>
      <c r="AO455" s="865"/>
      <c r="AP455" s="851"/>
      <c r="AQ455" s="851"/>
      <c r="AR455" s="866"/>
      <c r="AS455" s="851"/>
      <c r="AT455" s="851"/>
      <c r="AU455" s="851"/>
      <c r="AV455" s="851"/>
      <c r="AW455" s="851"/>
      <c r="AX455" s="862"/>
      <c r="AY455" s="865"/>
      <c r="AZ455" s="851"/>
      <c r="BA455" s="851"/>
      <c r="BB455" s="851"/>
      <c r="BC455" s="523"/>
      <c r="BD455" s="523"/>
      <c r="BE455" s="862"/>
      <c r="BF455" s="851"/>
      <c r="BG455" s="851"/>
      <c r="BH455" s="851"/>
      <c r="BI455" s="851"/>
      <c r="BJ455" s="851"/>
      <c r="BK455" s="851"/>
      <c r="BL455" s="851"/>
      <c r="BM455" s="851"/>
      <c r="BN455" s="851"/>
      <c r="BO455" s="862"/>
      <c r="BP455" s="867"/>
      <c r="BQ455" s="866"/>
      <c r="BR455" s="862"/>
      <c r="BS455" s="472"/>
      <c r="BT455" s="472"/>
      <c r="BU455" s="474"/>
      <c r="BV455" s="472"/>
      <c r="BW455" s="523"/>
      <c r="BX455" s="523"/>
      <c r="BY455" s="523"/>
      <c r="BZ455" s="868" t="str">
        <f>IFERROR(WWWW[[#This Row],['#_Water sources passed]]/WWWW[[#This Row],['#_Water sources tested for fecal coliform ]],"no test")</f>
        <v>no test</v>
      </c>
      <c r="CA455" s="866" t="str">
        <f>IFERROR(WWWW[[#This Row],['#_Household passed]]/WWWW[[#This Row],['#_Household water samples tested for fecal coliform]],"no test")</f>
        <v>no test</v>
      </c>
      <c r="CB455" s="867" t="str">
        <f>IF(AND(WWWW[[#This Row],[% of water sources passed]]="no test",WWWW[[#This Row],[% Household passed]]="no test"),"No Test","Tested")</f>
        <v>No Test</v>
      </c>
      <c r="CC455" s="867">
        <f>WWWW[[#This Row],['#_Constructed/existing protected hand dug well]]-WWWW[[#This Row],['#_Non-functional protected hand dug well]]</f>
        <v>0</v>
      </c>
      <c r="CD455" s="867">
        <f>(WWWW[[#This Row],['#_Constructed/Existing tube wells/boreholes/handpumps_WASH_agency]]+WWWW[[#This Row],['#_Non-Cluster partner water tube-wells/boreholes/handpumps]])-WWWW[[#This Row],['#_Non-functional tube wells/boreholes/handpumps]]</f>
        <v>0</v>
      </c>
      <c r="CE455" s="867">
        <f>WWWW[[#This Row],['#_Constructed/Existingwater storage tank with gravity fed reticulation system]]-WWWW[[#This Row],['#_Non-functional storage tank gravity fed reticulation system]]</f>
        <v>0</v>
      </c>
      <c r="CF455" s="867">
        <f>(WWWW[[#This Row],['#_Water_Liters_supplied_by_Water boating or water trucking]]/90)/15</f>
        <v>0</v>
      </c>
      <c r="CG455" s="867">
        <f>WWWW[[#This Row],['#_Water_Liters_from_Constructed/Existing water distribution system from river or natural spring]]/90/15</f>
        <v>0</v>
      </c>
      <c r="CH455" s="473">
        <f>WWWW[[#This Row],['#_of water points in TLS/CFS /THF]]*500</f>
        <v>0</v>
      </c>
      <c r="CI45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5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55" s="866">
        <f>IF(WWWW[[#This Row],[Location Type 1]]="Village",WWWW[[#This Row],[Access to safe drinking water for Village]],WWWW[[#This Row],[Access to safe drinking water for Camp]])</f>
        <v>0</v>
      </c>
      <c r="CL455" s="864">
        <f>WWWW[[#This Row],[%Equitable and continuous access to sufficient quantity of safe drinking water]]*WWWW[[#This Row],[Total PoP ]]</f>
        <v>0</v>
      </c>
      <c r="CM455" s="866">
        <f>IF((WWWW[[#This Row],['#_Constructed/Existing protected/fenced ponds]]*250)/WWWW[[#This Row],[Total PoP ]]&gt;1,1,(WWWW[[#This Row],['#_Constructed/Existing protected/fenced ponds]]*250)/WWWW[[#This Row],[Total PoP ]])</f>
        <v>0</v>
      </c>
      <c r="CN455" s="864">
        <f>WWWW[[#This Row],[% Access to unimproved water points]]*WWWW[[#This Row],[Total PoP ]]</f>
        <v>0</v>
      </c>
      <c r="CO45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5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55" s="864">
        <f>WWWW[[#This Row],[HRP1]]/500</f>
        <v>0</v>
      </c>
      <c r="CR455" s="869">
        <f>1-WWWW[[#This Row],[% Equitable and continuous access to sufficient quantity of domestic water]]</f>
        <v>1</v>
      </c>
      <c r="CS455" s="864">
        <f>WWWW[[#This Row],[%equitable and continuous access to sufficient quantity of safe drinking and domestic water''s GAP]]*WWWW[[#This Row],[Total PoP ]]</f>
        <v>159</v>
      </c>
      <c r="CT455" s="867">
        <f>IF(WWWW[[#This Row],[Total required water points]]-WWWW[[#This Row],['#Water points coverage]]&lt;0,0,WWWW[[#This Row],[Total required water points]]-WWWW[[#This Row],['#Water points coverage]])</f>
        <v>1</v>
      </c>
      <c r="CU455" s="867">
        <f>ROUND(IF(WWWW[[#This Row],[Total PoP ]]&lt;500,1,WWWW[[#This Row],[Total PoP ]]/500),0)</f>
        <v>1</v>
      </c>
      <c r="CV455" s="867">
        <f>(WWWW[[#This Row],['#_Constructed latrines_by_WASHAgencies]]+WWWW[[#This Row],['#_Non Cluster partner latrines]])-WWWW[[#This Row],['#_Non-functional latrines]]</f>
        <v>0</v>
      </c>
      <c r="CW455" s="804">
        <f>WWWW[[#This Row],[HRP2]]/WWWW[[#This Row],[Total PoP ]]</f>
        <v>0</v>
      </c>
      <c r="CX45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5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5" s="473">
        <f>IF(WWWW[[#This Row],['# of functional latrines in THF supported by WASH partners during the reporting period2]]="",0,WWWW[[#This Row],['# of functional latrines in THF supported by WASH partners during the reporting period2]]*50)</f>
        <v>0</v>
      </c>
      <c r="DB455" s="473">
        <f>WWWW[[#This Row],['# students access to functioning school latrines_HRP5]]+WWWW[[#This Row],['# People access to functioning latrines in THF_HRP5]]</f>
        <v>0</v>
      </c>
      <c r="DC455" s="867">
        <f>ROUND(IF(WWWW[[#This Row],[Location Type 1]]="camp",WWWW[[#This Row],[Total PoP ]]/20,IF(WWWW[[#This Row],[Location Type 1]]="Temporary Location",WWWW[[#This Row],[Total PoP ]]/50,(WWWW[[#This Row],[Total PoP ]]/6))),0)</f>
        <v>8</v>
      </c>
      <c r="DD455" s="867">
        <f>IF(WWWW[[#This Row],[Total required Latrines]]-(WWWW[[#This Row],['#_Constructed latrines_by_WASHAgencies]]+WWWW[[#This Row],['#_Non Cluster partner latrines]])&lt;0,0,WWWW[[#This Row],[Total required Latrines]]-(WWWW[[#This Row],['#_Constructed latrines_by_WASHAgencies]]+WWWW[[#This Row],['#_Non Cluster partner latrines]]))</f>
        <v>8</v>
      </c>
      <c r="DE455" s="869">
        <f>1-WWWW[[#This Row],[% people access to functioning Latrine]]</f>
        <v>1</v>
      </c>
      <c r="DF455" s="868">
        <f>IF(OR(WWWW[[#This Row],['#_Non-functional latrines]]="",WWWW[[#This Row],['#_Non-functional latrines]]=0),0,WWWW[[#This Row],['#_Non-functional latrines]]/(WWWW[[#This Row],['#_Constructed latrines_by_WASHAgencies]]+WWWW[[#This Row],['#_Non Cluster partner latrines]]))</f>
        <v>0</v>
      </c>
      <c r="DG455" s="864">
        <f>IF(500*(WWWW[[#This Row],['#_male hygiene promoters]]+WWWW[[#This Row],['#_female hygiene promoters]])&gt;WWWW[[#This Row],[Total PoP ]],WWWW[[#This Row],[Total PoP ]],500*(WWWW[[#This Row],['#_male hygiene promoters]]+WWWW[[#This Row],['#_female hygiene promoters]]))</f>
        <v>0</v>
      </c>
      <c r="DH45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5" s="867">
        <f>IF(WWWW[[#This Row],['# People with access to soap]]&gt;WWWW[[#This Row],['# People with access to Sanity Pads]],WWWW[[#This Row],['# People with access to soap]],WWWW[[#This Row],['# People with access to Sanity Pads]])</f>
        <v>0</v>
      </c>
      <c r="DK45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55" s="869">
        <f>IF(WWWW[[#This Row],[HRP3]]/WWWW[[#This Row],[Total PoP ]]&gt;1,1,WWWW[[#This Row],[HRP3]]/WWWW[[#This Row],[Total PoP ]])</f>
        <v>0</v>
      </c>
      <c r="DM455" s="868">
        <f>1-WWWW[[#This Row],[Hygiene Coverage%]]</f>
        <v>1</v>
      </c>
      <c r="DN455" s="866">
        <f>WWWW[[#This Row],['# people reached by regular dedicated hygiene promotion_5]]/WWWW[[#This Row],[Total PoP ]]</f>
        <v>0</v>
      </c>
      <c r="DO45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5" s="867">
        <f>WWWW[[#This Row],['#_Constructed/Existing hand washing stations]]-WWWW[[#This Row],['#_Non-Functional_hand_washing_stations]]</f>
        <v>0</v>
      </c>
      <c r="DR455" s="864">
        <f>IF(WWWW[[#This Row],['# Functional hand washing stations during reporting period]]*20&gt;WWWW[[#This Row],[Total HH]],WWWW[[#This Row],[Total HH]],WWWW[[#This Row],['# Functional hand washing stations during reporting period]]*20)</f>
        <v>0</v>
      </c>
      <c r="DS455" s="864">
        <f>IF(WWWW[[#This Row],[Is sufficient soap available for TLS? (Yes/No)]]="yes",WWWW[[#This Row],['#_Constructed/Existing hand washing stations at TLS]],0)</f>
        <v>0</v>
      </c>
      <c r="DT455" s="479">
        <f>IF(WWWW[[#This Row],['# Functional hand washing stations during reporting period]]*100&gt;WWWW[[#This Row],[Total PoP ]],WWWW[[#This Row],[Total PoP ]],WWWW[[#This Row],['# Functional hand washing stations during reporting period]]*100)</f>
        <v>0</v>
      </c>
      <c r="DU455" s="479" t="str">
        <f>IF(OR(WWWW[[#This Row],['#_students at TLS_CFS]]="",WWWW[[#This Row],['#_students at TLS_CFS]]=0),"No","Yes")</f>
        <v>No</v>
      </c>
      <c r="DV45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5" s="862">
        <f>VLOOKUP(WWWW[[#This Row],[Site Name]],SiteDB6[[Site Name]:[CCCM Management]],6,FALSE)</f>
        <v>0</v>
      </c>
      <c r="DZ455" s="862" t="str">
        <f>VLOOKUP(WWWW[[#This Row],[Site Name]],SiteDB6[[Site Name]:[CCCM Focal Agency]],7,FALSE)</f>
        <v>uncovered</v>
      </c>
      <c r="EA455" s="862" t="str">
        <f>VLOOKUP(WWWW[[#This Row],[Site Name]],SiteDB6[[Site Name]:[Location Type 1]],9,FALSE)</f>
        <v>Camp</v>
      </c>
      <c r="EB455" s="862" t="str">
        <f>VLOOKUP(WWWW[[#This Row],[Site Name]],SiteDB6[[Site Name]:[Type of Accommodation]],10,FALSE)</f>
        <v>Camp like setting</v>
      </c>
      <c r="EC455" s="862" t="str">
        <f>VLOOKUP(WWWW[[#This Row],[Site Name]],SiteDB6[[Site Name]:[Ethnic or GCA/NGCA]],11,FALSE)</f>
        <v>GCA</v>
      </c>
      <c r="ED455" s="862">
        <f>VLOOKUP(WWWW[[#This Row],[Site Name]],SiteDB6[[Site Name]:[Lat]],12,FALSE)</f>
        <v>25.387892000000001</v>
      </c>
      <c r="EE455" s="862">
        <f>VLOOKUP(WWWW[[#This Row],[Site Name]],SiteDB6[[Site Name]:[Long]],13,FALSE)</f>
        <v>97.325181999999998</v>
      </c>
      <c r="EF455" s="862" t="str">
        <f>VLOOKUP(WWWW[[#This Row],[Site Name]],SiteDB6[[Site Name]:[Pcode]],3,FALSE)</f>
        <v>MMR001CMP276</v>
      </c>
      <c r="EG455" s="865" t="str">
        <f t="shared" si="13"/>
        <v>Notcovered</v>
      </c>
      <c r="EH455" s="865" t="str">
        <f>VLOOKUP(WWWW[[#This Row],[Site Name]],Site_DB!$C$389:$D$1120,2,FALSE)</f>
        <v>cccm_2019OCT</v>
      </c>
    </row>
    <row r="456" spans="1:138">
      <c r="A456" s="860" t="s">
        <v>3263</v>
      </c>
      <c r="B456" s="860" t="s">
        <v>3376</v>
      </c>
      <c r="C456" s="861" t="s">
        <v>3376</v>
      </c>
      <c r="D456" s="404" t="s">
        <v>3644</v>
      </c>
      <c r="E456" s="861" t="s">
        <v>39</v>
      </c>
      <c r="F456" s="861" t="s">
        <v>208</v>
      </c>
      <c r="G456" s="721" t="str">
        <f>VLOOKUP(WWWW[[#This Row],[Site Name]],SiteDB6[[Site Name]:[Location Type]],8,FALSE)</f>
        <v>Camp_not registered</v>
      </c>
      <c r="H456" s="861" t="s">
        <v>209</v>
      </c>
      <c r="I456" s="851">
        <v>126</v>
      </c>
      <c r="J456" s="851">
        <v>571</v>
      </c>
      <c r="K456" s="863" t="s">
        <v>3606</v>
      </c>
      <c r="L456" s="859" t="s">
        <v>3605</v>
      </c>
      <c r="M456" s="851"/>
      <c r="N456" s="851"/>
      <c r="O456" s="851">
        <v>4</v>
      </c>
      <c r="P456" s="851"/>
      <c r="Q456" s="864" t="s">
        <v>43</v>
      </c>
      <c r="R456" s="851">
        <v>2</v>
      </c>
      <c r="S456" s="851">
        <v>3</v>
      </c>
      <c r="T456" s="523">
        <v>1</v>
      </c>
      <c r="U456" s="851"/>
      <c r="V456" s="851"/>
      <c r="W456" s="851">
        <v>1</v>
      </c>
      <c r="X456" s="851">
        <v>1</v>
      </c>
      <c r="Y456" s="851"/>
      <c r="Z456" s="851"/>
      <c r="AA456" s="851"/>
      <c r="AB456" s="851"/>
      <c r="AC456" s="851"/>
      <c r="AD456" s="851"/>
      <c r="AE456" s="851"/>
      <c r="AF456" s="851"/>
      <c r="AG456" s="851"/>
      <c r="AH456" s="851"/>
      <c r="AI456" s="851"/>
      <c r="AJ456" s="851"/>
      <c r="AK456" s="851"/>
      <c r="AL456" s="851"/>
      <c r="AM456" s="851">
        <v>2</v>
      </c>
      <c r="AN456" s="851"/>
      <c r="AO456" s="865" t="s">
        <v>3380</v>
      </c>
      <c r="AP456" s="851">
        <v>28</v>
      </c>
      <c r="AQ456" s="851"/>
      <c r="AR456" s="866"/>
      <c r="AS456" s="851"/>
      <c r="AT456" s="851"/>
      <c r="AU456" s="851"/>
      <c r="AV456" s="851"/>
      <c r="AW456" s="851"/>
      <c r="AX456" s="862" t="s">
        <v>43</v>
      </c>
      <c r="AY456" s="865" t="s">
        <v>140</v>
      </c>
      <c r="AZ456" s="851"/>
      <c r="BA456" s="851"/>
      <c r="BB456" s="851">
        <v>3</v>
      </c>
      <c r="BC456" s="523"/>
      <c r="BD456" s="523"/>
      <c r="BE456" s="862"/>
      <c r="BF456" s="851">
        <v>12</v>
      </c>
      <c r="BG456" s="851"/>
      <c r="BH456" s="851"/>
      <c r="BI456" s="851">
        <v>3</v>
      </c>
      <c r="BJ456" s="851"/>
      <c r="BK456" s="851"/>
      <c r="BL456" s="851">
        <v>4</v>
      </c>
      <c r="BM456" s="851">
        <v>126</v>
      </c>
      <c r="BN456" s="851"/>
      <c r="BO456" s="862" t="s">
        <v>139</v>
      </c>
      <c r="BP456" s="867"/>
      <c r="BQ456" s="866"/>
      <c r="BR456" s="806" t="s">
        <v>3645</v>
      </c>
      <c r="BS456" s="472"/>
      <c r="BT456" s="472"/>
      <c r="BU456" s="474"/>
      <c r="BV456" s="472"/>
      <c r="BW456" s="523"/>
      <c r="BX456" s="523"/>
      <c r="BY456" s="523"/>
      <c r="BZ456" s="868" t="str">
        <f>IFERROR(WWWW[[#This Row],['#_Water sources passed]]/WWWW[[#This Row],['#_Water sources tested for fecal coliform ]],"no test")</f>
        <v>no test</v>
      </c>
      <c r="CA456" s="866" t="str">
        <f>IFERROR(WWWW[[#This Row],['#_Household passed]]/WWWW[[#This Row],['#_Household water samples tested for fecal coliform]],"no test")</f>
        <v>no test</v>
      </c>
      <c r="CB456" s="867" t="str">
        <f>IF(AND(WWWW[[#This Row],[% of water sources passed]]="no test",WWWW[[#This Row],[% Household passed]]="no test"),"No Test","Tested")</f>
        <v>No Test</v>
      </c>
      <c r="CC456" s="867">
        <f>WWWW[[#This Row],['#_Constructed/existing protected hand dug well]]-WWWW[[#This Row],['#_Non-functional protected hand dug well]]</f>
        <v>1</v>
      </c>
      <c r="CD456" s="867">
        <f>(WWWW[[#This Row],['#_Constructed/Existing tube wells/boreholes/handpumps_WASH_agency]]+WWWW[[#This Row],['#_Non-Cluster partner water tube-wells/boreholes/handpumps]])-WWWW[[#This Row],['#_Non-functional tube wells/boreholes/handpumps]]</f>
        <v>2</v>
      </c>
      <c r="CE456" s="867">
        <f>WWWW[[#This Row],['#_Constructed/Existingwater storage tank with gravity fed reticulation system]]-WWWW[[#This Row],['#_Non-functional storage tank gravity fed reticulation system]]</f>
        <v>0</v>
      </c>
      <c r="CF456" s="867">
        <f>(WWWW[[#This Row],['#_Water_Liters_supplied_by_Water boating or water trucking]]/90)/15</f>
        <v>0</v>
      </c>
      <c r="CG456" s="867">
        <f>WWWW[[#This Row],['#_Water_Liters_from_Constructed/Existing water distribution system from river or natural spring]]/90/15</f>
        <v>0</v>
      </c>
      <c r="CH456" s="473">
        <f>WWWW[[#This Row],['#_of water points in TLS/CFS /THF]]*500</f>
        <v>0</v>
      </c>
      <c r="CI45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56" s="866">
        <f>IF(WWWW[[#This Row],[Location Type 1]]="Village",WWWW[[#This Row],[Access to safe drinking water for Village]],WWWW[[#This Row],[Access to safe drinking water for Camp]])</f>
        <v>1</v>
      </c>
      <c r="CL456" s="864">
        <f>WWWW[[#This Row],[%Equitable and continuous access to sufficient quantity of safe drinking water]]*WWWW[[#This Row],[Total PoP ]]</f>
        <v>571</v>
      </c>
      <c r="CM456" s="866">
        <f>IF((WWWW[[#This Row],['#_Constructed/Existing protected/fenced ponds]]*250)/WWWW[[#This Row],[Total PoP ]]&gt;1,1,(WWWW[[#This Row],['#_Constructed/Existing protected/fenced ponds]]*250)/WWWW[[#This Row],[Total PoP ]])</f>
        <v>0</v>
      </c>
      <c r="CN456" s="864">
        <f>WWWW[[#This Row],[% Access to unimproved water points]]*WWWW[[#This Row],[Total PoP ]]</f>
        <v>0</v>
      </c>
      <c r="CO45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571</v>
      </c>
      <c r="CQ456" s="864">
        <f>WWWW[[#This Row],[HRP1]]/500</f>
        <v>1.1419999999999999</v>
      </c>
      <c r="CR456" s="869">
        <f>1-WWWW[[#This Row],[% Equitable and continuous access to sufficient quantity of domestic water]]</f>
        <v>0</v>
      </c>
      <c r="CS456" s="864">
        <f>WWWW[[#This Row],[%equitable and continuous access to sufficient quantity of safe drinking and domestic water''s GAP]]*WWWW[[#This Row],[Total PoP ]]</f>
        <v>0</v>
      </c>
      <c r="CT456" s="867">
        <f>IF(WWWW[[#This Row],[Total required water points]]-WWWW[[#This Row],['#Water points coverage]]&lt;0,0,WWWW[[#This Row],[Total required water points]]-WWWW[[#This Row],['#Water points coverage]])</f>
        <v>0</v>
      </c>
      <c r="CU456" s="867">
        <f>ROUND(IF(WWWW[[#This Row],[Total PoP ]]&lt;500,1,WWWW[[#This Row],[Total PoP ]]/500),0)</f>
        <v>1</v>
      </c>
      <c r="CV456" s="867">
        <f>(WWWW[[#This Row],['#_Constructed latrines_by_WASHAgencies]]+WWWW[[#This Row],['#_Non Cluster partner latrines]])-WWWW[[#This Row],['#_Non-functional latrines]]</f>
        <v>28</v>
      </c>
      <c r="CW456" s="804">
        <f>WWWW[[#This Row],[HRP2]]/WWWW[[#This Row],[Total PoP ]]</f>
        <v>0.98073555166374782</v>
      </c>
      <c r="CX45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45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6" s="473">
        <f>IF(WWWW[[#This Row],['# of functional latrines in THF supported by WASH partners during the reporting period2]]="",0,WWWW[[#This Row],['# of functional latrines in THF supported by WASH partners during the reporting period2]]*50)</f>
        <v>0</v>
      </c>
      <c r="DB456" s="473">
        <f>WWWW[[#This Row],['# students access to functioning school latrines_HRP5]]+WWWW[[#This Row],['# People access to functioning latrines in THF_HRP5]]</f>
        <v>0</v>
      </c>
      <c r="DC456" s="867">
        <f>ROUND(IF(WWWW[[#This Row],[Location Type 1]]="camp",WWWW[[#This Row],[Total PoP ]]/20,IF(WWWW[[#This Row],[Location Type 1]]="Temporary Location",WWWW[[#This Row],[Total PoP ]]/50,(WWWW[[#This Row],[Total PoP ]]/6))),0)</f>
        <v>29</v>
      </c>
      <c r="DD456" s="867">
        <f>IF(WWWW[[#This Row],[Total required Latrines]]-(WWWW[[#This Row],['#_Constructed latrines_by_WASHAgencies]]+WWWW[[#This Row],['#_Non Cluster partner latrines]])&lt;0,0,WWWW[[#This Row],[Total required Latrines]]-(WWWW[[#This Row],['#_Constructed latrines_by_WASHAgencies]]+WWWW[[#This Row],['#_Non Cluster partner latrines]]))</f>
        <v>1</v>
      </c>
      <c r="DE456" s="869">
        <f>1-WWWW[[#This Row],[% people access to functioning Latrine]]</f>
        <v>1.9264448336252182E-2</v>
      </c>
      <c r="DF456" s="868">
        <f>IF(OR(WWWW[[#This Row],['#_Non-functional latrines]]="",WWWW[[#This Row],['#_Non-functional latrines]]=0),0,WWWW[[#This Row],['#_Non-functional latrines]]/(WWWW[[#This Row],['#_Constructed latrines_by_WASHAgencies]]+WWWW[[#This Row],['#_Non Cluster partner latrines]]))</f>
        <v>0</v>
      </c>
      <c r="DG456" s="864">
        <f>IF(500*(WWWW[[#This Row],['#_male hygiene promoters]]+WWWW[[#This Row],['#_female hygiene promoters]])&gt;WWWW[[#This Row],[Total PoP ]],WWWW[[#This Row],[Total PoP ]],500*(WWWW[[#This Row],['#_male hygiene promoters]]+WWWW[[#This Row],['#_female hygiene promoters]]))</f>
        <v>571</v>
      </c>
      <c r="DH45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571</v>
      </c>
      <c r="DI45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6" s="867">
        <f>IF(WWWW[[#This Row],['# People with access to soap]]&gt;WWWW[[#This Row],['# People with access to Sanity Pads]],WWWW[[#This Row],['# People with access to soap]],WWWW[[#This Row],['# People with access to Sanity Pads]])</f>
        <v>571</v>
      </c>
      <c r="DK456" s="867">
        <f>IF(WWWW[[#This Row],['# people reached by regular dedicated hygiene promotion_5]]&gt;WWWW[[#This Row],['# People received regular supply of hygiene items_6]],WWWW[[#This Row],['# people reached by regular dedicated hygiene promotion_5]],WWWW[[#This Row],['# People received regular supply of hygiene items_6]])</f>
        <v>571</v>
      </c>
      <c r="DL456" s="869">
        <f>IF(WWWW[[#This Row],[HRP3]]/WWWW[[#This Row],[Total PoP ]]&gt;1,1,WWWW[[#This Row],[HRP3]]/WWWW[[#This Row],[Total PoP ]])</f>
        <v>1</v>
      </c>
      <c r="DM456" s="868">
        <f>1-WWWW[[#This Row],[Hygiene Coverage%]]</f>
        <v>0</v>
      </c>
      <c r="DN456" s="866">
        <f>WWWW[[#This Row],['# people reached by regular dedicated hygiene promotion_5]]/WWWW[[#This Row],[Total PoP ]]</f>
        <v>1</v>
      </c>
      <c r="DO45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5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6" s="867">
        <f>WWWW[[#This Row],['#_Constructed/Existing hand washing stations]]-WWWW[[#This Row],['#_Non-Functional_hand_washing_stations]]</f>
        <v>12</v>
      </c>
      <c r="DR456" s="864">
        <f>IF(WWWW[[#This Row],['# Functional hand washing stations during reporting period]]*20&gt;WWWW[[#This Row],[Total HH]],WWWW[[#This Row],[Total HH]],WWWW[[#This Row],['# Functional hand washing stations during reporting period]]*20)</f>
        <v>126</v>
      </c>
      <c r="DS456" s="864">
        <f>IF(WWWW[[#This Row],[Is sufficient soap available for TLS? (Yes/No)]]="yes",WWWW[[#This Row],['#_Constructed/Existing hand washing stations at TLS]],0)</f>
        <v>0</v>
      </c>
      <c r="DT456" s="479">
        <f>IF(WWWW[[#This Row],['# Functional hand washing stations during reporting period]]*100&gt;WWWW[[#This Row],[Total PoP ]],WWWW[[#This Row],[Total PoP ]],WWWW[[#This Row],['# Functional hand washing stations during reporting period]]*100)</f>
        <v>571</v>
      </c>
      <c r="DU456" s="479" t="str">
        <f>IF(OR(WWWW[[#This Row],['#_students at TLS_CFS]]="",WWWW[[#This Row],['#_students at TLS_CFS]]=0),"No","Yes")</f>
        <v>No</v>
      </c>
      <c r="DV45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6" s="862">
        <f>VLOOKUP(WWWW[[#This Row],[Site Name]],SiteDB6[[Site Name]:[CCCM Management]],6,FALSE)</f>
        <v>0</v>
      </c>
      <c r="DZ456" s="862">
        <f>VLOOKUP(WWWW[[#This Row],[Site Name]],SiteDB6[[Site Name]:[CCCM Focal Agency]],7,FALSE)</f>
        <v>0</v>
      </c>
      <c r="EA456" s="862" t="str">
        <f>VLOOKUP(WWWW[[#This Row],[Site Name]],SiteDB6[[Site Name]:[Location Type 1]],9,FALSE)</f>
        <v>Camp</v>
      </c>
      <c r="EB456" s="862" t="str">
        <f>VLOOKUP(WWWW[[#This Row],[Site Name]],SiteDB6[[Site Name]:[Type of Accommodation]],10,FALSE)</f>
        <v>Camp</v>
      </c>
      <c r="EC456" s="862" t="str">
        <f>VLOOKUP(WWWW[[#This Row],[Site Name]],SiteDB6[[Site Name]:[Ethnic or GCA/NGCA]],11,FALSE)</f>
        <v>GCA</v>
      </c>
      <c r="ED456" s="862">
        <f>VLOOKUP(WWWW[[#This Row],[Site Name]],SiteDB6[[Site Name]:[Lat]],12,FALSE)</f>
        <v>0</v>
      </c>
      <c r="EE456" s="862">
        <f>VLOOKUP(WWWW[[#This Row],[Site Name]],SiteDB6[[Site Name]:[Long]],13,FALSE)</f>
        <v>0</v>
      </c>
      <c r="EF456" s="862">
        <f>VLOOKUP(WWWW[[#This Row],[Site Name]],SiteDB6[[Site Name]:[Pcode]],3,FALSE)</f>
        <v>0</v>
      </c>
      <c r="EG456" s="865" t="str">
        <f t="shared" si="13"/>
        <v>Covered</v>
      </c>
      <c r="EH456" s="865">
        <f>VLOOKUP(WWWW[[#This Row],[Site Name]],Site_DB!$C$389:$D$1120,2,FALSE)</f>
        <v>0</v>
      </c>
    </row>
    <row r="457" spans="1:138">
      <c r="A457" s="860" t="s">
        <v>3263</v>
      </c>
      <c r="B457" s="860" t="s">
        <v>144</v>
      </c>
      <c r="C457" s="861" t="s">
        <v>144</v>
      </c>
      <c r="D457" s="861" t="s">
        <v>3277</v>
      </c>
      <c r="E457" s="861" t="s">
        <v>39</v>
      </c>
      <c r="F457" s="861" t="s">
        <v>162</v>
      </c>
      <c r="G457" s="721" t="str">
        <f>VLOOKUP(WWWW[[#This Row],[Site Name]],SiteDB6[[Site Name]:[Location Type]],8,FALSE)</f>
        <v>Camp</v>
      </c>
      <c r="H457" s="861" t="s">
        <v>171</v>
      </c>
      <c r="I457" s="851">
        <v>107</v>
      </c>
      <c r="J457" s="851">
        <v>534</v>
      </c>
      <c r="K457" s="863" t="s">
        <v>3278</v>
      </c>
      <c r="L457" s="859" t="s">
        <v>3279</v>
      </c>
      <c r="M457" s="851"/>
      <c r="N457" s="851"/>
      <c r="O457" s="851"/>
      <c r="P457" s="851"/>
      <c r="Q457" s="864" t="s">
        <v>43</v>
      </c>
      <c r="R457" s="851"/>
      <c r="S457" s="851">
        <v>4</v>
      </c>
      <c r="T457" s="523">
        <v>1</v>
      </c>
      <c r="U457" s="851"/>
      <c r="V457" s="851"/>
      <c r="W457" s="851">
        <v>1</v>
      </c>
      <c r="X457" s="851"/>
      <c r="Y457" s="851"/>
      <c r="Z457" s="851"/>
      <c r="AA457" s="851"/>
      <c r="AB457" s="851"/>
      <c r="AC457" s="851"/>
      <c r="AD457" s="851"/>
      <c r="AE457" s="851"/>
      <c r="AF457" s="851"/>
      <c r="AG457" s="851"/>
      <c r="AH457" s="851">
        <v>2</v>
      </c>
      <c r="AI457" s="851"/>
      <c r="AJ457" s="851"/>
      <c r="AK457" s="851"/>
      <c r="AL457" s="851"/>
      <c r="AM457" s="851"/>
      <c r="AN457" s="851"/>
      <c r="AO457" s="865"/>
      <c r="AP457" s="851">
        <v>13</v>
      </c>
      <c r="AQ457" s="851"/>
      <c r="AR457" s="866"/>
      <c r="AS457" s="851"/>
      <c r="AT457" s="851"/>
      <c r="AU457" s="851"/>
      <c r="AV457" s="851"/>
      <c r="AW457" s="851">
        <v>13</v>
      </c>
      <c r="AX457" s="862" t="s">
        <v>43</v>
      </c>
      <c r="AY457" s="865" t="s">
        <v>140</v>
      </c>
      <c r="AZ457" s="851"/>
      <c r="BA457" s="851"/>
      <c r="BB457" s="851"/>
      <c r="BC457" s="523"/>
      <c r="BD457" s="523"/>
      <c r="BE457" s="862"/>
      <c r="BF457" s="851">
        <v>4</v>
      </c>
      <c r="BG457" s="851"/>
      <c r="BH457" s="851"/>
      <c r="BI457" s="851">
        <v>2</v>
      </c>
      <c r="BJ457" s="851"/>
      <c r="BK457" s="851"/>
      <c r="BL457" s="851">
        <v>2</v>
      </c>
      <c r="BM457" s="851"/>
      <c r="BN457" s="851"/>
      <c r="BO457" s="862"/>
      <c r="BP457" s="867"/>
      <c r="BQ457" s="866"/>
      <c r="BR457" s="862"/>
      <c r="BS457" s="472"/>
      <c r="BT457" s="472"/>
      <c r="BU457" s="474"/>
      <c r="BV457" s="472"/>
      <c r="BW457" s="523"/>
      <c r="BX457" s="523"/>
      <c r="BY457" s="523"/>
      <c r="BZ457" s="868" t="str">
        <f>IFERROR(WWWW[[#This Row],['#_Water sources passed]]/WWWW[[#This Row],['#_Water sources tested for fecal coliform ]],"no test")</f>
        <v>no test</v>
      </c>
      <c r="CA457" s="866" t="str">
        <f>IFERROR(WWWW[[#This Row],['#_Household passed]]/WWWW[[#This Row],['#_Household water samples tested for fecal coliform]],"no test")</f>
        <v>no test</v>
      </c>
      <c r="CB457" s="867" t="str">
        <f>IF(AND(WWWW[[#This Row],[% of water sources passed]]="no test",WWWW[[#This Row],[% Household passed]]="no test"),"No Test","Tested")</f>
        <v>No Test</v>
      </c>
      <c r="CC457" s="867">
        <f>WWWW[[#This Row],['#_Constructed/existing protected hand dug well]]-WWWW[[#This Row],['#_Non-functional protected hand dug well]]</f>
        <v>1</v>
      </c>
      <c r="CD457" s="867">
        <f>(WWWW[[#This Row],['#_Constructed/Existing tube wells/boreholes/handpumps_WASH_agency]]+WWWW[[#This Row],['#_Non-Cluster partner water tube-wells/boreholes/handpumps]])-WWWW[[#This Row],['#_Non-functional tube wells/boreholes/handpumps]]</f>
        <v>1</v>
      </c>
      <c r="CE457" s="867">
        <f>WWWW[[#This Row],['#_Constructed/Existingwater storage tank with gravity fed reticulation system]]-WWWW[[#This Row],['#_Non-functional storage tank gravity fed reticulation system]]</f>
        <v>0</v>
      </c>
      <c r="CF457" s="867">
        <f>(WWWW[[#This Row],['#_Water_Liters_supplied_by_Water boating or water trucking]]/90)/15</f>
        <v>0</v>
      </c>
      <c r="CG457" s="867">
        <f>WWWW[[#This Row],['#_Water_Liters_from_Constructed/Existing water distribution system from river or natural spring]]/90/15</f>
        <v>0</v>
      </c>
      <c r="CH457" s="473">
        <f>WWWW[[#This Row],['#_of water points in TLS/CFS /THF]]*500</f>
        <v>0</v>
      </c>
      <c r="CI45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0.93632958801498123</v>
      </c>
      <c r="CK457" s="866">
        <f>IF(WWWW[[#This Row],[Location Type 1]]="Village",WWWW[[#This Row],[Access to safe drinking water for Village]],WWWW[[#This Row],[Access to safe drinking water for Camp]])</f>
        <v>1</v>
      </c>
      <c r="CL457" s="864">
        <f>WWWW[[#This Row],[%Equitable and continuous access to sufficient quantity of safe drinking water]]*WWWW[[#This Row],[Total PoP ]]</f>
        <v>534</v>
      </c>
      <c r="CM457" s="866">
        <f>IF((WWWW[[#This Row],['#_Constructed/Existing protected/fenced ponds]]*250)/WWWW[[#This Row],[Total PoP ]]&gt;1,1,(WWWW[[#This Row],['#_Constructed/Existing protected/fenced ponds]]*250)/WWWW[[#This Row],[Total PoP ]])</f>
        <v>0</v>
      </c>
      <c r="CN457" s="864">
        <f>WWWW[[#This Row],[% Access to unimproved water points]]*WWWW[[#This Row],[Total PoP ]]</f>
        <v>0</v>
      </c>
      <c r="CO45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Q457" s="864">
        <f>WWWW[[#This Row],[HRP1]]/500</f>
        <v>1.0680000000000001</v>
      </c>
      <c r="CR457" s="869">
        <f>1-WWWW[[#This Row],[% Equitable and continuous access to sufficient quantity of domestic water]]</f>
        <v>0</v>
      </c>
      <c r="CS457" s="864">
        <f>WWWW[[#This Row],[%equitable and continuous access to sufficient quantity of safe drinking and domestic water''s GAP]]*WWWW[[#This Row],[Total PoP ]]</f>
        <v>0</v>
      </c>
      <c r="CT457" s="867">
        <f>IF(WWWW[[#This Row],[Total required water points]]-WWWW[[#This Row],['#Water points coverage]]&lt;0,0,WWWW[[#This Row],[Total required water points]]-WWWW[[#This Row],['#Water points coverage]])</f>
        <v>0</v>
      </c>
      <c r="CU457" s="867">
        <f>ROUND(IF(WWWW[[#This Row],[Total PoP ]]&lt;500,1,WWWW[[#This Row],[Total PoP ]]/500),0)</f>
        <v>1</v>
      </c>
      <c r="CV457" s="867">
        <f>(WWWW[[#This Row],['#_Constructed latrines_by_WASHAgencies]]+WWWW[[#This Row],['#_Non Cluster partner latrines]])-WWWW[[#This Row],['#_Non-functional latrines]]</f>
        <v>13</v>
      </c>
      <c r="CW457" s="804">
        <f>WWWW[[#This Row],[HRP2]]/WWWW[[#This Row],[Total PoP ]]</f>
        <v>0.48689138576779029</v>
      </c>
      <c r="CX45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45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7" s="473">
        <f>IF(WWWW[[#This Row],['# of functional latrines in THF supported by WASH partners during the reporting period2]]="",0,WWWW[[#This Row],['# of functional latrines in THF supported by WASH partners during the reporting period2]]*50)</f>
        <v>0</v>
      </c>
      <c r="DB457" s="473">
        <f>WWWW[[#This Row],['# students access to functioning school latrines_HRP5]]+WWWW[[#This Row],['# People access to functioning latrines in THF_HRP5]]</f>
        <v>0</v>
      </c>
      <c r="DC457" s="867">
        <f>ROUND(IF(WWWW[[#This Row],[Location Type 1]]="camp",WWWW[[#This Row],[Total PoP ]]/20,IF(WWWW[[#This Row],[Location Type 1]]="Temporary Location",WWWW[[#This Row],[Total PoP ]]/50,(WWWW[[#This Row],[Total PoP ]]/6))),0)</f>
        <v>27</v>
      </c>
      <c r="DD457" s="867">
        <f>IF(WWWW[[#This Row],[Total required Latrines]]-(WWWW[[#This Row],['#_Constructed latrines_by_WASHAgencies]]+WWWW[[#This Row],['#_Non Cluster partner latrines]])&lt;0,0,WWWW[[#This Row],[Total required Latrines]]-(WWWW[[#This Row],['#_Constructed latrines_by_WASHAgencies]]+WWWW[[#This Row],['#_Non Cluster partner latrines]]))</f>
        <v>14</v>
      </c>
      <c r="DE457" s="869">
        <f>1-WWWW[[#This Row],[% people access to functioning Latrine]]</f>
        <v>0.51310861423220966</v>
      </c>
      <c r="DF457" s="868">
        <f>IF(OR(WWWW[[#This Row],['#_Non-functional latrines]]="",WWWW[[#This Row],['#_Non-functional latrines]]=0),0,WWWW[[#This Row],['#_Non-functional latrines]]/(WWWW[[#This Row],['#_Constructed latrines_by_WASHAgencies]]+WWWW[[#This Row],['#_Non Cluster partner latrines]]))</f>
        <v>0</v>
      </c>
      <c r="DG457" s="864">
        <f>IF(500*(WWWW[[#This Row],['#_male hygiene promoters]]+WWWW[[#This Row],['#_female hygiene promoters]])&gt;WWWW[[#This Row],[Total PoP ]],WWWW[[#This Row],[Total PoP ]],500*(WWWW[[#This Row],['#_male hygiene promoters]]+WWWW[[#This Row],['#_female hygiene promoters]]))</f>
        <v>534</v>
      </c>
      <c r="DH45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7" s="867">
        <f>IF(WWWW[[#This Row],['# People with access to soap]]&gt;WWWW[[#This Row],['# People with access to Sanity Pads]],WWWW[[#This Row],['# People with access to soap]],WWWW[[#This Row],['# People with access to Sanity Pads]])</f>
        <v>0</v>
      </c>
      <c r="DK457" s="867">
        <f>IF(WWWW[[#This Row],['# people reached by regular dedicated hygiene promotion_5]]&gt;WWWW[[#This Row],['# People received regular supply of hygiene items_6]],WWWW[[#This Row],['# people reached by regular dedicated hygiene promotion_5]],WWWW[[#This Row],['# People received regular supply of hygiene items_6]])</f>
        <v>534</v>
      </c>
      <c r="DL457" s="869">
        <f>IF(WWWW[[#This Row],[HRP3]]/WWWW[[#This Row],[Total PoP ]]&gt;1,1,WWWW[[#This Row],[HRP3]]/WWWW[[#This Row],[Total PoP ]])</f>
        <v>1</v>
      </c>
      <c r="DM457" s="868">
        <f>1-WWWW[[#This Row],[Hygiene Coverage%]]</f>
        <v>0</v>
      </c>
      <c r="DN457" s="866">
        <f>WWWW[[#This Row],['# people reached by regular dedicated hygiene promotion_5]]/WWWW[[#This Row],[Total PoP ]]</f>
        <v>1</v>
      </c>
      <c r="DO45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7" s="867">
        <f>WWWW[[#This Row],['#_Constructed/Existing hand washing stations]]-WWWW[[#This Row],['#_Non-Functional_hand_washing_stations]]</f>
        <v>4</v>
      </c>
      <c r="DR457" s="864">
        <f>IF(WWWW[[#This Row],['# Functional hand washing stations during reporting period]]*20&gt;WWWW[[#This Row],[Total HH]],WWWW[[#This Row],[Total HH]],WWWW[[#This Row],['# Functional hand washing stations during reporting period]]*20)</f>
        <v>80</v>
      </c>
      <c r="DS457" s="864">
        <f>IF(WWWW[[#This Row],[Is sufficient soap available for TLS? (Yes/No)]]="yes",WWWW[[#This Row],['#_Constructed/Existing hand washing stations at TLS]],0)</f>
        <v>0</v>
      </c>
      <c r="DT457" s="479">
        <f>IF(WWWW[[#This Row],['# Functional hand washing stations during reporting period]]*100&gt;WWWW[[#This Row],[Total PoP ]],WWWW[[#This Row],[Total PoP ]],WWWW[[#This Row],['# Functional hand washing stations during reporting period]]*100)</f>
        <v>400</v>
      </c>
      <c r="DU457" s="479" t="str">
        <f>IF(OR(WWWW[[#This Row],['#_students at TLS_CFS]]="",WWWW[[#This Row],['#_students at TLS_CFS]]=0),"No","Yes")</f>
        <v>No</v>
      </c>
      <c r="DV45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7" s="862" t="str">
        <f>VLOOKUP(WWWW[[#This Row],[Site Name]],SiteDB6[[Site Name]:[CCCM Management]],6,FALSE)</f>
        <v>Yes</v>
      </c>
      <c r="DZ457" s="862" t="str">
        <f>VLOOKUP(WWWW[[#This Row],[Site Name]],SiteDB6[[Site Name]:[CCCM Focal Agency]],7,FALSE)</f>
        <v>KBC-MYT</v>
      </c>
      <c r="EA457" s="862" t="str">
        <f>VLOOKUP(WWWW[[#This Row],[Site Name]],SiteDB6[[Site Name]:[Location Type 1]],9,FALSE)</f>
        <v>Camp</v>
      </c>
      <c r="EB457" s="862" t="str">
        <f>VLOOKUP(WWWW[[#This Row],[Site Name]],SiteDB6[[Site Name]:[Type of Accommodation]],10,FALSE)</f>
        <v>Camp</v>
      </c>
      <c r="EC457" s="862" t="str">
        <f>VLOOKUP(WWWW[[#This Row],[Site Name]],SiteDB6[[Site Name]:[Ethnic or GCA/NGCA]],11,FALSE)</f>
        <v>GCA</v>
      </c>
      <c r="ED457" s="862">
        <f>VLOOKUP(WWWW[[#This Row],[Site Name]],SiteDB6[[Site Name]:[Lat]],12,FALSE)</f>
        <v>25.412313000000001</v>
      </c>
      <c r="EE457" s="862">
        <f>VLOOKUP(WWWW[[#This Row],[Site Name]],SiteDB6[[Site Name]:[Long]],13,FALSE)</f>
        <v>97.399628000000007</v>
      </c>
      <c r="EF457" s="862" t="str">
        <f>VLOOKUP(WWWW[[#This Row],[Site Name]],SiteDB6[[Site Name]:[Pcode]],3,FALSE)</f>
        <v>MMR001CMP006</v>
      </c>
      <c r="EG457" s="865" t="str">
        <f t="shared" si="13"/>
        <v>Covered</v>
      </c>
      <c r="EH457" s="865" t="str">
        <f>VLOOKUP(WWWW[[#This Row],[Site Name]],Site_DB!$C$389:$D$1120,2,FALSE)</f>
        <v>cccm_2019OCT</v>
      </c>
    </row>
    <row r="458" spans="1:138">
      <c r="A458" s="860" t="s">
        <v>3263</v>
      </c>
      <c r="B458" s="860" t="s">
        <v>245</v>
      </c>
      <c r="C458" s="861" t="s">
        <v>245</v>
      </c>
      <c r="D458" s="861" t="s">
        <v>310</v>
      </c>
      <c r="E458" s="861" t="s">
        <v>39</v>
      </c>
      <c r="F458" s="861" t="s">
        <v>151</v>
      </c>
      <c r="G458" s="721" t="str">
        <f>VLOOKUP(WWWW[[#This Row],[Site Name]],SiteDB6[[Site Name]:[Location Type]],8,FALSE)</f>
        <v>Camp</v>
      </c>
      <c r="H458" s="861" t="s">
        <v>253</v>
      </c>
      <c r="I458" s="851">
        <v>36</v>
      </c>
      <c r="J458" s="851">
        <v>228</v>
      </c>
      <c r="K458" s="863">
        <v>43313</v>
      </c>
      <c r="L458" s="859">
        <v>44196</v>
      </c>
      <c r="M458" s="851"/>
      <c r="N458" s="851">
        <v>1</v>
      </c>
      <c r="O458" s="851"/>
      <c r="P458" s="851"/>
      <c r="Q458" s="864" t="s">
        <v>43</v>
      </c>
      <c r="R458" s="851">
        <v>2</v>
      </c>
      <c r="S458" s="851">
        <v>2</v>
      </c>
      <c r="T458" s="523">
        <v>2</v>
      </c>
      <c r="U458" s="851"/>
      <c r="V458" s="851"/>
      <c r="W458" s="851">
        <v>0</v>
      </c>
      <c r="X458" s="851">
        <v>0</v>
      </c>
      <c r="Y458" s="851"/>
      <c r="Z458" s="851"/>
      <c r="AA458" s="851">
        <v>0</v>
      </c>
      <c r="AB458" s="851"/>
      <c r="AC458" s="851"/>
      <c r="AD458" s="851">
        <v>0</v>
      </c>
      <c r="AE458" s="851">
        <v>0</v>
      </c>
      <c r="AF458" s="851">
        <v>0</v>
      </c>
      <c r="AG458" s="851">
        <v>0</v>
      </c>
      <c r="AH458" s="851">
        <v>1</v>
      </c>
      <c r="AI458" s="851"/>
      <c r="AJ458" s="851"/>
      <c r="AK458" s="851"/>
      <c r="AL458" s="851"/>
      <c r="AM458" s="851">
        <v>0</v>
      </c>
      <c r="AN458" s="851">
        <v>0</v>
      </c>
      <c r="AO458" s="865"/>
      <c r="AP458" s="851">
        <v>10</v>
      </c>
      <c r="AQ458" s="851">
        <v>0</v>
      </c>
      <c r="AR458" s="866" t="s">
        <v>245</v>
      </c>
      <c r="AS458" s="851"/>
      <c r="AT458" s="851"/>
      <c r="AU458" s="851"/>
      <c r="AV458" s="851"/>
      <c r="AW458" s="851">
        <v>0</v>
      </c>
      <c r="AX458" s="862" t="s">
        <v>43</v>
      </c>
      <c r="AY458" s="865" t="s">
        <v>140</v>
      </c>
      <c r="AZ458" s="851">
        <v>0</v>
      </c>
      <c r="BA458" s="851">
        <v>0</v>
      </c>
      <c r="BB458" s="851">
        <v>0</v>
      </c>
      <c r="BC458" s="523"/>
      <c r="BD458" s="523"/>
      <c r="BE458" s="862"/>
      <c r="BF458" s="851">
        <v>0</v>
      </c>
      <c r="BG458" s="851"/>
      <c r="BH458" s="851">
        <v>0</v>
      </c>
      <c r="BI458" s="851">
        <v>3</v>
      </c>
      <c r="BJ458" s="851"/>
      <c r="BK458" s="851">
        <v>2</v>
      </c>
      <c r="BL458" s="851">
        <v>2</v>
      </c>
      <c r="BM458" s="851"/>
      <c r="BN458" s="851"/>
      <c r="BO458" s="862"/>
      <c r="BP458" s="867"/>
      <c r="BQ458" s="866"/>
      <c r="BR458" s="862"/>
      <c r="BS458" s="472"/>
      <c r="BT458" s="472"/>
      <c r="BU458" s="474"/>
      <c r="BV458" s="472"/>
      <c r="BW458" s="523"/>
      <c r="BX458" s="523"/>
      <c r="BY458" s="523"/>
      <c r="BZ458" s="868" t="str">
        <f>IFERROR(WWWW[[#This Row],['#_Water sources passed]]/WWWW[[#This Row],['#_Water sources tested for fecal coliform ]],"no test")</f>
        <v>no test</v>
      </c>
      <c r="CA458" s="866" t="str">
        <f>IFERROR(WWWW[[#This Row],['#_Household passed]]/WWWW[[#This Row],['#_Household water samples tested for fecal coliform]],"no test")</f>
        <v>no test</v>
      </c>
      <c r="CB458" s="867" t="str">
        <f>IF(AND(WWWW[[#This Row],[% of water sources passed]]="no test",WWWW[[#This Row],[% Household passed]]="no test"),"No Test","Tested")</f>
        <v>No Test</v>
      </c>
      <c r="CC458" s="867">
        <f>WWWW[[#This Row],['#_Constructed/existing protected hand dug well]]-WWWW[[#This Row],['#_Non-functional protected hand dug well]]</f>
        <v>2</v>
      </c>
      <c r="CD458" s="867">
        <f>(WWWW[[#This Row],['#_Constructed/Existing tube wells/boreholes/handpumps_WASH_agency]]+WWWW[[#This Row],['#_Non-Cluster partner water tube-wells/boreholes/handpumps]])-WWWW[[#This Row],['#_Non-functional tube wells/boreholes/handpumps]]</f>
        <v>0</v>
      </c>
      <c r="CE458" s="867">
        <f>WWWW[[#This Row],['#_Constructed/Existingwater storage tank with gravity fed reticulation system]]-WWWW[[#This Row],['#_Non-functional storage tank gravity fed reticulation system]]</f>
        <v>0</v>
      </c>
      <c r="CF458" s="867">
        <f>(WWWW[[#This Row],['#_Water_Liters_supplied_by_Water boating or water trucking]]/90)/15</f>
        <v>0</v>
      </c>
      <c r="CG458" s="867">
        <f>WWWW[[#This Row],['#_Water_Liters_from_Constructed/Existing water distribution system from river or natural spring]]/90/15</f>
        <v>0</v>
      </c>
      <c r="CH458" s="473">
        <f>WWWW[[#This Row],['#_of water points in TLS/CFS /THF]]*500</f>
        <v>0</v>
      </c>
      <c r="CI45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5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58" s="866">
        <f>IF(WWWW[[#This Row],[Location Type 1]]="Village",WWWW[[#This Row],[Access to safe drinking water for Village]],WWWW[[#This Row],[Access to safe drinking water for Camp]])</f>
        <v>1</v>
      </c>
      <c r="CL458" s="864">
        <f>WWWW[[#This Row],[%Equitable and continuous access to sufficient quantity of safe drinking water]]*WWWW[[#This Row],[Total PoP ]]</f>
        <v>228</v>
      </c>
      <c r="CM458" s="866">
        <f>IF((WWWW[[#This Row],['#_Constructed/Existing protected/fenced ponds]]*250)/WWWW[[#This Row],[Total PoP ]]&gt;1,1,(WWWW[[#This Row],['#_Constructed/Existing protected/fenced ponds]]*250)/WWWW[[#This Row],[Total PoP ]])</f>
        <v>0</v>
      </c>
      <c r="CN458" s="864">
        <f>WWWW[[#This Row],[% Access to unimproved water points]]*WWWW[[#This Row],[Total PoP ]]</f>
        <v>0</v>
      </c>
      <c r="CO45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5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Q458" s="864">
        <f>WWWW[[#This Row],[HRP1]]/500</f>
        <v>0.45600000000000002</v>
      </c>
      <c r="CR458" s="869">
        <f>1-WWWW[[#This Row],[% Equitable and continuous access to sufficient quantity of domestic water]]</f>
        <v>0</v>
      </c>
      <c r="CS458" s="864">
        <f>WWWW[[#This Row],[%equitable and continuous access to sufficient quantity of safe drinking and domestic water''s GAP]]*WWWW[[#This Row],[Total PoP ]]</f>
        <v>0</v>
      </c>
      <c r="CT458" s="867">
        <f>IF(WWWW[[#This Row],[Total required water points]]-WWWW[[#This Row],['#Water points coverage]]&lt;0,0,WWWW[[#This Row],[Total required water points]]-WWWW[[#This Row],['#Water points coverage]])</f>
        <v>0.54400000000000004</v>
      </c>
      <c r="CU458" s="867">
        <f>ROUND(IF(WWWW[[#This Row],[Total PoP ]]&lt;500,1,WWWW[[#This Row],[Total PoP ]]/500),0)</f>
        <v>1</v>
      </c>
      <c r="CV458" s="867">
        <f>(WWWW[[#This Row],['#_Constructed latrines_by_WASHAgencies]]+WWWW[[#This Row],['#_Non Cluster partner latrines]])-WWWW[[#This Row],['#_Non-functional latrines]]</f>
        <v>10</v>
      </c>
      <c r="CW458" s="804">
        <f>WWWW[[#This Row],[HRP2]]/WWWW[[#This Row],[Total PoP ]]</f>
        <v>0.8771929824561403</v>
      </c>
      <c r="CX45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45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8" s="473">
        <f>IF(WWWW[[#This Row],['# of functional latrines in THF supported by WASH partners during the reporting period2]]="",0,WWWW[[#This Row],['# of functional latrines in THF supported by WASH partners during the reporting period2]]*50)</f>
        <v>0</v>
      </c>
      <c r="DB458" s="473">
        <f>WWWW[[#This Row],['# students access to functioning school latrines_HRP5]]+WWWW[[#This Row],['# People access to functioning latrines in THF_HRP5]]</f>
        <v>0</v>
      </c>
      <c r="DC458" s="867">
        <f>ROUND(IF(WWWW[[#This Row],[Location Type 1]]="camp",WWWW[[#This Row],[Total PoP ]]/20,IF(WWWW[[#This Row],[Location Type 1]]="Temporary Location",WWWW[[#This Row],[Total PoP ]]/50,(WWWW[[#This Row],[Total PoP ]]/6))),0)</f>
        <v>11</v>
      </c>
      <c r="DD458" s="867">
        <f>IF(WWWW[[#This Row],[Total required Latrines]]-(WWWW[[#This Row],['#_Constructed latrines_by_WASHAgencies]]+WWWW[[#This Row],['#_Non Cluster partner latrines]])&lt;0,0,WWWW[[#This Row],[Total required Latrines]]-(WWWW[[#This Row],['#_Constructed latrines_by_WASHAgencies]]+WWWW[[#This Row],['#_Non Cluster partner latrines]]))</f>
        <v>1</v>
      </c>
      <c r="DE458" s="869">
        <f>1-WWWW[[#This Row],[% people access to functioning Latrine]]</f>
        <v>0.1228070175438597</v>
      </c>
      <c r="DF458" s="868">
        <f>IF(OR(WWWW[[#This Row],['#_Non-functional latrines]]="",WWWW[[#This Row],['#_Non-functional latrines]]=0),0,WWWW[[#This Row],['#_Non-functional latrines]]/(WWWW[[#This Row],['#_Constructed latrines_by_WASHAgencies]]+WWWW[[#This Row],['#_Non Cluster partner latrines]]))</f>
        <v>0</v>
      </c>
      <c r="DG458" s="864">
        <f>IF(500*(WWWW[[#This Row],['#_male hygiene promoters]]+WWWW[[#This Row],['#_female hygiene promoters]])&gt;WWWW[[#This Row],[Total PoP ]],WWWW[[#This Row],[Total PoP ]],500*(WWWW[[#This Row],['#_male hygiene promoters]]+WWWW[[#This Row],['#_female hygiene promoters]]))</f>
        <v>228</v>
      </c>
      <c r="DH45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8" s="867">
        <f>IF(WWWW[[#This Row],['# People with access to soap]]&gt;WWWW[[#This Row],['# People with access to Sanity Pads]],WWWW[[#This Row],['# People with access to soap]],WWWW[[#This Row],['# People with access to Sanity Pads]])</f>
        <v>0</v>
      </c>
      <c r="DK458" s="867">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L458" s="869">
        <f>IF(WWWW[[#This Row],[HRP3]]/WWWW[[#This Row],[Total PoP ]]&gt;1,1,WWWW[[#This Row],[HRP3]]/WWWW[[#This Row],[Total PoP ]])</f>
        <v>1</v>
      </c>
      <c r="DM458" s="868">
        <f>1-WWWW[[#This Row],[Hygiene Coverage%]]</f>
        <v>0</v>
      </c>
      <c r="DN458" s="866">
        <f>WWWW[[#This Row],['# people reached by regular dedicated hygiene promotion_5]]/WWWW[[#This Row],[Total PoP ]]</f>
        <v>1</v>
      </c>
      <c r="DO45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8" s="867">
        <f>WWWW[[#This Row],['#_Constructed/Existing hand washing stations]]-WWWW[[#This Row],['#_Non-Functional_hand_washing_stations]]</f>
        <v>0</v>
      </c>
      <c r="DR458" s="864">
        <f>IF(WWWW[[#This Row],['# Functional hand washing stations during reporting period]]*20&gt;WWWW[[#This Row],[Total HH]],WWWW[[#This Row],[Total HH]],WWWW[[#This Row],['# Functional hand washing stations during reporting period]]*20)</f>
        <v>0</v>
      </c>
      <c r="DS458" s="864">
        <f>IF(WWWW[[#This Row],[Is sufficient soap available for TLS? (Yes/No)]]="yes",WWWW[[#This Row],['#_Constructed/Existing hand washing stations at TLS]],0)</f>
        <v>0</v>
      </c>
      <c r="DT458" s="479">
        <f>IF(WWWW[[#This Row],['# Functional hand washing stations during reporting period]]*100&gt;WWWW[[#This Row],[Total PoP ]],WWWW[[#This Row],[Total PoP ]],WWWW[[#This Row],['# Functional hand washing stations during reporting period]]*100)</f>
        <v>0</v>
      </c>
      <c r="DU458" s="479" t="str">
        <f>IF(OR(WWWW[[#This Row],['#_students at TLS_CFS]]="",WWWW[[#This Row],['#_students at TLS_CFS]]=0),"No","Yes")</f>
        <v>No</v>
      </c>
      <c r="DV45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8" s="862" t="str">
        <f>VLOOKUP(WWWW[[#This Row],[Site Name]],SiteDB6[[Site Name]:[CCCM Management]],6,FALSE)</f>
        <v>Yes</v>
      </c>
      <c r="DZ458" s="862" t="str">
        <f>VLOOKUP(WWWW[[#This Row],[Site Name]],SiteDB6[[Site Name]:[CCCM Focal Agency]],7,FALSE)</f>
        <v>KBC-MYT</v>
      </c>
      <c r="EA458" s="862" t="str">
        <f>VLOOKUP(WWWW[[#This Row],[Site Name]],SiteDB6[[Site Name]:[Location Type 1]],9,FALSE)</f>
        <v>Camp</v>
      </c>
      <c r="EB458" s="862" t="str">
        <f>VLOOKUP(WWWW[[#This Row],[Site Name]],SiteDB6[[Site Name]:[Type of Accommodation]],10,FALSE)</f>
        <v>Camp</v>
      </c>
      <c r="EC458" s="862" t="str">
        <f>VLOOKUP(WWWW[[#This Row],[Site Name]],SiteDB6[[Site Name]:[Ethnic or GCA/NGCA]],11,FALSE)</f>
        <v>GCA</v>
      </c>
      <c r="ED458" s="862">
        <f>VLOOKUP(WWWW[[#This Row],[Site Name]],SiteDB6[[Site Name]:[Lat]],12,FALSE)</f>
        <v>25.647649999999999</v>
      </c>
      <c r="EE458" s="862">
        <f>VLOOKUP(WWWW[[#This Row],[Site Name]],SiteDB6[[Site Name]:[Long]],13,FALSE)</f>
        <v>96.346469999999997</v>
      </c>
      <c r="EF458" s="862" t="str">
        <f>VLOOKUP(WWWW[[#This Row],[Site Name]],SiteDB6[[Site Name]:[Pcode]],3,FALSE)</f>
        <v>MMR001CMP169</v>
      </c>
      <c r="EG458" s="865" t="str">
        <f t="shared" si="13"/>
        <v>Covered</v>
      </c>
      <c r="EH458" s="865" t="str">
        <f>VLOOKUP(WWWW[[#This Row],[Site Name]],Site_DB!$C$389:$D$1120,2,FALSE)</f>
        <v>cccm_2019OCT</v>
      </c>
    </row>
    <row r="459" spans="1:138">
      <c r="A459" s="860" t="s">
        <v>3263</v>
      </c>
      <c r="B459" s="860" t="s">
        <v>38</v>
      </c>
      <c r="C459" s="861" t="s">
        <v>38</v>
      </c>
      <c r="D459" s="861" t="s">
        <v>3372</v>
      </c>
      <c r="E459" s="861" t="s">
        <v>39</v>
      </c>
      <c r="F459" s="861" t="s">
        <v>208</v>
      </c>
      <c r="G459" s="721" t="str">
        <f>VLOOKUP(WWWW[[#This Row],[Site Name]],SiteDB6[[Site Name]:[Location Type]],8,FALSE)</f>
        <v>Camp</v>
      </c>
      <c r="H459" s="861" t="s">
        <v>293</v>
      </c>
      <c r="I459" s="851">
        <v>1490</v>
      </c>
      <c r="J459" s="851">
        <v>8486</v>
      </c>
      <c r="K459" s="863" t="s">
        <v>3619</v>
      </c>
      <c r="L459" s="859" t="s">
        <v>3620</v>
      </c>
      <c r="M459" s="851"/>
      <c r="N459" s="851"/>
      <c r="O459" s="851"/>
      <c r="P459" s="851"/>
      <c r="Q459" s="864" t="s">
        <v>43</v>
      </c>
      <c r="R459" s="851"/>
      <c r="S459" s="851"/>
      <c r="T459" s="523">
        <v>1</v>
      </c>
      <c r="U459" s="851"/>
      <c r="V459" s="851"/>
      <c r="W459" s="851"/>
      <c r="X459" s="851"/>
      <c r="Y459" s="851"/>
      <c r="Z459" s="851"/>
      <c r="AA459" s="851"/>
      <c r="AB459" s="851"/>
      <c r="AC459" s="851"/>
      <c r="AD459" s="851"/>
      <c r="AE459" s="851"/>
      <c r="AF459" s="851"/>
      <c r="AG459" s="851"/>
      <c r="AH459" s="851"/>
      <c r="AI459" s="851"/>
      <c r="AJ459" s="851"/>
      <c r="AK459" s="851"/>
      <c r="AL459" s="851"/>
      <c r="AM459" s="851">
        <v>3</v>
      </c>
      <c r="AN459" s="851"/>
      <c r="AO459" s="865"/>
      <c r="AP459" s="851">
        <v>26</v>
      </c>
      <c r="AQ459" s="851"/>
      <c r="AR459" s="866"/>
      <c r="AS459" s="851"/>
      <c r="AT459" s="851"/>
      <c r="AU459" s="851"/>
      <c r="AV459" s="851"/>
      <c r="AW459" s="851"/>
      <c r="AX459" s="862" t="s">
        <v>43</v>
      </c>
      <c r="AY459" s="865" t="s">
        <v>140</v>
      </c>
      <c r="AZ459" s="851">
        <v>6</v>
      </c>
      <c r="BA459" s="851"/>
      <c r="BB459" s="851"/>
      <c r="BC459" s="523"/>
      <c r="BD459" s="523"/>
      <c r="BE459" s="862"/>
      <c r="BF459" s="851">
        <v>4</v>
      </c>
      <c r="BG459" s="851"/>
      <c r="BH459" s="851"/>
      <c r="BI459" s="851">
        <v>3</v>
      </c>
      <c r="BJ459" s="851"/>
      <c r="BK459" s="851"/>
      <c r="BL459" s="851">
        <v>9</v>
      </c>
      <c r="BM459" s="851"/>
      <c r="BN459" s="851"/>
      <c r="BO459" s="862" t="s">
        <v>139</v>
      </c>
      <c r="BP459" s="867"/>
      <c r="BQ459" s="866">
        <v>0.75</v>
      </c>
      <c r="BR459" s="862"/>
      <c r="BS459" s="472"/>
      <c r="BT459" s="472"/>
      <c r="BU459" s="474"/>
      <c r="BV459" s="472"/>
      <c r="BW459" s="523"/>
      <c r="BX459" s="523"/>
      <c r="BY459" s="523"/>
      <c r="BZ459" s="868" t="str">
        <f>IFERROR(WWWW[[#This Row],['#_Water sources passed]]/WWWW[[#This Row],['#_Water sources tested for fecal coliform ]],"no test")</f>
        <v>no test</v>
      </c>
      <c r="CA459" s="866" t="str">
        <f>IFERROR(WWWW[[#This Row],['#_Household passed]]/WWWW[[#This Row],['#_Household water samples tested for fecal coliform]],"no test")</f>
        <v>no test</v>
      </c>
      <c r="CB459" s="867" t="str">
        <f>IF(AND(WWWW[[#This Row],[% of water sources passed]]="no test",WWWW[[#This Row],[% Household passed]]="no test"),"No Test","Tested")</f>
        <v>No Test</v>
      </c>
      <c r="CC459" s="867">
        <f>WWWW[[#This Row],['#_Constructed/existing protected hand dug well]]-WWWW[[#This Row],['#_Non-functional protected hand dug well]]</f>
        <v>1</v>
      </c>
      <c r="CD459" s="867">
        <f>(WWWW[[#This Row],['#_Constructed/Existing tube wells/boreholes/handpumps_WASH_agency]]+WWWW[[#This Row],['#_Non-Cluster partner water tube-wells/boreholes/handpumps]])-WWWW[[#This Row],['#_Non-functional tube wells/boreholes/handpumps]]</f>
        <v>0</v>
      </c>
      <c r="CE459" s="867">
        <f>WWWW[[#This Row],['#_Constructed/Existingwater storage tank with gravity fed reticulation system]]-WWWW[[#This Row],['#_Non-functional storage tank gravity fed reticulation system]]</f>
        <v>0</v>
      </c>
      <c r="CF459" s="867">
        <f>(WWWW[[#This Row],['#_Water_Liters_supplied_by_Water boating or water trucking]]/90)/15</f>
        <v>0</v>
      </c>
      <c r="CG459" s="867">
        <f>WWWW[[#This Row],['#_Water_Liters_from_Constructed/Existing water distribution system from river or natural spring]]/90/15</f>
        <v>0</v>
      </c>
      <c r="CH459" s="473">
        <f>WWWW[[#This Row],['#_of water points in TLS/CFS /THF]]*500</f>
        <v>0</v>
      </c>
      <c r="CI45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J45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K459" s="866">
        <f>IF(WWWW[[#This Row],[Location Type 1]]="Village",WWWW[[#This Row],[Access to safe drinking water for Village]],WWWW[[#This Row],[Access to safe drinking water for Camp]])</f>
        <v>4.7136460051850106E-2</v>
      </c>
      <c r="CL459" s="864">
        <f>WWWW[[#This Row],[%Equitable and continuous access to sufficient quantity of safe drinking water]]*WWWW[[#This Row],[Total PoP ]]</f>
        <v>400</v>
      </c>
      <c r="CM459" s="866">
        <f>IF((WWWW[[#This Row],['#_Constructed/Existing protected/fenced ponds]]*250)/WWWW[[#This Row],[Total PoP ]]&gt;1,1,(WWWW[[#This Row],['#_Constructed/Existing protected/fenced ponds]]*250)/WWWW[[#This Row],[Total PoP ]])</f>
        <v>0</v>
      </c>
      <c r="CN459" s="864">
        <f>WWWW[[#This Row],[% Access to unimproved water points]]*WWWW[[#This Row],[Total PoP ]]</f>
        <v>0</v>
      </c>
      <c r="CO45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P45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Q459" s="864">
        <f>WWWW[[#This Row],[HRP1]]/500</f>
        <v>0.8</v>
      </c>
      <c r="CR459" s="869">
        <f>1-WWWW[[#This Row],[% Equitable and continuous access to sufficient quantity of domestic water]]</f>
        <v>0.95286353994814987</v>
      </c>
      <c r="CS459" s="864">
        <f>WWWW[[#This Row],[%equitable and continuous access to sufficient quantity of safe drinking and domestic water''s GAP]]*WWWW[[#This Row],[Total PoP ]]</f>
        <v>8086</v>
      </c>
      <c r="CT459" s="867">
        <f>IF(WWWW[[#This Row],[Total required water points]]-WWWW[[#This Row],['#Water points coverage]]&lt;0,0,WWWW[[#This Row],[Total required water points]]-WWWW[[#This Row],['#Water points coverage]])</f>
        <v>16.2</v>
      </c>
      <c r="CU459" s="867">
        <f>ROUND(IF(WWWW[[#This Row],[Total PoP ]]&lt;500,1,WWWW[[#This Row],[Total PoP ]]/500),0)</f>
        <v>17</v>
      </c>
      <c r="CV459" s="867">
        <f>(WWWW[[#This Row],['#_Constructed latrines_by_WASHAgencies]]+WWWW[[#This Row],['#_Non Cluster partner latrines]])-WWWW[[#This Row],['#_Non-functional latrines]]</f>
        <v>26</v>
      </c>
      <c r="CW459" s="804">
        <f>WWWW[[#This Row],[HRP2]]/WWWW[[#This Row],[Total PoP ]]</f>
        <v>7.5418336082960169E-2</v>
      </c>
      <c r="CX45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CY45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5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59" s="473">
        <f>IF(WWWW[[#This Row],['# of functional latrines in THF supported by WASH partners during the reporting period2]]="",0,WWWW[[#This Row],['# of functional latrines in THF supported by WASH partners during the reporting period2]]*50)</f>
        <v>0</v>
      </c>
      <c r="DB459" s="473">
        <f>WWWW[[#This Row],['# students access to functioning school latrines_HRP5]]+WWWW[[#This Row],['# People access to functioning latrines in THF_HRP5]]</f>
        <v>0</v>
      </c>
      <c r="DC459" s="867">
        <f>ROUND(IF(WWWW[[#This Row],[Location Type 1]]="camp",WWWW[[#This Row],[Total PoP ]]/20,IF(WWWW[[#This Row],[Location Type 1]]="Temporary Location",WWWW[[#This Row],[Total PoP ]]/50,(WWWW[[#This Row],[Total PoP ]]/6))),0)</f>
        <v>424</v>
      </c>
      <c r="DD459" s="867">
        <f>IF(WWWW[[#This Row],[Total required Latrines]]-(WWWW[[#This Row],['#_Constructed latrines_by_WASHAgencies]]+WWWW[[#This Row],['#_Non Cluster partner latrines]])&lt;0,0,WWWW[[#This Row],[Total required Latrines]]-(WWWW[[#This Row],['#_Constructed latrines_by_WASHAgencies]]+WWWW[[#This Row],['#_Non Cluster partner latrines]]))</f>
        <v>398</v>
      </c>
      <c r="DE459" s="869">
        <f>1-WWWW[[#This Row],[% people access to functioning Latrine]]</f>
        <v>0.92458166391703989</v>
      </c>
      <c r="DF459" s="868">
        <f>IF(OR(WWWW[[#This Row],['#_Non-functional latrines]]="",WWWW[[#This Row],['#_Non-functional latrines]]=0),0,WWWW[[#This Row],['#_Non-functional latrines]]/(WWWW[[#This Row],['#_Constructed latrines_by_WASHAgencies]]+WWWW[[#This Row],['#_Non Cluster partner latrines]]))</f>
        <v>0</v>
      </c>
      <c r="DG459" s="864">
        <f>IF(500*(WWWW[[#This Row],['#_male hygiene promoters]]+WWWW[[#This Row],['#_female hygiene promoters]])&gt;WWWW[[#This Row],[Total PoP ]],WWWW[[#This Row],[Total PoP ]],500*(WWWW[[#This Row],['#_male hygiene promoters]]+WWWW[[#This Row],['#_female hygiene promoters]]))</f>
        <v>4500</v>
      </c>
      <c r="DH45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5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59" s="867">
        <f>IF(WWWW[[#This Row],['# People with access to soap]]&gt;WWWW[[#This Row],['# People with access to Sanity Pads]],WWWW[[#This Row],['# People with access to soap]],WWWW[[#This Row],['# People with access to Sanity Pads]])</f>
        <v>0</v>
      </c>
      <c r="DK459" s="867">
        <f>IF(WWWW[[#This Row],['# people reached by regular dedicated hygiene promotion_5]]&gt;WWWW[[#This Row],['# People received regular supply of hygiene items_6]],WWWW[[#This Row],['# people reached by regular dedicated hygiene promotion_5]],WWWW[[#This Row],['# People received regular supply of hygiene items_6]])</f>
        <v>4500</v>
      </c>
      <c r="DL459" s="869">
        <f>IF(WWWW[[#This Row],[HRP3]]/WWWW[[#This Row],[Total PoP ]]&gt;1,1,WWWW[[#This Row],[HRP3]]/WWWW[[#This Row],[Total PoP ]])</f>
        <v>0.53028517558331367</v>
      </c>
      <c r="DM459" s="868">
        <f>1-WWWW[[#This Row],[Hygiene Coverage%]]</f>
        <v>0.46971482441668633</v>
      </c>
      <c r="DN459" s="866">
        <f>WWWW[[#This Row],['# people reached by regular dedicated hygiene promotion_5]]/WWWW[[#This Row],[Total PoP ]]</f>
        <v>0.53028517558331367</v>
      </c>
      <c r="DO45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5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59" s="867">
        <f>WWWW[[#This Row],['#_Constructed/Existing hand washing stations]]-WWWW[[#This Row],['#_Non-Functional_hand_washing_stations]]</f>
        <v>4</v>
      </c>
      <c r="DR459" s="864">
        <f>IF(WWWW[[#This Row],['# Functional hand washing stations during reporting period]]*20&gt;WWWW[[#This Row],[Total HH]],WWWW[[#This Row],[Total HH]],WWWW[[#This Row],['# Functional hand washing stations during reporting period]]*20)</f>
        <v>80</v>
      </c>
      <c r="DS459" s="864">
        <f>IF(WWWW[[#This Row],[Is sufficient soap available for TLS? (Yes/No)]]="yes",WWWW[[#This Row],['#_Constructed/Existing hand washing stations at TLS]],0)</f>
        <v>0</v>
      </c>
      <c r="DT459" s="479">
        <f>IF(WWWW[[#This Row],['# Functional hand washing stations during reporting period]]*100&gt;WWWW[[#This Row],[Total PoP ]],WWWW[[#This Row],[Total PoP ]],WWWW[[#This Row],['# Functional hand washing stations during reporting period]]*100)</f>
        <v>400</v>
      </c>
      <c r="DU459" s="479" t="str">
        <f>IF(OR(WWWW[[#This Row],['#_students at TLS_CFS]]="",WWWW[[#This Row],['#_students at TLS_CFS]]=0),"No","Yes")</f>
        <v>No</v>
      </c>
      <c r="DV45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59" s="862" t="str">
        <f>VLOOKUP(WWWW[[#This Row],[Site Name]],SiteDB6[[Site Name]:[CCCM Management]],6,FALSE)</f>
        <v>Yes</v>
      </c>
      <c r="DZ459" s="862" t="str">
        <f>VLOOKUP(WWWW[[#This Row],[Site Name]],SiteDB6[[Site Name]:[CCCM Focal Agency]],7,FALSE)</f>
        <v>KMSS-MYT</v>
      </c>
      <c r="EA459" s="862" t="str">
        <f>VLOOKUP(WWWW[[#This Row],[Site Name]],SiteDB6[[Site Name]:[Location Type 1]],9,FALSE)</f>
        <v>Camp</v>
      </c>
      <c r="EB459" s="862" t="str">
        <f>VLOOKUP(WWWW[[#This Row],[Site Name]],SiteDB6[[Site Name]:[Type of Accommodation]],10,FALSE)</f>
        <v>Camp</v>
      </c>
      <c r="EC459" s="862" t="str">
        <f>VLOOKUP(WWWW[[#This Row],[Site Name]],SiteDB6[[Site Name]:[Ethnic or GCA/NGCA]],11,FALSE)</f>
        <v>NGCA</v>
      </c>
      <c r="ED459" s="862">
        <f>VLOOKUP(WWWW[[#This Row],[Site Name]],SiteDB6[[Site Name]:[Lat]],12,FALSE)</f>
        <v>24.688338999999999</v>
      </c>
      <c r="EE459" s="862">
        <f>VLOOKUP(WWWW[[#This Row],[Site Name]],SiteDB6[[Site Name]:[Long]],13,FALSE)</f>
        <v>97.568331999999998</v>
      </c>
      <c r="EF459" s="862" t="str">
        <f>VLOOKUP(WWWW[[#This Row],[Site Name]],SiteDB6[[Site Name]:[Pcode]],3,FALSE)</f>
        <v>MMR001CMP121</v>
      </c>
      <c r="EG459" s="865" t="str">
        <f t="shared" si="13"/>
        <v>Covered</v>
      </c>
      <c r="EH459" s="865" t="str">
        <f>VLOOKUP(WWWW[[#This Row],[Site Name]],Site_DB!$C$389:$D$1120,2,FALSE)</f>
        <v>cccm_2019OCT</v>
      </c>
    </row>
    <row r="460" spans="1:138">
      <c r="A460" s="860" t="s">
        <v>3263</v>
      </c>
      <c r="B460" s="860" t="s">
        <v>245</v>
      </c>
      <c r="C460" s="861" t="s">
        <v>245</v>
      </c>
      <c r="D460" s="861" t="s">
        <v>310</v>
      </c>
      <c r="E460" s="861" t="s">
        <v>39</v>
      </c>
      <c r="F460" s="861" t="s">
        <v>151</v>
      </c>
      <c r="G460" s="721" t="str">
        <f>VLOOKUP(WWWW[[#This Row],[Site Name]],SiteDB6[[Site Name]:[Location Type]],8,FALSE)</f>
        <v>Camp</v>
      </c>
      <c r="H460" s="861" t="s">
        <v>254</v>
      </c>
      <c r="I460" s="851">
        <v>6</v>
      </c>
      <c r="J460" s="851">
        <v>31</v>
      </c>
      <c r="K460" s="863">
        <v>43313</v>
      </c>
      <c r="L460" s="859">
        <v>44196</v>
      </c>
      <c r="M460" s="851"/>
      <c r="N460" s="851">
        <v>1</v>
      </c>
      <c r="O460" s="851"/>
      <c r="P460" s="851"/>
      <c r="Q460" s="864" t="s">
        <v>43</v>
      </c>
      <c r="R460" s="851">
        <v>1</v>
      </c>
      <c r="S460" s="851">
        <v>2</v>
      </c>
      <c r="T460" s="523">
        <v>0</v>
      </c>
      <c r="U460" s="851"/>
      <c r="V460" s="851"/>
      <c r="W460" s="851">
        <v>0</v>
      </c>
      <c r="X460" s="851">
        <v>0</v>
      </c>
      <c r="Y460" s="851"/>
      <c r="Z460" s="851"/>
      <c r="AA460" s="851">
        <v>0</v>
      </c>
      <c r="AB460" s="851"/>
      <c r="AC460" s="851"/>
      <c r="AD460" s="851">
        <v>0</v>
      </c>
      <c r="AE460" s="851">
        <v>0</v>
      </c>
      <c r="AF460" s="851">
        <v>0</v>
      </c>
      <c r="AG460" s="851">
        <v>0</v>
      </c>
      <c r="AH460" s="851">
        <v>0</v>
      </c>
      <c r="AI460" s="851"/>
      <c r="AJ460" s="851"/>
      <c r="AK460" s="851"/>
      <c r="AL460" s="851"/>
      <c r="AM460" s="851">
        <v>0</v>
      </c>
      <c r="AN460" s="851">
        <v>0</v>
      </c>
      <c r="AO460" s="865"/>
      <c r="AP460" s="851">
        <v>2</v>
      </c>
      <c r="AQ460" s="851">
        <v>0</v>
      </c>
      <c r="AR460" s="866" t="s">
        <v>245</v>
      </c>
      <c r="AS460" s="851"/>
      <c r="AT460" s="851"/>
      <c r="AU460" s="851"/>
      <c r="AV460" s="851"/>
      <c r="AW460" s="851">
        <v>0</v>
      </c>
      <c r="AX460" s="862" t="s">
        <v>43</v>
      </c>
      <c r="AY460" s="865" t="s">
        <v>139</v>
      </c>
      <c r="AZ460" s="851">
        <v>0</v>
      </c>
      <c r="BA460" s="851">
        <v>0</v>
      </c>
      <c r="BB460" s="851">
        <v>0</v>
      </c>
      <c r="BC460" s="523"/>
      <c r="BD460" s="523"/>
      <c r="BE460" s="862"/>
      <c r="BF460" s="851">
        <v>0</v>
      </c>
      <c r="BG460" s="851"/>
      <c r="BH460" s="851">
        <v>0</v>
      </c>
      <c r="BI460" s="851">
        <v>1</v>
      </c>
      <c r="BJ460" s="851"/>
      <c r="BK460" s="851">
        <v>1</v>
      </c>
      <c r="BL460" s="851">
        <v>2</v>
      </c>
      <c r="BM460" s="851"/>
      <c r="BN460" s="851"/>
      <c r="BO460" s="862"/>
      <c r="BP460" s="867"/>
      <c r="BQ460" s="866"/>
      <c r="BR460" s="862"/>
      <c r="BS460" s="472"/>
      <c r="BT460" s="472"/>
      <c r="BU460" s="474"/>
      <c r="BV460" s="472"/>
      <c r="BW460" s="523"/>
      <c r="BX460" s="523"/>
      <c r="BY460" s="523"/>
      <c r="BZ460" s="868" t="str">
        <f>IFERROR(WWWW[[#This Row],['#_Water sources passed]]/WWWW[[#This Row],['#_Water sources tested for fecal coliform ]],"no test")</f>
        <v>no test</v>
      </c>
      <c r="CA460" s="866" t="str">
        <f>IFERROR(WWWW[[#This Row],['#_Household passed]]/WWWW[[#This Row],['#_Household water samples tested for fecal coliform]],"no test")</f>
        <v>no test</v>
      </c>
      <c r="CB460" s="867" t="str">
        <f>IF(AND(WWWW[[#This Row],[% of water sources passed]]="no test",WWWW[[#This Row],[% Household passed]]="no test"),"No Test","Tested")</f>
        <v>No Test</v>
      </c>
      <c r="CC460" s="867">
        <f>WWWW[[#This Row],['#_Constructed/existing protected hand dug well]]-WWWW[[#This Row],['#_Non-functional protected hand dug well]]</f>
        <v>0</v>
      </c>
      <c r="CD460" s="867">
        <f>(WWWW[[#This Row],['#_Constructed/Existing tube wells/boreholes/handpumps_WASH_agency]]+WWWW[[#This Row],['#_Non-Cluster partner water tube-wells/boreholes/handpumps]])-WWWW[[#This Row],['#_Non-functional tube wells/boreholes/handpumps]]</f>
        <v>0</v>
      </c>
      <c r="CE460" s="867">
        <f>WWWW[[#This Row],['#_Constructed/Existingwater storage tank with gravity fed reticulation system]]-WWWW[[#This Row],['#_Non-functional storage tank gravity fed reticulation system]]</f>
        <v>0</v>
      </c>
      <c r="CF460" s="867">
        <f>(WWWW[[#This Row],['#_Water_Liters_supplied_by_Water boating or water trucking]]/90)/15</f>
        <v>0</v>
      </c>
      <c r="CG460" s="867">
        <f>WWWW[[#This Row],['#_Water_Liters_from_Constructed/Existing water distribution system from river or natural spring]]/90/15</f>
        <v>0</v>
      </c>
      <c r="CH460" s="473">
        <f>WWWW[[#This Row],['#_of water points in TLS/CFS /THF]]*500</f>
        <v>0</v>
      </c>
      <c r="CI46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6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60" s="866">
        <f>IF(WWWW[[#This Row],[Location Type 1]]="Village",WWWW[[#This Row],[Access to safe drinking water for Village]],WWWW[[#This Row],[Access to safe drinking water for Camp]])</f>
        <v>0</v>
      </c>
      <c r="CL460" s="864">
        <f>WWWW[[#This Row],[%Equitable and continuous access to sufficient quantity of safe drinking water]]*WWWW[[#This Row],[Total PoP ]]</f>
        <v>0</v>
      </c>
      <c r="CM460" s="866">
        <f>IF((WWWW[[#This Row],['#_Constructed/Existing protected/fenced ponds]]*250)/WWWW[[#This Row],[Total PoP ]]&gt;1,1,(WWWW[[#This Row],['#_Constructed/Existing protected/fenced ponds]]*250)/WWWW[[#This Row],[Total PoP ]])</f>
        <v>0</v>
      </c>
      <c r="CN460" s="864">
        <f>WWWW[[#This Row],[% Access to unimproved water points]]*WWWW[[#This Row],[Total PoP ]]</f>
        <v>0</v>
      </c>
      <c r="CO46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6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60" s="864">
        <f>WWWW[[#This Row],[HRP1]]/500</f>
        <v>0</v>
      </c>
      <c r="CR460" s="869">
        <f>1-WWWW[[#This Row],[% Equitable and continuous access to sufficient quantity of domestic water]]</f>
        <v>1</v>
      </c>
      <c r="CS460" s="864">
        <f>WWWW[[#This Row],[%equitable and continuous access to sufficient quantity of safe drinking and domestic water''s GAP]]*WWWW[[#This Row],[Total PoP ]]</f>
        <v>31</v>
      </c>
      <c r="CT460" s="867">
        <f>IF(WWWW[[#This Row],[Total required water points]]-WWWW[[#This Row],['#Water points coverage]]&lt;0,0,WWWW[[#This Row],[Total required water points]]-WWWW[[#This Row],['#Water points coverage]])</f>
        <v>1</v>
      </c>
      <c r="CU460" s="867">
        <f>ROUND(IF(WWWW[[#This Row],[Total PoP ]]&lt;500,1,WWWW[[#This Row],[Total PoP ]]/500),0)</f>
        <v>1</v>
      </c>
      <c r="CV460" s="867">
        <f>(WWWW[[#This Row],['#_Constructed latrines_by_WASHAgencies]]+WWWW[[#This Row],['#_Non Cluster partner latrines]])-WWWW[[#This Row],['#_Non-functional latrines]]</f>
        <v>2</v>
      </c>
      <c r="CW460" s="804">
        <f>WWWW[[#This Row],[HRP2]]/WWWW[[#This Row],[Total PoP ]]</f>
        <v>1</v>
      </c>
      <c r="CX46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CY46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0" s="473">
        <f>IF(WWWW[[#This Row],['# of functional latrines in THF supported by WASH partners during the reporting period2]]="",0,WWWW[[#This Row],['# of functional latrines in THF supported by WASH partners during the reporting period2]]*50)</f>
        <v>0</v>
      </c>
      <c r="DB460" s="473">
        <f>WWWW[[#This Row],['# students access to functioning school latrines_HRP5]]+WWWW[[#This Row],['# People access to functioning latrines in THF_HRP5]]</f>
        <v>0</v>
      </c>
      <c r="DC460" s="867">
        <f>ROUND(IF(WWWW[[#This Row],[Location Type 1]]="camp",WWWW[[#This Row],[Total PoP ]]/20,IF(WWWW[[#This Row],[Location Type 1]]="Temporary Location",WWWW[[#This Row],[Total PoP ]]/50,(WWWW[[#This Row],[Total PoP ]]/6))),0)</f>
        <v>2</v>
      </c>
      <c r="DD460" s="867">
        <f>IF(WWWW[[#This Row],[Total required Latrines]]-(WWWW[[#This Row],['#_Constructed latrines_by_WASHAgencies]]+WWWW[[#This Row],['#_Non Cluster partner latrines]])&lt;0,0,WWWW[[#This Row],[Total required Latrines]]-(WWWW[[#This Row],['#_Constructed latrines_by_WASHAgencies]]+WWWW[[#This Row],['#_Non Cluster partner latrines]]))</f>
        <v>0</v>
      </c>
      <c r="DE460" s="869">
        <f>1-WWWW[[#This Row],[% people access to functioning Latrine]]</f>
        <v>0</v>
      </c>
      <c r="DF460" s="868">
        <f>IF(OR(WWWW[[#This Row],['#_Non-functional latrines]]="",WWWW[[#This Row],['#_Non-functional latrines]]=0),0,WWWW[[#This Row],['#_Non-functional latrines]]/(WWWW[[#This Row],['#_Constructed latrines_by_WASHAgencies]]+WWWW[[#This Row],['#_Non Cluster partner latrines]]))</f>
        <v>0</v>
      </c>
      <c r="DG460" s="864">
        <f>IF(500*(WWWW[[#This Row],['#_male hygiene promoters]]+WWWW[[#This Row],['#_female hygiene promoters]])&gt;WWWW[[#This Row],[Total PoP ]],WWWW[[#This Row],[Total PoP ]],500*(WWWW[[#This Row],['#_male hygiene promoters]]+WWWW[[#This Row],['#_female hygiene promoters]]))</f>
        <v>31</v>
      </c>
      <c r="DH46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0" s="867">
        <f>IF(WWWW[[#This Row],['# People with access to soap]]&gt;WWWW[[#This Row],['# People with access to Sanity Pads]],WWWW[[#This Row],['# People with access to soap]],WWWW[[#This Row],['# People with access to Sanity Pads]])</f>
        <v>0</v>
      </c>
      <c r="DK460" s="867">
        <f>IF(WWWW[[#This Row],['# people reached by regular dedicated hygiene promotion_5]]&gt;WWWW[[#This Row],['# People received regular supply of hygiene items_6]],WWWW[[#This Row],['# people reached by regular dedicated hygiene promotion_5]],WWWW[[#This Row],['# People received regular supply of hygiene items_6]])</f>
        <v>31</v>
      </c>
      <c r="DL460" s="869">
        <f>IF(WWWW[[#This Row],[HRP3]]/WWWW[[#This Row],[Total PoP ]]&gt;1,1,WWWW[[#This Row],[HRP3]]/WWWW[[#This Row],[Total PoP ]])</f>
        <v>1</v>
      </c>
      <c r="DM460" s="868">
        <f>1-WWWW[[#This Row],[Hygiene Coverage%]]</f>
        <v>0</v>
      </c>
      <c r="DN460" s="866">
        <f>WWWW[[#This Row],['# people reached by regular dedicated hygiene promotion_5]]/WWWW[[#This Row],[Total PoP ]]</f>
        <v>1</v>
      </c>
      <c r="DO46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0" s="867">
        <f>WWWW[[#This Row],['#_Constructed/Existing hand washing stations]]-WWWW[[#This Row],['#_Non-Functional_hand_washing_stations]]</f>
        <v>0</v>
      </c>
      <c r="DR460" s="864">
        <f>IF(WWWW[[#This Row],['# Functional hand washing stations during reporting period]]*20&gt;WWWW[[#This Row],[Total HH]],WWWW[[#This Row],[Total HH]],WWWW[[#This Row],['# Functional hand washing stations during reporting period]]*20)</f>
        <v>0</v>
      </c>
      <c r="DS460" s="864">
        <f>IF(WWWW[[#This Row],[Is sufficient soap available for TLS? (Yes/No)]]="yes",WWWW[[#This Row],['#_Constructed/Existing hand washing stations at TLS]],0)</f>
        <v>0</v>
      </c>
      <c r="DT460" s="479">
        <f>IF(WWWW[[#This Row],['# Functional hand washing stations during reporting period]]*100&gt;WWWW[[#This Row],[Total PoP ]],WWWW[[#This Row],[Total PoP ]],WWWW[[#This Row],['# Functional hand washing stations during reporting period]]*100)</f>
        <v>0</v>
      </c>
      <c r="DU460" s="479" t="str">
        <f>IF(OR(WWWW[[#This Row],['#_students at TLS_CFS]]="",WWWW[[#This Row],['#_students at TLS_CFS]]=0),"No","Yes")</f>
        <v>No</v>
      </c>
      <c r="DV46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0" s="862" t="str">
        <f>VLOOKUP(WWWW[[#This Row],[Site Name]],SiteDB6[[Site Name]:[CCCM Management]],6,FALSE)</f>
        <v>Yes</v>
      </c>
      <c r="DZ460" s="862" t="str">
        <f>VLOOKUP(WWWW[[#This Row],[Site Name]],SiteDB6[[Site Name]:[CCCM Focal Agency]],7,FALSE)</f>
        <v>Shalom</v>
      </c>
      <c r="EA460" s="862" t="str">
        <f>VLOOKUP(WWWW[[#This Row],[Site Name]],SiteDB6[[Site Name]:[Location Type 1]],9,FALSE)</f>
        <v>Camp</v>
      </c>
      <c r="EB460" s="862" t="str">
        <f>VLOOKUP(WWWW[[#This Row],[Site Name]],SiteDB6[[Site Name]:[Type of Accommodation]],10,FALSE)</f>
        <v>Camp like setting</v>
      </c>
      <c r="EC460" s="862" t="str">
        <f>VLOOKUP(WWWW[[#This Row],[Site Name]],SiteDB6[[Site Name]:[Ethnic or GCA/NGCA]],11,FALSE)</f>
        <v>GCA</v>
      </c>
      <c r="ED460" s="862">
        <f>VLOOKUP(WWWW[[#This Row],[Site Name]],SiteDB6[[Site Name]:[Lat]],12,FALSE)</f>
        <v>25.582065</v>
      </c>
      <c r="EE460" s="862">
        <f>VLOOKUP(WWWW[[#This Row],[Site Name]],SiteDB6[[Site Name]:[Long]],13,FALSE)</f>
        <v>96.283377000000002</v>
      </c>
      <c r="EF460" s="862" t="str">
        <f>VLOOKUP(WWWW[[#This Row],[Site Name]],SiteDB6[[Site Name]:[Pcode]],3,FALSE)</f>
        <v>MMR001CMP109</v>
      </c>
      <c r="EG460" s="865" t="str">
        <f t="shared" si="13"/>
        <v>Covered</v>
      </c>
      <c r="EH460" s="865" t="str">
        <f>VLOOKUP(WWWW[[#This Row],[Site Name]],Site_DB!$C$389:$D$1120,2,FALSE)</f>
        <v>cccm_2019OCT</v>
      </c>
    </row>
    <row r="461" spans="1:138">
      <c r="A461" s="860" t="s">
        <v>3263</v>
      </c>
      <c r="B461" s="860" t="s">
        <v>245</v>
      </c>
      <c r="C461" s="861" t="s">
        <v>245</v>
      </c>
      <c r="D461" s="861" t="s">
        <v>310</v>
      </c>
      <c r="E461" s="861" t="s">
        <v>39</v>
      </c>
      <c r="F461" s="861" t="s">
        <v>151</v>
      </c>
      <c r="G461" s="721" t="str">
        <f>VLOOKUP(WWWW[[#This Row],[Site Name]],SiteDB6[[Site Name]:[Location Type]],8,FALSE)</f>
        <v>Camp</v>
      </c>
      <c r="H461" s="861" t="s">
        <v>255</v>
      </c>
      <c r="I461" s="851">
        <v>70</v>
      </c>
      <c r="J461" s="851">
        <v>377</v>
      </c>
      <c r="K461" s="863">
        <v>43313</v>
      </c>
      <c r="L461" s="859">
        <v>44196</v>
      </c>
      <c r="M461" s="851"/>
      <c r="N461" s="851">
        <v>1</v>
      </c>
      <c r="O461" s="851"/>
      <c r="P461" s="851"/>
      <c r="Q461" s="864" t="s">
        <v>43</v>
      </c>
      <c r="R461" s="851">
        <v>4</v>
      </c>
      <c r="S461" s="851">
        <v>4</v>
      </c>
      <c r="T461" s="523">
        <v>0</v>
      </c>
      <c r="U461" s="851"/>
      <c r="V461" s="851"/>
      <c r="W461" s="851">
        <v>0</v>
      </c>
      <c r="X461" s="851">
        <v>0</v>
      </c>
      <c r="Y461" s="851"/>
      <c r="Z461" s="851"/>
      <c r="AA461" s="851">
        <v>0</v>
      </c>
      <c r="AB461" s="851"/>
      <c r="AC461" s="851"/>
      <c r="AD461" s="851">
        <v>0</v>
      </c>
      <c r="AE461" s="851">
        <v>0</v>
      </c>
      <c r="AF461" s="851">
        <v>0</v>
      </c>
      <c r="AG461" s="851">
        <v>0</v>
      </c>
      <c r="AH461" s="851">
        <v>0</v>
      </c>
      <c r="AI461" s="851"/>
      <c r="AJ461" s="851"/>
      <c r="AK461" s="851"/>
      <c r="AL461" s="851"/>
      <c r="AM461" s="851">
        <v>0</v>
      </c>
      <c r="AN461" s="851">
        <v>0</v>
      </c>
      <c r="AO461" s="865"/>
      <c r="AP461" s="851">
        <v>22</v>
      </c>
      <c r="AQ461" s="851">
        <v>0</v>
      </c>
      <c r="AR461" s="866" t="s">
        <v>245</v>
      </c>
      <c r="AS461" s="851"/>
      <c r="AT461" s="851"/>
      <c r="AU461" s="851"/>
      <c r="AV461" s="851"/>
      <c r="AW461" s="851">
        <v>0</v>
      </c>
      <c r="AX461" s="862" t="s">
        <v>43</v>
      </c>
      <c r="AY461" s="865" t="s">
        <v>140</v>
      </c>
      <c r="AZ461" s="851">
        <v>0</v>
      </c>
      <c r="BA461" s="851">
        <v>1</v>
      </c>
      <c r="BB461" s="851">
        <v>0</v>
      </c>
      <c r="BC461" s="523"/>
      <c r="BD461" s="523"/>
      <c r="BE461" s="862"/>
      <c r="BF461" s="851">
        <v>8</v>
      </c>
      <c r="BG461" s="851"/>
      <c r="BH461" s="851">
        <v>0</v>
      </c>
      <c r="BI461" s="851">
        <v>3</v>
      </c>
      <c r="BJ461" s="851"/>
      <c r="BK461" s="851">
        <v>2</v>
      </c>
      <c r="BL461" s="851">
        <v>3</v>
      </c>
      <c r="BM461" s="851"/>
      <c r="BN461" s="851"/>
      <c r="BO461" s="862"/>
      <c r="BP461" s="867"/>
      <c r="BQ461" s="866"/>
      <c r="BR461" s="862"/>
      <c r="BS461" s="472"/>
      <c r="BT461" s="472"/>
      <c r="BU461" s="474"/>
      <c r="BV461" s="472"/>
      <c r="BW461" s="523"/>
      <c r="BX461" s="523"/>
      <c r="BY461" s="523"/>
      <c r="BZ461" s="868" t="str">
        <f>IFERROR(WWWW[[#This Row],['#_Water sources passed]]/WWWW[[#This Row],['#_Water sources tested for fecal coliform ]],"no test")</f>
        <v>no test</v>
      </c>
      <c r="CA461" s="866" t="str">
        <f>IFERROR(WWWW[[#This Row],['#_Household passed]]/WWWW[[#This Row],['#_Household water samples tested for fecal coliform]],"no test")</f>
        <v>no test</v>
      </c>
      <c r="CB461" s="867" t="str">
        <f>IF(AND(WWWW[[#This Row],[% of water sources passed]]="no test",WWWW[[#This Row],[% Household passed]]="no test"),"No Test","Tested")</f>
        <v>No Test</v>
      </c>
      <c r="CC461" s="867">
        <f>WWWW[[#This Row],['#_Constructed/existing protected hand dug well]]-WWWW[[#This Row],['#_Non-functional protected hand dug well]]</f>
        <v>0</v>
      </c>
      <c r="CD461" s="867">
        <f>(WWWW[[#This Row],['#_Constructed/Existing tube wells/boreholes/handpumps_WASH_agency]]+WWWW[[#This Row],['#_Non-Cluster partner water tube-wells/boreholes/handpumps]])-WWWW[[#This Row],['#_Non-functional tube wells/boreholes/handpumps]]</f>
        <v>0</v>
      </c>
      <c r="CE461" s="867">
        <f>WWWW[[#This Row],['#_Constructed/Existingwater storage tank with gravity fed reticulation system]]-WWWW[[#This Row],['#_Non-functional storage tank gravity fed reticulation system]]</f>
        <v>0</v>
      </c>
      <c r="CF461" s="867">
        <f>(WWWW[[#This Row],['#_Water_Liters_supplied_by_Water boating or water trucking]]/90)/15</f>
        <v>0</v>
      </c>
      <c r="CG461" s="867">
        <f>WWWW[[#This Row],['#_Water_Liters_from_Constructed/Existing water distribution system from river or natural spring]]/90/15</f>
        <v>0</v>
      </c>
      <c r="CH461" s="473">
        <f>WWWW[[#This Row],['#_of water points in TLS/CFS /THF]]*500</f>
        <v>0</v>
      </c>
      <c r="CI46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6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61" s="866">
        <f>IF(WWWW[[#This Row],[Location Type 1]]="Village",WWWW[[#This Row],[Access to safe drinking water for Village]],WWWW[[#This Row],[Access to safe drinking water for Camp]])</f>
        <v>0</v>
      </c>
      <c r="CL461" s="864">
        <f>WWWW[[#This Row],[%Equitable and continuous access to sufficient quantity of safe drinking water]]*WWWW[[#This Row],[Total PoP ]]</f>
        <v>0</v>
      </c>
      <c r="CM461" s="866">
        <f>IF((WWWW[[#This Row],['#_Constructed/Existing protected/fenced ponds]]*250)/WWWW[[#This Row],[Total PoP ]]&gt;1,1,(WWWW[[#This Row],['#_Constructed/Existing protected/fenced ponds]]*250)/WWWW[[#This Row],[Total PoP ]])</f>
        <v>0</v>
      </c>
      <c r="CN461" s="864">
        <f>WWWW[[#This Row],[% Access to unimproved water points]]*WWWW[[#This Row],[Total PoP ]]</f>
        <v>0</v>
      </c>
      <c r="CO46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6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61" s="864">
        <f>WWWW[[#This Row],[HRP1]]/500</f>
        <v>0</v>
      </c>
      <c r="CR461" s="869">
        <f>1-WWWW[[#This Row],[% Equitable and continuous access to sufficient quantity of domestic water]]</f>
        <v>1</v>
      </c>
      <c r="CS461" s="864">
        <f>WWWW[[#This Row],[%equitable and continuous access to sufficient quantity of safe drinking and domestic water''s GAP]]*WWWW[[#This Row],[Total PoP ]]</f>
        <v>377</v>
      </c>
      <c r="CT461" s="867">
        <f>IF(WWWW[[#This Row],[Total required water points]]-WWWW[[#This Row],['#Water points coverage]]&lt;0,0,WWWW[[#This Row],[Total required water points]]-WWWW[[#This Row],['#Water points coverage]])</f>
        <v>1</v>
      </c>
      <c r="CU461" s="867">
        <f>ROUND(IF(WWWW[[#This Row],[Total PoP ]]&lt;500,1,WWWW[[#This Row],[Total PoP ]]/500),0)</f>
        <v>1</v>
      </c>
      <c r="CV461" s="867">
        <f>(WWWW[[#This Row],['#_Constructed latrines_by_WASHAgencies]]+WWWW[[#This Row],['#_Non Cluster partner latrines]])-WWWW[[#This Row],['#_Non-functional latrines]]</f>
        <v>22</v>
      </c>
      <c r="CW461" s="804">
        <f>WWWW[[#This Row],[HRP2]]/WWWW[[#This Row],[Total PoP ]]</f>
        <v>1</v>
      </c>
      <c r="CX46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377</v>
      </c>
      <c r="CY46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1" s="473">
        <f>IF(WWWW[[#This Row],['# of functional latrines in THF supported by WASH partners during the reporting period2]]="",0,WWWW[[#This Row],['# of functional latrines in THF supported by WASH partners during the reporting period2]]*50)</f>
        <v>0</v>
      </c>
      <c r="DB461" s="473">
        <f>WWWW[[#This Row],['# students access to functioning school latrines_HRP5]]+WWWW[[#This Row],['# People access to functioning latrines in THF_HRP5]]</f>
        <v>0</v>
      </c>
      <c r="DC461" s="867">
        <f>ROUND(IF(WWWW[[#This Row],[Location Type 1]]="camp",WWWW[[#This Row],[Total PoP ]]/20,IF(WWWW[[#This Row],[Location Type 1]]="Temporary Location",WWWW[[#This Row],[Total PoP ]]/50,(WWWW[[#This Row],[Total PoP ]]/6))),0)</f>
        <v>19</v>
      </c>
      <c r="DD461" s="867">
        <f>IF(WWWW[[#This Row],[Total required Latrines]]-(WWWW[[#This Row],['#_Constructed latrines_by_WASHAgencies]]+WWWW[[#This Row],['#_Non Cluster partner latrines]])&lt;0,0,WWWW[[#This Row],[Total required Latrines]]-(WWWW[[#This Row],['#_Constructed latrines_by_WASHAgencies]]+WWWW[[#This Row],['#_Non Cluster partner latrines]]))</f>
        <v>0</v>
      </c>
      <c r="DE461" s="869">
        <f>1-WWWW[[#This Row],[% people access to functioning Latrine]]</f>
        <v>0</v>
      </c>
      <c r="DF461" s="868">
        <f>IF(OR(WWWW[[#This Row],['#_Non-functional latrines]]="",WWWW[[#This Row],['#_Non-functional latrines]]=0),0,WWWW[[#This Row],['#_Non-functional latrines]]/(WWWW[[#This Row],['#_Constructed latrines_by_WASHAgencies]]+WWWW[[#This Row],['#_Non Cluster partner latrines]]))</f>
        <v>0</v>
      </c>
      <c r="DG461" s="864">
        <f>IF(500*(WWWW[[#This Row],['#_male hygiene promoters]]+WWWW[[#This Row],['#_female hygiene promoters]])&gt;WWWW[[#This Row],[Total PoP ]],WWWW[[#This Row],[Total PoP ]],500*(WWWW[[#This Row],['#_male hygiene promoters]]+WWWW[[#This Row],['#_female hygiene promoters]]))</f>
        <v>377</v>
      </c>
      <c r="DH46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1" s="867">
        <f>IF(WWWW[[#This Row],['# People with access to soap]]&gt;WWWW[[#This Row],['# People with access to Sanity Pads]],WWWW[[#This Row],['# People with access to soap]],WWWW[[#This Row],['# People with access to Sanity Pads]])</f>
        <v>0</v>
      </c>
      <c r="DK461" s="867">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L461" s="869">
        <f>IF(WWWW[[#This Row],[HRP3]]/WWWW[[#This Row],[Total PoP ]]&gt;1,1,WWWW[[#This Row],[HRP3]]/WWWW[[#This Row],[Total PoP ]])</f>
        <v>1</v>
      </c>
      <c r="DM461" s="868">
        <f>1-WWWW[[#This Row],[Hygiene Coverage%]]</f>
        <v>0</v>
      </c>
      <c r="DN461" s="866">
        <f>WWWW[[#This Row],['# people reached by regular dedicated hygiene promotion_5]]/WWWW[[#This Row],[Total PoP ]]</f>
        <v>1</v>
      </c>
      <c r="DO46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1" s="867">
        <f>WWWW[[#This Row],['#_Constructed/Existing hand washing stations]]-WWWW[[#This Row],['#_Non-Functional_hand_washing_stations]]</f>
        <v>8</v>
      </c>
      <c r="DR461" s="864">
        <f>IF(WWWW[[#This Row],['# Functional hand washing stations during reporting period]]*20&gt;WWWW[[#This Row],[Total HH]],WWWW[[#This Row],[Total HH]],WWWW[[#This Row],['# Functional hand washing stations during reporting period]]*20)</f>
        <v>70</v>
      </c>
      <c r="DS461" s="864">
        <f>IF(WWWW[[#This Row],[Is sufficient soap available for TLS? (Yes/No)]]="yes",WWWW[[#This Row],['#_Constructed/Existing hand washing stations at TLS]],0)</f>
        <v>0</v>
      </c>
      <c r="DT461" s="479">
        <f>IF(WWWW[[#This Row],['# Functional hand washing stations during reporting period]]*100&gt;WWWW[[#This Row],[Total PoP ]],WWWW[[#This Row],[Total PoP ]],WWWW[[#This Row],['# Functional hand washing stations during reporting period]]*100)</f>
        <v>377</v>
      </c>
      <c r="DU461" s="479" t="str">
        <f>IF(OR(WWWW[[#This Row],['#_students at TLS_CFS]]="",WWWW[[#This Row],['#_students at TLS_CFS]]=0),"No","Yes")</f>
        <v>No</v>
      </c>
      <c r="DV46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1" s="862" t="str">
        <f>VLOOKUP(WWWW[[#This Row],[Site Name]],SiteDB6[[Site Name]:[CCCM Management]],6,FALSE)</f>
        <v>Yes</v>
      </c>
      <c r="DZ461" s="862" t="str">
        <f>VLOOKUP(WWWW[[#This Row],[Site Name]],SiteDB6[[Site Name]:[CCCM Focal Agency]],7,FALSE)</f>
        <v>Shalom</v>
      </c>
      <c r="EA461" s="862" t="str">
        <f>VLOOKUP(WWWW[[#This Row],[Site Name]],SiteDB6[[Site Name]:[Location Type 1]],9,FALSE)</f>
        <v>Camp</v>
      </c>
      <c r="EB461" s="862" t="str">
        <f>VLOOKUP(WWWW[[#This Row],[Site Name]],SiteDB6[[Site Name]:[Type of Accommodation]],10,FALSE)</f>
        <v>Camp</v>
      </c>
      <c r="EC461" s="862" t="str">
        <f>VLOOKUP(WWWW[[#This Row],[Site Name]],SiteDB6[[Site Name]:[Ethnic or GCA/NGCA]],11,FALSE)</f>
        <v>GCA</v>
      </c>
      <c r="ED461" s="862">
        <f>VLOOKUP(WWWW[[#This Row],[Site Name]],SiteDB6[[Site Name]:[Lat]],12,FALSE)</f>
        <v>25.637309999999999</v>
      </c>
      <c r="EE461" s="862">
        <f>VLOOKUP(WWWW[[#This Row],[Site Name]],SiteDB6[[Site Name]:[Long]],13,FALSE)</f>
        <v>96.35257</v>
      </c>
      <c r="EF461" s="862" t="str">
        <f>VLOOKUP(WWWW[[#This Row],[Site Name]],SiteDB6[[Site Name]:[Pcode]],3,FALSE)</f>
        <v>MMR001CMP174</v>
      </c>
      <c r="EG461" s="865" t="str">
        <f t="shared" si="13"/>
        <v>Covered</v>
      </c>
      <c r="EH461" s="865" t="str">
        <f>VLOOKUP(WWWW[[#This Row],[Site Name]],Site_DB!$C$389:$D$1120,2,FALSE)</f>
        <v>cccm_2019OCT</v>
      </c>
    </row>
    <row r="462" spans="1:138">
      <c r="A462" s="860" t="s">
        <v>3263</v>
      </c>
      <c r="B462" s="860" t="s">
        <v>144</v>
      </c>
      <c r="C462" s="861" t="s">
        <v>144</v>
      </c>
      <c r="D462" s="861" t="s">
        <v>3277</v>
      </c>
      <c r="E462" s="861" t="s">
        <v>39</v>
      </c>
      <c r="F462" s="861" t="s">
        <v>145</v>
      </c>
      <c r="G462" s="721" t="str">
        <f>VLOOKUP(WWWW[[#This Row],[Site Name]],SiteDB6[[Site Name]:[Location Type]],8,FALSE)</f>
        <v>Camp</v>
      </c>
      <c r="H462" s="861" t="s">
        <v>182</v>
      </c>
      <c r="I462" s="851">
        <v>43</v>
      </c>
      <c r="J462" s="851">
        <v>191</v>
      </c>
      <c r="K462" s="863" t="s">
        <v>3278</v>
      </c>
      <c r="L462" s="859" t="s">
        <v>3279</v>
      </c>
      <c r="M462" s="851"/>
      <c r="N462" s="851"/>
      <c r="O462" s="851"/>
      <c r="P462" s="851"/>
      <c r="Q462" s="864" t="s">
        <v>43</v>
      </c>
      <c r="R462" s="851"/>
      <c r="S462" s="851">
        <v>4</v>
      </c>
      <c r="T462" s="523">
        <v>1</v>
      </c>
      <c r="U462" s="851"/>
      <c r="V462" s="851"/>
      <c r="W462" s="851">
        <v>0</v>
      </c>
      <c r="X462" s="851"/>
      <c r="Y462" s="851"/>
      <c r="Z462" s="851"/>
      <c r="AA462" s="851"/>
      <c r="AB462" s="851"/>
      <c r="AC462" s="851"/>
      <c r="AD462" s="851"/>
      <c r="AE462" s="851"/>
      <c r="AF462" s="851"/>
      <c r="AG462" s="851"/>
      <c r="AH462" s="851">
        <v>2</v>
      </c>
      <c r="AI462" s="851"/>
      <c r="AJ462" s="851"/>
      <c r="AK462" s="851"/>
      <c r="AL462" s="851"/>
      <c r="AM462" s="851"/>
      <c r="AN462" s="851"/>
      <c r="AO462" s="865"/>
      <c r="AP462" s="851">
        <v>10</v>
      </c>
      <c r="AQ462" s="851"/>
      <c r="AR462" s="866"/>
      <c r="AS462" s="851"/>
      <c r="AT462" s="851"/>
      <c r="AU462" s="851"/>
      <c r="AV462" s="851"/>
      <c r="AW462" s="851">
        <v>10</v>
      </c>
      <c r="AX462" s="862" t="s">
        <v>43</v>
      </c>
      <c r="AY462" s="865" t="s">
        <v>140</v>
      </c>
      <c r="AZ462" s="851"/>
      <c r="BA462" s="851"/>
      <c r="BB462" s="851"/>
      <c r="BC462" s="523"/>
      <c r="BD462" s="523"/>
      <c r="BE462" s="862"/>
      <c r="BF462" s="851">
        <v>2</v>
      </c>
      <c r="BG462" s="851"/>
      <c r="BH462" s="851"/>
      <c r="BI462" s="851">
        <v>2</v>
      </c>
      <c r="BJ462" s="851"/>
      <c r="BK462" s="851"/>
      <c r="BL462" s="851">
        <v>1</v>
      </c>
      <c r="BM462" s="851"/>
      <c r="BN462" s="851"/>
      <c r="BO462" s="862"/>
      <c r="BP462" s="867"/>
      <c r="BQ462" s="866"/>
      <c r="BR462" s="862"/>
      <c r="BS462" s="472"/>
      <c r="BT462" s="472"/>
      <c r="BU462" s="474"/>
      <c r="BV462" s="472"/>
      <c r="BW462" s="523"/>
      <c r="BX462" s="523"/>
      <c r="BY462" s="523"/>
      <c r="BZ462" s="868" t="str">
        <f>IFERROR(WWWW[[#This Row],['#_Water sources passed]]/WWWW[[#This Row],['#_Water sources tested for fecal coliform ]],"no test")</f>
        <v>no test</v>
      </c>
      <c r="CA462" s="866" t="str">
        <f>IFERROR(WWWW[[#This Row],['#_Household passed]]/WWWW[[#This Row],['#_Household water samples tested for fecal coliform]],"no test")</f>
        <v>no test</v>
      </c>
      <c r="CB462" s="867" t="str">
        <f>IF(AND(WWWW[[#This Row],[% of water sources passed]]="no test",WWWW[[#This Row],[% Household passed]]="no test"),"No Test","Tested")</f>
        <v>No Test</v>
      </c>
      <c r="CC462" s="867">
        <f>WWWW[[#This Row],['#_Constructed/existing protected hand dug well]]-WWWW[[#This Row],['#_Non-functional protected hand dug well]]</f>
        <v>1</v>
      </c>
      <c r="CD462" s="867">
        <f>(WWWW[[#This Row],['#_Constructed/Existing tube wells/boreholes/handpumps_WASH_agency]]+WWWW[[#This Row],['#_Non-Cluster partner water tube-wells/boreholes/handpumps]])-WWWW[[#This Row],['#_Non-functional tube wells/boreholes/handpumps]]</f>
        <v>0</v>
      </c>
      <c r="CE462" s="867">
        <f>WWWW[[#This Row],['#_Constructed/Existingwater storage tank with gravity fed reticulation system]]-WWWW[[#This Row],['#_Non-functional storage tank gravity fed reticulation system]]</f>
        <v>0</v>
      </c>
      <c r="CF462" s="867">
        <f>(WWWW[[#This Row],['#_Water_Liters_supplied_by_Water boating or water trucking]]/90)/15</f>
        <v>0</v>
      </c>
      <c r="CG462" s="867">
        <f>WWWW[[#This Row],['#_Water_Liters_from_Constructed/Existing water distribution system from river or natural spring]]/90/15</f>
        <v>0</v>
      </c>
      <c r="CH462" s="473">
        <f>WWWW[[#This Row],['#_of water points in TLS/CFS /THF]]*500</f>
        <v>0</v>
      </c>
      <c r="CI46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2" s="866">
        <f>IF(WWWW[[#This Row],[Location Type 1]]="Village",WWWW[[#This Row],[Access to safe drinking water for Village]],WWWW[[#This Row],[Access to safe drinking water for Camp]])</f>
        <v>1</v>
      </c>
      <c r="CL462" s="864">
        <f>WWWW[[#This Row],[%Equitable and continuous access to sufficient quantity of safe drinking water]]*WWWW[[#This Row],[Total PoP ]]</f>
        <v>191</v>
      </c>
      <c r="CM462" s="866">
        <f>IF((WWWW[[#This Row],['#_Constructed/Existing protected/fenced ponds]]*250)/WWWW[[#This Row],[Total PoP ]]&gt;1,1,(WWWW[[#This Row],['#_Constructed/Existing protected/fenced ponds]]*250)/WWWW[[#This Row],[Total PoP ]])</f>
        <v>0</v>
      </c>
      <c r="CN462" s="864">
        <f>WWWW[[#This Row],[% Access to unimproved water points]]*WWWW[[#This Row],[Total PoP ]]</f>
        <v>0</v>
      </c>
      <c r="CO46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Q462" s="864">
        <f>WWWW[[#This Row],[HRP1]]/500</f>
        <v>0.38200000000000001</v>
      </c>
      <c r="CR462" s="869">
        <f>1-WWWW[[#This Row],[% Equitable and continuous access to sufficient quantity of domestic water]]</f>
        <v>0</v>
      </c>
      <c r="CS462" s="864">
        <f>WWWW[[#This Row],[%equitable and continuous access to sufficient quantity of safe drinking and domestic water''s GAP]]*WWWW[[#This Row],[Total PoP ]]</f>
        <v>0</v>
      </c>
      <c r="CT462" s="867">
        <f>IF(WWWW[[#This Row],[Total required water points]]-WWWW[[#This Row],['#Water points coverage]]&lt;0,0,WWWW[[#This Row],[Total required water points]]-WWWW[[#This Row],['#Water points coverage]])</f>
        <v>0.61799999999999999</v>
      </c>
      <c r="CU462" s="867">
        <f>ROUND(IF(WWWW[[#This Row],[Total PoP ]]&lt;500,1,WWWW[[#This Row],[Total PoP ]]/500),0)</f>
        <v>1</v>
      </c>
      <c r="CV462" s="867">
        <f>(WWWW[[#This Row],['#_Constructed latrines_by_WASHAgencies]]+WWWW[[#This Row],['#_Non Cluster partner latrines]])-WWWW[[#This Row],['#_Non-functional latrines]]</f>
        <v>10</v>
      </c>
      <c r="CW462" s="804">
        <f>WWWW[[#This Row],[HRP2]]/WWWW[[#This Row],[Total PoP ]]</f>
        <v>1</v>
      </c>
      <c r="CX46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CY46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2" s="473">
        <f>IF(WWWW[[#This Row],['# of functional latrines in THF supported by WASH partners during the reporting period2]]="",0,WWWW[[#This Row],['# of functional latrines in THF supported by WASH partners during the reporting period2]]*50)</f>
        <v>0</v>
      </c>
      <c r="DB462" s="473">
        <f>WWWW[[#This Row],['# students access to functioning school latrines_HRP5]]+WWWW[[#This Row],['# People access to functioning latrines in THF_HRP5]]</f>
        <v>0</v>
      </c>
      <c r="DC462" s="867">
        <f>ROUND(IF(WWWW[[#This Row],[Location Type 1]]="camp",WWWW[[#This Row],[Total PoP ]]/20,IF(WWWW[[#This Row],[Location Type 1]]="Temporary Location",WWWW[[#This Row],[Total PoP ]]/50,(WWWW[[#This Row],[Total PoP ]]/6))),0)</f>
        <v>10</v>
      </c>
      <c r="DD462" s="867">
        <f>IF(WWWW[[#This Row],[Total required Latrines]]-(WWWW[[#This Row],['#_Constructed latrines_by_WASHAgencies]]+WWWW[[#This Row],['#_Non Cluster partner latrines]])&lt;0,0,WWWW[[#This Row],[Total required Latrines]]-(WWWW[[#This Row],['#_Constructed latrines_by_WASHAgencies]]+WWWW[[#This Row],['#_Non Cluster partner latrines]]))</f>
        <v>0</v>
      </c>
      <c r="DE462" s="869">
        <f>1-WWWW[[#This Row],[% people access to functioning Latrine]]</f>
        <v>0</v>
      </c>
      <c r="DF462" s="868">
        <f>IF(OR(WWWW[[#This Row],['#_Non-functional latrines]]="",WWWW[[#This Row],['#_Non-functional latrines]]=0),0,WWWW[[#This Row],['#_Non-functional latrines]]/(WWWW[[#This Row],['#_Constructed latrines_by_WASHAgencies]]+WWWW[[#This Row],['#_Non Cluster partner latrines]]))</f>
        <v>0</v>
      </c>
      <c r="DG462" s="864">
        <f>IF(500*(WWWW[[#This Row],['#_male hygiene promoters]]+WWWW[[#This Row],['#_female hygiene promoters]])&gt;WWWW[[#This Row],[Total PoP ]],WWWW[[#This Row],[Total PoP ]],500*(WWWW[[#This Row],['#_male hygiene promoters]]+WWWW[[#This Row],['#_female hygiene promoters]]))</f>
        <v>191</v>
      </c>
      <c r="DH46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2" s="867">
        <f>IF(WWWW[[#This Row],['# People with access to soap]]&gt;WWWW[[#This Row],['# People with access to Sanity Pads]],WWWW[[#This Row],['# People with access to soap]],WWWW[[#This Row],['# People with access to Sanity Pads]])</f>
        <v>0</v>
      </c>
      <c r="DK462" s="867">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L462" s="869">
        <f>IF(WWWW[[#This Row],[HRP3]]/WWWW[[#This Row],[Total PoP ]]&gt;1,1,WWWW[[#This Row],[HRP3]]/WWWW[[#This Row],[Total PoP ]])</f>
        <v>1</v>
      </c>
      <c r="DM462" s="868">
        <f>1-WWWW[[#This Row],[Hygiene Coverage%]]</f>
        <v>0</v>
      </c>
      <c r="DN462" s="866">
        <f>WWWW[[#This Row],['# people reached by regular dedicated hygiene promotion_5]]/WWWW[[#This Row],[Total PoP ]]</f>
        <v>1</v>
      </c>
      <c r="DO46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2" s="867">
        <f>WWWW[[#This Row],['#_Constructed/Existing hand washing stations]]-WWWW[[#This Row],['#_Non-Functional_hand_washing_stations]]</f>
        <v>2</v>
      </c>
      <c r="DR462" s="864">
        <f>IF(WWWW[[#This Row],['# Functional hand washing stations during reporting period]]*20&gt;WWWW[[#This Row],[Total HH]],WWWW[[#This Row],[Total HH]],WWWW[[#This Row],['# Functional hand washing stations during reporting period]]*20)</f>
        <v>40</v>
      </c>
      <c r="DS462" s="864">
        <f>IF(WWWW[[#This Row],[Is sufficient soap available for TLS? (Yes/No)]]="yes",WWWW[[#This Row],['#_Constructed/Existing hand washing stations at TLS]],0)</f>
        <v>0</v>
      </c>
      <c r="DT462" s="479">
        <f>IF(WWWW[[#This Row],['# Functional hand washing stations during reporting period]]*100&gt;WWWW[[#This Row],[Total PoP ]],WWWW[[#This Row],[Total PoP ]],WWWW[[#This Row],['# Functional hand washing stations during reporting period]]*100)</f>
        <v>191</v>
      </c>
      <c r="DU462" s="479" t="str">
        <f>IF(OR(WWWW[[#This Row],['#_students at TLS_CFS]]="",WWWW[[#This Row],['#_students at TLS_CFS]]=0),"No","Yes")</f>
        <v>No</v>
      </c>
      <c r="DV46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2" s="862" t="str">
        <f>VLOOKUP(WWWW[[#This Row],[Site Name]],SiteDB6[[Site Name]:[CCCM Management]],6,FALSE)</f>
        <v>Yes</v>
      </c>
      <c r="DZ462" s="862" t="str">
        <f>VLOOKUP(WWWW[[#This Row],[Site Name]],SiteDB6[[Site Name]:[CCCM Focal Agency]],7,FALSE)</f>
        <v>KBC-MYT</v>
      </c>
      <c r="EA462" s="862" t="str">
        <f>VLOOKUP(WWWW[[#This Row],[Site Name]],SiteDB6[[Site Name]:[Location Type 1]],9,FALSE)</f>
        <v>Camp</v>
      </c>
      <c r="EB462" s="862" t="str">
        <f>VLOOKUP(WWWW[[#This Row],[Site Name]],SiteDB6[[Site Name]:[Type of Accommodation]],10,FALSE)</f>
        <v>Camp</v>
      </c>
      <c r="EC462" s="862" t="str">
        <f>VLOOKUP(WWWW[[#This Row],[Site Name]],SiteDB6[[Site Name]:[Ethnic or GCA/NGCA]],11,FALSE)</f>
        <v>GCA</v>
      </c>
      <c r="ED462" s="862">
        <f>VLOOKUP(WWWW[[#This Row],[Site Name]],SiteDB6[[Site Name]:[Lat]],12,FALSE)</f>
        <v>25.409612685185198</v>
      </c>
      <c r="EE462" s="862">
        <f>VLOOKUP(WWWW[[#This Row],[Site Name]],SiteDB6[[Site Name]:[Long]],13,FALSE)</f>
        <v>97.426536944444507</v>
      </c>
      <c r="EF462" s="862" t="str">
        <f>VLOOKUP(WWWW[[#This Row],[Site Name]],SiteDB6[[Site Name]:[Pcode]],3,FALSE)</f>
        <v>MMR001CMP039</v>
      </c>
      <c r="EG462" s="865" t="str">
        <f t="shared" si="13"/>
        <v>Covered</v>
      </c>
      <c r="EH462" s="865" t="str">
        <f>VLOOKUP(WWWW[[#This Row],[Site Name]],Site_DB!$C$389:$D$1120,2,FALSE)</f>
        <v>cccm_2019OCT</v>
      </c>
    </row>
    <row r="463" spans="1:138">
      <c r="A463" s="860" t="s">
        <v>3263</v>
      </c>
      <c r="B463" s="860" t="s">
        <v>38</v>
      </c>
      <c r="C463" s="861" t="s">
        <v>38</v>
      </c>
      <c r="D463" s="861" t="s">
        <v>717</v>
      </c>
      <c r="E463" s="861" t="s">
        <v>39</v>
      </c>
      <c r="F463" s="861" t="s">
        <v>40</v>
      </c>
      <c r="G463" s="721" t="str">
        <f>VLOOKUP(WWWW[[#This Row],[Site Name]],SiteDB6[[Site Name]:[Location Type]],8,FALSE)</f>
        <v>Camp</v>
      </c>
      <c r="H463" s="404" t="s">
        <v>41</v>
      </c>
      <c r="I463" s="851">
        <v>154</v>
      </c>
      <c r="J463" s="851">
        <v>694</v>
      </c>
      <c r="K463" s="863">
        <v>43525</v>
      </c>
      <c r="L463" s="859">
        <v>44196</v>
      </c>
      <c r="M463" s="851"/>
      <c r="N463" s="851"/>
      <c r="O463" s="851"/>
      <c r="P463" s="851"/>
      <c r="Q463" s="864" t="s">
        <v>43</v>
      </c>
      <c r="R463" s="851"/>
      <c r="S463" s="851">
        <v>4</v>
      </c>
      <c r="T463" s="523">
        <v>1</v>
      </c>
      <c r="U463" s="851"/>
      <c r="V463" s="851"/>
      <c r="W463" s="851">
        <v>3</v>
      </c>
      <c r="X463" s="851">
        <v>2</v>
      </c>
      <c r="Y463" s="851"/>
      <c r="Z463" s="851"/>
      <c r="AA463" s="851"/>
      <c r="AB463" s="851"/>
      <c r="AC463" s="851"/>
      <c r="AD463" s="851"/>
      <c r="AE463" s="851"/>
      <c r="AF463" s="851"/>
      <c r="AG463" s="851"/>
      <c r="AH463" s="851"/>
      <c r="AI463" s="851"/>
      <c r="AJ463" s="851"/>
      <c r="AK463" s="851"/>
      <c r="AL463" s="851"/>
      <c r="AM463" s="851"/>
      <c r="AN463" s="851"/>
      <c r="AO463" s="865"/>
      <c r="AP463" s="851">
        <v>61</v>
      </c>
      <c r="AQ463" s="851"/>
      <c r="AR463" s="866"/>
      <c r="AS463" s="851"/>
      <c r="AT463" s="851"/>
      <c r="AU463" s="851"/>
      <c r="AV463" s="851"/>
      <c r="AW463" s="851"/>
      <c r="AX463" s="862" t="s">
        <v>43</v>
      </c>
      <c r="AY463" s="865" t="s">
        <v>140</v>
      </c>
      <c r="AZ463" s="851"/>
      <c r="BA463" s="851"/>
      <c r="BB463" s="851"/>
      <c r="BC463" s="523"/>
      <c r="BD463" s="523"/>
      <c r="BE463" s="862"/>
      <c r="BF463" s="851">
        <v>10</v>
      </c>
      <c r="BG463" s="851"/>
      <c r="BH463" s="851"/>
      <c r="BI463" s="851">
        <v>7</v>
      </c>
      <c r="BJ463" s="851"/>
      <c r="BK463" s="851"/>
      <c r="BL463" s="851">
        <v>2</v>
      </c>
      <c r="BM463" s="851"/>
      <c r="BN463" s="851"/>
      <c r="BO463" s="862"/>
      <c r="BP463" s="867"/>
      <c r="BQ463" s="866"/>
      <c r="BR463" s="862"/>
      <c r="BS463" s="472"/>
      <c r="BT463" s="472"/>
      <c r="BU463" s="474"/>
      <c r="BV463" s="472"/>
      <c r="BW463" s="523"/>
      <c r="BX463" s="523"/>
      <c r="BY463" s="523"/>
      <c r="BZ463" s="868" t="str">
        <f>IFERROR(WWWW[[#This Row],['#_Water sources passed]]/WWWW[[#This Row],['#_Water sources tested for fecal coliform ]],"no test")</f>
        <v>no test</v>
      </c>
      <c r="CA463" s="866" t="str">
        <f>IFERROR(WWWW[[#This Row],['#_Household passed]]/WWWW[[#This Row],['#_Household water samples tested for fecal coliform]],"no test")</f>
        <v>no test</v>
      </c>
      <c r="CB463" s="867" t="str">
        <f>IF(AND(WWWW[[#This Row],[% of water sources passed]]="no test",WWWW[[#This Row],[% Household passed]]="no test"),"No Test","Tested")</f>
        <v>No Test</v>
      </c>
      <c r="CC463" s="867">
        <f>WWWW[[#This Row],['#_Constructed/existing protected hand dug well]]-WWWW[[#This Row],['#_Non-functional protected hand dug well]]</f>
        <v>1</v>
      </c>
      <c r="CD463" s="867">
        <f>(WWWW[[#This Row],['#_Constructed/Existing tube wells/boreholes/handpumps_WASH_agency]]+WWWW[[#This Row],['#_Non-Cluster partner water tube-wells/boreholes/handpumps]])-WWWW[[#This Row],['#_Non-functional tube wells/boreholes/handpumps]]</f>
        <v>5</v>
      </c>
      <c r="CE463" s="867">
        <f>WWWW[[#This Row],['#_Constructed/Existingwater storage tank with gravity fed reticulation system]]-WWWW[[#This Row],['#_Non-functional storage tank gravity fed reticulation system]]</f>
        <v>0</v>
      </c>
      <c r="CF463" s="867">
        <f>(WWWW[[#This Row],['#_Water_Liters_supplied_by_Water boating or water trucking]]/90)/15</f>
        <v>0</v>
      </c>
      <c r="CG463" s="867">
        <f>WWWW[[#This Row],['#_Water_Liters_from_Constructed/Existing water distribution system from river or natural spring]]/90/15</f>
        <v>0</v>
      </c>
      <c r="CH463" s="473">
        <f>WWWW[[#This Row],['#_of water points in TLS/CFS /THF]]*500</f>
        <v>0</v>
      </c>
      <c r="CI46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3" s="866">
        <f>IF(WWWW[[#This Row],[Location Type 1]]="Village",WWWW[[#This Row],[Access to safe drinking water for Village]],WWWW[[#This Row],[Access to safe drinking water for Camp]])</f>
        <v>1</v>
      </c>
      <c r="CL463" s="864">
        <f>WWWW[[#This Row],[%Equitable and continuous access to sufficient quantity of safe drinking water]]*WWWW[[#This Row],[Total PoP ]]</f>
        <v>694</v>
      </c>
      <c r="CM463" s="866">
        <f>IF((WWWW[[#This Row],['#_Constructed/Existing protected/fenced ponds]]*250)/WWWW[[#This Row],[Total PoP ]]&gt;1,1,(WWWW[[#This Row],['#_Constructed/Existing protected/fenced ponds]]*250)/WWWW[[#This Row],[Total PoP ]])</f>
        <v>0</v>
      </c>
      <c r="CN463" s="864">
        <f>WWWW[[#This Row],[% Access to unimproved water points]]*WWWW[[#This Row],[Total PoP ]]</f>
        <v>0</v>
      </c>
      <c r="CO46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Q463" s="864">
        <f>WWWW[[#This Row],[HRP1]]/500</f>
        <v>1.3879999999999999</v>
      </c>
      <c r="CR463" s="869">
        <f>1-WWWW[[#This Row],[% Equitable and continuous access to sufficient quantity of domestic water]]</f>
        <v>0</v>
      </c>
      <c r="CS463" s="864">
        <f>WWWW[[#This Row],[%equitable and continuous access to sufficient quantity of safe drinking and domestic water''s GAP]]*WWWW[[#This Row],[Total PoP ]]</f>
        <v>0</v>
      </c>
      <c r="CT463" s="867">
        <f>IF(WWWW[[#This Row],[Total required water points]]-WWWW[[#This Row],['#Water points coverage]]&lt;0,0,WWWW[[#This Row],[Total required water points]]-WWWW[[#This Row],['#Water points coverage]])</f>
        <v>0</v>
      </c>
      <c r="CU463" s="867">
        <f>ROUND(IF(WWWW[[#This Row],[Total PoP ]]&lt;500,1,WWWW[[#This Row],[Total PoP ]]/500),0)</f>
        <v>1</v>
      </c>
      <c r="CV463" s="867">
        <f>(WWWW[[#This Row],['#_Constructed latrines_by_WASHAgencies]]+WWWW[[#This Row],['#_Non Cluster partner latrines]])-WWWW[[#This Row],['#_Non-functional latrines]]</f>
        <v>61</v>
      </c>
      <c r="CW463" s="804">
        <f>WWWW[[#This Row],[HRP2]]/WWWW[[#This Row],[Total PoP ]]</f>
        <v>1</v>
      </c>
      <c r="CX46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CY46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3" s="473">
        <f>IF(WWWW[[#This Row],['# of functional latrines in THF supported by WASH partners during the reporting period2]]="",0,WWWW[[#This Row],['# of functional latrines in THF supported by WASH partners during the reporting period2]]*50)</f>
        <v>0</v>
      </c>
      <c r="DB463" s="473">
        <f>WWWW[[#This Row],['# students access to functioning school latrines_HRP5]]+WWWW[[#This Row],['# People access to functioning latrines in THF_HRP5]]</f>
        <v>0</v>
      </c>
      <c r="DC463" s="867">
        <f>ROUND(IF(WWWW[[#This Row],[Location Type 1]]="camp",WWWW[[#This Row],[Total PoP ]]/20,IF(WWWW[[#This Row],[Location Type 1]]="Temporary Location",WWWW[[#This Row],[Total PoP ]]/50,(WWWW[[#This Row],[Total PoP ]]/6))),0)</f>
        <v>35</v>
      </c>
      <c r="DD463" s="867">
        <f>IF(WWWW[[#This Row],[Total required Latrines]]-(WWWW[[#This Row],['#_Constructed latrines_by_WASHAgencies]]+WWWW[[#This Row],['#_Non Cluster partner latrines]])&lt;0,0,WWWW[[#This Row],[Total required Latrines]]-(WWWW[[#This Row],['#_Constructed latrines_by_WASHAgencies]]+WWWW[[#This Row],['#_Non Cluster partner latrines]]))</f>
        <v>0</v>
      </c>
      <c r="DE463" s="869">
        <f>1-WWWW[[#This Row],[% people access to functioning Latrine]]</f>
        <v>0</v>
      </c>
      <c r="DF463" s="868">
        <f>IF(OR(WWWW[[#This Row],['#_Non-functional latrines]]="",WWWW[[#This Row],['#_Non-functional latrines]]=0),0,WWWW[[#This Row],['#_Non-functional latrines]]/(WWWW[[#This Row],['#_Constructed latrines_by_WASHAgencies]]+WWWW[[#This Row],['#_Non Cluster partner latrines]]))</f>
        <v>0</v>
      </c>
      <c r="DG463" s="864">
        <f>IF(500*(WWWW[[#This Row],['#_male hygiene promoters]]+WWWW[[#This Row],['#_female hygiene promoters]])&gt;WWWW[[#This Row],[Total PoP ]],WWWW[[#This Row],[Total PoP ]],500*(WWWW[[#This Row],['#_male hygiene promoters]]+WWWW[[#This Row],['#_female hygiene promoters]]))</f>
        <v>694</v>
      </c>
      <c r="DH46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3" s="867">
        <f>IF(WWWW[[#This Row],['# People with access to soap]]&gt;WWWW[[#This Row],['# People with access to Sanity Pads]],WWWW[[#This Row],['# People with access to soap]],WWWW[[#This Row],['# People with access to Sanity Pads]])</f>
        <v>0</v>
      </c>
      <c r="DK463" s="867">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L463" s="869">
        <f>IF(WWWW[[#This Row],[HRP3]]/WWWW[[#This Row],[Total PoP ]]&gt;1,1,WWWW[[#This Row],[HRP3]]/WWWW[[#This Row],[Total PoP ]])</f>
        <v>1</v>
      </c>
      <c r="DM463" s="868">
        <f>1-WWWW[[#This Row],[Hygiene Coverage%]]</f>
        <v>0</v>
      </c>
      <c r="DN463" s="866">
        <f>WWWW[[#This Row],['# people reached by regular dedicated hygiene promotion_5]]/WWWW[[#This Row],[Total PoP ]]</f>
        <v>1</v>
      </c>
      <c r="DO46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3" s="867">
        <f>WWWW[[#This Row],['#_Constructed/Existing hand washing stations]]-WWWW[[#This Row],['#_Non-Functional_hand_washing_stations]]</f>
        <v>10</v>
      </c>
      <c r="DR463" s="864">
        <f>IF(WWWW[[#This Row],['# Functional hand washing stations during reporting period]]*20&gt;WWWW[[#This Row],[Total HH]],WWWW[[#This Row],[Total HH]],WWWW[[#This Row],['# Functional hand washing stations during reporting period]]*20)</f>
        <v>154</v>
      </c>
      <c r="DS463" s="864">
        <f>IF(WWWW[[#This Row],[Is sufficient soap available for TLS? (Yes/No)]]="yes",WWWW[[#This Row],['#_Constructed/Existing hand washing stations at TLS]],0)</f>
        <v>0</v>
      </c>
      <c r="DT463" s="479">
        <f>IF(WWWW[[#This Row],['# Functional hand washing stations during reporting period]]*100&gt;WWWW[[#This Row],[Total PoP ]],WWWW[[#This Row],[Total PoP ]],WWWW[[#This Row],['# Functional hand washing stations during reporting period]]*100)</f>
        <v>694</v>
      </c>
      <c r="DU463" s="479" t="str">
        <f>IF(OR(WWWW[[#This Row],['#_students at TLS_CFS]]="",WWWW[[#This Row],['#_students at TLS_CFS]]=0),"No","Yes")</f>
        <v>No</v>
      </c>
      <c r="DV46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3" s="862" t="str">
        <f>VLOOKUP(WWWW[[#This Row],[Site Name]],SiteDB6[[Site Name]:[CCCM Management]],6,FALSE)</f>
        <v>Yes</v>
      </c>
      <c r="DZ463" s="862" t="str">
        <f>VLOOKUP(WWWW[[#This Row],[Site Name]],SiteDB6[[Site Name]:[CCCM Focal Agency]],7,FALSE)</f>
        <v>KMSS-BMO</v>
      </c>
      <c r="EA463" s="862" t="str">
        <f>VLOOKUP(WWWW[[#This Row],[Site Name]],SiteDB6[[Site Name]:[Location Type 1]],9,FALSE)</f>
        <v>Camp</v>
      </c>
      <c r="EB463" s="862" t="str">
        <f>VLOOKUP(WWWW[[#This Row],[Site Name]],SiteDB6[[Site Name]:[Type of Accommodation]],10,FALSE)</f>
        <v>Camp</v>
      </c>
      <c r="EC463" s="862" t="str">
        <f>VLOOKUP(WWWW[[#This Row],[Site Name]],SiteDB6[[Site Name]:[Ethnic or GCA/NGCA]],11,FALSE)</f>
        <v>GCA</v>
      </c>
      <c r="ED463" s="862">
        <f>VLOOKUP(WWWW[[#This Row],[Site Name]],SiteDB6[[Site Name]:[Lat]],12,FALSE)</f>
        <v>23.976571</v>
      </c>
      <c r="EE463" s="862">
        <f>VLOOKUP(WWWW[[#This Row],[Site Name]],SiteDB6[[Site Name]:[Long]],13,FALSE)</f>
        <v>97.227057000000002</v>
      </c>
      <c r="EF463" s="862" t="str">
        <f>VLOOKUP(WWWW[[#This Row],[Site Name]],SiteDB6[[Site Name]:[Pcode]],3,FALSE)</f>
        <v>MMR001CMP223</v>
      </c>
      <c r="EG463" s="865" t="str">
        <f t="shared" si="13"/>
        <v>Covered</v>
      </c>
      <c r="EH463" s="865" t="str">
        <f>VLOOKUP(WWWW[[#This Row],[Site Name]],Site_DB!$C$389:$D$1120,2,FALSE)</f>
        <v>cccm_2019OCT</v>
      </c>
    </row>
    <row r="464" spans="1:138">
      <c r="A464" s="860" t="s">
        <v>3263</v>
      </c>
      <c r="B464" s="860" t="s">
        <v>38</v>
      </c>
      <c r="C464" s="861" t="s">
        <v>38</v>
      </c>
      <c r="D464" s="861" t="s">
        <v>244</v>
      </c>
      <c r="E464" s="861" t="s">
        <v>39</v>
      </c>
      <c r="F464" s="861" t="s">
        <v>155</v>
      </c>
      <c r="G464" s="721" t="str">
        <f>VLOOKUP(WWWW[[#This Row],[Site Name]],SiteDB6[[Site Name]:[Location Type]],8,FALSE)</f>
        <v>Camp</v>
      </c>
      <c r="H464" s="861" t="s">
        <v>2003</v>
      </c>
      <c r="I464" s="851">
        <v>79</v>
      </c>
      <c r="J464" s="851">
        <v>396</v>
      </c>
      <c r="K464" s="863">
        <v>43810</v>
      </c>
      <c r="L464" s="859">
        <v>44175</v>
      </c>
      <c r="M464" s="851"/>
      <c r="N464" s="851"/>
      <c r="O464" s="851"/>
      <c r="P464" s="851"/>
      <c r="Q464" s="864" t="s">
        <v>43</v>
      </c>
      <c r="R464" s="851">
        <v>2</v>
      </c>
      <c r="S464" s="851">
        <v>1</v>
      </c>
      <c r="T464" s="523">
        <v>2</v>
      </c>
      <c r="U464" s="851"/>
      <c r="V464" s="851"/>
      <c r="W464" s="851"/>
      <c r="X464" s="851"/>
      <c r="Y464" s="851"/>
      <c r="Z464" s="851"/>
      <c r="AA464" s="851">
        <v>2</v>
      </c>
      <c r="AB464" s="851"/>
      <c r="AC464" s="851"/>
      <c r="AD464" s="851"/>
      <c r="AE464" s="851"/>
      <c r="AF464" s="851"/>
      <c r="AG464" s="851"/>
      <c r="AH464" s="851"/>
      <c r="AI464" s="851">
        <v>1</v>
      </c>
      <c r="AJ464" s="851">
        <v>1</v>
      </c>
      <c r="AK464" s="851"/>
      <c r="AL464" s="851"/>
      <c r="AM464" s="851"/>
      <c r="AN464" s="851"/>
      <c r="AO464" s="865" t="s">
        <v>3143</v>
      </c>
      <c r="AP464" s="851">
        <v>16</v>
      </c>
      <c r="AQ464" s="851"/>
      <c r="AR464" s="866"/>
      <c r="AS464" s="851"/>
      <c r="AT464" s="851">
        <v>6</v>
      </c>
      <c r="AU464" s="851"/>
      <c r="AV464" s="851"/>
      <c r="AW464" s="851"/>
      <c r="AX464" s="862" t="s">
        <v>43</v>
      </c>
      <c r="AY464" s="865" t="s">
        <v>1195</v>
      </c>
      <c r="AZ464" s="851"/>
      <c r="BA464" s="851"/>
      <c r="BB464" s="851">
        <v>16</v>
      </c>
      <c r="BC464" s="523"/>
      <c r="BD464" s="523"/>
      <c r="BE464" s="862"/>
      <c r="BF464" s="851"/>
      <c r="BG464" s="851"/>
      <c r="BH464" s="851">
        <v>2</v>
      </c>
      <c r="BI464" s="851">
        <v>2</v>
      </c>
      <c r="BJ464" s="851"/>
      <c r="BK464" s="851"/>
      <c r="BL464" s="851">
        <v>1</v>
      </c>
      <c r="BM464" s="851">
        <v>6</v>
      </c>
      <c r="BN464" s="851"/>
      <c r="BO464" s="862"/>
      <c r="BP464" s="867"/>
      <c r="BQ464" s="866"/>
      <c r="BR464" s="862"/>
      <c r="BS464" s="472">
        <v>0.4</v>
      </c>
      <c r="BT464" s="472">
        <v>0.3</v>
      </c>
      <c r="BU464" s="474"/>
      <c r="BV464" s="472">
        <v>0.1</v>
      </c>
      <c r="BW464" s="523"/>
      <c r="BX464" s="523"/>
      <c r="BY464" s="523"/>
      <c r="BZ464" s="868">
        <f>IFERROR(WWWW[[#This Row],['#_Water sources passed]]/WWWW[[#This Row],['#_Water sources tested for fecal coliform ]],"no test")</f>
        <v>1</v>
      </c>
      <c r="CA464" s="866" t="str">
        <f>IFERROR(WWWW[[#This Row],['#_Household passed]]/WWWW[[#This Row],['#_Household water samples tested for fecal coliform]],"no test")</f>
        <v>no test</v>
      </c>
      <c r="CB464" s="867" t="str">
        <f>IF(AND(WWWW[[#This Row],[% of water sources passed]]="no test",WWWW[[#This Row],[% Household passed]]="no test"),"No Test","Tested")</f>
        <v>Tested</v>
      </c>
      <c r="CC464" s="867">
        <f>WWWW[[#This Row],['#_Constructed/existing protected hand dug well]]-WWWW[[#This Row],['#_Non-functional protected hand dug well]]</f>
        <v>2</v>
      </c>
      <c r="CD464" s="867">
        <f>(WWWW[[#This Row],['#_Constructed/Existing tube wells/boreholes/handpumps_WASH_agency]]+WWWW[[#This Row],['#_Non-Cluster partner water tube-wells/boreholes/handpumps]])-WWWW[[#This Row],['#_Non-functional tube wells/boreholes/handpumps]]</f>
        <v>0</v>
      </c>
      <c r="CE464" s="867">
        <f>WWWW[[#This Row],['#_Constructed/Existingwater storage tank with gravity fed reticulation system]]-WWWW[[#This Row],['#_Non-functional storage tank gravity fed reticulation system]]</f>
        <v>2</v>
      </c>
      <c r="CF464" s="867">
        <f>(WWWW[[#This Row],['#_Water_Liters_supplied_by_Water boating or water trucking]]/90)/15</f>
        <v>0</v>
      </c>
      <c r="CG464" s="867">
        <f>WWWW[[#This Row],['#_Water_Liters_from_Constructed/Existing water distribution system from river or natural spring]]/90/15</f>
        <v>0</v>
      </c>
      <c r="CH464" s="473">
        <f>WWWW[[#This Row],['#_of water points in TLS/CFS /THF]]*500</f>
        <v>0</v>
      </c>
      <c r="CI46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4" s="866">
        <f>IF(WWWW[[#This Row],[Location Type 1]]="Village",WWWW[[#This Row],[Access to safe drinking water for Village]],WWWW[[#This Row],[Access to safe drinking water for Camp]])</f>
        <v>1</v>
      </c>
      <c r="CL464" s="864">
        <f>WWWW[[#This Row],[%Equitable and continuous access to sufficient quantity of safe drinking water]]*WWWW[[#This Row],[Total PoP ]]</f>
        <v>396</v>
      </c>
      <c r="CM464" s="866">
        <f>IF((WWWW[[#This Row],['#_Constructed/Existing protected/fenced ponds]]*250)/WWWW[[#This Row],[Total PoP ]]&gt;1,1,(WWWW[[#This Row],['#_Constructed/Existing protected/fenced ponds]]*250)/WWWW[[#This Row],[Total PoP ]])</f>
        <v>0</v>
      </c>
      <c r="CN464" s="864">
        <f>WWWW[[#This Row],[% Access to unimproved water points]]*WWWW[[#This Row],[Total PoP ]]</f>
        <v>0</v>
      </c>
      <c r="CO46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Q464" s="864">
        <f>WWWW[[#This Row],[HRP1]]/500</f>
        <v>0.79200000000000004</v>
      </c>
      <c r="CR464" s="869">
        <f>1-WWWW[[#This Row],[% Equitable and continuous access to sufficient quantity of domestic water]]</f>
        <v>0</v>
      </c>
      <c r="CS464" s="864">
        <f>WWWW[[#This Row],[%equitable and continuous access to sufficient quantity of safe drinking and domestic water''s GAP]]*WWWW[[#This Row],[Total PoP ]]</f>
        <v>0</v>
      </c>
      <c r="CT464" s="867">
        <f>IF(WWWW[[#This Row],[Total required water points]]-WWWW[[#This Row],['#Water points coverage]]&lt;0,0,WWWW[[#This Row],[Total required water points]]-WWWW[[#This Row],['#Water points coverage]])</f>
        <v>0.20799999999999996</v>
      </c>
      <c r="CU464" s="867">
        <f>ROUND(IF(WWWW[[#This Row],[Total PoP ]]&lt;500,1,WWWW[[#This Row],[Total PoP ]]/500),0)</f>
        <v>1</v>
      </c>
      <c r="CV464" s="867">
        <f>(WWWW[[#This Row],['#_Constructed latrines_by_WASHAgencies]]+WWWW[[#This Row],['#_Non Cluster partner latrines]])-WWWW[[#This Row],['#_Non-functional latrines]]</f>
        <v>16</v>
      </c>
      <c r="CW464" s="804">
        <f>WWWW[[#This Row],[HRP2]]/WWWW[[#This Row],[Total PoP ]]</f>
        <v>0.80808080808080807</v>
      </c>
      <c r="CX46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46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4" s="473">
        <f>IF(WWWW[[#This Row],['# of functional latrines in THF supported by WASH partners during the reporting period2]]="",0,WWWW[[#This Row],['# of functional latrines in THF supported by WASH partners during the reporting period2]]*50)</f>
        <v>0</v>
      </c>
      <c r="DB464" s="473">
        <f>WWWW[[#This Row],['# students access to functioning school latrines_HRP5]]+WWWW[[#This Row],['# People access to functioning latrines in THF_HRP5]]</f>
        <v>0</v>
      </c>
      <c r="DC464" s="867">
        <f>ROUND(IF(WWWW[[#This Row],[Location Type 1]]="camp",WWWW[[#This Row],[Total PoP ]]/20,IF(WWWW[[#This Row],[Location Type 1]]="Temporary Location",WWWW[[#This Row],[Total PoP ]]/50,(WWWW[[#This Row],[Total PoP ]]/6))),0)</f>
        <v>20</v>
      </c>
      <c r="DD464" s="867">
        <f>IF(WWWW[[#This Row],[Total required Latrines]]-(WWWW[[#This Row],['#_Constructed latrines_by_WASHAgencies]]+WWWW[[#This Row],['#_Non Cluster partner latrines]])&lt;0,0,WWWW[[#This Row],[Total required Latrines]]-(WWWW[[#This Row],['#_Constructed latrines_by_WASHAgencies]]+WWWW[[#This Row],['#_Non Cluster partner latrines]]))</f>
        <v>4</v>
      </c>
      <c r="DE464" s="869">
        <f>1-WWWW[[#This Row],[% people access to functioning Latrine]]</f>
        <v>0.19191919191919193</v>
      </c>
      <c r="DF464" s="868">
        <f>IF(OR(WWWW[[#This Row],['#_Non-functional latrines]]="",WWWW[[#This Row],['#_Non-functional latrines]]=0),0,WWWW[[#This Row],['#_Non-functional latrines]]/(WWWW[[#This Row],['#_Constructed latrines_by_WASHAgencies]]+WWWW[[#This Row],['#_Non Cluster partner latrines]]))</f>
        <v>0</v>
      </c>
      <c r="DG464" s="864">
        <f>IF(500*(WWWW[[#This Row],['#_male hygiene promoters]]+WWWW[[#This Row],['#_female hygiene promoters]])&gt;WWWW[[#This Row],[Total PoP ]],WWWW[[#This Row],[Total PoP ]],500*(WWWW[[#This Row],['#_male hygiene promoters]]+WWWW[[#This Row],['#_female hygiene promoters]]))</f>
        <v>396</v>
      </c>
      <c r="DH46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6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4" s="867">
        <f>IF(WWWW[[#This Row],['# People with access to soap]]&gt;WWWW[[#This Row],['# People with access to Sanity Pads]],WWWW[[#This Row],['# People with access to soap]],WWWW[[#This Row],['# People with access to Sanity Pads]])</f>
        <v>30</v>
      </c>
      <c r="DK464" s="867">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L464" s="869">
        <f>IF(WWWW[[#This Row],[HRP3]]/WWWW[[#This Row],[Total PoP ]]&gt;1,1,WWWW[[#This Row],[HRP3]]/WWWW[[#This Row],[Total PoP ]])</f>
        <v>1</v>
      </c>
      <c r="DM464" s="868">
        <f>1-WWWW[[#This Row],[Hygiene Coverage%]]</f>
        <v>0</v>
      </c>
      <c r="DN464" s="866">
        <f>WWWW[[#This Row],['# people reached by regular dedicated hygiene promotion_5]]/WWWW[[#This Row],[Total PoP ]]</f>
        <v>1</v>
      </c>
      <c r="DO46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0.30379746835443039</v>
      </c>
      <c r="DP46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4" s="867">
        <f>WWWW[[#This Row],['#_Constructed/Existing hand washing stations]]-WWWW[[#This Row],['#_Non-Functional_hand_washing_stations]]</f>
        <v>0</v>
      </c>
      <c r="DR464" s="864">
        <f>IF(WWWW[[#This Row],['# Functional hand washing stations during reporting period]]*20&gt;WWWW[[#This Row],[Total HH]],WWWW[[#This Row],[Total HH]],WWWW[[#This Row],['# Functional hand washing stations during reporting period]]*20)</f>
        <v>0</v>
      </c>
      <c r="DS464" s="864">
        <f>IF(WWWW[[#This Row],[Is sufficient soap available for TLS? (Yes/No)]]="yes",WWWW[[#This Row],['#_Constructed/Existing hand washing stations at TLS]],0)</f>
        <v>0</v>
      </c>
      <c r="DT464" s="479">
        <f>IF(WWWW[[#This Row],['# Functional hand washing stations during reporting period]]*100&gt;WWWW[[#This Row],[Total PoP ]],WWWW[[#This Row],[Total PoP ]],WWWW[[#This Row],['# Functional hand washing stations during reporting period]]*100)</f>
        <v>0</v>
      </c>
      <c r="DU464" s="479" t="str">
        <f>IF(OR(WWWW[[#This Row],['#_students at TLS_CFS]]="",WWWW[[#This Row],['#_students at TLS_CFS]]=0),"No","Yes")</f>
        <v>No</v>
      </c>
      <c r="DV46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4" s="862">
        <f>VLOOKUP(WWWW[[#This Row],[Site Name]],SiteDB6[[Site Name]:[CCCM Management]],6,FALSE)</f>
        <v>0</v>
      </c>
      <c r="DZ464" s="862" t="str">
        <f>VLOOKUP(WWWW[[#This Row],[Site Name]],SiteDB6[[Site Name]:[CCCM Focal Agency]],7,FALSE)</f>
        <v>KMSS-MYT</v>
      </c>
      <c r="EA464" s="862" t="str">
        <f>VLOOKUP(WWWW[[#This Row],[Site Name]],SiteDB6[[Site Name]:[Location Type 1]],9,FALSE)</f>
        <v>Camp</v>
      </c>
      <c r="EB464" s="862" t="str">
        <f>VLOOKUP(WWWW[[#This Row],[Site Name]],SiteDB6[[Site Name]:[Type of Accommodation]],10,FALSE)</f>
        <v>Camp</v>
      </c>
      <c r="EC464" s="862" t="str">
        <f>VLOOKUP(WWWW[[#This Row],[Site Name]],SiteDB6[[Site Name]:[Ethnic or GCA/NGCA]],11,FALSE)</f>
        <v>GCA</v>
      </c>
      <c r="ED464" s="862">
        <f>VLOOKUP(WWWW[[#This Row],[Site Name]],SiteDB6[[Site Name]:[Lat]],12,FALSE)</f>
        <v>25.383465999999999</v>
      </c>
      <c r="EE464" s="862">
        <f>VLOOKUP(WWWW[[#This Row],[Site Name]],SiteDB6[[Site Name]:[Long]],13,FALSE)</f>
        <v>97.013800000000003</v>
      </c>
      <c r="EF464" s="862" t="str">
        <f>VLOOKUP(WWWW[[#This Row],[Site Name]],SiteDB6[[Site Name]:[Pcode]],3,FALSE)</f>
        <v>MMR001CMP260</v>
      </c>
      <c r="EG464" s="865" t="str">
        <f t="shared" si="13"/>
        <v>Covered</v>
      </c>
      <c r="EH464" s="865" t="str">
        <f>VLOOKUP(WWWW[[#This Row],[Site Name]],Site_DB!$C$389:$D$1120,2,FALSE)</f>
        <v>cccm_2019OCT</v>
      </c>
    </row>
    <row r="465" spans="1:138">
      <c r="A465" s="860" t="s">
        <v>3263</v>
      </c>
      <c r="B465" s="860" t="s">
        <v>245</v>
      </c>
      <c r="C465" s="861" t="s">
        <v>245</v>
      </c>
      <c r="D465" s="861" t="s">
        <v>310</v>
      </c>
      <c r="E465" s="861" t="s">
        <v>39</v>
      </c>
      <c r="F465" s="861" t="s">
        <v>162</v>
      </c>
      <c r="G465" s="721" t="str">
        <f>VLOOKUP(WWWW[[#This Row],[Site Name]],SiteDB6[[Site Name]:[Location Type]],8,FALSE)</f>
        <v>Camp</v>
      </c>
      <c r="H465" s="861" t="s">
        <v>268</v>
      </c>
      <c r="I465" s="851">
        <v>24</v>
      </c>
      <c r="J465" s="851">
        <v>111</v>
      </c>
      <c r="K465" s="863">
        <v>43313</v>
      </c>
      <c r="L465" s="859">
        <v>44196</v>
      </c>
      <c r="M465" s="851"/>
      <c r="N465" s="851">
        <v>1</v>
      </c>
      <c r="O465" s="851"/>
      <c r="P465" s="851"/>
      <c r="Q465" s="864" t="s">
        <v>43</v>
      </c>
      <c r="R465" s="851">
        <v>1</v>
      </c>
      <c r="S465" s="851">
        <v>3</v>
      </c>
      <c r="T465" s="523">
        <v>1</v>
      </c>
      <c r="U465" s="851"/>
      <c r="V465" s="851"/>
      <c r="W465" s="851">
        <v>0</v>
      </c>
      <c r="X465" s="851">
        <v>1</v>
      </c>
      <c r="Y465" s="851"/>
      <c r="Z465" s="851"/>
      <c r="AA465" s="851"/>
      <c r="AB465" s="851"/>
      <c r="AC465" s="851"/>
      <c r="AD465" s="851"/>
      <c r="AE465" s="851"/>
      <c r="AF465" s="851"/>
      <c r="AG465" s="851"/>
      <c r="AH465" s="851"/>
      <c r="AI465" s="851"/>
      <c r="AJ465" s="851"/>
      <c r="AK465" s="851"/>
      <c r="AL465" s="851"/>
      <c r="AM465" s="851"/>
      <c r="AN465" s="851"/>
      <c r="AO465" s="865"/>
      <c r="AP465" s="851">
        <v>6</v>
      </c>
      <c r="AQ465" s="851">
        <v>5</v>
      </c>
      <c r="AR465" s="866" t="s">
        <v>2915</v>
      </c>
      <c r="AS465" s="851"/>
      <c r="AT465" s="851"/>
      <c r="AU465" s="851">
        <v>4</v>
      </c>
      <c r="AV465" s="851"/>
      <c r="AW465" s="851"/>
      <c r="AX465" s="862" t="s">
        <v>43</v>
      </c>
      <c r="AY465" s="865" t="s">
        <v>1195</v>
      </c>
      <c r="AZ465" s="851"/>
      <c r="BA465" s="851"/>
      <c r="BB465" s="851"/>
      <c r="BC465" s="523"/>
      <c r="BD465" s="523"/>
      <c r="BE465" s="862"/>
      <c r="BF465" s="851">
        <v>4</v>
      </c>
      <c r="BG465" s="851"/>
      <c r="BH465" s="851">
        <v>0</v>
      </c>
      <c r="BI465" s="851">
        <v>2</v>
      </c>
      <c r="BJ465" s="851"/>
      <c r="BK465" s="851">
        <v>0</v>
      </c>
      <c r="BL465" s="851">
        <v>0</v>
      </c>
      <c r="BM465" s="851"/>
      <c r="BN465" s="851"/>
      <c r="BO465" s="862"/>
      <c r="BP465" s="867"/>
      <c r="BQ465" s="866"/>
      <c r="BR465" s="862"/>
      <c r="BS465" s="472"/>
      <c r="BT465" s="472"/>
      <c r="BU465" s="474"/>
      <c r="BV465" s="472"/>
      <c r="BW465" s="523"/>
      <c r="BX465" s="523"/>
      <c r="BY465" s="523"/>
      <c r="BZ465" s="868" t="str">
        <f>IFERROR(WWWW[[#This Row],['#_Water sources passed]]/WWWW[[#This Row],['#_Water sources tested for fecal coliform ]],"no test")</f>
        <v>no test</v>
      </c>
      <c r="CA465" s="866" t="str">
        <f>IFERROR(WWWW[[#This Row],['#_Household passed]]/WWWW[[#This Row],['#_Household water samples tested for fecal coliform]],"no test")</f>
        <v>no test</v>
      </c>
      <c r="CB465" s="867" t="str">
        <f>IF(AND(WWWW[[#This Row],[% of water sources passed]]="no test",WWWW[[#This Row],[% Household passed]]="no test"),"No Test","Tested")</f>
        <v>No Test</v>
      </c>
      <c r="CC465" s="867">
        <f>WWWW[[#This Row],['#_Constructed/existing protected hand dug well]]-WWWW[[#This Row],['#_Non-functional protected hand dug well]]</f>
        <v>1</v>
      </c>
      <c r="CD465" s="867">
        <f>(WWWW[[#This Row],['#_Constructed/Existing tube wells/boreholes/handpumps_WASH_agency]]+WWWW[[#This Row],['#_Non-Cluster partner water tube-wells/boreholes/handpumps]])-WWWW[[#This Row],['#_Non-functional tube wells/boreholes/handpumps]]</f>
        <v>1</v>
      </c>
      <c r="CE465" s="867">
        <f>WWWW[[#This Row],['#_Constructed/Existingwater storage tank with gravity fed reticulation system]]-WWWW[[#This Row],['#_Non-functional storage tank gravity fed reticulation system]]</f>
        <v>0</v>
      </c>
      <c r="CF465" s="867">
        <f>(WWWW[[#This Row],['#_Water_Liters_supplied_by_Water boating or water trucking]]/90)/15</f>
        <v>0</v>
      </c>
      <c r="CG465" s="867">
        <f>WWWW[[#This Row],['#_Water_Liters_from_Constructed/Existing water distribution system from river or natural spring]]/90/15</f>
        <v>0</v>
      </c>
      <c r="CH465" s="473">
        <f>WWWW[[#This Row],['#_of water points in TLS/CFS /THF]]*500</f>
        <v>0</v>
      </c>
      <c r="CI46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5" s="866">
        <f>IF(WWWW[[#This Row],[Location Type 1]]="Village",WWWW[[#This Row],[Access to safe drinking water for Village]],WWWW[[#This Row],[Access to safe drinking water for Camp]])</f>
        <v>1</v>
      </c>
      <c r="CL465" s="864">
        <f>WWWW[[#This Row],[%Equitable and continuous access to sufficient quantity of safe drinking water]]*WWWW[[#This Row],[Total PoP ]]</f>
        <v>111</v>
      </c>
      <c r="CM465" s="866">
        <f>IF((WWWW[[#This Row],['#_Constructed/Existing protected/fenced ponds]]*250)/WWWW[[#This Row],[Total PoP ]]&gt;1,1,(WWWW[[#This Row],['#_Constructed/Existing protected/fenced ponds]]*250)/WWWW[[#This Row],[Total PoP ]])</f>
        <v>0</v>
      </c>
      <c r="CN465" s="864">
        <f>WWWW[[#This Row],[% Access to unimproved water points]]*WWWW[[#This Row],[Total PoP ]]</f>
        <v>0</v>
      </c>
      <c r="CO46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465" s="864">
        <f>WWWW[[#This Row],[HRP1]]/500</f>
        <v>0.222</v>
      </c>
      <c r="CR465" s="869">
        <f>1-WWWW[[#This Row],[% Equitable and continuous access to sufficient quantity of domestic water]]</f>
        <v>0</v>
      </c>
      <c r="CS465" s="864">
        <f>WWWW[[#This Row],[%equitable and continuous access to sufficient quantity of safe drinking and domestic water''s GAP]]*WWWW[[#This Row],[Total PoP ]]</f>
        <v>0</v>
      </c>
      <c r="CT465" s="867">
        <f>IF(WWWW[[#This Row],[Total required water points]]-WWWW[[#This Row],['#Water points coverage]]&lt;0,0,WWWW[[#This Row],[Total required water points]]-WWWW[[#This Row],['#Water points coverage]])</f>
        <v>0.77800000000000002</v>
      </c>
      <c r="CU465" s="867">
        <f>ROUND(IF(WWWW[[#This Row],[Total PoP ]]&lt;500,1,WWWW[[#This Row],[Total PoP ]]/500),0)</f>
        <v>1</v>
      </c>
      <c r="CV465" s="867">
        <f>(WWWW[[#This Row],['#_Constructed latrines_by_WASHAgencies]]+WWWW[[#This Row],['#_Non Cluster partner latrines]])-WWWW[[#This Row],['#_Non-functional latrines]]</f>
        <v>11</v>
      </c>
      <c r="CW465" s="804">
        <f>WWWW[[#This Row],[HRP2]]/WWWW[[#This Row],[Total PoP ]]</f>
        <v>1</v>
      </c>
      <c r="CX46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46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46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5" s="473">
        <f>IF(WWWW[[#This Row],['# of functional latrines in THF supported by WASH partners during the reporting period2]]="",0,WWWW[[#This Row],['# of functional latrines in THF supported by WASH partners during the reporting period2]]*50)</f>
        <v>0</v>
      </c>
      <c r="DB465" s="473">
        <f>WWWW[[#This Row],['# students access to functioning school latrines_HRP5]]+WWWW[[#This Row],['# People access to functioning latrines in THF_HRP5]]</f>
        <v>0</v>
      </c>
      <c r="DC465" s="867">
        <f>ROUND(IF(WWWW[[#This Row],[Location Type 1]]="camp",WWWW[[#This Row],[Total PoP ]]/20,IF(WWWW[[#This Row],[Location Type 1]]="Temporary Location",WWWW[[#This Row],[Total PoP ]]/50,(WWWW[[#This Row],[Total PoP ]]/6))),0)</f>
        <v>6</v>
      </c>
      <c r="DD465" s="867">
        <f>IF(WWWW[[#This Row],[Total required Latrines]]-(WWWW[[#This Row],['#_Constructed latrines_by_WASHAgencies]]+WWWW[[#This Row],['#_Non Cluster partner latrines]])&lt;0,0,WWWW[[#This Row],[Total required Latrines]]-(WWWW[[#This Row],['#_Constructed latrines_by_WASHAgencies]]+WWWW[[#This Row],['#_Non Cluster partner latrines]]))</f>
        <v>0</v>
      </c>
      <c r="DE465" s="869">
        <f>1-WWWW[[#This Row],[% people access to functioning Latrine]]</f>
        <v>0</v>
      </c>
      <c r="DF465" s="868">
        <f>IF(OR(WWWW[[#This Row],['#_Non-functional latrines]]="",WWWW[[#This Row],['#_Non-functional latrines]]=0),0,WWWW[[#This Row],['#_Non-functional latrines]]/(WWWW[[#This Row],['#_Constructed latrines_by_WASHAgencies]]+WWWW[[#This Row],['#_Non Cluster partner latrines]]))</f>
        <v>0</v>
      </c>
      <c r="DG465" s="864">
        <f>IF(500*(WWWW[[#This Row],['#_male hygiene promoters]]+WWWW[[#This Row],['#_female hygiene promoters]])&gt;WWWW[[#This Row],[Total PoP ]],WWWW[[#This Row],[Total PoP ]],500*(WWWW[[#This Row],['#_male hygiene promoters]]+WWWW[[#This Row],['#_female hygiene promoters]]))</f>
        <v>0</v>
      </c>
      <c r="DH46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5" s="867">
        <f>IF(WWWW[[#This Row],['# People with access to soap]]&gt;WWWW[[#This Row],['# People with access to Sanity Pads]],WWWW[[#This Row],['# People with access to soap]],WWWW[[#This Row],['# People with access to Sanity Pads]])</f>
        <v>0</v>
      </c>
      <c r="DK46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65" s="869">
        <f>IF(WWWW[[#This Row],[HRP3]]/WWWW[[#This Row],[Total PoP ]]&gt;1,1,WWWW[[#This Row],[HRP3]]/WWWW[[#This Row],[Total PoP ]])</f>
        <v>0</v>
      </c>
      <c r="DM465" s="868">
        <f>1-WWWW[[#This Row],[Hygiene Coverage%]]</f>
        <v>1</v>
      </c>
      <c r="DN465" s="866">
        <f>WWWW[[#This Row],['# people reached by regular dedicated hygiene promotion_5]]/WWWW[[#This Row],[Total PoP ]]</f>
        <v>0</v>
      </c>
      <c r="DO46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5" s="867">
        <f>WWWW[[#This Row],['#_Constructed/Existing hand washing stations]]-WWWW[[#This Row],['#_Non-Functional_hand_washing_stations]]</f>
        <v>4</v>
      </c>
      <c r="DR465" s="864">
        <f>IF(WWWW[[#This Row],['# Functional hand washing stations during reporting period]]*20&gt;WWWW[[#This Row],[Total HH]],WWWW[[#This Row],[Total HH]],WWWW[[#This Row],['# Functional hand washing stations during reporting period]]*20)</f>
        <v>24</v>
      </c>
      <c r="DS465" s="864">
        <f>IF(WWWW[[#This Row],[Is sufficient soap available for TLS? (Yes/No)]]="yes",WWWW[[#This Row],['#_Constructed/Existing hand washing stations at TLS]],0)</f>
        <v>0</v>
      </c>
      <c r="DT465" s="479">
        <f>IF(WWWW[[#This Row],['# Functional hand washing stations during reporting period]]*100&gt;WWWW[[#This Row],[Total PoP ]],WWWW[[#This Row],[Total PoP ]],WWWW[[#This Row],['# Functional hand washing stations during reporting period]]*100)</f>
        <v>111</v>
      </c>
      <c r="DU465" s="479" t="str">
        <f>IF(OR(WWWW[[#This Row],['#_students at TLS_CFS]]="",WWWW[[#This Row],['#_students at TLS_CFS]]=0),"No","Yes")</f>
        <v>No</v>
      </c>
      <c r="DV46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5" s="862" t="str">
        <f>VLOOKUP(WWWW[[#This Row],[Site Name]],SiteDB6[[Site Name]:[CCCM Management]],6,FALSE)</f>
        <v>Yes</v>
      </c>
      <c r="DZ465" s="862" t="str">
        <f>VLOOKUP(WWWW[[#This Row],[Site Name]],SiteDB6[[Site Name]:[CCCM Focal Agency]],7,FALSE)</f>
        <v>Shalom</v>
      </c>
      <c r="EA465" s="862" t="str">
        <f>VLOOKUP(WWWW[[#This Row],[Site Name]],SiteDB6[[Site Name]:[Location Type 1]],9,FALSE)</f>
        <v>Camp</v>
      </c>
      <c r="EB465" s="862" t="str">
        <f>VLOOKUP(WWWW[[#This Row],[Site Name]],SiteDB6[[Site Name]:[Type of Accommodation]],10,FALSE)</f>
        <v>Camp</v>
      </c>
      <c r="EC465" s="862" t="str">
        <f>VLOOKUP(WWWW[[#This Row],[Site Name]],SiteDB6[[Site Name]:[Ethnic or GCA/NGCA]],11,FALSE)</f>
        <v>GCA</v>
      </c>
      <c r="ED465" s="862">
        <f>VLOOKUP(WWWW[[#This Row],[Site Name]],SiteDB6[[Site Name]:[Lat]],12,FALSE)</f>
        <v>25.423817</v>
      </c>
      <c r="EE465" s="862">
        <f>VLOOKUP(WWWW[[#This Row],[Site Name]],SiteDB6[[Site Name]:[Long]],13,FALSE)</f>
        <v>97.418004999999994</v>
      </c>
      <c r="EF465" s="862" t="str">
        <f>VLOOKUP(WWWW[[#This Row],[Site Name]],SiteDB6[[Site Name]:[Pcode]],3,FALSE)</f>
        <v>MMR001CMP007</v>
      </c>
      <c r="EG465" s="865" t="str">
        <f t="shared" si="13"/>
        <v>Covered</v>
      </c>
      <c r="EH465" s="865" t="str">
        <f>VLOOKUP(WWWW[[#This Row],[Site Name]],Site_DB!$C$389:$D$1120,2,FALSE)</f>
        <v>cccm_2019OCT</v>
      </c>
    </row>
    <row r="466" spans="1:138">
      <c r="A466" s="860" t="s">
        <v>3263</v>
      </c>
      <c r="B466" s="860" t="s">
        <v>144</v>
      </c>
      <c r="C466" s="861" t="s">
        <v>144</v>
      </c>
      <c r="D466" s="861" t="s">
        <v>3277</v>
      </c>
      <c r="E466" s="861" t="s">
        <v>39</v>
      </c>
      <c r="F466" s="861" t="s">
        <v>151</v>
      </c>
      <c r="G466" s="721" t="str">
        <f>VLOOKUP(WWWW[[#This Row],[Site Name]],SiteDB6[[Site Name]:[Location Type]],8,FALSE)</f>
        <v>Camp</v>
      </c>
      <c r="H466" s="861" t="s">
        <v>152</v>
      </c>
      <c r="I466" s="851">
        <v>31</v>
      </c>
      <c r="J466" s="851">
        <v>132</v>
      </c>
      <c r="K466" s="863" t="s">
        <v>3278</v>
      </c>
      <c r="L466" s="859" t="s">
        <v>3279</v>
      </c>
      <c r="M466" s="851"/>
      <c r="N466" s="851"/>
      <c r="O466" s="851"/>
      <c r="P466" s="851"/>
      <c r="Q466" s="864" t="s">
        <v>43</v>
      </c>
      <c r="R466" s="851"/>
      <c r="S466" s="851">
        <v>1</v>
      </c>
      <c r="T466" s="523">
        <v>0</v>
      </c>
      <c r="U466" s="851"/>
      <c r="V466" s="851"/>
      <c r="W466" s="851">
        <v>1</v>
      </c>
      <c r="X466" s="851"/>
      <c r="Y466" s="851"/>
      <c r="Z466" s="851"/>
      <c r="AA466" s="851"/>
      <c r="AB466" s="851"/>
      <c r="AC466" s="851"/>
      <c r="AD466" s="851"/>
      <c r="AE466" s="851"/>
      <c r="AF466" s="851"/>
      <c r="AG466" s="851"/>
      <c r="AH466" s="851">
        <v>0</v>
      </c>
      <c r="AI466" s="851"/>
      <c r="AJ466" s="851"/>
      <c r="AK466" s="851"/>
      <c r="AL466" s="851"/>
      <c r="AM466" s="851"/>
      <c r="AN466" s="851"/>
      <c r="AO466" s="865"/>
      <c r="AP466" s="851">
        <v>9</v>
      </c>
      <c r="AQ466" s="851"/>
      <c r="AR466" s="866"/>
      <c r="AS466" s="851"/>
      <c r="AT466" s="851"/>
      <c r="AU466" s="851"/>
      <c r="AV466" s="851"/>
      <c r="AW466" s="851">
        <v>4</v>
      </c>
      <c r="AX466" s="862" t="s">
        <v>43</v>
      </c>
      <c r="AY466" s="865" t="s">
        <v>140</v>
      </c>
      <c r="AZ466" s="851"/>
      <c r="BA466" s="851"/>
      <c r="BB466" s="851"/>
      <c r="BC466" s="523"/>
      <c r="BD466" s="523"/>
      <c r="BE466" s="862"/>
      <c r="BF466" s="851">
        <v>1</v>
      </c>
      <c r="BG466" s="851"/>
      <c r="BH466" s="851"/>
      <c r="BI466" s="851">
        <v>2</v>
      </c>
      <c r="BJ466" s="851"/>
      <c r="BK466" s="851"/>
      <c r="BL466" s="851">
        <v>1</v>
      </c>
      <c r="BM466" s="851"/>
      <c r="BN466" s="851"/>
      <c r="BO466" s="862"/>
      <c r="BP466" s="867"/>
      <c r="BQ466" s="866"/>
      <c r="BR466" s="862"/>
      <c r="BS466" s="472"/>
      <c r="BT466" s="472"/>
      <c r="BU466" s="474"/>
      <c r="BV466" s="472"/>
      <c r="BW466" s="523"/>
      <c r="BX466" s="523"/>
      <c r="BY466" s="523"/>
      <c r="BZ466" s="868" t="str">
        <f>IFERROR(WWWW[[#This Row],['#_Water sources passed]]/WWWW[[#This Row],['#_Water sources tested for fecal coliform ]],"no test")</f>
        <v>no test</v>
      </c>
      <c r="CA466" s="866" t="str">
        <f>IFERROR(WWWW[[#This Row],['#_Household passed]]/WWWW[[#This Row],['#_Household water samples tested for fecal coliform]],"no test")</f>
        <v>no test</v>
      </c>
      <c r="CB466" s="867" t="str">
        <f>IF(AND(WWWW[[#This Row],[% of water sources passed]]="no test",WWWW[[#This Row],[% Household passed]]="no test"),"No Test","Tested")</f>
        <v>No Test</v>
      </c>
      <c r="CC466" s="867">
        <f>WWWW[[#This Row],['#_Constructed/existing protected hand dug well]]-WWWW[[#This Row],['#_Non-functional protected hand dug well]]</f>
        <v>0</v>
      </c>
      <c r="CD466" s="867">
        <f>(WWWW[[#This Row],['#_Constructed/Existing tube wells/boreholes/handpumps_WASH_agency]]+WWWW[[#This Row],['#_Non-Cluster partner water tube-wells/boreholes/handpumps]])-WWWW[[#This Row],['#_Non-functional tube wells/boreholes/handpumps]]</f>
        <v>1</v>
      </c>
      <c r="CE466" s="867">
        <f>WWWW[[#This Row],['#_Constructed/Existingwater storage tank with gravity fed reticulation system]]-WWWW[[#This Row],['#_Non-functional storage tank gravity fed reticulation system]]</f>
        <v>0</v>
      </c>
      <c r="CF466" s="867">
        <f>(WWWW[[#This Row],['#_Water_Liters_supplied_by_Water boating or water trucking]]/90)/15</f>
        <v>0</v>
      </c>
      <c r="CG466" s="867">
        <f>WWWW[[#This Row],['#_Water_Liters_from_Constructed/Existing water distribution system from river or natural spring]]/90/15</f>
        <v>0</v>
      </c>
      <c r="CH466" s="473">
        <f>WWWW[[#This Row],['#_of water points in TLS/CFS /THF]]*500</f>
        <v>0</v>
      </c>
      <c r="CI46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6" s="866">
        <f>IF(WWWW[[#This Row],[Location Type 1]]="Village",WWWW[[#This Row],[Access to safe drinking water for Village]],WWWW[[#This Row],[Access to safe drinking water for Camp]])</f>
        <v>1</v>
      </c>
      <c r="CL466" s="864">
        <f>WWWW[[#This Row],[%Equitable and continuous access to sufficient quantity of safe drinking water]]*WWWW[[#This Row],[Total PoP ]]</f>
        <v>132</v>
      </c>
      <c r="CM466" s="866">
        <f>IF((WWWW[[#This Row],['#_Constructed/Existing protected/fenced ponds]]*250)/WWWW[[#This Row],[Total PoP ]]&gt;1,1,(WWWW[[#This Row],['#_Constructed/Existing protected/fenced ponds]]*250)/WWWW[[#This Row],[Total PoP ]])</f>
        <v>0</v>
      </c>
      <c r="CN466" s="864">
        <f>WWWW[[#This Row],[% Access to unimproved water points]]*WWWW[[#This Row],[Total PoP ]]</f>
        <v>0</v>
      </c>
      <c r="CO46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Q466" s="864">
        <f>WWWW[[#This Row],[HRP1]]/500</f>
        <v>0.26400000000000001</v>
      </c>
      <c r="CR466" s="869">
        <f>1-WWWW[[#This Row],[% Equitable and continuous access to sufficient quantity of domestic water]]</f>
        <v>0</v>
      </c>
      <c r="CS466" s="864">
        <f>WWWW[[#This Row],[%equitable and continuous access to sufficient quantity of safe drinking and domestic water''s GAP]]*WWWW[[#This Row],[Total PoP ]]</f>
        <v>0</v>
      </c>
      <c r="CT466" s="867">
        <f>IF(WWWW[[#This Row],[Total required water points]]-WWWW[[#This Row],['#Water points coverage]]&lt;0,0,WWWW[[#This Row],[Total required water points]]-WWWW[[#This Row],['#Water points coverage]])</f>
        <v>0.73599999999999999</v>
      </c>
      <c r="CU466" s="867">
        <f>ROUND(IF(WWWW[[#This Row],[Total PoP ]]&lt;500,1,WWWW[[#This Row],[Total PoP ]]/500),0)</f>
        <v>1</v>
      </c>
      <c r="CV466" s="867">
        <f>(WWWW[[#This Row],['#_Constructed latrines_by_WASHAgencies]]+WWWW[[#This Row],['#_Non Cluster partner latrines]])-WWWW[[#This Row],['#_Non-functional latrines]]</f>
        <v>9</v>
      </c>
      <c r="CW466" s="804">
        <f>WWWW[[#This Row],[HRP2]]/WWWW[[#This Row],[Total PoP ]]</f>
        <v>1</v>
      </c>
      <c r="CX46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CY46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6" s="473">
        <f>IF(WWWW[[#This Row],['# of functional latrines in THF supported by WASH partners during the reporting period2]]="",0,WWWW[[#This Row],['# of functional latrines in THF supported by WASH partners during the reporting period2]]*50)</f>
        <v>0</v>
      </c>
      <c r="DB466" s="473">
        <f>WWWW[[#This Row],['# students access to functioning school latrines_HRP5]]+WWWW[[#This Row],['# People access to functioning latrines in THF_HRP5]]</f>
        <v>0</v>
      </c>
      <c r="DC466" s="867">
        <f>ROUND(IF(WWWW[[#This Row],[Location Type 1]]="camp",WWWW[[#This Row],[Total PoP ]]/20,IF(WWWW[[#This Row],[Location Type 1]]="Temporary Location",WWWW[[#This Row],[Total PoP ]]/50,(WWWW[[#This Row],[Total PoP ]]/6))),0)</f>
        <v>7</v>
      </c>
      <c r="DD466" s="867">
        <f>IF(WWWW[[#This Row],[Total required Latrines]]-(WWWW[[#This Row],['#_Constructed latrines_by_WASHAgencies]]+WWWW[[#This Row],['#_Non Cluster partner latrines]])&lt;0,0,WWWW[[#This Row],[Total required Latrines]]-(WWWW[[#This Row],['#_Constructed latrines_by_WASHAgencies]]+WWWW[[#This Row],['#_Non Cluster partner latrines]]))</f>
        <v>0</v>
      </c>
      <c r="DE466" s="869">
        <f>1-WWWW[[#This Row],[% people access to functioning Latrine]]</f>
        <v>0</v>
      </c>
      <c r="DF466" s="868">
        <f>IF(OR(WWWW[[#This Row],['#_Non-functional latrines]]="",WWWW[[#This Row],['#_Non-functional latrines]]=0),0,WWWW[[#This Row],['#_Non-functional latrines]]/(WWWW[[#This Row],['#_Constructed latrines_by_WASHAgencies]]+WWWW[[#This Row],['#_Non Cluster partner latrines]]))</f>
        <v>0</v>
      </c>
      <c r="DG466" s="864">
        <f>IF(500*(WWWW[[#This Row],['#_male hygiene promoters]]+WWWW[[#This Row],['#_female hygiene promoters]])&gt;WWWW[[#This Row],[Total PoP ]],WWWW[[#This Row],[Total PoP ]],500*(WWWW[[#This Row],['#_male hygiene promoters]]+WWWW[[#This Row],['#_female hygiene promoters]]))</f>
        <v>132</v>
      </c>
      <c r="DH46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6" s="867">
        <f>IF(WWWW[[#This Row],['# People with access to soap]]&gt;WWWW[[#This Row],['# People with access to Sanity Pads]],WWWW[[#This Row],['# People with access to soap]],WWWW[[#This Row],['# People with access to Sanity Pads]])</f>
        <v>0</v>
      </c>
      <c r="DK466" s="867">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L466" s="869">
        <f>IF(WWWW[[#This Row],[HRP3]]/WWWW[[#This Row],[Total PoP ]]&gt;1,1,WWWW[[#This Row],[HRP3]]/WWWW[[#This Row],[Total PoP ]])</f>
        <v>1</v>
      </c>
      <c r="DM466" s="868">
        <f>1-WWWW[[#This Row],[Hygiene Coverage%]]</f>
        <v>0</v>
      </c>
      <c r="DN466" s="866">
        <f>WWWW[[#This Row],['# people reached by regular dedicated hygiene promotion_5]]/WWWW[[#This Row],[Total PoP ]]</f>
        <v>1</v>
      </c>
      <c r="DO46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6" s="867">
        <f>WWWW[[#This Row],['#_Constructed/Existing hand washing stations]]-WWWW[[#This Row],['#_Non-Functional_hand_washing_stations]]</f>
        <v>1</v>
      </c>
      <c r="DR466" s="864">
        <f>IF(WWWW[[#This Row],['# Functional hand washing stations during reporting period]]*20&gt;WWWW[[#This Row],[Total HH]],WWWW[[#This Row],[Total HH]],WWWW[[#This Row],['# Functional hand washing stations during reporting period]]*20)</f>
        <v>20</v>
      </c>
      <c r="DS466" s="864">
        <f>IF(WWWW[[#This Row],[Is sufficient soap available for TLS? (Yes/No)]]="yes",WWWW[[#This Row],['#_Constructed/Existing hand washing stations at TLS]],0)</f>
        <v>0</v>
      </c>
      <c r="DT466" s="479">
        <f>IF(WWWW[[#This Row],['# Functional hand washing stations during reporting period]]*100&gt;WWWW[[#This Row],[Total PoP ]],WWWW[[#This Row],[Total PoP ]],WWWW[[#This Row],['# Functional hand washing stations during reporting period]]*100)</f>
        <v>100</v>
      </c>
      <c r="DU466" s="479" t="str">
        <f>IF(OR(WWWW[[#This Row],['#_students at TLS_CFS]]="",WWWW[[#This Row],['#_students at TLS_CFS]]=0),"No","Yes")</f>
        <v>No</v>
      </c>
      <c r="DV46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6" s="862" t="str">
        <f>VLOOKUP(WWWW[[#This Row],[Site Name]],SiteDB6[[Site Name]:[CCCM Management]],6,FALSE)</f>
        <v>Yes</v>
      </c>
      <c r="DZ466" s="862" t="str">
        <f>VLOOKUP(WWWW[[#This Row],[Site Name]],SiteDB6[[Site Name]:[CCCM Focal Agency]],7,FALSE)</f>
        <v>KBC-MYT</v>
      </c>
      <c r="EA466" s="862" t="str">
        <f>VLOOKUP(WWWW[[#This Row],[Site Name]],SiteDB6[[Site Name]:[Location Type 1]],9,FALSE)</f>
        <v>Camp</v>
      </c>
      <c r="EB466" s="862" t="str">
        <f>VLOOKUP(WWWW[[#This Row],[Site Name]],SiteDB6[[Site Name]:[Type of Accommodation]],10,FALSE)</f>
        <v>Camp</v>
      </c>
      <c r="EC466" s="862" t="str">
        <f>VLOOKUP(WWWW[[#This Row],[Site Name]],SiteDB6[[Site Name]:[Ethnic or GCA/NGCA]],11,FALSE)</f>
        <v>GCA</v>
      </c>
      <c r="ED466" s="862">
        <f>VLOOKUP(WWWW[[#This Row],[Site Name]],SiteDB6[[Site Name]:[Lat]],12,FALSE)</f>
        <v>25.51352</v>
      </c>
      <c r="EE466" s="862">
        <f>VLOOKUP(WWWW[[#This Row],[Site Name]],SiteDB6[[Site Name]:[Long]],13,FALSE)</f>
        <v>96.705960000000005</v>
      </c>
      <c r="EF466" s="862" t="str">
        <f>VLOOKUP(WWWW[[#This Row],[Site Name]],SiteDB6[[Site Name]:[Pcode]],3,FALSE)</f>
        <v>MMR001CMP148</v>
      </c>
      <c r="EG466" s="865" t="str">
        <f t="shared" si="13"/>
        <v>Covered</v>
      </c>
      <c r="EH466" s="865" t="str">
        <f>VLOOKUP(WWWW[[#This Row],[Site Name]],Site_DB!$C$389:$D$1120,2,FALSE)</f>
        <v>cccm_2019OCT</v>
      </c>
    </row>
    <row r="467" spans="1:138">
      <c r="A467" s="860" t="s">
        <v>3263</v>
      </c>
      <c r="B467" s="860" t="s">
        <v>144</v>
      </c>
      <c r="C467" s="861" t="s">
        <v>144</v>
      </c>
      <c r="D467" s="861" t="s">
        <v>3277</v>
      </c>
      <c r="E467" s="861" t="s">
        <v>39</v>
      </c>
      <c r="F467" s="861" t="s">
        <v>162</v>
      </c>
      <c r="G467" s="721" t="str">
        <f>VLOOKUP(WWWW[[#This Row],[Site Name]],SiteDB6[[Site Name]:[Location Type]],8,FALSE)</f>
        <v>Camp</v>
      </c>
      <c r="H467" s="861" t="s">
        <v>172</v>
      </c>
      <c r="I467" s="851">
        <v>93</v>
      </c>
      <c r="J467" s="851">
        <v>499</v>
      </c>
      <c r="K467" s="863" t="s">
        <v>3278</v>
      </c>
      <c r="L467" s="859" t="s">
        <v>3279</v>
      </c>
      <c r="M467" s="851"/>
      <c r="N467" s="851"/>
      <c r="O467" s="851"/>
      <c r="P467" s="851"/>
      <c r="Q467" s="864" t="s">
        <v>43</v>
      </c>
      <c r="R467" s="851"/>
      <c r="S467" s="851">
        <v>5</v>
      </c>
      <c r="T467" s="523">
        <v>2</v>
      </c>
      <c r="U467" s="851"/>
      <c r="V467" s="851"/>
      <c r="W467" s="851">
        <v>2</v>
      </c>
      <c r="X467" s="851"/>
      <c r="Y467" s="851"/>
      <c r="Z467" s="851"/>
      <c r="AA467" s="851"/>
      <c r="AB467" s="851"/>
      <c r="AC467" s="851"/>
      <c r="AD467" s="851"/>
      <c r="AE467" s="851"/>
      <c r="AF467" s="851"/>
      <c r="AG467" s="851"/>
      <c r="AH467" s="851">
        <v>2</v>
      </c>
      <c r="AI467" s="851"/>
      <c r="AJ467" s="851"/>
      <c r="AK467" s="851"/>
      <c r="AL467" s="851"/>
      <c r="AM467" s="851"/>
      <c r="AN467" s="851"/>
      <c r="AO467" s="865"/>
      <c r="AP467" s="851">
        <v>17</v>
      </c>
      <c r="AQ467" s="851"/>
      <c r="AR467" s="866"/>
      <c r="AS467" s="851"/>
      <c r="AT467" s="851"/>
      <c r="AU467" s="851"/>
      <c r="AV467" s="851"/>
      <c r="AW467" s="851">
        <v>17</v>
      </c>
      <c r="AX467" s="862" t="s">
        <v>43</v>
      </c>
      <c r="AY467" s="865" t="s">
        <v>140</v>
      </c>
      <c r="AZ467" s="851"/>
      <c r="BA467" s="851"/>
      <c r="BB467" s="851"/>
      <c r="BC467" s="523"/>
      <c r="BD467" s="523"/>
      <c r="BE467" s="862"/>
      <c r="BF467" s="851">
        <v>4</v>
      </c>
      <c r="BG467" s="851"/>
      <c r="BH467" s="851"/>
      <c r="BI467" s="851">
        <v>2</v>
      </c>
      <c r="BJ467" s="851"/>
      <c r="BK467" s="851"/>
      <c r="BL467" s="851">
        <v>2</v>
      </c>
      <c r="BM467" s="851"/>
      <c r="BN467" s="851"/>
      <c r="BO467" s="862"/>
      <c r="BP467" s="867"/>
      <c r="BQ467" s="866"/>
      <c r="BR467" s="862"/>
      <c r="BS467" s="472"/>
      <c r="BT467" s="472"/>
      <c r="BU467" s="474"/>
      <c r="BV467" s="472"/>
      <c r="BW467" s="523"/>
      <c r="BX467" s="523"/>
      <c r="BY467" s="523"/>
      <c r="BZ467" s="868" t="str">
        <f>IFERROR(WWWW[[#This Row],['#_Water sources passed]]/WWWW[[#This Row],['#_Water sources tested for fecal coliform ]],"no test")</f>
        <v>no test</v>
      </c>
      <c r="CA467" s="866" t="str">
        <f>IFERROR(WWWW[[#This Row],['#_Household passed]]/WWWW[[#This Row],['#_Household water samples tested for fecal coliform]],"no test")</f>
        <v>no test</v>
      </c>
      <c r="CB467" s="867" t="str">
        <f>IF(AND(WWWW[[#This Row],[% of water sources passed]]="no test",WWWW[[#This Row],[% Household passed]]="no test"),"No Test","Tested")</f>
        <v>No Test</v>
      </c>
      <c r="CC467" s="867">
        <f>WWWW[[#This Row],['#_Constructed/existing protected hand dug well]]-WWWW[[#This Row],['#_Non-functional protected hand dug well]]</f>
        <v>2</v>
      </c>
      <c r="CD467" s="867">
        <f>(WWWW[[#This Row],['#_Constructed/Existing tube wells/boreholes/handpumps_WASH_agency]]+WWWW[[#This Row],['#_Non-Cluster partner water tube-wells/boreholes/handpumps]])-WWWW[[#This Row],['#_Non-functional tube wells/boreholes/handpumps]]</f>
        <v>2</v>
      </c>
      <c r="CE467" s="867">
        <f>WWWW[[#This Row],['#_Constructed/Existingwater storage tank with gravity fed reticulation system]]-WWWW[[#This Row],['#_Non-functional storage tank gravity fed reticulation system]]</f>
        <v>0</v>
      </c>
      <c r="CF467" s="867">
        <f>(WWWW[[#This Row],['#_Water_Liters_supplied_by_Water boating or water trucking]]/90)/15</f>
        <v>0</v>
      </c>
      <c r="CG467" s="867">
        <f>WWWW[[#This Row],['#_Water_Liters_from_Constructed/Existing water distribution system from river or natural spring]]/90/15</f>
        <v>0</v>
      </c>
      <c r="CH467" s="473">
        <f>WWWW[[#This Row],['#_of water points in TLS/CFS /THF]]*500</f>
        <v>0</v>
      </c>
      <c r="CI46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7" s="866">
        <f>IF(WWWW[[#This Row],[Location Type 1]]="Village",WWWW[[#This Row],[Access to safe drinking water for Village]],WWWW[[#This Row],[Access to safe drinking water for Camp]])</f>
        <v>1</v>
      </c>
      <c r="CL467" s="864">
        <f>WWWW[[#This Row],[%Equitable and continuous access to sufficient quantity of safe drinking water]]*WWWW[[#This Row],[Total PoP ]]</f>
        <v>499</v>
      </c>
      <c r="CM467" s="866">
        <f>IF((WWWW[[#This Row],['#_Constructed/Existing protected/fenced ponds]]*250)/WWWW[[#This Row],[Total PoP ]]&gt;1,1,(WWWW[[#This Row],['#_Constructed/Existing protected/fenced ponds]]*250)/WWWW[[#This Row],[Total PoP ]])</f>
        <v>0</v>
      </c>
      <c r="CN467" s="864">
        <f>WWWW[[#This Row],[% Access to unimproved water points]]*WWWW[[#This Row],[Total PoP ]]</f>
        <v>0</v>
      </c>
      <c r="CO46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Q467" s="864">
        <f>WWWW[[#This Row],[HRP1]]/500</f>
        <v>0.998</v>
      </c>
      <c r="CR467" s="869">
        <f>1-WWWW[[#This Row],[% Equitable and continuous access to sufficient quantity of domestic water]]</f>
        <v>0</v>
      </c>
      <c r="CS467" s="864">
        <f>WWWW[[#This Row],[%equitable and continuous access to sufficient quantity of safe drinking and domestic water''s GAP]]*WWWW[[#This Row],[Total PoP ]]</f>
        <v>0</v>
      </c>
      <c r="CT467" s="867">
        <f>IF(WWWW[[#This Row],[Total required water points]]-WWWW[[#This Row],['#Water points coverage]]&lt;0,0,WWWW[[#This Row],[Total required water points]]-WWWW[[#This Row],['#Water points coverage]])</f>
        <v>2.0000000000000018E-3</v>
      </c>
      <c r="CU467" s="867">
        <f>ROUND(IF(WWWW[[#This Row],[Total PoP ]]&lt;500,1,WWWW[[#This Row],[Total PoP ]]/500),0)</f>
        <v>1</v>
      </c>
      <c r="CV467" s="867">
        <f>(WWWW[[#This Row],['#_Constructed latrines_by_WASHAgencies]]+WWWW[[#This Row],['#_Non Cluster partner latrines]])-WWWW[[#This Row],['#_Non-functional latrines]]</f>
        <v>17</v>
      </c>
      <c r="CW467" s="804">
        <f>WWWW[[#This Row],[HRP2]]/WWWW[[#This Row],[Total PoP ]]</f>
        <v>0.68136272545090182</v>
      </c>
      <c r="CX46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CY46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7" s="473">
        <f>IF(WWWW[[#This Row],['# of functional latrines in THF supported by WASH partners during the reporting period2]]="",0,WWWW[[#This Row],['# of functional latrines in THF supported by WASH partners during the reporting period2]]*50)</f>
        <v>0</v>
      </c>
      <c r="DB467" s="473">
        <f>WWWW[[#This Row],['# students access to functioning school latrines_HRP5]]+WWWW[[#This Row],['# People access to functioning latrines in THF_HRP5]]</f>
        <v>0</v>
      </c>
      <c r="DC467" s="867">
        <f>ROUND(IF(WWWW[[#This Row],[Location Type 1]]="camp",WWWW[[#This Row],[Total PoP ]]/20,IF(WWWW[[#This Row],[Location Type 1]]="Temporary Location",WWWW[[#This Row],[Total PoP ]]/50,(WWWW[[#This Row],[Total PoP ]]/6))),0)</f>
        <v>25</v>
      </c>
      <c r="DD467" s="867">
        <f>IF(WWWW[[#This Row],[Total required Latrines]]-(WWWW[[#This Row],['#_Constructed latrines_by_WASHAgencies]]+WWWW[[#This Row],['#_Non Cluster partner latrines]])&lt;0,0,WWWW[[#This Row],[Total required Latrines]]-(WWWW[[#This Row],['#_Constructed latrines_by_WASHAgencies]]+WWWW[[#This Row],['#_Non Cluster partner latrines]]))</f>
        <v>8</v>
      </c>
      <c r="DE467" s="869">
        <f>1-WWWW[[#This Row],[% people access to functioning Latrine]]</f>
        <v>0.31863727454909818</v>
      </c>
      <c r="DF467" s="868">
        <f>IF(OR(WWWW[[#This Row],['#_Non-functional latrines]]="",WWWW[[#This Row],['#_Non-functional latrines]]=0),0,WWWW[[#This Row],['#_Non-functional latrines]]/(WWWW[[#This Row],['#_Constructed latrines_by_WASHAgencies]]+WWWW[[#This Row],['#_Non Cluster partner latrines]]))</f>
        <v>0</v>
      </c>
      <c r="DG467" s="864">
        <f>IF(500*(WWWW[[#This Row],['#_male hygiene promoters]]+WWWW[[#This Row],['#_female hygiene promoters]])&gt;WWWW[[#This Row],[Total PoP ]],WWWW[[#This Row],[Total PoP ]],500*(WWWW[[#This Row],['#_male hygiene promoters]]+WWWW[[#This Row],['#_female hygiene promoters]]))</f>
        <v>499</v>
      </c>
      <c r="DH46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7" s="867">
        <f>IF(WWWW[[#This Row],['# People with access to soap]]&gt;WWWW[[#This Row],['# People with access to Sanity Pads]],WWWW[[#This Row],['# People with access to soap]],WWWW[[#This Row],['# People with access to Sanity Pads]])</f>
        <v>0</v>
      </c>
      <c r="DK467" s="867">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L467" s="869">
        <f>IF(WWWW[[#This Row],[HRP3]]/WWWW[[#This Row],[Total PoP ]]&gt;1,1,WWWW[[#This Row],[HRP3]]/WWWW[[#This Row],[Total PoP ]])</f>
        <v>1</v>
      </c>
      <c r="DM467" s="868">
        <f>1-WWWW[[#This Row],[Hygiene Coverage%]]</f>
        <v>0</v>
      </c>
      <c r="DN467" s="866">
        <f>WWWW[[#This Row],['# people reached by regular dedicated hygiene promotion_5]]/WWWW[[#This Row],[Total PoP ]]</f>
        <v>1</v>
      </c>
      <c r="DO46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7" s="867">
        <f>WWWW[[#This Row],['#_Constructed/Existing hand washing stations]]-WWWW[[#This Row],['#_Non-Functional_hand_washing_stations]]</f>
        <v>4</v>
      </c>
      <c r="DR467" s="864">
        <f>IF(WWWW[[#This Row],['# Functional hand washing stations during reporting period]]*20&gt;WWWW[[#This Row],[Total HH]],WWWW[[#This Row],[Total HH]],WWWW[[#This Row],['# Functional hand washing stations during reporting period]]*20)</f>
        <v>80</v>
      </c>
      <c r="DS467" s="864">
        <f>IF(WWWW[[#This Row],[Is sufficient soap available for TLS? (Yes/No)]]="yes",WWWW[[#This Row],['#_Constructed/Existing hand washing stations at TLS]],0)</f>
        <v>0</v>
      </c>
      <c r="DT467" s="479">
        <f>IF(WWWW[[#This Row],['# Functional hand washing stations during reporting period]]*100&gt;WWWW[[#This Row],[Total PoP ]],WWWW[[#This Row],[Total PoP ]],WWWW[[#This Row],['# Functional hand washing stations during reporting period]]*100)</f>
        <v>400</v>
      </c>
      <c r="DU467" s="479" t="str">
        <f>IF(OR(WWWW[[#This Row],['#_students at TLS_CFS]]="",WWWW[[#This Row],['#_students at TLS_CFS]]=0),"No","Yes")</f>
        <v>No</v>
      </c>
      <c r="DV46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7" s="862" t="str">
        <f>VLOOKUP(WWWW[[#This Row],[Site Name]],SiteDB6[[Site Name]:[CCCM Management]],6,FALSE)</f>
        <v>Yes</v>
      </c>
      <c r="DZ467" s="862" t="str">
        <f>VLOOKUP(WWWW[[#This Row],[Site Name]],SiteDB6[[Site Name]:[CCCM Focal Agency]],7,FALSE)</f>
        <v>KBC-MYT</v>
      </c>
      <c r="EA467" s="862" t="str">
        <f>VLOOKUP(WWWW[[#This Row],[Site Name]],SiteDB6[[Site Name]:[Location Type 1]],9,FALSE)</f>
        <v>Camp</v>
      </c>
      <c r="EB467" s="862" t="str">
        <f>VLOOKUP(WWWW[[#This Row],[Site Name]],SiteDB6[[Site Name]:[Type of Accommodation]],10,FALSE)</f>
        <v>Camp</v>
      </c>
      <c r="EC467" s="862" t="str">
        <f>VLOOKUP(WWWW[[#This Row],[Site Name]],SiteDB6[[Site Name]:[Ethnic or GCA/NGCA]],11,FALSE)</f>
        <v>GCA</v>
      </c>
      <c r="ED467" s="862">
        <f>VLOOKUP(WWWW[[#This Row],[Site Name]],SiteDB6[[Site Name]:[Lat]],12,FALSE)</f>
        <v>25.440928</v>
      </c>
      <c r="EE467" s="862">
        <f>VLOOKUP(WWWW[[#This Row],[Site Name]],SiteDB6[[Site Name]:[Long]],13,FALSE)</f>
        <v>97.419403000000003</v>
      </c>
      <c r="EF467" s="862" t="str">
        <f>VLOOKUP(WWWW[[#This Row],[Site Name]],SiteDB6[[Site Name]:[Pcode]],3,FALSE)</f>
        <v>MMR001CMP009</v>
      </c>
      <c r="EG467" s="865" t="str">
        <f t="shared" si="13"/>
        <v>Covered</v>
      </c>
      <c r="EH467" s="865" t="str">
        <f>VLOOKUP(WWWW[[#This Row],[Site Name]],Site_DB!$C$389:$D$1120,2,FALSE)</f>
        <v>cccm_2019OCT</v>
      </c>
    </row>
    <row r="468" spans="1:138">
      <c r="A468" s="860" t="s">
        <v>3263</v>
      </c>
      <c r="B468" s="860" t="s">
        <v>144</v>
      </c>
      <c r="C468" s="861" t="s">
        <v>144</v>
      </c>
      <c r="D468" s="861" t="s">
        <v>3277</v>
      </c>
      <c r="E468" s="861" t="s">
        <v>39</v>
      </c>
      <c r="F468" s="861" t="s">
        <v>162</v>
      </c>
      <c r="G468" s="721" t="str">
        <f>VLOOKUP(WWWW[[#This Row],[Site Name]],SiteDB6[[Site Name]:[Location Type]],8,FALSE)</f>
        <v>Camp</v>
      </c>
      <c r="H468" s="861" t="s">
        <v>173</v>
      </c>
      <c r="I468" s="851">
        <v>69</v>
      </c>
      <c r="J468" s="851">
        <v>351</v>
      </c>
      <c r="K468" s="863" t="s">
        <v>3278</v>
      </c>
      <c r="L468" s="859" t="s">
        <v>3279</v>
      </c>
      <c r="M468" s="851"/>
      <c r="N468" s="851"/>
      <c r="O468" s="851"/>
      <c r="P468" s="851"/>
      <c r="Q468" s="864" t="s">
        <v>43</v>
      </c>
      <c r="R468" s="851"/>
      <c r="S468" s="851">
        <v>4</v>
      </c>
      <c r="T468" s="523">
        <v>0</v>
      </c>
      <c r="U468" s="851"/>
      <c r="V468" s="851"/>
      <c r="W468" s="851">
        <v>2</v>
      </c>
      <c r="X468" s="851"/>
      <c r="Y468" s="851"/>
      <c r="Z468" s="851"/>
      <c r="AA468" s="851"/>
      <c r="AB468" s="851"/>
      <c r="AC468" s="851"/>
      <c r="AD468" s="851"/>
      <c r="AE468" s="851"/>
      <c r="AF468" s="851"/>
      <c r="AG468" s="851"/>
      <c r="AH468" s="851">
        <v>2</v>
      </c>
      <c r="AI468" s="851"/>
      <c r="AJ468" s="851"/>
      <c r="AK468" s="851"/>
      <c r="AL468" s="851"/>
      <c r="AM468" s="851"/>
      <c r="AN468" s="851"/>
      <c r="AO468" s="865"/>
      <c r="AP468" s="851">
        <v>11</v>
      </c>
      <c r="AQ468" s="851"/>
      <c r="AR468" s="866"/>
      <c r="AS468" s="851"/>
      <c r="AT468" s="851"/>
      <c r="AU468" s="851"/>
      <c r="AV468" s="851"/>
      <c r="AW468" s="851">
        <v>11</v>
      </c>
      <c r="AX468" s="862" t="s">
        <v>43</v>
      </c>
      <c r="AY468" s="865" t="s">
        <v>140</v>
      </c>
      <c r="AZ468" s="851"/>
      <c r="BA468" s="851"/>
      <c r="BB468" s="851"/>
      <c r="BC468" s="523"/>
      <c r="BD468" s="523"/>
      <c r="BE468" s="862"/>
      <c r="BF468" s="851">
        <v>2</v>
      </c>
      <c r="BG468" s="851"/>
      <c r="BH468" s="851"/>
      <c r="BI468" s="851">
        <v>2</v>
      </c>
      <c r="BJ468" s="851"/>
      <c r="BK468" s="851"/>
      <c r="BL468" s="851">
        <v>1</v>
      </c>
      <c r="BM468" s="851"/>
      <c r="BN468" s="851"/>
      <c r="BO468" s="862"/>
      <c r="BP468" s="867"/>
      <c r="BQ468" s="866"/>
      <c r="BR468" s="862"/>
      <c r="BS468" s="472"/>
      <c r="BT468" s="472"/>
      <c r="BU468" s="474"/>
      <c r="BV468" s="472"/>
      <c r="BW468" s="523"/>
      <c r="BX468" s="523"/>
      <c r="BY468" s="523"/>
      <c r="BZ468" s="868" t="str">
        <f>IFERROR(WWWW[[#This Row],['#_Water sources passed]]/WWWW[[#This Row],['#_Water sources tested for fecal coliform ]],"no test")</f>
        <v>no test</v>
      </c>
      <c r="CA468" s="866" t="str">
        <f>IFERROR(WWWW[[#This Row],['#_Household passed]]/WWWW[[#This Row],['#_Household water samples tested for fecal coliform]],"no test")</f>
        <v>no test</v>
      </c>
      <c r="CB468" s="867" t="str">
        <f>IF(AND(WWWW[[#This Row],[% of water sources passed]]="no test",WWWW[[#This Row],[% Household passed]]="no test"),"No Test","Tested")</f>
        <v>No Test</v>
      </c>
      <c r="CC468" s="867">
        <f>WWWW[[#This Row],['#_Constructed/existing protected hand dug well]]-WWWW[[#This Row],['#_Non-functional protected hand dug well]]</f>
        <v>0</v>
      </c>
      <c r="CD468" s="867">
        <f>(WWWW[[#This Row],['#_Constructed/Existing tube wells/boreholes/handpumps_WASH_agency]]+WWWW[[#This Row],['#_Non-Cluster partner water tube-wells/boreholes/handpumps]])-WWWW[[#This Row],['#_Non-functional tube wells/boreholes/handpumps]]</f>
        <v>2</v>
      </c>
      <c r="CE468" s="867">
        <f>WWWW[[#This Row],['#_Constructed/Existingwater storage tank with gravity fed reticulation system]]-WWWW[[#This Row],['#_Non-functional storage tank gravity fed reticulation system]]</f>
        <v>0</v>
      </c>
      <c r="CF468" s="867">
        <f>(WWWW[[#This Row],['#_Water_Liters_supplied_by_Water boating or water trucking]]/90)/15</f>
        <v>0</v>
      </c>
      <c r="CG468" s="867">
        <f>WWWW[[#This Row],['#_Water_Liters_from_Constructed/Existing water distribution system from river or natural spring]]/90/15</f>
        <v>0</v>
      </c>
      <c r="CH468" s="473">
        <f>WWWW[[#This Row],['#_of water points in TLS/CFS /THF]]*500</f>
        <v>0</v>
      </c>
      <c r="CI46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8" s="866">
        <f>IF(WWWW[[#This Row],[Location Type 1]]="Village",WWWW[[#This Row],[Access to safe drinking water for Village]],WWWW[[#This Row],[Access to safe drinking water for Camp]])</f>
        <v>1</v>
      </c>
      <c r="CL468" s="864">
        <f>WWWW[[#This Row],[%Equitable and continuous access to sufficient quantity of safe drinking water]]*WWWW[[#This Row],[Total PoP ]]</f>
        <v>351</v>
      </c>
      <c r="CM468" s="866">
        <f>IF((WWWW[[#This Row],['#_Constructed/Existing protected/fenced ponds]]*250)/WWWW[[#This Row],[Total PoP ]]&gt;1,1,(WWWW[[#This Row],['#_Constructed/Existing protected/fenced ponds]]*250)/WWWW[[#This Row],[Total PoP ]])</f>
        <v>0</v>
      </c>
      <c r="CN468" s="864">
        <f>WWWW[[#This Row],[% Access to unimproved water points]]*WWWW[[#This Row],[Total PoP ]]</f>
        <v>0</v>
      </c>
      <c r="CO46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Q468" s="864">
        <f>WWWW[[#This Row],[HRP1]]/500</f>
        <v>0.70199999999999996</v>
      </c>
      <c r="CR468" s="869">
        <f>1-WWWW[[#This Row],[% Equitable and continuous access to sufficient quantity of domestic water]]</f>
        <v>0</v>
      </c>
      <c r="CS468" s="864">
        <f>WWWW[[#This Row],[%equitable and continuous access to sufficient quantity of safe drinking and domestic water''s GAP]]*WWWW[[#This Row],[Total PoP ]]</f>
        <v>0</v>
      </c>
      <c r="CT468" s="867">
        <f>IF(WWWW[[#This Row],[Total required water points]]-WWWW[[#This Row],['#Water points coverage]]&lt;0,0,WWWW[[#This Row],[Total required water points]]-WWWW[[#This Row],['#Water points coverage]])</f>
        <v>0.29800000000000004</v>
      </c>
      <c r="CU468" s="867">
        <f>ROUND(IF(WWWW[[#This Row],[Total PoP ]]&lt;500,1,WWWW[[#This Row],[Total PoP ]]/500),0)</f>
        <v>1</v>
      </c>
      <c r="CV468" s="867">
        <f>(WWWW[[#This Row],['#_Constructed latrines_by_WASHAgencies]]+WWWW[[#This Row],['#_Non Cluster partner latrines]])-WWWW[[#This Row],['#_Non-functional latrines]]</f>
        <v>11</v>
      </c>
      <c r="CW468" s="804">
        <f>WWWW[[#This Row],[HRP2]]/WWWW[[#This Row],[Total PoP ]]</f>
        <v>0.62678062678062674</v>
      </c>
      <c r="CX46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CY46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8" s="473">
        <f>IF(WWWW[[#This Row],['# of functional latrines in THF supported by WASH partners during the reporting period2]]="",0,WWWW[[#This Row],['# of functional latrines in THF supported by WASH partners during the reporting period2]]*50)</f>
        <v>0</v>
      </c>
      <c r="DB468" s="473">
        <f>WWWW[[#This Row],['# students access to functioning school latrines_HRP5]]+WWWW[[#This Row],['# People access to functioning latrines in THF_HRP5]]</f>
        <v>0</v>
      </c>
      <c r="DC468" s="867">
        <f>ROUND(IF(WWWW[[#This Row],[Location Type 1]]="camp",WWWW[[#This Row],[Total PoP ]]/20,IF(WWWW[[#This Row],[Location Type 1]]="Temporary Location",WWWW[[#This Row],[Total PoP ]]/50,(WWWW[[#This Row],[Total PoP ]]/6))),0)</f>
        <v>18</v>
      </c>
      <c r="DD468" s="867">
        <f>IF(WWWW[[#This Row],[Total required Latrines]]-(WWWW[[#This Row],['#_Constructed latrines_by_WASHAgencies]]+WWWW[[#This Row],['#_Non Cluster partner latrines]])&lt;0,0,WWWW[[#This Row],[Total required Latrines]]-(WWWW[[#This Row],['#_Constructed latrines_by_WASHAgencies]]+WWWW[[#This Row],['#_Non Cluster partner latrines]]))</f>
        <v>7</v>
      </c>
      <c r="DE468" s="869">
        <f>1-WWWW[[#This Row],[% people access to functioning Latrine]]</f>
        <v>0.37321937321937326</v>
      </c>
      <c r="DF468" s="868">
        <f>IF(OR(WWWW[[#This Row],['#_Non-functional latrines]]="",WWWW[[#This Row],['#_Non-functional latrines]]=0),0,WWWW[[#This Row],['#_Non-functional latrines]]/(WWWW[[#This Row],['#_Constructed latrines_by_WASHAgencies]]+WWWW[[#This Row],['#_Non Cluster partner latrines]]))</f>
        <v>0</v>
      </c>
      <c r="DG468" s="864">
        <f>IF(500*(WWWW[[#This Row],['#_male hygiene promoters]]+WWWW[[#This Row],['#_female hygiene promoters]])&gt;WWWW[[#This Row],[Total PoP ]],WWWW[[#This Row],[Total PoP ]],500*(WWWW[[#This Row],['#_male hygiene promoters]]+WWWW[[#This Row],['#_female hygiene promoters]]))</f>
        <v>351</v>
      </c>
      <c r="DH46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8" s="867">
        <f>IF(WWWW[[#This Row],['# People with access to soap]]&gt;WWWW[[#This Row],['# People with access to Sanity Pads]],WWWW[[#This Row],['# People with access to soap]],WWWW[[#This Row],['# People with access to Sanity Pads]])</f>
        <v>0</v>
      </c>
      <c r="DK468" s="867">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L468" s="869">
        <f>IF(WWWW[[#This Row],[HRP3]]/WWWW[[#This Row],[Total PoP ]]&gt;1,1,WWWW[[#This Row],[HRP3]]/WWWW[[#This Row],[Total PoP ]])</f>
        <v>1</v>
      </c>
      <c r="DM468" s="868">
        <f>1-WWWW[[#This Row],[Hygiene Coverage%]]</f>
        <v>0</v>
      </c>
      <c r="DN468" s="866">
        <f>WWWW[[#This Row],['# people reached by regular dedicated hygiene promotion_5]]/WWWW[[#This Row],[Total PoP ]]</f>
        <v>1</v>
      </c>
      <c r="DO46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8" s="867">
        <f>WWWW[[#This Row],['#_Constructed/Existing hand washing stations]]-WWWW[[#This Row],['#_Non-Functional_hand_washing_stations]]</f>
        <v>2</v>
      </c>
      <c r="DR468" s="864">
        <f>IF(WWWW[[#This Row],['# Functional hand washing stations during reporting period]]*20&gt;WWWW[[#This Row],[Total HH]],WWWW[[#This Row],[Total HH]],WWWW[[#This Row],['# Functional hand washing stations during reporting period]]*20)</f>
        <v>40</v>
      </c>
      <c r="DS468" s="864">
        <f>IF(WWWW[[#This Row],[Is sufficient soap available for TLS? (Yes/No)]]="yes",WWWW[[#This Row],['#_Constructed/Existing hand washing stations at TLS]],0)</f>
        <v>0</v>
      </c>
      <c r="DT468" s="479">
        <f>IF(WWWW[[#This Row],['# Functional hand washing stations during reporting period]]*100&gt;WWWW[[#This Row],[Total PoP ]],WWWW[[#This Row],[Total PoP ]],WWWW[[#This Row],['# Functional hand washing stations during reporting period]]*100)</f>
        <v>200</v>
      </c>
      <c r="DU468" s="479" t="str">
        <f>IF(OR(WWWW[[#This Row],['#_students at TLS_CFS]]="",WWWW[[#This Row],['#_students at TLS_CFS]]=0),"No","Yes")</f>
        <v>No</v>
      </c>
      <c r="DV46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68" s="862" t="str">
        <f>VLOOKUP(WWWW[[#This Row],[Site Name]],SiteDB6[[Site Name]:[CCCM Management]],6,FALSE)</f>
        <v>Yes</v>
      </c>
      <c r="DZ468" s="862" t="str">
        <f>VLOOKUP(WWWW[[#This Row],[Site Name]],SiteDB6[[Site Name]:[CCCM Focal Agency]],7,FALSE)</f>
        <v>KBC-MYT</v>
      </c>
      <c r="EA468" s="862" t="str">
        <f>VLOOKUP(WWWW[[#This Row],[Site Name]],SiteDB6[[Site Name]:[Location Type 1]],9,FALSE)</f>
        <v>Camp</v>
      </c>
      <c r="EB468" s="862" t="str">
        <f>VLOOKUP(WWWW[[#This Row],[Site Name]],SiteDB6[[Site Name]:[Type of Accommodation]],10,FALSE)</f>
        <v>Camp</v>
      </c>
      <c r="EC468" s="862" t="str">
        <f>VLOOKUP(WWWW[[#This Row],[Site Name]],SiteDB6[[Site Name]:[Ethnic or GCA/NGCA]],11,FALSE)</f>
        <v>GCA</v>
      </c>
      <c r="ED468" s="862">
        <f>VLOOKUP(WWWW[[#This Row],[Site Name]],SiteDB6[[Site Name]:[Lat]],12,FALSE)</f>
        <v>25.415482000000001</v>
      </c>
      <c r="EE468" s="862">
        <f>VLOOKUP(WWWW[[#This Row],[Site Name]],SiteDB6[[Site Name]:[Long]],13,FALSE)</f>
        <v>97.386718999999999</v>
      </c>
      <c r="EF468" s="862" t="str">
        <f>VLOOKUP(WWWW[[#This Row],[Site Name]],SiteDB6[[Site Name]:[Pcode]],3,FALSE)</f>
        <v>MMR001CMP001</v>
      </c>
      <c r="EG468" s="865" t="str">
        <f t="shared" si="13"/>
        <v>Covered</v>
      </c>
      <c r="EH468" s="865" t="str">
        <f>VLOOKUP(WWWW[[#This Row],[Site Name]],Site_DB!$C$389:$D$1120,2,FALSE)</f>
        <v>cccm_2019OCT</v>
      </c>
    </row>
    <row r="469" spans="1:138">
      <c r="A469" s="860" t="s">
        <v>3263</v>
      </c>
      <c r="B469" s="860" t="s">
        <v>38</v>
      </c>
      <c r="C469" s="861" t="s">
        <v>38</v>
      </c>
      <c r="D469" s="861" t="s">
        <v>244</v>
      </c>
      <c r="E469" s="861" t="s">
        <v>39</v>
      </c>
      <c r="F469" s="861" t="s">
        <v>151</v>
      </c>
      <c r="G469" s="721" t="str">
        <f>VLOOKUP(WWWW[[#This Row],[Site Name]],SiteDB6[[Site Name]:[Location Type]],8,FALSE)</f>
        <v>Camp</v>
      </c>
      <c r="H469" s="861" t="s">
        <v>2021</v>
      </c>
      <c r="I469" s="851">
        <v>16</v>
      </c>
      <c r="J469" s="851">
        <v>63</v>
      </c>
      <c r="K469" s="863">
        <v>43810</v>
      </c>
      <c r="L469" s="859">
        <v>44175</v>
      </c>
      <c r="M469" s="851"/>
      <c r="N469" s="851">
        <v>2</v>
      </c>
      <c r="O469" s="851"/>
      <c r="P469" s="851"/>
      <c r="Q469" s="864" t="s">
        <v>43</v>
      </c>
      <c r="R469" s="851">
        <v>2</v>
      </c>
      <c r="S469" s="851">
        <v>2</v>
      </c>
      <c r="T469" s="523">
        <v>4</v>
      </c>
      <c r="U469" s="851"/>
      <c r="V469" s="851"/>
      <c r="W469" s="851">
        <v>1</v>
      </c>
      <c r="X469" s="851"/>
      <c r="Y469" s="851"/>
      <c r="Z469" s="851">
        <v>1</v>
      </c>
      <c r="AA469" s="851">
        <v>1</v>
      </c>
      <c r="AB469" s="851"/>
      <c r="AC469" s="851"/>
      <c r="AD469" s="851"/>
      <c r="AE469" s="851"/>
      <c r="AF469" s="851"/>
      <c r="AG469" s="851"/>
      <c r="AH469" s="851">
        <v>1</v>
      </c>
      <c r="AI469" s="851"/>
      <c r="AJ469" s="851"/>
      <c r="AK469" s="851"/>
      <c r="AL469" s="851"/>
      <c r="AM469" s="851">
        <v>2</v>
      </c>
      <c r="AN469" s="851">
        <v>1</v>
      </c>
      <c r="AO469" s="865"/>
      <c r="AP469" s="851">
        <v>4</v>
      </c>
      <c r="AQ469" s="851"/>
      <c r="AR469" s="866"/>
      <c r="AS469" s="851"/>
      <c r="AT469" s="851">
        <v>1</v>
      </c>
      <c r="AU469" s="851"/>
      <c r="AV469" s="851"/>
      <c r="AW469" s="851"/>
      <c r="AX469" s="862" t="s">
        <v>43</v>
      </c>
      <c r="AY469" s="865" t="s">
        <v>139</v>
      </c>
      <c r="AZ469" s="851">
        <v>2</v>
      </c>
      <c r="BA469" s="851"/>
      <c r="BB469" s="851">
        <v>4</v>
      </c>
      <c r="BC469" s="523"/>
      <c r="BD469" s="523"/>
      <c r="BE469" s="862"/>
      <c r="BF469" s="851">
        <v>2</v>
      </c>
      <c r="BG469" s="851"/>
      <c r="BH469" s="851"/>
      <c r="BI469" s="851">
        <v>2</v>
      </c>
      <c r="BJ469" s="851"/>
      <c r="BK469" s="851"/>
      <c r="BL469" s="851">
        <v>1</v>
      </c>
      <c r="BM469" s="851"/>
      <c r="BN469" s="851"/>
      <c r="BO469" s="862"/>
      <c r="BP469" s="867"/>
      <c r="BQ469" s="866"/>
      <c r="BR469" s="862"/>
      <c r="BS469" s="472">
        <v>0.3</v>
      </c>
      <c r="BT469" s="472">
        <v>0.3</v>
      </c>
      <c r="BU469" s="474">
        <v>30</v>
      </c>
      <c r="BV469" s="472">
        <v>0.1</v>
      </c>
      <c r="BW469" s="523"/>
      <c r="BX469" s="523"/>
      <c r="BY469" s="523"/>
      <c r="BZ469" s="868" t="str">
        <f>IFERROR(WWWW[[#This Row],['#_Water sources passed]]/WWWW[[#This Row],['#_Water sources tested for fecal coliform ]],"no test")</f>
        <v>no test</v>
      </c>
      <c r="CA469" s="866" t="str">
        <f>IFERROR(WWWW[[#This Row],['#_Household passed]]/WWWW[[#This Row],['#_Household water samples tested for fecal coliform]],"no test")</f>
        <v>no test</v>
      </c>
      <c r="CB469" s="867" t="str">
        <f>IF(AND(WWWW[[#This Row],[% of water sources passed]]="no test",WWWW[[#This Row],[% Household passed]]="no test"),"No Test","Tested")</f>
        <v>No Test</v>
      </c>
      <c r="CC469" s="867">
        <f>WWWW[[#This Row],['#_Constructed/existing protected hand dug well]]-WWWW[[#This Row],['#_Non-functional protected hand dug well]]</f>
        <v>4</v>
      </c>
      <c r="CD469" s="867">
        <f>(WWWW[[#This Row],['#_Constructed/Existing tube wells/boreholes/handpumps_WASH_agency]]+WWWW[[#This Row],['#_Non-Cluster partner water tube-wells/boreholes/handpumps]])-WWWW[[#This Row],['#_Non-functional tube wells/boreholes/handpumps]]</f>
        <v>1</v>
      </c>
      <c r="CE469" s="867">
        <f>WWWW[[#This Row],['#_Constructed/Existingwater storage tank with gravity fed reticulation system]]-WWWW[[#This Row],['#_Non-functional storage tank gravity fed reticulation system]]</f>
        <v>1</v>
      </c>
      <c r="CF469" s="867">
        <f>(WWWW[[#This Row],['#_Water_Liters_supplied_by_Water boating or water trucking]]/90)/15</f>
        <v>0</v>
      </c>
      <c r="CG469" s="867">
        <f>WWWW[[#This Row],['#_Water_Liters_from_Constructed/Existing water distribution system from river or natural spring]]/90/15</f>
        <v>0</v>
      </c>
      <c r="CH469" s="473">
        <f>WWWW[[#This Row],['#_of water points in TLS/CFS /THF]]*500</f>
        <v>500</v>
      </c>
      <c r="CI46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6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69" s="866">
        <f>IF(WWWW[[#This Row],[Location Type 1]]="Village",WWWW[[#This Row],[Access to safe drinking water for Village]],WWWW[[#This Row],[Access to safe drinking water for Camp]])</f>
        <v>1</v>
      </c>
      <c r="CL469" s="864">
        <f>WWWW[[#This Row],[%Equitable and continuous access to sufficient quantity of safe drinking water]]*WWWW[[#This Row],[Total PoP ]]</f>
        <v>63</v>
      </c>
      <c r="CM469" s="866">
        <f>IF((WWWW[[#This Row],['#_Constructed/Existing protected/fenced ponds]]*250)/WWWW[[#This Row],[Total PoP ]]&gt;1,1,(WWWW[[#This Row],['#_Constructed/Existing protected/fenced ponds]]*250)/WWWW[[#This Row],[Total PoP ]])</f>
        <v>0</v>
      </c>
      <c r="CN469" s="864">
        <f>WWWW[[#This Row],[% Access to unimproved water points]]*WWWW[[#This Row],[Total PoP ]]</f>
        <v>0</v>
      </c>
      <c r="CO46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6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Q469" s="864">
        <f>WWWW[[#This Row],[HRP1]]/500</f>
        <v>0.126</v>
      </c>
      <c r="CR469" s="869">
        <f>1-WWWW[[#This Row],[% Equitable and continuous access to sufficient quantity of domestic water]]</f>
        <v>0</v>
      </c>
      <c r="CS469" s="864">
        <f>WWWW[[#This Row],[%equitable and continuous access to sufficient quantity of safe drinking and domestic water''s GAP]]*WWWW[[#This Row],[Total PoP ]]</f>
        <v>0</v>
      </c>
      <c r="CT469" s="867">
        <f>IF(WWWW[[#This Row],[Total required water points]]-WWWW[[#This Row],['#Water points coverage]]&lt;0,0,WWWW[[#This Row],[Total required water points]]-WWWW[[#This Row],['#Water points coverage]])</f>
        <v>0.874</v>
      </c>
      <c r="CU469" s="867">
        <f>ROUND(IF(WWWW[[#This Row],[Total PoP ]]&lt;500,1,WWWW[[#This Row],[Total PoP ]]/500),0)</f>
        <v>1</v>
      </c>
      <c r="CV469" s="867">
        <f>(WWWW[[#This Row],['#_Constructed latrines_by_WASHAgencies]]+WWWW[[#This Row],['#_Non Cluster partner latrines]])-WWWW[[#This Row],['#_Non-functional latrines]]</f>
        <v>4</v>
      </c>
      <c r="CW469" s="804">
        <f>WWWW[[#This Row],[HRP2]]/WWWW[[#This Row],[Total PoP ]]</f>
        <v>1</v>
      </c>
      <c r="CX46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63</v>
      </c>
      <c r="CY46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6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69" s="473">
        <f>IF(WWWW[[#This Row],['# of functional latrines in THF supported by WASH partners during the reporting period2]]="",0,WWWW[[#This Row],['# of functional latrines in THF supported by WASH partners during the reporting period2]]*50)</f>
        <v>0</v>
      </c>
      <c r="DB469" s="473">
        <f>WWWW[[#This Row],['# students access to functioning school latrines_HRP5]]+WWWW[[#This Row],['# People access to functioning latrines in THF_HRP5]]</f>
        <v>0</v>
      </c>
      <c r="DC469" s="867">
        <f>ROUND(IF(WWWW[[#This Row],[Location Type 1]]="camp",WWWW[[#This Row],[Total PoP ]]/20,IF(WWWW[[#This Row],[Location Type 1]]="Temporary Location",WWWW[[#This Row],[Total PoP ]]/50,(WWWW[[#This Row],[Total PoP ]]/6))),0)</f>
        <v>3</v>
      </c>
      <c r="DD469" s="867">
        <f>IF(WWWW[[#This Row],[Total required Latrines]]-(WWWW[[#This Row],['#_Constructed latrines_by_WASHAgencies]]+WWWW[[#This Row],['#_Non Cluster partner latrines]])&lt;0,0,WWWW[[#This Row],[Total required Latrines]]-(WWWW[[#This Row],['#_Constructed latrines_by_WASHAgencies]]+WWWW[[#This Row],['#_Non Cluster partner latrines]]))</f>
        <v>0</v>
      </c>
      <c r="DE469" s="869">
        <f>1-WWWW[[#This Row],[% people access to functioning Latrine]]</f>
        <v>0</v>
      </c>
      <c r="DF469" s="868">
        <f>IF(OR(WWWW[[#This Row],['#_Non-functional latrines]]="",WWWW[[#This Row],['#_Non-functional latrines]]=0),0,WWWW[[#This Row],['#_Non-functional latrines]]/(WWWW[[#This Row],['#_Constructed latrines_by_WASHAgencies]]+WWWW[[#This Row],['#_Non Cluster partner latrines]]))</f>
        <v>0</v>
      </c>
      <c r="DG469" s="864">
        <f>IF(500*(WWWW[[#This Row],['#_male hygiene promoters]]+WWWW[[#This Row],['#_female hygiene promoters]])&gt;WWWW[[#This Row],[Total PoP ]],WWWW[[#This Row],[Total PoP ]],500*(WWWW[[#This Row],['#_male hygiene promoters]]+WWWW[[#This Row],['#_female hygiene promoters]]))</f>
        <v>63</v>
      </c>
      <c r="DH46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6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69" s="867">
        <f>IF(WWWW[[#This Row],['# People with access to soap]]&gt;WWWW[[#This Row],['# People with access to Sanity Pads]],WWWW[[#This Row],['# People with access to soap]],WWWW[[#This Row],['# People with access to Sanity Pads]])</f>
        <v>0</v>
      </c>
      <c r="DK469" s="867">
        <f>IF(WWWW[[#This Row],['# people reached by regular dedicated hygiene promotion_5]]&gt;WWWW[[#This Row],['# People received regular supply of hygiene items_6]],WWWW[[#This Row],['# people reached by regular dedicated hygiene promotion_5]],WWWW[[#This Row],['# People received regular supply of hygiene items_6]])</f>
        <v>63</v>
      </c>
      <c r="DL469" s="869">
        <f>IF(WWWW[[#This Row],[HRP3]]/WWWW[[#This Row],[Total PoP ]]&gt;1,1,WWWW[[#This Row],[HRP3]]/WWWW[[#This Row],[Total PoP ]])</f>
        <v>1</v>
      </c>
      <c r="DM469" s="868">
        <f>1-WWWW[[#This Row],[Hygiene Coverage%]]</f>
        <v>0</v>
      </c>
      <c r="DN469" s="866">
        <f>WWWW[[#This Row],['# people reached by regular dedicated hygiene promotion_5]]/WWWW[[#This Row],[Total PoP ]]</f>
        <v>1</v>
      </c>
      <c r="DO46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6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69" s="867">
        <f>WWWW[[#This Row],['#_Constructed/Existing hand washing stations]]-WWWW[[#This Row],['#_Non-Functional_hand_washing_stations]]</f>
        <v>2</v>
      </c>
      <c r="DR469" s="864">
        <f>IF(WWWW[[#This Row],['# Functional hand washing stations during reporting period]]*20&gt;WWWW[[#This Row],[Total HH]],WWWW[[#This Row],[Total HH]],WWWW[[#This Row],['# Functional hand washing stations during reporting period]]*20)</f>
        <v>16</v>
      </c>
      <c r="DS469" s="864">
        <f>IF(WWWW[[#This Row],[Is sufficient soap available for TLS? (Yes/No)]]="yes",WWWW[[#This Row],['#_Constructed/Existing hand washing stations at TLS]],0)</f>
        <v>0</v>
      </c>
      <c r="DT469" s="479">
        <f>IF(WWWW[[#This Row],['# Functional hand washing stations during reporting period]]*100&gt;WWWW[[#This Row],[Total PoP ]],WWWW[[#This Row],[Total PoP ]],WWWW[[#This Row],['# Functional hand washing stations during reporting period]]*100)</f>
        <v>63</v>
      </c>
      <c r="DU469" s="479" t="str">
        <f>IF(OR(WWWW[[#This Row],['#_students at TLS_CFS]]="",WWWW[[#This Row],['#_students at TLS_CFS]]=0),"No","Yes")</f>
        <v>No</v>
      </c>
      <c r="DV469" s="804">
        <f>IF(WWWW[[#This Row],['#_of_affected_people_surveyed_who_report_feeling_informed_about_the_different_WASH_services_available_to_them]]="","",WWWW[[#This Row],['#_of_affected_people_surveyed_who_report_feeling_informed_about_the_different_WASH_services_available_to_them]]/WWWW[[#This Row],[Total PoP ]])</f>
        <v>0.47619047619047616</v>
      </c>
      <c r="DW4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469" s="862">
        <f>VLOOKUP(WWWW[[#This Row],[Site Name]],SiteDB6[[Site Name]:[CCCM Management]],6,FALSE)</f>
        <v>0</v>
      </c>
      <c r="DZ469" s="862" t="str">
        <f>VLOOKUP(WWWW[[#This Row],[Site Name]],SiteDB6[[Site Name]:[CCCM Focal Agency]],7,FALSE)</f>
        <v>KMSS-MYT</v>
      </c>
      <c r="EA469" s="862" t="str">
        <f>VLOOKUP(WWWW[[#This Row],[Site Name]],SiteDB6[[Site Name]:[Location Type 1]],9,FALSE)</f>
        <v>Camp</v>
      </c>
      <c r="EB469" s="862" t="str">
        <f>VLOOKUP(WWWW[[#This Row],[Site Name]],SiteDB6[[Site Name]:[Type of Accommodation]],10,FALSE)</f>
        <v>Camp</v>
      </c>
      <c r="EC469" s="862" t="str">
        <f>VLOOKUP(WWWW[[#This Row],[Site Name]],SiteDB6[[Site Name]:[Ethnic or GCA/NGCA]],11,FALSE)</f>
        <v>GCA</v>
      </c>
      <c r="ED469" s="862">
        <f>VLOOKUP(WWWW[[#This Row],[Site Name]],SiteDB6[[Site Name]:[Lat]],12,FALSE)</f>
        <v>0</v>
      </c>
      <c r="EE469" s="862">
        <f>VLOOKUP(WWWW[[#This Row],[Site Name]],SiteDB6[[Site Name]:[Long]],13,FALSE)</f>
        <v>0</v>
      </c>
      <c r="EF469" s="862" t="str">
        <f>VLOOKUP(WWWW[[#This Row],[Site Name]],SiteDB6[[Site Name]:[Pcode]],3,FALSE)</f>
        <v>MMR001CMP270</v>
      </c>
      <c r="EG469" s="865" t="str">
        <f t="shared" si="13"/>
        <v>Covered</v>
      </c>
      <c r="EH469" s="865" t="str">
        <f>VLOOKUP(WWWW[[#This Row],[Site Name]],Site_DB!$C$389:$D$1120,2,FALSE)</f>
        <v>cccm_2019OCT</v>
      </c>
    </row>
    <row r="470" spans="1:138">
      <c r="A470" s="860" t="s">
        <v>3263</v>
      </c>
      <c r="B470" s="860" t="s">
        <v>245</v>
      </c>
      <c r="C470" s="861" t="s">
        <v>245</v>
      </c>
      <c r="D470" s="861" t="s">
        <v>310</v>
      </c>
      <c r="E470" s="861" t="s">
        <v>39</v>
      </c>
      <c r="F470" s="861" t="s">
        <v>145</v>
      </c>
      <c r="G470" s="721" t="str">
        <f>VLOOKUP(WWWW[[#This Row],[Site Name]],SiteDB6[[Site Name]:[Location Type]],8,FALSE)</f>
        <v>Camp</v>
      </c>
      <c r="H470" s="861" t="s">
        <v>273</v>
      </c>
      <c r="I470" s="851">
        <v>19</v>
      </c>
      <c r="J470" s="851">
        <v>82</v>
      </c>
      <c r="K470" s="863">
        <v>43313</v>
      </c>
      <c r="L470" s="859">
        <v>44196</v>
      </c>
      <c r="M470" s="851"/>
      <c r="N470" s="851">
        <v>1</v>
      </c>
      <c r="O470" s="851"/>
      <c r="P470" s="851"/>
      <c r="Q470" s="864" t="s">
        <v>43</v>
      </c>
      <c r="R470" s="851">
        <v>0</v>
      </c>
      <c r="S470" s="851">
        <v>4</v>
      </c>
      <c r="T470" s="523">
        <v>1</v>
      </c>
      <c r="U470" s="851"/>
      <c r="V470" s="851"/>
      <c r="W470" s="851">
        <v>1</v>
      </c>
      <c r="X470" s="851">
        <v>0</v>
      </c>
      <c r="Y470" s="851"/>
      <c r="Z470" s="851"/>
      <c r="AA470" s="851">
        <v>0</v>
      </c>
      <c r="AB470" s="851"/>
      <c r="AC470" s="851"/>
      <c r="AD470" s="851">
        <v>0</v>
      </c>
      <c r="AE470" s="851">
        <v>0</v>
      </c>
      <c r="AF470" s="851">
        <v>0</v>
      </c>
      <c r="AG470" s="851">
        <v>0</v>
      </c>
      <c r="AH470" s="851">
        <v>0</v>
      </c>
      <c r="AI470" s="851"/>
      <c r="AJ470" s="851"/>
      <c r="AK470" s="851"/>
      <c r="AL470" s="851"/>
      <c r="AM470" s="851">
        <v>0</v>
      </c>
      <c r="AN470" s="851"/>
      <c r="AO470" s="865"/>
      <c r="AP470" s="851">
        <v>6</v>
      </c>
      <c r="AQ470" s="851">
        <v>0</v>
      </c>
      <c r="AR470" s="866"/>
      <c r="AS470" s="851"/>
      <c r="AT470" s="851"/>
      <c r="AU470" s="851"/>
      <c r="AV470" s="851"/>
      <c r="AW470" s="851">
        <v>0</v>
      </c>
      <c r="AX470" s="862" t="s">
        <v>43</v>
      </c>
      <c r="AY470" s="865" t="s">
        <v>140</v>
      </c>
      <c r="AZ470" s="851">
        <v>0</v>
      </c>
      <c r="BA470" s="851">
        <v>0</v>
      </c>
      <c r="BB470" s="851">
        <v>0</v>
      </c>
      <c r="BC470" s="523"/>
      <c r="BD470" s="523"/>
      <c r="BE470" s="862"/>
      <c r="BF470" s="851">
        <v>4</v>
      </c>
      <c r="BG470" s="851"/>
      <c r="BH470" s="851">
        <v>0</v>
      </c>
      <c r="BI470" s="851">
        <v>2</v>
      </c>
      <c r="BJ470" s="851"/>
      <c r="BK470" s="851">
        <v>0</v>
      </c>
      <c r="BL470" s="851">
        <v>0</v>
      </c>
      <c r="BM470" s="851"/>
      <c r="BN470" s="851"/>
      <c r="BO470" s="862" t="s">
        <v>139</v>
      </c>
      <c r="BP470" s="867"/>
      <c r="BQ470" s="866"/>
      <c r="BR470" s="862"/>
      <c r="BS470" s="472"/>
      <c r="BT470" s="472"/>
      <c r="BU470" s="474"/>
      <c r="BV470" s="472"/>
      <c r="BW470" s="523"/>
      <c r="BX470" s="523"/>
      <c r="BY470" s="523"/>
      <c r="BZ470" s="868" t="str">
        <f>IFERROR(WWWW[[#This Row],['#_Water sources passed]]/WWWW[[#This Row],['#_Water sources tested for fecal coliform ]],"no test")</f>
        <v>no test</v>
      </c>
      <c r="CA470" s="866" t="str">
        <f>IFERROR(WWWW[[#This Row],['#_Household passed]]/WWWW[[#This Row],['#_Household water samples tested for fecal coliform]],"no test")</f>
        <v>no test</v>
      </c>
      <c r="CB470" s="867" t="str">
        <f>IF(AND(WWWW[[#This Row],[% of water sources passed]]="no test",WWWW[[#This Row],[% Household passed]]="no test"),"No Test","Tested")</f>
        <v>No Test</v>
      </c>
      <c r="CC470" s="867">
        <f>WWWW[[#This Row],['#_Constructed/existing protected hand dug well]]-WWWW[[#This Row],['#_Non-functional protected hand dug well]]</f>
        <v>1</v>
      </c>
      <c r="CD470" s="867">
        <f>(WWWW[[#This Row],['#_Constructed/Existing tube wells/boreholes/handpumps_WASH_agency]]+WWWW[[#This Row],['#_Non-Cluster partner water tube-wells/boreholes/handpumps]])-WWWW[[#This Row],['#_Non-functional tube wells/boreholes/handpumps]]</f>
        <v>1</v>
      </c>
      <c r="CE470" s="867">
        <f>WWWW[[#This Row],['#_Constructed/Existingwater storage tank with gravity fed reticulation system]]-WWWW[[#This Row],['#_Non-functional storage tank gravity fed reticulation system]]</f>
        <v>0</v>
      </c>
      <c r="CF470" s="867">
        <f>(WWWW[[#This Row],['#_Water_Liters_supplied_by_Water boating or water trucking]]/90)/15</f>
        <v>0</v>
      </c>
      <c r="CG470" s="867">
        <f>WWWW[[#This Row],['#_Water_Liters_from_Constructed/Existing water distribution system from river or natural spring]]/90/15</f>
        <v>0</v>
      </c>
      <c r="CH470" s="473">
        <f>WWWW[[#This Row],['#_of water points in TLS/CFS /THF]]*500</f>
        <v>0</v>
      </c>
      <c r="CI47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0" s="866">
        <f>IF(WWWW[[#This Row],[Location Type 1]]="Village",WWWW[[#This Row],[Access to safe drinking water for Village]],WWWW[[#This Row],[Access to safe drinking water for Camp]])</f>
        <v>1</v>
      </c>
      <c r="CL470" s="864">
        <f>WWWW[[#This Row],[%Equitable and continuous access to sufficient quantity of safe drinking water]]*WWWW[[#This Row],[Total PoP ]]</f>
        <v>82</v>
      </c>
      <c r="CM470" s="866">
        <f>IF((WWWW[[#This Row],['#_Constructed/Existing protected/fenced ponds]]*250)/WWWW[[#This Row],[Total PoP ]]&gt;1,1,(WWWW[[#This Row],['#_Constructed/Existing protected/fenced ponds]]*250)/WWWW[[#This Row],[Total PoP ]])</f>
        <v>0</v>
      </c>
      <c r="CN470" s="864">
        <f>WWWW[[#This Row],[% Access to unimproved water points]]*WWWW[[#This Row],[Total PoP ]]</f>
        <v>0</v>
      </c>
      <c r="CO47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Q470" s="864">
        <f>WWWW[[#This Row],[HRP1]]/500</f>
        <v>0.16400000000000001</v>
      </c>
      <c r="CR470" s="869">
        <f>1-WWWW[[#This Row],[% Equitable and continuous access to sufficient quantity of domestic water]]</f>
        <v>0</v>
      </c>
      <c r="CS470" s="864">
        <f>WWWW[[#This Row],[%equitable and continuous access to sufficient quantity of safe drinking and domestic water''s GAP]]*WWWW[[#This Row],[Total PoP ]]</f>
        <v>0</v>
      </c>
      <c r="CT470" s="867">
        <f>IF(WWWW[[#This Row],[Total required water points]]-WWWW[[#This Row],['#Water points coverage]]&lt;0,0,WWWW[[#This Row],[Total required water points]]-WWWW[[#This Row],['#Water points coverage]])</f>
        <v>0.83599999999999997</v>
      </c>
      <c r="CU470" s="867">
        <f>ROUND(IF(WWWW[[#This Row],[Total PoP ]]&lt;500,1,WWWW[[#This Row],[Total PoP ]]/500),0)</f>
        <v>1</v>
      </c>
      <c r="CV470" s="867">
        <f>(WWWW[[#This Row],['#_Constructed latrines_by_WASHAgencies]]+WWWW[[#This Row],['#_Non Cluster partner latrines]])-WWWW[[#This Row],['#_Non-functional latrines]]</f>
        <v>6</v>
      </c>
      <c r="CW470" s="804">
        <f>WWWW[[#This Row],[HRP2]]/WWWW[[#This Row],[Total PoP ]]</f>
        <v>1</v>
      </c>
      <c r="CX47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82</v>
      </c>
      <c r="CY47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0" s="473">
        <f>IF(WWWW[[#This Row],['# of functional latrines in THF supported by WASH partners during the reporting period2]]="",0,WWWW[[#This Row],['# of functional latrines in THF supported by WASH partners during the reporting period2]]*50)</f>
        <v>0</v>
      </c>
      <c r="DB470" s="473">
        <f>WWWW[[#This Row],['# students access to functioning school latrines_HRP5]]+WWWW[[#This Row],['# People access to functioning latrines in THF_HRP5]]</f>
        <v>0</v>
      </c>
      <c r="DC470" s="867">
        <f>ROUND(IF(WWWW[[#This Row],[Location Type 1]]="camp",WWWW[[#This Row],[Total PoP ]]/20,IF(WWWW[[#This Row],[Location Type 1]]="Temporary Location",WWWW[[#This Row],[Total PoP ]]/50,(WWWW[[#This Row],[Total PoP ]]/6))),0)</f>
        <v>4</v>
      </c>
      <c r="DD470" s="867">
        <f>IF(WWWW[[#This Row],[Total required Latrines]]-(WWWW[[#This Row],['#_Constructed latrines_by_WASHAgencies]]+WWWW[[#This Row],['#_Non Cluster partner latrines]])&lt;0,0,WWWW[[#This Row],[Total required Latrines]]-(WWWW[[#This Row],['#_Constructed latrines_by_WASHAgencies]]+WWWW[[#This Row],['#_Non Cluster partner latrines]]))</f>
        <v>0</v>
      </c>
      <c r="DE470" s="869">
        <f>1-WWWW[[#This Row],[% people access to functioning Latrine]]</f>
        <v>0</v>
      </c>
      <c r="DF470" s="868">
        <f>IF(OR(WWWW[[#This Row],['#_Non-functional latrines]]="",WWWW[[#This Row],['#_Non-functional latrines]]=0),0,WWWW[[#This Row],['#_Non-functional latrines]]/(WWWW[[#This Row],['#_Constructed latrines_by_WASHAgencies]]+WWWW[[#This Row],['#_Non Cluster partner latrines]]))</f>
        <v>0</v>
      </c>
      <c r="DG470" s="864">
        <f>IF(500*(WWWW[[#This Row],['#_male hygiene promoters]]+WWWW[[#This Row],['#_female hygiene promoters]])&gt;WWWW[[#This Row],[Total PoP ]],WWWW[[#This Row],[Total PoP ]],500*(WWWW[[#This Row],['#_male hygiene promoters]]+WWWW[[#This Row],['#_female hygiene promoters]]))</f>
        <v>0</v>
      </c>
      <c r="DH47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7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0" s="867">
        <f>IF(WWWW[[#This Row],['# People with access to soap]]&gt;WWWW[[#This Row],['# People with access to Sanity Pads]],WWWW[[#This Row],['# People with access to soap]],WWWW[[#This Row],['# People with access to Sanity Pads]])</f>
        <v>0</v>
      </c>
      <c r="DK47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70" s="869">
        <f>IF(WWWW[[#This Row],[HRP3]]/WWWW[[#This Row],[Total PoP ]]&gt;1,1,WWWW[[#This Row],[HRP3]]/WWWW[[#This Row],[Total PoP ]])</f>
        <v>0</v>
      </c>
      <c r="DM470" s="868">
        <f>1-WWWW[[#This Row],[Hygiene Coverage%]]</f>
        <v>1</v>
      </c>
      <c r="DN470" s="866">
        <f>WWWW[[#This Row],['# people reached by regular dedicated hygiene promotion_5]]/WWWW[[#This Row],[Total PoP ]]</f>
        <v>0</v>
      </c>
      <c r="DO47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7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0" s="867">
        <f>WWWW[[#This Row],['#_Constructed/Existing hand washing stations]]-WWWW[[#This Row],['#_Non-Functional_hand_washing_stations]]</f>
        <v>4</v>
      </c>
      <c r="DR470" s="864">
        <f>IF(WWWW[[#This Row],['# Functional hand washing stations during reporting period]]*20&gt;WWWW[[#This Row],[Total HH]],WWWW[[#This Row],[Total HH]],WWWW[[#This Row],['# Functional hand washing stations during reporting period]]*20)</f>
        <v>19</v>
      </c>
      <c r="DS470" s="864">
        <f>IF(WWWW[[#This Row],[Is sufficient soap available for TLS? (Yes/No)]]="yes",WWWW[[#This Row],['#_Constructed/Existing hand washing stations at TLS]],0)</f>
        <v>0</v>
      </c>
      <c r="DT470" s="479">
        <f>IF(WWWW[[#This Row],['# Functional hand washing stations during reporting period]]*100&gt;WWWW[[#This Row],[Total PoP ]],WWWW[[#This Row],[Total PoP ]],WWWW[[#This Row],['# Functional hand washing stations during reporting period]]*100)</f>
        <v>82</v>
      </c>
      <c r="DU470" s="479" t="str">
        <f>IF(OR(WWWW[[#This Row],['#_students at TLS_CFS]]="",WWWW[[#This Row],['#_students at TLS_CFS]]=0),"No","Yes")</f>
        <v>No</v>
      </c>
      <c r="DV47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0" s="862" t="str">
        <f>VLOOKUP(WWWW[[#This Row],[Site Name]],SiteDB6[[Site Name]:[CCCM Management]],6,FALSE)</f>
        <v>Yes</v>
      </c>
      <c r="DZ470" s="862" t="str">
        <f>VLOOKUP(WWWW[[#This Row],[Site Name]],SiteDB6[[Site Name]:[CCCM Focal Agency]],7,FALSE)</f>
        <v>Shalom</v>
      </c>
      <c r="EA470" s="862" t="str">
        <f>VLOOKUP(WWWW[[#This Row],[Site Name]],SiteDB6[[Site Name]:[Location Type 1]],9,FALSE)</f>
        <v>Camp</v>
      </c>
      <c r="EB470" s="862" t="str">
        <f>VLOOKUP(WWWW[[#This Row],[Site Name]],SiteDB6[[Site Name]:[Type of Accommodation]],10,FALSE)</f>
        <v>Camp</v>
      </c>
      <c r="EC470" s="862" t="str">
        <f>VLOOKUP(WWWW[[#This Row],[Site Name]],SiteDB6[[Site Name]:[Ethnic or GCA/NGCA]],11,FALSE)</f>
        <v>GCA</v>
      </c>
      <c r="ED470" s="862">
        <f>VLOOKUP(WWWW[[#This Row],[Site Name]],SiteDB6[[Site Name]:[Lat]],12,FALSE)</f>
        <v>25.351965</v>
      </c>
      <c r="EE470" s="862">
        <f>VLOOKUP(WWWW[[#This Row],[Site Name]],SiteDB6[[Site Name]:[Long]],13,FALSE)</f>
        <v>97.345039</v>
      </c>
      <c r="EF470" s="862" t="str">
        <f>VLOOKUP(WWWW[[#This Row],[Site Name]],SiteDB6[[Site Name]:[Pcode]],3,FALSE)</f>
        <v>MMR001CMP033</v>
      </c>
      <c r="EG470" s="865" t="str">
        <f t="shared" si="13"/>
        <v>Covered</v>
      </c>
      <c r="EH470" s="865" t="str">
        <f>VLOOKUP(WWWW[[#This Row],[Site Name]],Site_DB!$C$389:$D$1120,2,FALSE)</f>
        <v>cccm_2019OCT</v>
      </c>
    </row>
    <row r="471" spans="1:138">
      <c r="A471" s="860" t="s">
        <v>3263</v>
      </c>
      <c r="B471" s="860" t="s">
        <v>38</v>
      </c>
      <c r="C471" s="861" t="s">
        <v>38</v>
      </c>
      <c r="D471" s="861" t="s">
        <v>244</v>
      </c>
      <c r="E471" s="861" t="s">
        <v>39</v>
      </c>
      <c r="F471" s="861" t="s">
        <v>151</v>
      </c>
      <c r="G471" s="721" t="str">
        <f>VLOOKUP(WWWW[[#This Row],[Site Name]],SiteDB6[[Site Name]:[Location Type]],8,FALSE)</f>
        <v>Camp</v>
      </c>
      <c r="H471" s="861" t="s">
        <v>2019</v>
      </c>
      <c r="I471" s="851">
        <v>47</v>
      </c>
      <c r="J471" s="851">
        <v>218</v>
      </c>
      <c r="K471" s="863">
        <v>43810</v>
      </c>
      <c r="L471" s="859">
        <v>44175</v>
      </c>
      <c r="M471" s="851"/>
      <c r="N471" s="851"/>
      <c r="O471" s="851"/>
      <c r="P471" s="851"/>
      <c r="Q471" s="864" t="s">
        <v>43</v>
      </c>
      <c r="R471" s="851">
        <v>1</v>
      </c>
      <c r="S471" s="851">
        <v>2</v>
      </c>
      <c r="T471" s="523">
        <v>1</v>
      </c>
      <c r="U471" s="851"/>
      <c r="V471" s="851"/>
      <c r="W471" s="851"/>
      <c r="X471" s="851">
        <v>1</v>
      </c>
      <c r="Y471" s="851"/>
      <c r="Z471" s="851"/>
      <c r="AA471" s="851">
        <v>1</v>
      </c>
      <c r="AB471" s="851"/>
      <c r="AC471" s="851"/>
      <c r="AD471" s="851"/>
      <c r="AE471" s="851"/>
      <c r="AF471" s="851"/>
      <c r="AG471" s="851"/>
      <c r="AH471" s="851"/>
      <c r="AI471" s="851"/>
      <c r="AJ471" s="851"/>
      <c r="AK471" s="851"/>
      <c r="AL471" s="851"/>
      <c r="AM471" s="851">
        <v>2</v>
      </c>
      <c r="AN471" s="851"/>
      <c r="AO471" s="865"/>
      <c r="AP471" s="851">
        <v>8</v>
      </c>
      <c r="AQ471" s="851">
        <v>4</v>
      </c>
      <c r="AR471" s="866"/>
      <c r="AS471" s="851"/>
      <c r="AT471" s="851">
        <v>6</v>
      </c>
      <c r="AU471" s="851"/>
      <c r="AV471" s="851"/>
      <c r="AW471" s="851"/>
      <c r="AX471" s="862" t="s">
        <v>43</v>
      </c>
      <c r="AY471" s="865" t="s">
        <v>139</v>
      </c>
      <c r="AZ471" s="851">
        <v>2</v>
      </c>
      <c r="BA471" s="851"/>
      <c r="BB471" s="851">
        <v>8</v>
      </c>
      <c r="BC471" s="523"/>
      <c r="BD471" s="523"/>
      <c r="BE471" s="862"/>
      <c r="BF471" s="851">
        <v>2</v>
      </c>
      <c r="BG471" s="851"/>
      <c r="BH471" s="851">
        <v>2</v>
      </c>
      <c r="BI471" s="851">
        <v>2</v>
      </c>
      <c r="BJ471" s="851"/>
      <c r="BK471" s="851"/>
      <c r="BL471" s="851">
        <v>1</v>
      </c>
      <c r="BM471" s="851">
        <v>6</v>
      </c>
      <c r="BN471" s="851"/>
      <c r="BO471" s="862"/>
      <c r="BP471" s="867"/>
      <c r="BQ471" s="866"/>
      <c r="BR471" s="862"/>
      <c r="BS471" s="472">
        <v>0.4</v>
      </c>
      <c r="BT471" s="472">
        <v>0.3</v>
      </c>
      <c r="BU471" s="474"/>
      <c r="BV471" s="472">
        <v>0.1</v>
      </c>
      <c r="BW471" s="523"/>
      <c r="BX471" s="523"/>
      <c r="BY471" s="523">
        <v>2</v>
      </c>
      <c r="BZ471" s="868" t="str">
        <f>IFERROR(WWWW[[#This Row],['#_Water sources passed]]/WWWW[[#This Row],['#_Water sources tested for fecal coliform ]],"no test")</f>
        <v>no test</v>
      </c>
      <c r="CA471" s="866" t="str">
        <f>IFERROR(WWWW[[#This Row],['#_Household passed]]/WWWW[[#This Row],['#_Household water samples tested for fecal coliform]],"no test")</f>
        <v>no test</v>
      </c>
      <c r="CB471" s="867" t="str">
        <f>IF(AND(WWWW[[#This Row],[% of water sources passed]]="no test",WWWW[[#This Row],[% Household passed]]="no test"),"No Test","Tested")</f>
        <v>No Test</v>
      </c>
      <c r="CC471" s="867">
        <f>WWWW[[#This Row],['#_Constructed/existing protected hand dug well]]-WWWW[[#This Row],['#_Non-functional protected hand dug well]]</f>
        <v>1</v>
      </c>
      <c r="CD471" s="867">
        <f>(WWWW[[#This Row],['#_Constructed/Existing tube wells/boreholes/handpumps_WASH_agency]]+WWWW[[#This Row],['#_Non-Cluster partner water tube-wells/boreholes/handpumps]])-WWWW[[#This Row],['#_Non-functional tube wells/boreholes/handpumps]]</f>
        <v>1</v>
      </c>
      <c r="CE471" s="867">
        <f>WWWW[[#This Row],['#_Constructed/Existingwater storage tank with gravity fed reticulation system]]-WWWW[[#This Row],['#_Non-functional storage tank gravity fed reticulation system]]</f>
        <v>1</v>
      </c>
      <c r="CF471" s="867">
        <f>(WWWW[[#This Row],['#_Water_Liters_supplied_by_Water boating or water trucking]]/90)/15</f>
        <v>0</v>
      </c>
      <c r="CG471" s="867">
        <f>WWWW[[#This Row],['#_Water_Liters_from_Constructed/Existing water distribution system from river or natural spring]]/90/15</f>
        <v>0</v>
      </c>
      <c r="CH471" s="473">
        <f>WWWW[[#This Row],['#_of water points in TLS/CFS /THF]]*500</f>
        <v>0</v>
      </c>
      <c r="CI47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1" s="866">
        <f>IF(WWWW[[#This Row],[Location Type 1]]="Village",WWWW[[#This Row],[Access to safe drinking water for Village]],WWWW[[#This Row],[Access to safe drinking water for Camp]])</f>
        <v>1</v>
      </c>
      <c r="CL471" s="864">
        <f>WWWW[[#This Row],[%Equitable and continuous access to sufficient quantity of safe drinking water]]*WWWW[[#This Row],[Total PoP ]]</f>
        <v>218</v>
      </c>
      <c r="CM471" s="866">
        <f>IF((WWWW[[#This Row],['#_Constructed/Existing protected/fenced ponds]]*250)/WWWW[[#This Row],[Total PoP ]]&gt;1,1,(WWWW[[#This Row],['#_Constructed/Existing protected/fenced ponds]]*250)/WWWW[[#This Row],[Total PoP ]])</f>
        <v>0</v>
      </c>
      <c r="CN471" s="864">
        <f>WWWW[[#This Row],[% Access to unimproved water points]]*WWWW[[#This Row],[Total PoP ]]</f>
        <v>0</v>
      </c>
      <c r="CO47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471" s="864">
        <f>WWWW[[#This Row],[HRP1]]/500</f>
        <v>0.436</v>
      </c>
      <c r="CR471" s="869">
        <f>1-WWWW[[#This Row],[% Equitable and continuous access to sufficient quantity of domestic water]]</f>
        <v>0</v>
      </c>
      <c r="CS471" s="864">
        <f>WWWW[[#This Row],[%equitable and continuous access to sufficient quantity of safe drinking and domestic water''s GAP]]*WWWW[[#This Row],[Total PoP ]]</f>
        <v>0</v>
      </c>
      <c r="CT471" s="867">
        <f>IF(WWWW[[#This Row],[Total required water points]]-WWWW[[#This Row],['#Water points coverage]]&lt;0,0,WWWW[[#This Row],[Total required water points]]-WWWW[[#This Row],['#Water points coverage]])</f>
        <v>0.56400000000000006</v>
      </c>
      <c r="CU471" s="867">
        <f>ROUND(IF(WWWW[[#This Row],[Total PoP ]]&lt;500,1,WWWW[[#This Row],[Total PoP ]]/500),0)</f>
        <v>1</v>
      </c>
      <c r="CV471" s="867">
        <f>(WWWW[[#This Row],['#_Constructed latrines_by_WASHAgencies]]+WWWW[[#This Row],['#_Non Cluster partner latrines]])-WWWW[[#This Row],['#_Non-functional latrines]]</f>
        <v>12</v>
      </c>
      <c r="CW471" s="804">
        <f>WWWW[[#This Row],[HRP2]]/WWWW[[#This Row],[Total PoP ]]</f>
        <v>1</v>
      </c>
      <c r="CX47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47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1" s="473">
        <f>IF(WWWW[[#This Row],['# of functional latrines in THF supported by WASH partners during the reporting period2]]="",0,WWWW[[#This Row],['# of functional latrines in THF supported by WASH partners during the reporting period2]]*50)</f>
        <v>0</v>
      </c>
      <c r="DB471" s="473">
        <f>WWWW[[#This Row],['# students access to functioning school latrines_HRP5]]+WWWW[[#This Row],['# People access to functioning latrines in THF_HRP5]]</f>
        <v>0</v>
      </c>
      <c r="DC471" s="867">
        <f>ROUND(IF(WWWW[[#This Row],[Location Type 1]]="camp",WWWW[[#This Row],[Total PoP ]]/20,IF(WWWW[[#This Row],[Location Type 1]]="Temporary Location",WWWW[[#This Row],[Total PoP ]]/50,(WWWW[[#This Row],[Total PoP ]]/6))),0)</f>
        <v>11</v>
      </c>
      <c r="DD471" s="867">
        <f>IF(WWWW[[#This Row],[Total required Latrines]]-(WWWW[[#This Row],['#_Constructed latrines_by_WASHAgencies]]+WWWW[[#This Row],['#_Non Cluster partner latrines]])&lt;0,0,WWWW[[#This Row],[Total required Latrines]]-(WWWW[[#This Row],['#_Constructed latrines_by_WASHAgencies]]+WWWW[[#This Row],['#_Non Cluster partner latrines]]))</f>
        <v>0</v>
      </c>
      <c r="DE471" s="869">
        <f>1-WWWW[[#This Row],[% people access to functioning Latrine]]</f>
        <v>0</v>
      </c>
      <c r="DF471" s="868">
        <f>IF(OR(WWWW[[#This Row],['#_Non-functional latrines]]="",WWWW[[#This Row],['#_Non-functional latrines]]=0),0,WWWW[[#This Row],['#_Non-functional latrines]]/(WWWW[[#This Row],['#_Constructed latrines_by_WASHAgencies]]+WWWW[[#This Row],['#_Non Cluster partner latrines]]))</f>
        <v>0</v>
      </c>
      <c r="DG471" s="864">
        <f>IF(500*(WWWW[[#This Row],['#_male hygiene promoters]]+WWWW[[#This Row],['#_female hygiene promoters]])&gt;WWWW[[#This Row],[Total PoP ]],WWWW[[#This Row],[Total PoP ]],500*(WWWW[[#This Row],['#_male hygiene promoters]]+WWWW[[#This Row],['#_female hygiene promoters]]))</f>
        <v>218</v>
      </c>
      <c r="DH47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7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1" s="867">
        <f>IF(WWWW[[#This Row],['# People with access to soap]]&gt;WWWW[[#This Row],['# People with access to Sanity Pads]],WWWW[[#This Row],['# People with access to soap]],WWWW[[#This Row],['# People with access to Sanity Pads]])</f>
        <v>30</v>
      </c>
      <c r="DK471" s="867">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471" s="869">
        <f>IF(WWWW[[#This Row],[HRP3]]/WWWW[[#This Row],[Total PoP ]]&gt;1,1,WWWW[[#This Row],[HRP3]]/WWWW[[#This Row],[Total PoP ]])</f>
        <v>1</v>
      </c>
      <c r="DM471" s="868">
        <f>1-WWWW[[#This Row],[Hygiene Coverage%]]</f>
        <v>0</v>
      </c>
      <c r="DN471" s="866">
        <f>WWWW[[#This Row],['# people reached by regular dedicated hygiene promotion_5]]/WWWW[[#This Row],[Total PoP ]]</f>
        <v>1</v>
      </c>
      <c r="DO47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0.51063829787234039</v>
      </c>
      <c r="DP47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1" s="867">
        <f>WWWW[[#This Row],['#_Constructed/Existing hand washing stations]]-WWWW[[#This Row],['#_Non-Functional_hand_washing_stations]]</f>
        <v>2</v>
      </c>
      <c r="DR471" s="864">
        <f>IF(WWWW[[#This Row],['# Functional hand washing stations during reporting period]]*20&gt;WWWW[[#This Row],[Total HH]],WWWW[[#This Row],[Total HH]],WWWW[[#This Row],['# Functional hand washing stations during reporting period]]*20)</f>
        <v>40</v>
      </c>
      <c r="DS471" s="864">
        <f>IF(WWWW[[#This Row],[Is sufficient soap available for TLS? (Yes/No)]]="yes",WWWW[[#This Row],['#_Constructed/Existing hand washing stations at TLS]],0)</f>
        <v>0</v>
      </c>
      <c r="DT471" s="479">
        <f>IF(WWWW[[#This Row],['# Functional hand washing stations during reporting period]]*100&gt;WWWW[[#This Row],[Total PoP ]],WWWW[[#This Row],[Total PoP ]],WWWW[[#This Row],['# Functional hand washing stations during reporting period]]*100)</f>
        <v>200</v>
      </c>
      <c r="DU471" s="479" t="str">
        <f>IF(OR(WWWW[[#This Row],['#_students at TLS_CFS]]="",WWWW[[#This Row],['#_students at TLS_CFS]]=0),"No","Yes")</f>
        <v>No</v>
      </c>
      <c r="DV47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v>
      </c>
      <c r="DX4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1" s="862">
        <f>VLOOKUP(WWWW[[#This Row],[Site Name]],SiteDB6[[Site Name]:[CCCM Management]],6,FALSE)</f>
        <v>0</v>
      </c>
      <c r="DZ471" s="862" t="str">
        <f>VLOOKUP(WWWW[[#This Row],[Site Name]],SiteDB6[[Site Name]:[CCCM Focal Agency]],7,FALSE)</f>
        <v>KMSS-MYT</v>
      </c>
      <c r="EA471" s="862" t="str">
        <f>VLOOKUP(WWWW[[#This Row],[Site Name]],SiteDB6[[Site Name]:[Location Type 1]],9,FALSE)</f>
        <v>Camp</v>
      </c>
      <c r="EB471" s="862" t="str">
        <f>VLOOKUP(WWWW[[#This Row],[Site Name]],SiteDB6[[Site Name]:[Type of Accommodation]],10,FALSE)</f>
        <v>Camp</v>
      </c>
      <c r="EC471" s="862" t="str">
        <f>VLOOKUP(WWWW[[#This Row],[Site Name]],SiteDB6[[Site Name]:[Ethnic or GCA/NGCA]],11,FALSE)</f>
        <v>GCA</v>
      </c>
      <c r="ED471" s="862">
        <f>VLOOKUP(WWWW[[#This Row],[Site Name]],SiteDB6[[Site Name]:[Lat]],12,FALSE)</f>
        <v>0</v>
      </c>
      <c r="EE471" s="862">
        <f>VLOOKUP(WWWW[[#This Row],[Site Name]],SiteDB6[[Site Name]:[Long]],13,FALSE)</f>
        <v>0</v>
      </c>
      <c r="EF471" s="862" t="str">
        <f>VLOOKUP(WWWW[[#This Row],[Site Name]],SiteDB6[[Site Name]:[Pcode]],3,FALSE)</f>
        <v>MMR001CMP268</v>
      </c>
      <c r="EG471" s="865" t="str">
        <f t="shared" si="13"/>
        <v>Covered</v>
      </c>
      <c r="EH471" s="865" t="str">
        <f>VLOOKUP(WWWW[[#This Row],[Site Name]],Site_DB!$C$389:$D$1120,2,FALSE)</f>
        <v>cccm_2019OCT</v>
      </c>
    </row>
    <row r="472" spans="1:138">
      <c r="A472" s="860" t="s">
        <v>3263</v>
      </c>
      <c r="B472" s="860" t="s">
        <v>38</v>
      </c>
      <c r="C472" s="861" t="s">
        <v>38</v>
      </c>
      <c r="D472" s="861" t="s">
        <v>244</v>
      </c>
      <c r="E472" s="861" t="s">
        <v>39</v>
      </c>
      <c r="F472" s="861" t="s">
        <v>155</v>
      </c>
      <c r="G472" s="721" t="str">
        <f>VLOOKUP(WWWW[[#This Row],[Site Name]],SiteDB6[[Site Name]:[Location Type]],8,FALSE)</f>
        <v>Camp</v>
      </c>
      <c r="H472" s="861" t="s">
        <v>2002</v>
      </c>
      <c r="I472" s="851">
        <v>45</v>
      </c>
      <c r="J472" s="851">
        <v>235</v>
      </c>
      <c r="K472" s="863">
        <v>43810</v>
      </c>
      <c r="L472" s="859">
        <v>44175</v>
      </c>
      <c r="M472" s="851"/>
      <c r="N472" s="851">
        <v>1</v>
      </c>
      <c r="O472" s="851"/>
      <c r="P472" s="851"/>
      <c r="Q472" s="864" t="s">
        <v>43</v>
      </c>
      <c r="R472" s="851"/>
      <c r="S472" s="851">
        <v>1</v>
      </c>
      <c r="T472" s="523">
        <v>1</v>
      </c>
      <c r="U472" s="851"/>
      <c r="V472" s="851"/>
      <c r="W472" s="851"/>
      <c r="X472" s="851">
        <v>2</v>
      </c>
      <c r="Y472" s="851"/>
      <c r="Z472" s="851"/>
      <c r="AA472" s="851">
        <v>1</v>
      </c>
      <c r="AB472" s="851"/>
      <c r="AC472" s="851"/>
      <c r="AD472" s="851"/>
      <c r="AE472" s="851"/>
      <c r="AF472" s="851"/>
      <c r="AG472" s="851"/>
      <c r="AH472" s="851"/>
      <c r="AI472" s="851">
        <v>1</v>
      </c>
      <c r="AJ472" s="851">
        <v>1</v>
      </c>
      <c r="AK472" s="851"/>
      <c r="AL472" s="851"/>
      <c r="AM472" s="851"/>
      <c r="AN472" s="851"/>
      <c r="AO472" s="865" t="s">
        <v>3143</v>
      </c>
      <c r="AP472" s="851">
        <v>16</v>
      </c>
      <c r="AQ472" s="851"/>
      <c r="AR472" s="866"/>
      <c r="AS472" s="851"/>
      <c r="AT472" s="851">
        <v>6</v>
      </c>
      <c r="AU472" s="851"/>
      <c r="AV472" s="851"/>
      <c r="AW472" s="851"/>
      <c r="AX472" s="862" t="s">
        <v>43</v>
      </c>
      <c r="AY472" s="865" t="s">
        <v>139</v>
      </c>
      <c r="AZ472" s="851">
        <v>1</v>
      </c>
      <c r="BA472" s="851"/>
      <c r="BB472" s="851"/>
      <c r="BC472" s="523"/>
      <c r="BD472" s="523"/>
      <c r="BE472" s="862"/>
      <c r="BF472" s="851">
        <v>4</v>
      </c>
      <c r="BG472" s="851">
        <v>1</v>
      </c>
      <c r="BH472" s="851">
        <v>2</v>
      </c>
      <c r="BI472" s="851">
        <v>2</v>
      </c>
      <c r="BJ472" s="851"/>
      <c r="BK472" s="851">
        <v>1</v>
      </c>
      <c r="BL472" s="851"/>
      <c r="BM472" s="851">
        <v>6</v>
      </c>
      <c r="BN472" s="851"/>
      <c r="BO472" s="474" t="s">
        <v>43</v>
      </c>
      <c r="BP472" s="867"/>
      <c r="BQ472" s="866"/>
      <c r="BR472" s="862"/>
      <c r="BS472" s="472">
        <v>0.3</v>
      </c>
      <c r="BT472" s="472">
        <v>0.45</v>
      </c>
      <c r="BU472" s="474"/>
      <c r="BV472" s="472">
        <v>0.1</v>
      </c>
      <c r="BW472" s="523">
        <v>6</v>
      </c>
      <c r="BX472" s="523">
        <v>6</v>
      </c>
      <c r="BY472" s="523">
        <v>2</v>
      </c>
      <c r="BZ472" s="868">
        <f>IFERROR(WWWW[[#This Row],['#_Water sources passed]]/WWWW[[#This Row],['#_Water sources tested for fecal coliform ]],"no test")</f>
        <v>1</v>
      </c>
      <c r="CA472" s="866" t="str">
        <f>IFERROR(WWWW[[#This Row],['#_Household passed]]/WWWW[[#This Row],['#_Household water samples tested for fecal coliform]],"no test")</f>
        <v>no test</v>
      </c>
      <c r="CB472" s="867" t="str">
        <f>IF(AND(WWWW[[#This Row],[% of water sources passed]]="no test",WWWW[[#This Row],[% Household passed]]="no test"),"No Test","Tested")</f>
        <v>Tested</v>
      </c>
      <c r="CC472" s="867">
        <f>WWWW[[#This Row],['#_Constructed/existing protected hand dug well]]-WWWW[[#This Row],['#_Non-functional protected hand dug well]]</f>
        <v>1</v>
      </c>
      <c r="CD472" s="867">
        <f>(WWWW[[#This Row],['#_Constructed/Existing tube wells/boreholes/handpumps_WASH_agency]]+WWWW[[#This Row],['#_Non-Cluster partner water tube-wells/boreholes/handpumps]])-WWWW[[#This Row],['#_Non-functional tube wells/boreholes/handpumps]]</f>
        <v>2</v>
      </c>
      <c r="CE472" s="867">
        <f>WWWW[[#This Row],['#_Constructed/Existingwater storage tank with gravity fed reticulation system]]-WWWW[[#This Row],['#_Non-functional storage tank gravity fed reticulation system]]</f>
        <v>1</v>
      </c>
      <c r="CF472" s="867">
        <f>(WWWW[[#This Row],['#_Water_Liters_supplied_by_Water boating or water trucking]]/90)/15</f>
        <v>0</v>
      </c>
      <c r="CG472" s="867">
        <f>WWWW[[#This Row],['#_Water_Liters_from_Constructed/Existing water distribution system from river or natural spring]]/90/15</f>
        <v>0</v>
      </c>
      <c r="CH472" s="473">
        <f>WWWW[[#This Row],['#_of water points in TLS/CFS /THF]]*500</f>
        <v>0</v>
      </c>
      <c r="CI47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2" s="866">
        <f>IF(WWWW[[#This Row],[Location Type 1]]="Village",WWWW[[#This Row],[Access to safe drinking water for Village]],WWWW[[#This Row],[Access to safe drinking water for Camp]])</f>
        <v>1</v>
      </c>
      <c r="CL472" s="864">
        <f>WWWW[[#This Row],[%Equitable and continuous access to sufficient quantity of safe drinking water]]*WWWW[[#This Row],[Total PoP ]]</f>
        <v>235</v>
      </c>
      <c r="CM472" s="866">
        <f>IF((WWWW[[#This Row],['#_Constructed/Existing protected/fenced ponds]]*250)/WWWW[[#This Row],[Total PoP ]]&gt;1,1,(WWWW[[#This Row],['#_Constructed/Existing protected/fenced ponds]]*250)/WWWW[[#This Row],[Total PoP ]])</f>
        <v>0</v>
      </c>
      <c r="CN472" s="864">
        <f>WWWW[[#This Row],[% Access to unimproved water points]]*WWWW[[#This Row],[Total PoP ]]</f>
        <v>0</v>
      </c>
      <c r="CO47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Q472" s="864">
        <f>WWWW[[#This Row],[HRP1]]/500</f>
        <v>0.47</v>
      </c>
      <c r="CR472" s="869">
        <f>1-WWWW[[#This Row],[% Equitable and continuous access to sufficient quantity of domestic water]]</f>
        <v>0</v>
      </c>
      <c r="CS472" s="864">
        <f>WWWW[[#This Row],[%equitable and continuous access to sufficient quantity of safe drinking and domestic water''s GAP]]*WWWW[[#This Row],[Total PoP ]]</f>
        <v>0</v>
      </c>
      <c r="CT472" s="867">
        <f>IF(WWWW[[#This Row],[Total required water points]]-WWWW[[#This Row],['#Water points coverage]]&lt;0,0,WWWW[[#This Row],[Total required water points]]-WWWW[[#This Row],['#Water points coverage]])</f>
        <v>0.53</v>
      </c>
      <c r="CU472" s="867">
        <f>ROUND(IF(WWWW[[#This Row],[Total PoP ]]&lt;500,1,WWWW[[#This Row],[Total PoP ]]/500),0)</f>
        <v>1</v>
      </c>
      <c r="CV472" s="867">
        <f>(WWWW[[#This Row],['#_Constructed latrines_by_WASHAgencies]]+WWWW[[#This Row],['#_Non Cluster partner latrines]])-WWWW[[#This Row],['#_Non-functional latrines]]</f>
        <v>16</v>
      </c>
      <c r="CW472" s="804">
        <f>WWWW[[#This Row],[HRP2]]/WWWW[[#This Row],[Total PoP ]]</f>
        <v>1</v>
      </c>
      <c r="CX47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v>
      </c>
      <c r="CY47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2" s="473">
        <f>IF(WWWW[[#This Row],['# of functional latrines in THF supported by WASH partners during the reporting period2]]="",0,WWWW[[#This Row],['# of functional latrines in THF supported by WASH partners during the reporting period2]]*50)</f>
        <v>0</v>
      </c>
      <c r="DB472" s="473">
        <f>WWWW[[#This Row],['# students access to functioning school latrines_HRP5]]+WWWW[[#This Row],['# People access to functioning latrines in THF_HRP5]]</f>
        <v>0</v>
      </c>
      <c r="DC472" s="867">
        <f>ROUND(IF(WWWW[[#This Row],[Location Type 1]]="camp",WWWW[[#This Row],[Total PoP ]]/20,IF(WWWW[[#This Row],[Location Type 1]]="Temporary Location",WWWW[[#This Row],[Total PoP ]]/50,(WWWW[[#This Row],[Total PoP ]]/6))),0)</f>
        <v>12</v>
      </c>
      <c r="DD472" s="867">
        <f>IF(WWWW[[#This Row],[Total required Latrines]]-(WWWW[[#This Row],['#_Constructed latrines_by_WASHAgencies]]+WWWW[[#This Row],['#_Non Cluster partner latrines]])&lt;0,0,WWWW[[#This Row],[Total required Latrines]]-(WWWW[[#This Row],['#_Constructed latrines_by_WASHAgencies]]+WWWW[[#This Row],['#_Non Cluster partner latrines]]))</f>
        <v>0</v>
      </c>
      <c r="DE472" s="869">
        <f>1-WWWW[[#This Row],[% people access to functioning Latrine]]</f>
        <v>0</v>
      </c>
      <c r="DF472" s="868">
        <f>IF(OR(WWWW[[#This Row],['#_Non-functional latrines]]="",WWWW[[#This Row],['#_Non-functional latrines]]=0),0,WWWW[[#This Row],['#_Non-functional latrines]]/(WWWW[[#This Row],['#_Constructed latrines_by_WASHAgencies]]+WWWW[[#This Row],['#_Non Cluster partner latrines]]))</f>
        <v>0</v>
      </c>
      <c r="DG472" s="864">
        <f>IF(500*(WWWW[[#This Row],['#_male hygiene promoters]]+WWWW[[#This Row],['#_female hygiene promoters]])&gt;WWWW[[#This Row],[Total PoP ]],WWWW[[#This Row],[Total PoP ]],500*(WWWW[[#This Row],['#_male hygiene promoters]]+WWWW[[#This Row],['#_female hygiene promoters]]))</f>
        <v>235</v>
      </c>
      <c r="DH47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47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2" s="867">
        <f>IF(WWWW[[#This Row],['# People with access to soap]]&gt;WWWW[[#This Row],['# People with access to Sanity Pads]],WWWW[[#This Row],['# People with access to soap]],WWWW[[#This Row],['# People with access to Sanity Pads]])</f>
        <v>30</v>
      </c>
      <c r="DK472" s="867">
        <f>IF(WWWW[[#This Row],['# people reached by regular dedicated hygiene promotion_5]]&gt;WWWW[[#This Row],['# People received regular supply of hygiene items_6]],WWWW[[#This Row],['# people reached by regular dedicated hygiene promotion_5]],WWWW[[#This Row],['# People received regular supply of hygiene items_6]])</f>
        <v>235</v>
      </c>
      <c r="DL472" s="869">
        <f>IF(WWWW[[#This Row],[HRP3]]/WWWW[[#This Row],[Total PoP ]]&gt;1,1,WWWW[[#This Row],[HRP3]]/WWWW[[#This Row],[Total PoP ]])</f>
        <v>1</v>
      </c>
      <c r="DM472" s="868">
        <f>1-WWWW[[#This Row],[Hygiene Coverage%]]</f>
        <v>0</v>
      </c>
      <c r="DN472" s="866">
        <f>WWWW[[#This Row],['# people reached by regular dedicated hygiene promotion_5]]/WWWW[[#This Row],[Total PoP ]]</f>
        <v>1</v>
      </c>
      <c r="DO47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0.53333333333333333</v>
      </c>
      <c r="DP47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2" s="867">
        <f>WWWW[[#This Row],['#_Constructed/Existing hand washing stations]]-WWWW[[#This Row],['#_Non-Functional_hand_washing_stations]]</f>
        <v>3</v>
      </c>
      <c r="DR472" s="864">
        <f>IF(WWWW[[#This Row],['# Functional hand washing stations during reporting period]]*20&gt;WWWW[[#This Row],[Total HH]],WWWW[[#This Row],[Total HH]],WWWW[[#This Row],['# Functional hand washing stations during reporting period]]*20)</f>
        <v>45</v>
      </c>
      <c r="DS472" s="864">
        <f>IF(WWWW[[#This Row],[Is sufficient soap available for TLS? (Yes/No)]]="yes",WWWW[[#This Row],['#_Constructed/Existing hand washing stations at TLS]],0)</f>
        <v>0</v>
      </c>
      <c r="DT472" s="479">
        <f>IF(WWWW[[#This Row],['# Functional hand washing stations during reporting period]]*100&gt;WWWW[[#This Row],[Total PoP ]],WWWW[[#This Row],[Total PoP ]],WWWW[[#This Row],['# Functional hand washing stations during reporting period]]*100)</f>
        <v>235</v>
      </c>
      <c r="DU472" s="479" t="str">
        <f>IF(OR(WWWW[[#This Row],['#_students at TLS_CFS]]="",WWWW[[#This Row],['#_students at TLS_CFS]]=0),"No","Yes")</f>
        <v>No</v>
      </c>
      <c r="DV47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14</v>
      </c>
      <c r="DX4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2" s="862">
        <f>VLOOKUP(WWWW[[#This Row],[Site Name]],SiteDB6[[Site Name]:[CCCM Management]],6,FALSE)</f>
        <v>0</v>
      </c>
      <c r="DZ472" s="862" t="str">
        <f>VLOOKUP(WWWW[[#This Row],[Site Name]],SiteDB6[[Site Name]:[CCCM Focal Agency]],7,FALSE)</f>
        <v>KMSS-MYT</v>
      </c>
      <c r="EA472" s="862" t="str">
        <f>VLOOKUP(WWWW[[#This Row],[Site Name]],SiteDB6[[Site Name]:[Location Type 1]],9,FALSE)</f>
        <v>Camp</v>
      </c>
      <c r="EB472" s="862" t="str">
        <f>VLOOKUP(WWWW[[#This Row],[Site Name]],SiteDB6[[Site Name]:[Type of Accommodation]],10,FALSE)</f>
        <v>Camp</v>
      </c>
      <c r="EC472" s="862" t="str">
        <f>VLOOKUP(WWWW[[#This Row],[Site Name]],SiteDB6[[Site Name]:[Ethnic or GCA/NGCA]],11,FALSE)</f>
        <v>GCA</v>
      </c>
      <c r="ED472" s="862">
        <f>VLOOKUP(WWWW[[#This Row],[Site Name]],SiteDB6[[Site Name]:[Lat]],12,FALSE)</f>
        <v>25.370330525559201</v>
      </c>
      <c r="EE472" s="862">
        <f>VLOOKUP(WWWW[[#This Row],[Site Name]],SiteDB6[[Site Name]:[Long]],13,FALSE)</f>
        <v>97.010629910000006</v>
      </c>
      <c r="EF472" s="862" t="str">
        <f>VLOOKUP(WWWW[[#This Row],[Site Name]],SiteDB6[[Site Name]:[Pcode]],3,FALSE)</f>
        <v>MMR001CMP259</v>
      </c>
      <c r="EG472" s="865" t="str">
        <f t="shared" si="13"/>
        <v>Covered</v>
      </c>
      <c r="EH472" s="865" t="str">
        <f>VLOOKUP(WWWW[[#This Row],[Site Name]],Site_DB!$C$389:$D$1120,2,FALSE)</f>
        <v>cccm_2019OCT</v>
      </c>
    </row>
    <row r="473" spans="1:138">
      <c r="A473" s="860" t="s">
        <v>3263</v>
      </c>
      <c r="B473" s="860" t="s">
        <v>38</v>
      </c>
      <c r="C473" s="861" t="s">
        <v>38</v>
      </c>
      <c r="D473" s="861" t="s">
        <v>3049</v>
      </c>
      <c r="E473" s="861" t="s">
        <v>39</v>
      </c>
      <c r="F473" s="861" t="s">
        <v>160</v>
      </c>
      <c r="G473" s="721" t="str">
        <f>VLOOKUP(WWWW[[#This Row],[Site Name]],SiteDB6[[Site Name]:[Location Type]],8,FALSE)</f>
        <v>Camp</v>
      </c>
      <c r="H473" s="861" t="s">
        <v>242</v>
      </c>
      <c r="I473" s="851">
        <v>11</v>
      </c>
      <c r="J473" s="851">
        <v>52</v>
      </c>
      <c r="K473" s="863" t="s">
        <v>3619</v>
      </c>
      <c r="L473" s="859" t="s">
        <v>3620</v>
      </c>
      <c r="M473" s="851"/>
      <c r="N473" s="851"/>
      <c r="O473" s="851"/>
      <c r="P473" s="851"/>
      <c r="Q473" s="864" t="s">
        <v>43</v>
      </c>
      <c r="R473" s="851"/>
      <c r="S473" s="851"/>
      <c r="T473" s="523">
        <v>1</v>
      </c>
      <c r="U473" s="851"/>
      <c r="V473" s="851"/>
      <c r="W473" s="851"/>
      <c r="X473" s="851"/>
      <c r="Y473" s="851"/>
      <c r="Z473" s="851"/>
      <c r="AA473" s="851"/>
      <c r="AB473" s="851"/>
      <c r="AC473" s="851"/>
      <c r="AD473" s="851"/>
      <c r="AE473" s="851"/>
      <c r="AF473" s="851"/>
      <c r="AG473" s="851"/>
      <c r="AH473" s="851"/>
      <c r="AI473" s="851"/>
      <c r="AJ473" s="851"/>
      <c r="AK473" s="851"/>
      <c r="AL473" s="851"/>
      <c r="AM473" s="851"/>
      <c r="AN473" s="851"/>
      <c r="AO473" s="865"/>
      <c r="AP473" s="851">
        <v>7</v>
      </c>
      <c r="AQ473" s="851"/>
      <c r="AR473" s="866"/>
      <c r="AS473" s="851"/>
      <c r="AT473" s="851"/>
      <c r="AU473" s="851"/>
      <c r="AV473" s="851"/>
      <c r="AW473" s="851"/>
      <c r="AX473" s="862" t="s">
        <v>43</v>
      </c>
      <c r="AY473" s="865" t="s">
        <v>140</v>
      </c>
      <c r="AZ473" s="851">
        <v>1</v>
      </c>
      <c r="BA473" s="851"/>
      <c r="BB473" s="851"/>
      <c r="BC473" s="523"/>
      <c r="BD473" s="523"/>
      <c r="BE473" s="862"/>
      <c r="BF473" s="851"/>
      <c r="BG473" s="851"/>
      <c r="BH473" s="851"/>
      <c r="BI473" s="851">
        <v>2</v>
      </c>
      <c r="BJ473" s="851"/>
      <c r="BK473" s="851"/>
      <c r="BL473" s="851">
        <v>1</v>
      </c>
      <c r="BM473" s="851"/>
      <c r="BN473" s="851"/>
      <c r="BO473" s="862"/>
      <c r="BP473" s="867"/>
      <c r="BQ473" s="866"/>
      <c r="BR473" s="862"/>
      <c r="BS473" s="472"/>
      <c r="BT473" s="472"/>
      <c r="BU473" s="474"/>
      <c r="BV473" s="472"/>
      <c r="BW473" s="523"/>
      <c r="BX473" s="523"/>
      <c r="BY473" s="523"/>
      <c r="BZ473" s="868" t="str">
        <f>IFERROR(WWWW[[#This Row],['#_Water sources passed]]/WWWW[[#This Row],['#_Water sources tested for fecal coliform ]],"no test")</f>
        <v>no test</v>
      </c>
      <c r="CA473" s="866" t="str">
        <f>IFERROR(WWWW[[#This Row],['#_Household passed]]/WWWW[[#This Row],['#_Household water samples tested for fecal coliform]],"no test")</f>
        <v>no test</v>
      </c>
      <c r="CB473" s="867" t="str">
        <f>IF(AND(WWWW[[#This Row],[% of water sources passed]]="no test",WWWW[[#This Row],[% Household passed]]="no test"),"No Test","Tested")</f>
        <v>No Test</v>
      </c>
      <c r="CC473" s="867">
        <f>WWWW[[#This Row],['#_Constructed/existing protected hand dug well]]-WWWW[[#This Row],['#_Non-functional protected hand dug well]]</f>
        <v>1</v>
      </c>
      <c r="CD473" s="867">
        <f>(WWWW[[#This Row],['#_Constructed/Existing tube wells/boreholes/handpumps_WASH_agency]]+WWWW[[#This Row],['#_Non-Cluster partner water tube-wells/boreholes/handpumps]])-WWWW[[#This Row],['#_Non-functional tube wells/boreholes/handpumps]]</f>
        <v>0</v>
      </c>
      <c r="CE473" s="867">
        <f>WWWW[[#This Row],['#_Constructed/Existingwater storage tank with gravity fed reticulation system]]-WWWW[[#This Row],['#_Non-functional storage tank gravity fed reticulation system]]</f>
        <v>0</v>
      </c>
      <c r="CF473" s="867">
        <f>(WWWW[[#This Row],['#_Water_Liters_supplied_by_Water boating or water trucking]]/90)/15</f>
        <v>0</v>
      </c>
      <c r="CG473" s="867">
        <f>WWWW[[#This Row],['#_Water_Liters_from_Constructed/Existing water distribution system from river or natural spring]]/90/15</f>
        <v>0</v>
      </c>
      <c r="CH473" s="473">
        <f>WWWW[[#This Row],['#_of water points in TLS/CFS /THF]]*500</f>
        <v>0</v>
      </c>
      <c r="CI47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3" s="866">
        <f>IF(WWWW[[#This Row],[Location Type 1]]="Village",WWWW[[#This Row],[Access to safe drinking water for Village]],WWWW[[#This Row],[Access to safe drinking water for Camp]])</f>
        <v>1</v>
      </c>
      <c r="CL473" s="864">
        <f>WWWW[[#This Row],[%Equitable and continuous access to sufficient quantity of safe drinking water]]*WWWW[[#This Row],[Total PoP ]]</f>
        <v>52</v>
      </c>
      <c r="CM473" s="866">
        <f>IF((WWWW[[#This Row],['#_Constructed/Existing protected/fenced ponds]]*250)/WWWW[[#This Row],[Total PoP ]]&gt;1,1,(WWWW[[#This Row],['#_Constructed/Existing protected/fenced ponds]]*250)/WWWW[[#This Row],[Total PoP ]])</f>
        <v>0</v>
      </c>
      <c r="CN473" s="864">
        <f>WWWW[[#This Row],[% Access to unimproved water points]]*WWWW[[#This Row],[Total PoP ]]</f>
        <v>0</v>
      </c>
      <c r="CO47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Q473" s="864">
        <f>WWWW[[#This Row],[HRP1]]/500</f>
        <v>0.104</v>
      </c>
      <c r="CR473" s="869">
        <f>1-WWWW[[#This Row],[% Equitable and continuous access to sufficient quantity of domestic water]]</f>
        <v>0</v>
      </c>
      <c r="CS473" s="864">
        <f>WWWW[[#This Row],[%equitable and continuous access to sufficient quantity of safe drinking and domestic water''s GAP]]*WWWW[[#This Row],[Total PoP ]]</f>
        <v>0</v>
      </c>
      <c r="CT473" s="867">
        <f>IF(WWWW[[#This Row],[Total required water points]]-WWWW[[#This Row],['#Water points coverage]]&lt;0,0,WWWW[[#This Row],[Total required water points]]-WWWW[[#This Row],['#Water points coverage]])</f>
        <v>0.89600000000000002</v>
      </c>
      <c r="CU473" s="867">
        <f>ROUND(IF(WWWW[[#This Row],[Total PoP ]]&lt;500,1,WWWW[[#This Row],[Total PoP ]]/500),0)</f>
        <v>1</v>
      </c>
      <c r="CV473" s="867">
        <f>(WWWW[[#This Row],['#_Constructed latrines_by_WASHAgencies]]+WWWW[[#This Row],['#_Non Cluster partner latrines]])-WWWW[[#This Row],['#_Non-functional latrines]]</f>
        <v>7</v>
      </c>
      <c r="CW473" s="804">
        <f>WWWW[[#This Row],[HRP2]]/WWWW[[#This Row],[Total PoP ]]</f>
        <v>1</v>
      </c>
      <c r="CX47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CY47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3" s="473">
        <f>IF(WWWW[[#This Row],['# of functional latrines in THF supported by WASH partners during the reporting period2]]="",0,WWWW[[#This Row],['# of functional latrines in THF supported by WASH partners during the reporting period2]]*50)</f>
        <v>0</v>
      </c>
      <c r="DB473" s="473">
        <f>WWWW[[#This Row],['# students access to functioning school latrines_HRP5]]+WWWW[[#This Row],['# People access to functioning latrines in THF_HRP5]]</f>
        <v>0</v>
      </c>
      <c r="DC473" s="867">
        <f>ROUND(IF(WWWW[[#This Row],[Location Type 1]]="camp",WWWW[[#This Row],[Total PoP ]]/20,IF(WWWW[[#This Row],[Location Type 1]]="Temporary Location",WWWW[[#This Row],[Total PoP ]]/50,(WWWW[[#This Row],[Total PoP ]]/6))),0)</f>
        <v>3</v>
      </c>
      <c r="DD473" s="867">
        <f>IF(WWWW[[#This Row],[Total required Latrines]]-(WWWW[[#This Row],['#_Constructed latrines_by_WASHAgencies]]+WWWW[[#This Row],['#_Non Cluster partner latrines]])&lt;0,0,WWWW[[#This Row],[Total required Latrines]]-(WWWW[[#This Row],['#_Constructed latrines_by_WASHAgencies]]+WWWW[[#This Row],['#_Non Cluster partner latrines]]))</f>
        <v>0</v>
      </c>
      <c r="DE473" s="869">
        <f>1-WWWW[[#This Row],[% people access to functioning Latrine]]</f>
        <v>0</v>
      </c>
      <c r="DF473" s="868">
        <f>IF(OR(WWWW[[#This Row],['#_Non-functional latrines]]="",WWWW[[#This Row],['#_Non-functional latrines]]=0),0,WWWW[[#This Row],['#_Non-functional latrines]]/(WWWW[[#This Row],['#_Constructed latrines_by_WASHAgencies]]+WWWW[[#This Row],['#_Non Cluster partner latrines]]))</f>
        <v>0</v>
      </c>
      <c r="DG473" s="864">
        <f>IF(500*(WWWW[[#This Row],['#_male hygiene promoters]]+WWWW[[#This Row],['#_female hygiene promoters]])&gt;WWWW[[#This Row],[Total PoP ]],WWWW[[#This Row],[Total PoP ]],500*(WWWW[[#This Row],['#_male hygiene promoters]]+WWWW[[#This Row],['#_female hygiene promoters]]))</f>
        <v>52</v>
      </c>
      <c r="DH47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7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3" s="867">
        <f>IF(WWWW[[#This Row],['# People with access to soap]]&gt;WWWW[[#This Row],['# People with access to Sanity Pads]],WWWW[[#This Row],['# People with access to soap]],WWWW[[#This Row],['# People with access to Sanity Pads]])</f>
        <v>0</v>
      </c>
      <c r="DK473" s="867">
        <f>IF(WWWW[[#This Row],['# people reached by regular dedicated hygiene promotion_5]]&gt;WWWW[[#This Row],['# People received regular supply of hygiene items_6]],WWWW[[#This Row],['# people reached by regular dedicated hygiene promotion_5]],WWWW[[#This Row],['# People received regular supply of hygiene items_6]])</f>
        <v>52</v>
      </c>
      <c r="DL473" s="869">
        <f>IF(WWWW[[#This Row],[HRP3]]/WWWW[[#This Row],[Total PoP ]]&gt;1,1,WWWW[[#This Row],[HRP3]]/WWWW[[#This Row],[Total PoP ]])</f>
        <v>1</v>
      </c>
      <c r="DM473" s="868">
        <f>1-WWWW[[#This Row],[Hygiene Coverage%]]</f>
        <v>0</v>
      </c>
      <c r="DN473" s="866">
        <f>WWWW[[#This Row],['# people reached by regular dedicated hygiene promotion_5]]/WWWW[[#This Row],[Total PoP ]]</f>
        <v>1</v>
      </c>
      <c r="DO47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7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3" s="867">
        <f>WWWW[[#This Row],['#_Constructed/Existing hand washing stations]]-WWWW[[#This Row],['#_Non-Functional_hand_washing_stations]]</f>
        <v>0</v>
      </c>
      <c r="DR473" s="864">
        <f>IF(WWWW[[#This Row],['# Functional hand washing stations during reporting period]]*20&gt;WWWW[[#This Row],[Total HH]],WWWW[[#This Row],[Total HH]],WWWW[[#This Row],['# Functional hand washing stations during reporting period]]*20)</f>
        <v>0</v>
      </c>
      <c r="DS473" s="864">
        <f>IF(WWWW[[#This Row],[Is sufficient soap available for TLS? (Yes/No)]]="yes",WWWW[[#This Row],['#_Constructed/Existing hand washing stations at TLS]],0)</f>
        <v>0</v>
      </c>
      <c r="DT473" s="479">
        <f>IF(WWWW[[#This Row],['# Functional hand washing stations during reporting period]]*100&gt;WWWW[[#This Row],[Total PoP ]],WWWW[[#This Row],[Total PoP ]],WWWW[[#This Row],['# Functional hand washing stations during reporting period]]*100)</f>
        <v>0</v>
      </c>
      <c r="DU473" s="479" t="str">
        <f>IF(OR(WWWW[[#This Row],['#_students at TLS_CFS]]="",WWWW[[#This Row],['#_students at TLS_CFS]]=0),"No","Yes")</f>
        <v>No</v>
      </c>
      <c r="DV47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3" s="862" t="str">
        <f>VLOOKUP(WWWW[[#This Row],[Site Name]],SiteDB6[[Site Name]:[CCCM Management]],6,FALSE)</f>
        <v>Yes</v>
      </c>
      <c r="DZ473" s="862" t="str">
        <f>VLOOKUP(WWWW[[#This Row],[Site Name]],SiteDB6[[Site Name]:[CCCM Focal Agency]],7,FALSE)</f>
        <v>KMSS-MYT</v>
      </c>
      <c r="EA473" s="862" t="str">
        <f>VLOOKUP(WWWW[[#This Row],[Site Name]],SiteDB6[[Site Name]:[Location Type 1]],9,FALSE)</f>
        <v>Camp</v>
      </c>
      <c r="EB473" s="862" t="str">
        <f>VLOOKUP(WWWW[[#This Row],[Site Name]],SiteDB6[[Site Name]:[Type of Accommodation]],10,FALSE)</f>
        <v>Camp</v>
      </c>
      <c r="EC473" s="862" t="str">
        <f>VLOOKUP(WWWW[[#This Row],[Site Name]],SiteDB6[[Site Name]:[Ethnic or GCA/NGCA]],11,FALSE)</f>
        <v>GCA</v>
      </c>
      <c r="ED473" s="862">
        <f>VLOOKUP(WWWW[[#This Row],[Site Name]],SiteDB6[[Site Name]:[Lat]],12,FALSE)</f>
        <v>24.764800000000001</v>
      </c>
      <c r="EE473" s="862">
        <f>VLOOKUP(WWWW[[#This Row],[Site Name]],SiteDB6[[Site Name]:[Long]],13,FALSE)</f>
        <v>96.367059999999995</v>
      </c>
      <c r="EF473" s="862" t="str">
        <f>VLOOKUP(WWWW[[#This Row],[Site Name]],SiteDB6[[Site Name]:[Pcode]],3,FALSE)</f>
        <v>MMR001CMP080</v>
      </c>
      <c r="EG473" s="865" t="str">
        <f t="shared" si="13"/>
        <v>Covered</v>
      </c>
      <c r="EH473" s="865" t="str">
        <f>VLOOKUP(WWWW[[#This Row],[Site Name]],Site_DB!$C$389:$D$1120,2,FALSE)</f>
        <v>cccm_2019OCT</v>
      </c>
    </row>
    <row r="474" spans="1:138">
      <c r="A474" s="860" t="s">
        <v>3263</v>
      </c>
      <c r="B474" s="860" t="s">
        <v>195</v>
      </c>
      <c r="C474" s="861" t="s">
        <v>195</v>
      </c>
      <c r="D474" s="861" t="s">
        <v>3643</v>
      </c>
      <c r="E474" s="861" t="s">
        <v>39</v>
      </c>
      <c r="F474" s="861" t="s">
        <v>198</v>
      </c>
      <c r="G474" s="721" t="str">
        <f>VLOOKUP(WWWW[[#This Row],[Site Name]],SiteDB6[[Site Name]:[Location Type]],8,FALSE)</f>
        <v>Camp</v>
      </c>
      <c r="H474" s="861" t="s">
        <v>199</v>
      </c>
      <c r="I474" s="851">
        <v>11</v>
      </c>
      <c r="J474" s="851">
        <v>55</v>
      </c>
      <c r="K474" s="863" t="s">
        <v>3611</v>
      </c>
      <c r="L474" s="859" t="s">
        <v>3612</v>
      </c>
      <c r="M474" s="851"/>
      <c r="N474" s="851"/>
      <c r="O474" s="851"/>
      <c r="P474" s="851"/>
      <c r="Q474" s="864" t="s">
        <v>139</v>
      </c>
      <c r="R474" s="851"/>
      <c r="S474" s="851">
        <v>1</v>
      </c>
      <c r="T474" s="523"/>
      <c r="U474" s="851"/>
      <c r="V474" s="851"/>
      <c r="W474" s="851"/>
      <c r="X474" s="851">
        <v>1</v>
      </c>
      <c r="Y474" s="851"/>
      <c r="Z474" s="851"/>
      <c r="AA474" s="851"/>
      <c r="AB474" s="851"/>
      <c r="AC474" s="851"/>
      <c r="AD474" s="851"/>
      <c r="AE474" s="851"/>
      <c r="AF474" s="851"/>
      <c r="AG474" s="851"/>
      <c r="AH474" s="851"/>
      <c r="AI474" s="851"/>
      <c r="AJ474" s="851"/>
      <c r="AK474" s="851"/>
      <c r="AL474" s="851"/>
      <c r="AM474" s="851"/>
      <c r="AN474" s="851"/>
      <c r="AO474" s="865"/>
      <c r="AP474" s="851">
        <v>2</v>
      </c>
      <c r="AQ474" s="851"/>
      <c r="AR474" s="866"/>
      <c r="AS474" s="851"/>
      <c r="AT474" s="851"/>
      <c r="AU474" s="851"/>
      <c r="AV474" s="851"/>
      <c r="AW474" s="851"/>
      <c r="AX474" s="862" t="s">
        <v>43</v>
      </c>
      <c r="AY474" s="865" t="s">
        <v>143</v>
      </c>
      <c r="AZ474" s="851"/>
      <c r="BA474" s="851"/>
      <c r="BB474" s="851"/>
      <c r="BC474" s="523"/>
      <c r="BD474" s="523"/>
      <c r="BE474" s="862"/>
      <c r="BF474" s="851">
        <v>1</v>
      </c>
      <c r="BG474" s="851"/>
      <c r="BH474" s="851"/>
      <c r="BI474" s="851">
        <v>1</v>
      </c>
      <c r="BJ474" s="851"/>
      <c r="BK474" s="851"/>
      <c r="BL474" s="851">
        <v>1</v>
      </c>
      <c r="BM474" s="851">
        <v>11</v>
      </c>
      <c r="BN474" s="851"/>
      <c r="BO474" s="862"/>
      <c r="BP474" s="867"/>
      <c r="BQ474" s="866"/>
      <c r="BR474" s="806" t="s">
        <v>3645</v>
      </c>
      <c r="BS474" s="472"/>
      <c r="BT474" s="472"/>
      <c r="BU474" s="474"/>
      <c r="BV474" s="472"/>
      <c r="BW474" s="523"/>
      <c r="BX474" s="523"/>
      <c r="BY474" s="523"/>
      <c r="BZ474" s="868" t="str">
        <f>IFERROR(WWWW[[#This Row],['#_Water sources passed]]/WWWW[[#This Row],['#_Water sources tested for fecal coliform ]],"no test")</f>
        <v>no test</v>
      </c>
      <c r="CA474" s="866" t="str">
        <f>IFERROR(WWWW[[#This Row],['#_Household passed]]/WWWW[[#This Row],['#_Household water samples tested for fecal coliform]],"no test")</f>
        <v>no test</v>
      </c>
      <c r="CB474" s="867" t="str">
        <f>IF(AND(WWWW[[#This Row],[% of water sources passed]]="no test",WWWW[[#This Row],[% Household passed]]="no test"),"No Test","Tested")</f>
        <v>No Test</v>
      </c>
      <c r="CC474" s="867">
        <f>WWWW[[#This Row],['#_Constructed/existing protected hand dug well]]-WWWW[[#This Row],['#_Non-functional protected hand dug well]]</f>
        <v>0</v>
      </c>
      <c r="CD474" s="867">
        <f>(WWWW[[#This Row],['#_Constructed/Existing tube wells/boreholes/handpumps_WASH_agency]]+WWWW[[#This Row],['#_Non-Cluster partner water tube-wells/boreholes/handpumps]])-WWWW[[#This Row],['#_Non-functional tube wells/boreholes/handpumps]]</f>
        <v>1</v>
      </c>
      <c r="CE474" s="867">
        <f>WWWW[[#This Row],['#_Constructed/Existingwater storage tank with gravity fed reticulation system]]-WWWW[[#This Row],['#_Non-functional storage tank gravity fed reticulation system]]</f>
        <v>0</v>
      </c>
      <c r="CF474" s="867">
        <f>(WWWW[[#This Row],['#_Water_Liters_supplied_by_Water boating or water trucking]]/90)/15</f>
        <v>0</v>
      </c>
      <c r="CG474" s="867">
        <f>WWWW[[#This Row],['#_Water_Liters_from_Constructed/Existing water distribution system from river or natural spring]]/90/15</f>
        <v>0</v>
      </c>
      <c r="CH474" s="473">
        <f>WWWW[[#This Row],['#_of water points in TLS/CFS /THF]]*500</f>
        <v>0</v>
      </c>
      <c r="CI47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4" s="866">
        <f>IF(WWWW[[#This Row],[Location Type 1]]="Village",WWWW[[#This Row],[Access to safe drinking water for Village]],WWWW[[#This Row],[Access to safe drinking water for Camp]])</f>
        <v>1</v>
      </c>
      <c r="CL474" s="864">
        <f>WWWW[[#This Row],[%Equitable and continuous access to sufficient quantity of safe drinking water]]*WWWW[[#This Row],[Total PoP ]]</f>
        <v>55</v>
      </c>
      <c r="CM474" s="866">
        <f>IF((WWWW[[#This Row],['#_Constructed/Existing protected/fenced ponds]]*250)/WWWW[[#This Row],[Total PoP ]]&gt;1,1,(WWWW[[#This Row],['#_Constructed/Existing protected/fenced ponds]]*250)/WWWW[[#This Row],[Total PoP ]])</f>
        <v>0</v>
      </c>
      <c r="CN474" s="864">
        <f>WWWW[[#This Row],[% Access to unimproved water points]]*WWWW[[#This Row],[Total PoP ]]</f>
        <v>0</v>
      </c>
      <c r="CO47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v>
      </c>
      <c r="CQ474" s="864">
        <f>WWWW[[#This Row],[HRP1]]/500</f>
        <v>0.11</v>
      </c>
      <c r="CR474" s="869">
        <f>1-WWWW[[#This Row],[% Equitable and continuous access to sufficient quantity of domestic water]]</f>
        <v>0</v>
      </c>
      <c r="CS474" s="864">
        <f>WWWW[[#This Row],[%equitable and continuous access to sufficient quantity of safe drinking and domestic water''s GAP]]*WWWW[[#This Row],[Total PoP ]]</f>
        <v>0</v>
      </c>
      <c r="CT474" s="867">
        <f>IF(WWWW[[#This Row],[Total required water points]]-WWWW[[#This Row],['#Water points coverage]]&lt;0,0,WWWW[[#This Row],[Total required water points]]-WWWW[[#This Row],['#Water points coverage]])</f>
        <v>0.89</v>
      </c>
      <c r="CU474" s="867">
        <f>ROUND(IF(WWWW[[#This Row],[Total PoP ]]&lt;500,1,WWWW[[#This Row],[Total PoP ]]/500),0)</f>
        <v>1</v>
      </c>
      <c r="CV474" s="867">
        <f>(WWWW[[#This Row],['#_Constructed latrines_by_WASHAgencies]]+WWWW[[#This Row],['#_Non Cluster partner latrines]])-WWWW[[#This Row],['#_Non-functional latrines]]</f>
        <v>2</v>
      </c>
      <c r="CW474" s="804">
        <f>WWWW[[#This Row],[HRP2]]/WWWW[[#This Row],[Total PoP ]]</f>
        <v>0.72727272727272729</v>
      </c>
      <c r="CX47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47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4" s="473">
        <f>IF(WWWW[[#This Row],['# of functional latrines in THF supported by WASH partners during the reporting period2]]="",0,WWWW[[#This Row],['# of functional latrines in THF supported by WASH partners during the reporting period2]]*50)</f>
        <v>0</v>
      </c>
      <c r="DB474" s="473">
        <f>WWWW[[#This Row],['# students access to functioning school latrines_HRP5]]+WWWW[[#This Row],['# People access to functioning latrines in THF_HRP5]]</f>
        <v>0</v>
      </c>
      <c r="DC474" s="867">
        <f>ROUND(IF(WWWW[[#This Row],[Location Type 1]]="camp",WWWW[[#This Row],[Total PoP ]]/20,IF(WWWW[[#This Row],[Location Type 1]]="Temporary Location",WWWW[[#This Row],[Total PoP ]]/50,(WWWW[[#This Row],[Total PoP ]]/6))),0)</f>
        <v>3</v>
      </c>
      <c r="DD474" s="867">
        <f>IF(WWWW[[#This Row],[Total required Latrines]]-(WWWW[[#This Row],['#_Constructed latrines_by_WASHAgencies]]+WWWW[[#This Row],['#_Non Cluster partner latrines]])&lt;0,0,WWWW[[#This Row],[Total required Latrines]]-(WWWW[[#This Row],['#_Constructed latrines_by_WASHAgencies]]+WWWW[[#This Row],['#_Non Cluster partner latrines]]))</f>
        <v>1</v>
      </c>
      <c r="DE474" s="869">
        <f>1-WWWW[[#This Row],[% people access to functioning Latrine]]</f>
        <v>0.27272727272727271</v>
      </c>
      <c r="DF474" s="868">
        <f>IF(OR(WWWW[[#This Row],['#_Non-functional latrines]]="",WWWW[[#This Row],['#_Non-functional latrines]]=0),0,WWWW[[#This Row],['#_Non-functional latrines]]/(WWWW[[#This Row],['#_Constructed latrines_by_WASHAgencies]]+WWWW[[#This Row],['#_Non Cluster partner latrines]]))</f>
        <v>0</v>
      </c>
      <c r="DG474" s="864">
        <f>IF(500*(WWWW[[#This Row],['#_male hygiene promoters]]+WWWW[[#This Row],['#_female hygiene promoters]])&gt;WWWW[[#This Row],[Total PoP ]],WWWW[[#This Row],[Total PoP ]],500*(WWWW[[#This Row],['#_male hygiene promoters]]+WWWW[[#This Row],['#_female hygiene promoters]]))</f>
        <v>55</v>
      </c>
      <c r="DH47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55</v>
      </c>
      <c r="DI47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4" s="867">
        <f>IF(WWWW[[#This Row],['# People with access to soap]]&gt;WWWW[[#This Row],['# People with access to Sanity Pads]],WWWW[[#This Row],['# People with access to soap]],WWWW[[#This Row],['# People with access to Sanity Pads]])</f>
        <v>55</v>
      </c>
      <c r="DK474" s="867">
        <f>IF(WWWW[[#This Row],['# people reached by regular dedicated hygiene promotion_5]]&gt;WWWW[[#This Row],['# People received regular supply of hygiene items_6]],WWWW[[#This Row],['# people reached by regular dedicated hygiene promotion_5]],WWWW[[#This Row],['# People received regular supply of hygiene items_6]])</f>
        <v>55</v>
      </c>
      <c r="DL474" s="869">
        <f>IF(WWWW[[#This Row],[HRP3]]/WWWW[[#This Row],[Total PoP ]]&gt;1,1,WWWW[[#This Row],[HRP3]]/WWWW[[#This Row],[Total PoP ]])</f>
        <v>1</v>
      </c>
      <c r="DM474" s="868">
        <f>1-WWWW[[#This Row],[Hygiene Coverage%]]</f>
        <v>0</v>
      </c>
      <c r="DN474" s="866">
        <f>WWWW[[#This Row],['# people reached by regular dedicated hygiene promotion_5]]/WWWW[[#This Row],[Total PoP ]]</f>
        <v>1</v>
      </c>
      <c r="DO47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4" s="867">
        <f>WWWW[[#This Row],['#_Constructed/Existing hand washing stations]]-WWWW[[#This Row],['#_Non-Functional_hand_washing_stations]]</f>
        <v>1</v>
      </c>
      <c r="DR474" s="864">
        <f>IF(WWWW[[#This Row],['# Functional hand washing stations during reporting period]]*20&gt;WWWW[[#This Row],[Total HH]],WWWW[[#This Row],[Total HH]],WWWW[[#This Row],['# Functional hand washing stations during reporting period]]*20)</f>
        <v>11</v>
      </c>
      <c r="DS474" s="864">
        <f>IF(WWWW[[#This Row],[Is sufficient soap available for TLS? (Yes/No)]]="yes",WWWW[[#This Row],['#_Constructed/Existing hand washing stations at TLS]],0)</f>
        <v>0</v>
      </c>
      <c r="DT474" s="479">
        <f>IF(WWWW[[#This Row],['# Functional hand washing stations during reporting period]]*100&gt;WWWW[[#This Row],[Total PoP ]],WWWW[[#This Row],[Total PoP ]],WWWW[[#This Row],['# Functional hand washing stations during reporting period]]*100)</f>
        <v>55</v>
      </c>
      <c r="DU474" s="479" t="str">
        <f>IF(OR(WWWW[[#This Row],['#_students at TLS_CFS]]="",WWWW[[#This Row],['#_students at TLS_CFS]]=0),"No","Yes")</f>
        <v>No</v>
      </c>
      <c r="DV47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4" s="862" t="str">
        <f>VLOOKUP(WWWW[[#This Row],[Site Name]],SiteDB6[[Site Name]:[CCCM Management]],6,FALSE)</f>
        <v>Yes</v>
      </c>
      <c r="DZ474" s="862" t="str">
        <f>VLOOKUP(WWWW[[#This Row],[Site Name]],SiteDB6[[Site Name]:[CCCM Focal Agency]],7,FALSE)</f>
        <v>KBC-BMO</v>
      </c>
      <c r="EA474" s="862" t="str">
        <f>VLOOKUP(WWWW[[#This Row],[Site Name]],SiteDB6[[Site Name]:[Location Type 1]],9,FALSE)</f>
        <v>Camp</v>
      </c>
      <c r="EB474" s="862" t="str">
        <f>VLOOKUP(WWWW[[#This Row],[Site Name]],SiteDB6[[Site Name]:[Type of Accommodation]],10,FALSE)</f>
        <v>Camp</v>
      </c>
      <c r="EC474" s="862" t="str">
        <f>VLOOKUP(WWWW[[#This Row],[Site Name]],SiteDB6[[Site Name]:[Ethnic or GCA/NGCA]],11,FALSE)</f>
        <v>GCA</v>
      </c>
      <c r="ED474" s="862">
        <f>VLOOKUP(WWWW[[#This Row],[Site Name]],SiteDB6[[Site Name]:[Lat]],12,FALSE)</f>
        <v>24.260466999999998</v>
      </c>
      <c r="EE474" s="862">
        <f>VLOOKUP(WWWW[[#This Row],[Site Name]],SiteDB6[[Site Name]:[Long]],13,FALSE)</f>
        <v>97.252650000000003</v>
      </c>
      <c r="EF474" s="862" t="str">
        <f>VLOOKUP(WWWW[[#This Row],[Site Name]],SiteDB6[[Site Name]:[Pcode]],3,FALSE)</f>
        <v>MMR001CMP194</v>
      </c>
      <c r="EG474" s="865" t="str">
        <f t="shared" si="13"/>
        <v>Covered</v>
      </c>
      <c r="EH474" s="865" t="str">
        <f>VLOOKUP(WWWW[[#This Row],[Site Name]],Site_DB!$C$389:$D$1120,2,FALSE)</f>
        <v>cccm_2019OCT</v>
      </c>
    </row>
    <row r="475" spans="1:138">
      <c r="A475" s="860" t="s">
        <v>3263</v>
      </c>
      <c r="B475" s="860" t="s">
        <v>195</v>
      </c>
      <c r="C475" s="861" t="s">
        <v>195</v>
      </c>
      <c r="D475" s="861" t="s">
        <v>3630</v>
      </c>
      <c r="E475" s="861" t="s">
        <v>711</v>
      </c>
      <c r="F475" s="861" t="s">
        <v>1267</v>
      </c>
      <c r="G475" s="721" t="str">
        <f>VLOOKUP(WWWW[[#This Row],[Site Name]],SiteDB6[[Site Name]:[Location Type]],8,FALSE)</f>
        <v>Camp_not registered</v>
      </c>
      <c r="H475" s="861" t="s">
        <v>3034</v>
      </c>
      <c r="I475" s="851">
        <v>23</v>
      </c>
      <c r="J475" s="851">
        <v>95</v>
      </c>
      <c r="K475" s="717" t="s">
        <v>3636</v>
      </c>
      <c r="L475" s="718" t="s">
        <v>3637</v>
      </c>
      <c r="M475" s="851"/>
      <c r="N475" s="851"/>
      <c r="O475" s="851"/>
      <c r="P475" s="851"/>
      <c r="Q475" s="864" t="s">
        <v>43</v>
      </c>
      <c r="R475" s="851">
        <v>5</v>
      </c>
      <c r="S475" s="851">
        <v>1</v>
      </c>
      <c r="T475" s="523">
        <v>1</v>
      </c>
      <c r="U475" s="851"/>
      <c r="V475" s="851"/>
      <c r="W475" s="851"/>
      <c r="X475" s="851"/>
      <c r="Y475" s="851"/>
      <c r="Z475" s="851"/>
      <c r="AA475" s="851"/>
      <c r="AB475" s="851"/>
      <c r="AC475" s="851"/>
      <c r="AD475" s="851"/>
      <c r="AE475" s="851"/>
      <c r="AF475" s="851"/>
      <c r="AG475" s="851"/>
      <c r="AH475" s="851"/>
      <c r="AI475" s="851"/>
      <c r="AJ475" s="851"/>
      <c r="AK475" s="851"/>
      <c r="AL475" s="851"/>
      <c r="AM475" s="851"/>
      <c r="AN475" s="851"/>
      <c r="AO475" s="865"/>
      <c r="AP475" s="851">
        <v>23</v>
      </c>
      <c r="AQ475" s="851"/>
      <c r="AR475" s="866"/>
      <c r="AS475" s="851"/>
      <c r="AT475" s="851"/>
      <c r="AU475" s="851"/>
      <c r="AV475" s="851"/>
      <c r="AW475" s="851"/>
      <c r="AX475" s="862" t="s">
        <v>143</v>
      </c>
      <c r="AY475" s="865" t="s">
        <v>143</v>
      </c>
      <c r="AZ475" s="851"/>
      <c r="BA475" s="851"/>
      <c r="BB475" s="851"/>
      <c r="BC475" s="523"/>
      <c r="BD475" s="523"/>
      <c r="BE475" s="862"/>
      <c r="BF475" s="851"/>
      <c r="BG475" s="851"/>
      <c r="BH475" s="851"/>
      <c r="BI475" s="851"/>
      <c r="BJ475" s="851"/>
      <c r="BK475" s="851"/>
      <c r="BL475" s="851"/>
      <c r="BM475" s="851">
        <v>23</v>
      </c>
      <c r="BN475" s="851"/>
      <c r="BO475" s="862"/>
      <c r="BP475" s="867"/>
      <c r="BQ475" s="866"/>
      <c r="BR475" s="862"/>
      <c r="BS475" s="472"/>
      <c r="BT475" s="472"/>
      <c r="BU475" s="474"/>
      <c r="BV475" s="472"/>
      <c r="BW475" s="523"/>
      <c r="BX475" s="523"/>
      <c r="BY475" s="523"/>
      <c r="BZ475" s="868" t="str">
        <f>IFERROR(WWWW[[#This Row],['#_Water sources passed]]/WWWW[[#This Row],['#_Water sources tested for fecal coliform ]],"no test")</f>
        <v>no test</v>
      </c>
      <c r="CA475" s="866" t="str">
        <f>IFERROR(WWWW[[#This Row],['#_Household passed]]/WWWW[[#This Row],['#_Household water samples tested for fecal coliform]],"no test")</f>
        <v>no test</v>
      </c>
      <c r="CB475" s="867" t="str">
        <f>IF(AND(WWWW[[#This Row],[% of water sources passed]]="no test",WWWW[[#This Row],[% Household passed]]="no test"),"No Test","Tested")</f>
        <v>No Test</v>
      </c>
      <c r="CC475" s="867">
        <f>WWWW[[#This Row],['#_Constructed/existing protected hand dug well]]-WWWW[[#This Row],['#_Non-functional protected hand dug well]]</f>
        <v>1</v>
      </c>
      <c r="CD475" s="867">
        <f>(WWWW[[#This Row],['#_Constructed/Existing tube wells/boreholes/handpumps_WASH_agency]]+WWWW[[#This Row],['#_Non-Cluster partner water tube-wells/boreholes/handpumps]])-WWWW[[#This Row],['#_Non-functional tube wells/boreholes/handpumps]]</f>
        <v>0</v>
      </c>
      <c r="CE475" s="867">
        <f>WWWW[[#This Row],['#_Constructed/Existingwater storage tank with gravity fed reticulation system]]-WWWW[[#This Row],['#_Non-functional storage tank gravity fed reticulation system]]</f>
        <v>0</v>
      </c>
      <c r="CF475" s="867">
        <f>(WWWW[[#This Row],['#_Water_Liters_supplied_by_Water boating or water trucking]]/90)/15</f>
        <v>0</v>
      </c>
      <c r="CG475" s="867">
        <f>WWWW[[#This Row],['#_Water_Liters_from_Constructed/Existing water distribution system from river or natural spring]]/90/15</f>
        <v>0</v>
      </c>
      <c r="CH475" s="473">
        <f>WWWW[[#This Row],['#_of water points in TLS/CFS /THF]]*500</f>
        <v>0</v>
      </c>
      <c r="CI47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5" s="866">
        <f>IF(WWWW[[#This Row],[Location Type 1]]="Village",WWWW[[#This Row],[Access to safe drinking water for Village]],WWWW[[#This Row],[Access to safe drinking water for Camp]])</f>
        <v>1</v>
      </c>
      <c r="CL475" s="864">
        <f>WWWW[[#This Row],[%Equitable and continuous access to sufficient quantity of safe drinking water]]*WWWW[[#This Row],[Total PoP ]]</f>
        <v>95</v>
      </c>
      <c r="CM475" s="866">
        <f>IF((WWWW[[#This Row],['#_Constructed/Existing protected/fenced ponds]]*250)/WWWW[[#This Row],[Total PoP ]]&gt;1,1,(WWWW[[#This Row],['#_Constructed/Existing protected/fenced ponds]]*250)/WWWW[[#This Row],[Total PoP ]])</f>
        <v>0</v>
      </c>
      <c r="CN475" s="864">
        <f>WWWW[[#This Row],[% Access to unimproved water points]]*WWWW[[#This Row],[Total PoP ]]</f>
        <v>0</v>
      </c>
      <c r="CO47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v>
      </c>
      <c r="CQ475" s="864">
        <f>WWWW[[#This Row],[HRP1]]/500</f>
        <v>0.19</v>
      </c>
      <c r="CR475" s="869">
        <f>1-WWWW[[#This Row],[% Equitable and continuous access to sufficient quantity of domestic water]]</f>
        <v>0</v>
      </c>
      <c r="CS475" s="864">
        <f>WWWW[[#This Row],[%equitable and continuous access to sufficient quantity of safe drinking and domestic water''s GAP]]*WWWW[[#This Row],[Total PoP ]]</f>
        <v>0</v>
      </c>
      <c r="CT475" s="867">
        <f>IF(WWWW[[#This Row],[Total required water points]]-WWWW[[#This Row],['#Water points coverage]]&lt;0,0,WWWW[[#This Row],[Total required water points]]-WWWW[[#This Row],['#Water points coverage]])</f>
        <v>0.81</v>
      </c>
      <c r="CU475" s="867">
        <f>ROUND(IF(WWWW[[#This Row],[Total PoP ]]&lt;500,1,WWWW[[#This Row],[Total PoP ]]/500),0)</f>
        <v>1</v>
      </c>
      <c r="CV475" s="867">
        <f>(WWWW[[#This Row],['#_Constructed latrines_by_WASHAgencies]]+WWWW[[#This Row],['#_Non Cluster partner latrines]])-WWWW[[#This Row],['#_Non-functional latrines]]</f>
        <v>23</v>
      </c>
      <c r="CW475" s="804">
        <f>WWWW[[#This Row],[HRP2]]/WWWW[[#This Row],[Total PoP ]]</f>
        <v>1</v>
      </c>
      <c r="CX47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v>
      </c>
      <c r="CY47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5" s="473">
        <f>IF(WWWW[[#This Row],['# of functional latrines in THF supported by WASH partners during the reporting period2]]="",0,WWWW[[#This Row],['# of functional latrines in THF supported by WASH partners during the reporting period2]]*50)</f>
        <v>0</v>
      </c>
      <c r="DB475" s="473">
        <f>WWWW[[#This Row],['# students access to functioning school latrines_HRP5]]+WWWW[[#This Row],['# People access to functioning latrines in THF_HRP5]]</f>
        <v>0</v>
      </c>
      <c r="DC475" s="867">
        <f>ROUND(IF(WWWW[[#This Row],[Location Type 1]]="camp",WWWW[[#This Row],[Total PoP ]]/20,IF(WWWW[[#This Row],[Location Type 1]]="Temporary Location",WWWW[[#This Row],[Total PoP ]]/50,(WWWW[[#This Row],[Total PoP ]]/6))),0)</f>
        <v>5</v>
      </c>
      <c r="DD475" s="867">
        <f>IF(WWWW[[#This Row],[Total required Latrines]]-(WWWW[[#This Row],['#_Constructed latrines_by_WASHAgencies]]+WWWW[[#This Row],['#_Non Cluster partner latrines]])&lt;0,0,WWWW[[#This Row],[Total required Latrines]]-(WWWW[[#This Row],['#_Constructed latrines_by_WASHAgencies]]+WWWW[[#This Row],['#_Non Cluster partner latrines]]))</f>
        <v>0</v>
      </c>
      <c r="DE475" s="869">
        <f>1-WWWW[[#This Row],[% people access to functioning Latrine]]</f>
        <v>0</v>
      </c>
      <c r="DF475" s="868">
        <f>IF(OR(WWWW[[#This Row],['#_Non-functional latrines]]="",WWWW[[#This Row],['#_Non-functional latrines]]=0),0,WWWW[[#This Row],['#_Non-functional latrines]]/(WWWW[[#This Row],['#_Constructed latrines_by_WASHAgencies]]+WWWW[[#This Row],['#_Non Cluster partner latrines]]))</f>
        <v>0</v>
      </c>
      <c r="DG475" s="864">
        <f>IF(500*(WWWW[[#This Row],['#_male hygiene promoters]]+WWWW[[#This Row],['#_female hygiene promoters]])&gt;WWWW[[#This Row],[Total PoP ]],WWWW[[#This Row],[Total PoP ]],500*(WWWW[[#This Row],['#_male hygiene promoters]]+WWWW[[#This Row],['#_female hygiene promoters]]))</f>
        <v>0</v>
      </c>
      <c r="DH47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I47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5" s="867">
        <f>IF(WWWW[[#This Row],['# People with access to soap]]&gt;WWWW[[#This Row],['# People with access to Sanity Pads]],WWWW[[#This Row],['# People with access to soap]],WWWW[[#This Row],['# People with access to Sanity Pads]])</f>
        <v>95</v>
      </c>
      <c r="DK475" s="867">
        <f>IF(WWWW[[#This Row],['# people reached by regular dedicated hygiene promotion_5]]&gt;WWWW[[#This Row],['# People received regular supply of hygiene items_6]],WWWW[[#This Row],['# people reached by regular dedicated hygiene promotion_5]],WWWW[[#This Row],['# People received regular supply of hygiene items_6]])</f>
        <v>95</v>
      </c>
      <c r="DL475" s="869">
        <f>IF(WWWW[[#This Row],[HRP3]]/WWWW[[#This Row],[Total PoP ]]&gt;1,1,WWWW[[#This Row],[HRP3]]/WWWW[[#This Row],[Total PoP ]])</f>
        <v>1</v>
      </c>
      <c r="DM475" s="868">
        <f>1-WWWW[[#This Row],[Hygiene Coverage%]]</f>
        <v>0</v>
      </c>
      <c r="DN475" s="866">
        <f>WWWW[[#This Row],['# people reached by regular dedicated hygiene promotion_5]]/WWWW[[#This Row],[Total PoP ]]</f>
        <v>0</v>
      </c>
      <c r="DO47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5" s="867">
        <f>WWWW[[#This Row],['#_Constructed/Existing hand washing stations]]-WWWW[[#This Row],['#_Non-Functional_hand_washing_stations]]</f>
        <v>0</v>
      </c>
      <c r="DR475" s="864">
        <f>IF(WWWW[[#This Row],['# Functional hand washing stations during reporting period]]*20&gt;WWWW[[#This Row],[Total HH]],WWWW[[#This Row],[Total HH]],WWWW[[#This Row],['# Functional hand washing stations during reporting period]]*20)</f>
        <v>0</v>
      </c>
      <c r="DS475" s="864">
        <f>IF(WWWW[[#This Row],[Is sufficient soap available for TLS? (Yes/No)]]="yes",WWWW[[#This Row],['#_Constructed/Existing hand washing stations at TLS]],0)</f>
        <v>0</v>
      </c>
      <c r="DT475" s="479">
        <f>IF(WWWW[[#This Row],['# Functional hand washing stations during reporting period]]*100&gt;WWWW[[#This Row],[Total PoP ]],WWWW[[#This Row],[Total PoP ]],WWWW[[#This Row],['# Functional hand washing stations during reporting period]]*100)</f>
        <v>0</v>
      </c>
      <c r="DU475" s="479" t="str">
        <f>IF(OR(WWWW[[#This Row],['#_students at TLS_CFS]]="",WWWW[[#This Row],['#_students at TLS_CFS]]=0),"No","Yes")</f>
        <v>No</v>
      </c>
      <c r="DV47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5" s="862">
        <f>VLOOKUP(WWWW[[#This Row],[Site Name]],SiteDB6[[Site Name]:[CCCM Management]],6,FALSE)</f>
        <v>0</v>
      </c>
      <c r="DZ475" s="862">
        <f>VLOOKUP(WWWW[[#This Row],[Site Name]],SiteDB6[[Site Name]:[CCCM Focal Agency]],7,FALSE)</f>
        <v>0</v>
      </c>
      <c r="EA475" s="862" t="str">
        <f>VLOOKUP(WWWW[[#This Row],[Site Name]],SiteDB6[[Site Name]:[Location Type 1]],9,FALSE)</f>
        <v>Camp</v>
      </c>
      <c r="EB475" s="862" t="str">
        <f>VLOOKUP(WWWW[[#This Row],[Site Name]],SiteDB6[[Site Name]:[Type of Accommodation]],10,FALSE)</f>
        <v>Camp like setting</v>
      </c>
      <c r="EC475" s="862" t="str">
        <f>VLOOKUP(WWWW[[#This Row],[Site Name]],SiteDB6[[Site Name]:[Ethnic or GCA/NGCA]],11,FALSE)</f>
        <v>GCA</v>
      </c>
      <c r="ED475" s="862">
        <f>VLOOKUP(WWWW[[#This Row],[Site Name]],SiteDB6[[Site Name]:[Lat]],12,FALSE)</f>
        <v>0</v>
      </c>
      <c r="EE475" s="862">
        <f>VLOOKUP(WWWW[[#This Row],[Site Name]],SiteDB6[[Site Name]:[Long]],13,FALSE)</f>
        <v>0</v>
      </c>
      <c r="EF475" s="862">
        <f>VLOOKUP(WWWW[[#This Row],[Site Name]],SiteDB6[[Site Name]:[Pcode]],3,FALSE)</f>
        <v>0</v>
      </c>
      <c r="EG475" s="865" t="str">
        <f t="shared" si="13"/>
        <v>Covered</v>
      </c>
      <c r="EH475" s="865">
        <f>VLOOKUP(WWWW[[#This Row],[Site Name]],Site_DB!$C$389:$D$1120,2,FALSE)</f>
        <v>0</v>
      </c>
    </row>
    <row r="476" spans="1:138">
      <c r="A476" s="860" t="s">
        <v>3263</v>
      </c>
      <c r="B476" s="860" t="s">
        <v>195</v>
      </c>
      <c r="C476" s="861" t="s">
        <v>195</v>
      </c>
      <c r="D476" s="861" t="s">
        <v>3630</v>
      </c>
      <c r="E476" s="861" t="s">
        <v>711</v>
      </c>
      <c r="F476" s="861" t="s">
        <v>715</v>
      </c>
      <c r="G476" s="721" t="str">
        <f>VLOOKUP(WWWW[[#This Row],[Site Name]],SiteDB6[[Site Name]:[Location Type]],8,FALSE)</f>
        <v>Camp</v>
      </c>
      <c r="H476" s="861" t="s">
        <v>2299</v>
      </c>
      <c r="I476" s="851">
        <v>71</v>
      </c>
      <c r="J476" s="851">
        <v>496</v>
      </c>
      <c r="K476" s="407" t="s">
        <v>3634</v>
      </c>
      <c r="L476" s="56" t="s">
        <v>3632</v>
      </c>
      <c r="M476" s="851"/>
      <c r="N476" s="851">
        <v>1</v>
      </c>
      <c r="O476" s="851"/>
      <c r="P476" s="851"/>
      <c r="Q476" s="864" t="s">
        <v>43</v>
      </c>
      <c r="R476" s="851">
        <v>5</v>
      </c>
      <c r="S476" s="851">
        <v>1</v>
      </c>
      <c r="T476" s="523"/>
      <c r="U476" s="851"/>
      <c r="V476" s="851"/>
      <c r="W476" s="851"/>
      <c r="X476" s="851"/>
      <c r="Y476" s="851"/>
      <c r="Z476" s="851"/>
      <c r="AA476" s="851"/>
      <c r="AB476" s="851"/>
      <c r="AC476" s="851"/>
      <c r="AD476" s="851"/>
      <c r="AE476" s="851"/>
      <c r="AF476" s="851"/>
      <c r="AG476" s="851"/>
      <c r="AH476" s="851"/>
      <c r="AI476" s="851"/>
      <c r="AJ476" s="851"/>
      <c r="AK476" s="851"/>
      <c r="AL476" s="851"/>
      <c r="AM476" s="851"/>
      <c r="AN476" s="851"/>
      <c r="AO476" s="865"/>
      <c r="AP476" s="851">
        <v>40</v>
      </c>
      <c r="AQ476" s="851"/>
      <c r="AR476" s="866"/>
      <c r="AS476" s="851"/>
      <c r="AT476" s="851"/>
      <c r="AU476" s="851"/>
      <c r="AV476" s="851"/>
      <c r="AW476" s="851"/>
      <c r="AX476" s="862" t="s">
        <v>143</v>
      </c>
      <c r="AY476" s="865" t="s">
        <v>143</v>
      </c>
      <c r="AZ476" s="851"/>
      <c r="BA476" s="851"/>
      <c r="BB476" s="851"/>
      <c r="BC476" s="523"/>
      <c r="BD476" s="523"/>
      <c r="BE476" s="862"/>
      <c r="BF476" s="851"/>
      <c r="BG476" s="851"/>
      <c r="BH476" s="851"/>
      <c r="BI476" s="851"/>
      <c r="BJ476" s="851"/>
      <c r="BK476" s="851"/>
      <c r="BL476" s="851">
        <v>1</v>
      </c>
      <c r="BM476" s="851">
        <v>71</v>
      </c>
      <c r="BN476" s="851"/>
      <c r="BO476" s="862" t="s">
        <v>139</v>
      </c>
      <c r="BP476" s="867"/>
      <c r="BQ476" s="866"/>
      <c r="BR476" s="862"/>
      <c r="BS476" s="472"/>
      <c r="BT476" s="472"/>
      <c r="BU476" s="474"/>
      <c r="BV476" s="472"/>
      <c r="BW476" s="523"/>
      <c r="BX476" s="523"/>
      <c r="BY476" s="523"/>
      <c r="BZ476" s="868" t="str">
        <f>IFERROR(WWWW[[#This Row],['#_Water sources passed]]/WWWW[[#This Row],['#_Water sources tested for fecal coliform ]],"no test")</f>
        <v>no test</v>
      </c>
      <c r="CA476" s="866" t="str">
        <f>IFERROR(WWWW[[#This Row],['#_Household passed]]/WWWW[[#This Row],['#_Household water samples tested for fecal coliform]],"no test")</f>
        <v>no test</v>
      </c>
      <c r="CB476" s="867" t="str">
        <f>IF(AND(WWWW[[#This Row],[% of water sources passed]]="no test",WWWW[[#This Row],[% Household passed]]="no test"),"No Test","Tested")</f>
        <v>No Test</v>
      </c>
      <c r="CC476" s="867">
        <f>WWWW[[#This Row],['#_Constructed/existing protected hand dug well]]-WWWW[[#This Row],['#_Non-functional protected hand dug well]]</f>
        <v>0</v>
      </c>
      <c r="CD476" s="867">
        <f>(WWWW[[#This Row],['#_Constructed/Existing tube wells/boreholes/handpumps_WASH_agency]]+WWWW[[#This Row],['#_Non-Cluster partner water tube-wells/boreholes/handpumps]])-WWWW[[#This Row],['#_Non-functional tube wells/boreholes/handpumps]]</f>
        <v>0</v>
      </c>
      <c r="CE476" s="867">
        <f>WWWW[[#This Row],['#_Constructed/Existingwater storage tank with gravity fed reticulation system]]-WWWW[[#This Row],['#_Non-functional storage tank gravity fed reticulation system]]</f>
        <v>0</v>
      </c>
      <c r="CF476" s="867">
        <f>(WWWW[[#This Row],['#_Water_Liters_supplied_by_Water boating or water trucking]]/90)/15</f>
        <v>0</v>
      </c>
      <c r="CG476" s="867">
        <f>WWWW[[#This Row],['#_Water_Liters_from_Constructed/Existing water distribution system from river or natural spring]]/90/15</f>
        <v>0</v>
      </c>
      <c r="CH476" s="473">
        <f>WWWW[[#This Row],['#_of water points in TLS/CFS /THF]]*500</f>
        <v>0</v>
      </c>
      <c r="CI47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7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76" s="866">
        <f>IF(WWWW[[#This Row],[Location Type 1]]="Village",WWWW[[#This Row],[Access to safe drinking water for Village]],WWWW[[#This Row],[Access to safe drinking water for Camp]])</f>
        <v>0</v>
      </c>
      <c r="CL476" s="864">
        <f>WWWW[[#This Row],[%Equitable and continuous access to sufficient quantity of safe drinking water]]*WWWW[[#This Row],[Total PoP ]]</f>
        <v>0</v>
      </c>
      <c r="CM476" s="866">
        <f>IF((WWWW[[#This Row],['#_Constructed/Existing protected/fenced ponds]]*250)/WWWW[[#This Row],[Total PoP ]]&gt;1,1,(WWWW[[#This Row],['#_Constructed/Existing protected/fenced ponds]]*250)/WWWW[[#This Row],[Total PoP ]])</f>
        <v>0</v>
      </c>
      <c r="CN476" s="864">
        <f>WWWW[[#This Row],[% Access to unimproved water points]]*WWWW[[#This Row],[Total PoP ]]</f>
        <v>0</v>
      </c>
      <c r="CO47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7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76" s="864">
        <f>WWWW[[#This Row],[HRP1]]/500</f>
        <v>0</v>
      </c>
      <c r="CR476" s="869">
        <f>1-WWWW[[#This Row],[% Equitable and continuous access to sufficient quantity of domestic water]]</f>
        <v>1</v>
      </c>
      <c r="CS476" s="864">
        <f>WWWW[[#This Row],[%equitable and continuous access to sufficient quantity of safe drinking and domestic water''s GAP]]*WWWW[[#This Row],[Total PoP ]]</f>
        <v>496</v>
      </c>
      <c r="CT476" s="867">
        <f>IF(WWWW[[#This Row],[Total required water points]]-WWWW[[#This Row],['#Water points coverage]]&lt;0,0,WWWW[[#This Row],[Total required water points]]-WWWW[[#This Row],['#Water points coverage]])</f>
        <v>1</v>
      </c>
      <c r="CU476" s="867">
        <f>ROUND(IF(WWWW[[#This Row],[Total PoP ]]&lt;500,1,WWWW[[#This Row],[Total PoP ]]/500),0)</f>
        <v>1</v>
      </c>
      <c r="CV476" s="867">
        <f>(WWWW[[#This Row],['#_Constructed latrines_by_WASHAgencies]]+WWWW[[#This Row],['#_Non Cluster partner latrines]])-WWWW[[#This Row],['#_Non-functional latrines]]</f>
        <v>40</v>
      </c>
      <c r="CW476" s="804">
        <f>WWWW[[#This Row],[HRP2]]/WWWW[[#This Row],[Total PoP ]]</f>
        <v>1</v>
      </c>
      <c r="CX47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496</v>
      </c>
      <c r="CY47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6" s="473">
        <f>IF(WWWW[[#This Row],['# of functional latrines in THF supported by WASH partners during the reporting period2]]="",0,WWWW[[#This Row],['# of functional latrines in THF supported by WASH partners during the reporting period2]]*50)</f>
        <v>0</v>
      </c>
      <c r="DB476" s="473">
        <f>WWWW[[#This Row],['# students access to functioning school latrines_HRP5]]+WWWW[[#This Row],['# People access to functioning latrines in THF_HRP5]]</f>
        <v>0</v>
      </c>
      <c r="DC476" s="867">
        <f>ROUND(IF(WWWW[[#This Row],[Location Type 1]]="camp",WWWW[[#This Row],[Total PoP ]]/20,IF(WWWW[[#This Row],[Location Type 1]]="Temporary Location",WWWW[[#This Row],[Total PoP ]]/50,(WWWW[[#This Row],[Total PoP ]]/6))),0)</f>
        <v>25</v>
      </c>
      <c r="DD476" s="867">
        <f>IF(WWWW[[#This Row],[Total required Latrines]]-(WWWW[[#This Row],['#_Constructed latrines_by_WASHAgencies]]+WWWW[[#This Row],['#_Non Cluster partner latrines]])&lt;0,0,WWWW[[#This Row],[Total required Latrines]]-(WWWW[[#This Row],['#_Constructed latrines_by_WASHAgencies]]+WWWW[[#This Row],['#_Non Cluster partner latrines]]))</f>
        <v>0</v>
      </c>
      <c r="DE476" s="869">
        <f>1-WWWW[[#This Row],[% people access to functioning Latrine]]</f>
        <v>0</v>
      </c>
      <c r="DF476" s="868">
        <f>IF(OR(WWWW[[#This Row],['#_Non-functional latrines]]="",WWWW[[#This Row],['#_Non-functional latrines]]=0),0,WWWW[[#This Row],['#_Non-functional latrines]]/(WWWW[[#This Row],['#_Constructed latrines_by_WASHAgencies]]+WWWW[[#This Row],['#_Non Cluster partner latrines]]))</f>
        <v>0</v>
      </c>
      <c r="DG476" s="864">
        <f>IF(500*(WWWW[[#This Row],['#_male hygiene promoters]]+WWWW[[#This Row],['#_female hygiene promoters]])&gt;WWWW[[#This Row],[Total PoP ]],WWWW[[#This Row],[Total PoP ]],500*(WWWW[[#This Row],['#_male hygiene promoters]]+WWWW[[#This Row],['#_female hygiene promoters]]))</f>
        <v>496</v>
      </c>
      <c r="DH47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496</v>
      </c>
      <c r="DI47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6" s="867">
        <f>IF(WWWW[[#This Row],['# People with access to soap]]&gt;WWWW[[#This Row],['# People with access to Sanity Pads]],WWWW[[#This Row],['# People with access to soap]],WWWW[[#This Row],['# People with access to Sanity Pads]])</f>
        <v>496</v>
      </c>
      <c r="DK476" s="867">
        <f>IF(WWWW[[#This Row],['# people reached by regular dedicated hygiene promotion_5]]&gt;WWWW[[#This Row],['# People received regular supply of hygiene items_6]],WWWW[[#This Row],['# people reached by regular dedicated hygiene promotion_5]],WWWW[[#This Row],['# People received regular supply of hygiene items_6]])</f>
        <v>496</v>
      </c>
      <c r="DL476" s="869">
        <f>IF(WWWW[[#This Row],[HRP3]]/WWWW[[#This Row],[Total PoP ]]&gt;1,1,WWWW[[#This Row],[HRP3]]/WWWW[[#This Row],[Total PoP ]])</f>
        <v>1</v>
      </c>
      <c r="DM476" s="868">
        <f>1-WWWW[[#This Row],[Hygiene Coverage%]]</f>
        <v>0</v>
      </c>
      <c r="DN476" s="866">
        <f>WWWW[[#This Row],['# people reached by regular dedicated hygiene promotion_5]]/WWWW[[#This Row],[Total PoP ]]</f>
        <v>1</v>
      </c>
      <c r="DO47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6" s="867">
        <f>WWWW[[#This Row],['#_Constructed/Existing hand washing stations]]-WWWW[[#This Row],['#_Non-Functional_hand_washing_stations]]</f>
        <v>0</v>
      </c>
      <c r="DR476" s="864">
        <f>IF(WWWW[[#This Row],['# Functional hand washing stations during reporting period]]*20&gt;WWWW[[#This Row],[Total HH]],WWWW[[#This Row],[Total HH]],WWWW[[#This Row],['# Functional hand washing stations during reporting period]]*20)</f>
        <v>0</v>
      </c>
      <c r="DS476" s="864">
        <f>IF(WWWW[[#This Row],[Is sufficient soap available for TLS? (Yes/No)]]="yes",WWWW[[#This Row],['#_Constructed/Existing hand washing stations at TLS]],0)</f>
        <v>0</v>
      </c>
      <c r="DT476" s="479">
        <f>IF(WWWW[[#This Row],['# Functional hand washing stations during reporting period]]*100&gt;WWWW[[#This Row],[Total PoP ]],WWWW[[#This Row],[Total PoP ]],WWWW[[#This Row],['# Functional hand washing stations during reporting period]]*100)</f>
        <v>0</v>
      </c>
      <c r="DU476" s="479" t="str">
        <f>IF(OR(WWWW[[#This Row],['#_students at TLS_CFS]]="",WWWW[[#This Row],['#_students at TLS_CFS]]=0),"No","Yes")</f>
        <v>No</v>
      </c>
      <c r="DV47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6" s="862">
        <f>VLOOKUP(WWWW[[#This Row],[Site Name]],SiteDB6[[Site Name]:[CCCM Management]],6,FALSE)</f>
        <v>0</v>
      </c>
      <c r="DZ476" s="862" t="str">
        <f>VLOOKUP(WWWW[[#This Row],[Site Name]],SiteDB6[[Site Name]:[CCCM Focal Agency]],7,FALSE)</f>
        <v>uncovered</v>
      </c>
      <c r="EA476" s="862" t="str">
        <f>VLOOKUP(WWWW[[#This Row],[Site Name]],SiteDB6[[Site Name]:[Location Type 1]],9,FALSE)</f>
        <v>Camp</v>
      </c>
      <c r="EB476" s="862" t="str">
        <f>VLOOKUP(WWWW[[#This Row],[Site Name]],SiteDB6[[Site Name]:[Type of Accommodation]],10,FALSE)</f>
        <v>Camp like setting</v>
      </c>
      <c r="EC476" s="862" t="str">
        <f>VLOOKUP(WWWW[[#This Row],[Site Name]],SiteDB6[[Site Name]:[Ethnic or GCA/NGCA]],11,FALSE)</f>
        <v>GCA</v>
      </c>
      <c r="ED476" s="862">
        <f>VLOOKUP(WWWW[[#This Row],[Site Name]],SiteDB6[[Site Name]:[Lat]],12,FALSE)</f>
        <v>0</v>
      </c>
      <c r="EE476" s="862">
        <f>VLOOKUP(WWWW[[#This Row],[Site Name]],SiteDB6[[Site Name]:[Long]],13,FALSE)</f>
        <v>0</v>
      </c>
      <c r="EF476" s="862" t="str">
        <f>VLOOKUP(WWWW[[#This Row],[Site Name]],SiteDB6[[Site Name]:[Pcode]],3,FALSE)</f>
        <v>MMR015CMP212</v>
      </c>
      <c r="EG476" s="865" t="str">
        <f t="shared" ref="EG476:EG507" si="14">IF(C476="none","Notcovered","Covered")</f>
        <v>Covered</v>
      </c>
      <c r="EH476" s="865" t="str">
        <f>VLOOKUP(WWWW[[#This Row],[Site Name]],Site_DB!$C$389:$D$1120,2,FALSE)</f>
        <v>cccm_2019OCT</v>
      </c>
    </row>
    <row r="477" spans="1:138">
      <c r="A477" s="860" t="s">
        <v>3263</v>
      </c>
      <c r="B477" s="860" t="s">
        <v>195</v>
      </c>
      <c r="C477" s="861" t="s">
        <v>195</v>
      </c>
      <c r="D477" s="861" t="s">
        <v>3630</v>
      </c>
      <c r="E477" s="861" t="s">
        <v>711</v>
      </c>
      <c r="F477" s="861" t="s">
        <v>721</v>
      </c>
      <c r="G477" s="721" t="str">
        <f>VLOOKUP(WWWW[[#This Row],[Site Name]],SiteDB6[[Site Name]:[Location Type]],8,FALSE)</f>
        <v>Camp</v>
      </c>
      <c r="H477" s="861" t="s">
        <v>751</v>
      </c>
      <c r="I477" s="851">
        <v>136</v>
      </c>
      <c r="J477" s="851">
        <v>553</v>
      </c>
      <c r="K477" s="717" t="s">
        <v>3636</v>
      </c>
      <c r="L477" s="718" t="s">
        <v>3637</v>
      </c>
      <c r="M477" s="851"/>
      <c r="N477" s="851"/>
      <c r="O477" s="851"/>
      <c r="P477" s="851"/>
      <c r="Q477" s="864"/>
      <c r="R477" s="851">
        <v>5</v>
      </c>
      <c r="S477" s="851">
        <v>1</v>
      </c>
      <c r="T477" s="523">
        <v>0</v>
      </c>
      <c r="U477" s="851"/>
      <c r="V477" s="851"/>
      <c r="W477" s="851">
        <v>0</v>
      </c>
      <c r="X477" s="851">
        <v>0</v>
      </c>
      <c r="Y477" s="851"/>
      <c r="Z477" s="851"/>
      <c r="AA477" s="851"/>
      <c r="AB477" s="851"/>
      <c r="AC477" s="851"/>
      <c r="AD477" s="851">
        <v>0</v>
      </c>
      <c r="AE477" s="851"/>
      <c r="AF477" s="851">
        <v>0</v>
      </c>
      <c r="AG477" s="851"/>
      <c r="AH477" s="851">
        <v>1</v>
      </c>
      <c r="AI477" s="851"/>
      <c r="AJ477" s="851"/>
      <c r="AK477" s="851"/>
      <c r="AL477" s="851"/>
      <c r="AM477" s="851"/>
      <c r="AN477" s="851"/>
      <c r="AO477" s="865"/>
      <c r="AP477" s="851">
        <v>40</v>
      </c>
      <c r="AQ477" s="851">
        <v>0</v>
      </c>
      <c r="AR477" s="866"/>
      <c r="AS477" s="851"/>
      <c r="AT477" s="851"/>
      <c r="AU477" s="851"/>
      <c r="AV477" s="851"/>
      <c r="AW477" s="851"/>
      <c r="AX477" s="862" t="s">
        <v>139</v>
      </c>
      <c r="AY477" s="865" t="s">
        <v>1195</v>
      </c>
      <c r="AZ477" s="851">
        <v>0</v>
      </c>
      <c r="BA477" s="851">
        <v>0</v>
      </c>
      <c r="BB477" s="851"/>
      <c r="BC477" s="523"/>
      <c r="BD477" s="523"/>
      <c r="BE477" s="862"/>
      <c r="BF477" s="851">
        <v>2</v>
      </c>
      <c r="BG477" s="851"/>
      <c r="BH477" s="851">
        <v>0</v>
      </c>
      <c r="BI477" s="851">
        <v>6</v>
      </c>
      <c r="BJ477" s="851"/>
      <c r="BK477" s="851">
        <v>0</v>
      </c>
      <c r="BL477" s="851">
        <v>2</v>
      </c>
      <c r="BM477" s="851">
        <v>136</v>
      </c>
      <c r="BN477" s="851"/>
      <c r="BO477" s="862"/>
      <c r="BP477" s="867"/>
      <c r="BQ477" s="866"/>
      <c r="BR477" s="862"/>
      <c r="BS477" s="472"/>
      <c r="BT477" s="472"/>
      <c r="BU477" s="474"/>
      <c r="BV477" s="472"/>
      <c r="BW477" s="523"/>
      <c r="BX477" s="523"/>
      <c r="BY477" s="523"/>
      <c r="BZ477" s="868" t="str">
        <f>IFERROR(WWWW[[#This Row],['#_Water sources passed]]/WWWW[[#This Row],['#_Water sources tested for fecal coliform ]],"no test")</f>
        <v>no test</v>
      </c>
      <c r="CA477" s="866" t="str">
        <f>IFERROR(WWWW[[#This Row],['#_Household passed]]/WWWW[[#This Row],['#_Household water samples tested for fecal coliform]],"no test")</f>
        <v>no test</v>
      </c>
      <c r="CB477" s="867" t="str">
        <f>IF(AND(WWWW[[#This Row],[% of water sources passed]]="no test",WWWW[[#This Row],[% Household passed]]="no test"),"No Test","Tested")</f>
        <v>No Test</v>
      </c>
      <c r="CC477" s="867">
        <f>WWWW[[#This Row],['#_Constructed/existing protected hand dug well]]-WWWW[[#This Row],['#_Non-functional protected hand dug well]]</f>
        <v>0</v>
      </c>
      <c r="CD477" s="867">
        <f>(WWWW[[#This Row],['#_Constructed/Existing tube wells/boreholes/handpumps_WASH_agency]]+WWWW[[#This Row],['#_Non-Cluster partner water tube-wells/boreholes/handpumps]])-WWWW[[#This Row],['#_Non-functional tube wells/boreholes/handpumps]]</f>
        <v>0</v>
      </c>
      <c r="CE477" s="867">
        <f>WWWW[[#This Row],['#_Constructed/Existingwater storage tank with gravity fed reticulation system]]-WWWW[[#This Row],['#_Non-functional storage tank gravity fed reticulation system]]</f>
        <v>0</v>
      </c>
      <c r="CF477" s="867">
        <f>(WWWW[[#This Row],['#_Water_Liters_supplied_by_Water boating or water trucking]]/90)/15</f>
        <v>0</v>
      </c>
      <c r="CG477" s="867">
        <f>WWWW[[#This Row],['#_Water_Liters_from_Constructed/Existing water distribution system from river or natural spring]]/90/15</f>
        <v>0</v>
      </c>
      <c r="CH477" s="473">
        <f>WWWW[[#This Row],['#_of water points in TLS/CFS /THF]]*500</f>
        <v>0</v>
      </c>
      <c r="CI47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7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77" s="866">
        <f>IF(WWWW[[#This Row],[Location Type 1]]="Village",WWWW[[#This Row],[Access to safe drinking water for Village]],WWWW[[#This Row],[Access to safe drinking water for Camp]])</f>
        <v>0</v>
      </c>
      <c r="CL477" s="864">
        <f>WWWW[[#This Row],[%Equitable and continuous access to sufficient quantity of safe drinking water]]*WWWW[[#This Row],[Total PoP ]]</f>
        <v>0</v>
      </c>
      <c r="CM477" s="866">
        <f>IF((WWWW[[#This Row],['#_Constructed/Existing protected/fenced ponds]]*250)/WWWW[[#This Row],[Total PoP ]]&gt;1,1,(WWWW[[#This Row],['#_Constructed/Existing protected/fenced ponds]]*250)/WWWW[[#This Row],[Total PoP ]])</f>
        <v>0</v>
      </c>
      <c r="CN477" s="864">
        <f>WWWW[[#This Row],[% Access to unimproved water points]]*WWWW[[#This Row],[Total PoP ]]</f>
        <v>0</v>
      </c>
      <c r="CO47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7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77" s="864">
        <f>WWWW[[#This Row],[HRP1]]/500</f>
        <v>0</v>
      </c>
      <c r="CR477" s="869">
        <f>1-WWWW[[#This Row],[% Equitable and continuous access to sufficient quantity of domestic water]]</f>
        <v>1</v>
      </c>
      <c r="CS477" s="864">
        <f>WWWW[[#This Row],[%equitable and continuous access to sufficient quantity of safe drinking and domestic water''s GAP]]*WWWW[[#This Row],[Total PoP ]]</f>
        <v>553</v>
      </c>
      <c r="CT477" s="867">
        <f>IF(WWWW[[#This Row],[Total required water points]]-WWWW[[#This Row],['#Water points coverage]]&lt;0,0,WWWW[[#This Row],[Total required water points]]-WWWW[[#This Row],['#Water points coverage]])</f>
        <v>1</v>
      </c>
      <c r="CU477" s="867">
        <f>ROUND(IF(WWWW[[#This Row],[Total PoP ]]&lt;500,1,WWWW[[#This Row],[Total PoP ]]/500),0)</f>
        <v>1</v>
      </c>
      <c r="CV477" s="867">
        <f>(WWWW[[#This Row],['#_Constructed latrines_by_WASHAgencies]]+WWWW[[#This Row],['#_Non Cluster partner latrines]])-WWWW[[#This Row],['#_Non-functional latrines]]</f>
        <v>40</v>
      </c>
      <c r="CW477" s="804">
        <f>WWWW[[#This Row],[HRP2]]/WWWW[[#This Row],[Total PoP ]]</f>
        <v>1</v>
      </c>
      <c r="CX47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553</v>
      </c>
      <c r="CY47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7" s="473">
        <f>IF(WWWW[[#This Row],['# of functional latrines in THF supported by WASH partners during the reporting period2]]="",0,WWWW[[#This Row],['# of functional latrines in THF supported by WASH partners during the reporting period2]]*50)</f>
        <v>0</v>
      </c>
      <c r="DB477" s="473">
        <f>WWWW[[#This Row],['# students access to functioning school latrines_HRP5]]+WWWW[[#This Row],['# People access to functioning latrines in THF_HRP5]]</f>
        <v>0</v>
      </c>
      <c r="DC477" s="867">
        <f>ROUND(IF(WWWW[[#This Row],[Location Type 1]]="camp",WWWW[[#This Row],[Total PoP ]]/20,IF(WWWW[[#This Row],[Location Type 1]]="Temporary Location",WWWW[[#This Row],[Total PoP ]]/50,(WWWW[[#This Row],[Total PoP ]]/6))),0)</f>
        <v>28</v>
      </c>
      <c r="DD477" s="867">
        <f>IF(WWWW[[#This Row],[Total required Latrines]]-(WWWW[[#This Row],['#_Constructed latrines_by_WASHAgencies]]+WWWW[[#This Row],['#_Non Cluster partner latrines]])&lt;0,0,WWWW[[#This Row],[Total required Latrines]]-(WWWW[[#This Row],['#_Constructed latrines_by_WASHAgencies]]+WWWW[[#This Row],['#_Non Cluster partner latrines]]))</f>
        <v>0</v>
      </c>
      <c r="DE477" s="869">
        <f>1-WWWW[[#This Row],[% people access to functioning Latrine]]</f>
        <v>0</v>
      </c>
      <c r="DF477" s="868">
        <f>IF(OR(WWWW[[#This Row],['#_Non-functional latrines]]="",WWWW[[#This Row],['#_Non-functional latrines]]=0),0,WWWW[[#This Row],['#_Non-functional latrines]]/(WWWW[[#This Row],['#_Constructed latrines_by_WASHAgencies]]+WWWW[[#This Row],['#_Non Cluster partner latrines]]))</f>
        <v>0</v>
      </c>
      <c r="DG477" s="864">
        <f>IF(500*(WWWW[[#This Row],['#_male hygiene promoters]]+WWWW[[#This Row],['#_female hygiene promoters]])&gt;WWWW[[#This Row],[Total PoP ]],WWWW[[#This Row],[Total PoP ]],500*(WWWW[[#This Row],['#_male hygiene promoters]]+WWWW[[#This Row],['#_female hygiene promoters]]))</f>
        <v>553</v>
      </c>
      <c r="DH47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553</v>
      </c>
      <c r="DI47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7" s="867">
        <f>IF(WWWW[[#This Row],['# People with access to soap]]&gt;WWWW[[#This Row],['# People with access to Sanity Pads]],WWWW[[#This Row],['# People with access to soap]],WWWW[[#This Row],['# People with access to Sanity Pads]])</f>
        <v>553</v>
      </c>
      <c r="DK477" s="867">
        <f>IF(WWWW[[#This Row],['# people reached by regular dedicated hygiene promotion_5]]&gt;WWWW[[#This Row],['# People received regular supply of hygiene items_6]],WWWW[[#This Row],['# people reached by regular dedicated hygiene promotion_5]],WWWW[[#This Row],['# People received regular supply of hygiene items_6]])</f>
        <v>553</v>
      </c>
      <c r="DL477" s="869">
        <f>IF(WWWW[[#This Row],[HRP3]]/WWWW[[#This Row],[Total PoP ]]&gt;1,1,WWWW[[#This Row],[HRP3]]/WWWW[[#This Row],[Total PoP ]])</f>
        <v>1</v>
      </c>
      <c r="DM477" s="868">
        <f>1-WWWW[[#This Row],[Hygiene Coverage%]]</f>
        <v>0</v>
      </c>
      <c r="DN477" s="866">
        <f>WWWW[[#This Row],['# people reached by regular dedicated hygiene promotion_5]]/WWWW[[#This Row],[Total PoP ]]</f>
        <v>1</v>
      </c>
      <c r="DO47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7" s="867">
        <f>WWWW[[#This Row],['#_Constructed/Existing hand washing stations]]-WWWW[[#This Row],['#_Non-Functional_hand_washing_stations]]</f>
        <v>2</v>
      </c>
      <c r="DR477" s="864">
        <f>IF(WWWW[[#This Row],['# Functional hand washing stations during reporting period]]*20&gt;WWWW[[#This Row],[Total HH]],WWWW[[#This Row],[Total HH]],WWWW[[#This Row],['# Functional hand washing stations during reporting period]]*20)</f>
        <v>40</v>
      </c>
      <c r="DS477" s="864">
        <f>IF(WWWW[[#This Row],[Is sufficient soap available for TLS? (Yes/No)]]="yes",WWWW[[#This Row],['#_Constructed/Existing hand washing stations at TLS]],0)</f>
        <v>0</v>
      </c>
      <c r="DT477" s="479">
        <f>IF(WWWW[[#This Row],['# Functional hand washing stations during reporting period]]*100&gt;WWWW[[#This Row],[Total PoP ]],WWWW[[#This Row],[Total PoP ]],WWWW[[#This Row],['# Functional hand washing stations during reporting period]]*100)</f>
        <v>200</v>
      </c>
      <c r="DU477" s="479" t="str">
        <f>IF(OR(WWWW[[#This Row],['#_students at TLS_CFS]]="",WWWW[[#This Row],['#_students at TLS_CFS]]=0),"No","Yes")</f>
        <v>No</v>
      </c>
      <c r="DV47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7" s="862" t="str">
        <f>VLOOKUP(WWWW[[#This Row],[Site Name]],SiteDB6[[Site Name]:[CCCM Management]],6,FALSE)</f>
        <v>Yes</v>
      </c>
      <c r="DZ477" s="862" t="str">
        <f>VLOOKUP(WWWW[[#This Row],[Site Name]],SiteDB6[[Site Name]:[CCCM Focal Agency]],7,FALSE)</f>
        <v>KBC-NSS</v>
      </c>
      <c r="EA477" s="862" t="str">
        <f>VLOOKUP(WWWW[[#This Row],[Site Name]],SiteDB6[[Site Name]:[Location Type 1]],9,FALSE)</f>
        <v>Camp</v>
      </c>
      <c r="EB477" s="862" t="str">
        <f>VLOOKUP(WWWW[[#This Row],[Site Name]],SiteDB6[[Site Name]:[Type of Accommodation]],10,FALSE)</f>
        <v>Camp</v>
      </c>
      <c r="EC477" s="862" t="str">
        <f>VLOOKUP(WWWW[[#This Row],[Site Name]],SiteDB6[[Site Name]:[Ethnic or GCA/NGCA]],11,FALSE)</f>
        <v>GCA</v>
      </c>
      <c r="ED477" s="862">
        <f>VLOOKUP(WWWW[[#This Row],[Site Name]],SiteDB6[[Site Name]:[Lat]],12,FALSE)</f>
        <v>24.08738</v>
      </c>
      <c r="EE477" s="862">
        <f>VLOOKUP(WWWW[[#This Row],[Site Name]],SiteDB6[[Site Name]:[Long]],13,FALSE)</f>
        <v>98.115809999999996</v>
      </c>
      <c r="EF477" s="862" t="str">
        <f>VLOOKUP(WWWW[[#This Row],[Site Name]],SiteDB6[[Site Name]:[Pcode]],3,FALSE)</f>
        <v>MMR015CMP247</v>
      </c>
      <c r="EG477" s="865" t="str">
        <f t="shared" si="14"/>
        <v>Covered</v>
      </c>
      <c r="EH477" s="865" t="str">
        <f>VLOOKUP(WWWW[[#This Row],[Site Name]],Site_DB!$C$389:$D$1120,2,FALSE)</f>
        <v>cccm_2019OCT</v>
      </c>
    </row>
    <row r="478" spans="1:138">
      <c r="A478" s="860" t="s">
        <v>3263</v>
      </c>
      <c r="B478" s="860" t="s">
        <v>195</v>
      </c>
      <c r="C478" s="861" t="s">
        <v>195</v>
      </c>
      <c r="D478" s="404" t="s">
        <v>3647</v>
      </c>
      <c r="E478" s="861" t="s">
        <v>39</v>
      </c>
      <c r="F478" s="861" t="s">
        <v>208</v>
      </c>
      <c r="G478" s="721" t="str">
        <f>VLOOKUP(WWWW[[#This Row],[Site Name]],SiteDB6[[Site Name]:[Location Type]],8,FALSE)</f>
        <v>Camp</v>
      </c>
      <c r="H478" s="861" t="s">
        <v>220</v>
      </c>
      <c r="I478" s="851">
        <v>714</v>
      </c>
      <c r="J478" s="851">
        <v>3659</v>
      </c>
      <c r="K478" s="863" t="s">
        <v>3609</v>
      </c>
      <c r="L478" s="859" t="s">
        <v>3610</v>
      </c>
      <c r="M478" s="851"/>
      <c r="N478" s="851">
        <v>0</v>
      </c>
      <c r="O478" s="851">
        <v>0</v>
      </c>
      <c r="P478" s="851"/>
      <c r="Q478" s="864" t="s">
        <v>43</v>
      </c>
      <c r="R478" s="851">
        <v>7</v>
      </c>
      <c r="S478" s="851">
        <v>3</v>
      </c>
      <c r="T478" s="523">
        <v>3</v>
      </c>
      <c r="U478" s="851"/>
      <c r="V478" s="851"/>
      <c r="W478" s="851"/>
      <c r="X478" s="851"/>
      <c r="Y478" s="851"/>
      <c r="Z478" s="851"/>
      <c r="AA478" s="851">
        <v>3</v>
      </c>
      <c r="AB478" s="851"/>
      <c r="AC478" s="851"/>
      <c r="AD478" s="851"/>
      <c r="AE478" s="851"/>
      <c r="AF478" s="851">
        <v>293760</v>
      </c>
      <c r="AG478" s="851"/>
      <c r="AH478" s="851"/>
      <c r="AI478" s="851"/>
      <c r="AJ478" s="851"/>
      <c r="AK478" s="851"/>
      <c r="AL478" s="851"/>
      <c r="AM478" s="851">
        <v>3</v>
      </c>
      <c r="AN478" s="851">
        <v>3</v>
      </c>
      <c r="AO478" s="865"/>
      <c r="AP478" s="851">
        <v>306</v>
      </c>
      <c r="AQ478" s="851"/>
      <c r="AR478" s="866"/>
      <c r="AS478" s="851"/>
      <c r="AT478" s="851"/>
      <c r="AU478" s="851"/>
      <c r="AV478" s="851"/>
      <c r="AW478" s="851"/>
      <c r="AX478" s="862" t="s">
        <v>43</v>
      </c>
      <c r="AY478" s="865" t="s">
        <v>140</v>
      </c>
      <c r="AZ478" s="851">
        <v>13</v>
      </c>
      <c r="BA478" s="851"/>
      <c r="BB478" s="851">
        <v>46</v>
      </c>
      <c r="BC478" s="523"/>
      <c r="BD478" s="523"/>
      <c r="BE478" s="862"/>
      <c r="BF478" s="851">
        <v>77</v>
      </c>
      <c r="BG478" s="851"/>
      <c r="BH478" s="851"/>
      <c r="BI478" s="851">
        <v>22</v>
      </c>
      <c r="BJ478" s="851"/>
      <c r="BK478" s="851"/>
      <c r="BL478" s="851">
        <v>3</v>
      </c>
      <c r="BM478" s="851">
        <v>714</v>
      </c>
      <c r="BN478" s="851"/>
      <c r="BO478" s="862" t="s">
        <v>139</v>
      </c>
      <c r="BP478" s="867"/>
      <c r="BQ478" s="866"/>
      <c r="BR478" s="806" t="s">
        <v>3645</v>
      </c>
      <c r="BS478" s="472"/>
      <c r="BT478" s="472"/>
      <c r="BU478" s="474"/>
      <c r="BV478" s="472"/>
      <c r="BW478" s="523"/>
      <c r="BX478" s="523"/>
      <c r="BY478" s="523"/>
      <c r="BZ478" s="868" t="str">
        <f>IFERROR(WWWW[[#This Row],['#_Water sources passed]]/WWWW[[#This Row],['#_Water sources tested for fecal coliform ]],"no test")</f>
        <v>no test</v>
      </c>
      <c r="CA478" s="866" t="str">
        <f>IFERROR(WWWW[[#This Row],['#_Household passed]]/WWWW[[#This Row],['#_Household water samples tested for fecal coliform]],"no test")</f>
        <v>no test</v>
      </c>
      <c r="CB478" s="867" t="str">
        <f>IF(AND(WWWW[[#This Row],[% of water sources passed]]="no test",WWWW[[#This Row],[% Household passed]]="no test"),"No Test","Tested")</f>
        <v>No Test</v>
      </c>
      <c r="CC478" s="867">
        <f>WWWW[[#This Row],['#_Constructed/existing protected hand dug well]]-WWWW[[#This Row],['#_Non-functional protected hand dug well]]</f>
        <v>3</v>
      </c>
      <c r="CD478" s="867">
        <f>(WWWW[[#This Row],['#_Constructed/Existing tube wells/boreholes/handpumps_WASH_agency]]+WWWW[[#This Row],['#_Non-Cluster partner water tube-wells/boreholes/handpumps]])-WWWW[[#This Row],['#_Non-functional tube wells/boreholes/handpumps]]</f>
        <v>0</v>
      </c>
      <c r="CE478" s="867">
        <f>WWWW[[#This Row],['#_Constructed/Existingwater storage tank with gravity fed reticulation system]]-WWWW[[#This Row],['#_Non-functional storage tank gravity fed reticulation system]]</f>
        <v>3</v>
      </c>
      <c r="CF478" s="867">
        <f>(WWWW[[#This Row],['#_Water_Liters_supplied_by_Water boating or water trucking]]/90)/15</f>
        <v>0</v>
      </c>
      <c r="CG478" s="867">
        <f>WWWW[[#This Row],['#_Water_Liters_from_Constructed/Existing water distribution system from river or natural spring]]/90/15</f>
        <v>217.6</v>
      </c>
      <c r="CH478" s="473">
        <f>WWWW[[#This Row],['#_of water points in TLS/CFS /THF]]*500</f>
        <v>1500</v>
      </c>
      <c r="CI47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0.44208800218638972</v>
      </c>
      <c r="CJ47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0.31910358021317298</v>
      </c>
      <c r="CK478" s="866">
        <f>IF(WWWW[[#This Row],[Location Type 1]]="Village",WWWW[[#This Row],[Access to safe drinking water for Village]],WWWW[[#This Row],[Access to safe drinking water for Camp]])</f>
        <v>0.44208800218638972</v>
      </c>
      <c r="CL478" s="864">
        <f>WWWW[[#This Row],[%Equitable and continuous access to sufficient quantity of safe drinking water]]*WWWW[[#This Row],[Total PoP ]]</f>
        <v>1617.6</v>
      </c>
      <c r="CM478" s="866">
        <f>IF((WWWW[[#This Row],['#_Constructed/Existing protected/fenced ponds]]*250)/WWWW[[#This Row],[Total PoP ]]&gt;1,1,(WWWW[[#This Row],['#_Constructed/Existing protected/fenced ponds]]*250)/WWWW[[#This Row],[Total PoP ]])</f>
        <v>0</v>
      </c>
      <c r="CN478" s="864">
        <f>WWWW[[#This Row],[% Access to unimproved water points]]*WWWW[[#This Row],[Total PoP ]]</f>
        <v>0</v>
      </c>
      <c r="CO47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0.44208800218638972</v>
      </c>
      <c r="CP47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1617.6</v>
      </c>
      <c r="CQ478" s="864">
        <f>WWWW[[#This Row],[HRP1]]/500</f>
        <v>3.2351999999999999</v>
      </c>
      <c r="CR478" s="869">
        <f>1-WWWW[[#This Row],[% Equitable and continuous access to sufficient quantity of domestic water]]</f>
        <v>0.55791199781361023</v>
      </c>
      <c r="CS478" s="864">
        <f>WWWW[[#This Row],[%equitable and continuous access to sufficient quantity of safe drinking and domestic water''s GAP]]*WWWW[[#This Row],[Total PoP ]]</f>
        <v>2041.3999999999999</v>
      </c>
      <c r="CT478" s="867">
        <f>IF(WWWW[[#This Row],[Total required water points]]-WWWW[[#This Row],['#Water points coverage]]&lt;0,0,WWWW[[#This Row],[Total required water points]]-WWWW[[#This Row],['#Water points coverage]])</f>
        <v>3.7648000000000001</v>
      </c>
      <c r="CU478" s="867">
        <f>ROUND(IF(WWWW[[#This Row],[Total PoP ]]&lt;500,1,WWWW[[#This Row],[Total PoP ]]/500),0)</f>
        <v>7</v>
      </c>
      <c r="CV478" s="867">
        <f>(WWWW[[#This Row],['#_Constructed latrines_by_WASHAgencies]]+WWWW[[#This Row],['#_Non Cluster partner latrines]])-WWWW[[#This Row],['#_Non-functional latrines]]</f>
        <v>306</v>
      </c>
      <c r="CW478" s="804">
        <f>WWWW[[#This Row],[HRP2]]/WWWW[[#This Row],[Total PoP ]]</f>
        <v>1</v>
      </c>
      <c r="CX47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3659</v>
      </c>
      <c r="CY47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8" s="473">
        <f>IF(WWWW[[#This Row],['# of functional latrines in THF supported by WASH partners during the reporting period2]]="",0,WWWW[[#This Row],['# of functional latrines in THF supported by WASH partners during the reporting period2]]*50)</f>
        <v>0</v>
      </c>
      <c r="DB478" s="473">
        <f>WWWW[[#This Row],['# students access to functioning school latrines_HRP5]]+WWWW[[#This Row],['# People access to functioning latrines in THF_HRP5]]</f>
        <v>0</v>
      </c>
      <c r="DC478" s="867">
        <f>ROUND(IF(WWWW[[#This Row],[Location Type 1]]="camp",WWWW[[#This Row],[Total PoP ]]/20,IF(WWWW[[#This Row],[Location Type 1]]="Temporary Location",WWWW[[#This Row],[Total PoP ]]/50,(WWWW[[#This Row],[Total PoP ]]/6))),0)</f>
        <v>183</v>
      </c>
      <c r="DD478" s="867">
        <f>IF(WWWW[[#This Row],[Total required Latrines]]-(WWWW[[#This Row],['#_Constructed latrines_by_WASHAgencies]]+WWWW[[#This Row],['#_Non Cluster partner latrines]])&lt;0,0,WWWW[[#This Row],[Total required Latrines]]-(WWWW[[#This Row],['#_Constructed latrines_by_WASHAgencies]]+WWWW[[#This Row],['#_Non Cluster partner latrines]]))</f>
        <v>0</v>
      </c>
      <c r="DE478" s="869">
        <f>1-WWWW[[#This Row],[% people access to functioning Latrine]]</f>
        <v>0</v>
      </c>
      <c r="DF478" s="868">
        <f>IF(OR(WWWW[[#This Row],['#_Non-functional latrines]]="",WWWW[[#This Row],['#_Non-functional latrines]]=0),0,WWWW[[#This Row],['#_Non-functional latrines]]/(WWWW[[#This Row],['#_Constructed latrines_by_WASHAgencies]]+WWWW[[#This Row],['#_Non Cluster partner latrines]]))</f>
        <v>0</v>
      </c>
      <c r="DG478" s="864">
        <f>IF(500*(WWWW[[#This Row],['#_male hygiene promoters]]+WWWW[[#This Row],['#_female hygiene promoters]])&gt;WWWW[[#This Row],[Total PoP ]],WWWW[[#This Row],[Total PoP ]],500*(WWWW[[#This Row],['#_male hygiene promoters]]+WWWW[[#This Row],['#_female hygiene promoters]]))</f>
        <v>1500</v>
      </c>
      <c r="DH47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3659</v>
      </c>
      <c r="DI47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8" s="867">
        <f>IF(WWWW[[#This Row],['# People with access to soap]]&gt;WWWW[[#This Row],['# People with access to Sanity Pads]],WWWW[[#This Row],['# People with access to soap]],WWWW[[#This Row],['# People with access to Sanity Pads]])</f>
        <v>3659</v>
      </c>
      <c r="DK478" s="867">
        <f>IF(WWWW[[#This Row],['# people reached by regular dedicated hygiene promotion_5]]&gt;WWWW[[#This Row],['# People received regular supply of hygiene items_6]],WWWW[[#This Row],['# people reached by regular dedicated hygiene promotion_5]],WWWW[[#This Row],['# People received regular supply of hygiene items_6]])</f>
        <v>3659</v>
      </c>
      <c r="DL478" s="869">
        <f>IF(WWWW[[#This Row],[HRP3]]/WWWW[[#This Row],[Total PoP ]]&gt;1,1,WWWW[[#This Row],[HRP3]]/WWWW[[#This Row],[Total PoP ]])</f>
        <v>1</v>
      </c>
      <c r="DM478" s="868">
        <f>1-WWWW[[#This Row],[Hygiene Coverage%]]</f>
        <v>0</v>
      </c>
      <c r="DN478" s="866">
        <f>WWWW[[#This Row],['# people reached by regular dedicated hygiene promotion_5]]/WWWW[[#This Row],[Total PoP ]]</f>
        <v>0.40994807324405574</v>
      </c>
      <c r="DO47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8" s="867">
        <f>WWWW[[#This Row],['#_Constructed/Existing hand washing stations]]-WWWW[[#This Row],['#_Non-Functional_hand_washing_stations]]</f>
        <v>77</v>
      </c>
      <c r="DR478" s="864">
        <f>IF(WWWW[[#This Row],['# Functional hand washing stations during reporting period]]*20&gt;WWWW[[#This Row],[Total HH]],WWWW[[#This Row],[Total HH]],WWWW[[#This Row],['# Functional hand washing stations during reporting period]]*20)</f>
        <v>714</v>
      </c>
      <c r="DS478" s="864">
        <f>IF(WWWW[[#This Row],[Is sufficient soap available for TLS? (Yes/No)]]="yes",WWWW[[#This Row],['#_Constructed/Existing hand washing stations at TLS]],0)</f>
        <v>0</v>
      </c>
      <c r="DT478" s="479">
        <f>IF(WWWW[[#This Row],['# Functional hand washing stations during reporting period]]*100&gt;WWWW[[#This Row],[Total PoP ]],WWWW[[#This Row],[Total PoP ]],WWWW[[#This Row],['# Functional hand washing stations during reporting period]]*100)</f>
        <v>3659</v>
      </c>
      <c r="DU478" s="479" t="str">
        <f>IF(OR(WWWW[[#This Row],['#_students at TLS_CFS]]="",WWWW[[#This Row],['#_students at TLS_CFS]]=0),"No","Yes")</f>
        <v>No</v>
      </c>
      <c r="DV47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478" s="862" t="str">
        <f>VLOOKUP(WWWW[[#This Row],[Site Name]],SiteDB6[[Site Name]:[CCCM Management]],6,FALSE)</f>
        <v>Yes</v>
      </c>
      <c r="DZ478" s="862" t="str">
        <f>VLOOKUP(WWWW[[#This Row],[Site Name]],SiteDB6[[Site Name]:[CCCM Focal Agency]],7,FALSE)</f>
        <v>KMSS-MYT</v>
      </c>
      <c r="EA478" s="862" t="str">
        <f>VLOOKUP(WWWW[[#This Row],[Site Name]],SiteDB6[[Site Name]:[Location Type 1]],9,FALSE)</f>
        <v>Camp</v>
      </c>
      <c r="EB478" s="862" t="str">
        <f>VLOOKUP(WWWW[[#This Row],[Site Name]],SiteDB6[[Site Name]:[Type of Accommodation]],10,FALSE)</f>
        <v>Camp</v>
      </c>
      <c r="EC478" s="862" t="str">
        <f>VLOOKUP(WWWW[[#This Row],[Site Name]],SiteDB6[[Site Name]:[Ethnic or GCA/NGCA]],11,FALSE)</f>
        <v>NGCA</v>
      </c>
      <c r="ED478" s="862">
        <f>VLOOKUP(WWWW[[#This Row],[Site Name]],SiteDB6[[Site Name]:[Lat]],12,FALSE)</f>
        <v>24.661905999999998</v>
      </c>
      <c r="EE478" s="862">
        <f>VLOOKUP(WWWW[[#This Row],[Site Name]],SiteDB6[[Site Name]:[Long]],13,FALSE)</f>
        <v>97.573126000000002</v>
      </c>
      <c r="EF478" s="862" t="str">
        <f>VLOOKUP(WWWW[[#This Row],[Site Name]],SiteDB6[[Site Name]:[Pcode]],3,FALSE)</f>
        <v>MMR001CMP122</v>
      </c>
      <c r="EG478" s="865" t="str">
        <f t="shared" si="14"/>
        <v>Covered</v>
      </c>
      <c r="EH478" s="865" t="str">
        <f>VLOOKUP(WWWW[[#This Row],[Site Name]],Site_DB!$C$389:$D$1120,2,FALSE)</f>
        <v>cccm_2019OCT</v>
      </c>
    </row>
    <row r="479" spans="1:138">
      <c r="A479" s="860" t="s">
        <v>3263</v>
      </c>
      <c r="B479" s="860" t="s">
        <v>195</v>
      </c>
      <c r="C479" s="861" t="s">
        <v>195</v>
      </c>
      <c r="D479" s="861" t="s">
        <v>3643</v>
      </c>
      <c r="E479" s="861" t="s">
        <v>39</v>
      </c>
      <c r="F479" s="861" t="s">
        <v>198</v>
      </c>
      <c r="G479" s="721" t="str">
        <f>VLOOKUP(WWWW[[#This Row],[Site Name]],SiteDB6[[Site Name]:[Location Type]],8,FALSE)</f>
        <v>Camp</v>
      </c>
      <c r="H479" s="861" t="s">
        <v>201</v>
      </c>
      <c r="I479" s="851">
        <v>37</v>
      </c>
      <c r="J479" s="851">
        <v>291</v>
      </c>
      <c r="K479" s="863" t="s">
        <v>3611</v>
      </c>
      <c r="L479" s="859" t="s">
        <v>3612</v>
      </c>
      <c r="M479" s="851"/>
      <c r="N479" s="851"/>
      <c r="O479" s="851"/>
      <c r="P479" s="851"/>
      <c r="Q479" s="864" t="s">
        <v>43</v>
      </c>
      <c r="R479" s="851">
        <v>1</v>
      </c>
      <c r="S479" s="851">
        <v>2</v>
      </c>
      <c r="T479" s="523">
        <v>1</v>
      </c>
      <c r="U479" s="851"/>
      <c r="V479" s="851"/>
      <c r="W479" s="851"/>
      <c r="X479" s="851">
        <v>2</v>
      </c>
      <c r="Y479" s="851"/>
      <c r="Z479" s="851"/>
      <c r="AA479" s="851"/>
      <c r="AB479" s="851"/>
      <c r="AC479" s="851"/>
      <c r="AD479" s="851"/>
      <c r="AE479" s="851"/>
      <c r="AF479" s="851"/>
      <c r="AG479" s="851"/>
      <c r="AH479" s="851"/>
      <c r="AI479" s="851"/>
      <c r="AJ479" s="851"/>
      <c r="AK479" s="851"/>
      <c r="AL479" s="851"/>
      <c r="AM479" s="851"/>
      <c r="AN479" s="851"/>
      <c r="AO479" s="865"/>
      <c r="AP479" s="851">
        <v>7</v>
      </c>
      <c r="AQ479" s="851"/>
      <c r="AR479" s="866"/>
      <c r="AS479" s="851"/>
      <c r="AT479" s="851"/>
      <c r="AU479" s="851"/>
      <c r="AV479" s="851"/>
      <c r="AW479" s="851"/>
      <c r="AX479" s="862" t="s">
        <v>43</v>
      </c>
      <c r="AY479" s="865" t="s">
        <v>140</v>
      </c>
      <c r="AZ479" s="851"/>
      <c r="BA479" s="851"/>
      <c r="BB479" s="851"/>
      <c r="BC479" s="523"/>
      <c r="BD479" s="523"/>
      <c r="BE479" s="862"/>
      <c r="BF479" s="851">
        <v>4</v>
      </c>
      <c r="BG479" s="851"/>
      <c r="BH479" s="851"/>
      <c r="BI479" s="851">
        <v>2</v>
      </c>
      <c r="BJ479" s="851"/>
      <c r="BK479" s="851"/>
      <c r="BL479" s="851">
        <v>1</v>
      </c>
      <c r="BM479" s="851">
        <v>37</v>
      </c>
      <c r="BN479" s="851"/>
      <c r="BO479" s="862"/>
      <c r="BP479" s="867"/>
      <c r="BQ479" s="866"/>
      <c r="BR479" s="806" t="s">
        <v>3645</v>
      </c>
      <c r="BS479" s="472"/>
      <c r="BT479" s="472"/>
      <c r="BU479" s="474"/>
      <c r="BV479" s="472"/>
      <c r="BW479" s="523"/>
      <c r="BX479" s="523"/>
      <c r="BY479" s="523"/>
      <c r="BZ479" s="868" t="str">
        <f>IFERROR(WWWW[[#This Row],['#_Water sources passed]]/WWWW[[#This Row],['#_Water sources tested for fecal coliform ]],"no test")</f>
        <v>no test</v>
      </c>
      <c r="CA479" s="866" t="str">
        <f>IFERROR(WWWW[[#This Row],['#_Household passed]]/WWWW[[#This Row],['#_Household water samples tested for fecal coliform]],"no test")</f>
        <v>no test</v>
      </c>
      <c r="CB479" s="867" t="str">
        <f>IF(AND(WWWW[[#This Row],[% of water sources passed]]="no test",WWWW[[#This Row],[% Household passed]]="no test"),"No Test","Tested")</f>
        <v>No Test</v>
      </c>
      <c r="CC479" s="867">
        <f>WWWW[[#This Row],['#_Constructed/existing protected hand dug well]]-WWWW[[#This Row],['#_Non-functional protected hand dug well]]</f>
        <v>1</v>
      </c>
      <c r="CD479" s="867">
        <f>(WWWW[[#This Row],['#_Constructed/Existing tube wells/boreholes/handpumps_WASH_agency]]+WWWW[[#This Row],['#_Non-Cluster partner water tube-wells/boreholes/handpumps]])-WWWW[[#This Row],['#_Non-functional tube wells/boreholes/handpumps]]</f>
        <v>2</v>
      </c>
      <c r="CE479" s="867">
        <f>WWWW[[#This Row],['#_Constructed/Existingwater storage tank with gravity fed reticulation system]]-WWWW[[#This Row],['#_Non-functional storage tank gravity fed reticulation system]]</f>
        <v>0</v>
      </c>
      <c r="CF479" s="867">
        <f>(WWWW[[#This Row],['#_Water_Liters_supplied_by_Water boating or water trucking]]/90)/15</f>
        <v>0</v>
      </c>
      <c r="CG479" s="867">
        <f>WWWW[[#This Row],['#_Water_Liters_from_Constructed/Existing water distribution system from river or natural spring]]/90/15</f>
        <v>0</v>
      </c>
      <c r="CH479" s="473">
        <f>WWWW[[#This Row],['#_of water points in TLS/CFS /THF]]*500</f>
        <v>0</v>
      </c>
      <c r="CI47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7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79" s="866">
        <f>IF(WWWW[[#This Row],[Location Type 1]]="Village",WWWW[[#This Row],[Access to safe drinking water for Village]],WWWW[[#This Row],[Access to safe drinking water for Camp]])</f>
        <v>1</v>
      </c>
      <c r="CL479" s="864">
        <f>WWWW[[#This Row],[%Equitable and continuous access to sufficient quantity of safe drinking water]]*WWWW[[#This Row],[Total PoP ]]</f>
        <v>291</v>
      </c>
      <c r="CM479" s="866">
        <f>IF((WWWW[[#This Row],['#_Constructed/Existing protected/fenced ponds]]*250)/WWWW[[#This Row],[Total PoP ]]&gt;1,1,(WWWW[[#This Row],['#_Constructed/Existing protected/fenced ponds]]*250)/WWWW[[#This Row],[Total PoP ]])</f>
        <v>0</v>
      </c>
      <c r="CN479" s="864">
        <f>WWWW[[#This Row],[% Access to unimproved water points]]*WWWW[[#This Row],[Total PoP ]]</f>
        <v>0</v>
      </c>
      <c r="CO47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7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Q479" s="864">
        <f>WWWW[[#This Row],[HRP1]]/500</f>
        <v>0.58199999999999996</v>
      </c>
      <c r="CR479" s="869">
        <f>1-WWWW[[#This Row],[% Equitable and continuous access to sufficient quantity of domestic water]]</f>
        <v>0</v>
      </c>
      <c r="CS479" s="864">
        <f>WWWW[[#This Row],[%equitable and continuous access to sufficient quantity of safe drinking and domestic water''s GAP]]*WWWW[[#This Row],[Total PoP ]]</f>
        <v>0</v>
      </c>
      <c r="CT479" s="867">
        <f>IF(WWWW[[#This Row],[Total required water points]]-WWWW[[#This Row],['#Water points coverage]]&lt;0,0,WWWW[[#This Row],[Total required water points]]-WWWW[[#This Row],['#Water points coverage]])</f>
        <v>0.41800000000000004</v>
      </c>
      <c r="CU479" s="867">
        <f>ROUND(IF(WWWW[[#This Row],[Total PoP ]]&lt;500,1,WWWW[[#This Row],[Total PoP ]]/500),0)</f>
        <v>1</v>
      </c>
      <c r="CV479" s="867">
        <f>(WWWW[[#This Row],['#_Constructed latrines_by_WASHAgencies]]+WWWW[[#This Row],['#_Non Cluster partner latrines]])-WWWW[[#This Row],['#_Non-functional latrines]]</f>
        <v>7</v>
      </c>
      <c r="CW479" s="804">
        <f>WWWW[[#This Row],[HRP2]]/WWWW[[#This Row],[Total PoP ]]</f>
        <v>0.48109965635738833</v>
      </c>
      <c r="CX47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47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7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79" s="473">
        <f>IF(WWWW[[#This Row],['# of functional latrines in THF supported by WASH partners during the reporting period2]]="",0,WWWW[[#This Row],['# of functional latrines in THF supported by WASH partners during the reporting period2]]*50)</f>
        <v>0</v>
      </c>
      <c r="DB479" s="473">
        <f>WWWW[[#This Row],['# students access to functioning school latrines_HRP5]]+WWWW[[#This Row],['# People access to functioning latrines in THF_HRP5]]</f>
        <v>0</v>
      </c>
      <c r="DC479" s="867">
        <f>ROUND(IF(WWWW[[#This Row],[Location Type 1]]="camp",WWWW[[#This Row],[Total PoP ]]/20,IF(WWWW[[#This Row],[Location Type 1]]="Temporary Location",WWWW[[#This Row],[Total PoP ]]/50,(WWWW[[#This Row],[Total PoP ]]/6))),0)</f>
        <v>15</v>
      </c>
      <c r="DD479" s="867">
        <f>IF(WWWW[[#This Row],[Total required Latrines]]-(WWWW[[#This Row],['#_Constructed latrines_by_WASHAgencies]]+WWWW[[#This Row],['#_Non Cluster partner latrines]])&lt;0,0,WWWW[[#This Row],[Total required Latrines]]-(WWWW[[#This Row],['#_Constructed latrines_by_WASHAgencies]]+WWWW[[#This Row],['#_Non Cluster partner latrines]]))</f>
        <v>8</v>
      </c>
      <c r="DE479" s="869">
        <f>1-WWWW[[#This Row],[% people access to functioning Latrine]]</f>
        <v>0.51890034364261162</v>
      </c>
      <c r="DF479" s="868">
        <f>IF(OR(WWWW[[#This Row],['#_Non-functional latrines]]="",WWWW[[#This Row],['#_Non-functional latrines]]=0),0,WWWW[[#This Row],['#_Non-functional latrines]]/(WWWW[[#This Row],['#_Constructed latrines_by_WASHAgencies]]+WWWW[[#This Row],['#_Non Cluster partner latrines]]))</f>
        <v>0</v>
      </c>
      <c r="DG479" s="864">
        <f>IF(500*(WWWW[[#This Row],['#_male hygiene promoters]]+WWWW[[#This Row],['#_female hygiene promoters]])&gt;WWWW[[#This Row],[Total PoP ]],WWWW[[#This Row],[Total PoP ]],500*(WWWW[[#This Row],['#_male hygiene promoters]]+WWWW[[#This Row],['#_female hygiene promoters]]))</f>
        <v>291</v>
      </c>
      <c r="DH47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291</v>
      </c>
      <c r="DI47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79" s="867">
        <f>IF(WWWW[[#This Row],['# People with access to soap]]&gt;WWWW[[#This Row],['# People with access to Sanity Pads]],WWWW[[#This Row],['# People with access to soap]],WWWW[[#This Row],['# People with access to Sanity Pads]])</f>
        <v>291</v>
      </c>
      <c r="DK479" s="867">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L479" s="869">
        <f>IF(WWWW[[#This Row],[HRP3]]/WWWW[[#This Row],[Total PoP ]]&gt;1,1,WWWW[[#This Row],[HRP3]]/WWWW[[#This Row],[Total PoP ]])</f>
        <v>1</v>
      </c>
      <c r="DM479" s="868">
        <f>1-WWWW[[#This Row],[Hygiene Coverage%]]</f>
        <v>0</v>
      </c>
      <c r="DN479" s="866">
        <f>WWWW[[#This Row],['# people reached by regular dedicated hygiene promotion_5]]/WWWW[[#This Row],[Total PoP ]]</f>
        <v>1</v>
      </c>
      <c r="DO47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7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79" s="867">
        <f>WWWW[[#This Row],['#_Constructed/Existing hand washing stations]]-WWWW[[#This Row],['#_Non-Functional_hand_washing_stations]]</f>
        <v>4</v>
      </c>
      <c r="DR479" s="864">
        <f>IF(WWWW[[#This Row],['# Functional hand washing stations during reporting period]]*20&gt;WWWW[[#This Row],[Total HH]],WWWW[[#This Row],[Total HH]],WWWW[[#This Row],['# Functional hand washing stations during reporting period]]*20)</f>
        <v>37</v>
      </c>
      <c r="DS479" s="864">
        <f>IF(WWWW[[#This Row],[Is sufficient soap available for TLS? (Yes/No)]]="yes",WWWW[[#This Row],['#_Constructed/Existing hand washing stations at TLS]],0)</f>
        <v>0</v>
      </c>
      <c r="DT479" s="479">
        <f>IF(WWWW[[#This Row],['# Functional hand washing stations during reporting period]]*100&gt;WWWW[[#This Row],[Total PoP ]],WWWW[[#This Row],[Total PoP ]],WWWW[[#This Row],['# Functional hand washing stations during reporting period]]*100)</f>
        <v>291</v>
      </c>
      <c r="DU479" s="479" t="str">
        <f>IF(OR(WWWW[[#This Row],['#_students at TLS_CFS]]="",WWWW[[#This Row],['#_students at TLS_CFS]]=0),"No","Yes")</f>
        <v>No</v>
      </c>
      <c r="DV47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79" s="862" t="str">
        <f>VLOOKUP(WWWW[[#This Row],[Site Name]],SiteDB6[[Site Name]:[CCCM Management]],6,FALSE)</f>
        <v>Yes</v>
      </c>
      <c r="DZ479" s="862" t="str">
        <f>VLOOKUP(WWWW[[#This Row],[Site Name]],SiteDB6[[Site Name]:[CCCM Focal Agency]],7,FALSE)</f>
        <v>KBC-BMO</v>
      </c>
      <c r="EA479" s="862" t="str">
        <f>VLOOKUP(WWWW[[#This Row],[Site Name]],SiteDB6[[Site Name]:[Location Type 1]],9,FALSE)</f>
        <v>Camp</v>
      </c>
      <c r="EB479" s="862" t="str">
        <f>VLOOKUP(WWWW[[#This Row],[Site Name]],SiteDB6[[Site Name]:[Type of Accommodation]],10,FALSE)</f>
        <v>Camp</v>
      </c>
      <c r="EC479" s="862" t="str">
        <f>VLOOKUP(WWWW[[#This Row],[Site Name]],SiteDB6[[Site Name]:[Ethnic or GCA/NGCA]],11,FALSE)</f>
        <v>GCA</v>
      </c>
      <c r="ED479" s="862">
        <f>VLOOKUP(WWWW[[#This Row],[Site Name]],SiteDB6[[Site Name]:[Lat]],12,FALSE)</f>
        <v>24.24766</v>
      </c>
      <c r="EE479" s="862">
        <f>VLOOKUP(WWWW[[#This Row],[Site Name]],SiteDB6[[Site Name]:[Long]],13,FALSE)</f>
        <v>97.236919999999998</v>
      </c>
      <c r="EF479" s="862" t="str">
        <f>VLOOKUP(WWWW[[#This Row],[Site Name]],SiteDB6[[Site Name]:[Pcode]],3,FALSE)</f>
        <v>MMR001CMP052</v>
      </c>
      <c r="EG479" s="865" t="str">
        <f t="shared" si="14"/>
        <v>Covered</v>
      </c>
      <c r="EH479" s="865" t="str">
        <f>VLOOKUP(WWWW[[#This Row],[Site Name]],Site_DB!$C$389:$D$1120,2,FALSE)</f>
        <v>cccm_2019OCT</v>
      </c>
    </row>
    <row r="480" spans="1:138">
      <c r="A480" s="860" t="s">
        <v>3263</v>
      </c>
      <c r="B480" s="860" t="s">
        <v>195</v>
      </c>
      <c r="C480" s="861" t="s">
        <v>195</v>
      </c>
      <c r="D480" s="861" t="s">
        <v>3364</v>
      </c>
      <c r="E480" s="861" t="s">
        <v>711</v>
      </c>
      <c r="F480" s="861" t="s">
        <v>715</v>
      </c>
      <c r="G480" s="721" t="str">
        <f>VLOOKUP(WWWW[[#This Row],[Site Name]],SiteDB6[[Site Name]:[Location Type]],8,FALSE)</f>
        <v>Camp</v>
      </c>
      <c r="H480" s="861" t="s">
        <v>2305</v>
      </c>
      <c r="I480" s="851">
        <v>32</v>
      </c>
      <c r="J480" s="851">
        <v>154</v>
      </c>
      <c r="K480" s="407" t="s">
        <v>3634</v>
      </c>
      <c r="L480" s="56" t="s">
        <v>3632</v>
      </c>
      <c r="M480" s="851"/>
      <c r="N480" s="851">
        <v>1</v>
      </c>
      <c r="O480" s="851"/>
      <c r="P480" s="851"/>
      <c r="Q480" s="864" t="s">
        <v>43</v>
      </c>
      <c r="R480" s="851">
        <v>4</v>
      </c>
      <c r="S480" s="851">
        <v>5</v>
      </c>
      <c r="T480" s="523">
        <v>0</v>
      </c>
      <c r="U480" s="851"/>
      <c r="V480" s="851"/>
      <c r="W480" s="851">
        <v>0</v>
      </c>
      <c r="X480" s="851">
        <v>0</v>
      </c>
      <c r="Y480" s="851"/>
      <c r="Z480" s="851"/>
      <c r="AA480" s="851">
        <v>1</v>
      </c>
      <c r="AB480" s="851">
        <v>1</v>
      </c>
      <c r="AC480" s="851"/>
      <c r="AD480" s="851">
        <v>0</v>
      </c>
      <c r="AE480" s="851"/>
      <c r="AF480" s="851">
        <v>0</v>
      </c>
      <c r="AG480" s="851">
        <v>3</v>
      </c>
      <c r="AH480" s="851"/>
      <c r="AI480" s="851"/>
      <c r="AJ480" s="851"/>
      <c r="AK480" s="851"/>
      <c r="AL480" s="851"/>
      <c r="AM480" s="851"/>
      <c r="AN480" s="851"/>
      <c r="AO480" s="865"/>
      <c r="AP480" s="851">
        <v>30</v>
      </c>
      <c r="AQ480" s="851">
        <v>0</v>
      </c>
      <c r="AR480" s="866"/>
      <c r="AS480" s="851"/>
      <c r="AT480" s="851"/>
      <c r="AU480" s="851"/>
      <c r="AV480" s="851"/>
      <c r="AW480" s="851"/>
      <c r="AX480" s="862" t="s">
        <v>43</v>
      </c>
      <c r="AY480" s="865" t="s">
        <v>140</v>
      </c>
      <c r="AZ480" s="851">
        <v>0</v>
      </c>
      <c r="BA480" s="851">
        <v>0</v>
      </c>
      <c r="BB480" s="851"/>
      <c r="BC480" s="523"/>
      <c r="BD480" s="523"/>
      <c r="BE480" s="862"/>
      <c r="BF480" s="851">
        <v>0</v>
      </c>
      <c r="BG480" s="851"/>
      <c r="BH480" s="851">
        <v>0</v>
      </c>
      <c r="BI480" s="851">
        <v>1</v>
      </c>
      <c r="BJ480" s="851"/>
      <c r="BK480" s="851">
        <v>0</v>
      </c>
      <c r="BL480" s="851">
        <v>1</v>
      </c>
      <c r="BM480" s="851">
        <v>32</v>
      </c>
      <c r="BN480" s="851"/>
      <c r="BO480" s="862"/>
      <c r="BP480" s="867"/>
      <c r="BQ480" s="866"/>
      <c r="BR480" s="862"/>
      <c r="BS480" s="472"/>
      <c r="BT480" s="472"/>
      <c r="BU480" s="474"/>
      <c r="BV480" s="472"/>
      <c r="BW480" s="523"/>
      <c r="BX480" s="523"/>
      <c r="BY480" s="523"/>
      <c r="BZ480" s="868" t="str">
        <f>IFERROR(WWWW[[#This Row],['#_Water sources passed]]/WWWW[[#This Row],['#_Water sources tested for fecal coliform ]],"no test")</f>
        <v>no test</v>
      </c>
      <c r="CA480" s="866" t="str">
        <f>IFERROR(WWWW[[#This Row],['#_Household passed]]/WWWW[[#This Row],['#_Household water samples tested for fecal coliform]],"no test")</f>
        <v>no test</v>
      </c>
      <c r="CB480" s="867" t="str">
        <f>IF(AND(WWWW[[#This Row],[% of water sources passed]]="no test",WWWW[[#This Row],[% Household passed]]="no test"),"No Test","Tested")</f>
        <v>No Test</v>
      </c>
      <c r="CC480" s="867">
        <f>WWWW[[#This Row],['#_Constructed/existing protected hand dug well]]-WWWW[[#This Row],['#_Non-functional protected hand dug well]]</f>
        <v>0</v>
      </c>
      <c r="CD480" s="867">
        <f>(WWWW[[#This Row],['#_Constructed/Existing tube wells/boreholes/handpumps_WASH_agency]]+WWWW[[#This Row],['#_Non-Cluster partner water tube-wells/boreholes/handpumps]])-WWWW[[#This Row],['#_Non-functional tube wells/boreholes/handpumps]]</f>
        <v>0</v>
      </c>
      <c r="CE480" s="867">
        <f>WWWW[[#This Row],['#_Constructed/Existingwater storage tank with gravity fed reticulation system]]-WWWW[[#This Row],['#_Non-functional storage tank gravity fed reticulation system]]</f>
        <v>0</v>
      </c>
      <c r="CF480" s="867">
        <f>(WWWW[[#This Row],['#_Water_Liters_supplied_by_Water boating or water trucking]]/90)/15</f>
        <v>0</v>
      </c>
      <c r="CG480" s="867">
        <f>WWWW[[#This Row],['#_Water_Liters_from_Constructed/Existing water distribution system from river or natural spring]]/90/15</f>
        <v>0</v>
      </c>
      <c r="CH480" s="473">
        <f>WWWW[[#This Row],['#_of water points in TLS/CFS /THF]]*500</f>
        <v>0</v>
      </c>
      <c r="CI48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8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80" s="866">
        <f>IF(WWWW[[#This Row],[Location Type 1]]="Village",WWWW[[#This Row],[Access to safe drinking water for Village]],WWWW[[#This Row],[Access to safe drinking water for Camp]])</f>
        <v>0</v>
      </c>
      <c r="CL480" s="864">
        <f>WWWW[[#This Row],[%Equitable and continuous access to sufficient quantity of safe drinking water]]*WWWW[[#This Row],[Total PoP ]]</f>
        <v>0</v>
      </c>
      <c r="CM480" s="866">
        <f>IF((WWWW[[#This Row],['#_Constructed/Existing protected/fenced ponds]]*250)/WWWW[[#This Row],[Total PoP ]]&gt;1,1,(WWWW[[#This Row],['#_Constructed/Existing protected/fenced ponds]]*250)/WWWW[[#This Row],[Total PoP ]])</f>
        <v>0</v>
      </c>
      <c r="CN480" s="864">
        <f>WWWW[[#This Row],[% Access to unimproved water points]]*WWWW[[#This Row],[Total PoP ]]</f>
        <v>0</v>
      </c>
      <c r="CO48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8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80" s="864">
        <f>WWWW[[#This Row],[HRP1]]/500</f>
        <v>0</v>
      </c>
      <c r="CR480" s="869">
        <f>1-WWWW[[#This Row],[% Equitable and continuous access to sufficient quantity of domestic water]]</f>
        <v>1</v>
      </c>
      <c r="CS480" s="864">
        <f>WWWW[[#This Row],[%equitable and continuous access to sufficient quantity of safe drinking and domestic water''s GAP]]*WWWW[[#This Row],[Total PoP ]]</f>
        <v>154</v>
      </c>
      <c r="CT480" s="867">
        <f>IF(WWWW[[#This Row],[Total required water points]]-WWWW[[#This Row],['#Water points coverage]]&lt;0,0,WWWW[[#This Row],[Total required water points]]-WWWW[[#This Row],['#Water points coverage]])</f>
        <v>1</v>
      </c>
      <c r="CU480" s="867">
        <f>ROUND(IF(WWWW[[#This Row],[Total PoP ]]&lt;500,1,WWWW[[#This Row],[Total PoP ]]/500),0)</f>
        <v>1</v>
      </c>
      <c r="CV480" s="867">
        <f>(WWWW[[#This Row],['#_Constructed latrines_by_WASHAgencies]]+WWWW[[#This Row],['#_Non Cluster partner latrines]])-WWWW[[#This Row],['#_Non-functional latrines]]</f>
        <v>30</v>
      </c>
      <c r="CW480" s="804">
        <f>WWWW[[#This Row],[HRP2]]/WWWW[[#This Row],[Total PoP ]]</f>
        <v>1</v>
      </c>
      <c r="CX48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154</v>
      </c>
      <c r="CY48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0" s="473">
        <f>IF(WWWW[[#This Row],['# of functional latrines in THF supported by WASH partners during the reporting period2]]="",0,WWWW[[#This Row],['# of functional latrines in THF supported by WASH partners during the reporting period2]]*50)</f>
        <v>0</v>
      </c>
      <c r="DB480" s="473">
        <f>WWWW[[#This Row],['# students access to functioning school latrines_HRP5]]+WWWW[[#This Row],['# People access to functioning latrines in THF_HRP5]]</f>
        <v>0</v>
      </c>
      <c r="DC480" s="867">
        <f>ROUND(IF(WWWW[[#This Row],[Location Type 1]]="camp",WWWW[[#This Row],[Total PoP ]]/20,IF(WWWW[[#This Row],[Location Type 1]]="Temporary Location",WWWW[[#This Row],[Total PoP ]]/50,(WWWW[[#This Row],[Total PoP ]]/6))),0)</f>
        <v>8</v>
      </c>
      <c r="DD480" s="867">
        <f>IF(WWWW[[#This Row],[Total required Latrines]]-(WWWW[[#This Row],['#_Constructed latrines_by_WASHAgencies]]+WWWW[[#This Row],['#_Non Cluster partner latrines]])&lt;0,0,WWWW[[#This Row],[Total required Latrines]]-(WWWW[[#This Row],['#_Constructed latrines_by_WASHAgencies]]+WWWW[[#This Row],['#_Non Cluster partner latrines]]))</f>
        <v>0</v>
      </c>
      <c r="DE480" s="869">
        <f>1-WWWW[[#This Row],[% people access to functioning Latrine]]</f>
        <v>0</v>
      </c>
      <c r="DF480" s="868">
        <f>IF(OR(WWWW[[#This Row],['#_Non-functional latrines]]="",WWWW[[#This Row],['#_Non-functional latrines]]=0),0,WWWW[[#This Row],['#_Non-functional latrines]]/(WWWW[[#This Row],['#_Constructed latrines_by_WASHAgencies]]+WWWW[[#This Row],['#_Non Cluster partner latrines]]))</f>
        <v>0</v>
      </c>
      <c r="DG480" s="864">
        <f>IF(500*(WWWW[[#This Row],['#_male hygiene promoters]]+WWWW[[#This Row],['#_female hygiene promoters]])&gt;WWWW[[#This Row],[Total PoP ]],WWWW[[#This Row],[Total PoP ]],500*(WWWW[[#This Row],['#_male hygiene promoters]]+WWWW[[#This Row],['#_female hygiene promoters]]))</f>
        <v>154</v>
      </c>
      <c r="DH48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154</v>
      </c>
      <c r="DI48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0" s="867">
        <f>IF(WWWW[[#This Row],['# People with access to soap]]&gt;WWWW[[#This Row],['# People with access to Sanity Pads]],WWWW[[#This Row],['# People with access to soap]],WWWW[[#This Row],['# People with access to Sanity Pads]])</f>
        <v>154</v>
      </c>
      <c r="DK480" s="867">
        <f>IF(WWWW[[#This Row],['# people reached by regular dedicated hygiene promotion_5]]&gt;WWWW[[#This Row],['# People received regular supply of hygiene items_6]],WWWW[[#This Row],['# people reached by regular dedicated hygiene promotion_5]],WWWW[[#This Row],['# People received regular supply of hygiene items_6]])</f>
        <v>154</v>
      </c>
      <c r="DL480" s="869">
        <f>IF(WWWW[[#This Row],[HRP3]]/WWWW[[#This Row],[Total PoP ]]&gt;1,1,WWWW[[#This Row],[HRP3]]/WWWW[[#This Row],[Total PoP ]])</f>
        <v>1</v>
      </c>
      <c r="DM480" s="868">
        <f>1-WWWW[[#This Row],[Hygiene Coverage%]]</f>
        <v>0</v>
      </c>
      <c r="DN480" s="866">
        <f>WWWW[[#This Row],['# people reached by regular dedicated hygiene promotion_5]]/WWWW[[#This Row],[Total PoP ]]</f>
        <v>1</v>
      </c>
      <c r="DO48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0" s="867">
        <f>WWWW[[#This Row],['#_Constructed/Existing hand washing stations]]-WWWW[[#This Row],['#_Non-Functional_hand_washing_stations]]</f>
        <v>0</v>
      </c>
      <c r="DR480" s="864">
        <f>IF(WWWW[[#This Row],['# Functional hand washing stations during reporting period]]*20&gt;WWWW[[#This Row],[Total HH]],WWWW[[#This Row],[Total HH]],WWWW[[#This Row],['# Functional hand washing stations during reporting period]]*20)</f>
        <v>0</v>
      </c>
      <c r="DS480" s="864">
        <f>IF(WWWW[[#This Row],[Is sufficient soap available for TLS? (Yes/No)]]="yes",WWWW[[#This Row],['#_Constructed/Existing hand washing stations at TLS]],0)</f>
        <v>0</v>
      </c>
      <c r="DT480" s="479">
        <f>IF(WWWW[[#This Row],['# Functional hand washing stations during reporting period]]*100&gt;WWWW[[#This Row],[Total PoP ]],WWWW[[#This Row],[Total PoP ]],WWWW[[#This Row],['# Functional hand washing stations during reporting period]]*100)</f>
        <v>0</v>
      </c>
      <c r="DU480" s="479" t="str">
        <f>IF(OR(WWWW[[#This Row],['#_students at TLS_CFS]]="",WWWW[[#This Row],['#_students at TLS_CFS]]=0),"No","Yes")</f>
        <v>No</v>
      </c>
      <c r="DV48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0" s="862" t="str">
        <f>VLOOKUP(WWWW[[#This Row],[Site Name]],SiteDB6[[Site Name]:[CCCM Management]],6,FALSE)</f>
        <v>Yes</v>
      </c>
      <c r="DZ480" s="862" t="str">
        <f>VLOOKUP(WWWW[[#This Row],[Site Name]],SiteDB6[[Site Name]:[CCCM Focal Agency]],7,FALSE)</f>
        <v>KMSS-LSO</v>
      </c>
      <c r="EA480" s="862" t="str">
        <f>VLOOKUP(WWWW[[#This Row],[Site Name]],SiteDB6[[Site Name]:[Location Type 1]],9,FALSE)</f>
        <v>Camp</v>
      </c>
      <c r="EB480" s="862" t="str">
        <f>VLOOKUP(WWWW[[#This Row],[Site Name]],SiteDB6[[Site Name]:[Type of Accommodation]],10,FALSE)</f>
        <v>Camp</v>
      </c>
      <c r="EC480" s="862" t="str">
        <f>VLOOKUP(WWWW[[#This Row],[Site Name]],SiteDB6[[Site Name]:[Ethnic or GCA/NGCA]],11,FALSE)</f>
        <v>GCA</v>
      </c>
      <c r="ED480" s="862">
        <f>VLOOKUP(WWWW[[#This Row],[Site Name]],SiteDB6[[Site Name]:[Lat]],12,FALSE)</f>
        <v>0</v>
      </c>
      <c r="EE480" s="862">
        <f>VLOOKUP(WWWW[[#This Row],[Site Name]],SiteDB6[[Site Name]:[Long]],13,FALSE)</f>
        <v>0</v>
      </c>
      <c r="EF480" s="862" t="str">
        <f>VLOOKUP(WWWW[[#This Row],[Site Name]],SiteDB6[[Site Name]:[Pcode]],3,FALSE)</f>
        <v>MMR015CMP250</v>
      </c>
      <c r="EG480" s="865" t="str">
        <f t="shared" si="14"/>
        <v>Covered</v>
      </c>
      <c r="EH480" s="865" t="str">
        <f>VLOOKUP(WWWW[[#This Row],[Site Name]],Site_DB!$C$389:$D$1120,2,FALSE)</f>
        <v>cccm_2019OCT</v>
      </c>
    </row>
    <row r="481" spans="1:138">
      <c r="A481" s="860" t="s">
        <v>3263</v>
      </c>
      <c r="B481" s="860" t="s">
        <v>144</v>
      </c>
      <c r="C481" s="861" t="s">
        <v>144</v>
      </c>
      <c r="D481" s="861" t="s">
        <v>3280</v>
      </c>
      <c r="E481" s="861" t="s">
        <v>39</v>
      </c>
      <c r="F481" s="861" t="s">
        <v>145</v>
      </c>
      <c r="G481" s="721" t="str">
        <f>VLOOKUP(WWWW[[#This Row],[Site Name]],SiteDB6[[Site Name]:[Location Type]],8,FALSE)</f>
        <v>Camp</v>
      </c>
      <c r="H481" s="861" t="s">
        <v>183</v>
      </c>
      <c r="I481" s="851">
        <v>178</v>
      </c>
      <c r="J481" s="851">
        <v>846</v>
      </c>
      <c r="K481" s="863">
        <v>43475</v>
      </c>
      <c r="L481" s="859" t="s">
        <v>3281</v>
      </c>
      <c r="M481" s="851"/>
      <c r="N481" s="851"/>
      <c r="O481" s="851"/>
      <c r="P481" s="851"/>
      <c r="Q481" s="864" t="s">
        <v>43</v>
      </c>
      <c r="R481" s="851"/>
      <c r="S481" s="851">
        <v>4</v>
      </c>
      <c r="T481" s="523">
        <v>0</v>
      </c>
      <c r="U481" s="851"/>
      <c r="V481" s="851"/>
      <c r="W481" s="851">
        <v>0</v>
      </c>
      <c r="X481" s="851"/>
      <c r="Y481" s="851"/>
      <c r="Z481" s="851"/>
      <c r="AA481" s="851">
        <v>3</v>
      </c>
      <c r="AB481" s="851"/>
      <c r="AC481" s="851"/>
      <c r="AD481" s="851"/>
      <c r="AE481" s="851"/>
      <c r="AF481" s="851"/>
      <c r="AG481" s="851"/>
      <c r="AH481" s="851">
        <v>0</v>
      </c>
      <c r="AI481" s="851"/>
      <c r="AJ481" s="851"/>
      <c r="AK481" s="851"/>
      <c r="AL481" s="851"/>
      <c r="AM481" s="851"/>
      <c r="AN481" s="851"/>
      <c r="AO481" s="865"/>
      <c r="AP481" s="851">
        <v>150</v>
      </c>
      <c r="AQ481" s="851"/>
      <c r="AR481" s="866"/>
      <c r="AS481" s="851"/>
      <c r="AT481" s="851"/>
      <c r="AU481" s="851"/>
      <c r="AV481" s="851"/>
      <c r="AW481" s="851">
        <v>150</v>
      </c>
      <c r="AX481" s="862" t="s">
        <v>43</v>
      </c>
      <c r="AY481" s="865" t="s">
        <v>140</v>
      </c>
      <c r="AZ481" s="851"/>
      <c r="BA481" s="851"/>
      <c r="BB481" s="851"/>
      <c r="BC481" s="523"/>
      <c r="BD481" s="523"/>
      <c r="BE481" s="862"/>
      <c r="BF481" s="851">
        <v>150</v>
      </c>
      <c r="BG481" s="851"/>
      <c r="BH481" s="851"/>
      <c r="BI481" s="851">
        <v>4</v>
      </c>
      <c r="BJ481" s="851"/>
      <c r="BK481" s="851"/>
      <c r="BL481" s="851">
        <v>3</v>
      </c>
      <c r="BM481" s="851"/>
      <c r="BN481" s="851"/>
      <c r="BO481" s="862"/>
      <c r="BP481" s="867"/>
      <c r="BQ481" s="866"/>
      <c r="BR481" s="862"/>
      <c r="BS481" s="472"/>
      <c r="BT481" s="472"/>
      <c r="BU481" s="474"/>
      <c r="BV481" s="472"/>
      <c r="BW481" s="523"/>
      <c r="BX481" s="523"/>
      <c r="BY481" s="523"/>
      <c r="BZ481" s="868" t="str">
        <f>IFERROR(WWWW[[#This Row],['#_Water sources passed]]/WWWW[[#This Row],['#_Water sources tested for fecal coliform ]],"no test")</f>
        <v>no test</v>
      </c>
      <c r="CA481" s="866" t="str">
        <f>IFERROR(WWWW[[#This Row],['#_Household passed]]/WWWW[[#This Row],['#_Household water samples tested for fecal coliform]],"no test")</f>
        <v>no test</v>
      </c>
      <c r="CB481" s="867" t="str">
        <f>IF(AND(WWWW[[#This Row],[% of water sources passed]]="no test",WWWW[[#This Row],[% Household passed]]="no test"),"No Test","Tested")</f>
        <v>No Test</v>
      </c>
      <c r="CC481" s="867">
        <f>WWWW[[#This Row],['#_Constructed/existing protected hand dug well]]-WWWW[[#This Row],['#_Non-functional protected hand dug well]]</f>
        <v>0</v>
      </c>
      <c r="CD481" s="867">
        <f>(WWWW[[#This Row],['#_Constructed/Existing tube wells/boreholes/handpumps_WASH_agency]]+WWWW[[#This Row],['#_Non-Cluster partner water tube-wells/boreholes/handpumps]])-WWWW[[#This Row],['#_Non-functional tube wells/boreholes/handpumps]]</f>
        <v>0</v>
      </c>
      <c r="CE481" s="867">
        <f>WWWW[[#This Row],['#_Constructed/Existingwater storage tank with gravity fed reticulation system]]-WWWW[[#This Row],['#_Non-functional storage tank gravity fed reticulation system]]</f>
        <v>3</v>
      </c>
      <c r="CF481" s="867">
        <f>(WWWW[[#This Row],['#_Water_Liters_supplied_by_Water boating or water trucking]]/90)/15</f>
        <v>0</v>
      </c>
      <c r="CG481" s="867">
        <f>WWWW[[#This Row],['#_Water_Liters_from_Constructed/Existing water distribution system from river or natural spring]]/90/15</f>
        <v>0</v>
      </c>
      <c r="CH481" s="473">
        <f>WWWW[[#This Row],['#_of water points in TLS/CFS /THF]]*500</f>
        <v>0</v>
      </c>
      <c r="CI48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0.2364066193853428</v>
      </c>
      <c r="CJ48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0.2364066193853428</v>
      </c>
      <c r="CK481" s="866">
        <f>IF(WWWW[[#This Row],[Location Type 1]]="Village",WWWW[[#This Row],[Access to safe drinking water for Village]],WWWW[[#This Row],[Access to safe drinking water for Camp]])</f>
        <v>0.2364066193853428</v>
      </c>
      <c r="CL481" s="864">
        <f>WWWW[[#This Row],[%Equitable and continuous access to sufficient quantity of safe drinking water]]*WWWW[[#This Row],[Total PoP ]]</f>
        <v>200</v>
      </c>
      <c r="CM481" s="866">
        <f>IF((WWWW[[#This Row],['#_Constructed/Existing protected/fenced ponds]]*250)/WWWW[[#This Row],[Total PoP ]]&gt;1,1,(WWWW[[#This Row],['#_Constructed/Existing protected/fenced ponds]]*250)/WWWW[[#This Row],[Total PoP ]])</f>
        <v>0</v>
      </c>
      <c r="CN481" s="864">
        <f>WWWW[[#This Row],[% Access to unimproved water points]]*WWWW[[#This Row],[Total PoP ]]</f>
        <v>0</v>
      </c>
      <c r="CO48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P48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Q481" s="864">
        <f>WWWW[[#This Row],[HRP1]]/500</f>
        <v>0.4</v>
      </c>
      <c r="CR481" s="869">
        <f>1-WWWW[[#This Row],[% Equitable and continuous access to sufficient quantity of domestic water]]</f>
        <v>0.7635933806146572</v>
      </c>
      <c r="CS481" s="864">
        <f>WWWW[[#This Row],[%equitable and continuous access to sufficient quantity of safe drinking and domestic water''s GAP]]*WWWW[[#This Row],[Total PoP ]]</f>
        <v>646</v>
      </c>
      <c r="CT481" s="867">
        <f>IF(WWWW[[#This Row],[Total required water points]]-WWWW[[#This Row],['#Water points coverage]]&lt;0,0,WWWW[[#This Row],[Total required water points]]-WWWW[[#This Row],['#Water points coverage]])</f>
        <v>1.6</v>
      </c>
      <c r="CU481" s="867">
        <f>ROUND(IF(WWWW[[#This Row],[Total PoP ]]&lt;500,1,WWWW[[#This Row],[Total PoP ]]/500),0)</f>
        <v>2</v>
      </c>
      <c r="CV481" s="867">
        <f>(WWWW[[#This Row],['#_Constructed latrines_by_WASHAgencies]]+WWWW[[#This Row],['#_Non Cluster partner latrines]])-WWWW[[#This Row],['#_Non-functional latrines]]</f>
        <v>150</v>
      </c>
      <c r="CW481" s="804">
        <f>WWWW[[#This Row],[HRP2]]/WWWW[[#This Row],[Total PoP ]]</f>
        <v>0.88652482269503541</v>
      </c>
      <c r="CX48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CY48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1" s="473">
        <f>IF(WWWW[[#This Row],['# of functional latrines in THF supported by WASH partners during the reporting period2]]="",0,WWWW[[#This Row],['# of functional latrines in THF supported by WASH partners during the reporting period2]]*50)</f>
        <v>0</v>
      </c>
      <c r="DB481" s="473">
        <f>WWWW[[#This Row],['# students access to functioning school latrines_HRP5]]+WWWW[[#This Row],['# People access to functioning latrines in THF_HRP5]]</f>
        <v>0</v>
      </c>
      <c r="DC481" s="867">
        <f>ROUND(IF(WWWW[[#This Row],[Location Type 1]]="camp",WWWW[[#This Row],[Total PoP ]]/20,IF(WWWW[[#This Row],[Location Type 1]]="Temporary Location",WWWW[[#This Row],[Total PoP ]]/50,(WWWW[[#This Row],[Total PoP ]]/6))),0)</f>
        <v>141</v>
      </c>
      <c r="DD481" s="867">
        <f>IF(WWWW[[#This Row],[Total required Latrines]]-(WWWW[[#This Row],['#_Constructed latrines_by_WASHAgencies]]+WWWW[[#This Row],['#_Non Cluster partner latrines]])&lt;0,0,WWWW[[#This Row],[Total required Latrines]]-(WWWW[[#This Row],['#_Constructed latrines_by_WASHAgencies]]+WWWW[[#This Row],['#_Non Cluster partner latrines]]))</f>
        <v>0</v>
      </c>
      <c r="DE481" s="869">
        <f>1-WWWW[[#This Row],[% people access to functioning Latrine]]</f>
        <v>0.11347517730496459</v>
      </c>
      <c r="DF481" s="868">
        <f>IF(OR(WWWW[[#This Row],['#_Non-functional latrines]]="",WWWW[[#This Row],['#_Non-functional latrines]]=0),0,WWWW[[#This Row],['#_Non-functional latrines]]/(WWWW[[#This Row],['#_Constructed latrines_by_WASHAgencies]]+WWWW[[#This Row],['#_Non Cluster partner latrines]]))</f>
        <v>0</v>
      </c>
      <c r="DG481" s="864">
        <f>IF(500*(WWWW[[#This Row],['#_male hygiene promoters]]+WWWW[[#This Row],['#_female hygiene promoters]])&gt;WWWW[[#This Row],[Total PoP ]],WWWW[[#This Row],[Total PoP ]],500*(WWWW[[#This Row],['#_male hygiene promoters]]+WWWW[[#This Row],['#_female hygiene promoters]]))</f>
        <v>846</v>
      </c>
      <c r="DH48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8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1" s="867">
        <f>IF(WWWW[[#This Row],['# People with access to soap]]&gt;WWWW[[#This Row],['# People with access to Sanity Pads]],WWWW[[#This Row],['# People with access to soap]],WWWW[[#This Row],['# People with access to Sanity Pads]])</f>
        <v>0</v>
      </c>
      <c r="DK481" s="867">
        <f>IF(WWWW[[#This Row],['# people reached by regular dedicated hygiene promotion_5]]&gt;WWWW[[#This Row],['# People received regular supply of hygiene items_6]],WWWW[[#This Row],['# people reached by regular dedicated hygiene promotion_5]],WWWW[[#This Row],['# People received regular supply of hygiene items_6]])</f>
        <v>846</v>
      </c>
      <c r="DL481" s="869">
        <f>IF(WWWW[[#This Row],[HRP3]]/WWWW[[#This Row],[Total PoP ]]&gt;1,1,WWWW[[#This Row],[HRP3]]/WWWW[[#This Row],[Total PoP ]])</f>
        <v>1</v>
      </c>
      <c r="DM481" s="868">
        <f>1-WWWW[[#This Row],[Hygiene Coverage%]]</f>
        <v>0</v>
      </c>
      <c r="DN481" s="866">
        <f>WWWW[[#This Row],['# people reached by regular dedicated hygiene promotion_5]]/WWWW[[#This Row],[Total PoP ]]</f>
        <v>1</v>
      </c>
      <c r="DO48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8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1" s="867">
        <f>WWWW[[#This Row],['#_Constructed/Existing hand washing stations]]-WWWW[[#This Row],['#_Non-Functional_hand_washing_stations]]</f>
        <v>150</v>
      </c>
      <c r="DR481" s="864">
        <f>IF(WWWW[[#This Row],['# Functional hand washing stations during reporting period]]*20&gt;WWWW[[#This Row],[Total HH]],WWWW[[#This Row],[Total HH]],WWWW[[#This Row],['# Functional hand washing stations during reporting period]]*20)</f>
        <v>178</v>
      </c>
      <c r="DS481" s="864">
        <f>IF(WWWW[[#This Row],[Is sufficient soap available for TLS? (Yes/No)]]="yes",WWWW[[#This Row],['#_Constructed/Existing hand washing stations at TLS]],0)</f>
        <v>0</v>
      </c>
      <c r="DT481" s="479">
        <f>IF(WWWW[[#This Row],['# Functional hand washing stations during reporting period]]*100&gt;WWWW[[#This Row],[Total PoP ]],WWWW[[#This Row],[Total PoP ]],WWWW[[#This Row],['# Functional hand washing stations during reporting period]]*100)</f>
        <v>846</v>
      </c>
      <c r="DU481" s="479" t="str">
        <f>IF(OR(WWWW[[#This Row],['#_students at TLS_CFS]]="",WWWW[[#This Row],['#_students at TLS_CFS]]=0),"No","Yes")</f>
        <v>No</v>
      </c>
      <c r="DV48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1" s="862" t="str">
        <f>VLOOKUP(WWWW[[#This Row],[Site Name]],SiteDB6[[Site Name]:[CCCM Management]],6,FALSE)</f>
        <v>Yes</v>
      </c>
      <c r="DZ481" s="862" t="str">
        <f>VLOOKUP(WWWW[[#This Row],[Site Name]],SiteDB6[[Site Name]:[CCCM Focal Agency]],7,FALSE)</f>
        <v>KBC-MYT</v>
      </c>
      <c r="EA481" s="862" t="str">
        <f>VLOOKUP(WWWW[[#This Row],[Site Name]],SiteDB6[[Site Name]:[Location Type 1]],9,FALSE)</f>
        <v>Village Type Camp</v>
      </c>
      <c r="EB481" s="862" t="str">
        <f>VLOOKUP(WWWW[[#This Row],[Site Name]],SiteDB6[[Site Name]:[Type of Accommodation]],10,FALSE)</f>
        <v>Camp</v>
      </c>
      <c r="EC481" s="862" t="str">
        <f>VLOOKUP(WWWW[[#This Row],[Site Name]],SiteDB6[[Site Name]:[Ethnic or GCA/NGCA]],11,FALSE)</f>
        <v>NGCA</v>
      </c>
      <c r="ED481" s="862">
        <f>VLOOKUP(WWWW[[#This Row],[Site Name]],SiteDB6[[Site Name]:[Lat]],12,FALSE)</f>
        <v>24.831944</v>
      </c>
      <c r="EE481" s="862">
        <f>VLOOKUP(WWWW[[#This Row],[Site Name]],SiteDB6[[Site Name]:[Long]],13,FALSE)</f>
        <v>97.751389000000003</v>
      </c>
      <c r="EF481" s="862" t="str">
        <f>VLOOKUP(WWWW[[#This Row],[Site Name]],SiteDB6[[Site Name]:[Pcode]],3,FALSE)</f>
        <v>MMR001CMP120</v>
      </c>
      <c r="EG481" s="865" t="str">
        <f t="shared" si="14"/>
        <v>Covered</v>
      </c>
      <c r="EH481" s="865" t="str">
        <f>VLOOKUP(WWWW[[#This Row],[Site Name]],Site_DB!$C$389:$D$1120,2,FALSE)</f>
        <v>cccm_2019OCT</v>
      </c>
    </row>
    <row r="482" spans="1:138">
      <c r="A482" s="860" t="s">
        <v>3263</v>
      </c>
      <c r="B482" s="860" t="s">
        <v>195</v>
      </c>
      <c r="C482" s="861" t="s">
        <v>195</v>
      </c>
      <c r="D482" s="404" t="s">
        <v>3643</v>
      </c>
      <c r="E482" s="861" t="s">
        <v>39</v>
      </c>
      <c r="F482" s="861" t="s">
        <v>208</v>
      </c>
      <c r="G482" s="721" t="str">
        <f>VLOOKUP(WWWW[[#This Row],[Site Name]],SiteDB6[[Site Name]:[Location Type]],8,FALSE)</f>
        <v>Camp_not registered</v>
      </c>
      <c r="H482" s="861" t="s">
        <v>210</v>
      </c>
      <c r="I482" s="851">
        <v>17</v>
      </c>
      <c r="J482" s="851">
        <v>106</v>
      </c>
      <c r="K482" s="863" t="s">
        <v>3611</v>
      </c>
      <c r="L482" s="859" t="s">
        <v>3612</v>
      </c>
      <c r="M482" s="851"/>
      <c r="N482" s="851"/>
      <c r="O482" s="851"/>
      <c r="P482" s="851"/>
      <c r="Q482" s="864" t="s">
        <v>139</v>
      </c>
      <c r="R482" s="851"/>
      <c r="S482" s="851"/>
      <c r="T482" s="523">
        <v>1</v>
      </c>
      <c r="U482" s="851"/>
      <c r="V482" s="851"/>
      <c r="W482" s="851"/>
      <c r="X482" s="851"/>
      <c r="Y482" s="851"/>
      <c r="Z482" s="851"/>
      <c r="AA482" s="851"/>
      <c r="AB482" s="851"/>
      <c r="AC482" s="851"/>
      <c r="AD482" s="851"/>
      <c r="AE482" s="851"/>
      <c r="AF482" s="851"/>
      <c r="AG482" s="851"/>
      <c r="AH482" s="851"/>
      <c r="AI482" s="851"/>
      <c r="AJ482" s="851"/>
      <c r="AK482" s="851"/>
      <c r="AL482" s="851"/>
      <c r="AM482" s="851"/>
      <c r="AN482" s="851"/>
      <c r="AO482" s="865"/>
      <c r="AP482" s="851">
        <v>4</v>
      </c>
      <c r="AQ482" s="851"/>
      <c r="AR482" s="866"/>
      <c r="AS482" s="851"/>
      <c r="AT482" s="851"/>
      <c r="AU482" s="851"/>
      <c r="AV482" s="851"/>
      <c r="AW482" s="851"/>
      <c r="AX482" s="862" t="s">
        <v>43</v>
      </c>
      <c r="AY482" s="865" t="s">
        <v>140</v>
      </c>
      <c r="AZ482" s="851"/>
      <c r="BA482" s="851"/>
      <c r="BB482" s="851"/>
      <c r="BC482" s="523"/>
      <c r="BD482" s="523"/>
      <c r="BE482" s="862"/>
      <c r="BF482" s="851">
        <v>3</v>
      </c>
      <c r="BG482" s="851"/>
      <c r="BH482" s="851"/>
      <c r="BI482" s="851">
        <v>2</v>
      </c>
      <c r="BJ482" s="851"/>
      <c r="BK482" s="851"/>
      <c r="BL482" s="851">
        <v>1</v>
      </c>
      <c r="BM482" s="851">
        <v>17</v>
      </c>
      <c r="BN482" s="851"/>
      <c r="BO482" s="862"/>
      <c r="BP482" s="867"/>
      <c r="BQ482" s="866"/>
      <c r="BR482" s="806" t="s">
        <v>3645</v>
      </c>
      <c r="BS482" s="472"/>
      <c r="BT482" s="472"/>
      <c r="BU482" s="474"/>
      <c r="BV482" s="472"/>
      <c r="BW482" s="523"/>
      <c r="BX482" s="523"/>
      <c r="BY482" s="523"/>
      <c r="BZ482" s="868" t="str">
        <f>IFERROR(WWWW[[#This Row],['#_Water sources passed]]/WWWW[[#This Row],['#_Water sources tested for fecal coliform ]],"no test")</f>
        <v>no test</v>
      </c>
      <c r="CA482" s="866" t="str">
        <f>IFERROR(WWWW[[#This Row],['#_Household passed]]/WWWW[[#This Row],['#_Household water samples tested for fecal coliform]],"no test")</f>
        <v>no test</v>
      </c>
      <c r="CB482" s="867" t="str">
        <f>IF(AND(WWWW[[#This Row],[% of water sources passed]]="no test",WWWW[[#This Row],[% Household passed]]="no test"),"No Test","Tested")</f>
        <v>No Test</v>
      </c>
      <c r="CC482" s="867">
        <f>WWWW[[#This Row],['#_Constructed/existing protected hand dug well]]-WWWW[[#This Row],['#_Non-functional protected hand dug well]]</f>
        <v>1</v>
      </c>
      <c r="CD482" s="867">
        <f>(WWWW[[#This Row],['#_Constructed/Existing tube wells/boreholes/handpumps_WASH_agency]]+WWWW[[#This Row],['#_Non-Cluster partner water tube-wells/boreholes/handpumps]])-WWWW[[#This Row],['#_Non-functional tube wells/boreholes/handpumps]]</f>
        <v>0</v>
      </c>
      <c r="CE482" s="867">
        <f>WWWW[[#This Row],['#_Constructed/Existingwater storage tank with gravity fed reticulation system]]-WWWW[[#This Row],['#_Non-functional storage tank gravity fed reticulation system]]</f>
        <v>0</v>
      </c>
      <c r="CF482" s="867">
        <f>(WWWW[[#This Row],['#_Water_Liters_supplied_by_Water boating or water trucking]]/90)/15</f>
        <v>0</v>
      </c>
      <c r="CG482" s="867">
        <f>WWWW[[#This Row],['#_Water_Liters_from_Constructed/Existing water distribution system from river or natural spring]]/90/15</f>
        <v>0</v>
      </c>
      <c r="CH482" s="473">
        <f>WWWW[[#This Row],['#_of water points in TLS/CFS /THF]]*500</f>
        <v>0</v>
      </c>
      <c r="CI48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2" s="866">
        <f>IF(WWWW[[#This Row],[Location Type 1]]="Village",WWWW[[#This Row],[Access to safe drinking water for Village]],WWWW[[#This Row],[Access to safe drinking water for Camp]])</f>
        <v>1</v>
      </c>
      <c r="CL482" s="864">
        <f>WWWW[[#This Row],[%Equitable and continuous access to sufficient quantity of safe drinking water]]*WWWW[[#This Row],[Total PoP ]]</f>
        <v>106</v>
      </c>
      <c r="CM482" s="866">
        <f>IF((WWWW[[#This Row],['#_Constructed/Existing protected/fenced ponds]]*250)/WWWW[[#This Row],[Total PoP ]]&gt;1,1,(WWWW[[#This Row],['#_Constructed/Existing protected/fenced ponds]]*250)/WWWW[[#This Row],[Total PoP ]])</f>
        <v>0</v>
      </c>
      <c r="CN482" s="864">
        <f>WWWW[[#This Row],[% Access to unimproved water points]]*WWWW[[#This Row],[Total PoP ]]</f>
        <v>0</v>
      </c>
      <c r="CO48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Q482" s="864">
        <f>WWWW[[#This Row],[HRP1]]/500</f>
        <v>0.21199999999999999</v>
      </c>
      <c r="CR482" s="869">
        <f>1-WWWW[[#This Row],[% Equitable and continuous access to sufficient quantity of domestic water]]</f>
        <v>0</v>
      </c>
      <c r="CS482" s="864">
        <f>WWWW[[#This Row],[%equitable and continuous access to sufficient quantity of safe drinking and domestic water''s GAP]]*WWWW[[#This Row],[Total PoP ]]</f>
        <v>0</v>
      </c>
      <c r="CT482" s="867">
        <f>IF(WWWW[[#This Row],[Total required water points]]-WWWW[[#This Row],['#Water points coverage]]&lt;0,0,WWWW[[#This Row],[Total required water points]]-WWWW[[#This Row],['#Water points coverage]])</f>
        <v>0.78800000000000003</v>
      </c>
      <c r="CU482" s="867">
        <f>ROUND(IF(WWWW[[#This Row],[Total PoP ]]&lt;500,1,WWWW[[#This Row],[Total PoP ]]/500),0)</f>
        <v>1</v>
      </c>
      <c r="CV482" s="867">
        <f>(WWWW[[#This Row],['#_Constructed latrines_by_WASHAgencies]]+WWWW[[#This Row],['#_Non Cluster partner latrines]])-WWWW[[#This Row],['#_Non-functional latrines]]</f>
        <v>4</v>
      </c>
      <c r="CW482" s="804">
        <f>WWWW[[#This Row],[HRP2]]/WWWW[[#This Row],[Total PoP ]]</f>
        <v>0.75471698113207553</v>
      </c>
      <c r="CX48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48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2" s="473">
        <f>IF(WWWW[[#This Row],['# of functional latrines in THF supported by WASH partners during the reporting period2]]="",0,WWWW[[#This Row],['# of functional latrines in THF supported by WASH partners during the reporting period2]]*50)</f>
        <v>0</v>
      </c>
      <c r="DB482" s="473">
        <f>WWWW[[#This Row],['# students access to functioning school latrines_HRP5]]+WWWW[[#This Row],['# People access to functioning latrines in THF_HRP5]]</f>
        <v>0</v>
      </c>
      <c r="DC482" s="867">
        <f>ROUND(IF(WWWW[[#This Row],[Location Type 1]]="camp",WWWW[[#This Row],[Total PoP ]]/20,IF(WWWW[[#This Row],[Location Type 1]]="Temporary Location",WWWW[[#This Row],[Total PoP ]]/50,(WWWW[[#This Row],[Total PoP ]]/6))),0)</f>
        <v>5</v>
      </c>
      <c r="DD482" s="867">
        <f>IF(WWWW[[#This Row],[Total required Latrines]]-(WWWW[[#This Row],['#_Constructed latrines_by_WASHAgencies]]+WWWW[[#This Row],['#_Non Cluster partner latrines]])&lt;0,0,WWWW[[#This Row],[Total required Latrines]]-(WWWW[[#This Row],['#_Constructed latrines_by_WASHAgencies]]+WWWW[[#This Row],['#_Non Cluster partner latrines]]))</f>
        <v>1</v>
      </c>
      <c r="DE482" s="869">
        <f>1-WWWW[[#This Row],[% people access to functioning Latrine]]</f>
        <v>0.24528301886792447</v>
      </c>
      <c r="DF482" s="868">
        <f>IF(OR(WWWW[[#This Row],['#_Non-functional latrines]]="",WWWW[[#This Row],['#_Non-functional latrines]]=0),0,WWWW[[#This Row],['#_Non-functional latrines]]/(WWWW[[#This Row],['#_Constructed latrines_by_WASHAgencies]]+WWWW[[#This Row],['#_Non Cluster partner latrines]]))</f>
        <v>0</v>
      </c>
      <c r="DG482" s="864">
        <f>IF(500*(WWWW[[#This Row],['#_male hygiene promoters]]+WWWW[[#This Row],['#_female hygiene promoters]])&gt;WWWW[[#This Row],[Total PoP ]],WWWW[[#This Row],[Total PoP ]],500*(WWWW[[#This Row],['#_male hygiene promoters]]+WWWW[[#This Row],['#_female hygiene promoters]]))</f>
        <v>106</v>
      </c>
      <c r="DH48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106</v>
      </c>
      <c r="DI48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2" s="867">
        <f>IF(WWWW[[#This Row],['# People with access to soap]]&gt;WWWW[[#This Row],['# People with access to Sanity Pads]],WWWW[[#This Row],['# People with access to soap]],WWWW[[#This Row],['# People with access to Sanity Pads]])</f>
        <v>106</v>
      </c>
      <c r="DK482" s="867">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L482" s="869">
        <f>IF(WWWW[[#This Row],[HRP3]]/WWWW[[#This Row],[Total PoP ]]&gt;1,1,WWWW[[#This Row],[HRP3]]/WWWW[[#This Row],[Total PoP ]])</f>
        <v>1</v>
      </c>
      <c r="DM482" s="868">
        <f>1-WWWW[[#This Row],[Hygiene Coverage%]]</f>
        <v>0</v>
      </c>
      <c r="DN482" s="866">
        <f>WWWW[[#This Row],['# people reached by regular dedicated hygiene promotion_5]]/WWWW[[#This Row],[Total PoP ]]</f>
        <v>1</v>
      </c>
      <c r="DO48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2" s="867">
        <f>WWWW[[#This Row],['#_Constructed/Existing hand washing stations]]-WWWW[[#This Row],['#_Non-Functional_hand_washing_stations]]</f>
        <v>3</v>
      </c>
      <c r="DR482" s="864">
        <f>IF(WWWW[[#This Row],['# Functional hand washing stations during reporting period]]*20&gt;WWWW[[#This Row],[Total HH]],WWWW[[#This Row],[Total HH]],WWWW[[#This Row],['# Functional hand washing stations during reporting period]]*20)</f>
        <v>17</v>
      </c>
      <c r="DS482" s="864">
        <f>IF(WWWW[[#This Row],[Is sufficient soap available for TLS? (Yes/No)]]="yes",WWWW[[#This Row],['#_Constructed/Existing hand washing stations at TLS]],0)</f>
        <v>0</v>
      </c>
      <c r="DT482" s="479">
        <f>IF(WWWW[[#This Row],['# Functional hand washing stations during reporting period]]*100&gt;WWWW[[#This Row],[Total PoP ]],WWWW[[#This Row],[Total PoP ]],WWWW[[#This Row],['# Functional hand washing stations during reporting period]]*100)</f>
        <v>106</v>
      </c>
      <c r="DU482" s="479" t="str">
        <f>IF(OR(WWWW[[#This Row],['#_students at TLS_CFS]]="",WWWW[[#This Row],['#_students at TLS_CFS]]=0),"No","Yes")</f>
        <v>No</v>
      </c>
      <c r="DV48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2" s="862">
        <f>VLOOKUP(WWWW[[#This Row],[Site Name]],SiteDB6[[Site Name]:[CCCM Management]],6,FALSE)</f>
        <v>0</v>
      </c>
      <c r="DZ482" s="862">
        <f>VLOOKUP(WWWW[[#This Row],[Site Name]],SiteDB6[[Site Name]:[CCCM Focal Agency]],7,FALSE)</f>
        <v>0</v>
      </c>
      <c r="EA482" s="862" t="str">
        <f>VLOOKUP(WWWW[[#This Row],[Site Name]],SiteDB6[[Site Name]:[Location Type 1]],9,FALSE)</f>
        <v>Camp</v>
      </c>
      <c r="EB482" s="862" t="str">
        <f>VLOOKUP(WWWW[[#This Row],[Site Name]],SiteDB6[[Site Name]:[Type of Accommodation]],10,FALSE)</f>
        <v>Camp</v>
      </c>
      <c r="EC482" s="862" t="str">
        <f>VLOOKUP(WWWW[[#This Row],[Site Name]],SiteDB6[[Site Name]:[Ethnic or GCA/NGCA]],11,FALSE)</f>
        <v>GCA</v>
      </c>
      <c r="ED482" s="862">
        <f>VLOOKUP(WWWW[[#This Row],[Site Name]],SiteDB6[[Site Name]:[Lat]],12,FALSE)</f>
        <v>0</v>
      </c>
      <c r="EE482" s="862">
        <f>VLOOKUP(WWWW[[#This Row],[Site Name]],SiteDB6[[Site Name]:[Long]],13,FALSE)</f>
        <v>0</v>
      </c>
      <c r="EF482" s="862">
        <f>VLOOKUP(WWWW[[#This Row],[Site Name]],SiteDB6[[Site Name]:[Pcode]],3,FALSE)</f>
        <v>0</v>
      </c>
      <c r="EG482" s="865" t="str">
        <f t="shared" si="14"/>
        <v>Covered</v>
      </c>
      <c r="EH482" s="865">
        <f>VLOOKUP(WWWW[[#This Row],[Site Name]],Site_DB!$C$389:$D$1120,2,FALSE)</f>
        <v>0</v>
      </c>
    </row>
    <row r="483" spans="1:138">
      <c r="A483" s="860" t="s">
        <v>3263</v>
      </c>
      <c r="B483" s="860" t="s">
        <v>195</v>
      </c>
      <c r="C483" s="861" t="s">
        <v>195</v>
      </c>
      <c r="D483" s="404" t="s">
        <v>3643</v>
      </c>
      <c r="E483" s="861" t="s">
        <v>39</v>
      </c>
      <c r="F483" s="861" t="s">
        <v>208</v>
      </c>
      <c r="G483" s="721" t="str">
        <f>VLOOKUP(WWWW[[#This Row],[Site Name]],SiteDB6[[Site Name]:[Location Type]],8,FALSE)</f>
        <v>Camp_not registered</v>
      </c>
      <c r="H483" s="861" t="s">
        <v>212</v>
      </c>
      <c r="I483" s="851">
        <v>19</v>
      </c>
      <c r="J483" s="851">
        <v>94</v>
      </c>
      <c r="K483" s="863" t="s">
        <v>3611</v>
      </c>
      <c r="L483" s="859" t="s">
        <v>3612</v>
      </c>
      <c r="M483" s="851"/>
      <c r="N483" s="851"/>
      <c r="O483" s="851"/>
      <c r="P483" s="851"/>
      <c r="Q483" s="864" t="s">
        <v>139</v>
      </c>
      <c r="R483" s="851"/>
      <c r="S483" s="851"/>
      <c r="T483" s="523"/>
      <c r="U483" s="851"/>
      <c r="V483" s="851"/>
      <c r="W483" s="851"/>
      <c r="X483" s="851">
        <v>1</v>
      </c>
      <c r="Y483" s="851"/>
      <c r="Z483" s="851"/>
      <c r="AA483" s="851"/>
      <c r="AB483" s="851"/>
      <c r="AC483" s="851"/>
      <c r="AD483" s="851"/>
      <c r="AE483" s="851"/>
      <c r="AF483" s="851"/>
      <c r="AG483" s="851"/>
      <c r="AH483" s="851"/>
      <c r="AI483" s="851"/>
      <c r="AJ483" s="851"/>
      <c r="AK483" s="851"/>
      <c r="AL483" s="851"/>
      <c r="AM483" s="851"/>
      <c r="AN483" s="851"/>
      <c r="AO483" s="865"/>
      <c r="AP483" s="851">
        <v>5</v>
      </c>
      <c r="AQ483" s="851"/>
      <c r="AR483" s="866"/>
      <c r="AS483" s="851"/>
      <c r="AT483" s="851"/>
      <c r="AU483" s="851"/>
      <c r="AV483" s="851"/>
      <c r="AW483" s="851"/>
      <c r="AX483" s="862" t="s">
        <v>43</v>
      </c>
      <c r="AY483" s="865" t="s">
        <v>140</v>
      </c>
      <c r="AZ483" s="851"/>
      <c r="BA483" s="851"/>
      <c r="BB483" s="851"/>
      <c r="BC483" s="523"/>
      <c r="BD483" s="523"/>
      <c r="BE483" s="862"/>
      <c r="BF483" s="851">
        <v>2</v>
      </c>
      <c r="BG483" s="851"/>
      <c r="BH483" s="851"/>
      <c r="BI483" s="851">
        <v>1</v>
      </c>
      <c r="BJ483" s="851"/>
      <c r="BK483" s="851"/>
      <c r="BL483" s="851">
        <v>1</v>
      </c>
      <c r="BM483" s="851">
        <v>19</v>
      </c>
      <c r="BN483" s="851"/>
      <c r="BO483" s="862"/>
      <c r="BP483" s="867"/>
      <c r="BQ483" s="866"/>
      <c r="BR483" s="806" t="s">
        <v>3645</v>
      </c>
      <c r="BS483" s="472"/>
      <c r="BT483" s="472"/>
      <c r="BU483" s="474"/>
      <c r="BV483" s="472"/>
      <c r="BW483" s="523"/>
      <c r="BX483" s="523"/>
      <c r="BY483" s="523"/>
      <c r="BZ483" s="868" t="str">
        <f>IFERROR(WWWW[[#This Row],['#_Water sources passed]]/WWWW[[#This Row],['#_Water sources tested for fecal coliform ]],"no test")</f>
        <v>no test</v>
      </c>
      <c r="CA483" s="866" t="str">
        <f>IFERROR(WWWW[[#This Row],['#_Household passed]]/WWWW[[#This Row],['#_Household water samples tested for fecal coliform]],"no test")</f>
        <v>no test</v>
      </c>
      <c r="CB483" s="867" t="str">
        <f>IF(AND(WWWW[[#This Row],[% of water sources passed]]="no test",WWWW[[#This Row],[% Household passed]]="no test"),"No Test","Tested")</f>
        <v>No Test</v>
      </c>
      <c r="CC483" s="867">
        <f>WWWW[[#This Row],['#_Constructed/existing protected hand dug well]]-WWWW[[#This Row],['#_Non-functional protected hand dug well]]</f>
        <v>0</v>
      </c>
      <c r="CD483" s="867">
        <f>(WWWW[[#This Row],['#_Constructed/Existing tube wells/boreholes/handpumps_WASH_agency]]+WWWW[[#This Row],['#_Non-Cluster partner water tube-wells/boreholes/handpumps]])-WWWW[[#This Row],['#_Non-functional tube wells/boreholes/handpumps]]</f>
        <v>1</v>
      </c>
      <c r="CE483" s="867">
        <f>WWWW[[#This Row],['#_Constructed/Existingwater storage tank with gravity fed reticulation system]]-WWWW[[#This Row],['#_Non-functional storage tank gravity fed reticulation system]]</f>
        <v>0</v>
      </c>
      <c r="CF483" s="867">
        <f>(WWWW[[#This Row],['#_Water_Liters_supplied_by_Water boating or water trucking]]/90)/15</f>
        <v>0</v>
      </c>
      <c r="CG483" s="867">
        <f>WWWW[[#This Row],['#_Water_Liters_from_Constructed/Existing water distribution system from river or natural spring]]/90/15</f>
        <v>0</v>
      </c>
      <c r="CH483" s="473">
        <f>WWWW[[#This Row],['#_of water points in TLS/CFS /THF]]*500</f>
        <v>0</v>
      </c>
      <c r="CI48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3" s="866">
        <f>IF(WWWW[[#This Row],[Location Type 1]]="Village",WWWW[[#This Row],[Access to safe drinking water for Village]],WWWW[[#This Row],[Access to safe drinking water for Camp]])</f>
        <v>1</v>
      </c>
      <c r="CL483" s="864">
        <f>WWWW[[#This Row],[%Equitable and continuous access to sufficient quantity of safe drinking water]]*WWWW[[#This Row],[Total PoP ]]</f>
        <v>94</v>
      </c>
      <c r="CM483" s="866">
        <f>IF((WWWW[[#This Row],['#_Constructed/Existing protected/fenced ponds]]*250)/WWWW[[#This Row],[Total PoP ]]&gt;1,1,(WWWW[[#This Row],['#_Constructed/Existing protected/fenced ponds]]*250)/WWWW[[#This Row],[Total PoP ]])</f>
        <v>0</v>
      </c>
      <c r="CN483" s="864">
        <f>WWWW[[#This Row],[% Access to unimproved water points]]*WWWW[[#This Row],[Total PoP ]]</f>
        <v>0</v>
      </c>
      <c r="CO48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Q483" s="864">
        <f>WWWW[[#This Row],[HRP1]]/500</f>
        <v>0.188</v>
      </c>
      <c r="CR483" s="869">
        <f>1-WWWW[[#This Row],[% Equitable and continuous access to sufficient quantity of domestic water]]</f>
        <v>0</v>
      </c>
      <c r="CS483" s="864">
        <f>WWWW[[#This Row],[%equitable and continuous access to sufficient quantity of safe drinking and domestic water''s GAP]]*WWWW[[#This Row],[Total PoP ]]</f>
        <v>0</v>
      </c>
      <c r="CT483" s="867">
        <f>IF(WWWW[[#This Row],[Total required water points]]-WWWW[[#This Row],['#Water points coverage]]&lt;0,0,WWWW[[#This Row],[Total required water points]]-WWWW[[#This Row],['#Water points coverage]])</f>
        <v>0.81200000000000006</v>
      </c>
      <c r="CU483" s="867">
        <f>ROUND(IF(WWWW[[#This Row],[Total PoP ]]&lt;500,1,WWWW[[#This Row],[Total PoP ]]/500),0)</f>
        <v>1</v>
      </c>
      <c r="CV483" s="867">
        <f>(WWWW[[#This Row],['#_Constructed latrines_by_WASHAgencies]]+WWWW[[#This Row],['#_Non Cluster partner latrines]])-WWWW[[#This Row],['#_Non-functional latrines]]</f>
        <v>5</v>
      </c>
      <c r="CW483" s="804">
        <f>WWWW[[#This Row],[HRP2]]/WWWW[[#This Row],[Total PoP ]]</f>
        <v>1</v>
      </c>
      <c r="CX48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v>
      </c>
      <c r="CY48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3" s="473">
        <f>IF(WWWW[[#This Row],['# of functional latrines in THF supported by WASH partners during the reporting period2]]="",0,WWWW[[#This Row],['# of functional latrines in THF supported by WASH partners during the reporting period2]]*50)</f>
        <v>0</v>
      </c>
      <c r="DB483" s="473">
        <f>WWWW[[#This Row],['# students access to functioning school latrines_HRP5]]+WWWW[[#This Row],['# People access to functioning latrines in THF_HRP5]]</f>
        <v>0</v>
      </c>
      <c r="DC483" s="867">
        <f>ROUND(IF(WWWW[[#This Row],[Location Type 1]]="camp",WWWW[[#This Row],[Total PoP ]]/20,IF(WWWW[[#This Row],[Location Type 1]]="Temporary Location",WWWW[[#This Row],[Total PoP ]]/50,(WWWW[[#This Row],[Total PoP ]]/6))),0)</f>
        <v>5</v>
      </c>
      <c r="DD483" s="867">
        <f>IF(WWWW[[#This Row],[Total required Latrines]]-(WWWW[[#This Row],['#_Constructed latrines_by_WASHAgencies]]+WWWW[[#This Row],['#_Non Cluster partner latrines]])&lt;0,0,WWWW[[#This Row],[Total required Latrines]]-(WWWW[[#This Row],['#_Constructed latrines_by_WASHAgencies]]+WWWW[[#This Row],['#_Non Cluster partner latrines]]))</f>
        <v>0</v>
      </c>
      <c r="DE483" s="869">
        <f>1-WWWW[[#This Row],[% people access to functioning Latrine]]</f>
        <v>0</v>
      </c>
      <c r="DF483" s="868">
        <f>IF(OR(WWWW[[#This Row],['#_Non-functional latrines]]="",WWWW[[#This Row],['#_Non-functional latrines]]=0),0,WWWW[[#This Row],['#_Non-functional latrines]]/(WWWW[[#This Row],['#_Constructed latrines_by_WASHAgencies]]+WWWW[[#This Row],['#_Non Cluster partner latrines]]))</f>
        <v>0</v>
      </c>
      <c r="DG483" s="864">
        <f>IF(500*(WWWW[[#This Row],['#_male hygiene promoters]]+WWWW[[#This Row],['#_female hygiene promoters]])&gt;WWWW[[#This Row],[Total PoP ]],WWWW[[#This Row],[Total PoP ]],500*(WWWW[[#This Row],['#_male hygiene promoters]]+WWWW[[#This Row],['#_female hygiene promoters]]))</f>
        <v>94</v>
      </c>
      <c r="DH48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I48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3" s="867">
        <f>IF(WWWW[[#This Row],['# People with access to soap]]&gt;WWWW[[#This Row],['# People with access to Sanity Pads]],WWWW[[#This Row],['# People with access to soap]],WWWW[[#This Row],['# People with access to Sanity Pads]])</f>
        <v>94</v>
      </c>
      <c r="DK483" s="867">
        <f>IF(WWWW[[#This Row],['# people reached by regular dedicated hygiene promotion_5]]&gt;WWWW[[#This Row],['# People received regular supply of hygiene items_6]],WWWW[[#This Row],['# people reached by regular dedicated hygiene promotion_5]],WWWW[[#This Row],['# People received regular supply of hygiene items_6]])</f>
        <v>94</v>
      </c>
      <c r="DL483" s="869">
        <f>IF(WWWW[[#This Row],[HRP3]]/WWWW[[#This Row],[Total PoP ]]&gt;1,1,WWWW[[#This Row],[HRP3]]/WWWW[[#This Row],[Total PoP ]])</f>
        <v>1</v>
      </c>
      <c r="DM483" s="868">
        <f>1-WWWW[[#This Row],[Hygiene Coverage%]]</f>
        <v>0</v>
      </c>
      <c r="DN483" s="866">
        <f>WWWW[[#This Row],['# people reached by regular dedicated hygiene promotion_5]]/WWWW[[#This Row],[Total PoP ]]</f>
        <v>1</v>
      </c>
      <c r="DO48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3" s="867">
        <f>WWWW[[#This Row],['#_Constructed/Existing hand washing stations]]-WWWW[[#This Row],['#_Non-Functional_hand_washing_stations]]</f>
        <v>2</v>
      </c>
      <c r="DR483" s="864">
        <f>IF(WWWW[[#This Row],['# Functional hand washing stations during reporting period]]*20&gt;WWWW[[#This Row],[Total HH]],WWWW[[#This Row],[Total HH]],WWWW[[#This Row],['# Functional hand washing stations during reporting period]]*20)</f>
        <v>19</v>
      </c>
      <c r="DS483" s="864">
        <f>IF(WWWW[[#This Row],[Is sufficient soap available for TLS? (Yes/No)]]="yes",WWWW[[#This Row],['#_Constructed/Existing hand washing stations at TLS]],0)</f>
        <v>0</v>
      </c>
      <c r="DT483" s="479">
        <f>IF(WWWW[[#This Row],['# Functional hand washing stations during reporting period]]*100&gt;WWWW[[#This Row],[Total PoP ]],WWWW[[#This Row],[Total PoP ]],WWWW[[#This Row],['# Functional hand washing stations during reporting period]]*100)</f>
        <v>94</v>
      </c>
      <c r="DU483" s="479" t="str">
        <f>IF(OR(WWWW[[#This Row],['#_students at TLS_CFS]]="",WWWW[[#This Row],['#_students at TLS_CFS]]=0),"No","Yes")</f>
        <v>No</v>
      </c>
      <c r="DV48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3" s="862">
        <f>VLOOKUP(WWWW[[#This Row],[Site Name]],SiteDB6[[Site Name]:[CCCM Management]],6,FALSE)</f>
        <v>0</v>
      </c>
      <c r="DZ483" s="862">
        <f>VLOOKUP(WWWW[[#This Row],[Site Name]],SiteDB6[[Site Name]:[CCCM Focal Agency]],7,FALSE)</f>
        <v>0</v>
      </c>
      <c r="EA483" s="862" t="str">
        <f>VLOOKUP(WWWW[[#This Row],[Site Name]],SiteDB6[[Site Name]:[Location Type 1]],9,FALSE)</f>
        <v>Camp</v>
      </c>
      <c r="EB483" s="862" t="str">
        <f>VLOOKUP(WWWW[[#This Row],[Site Name]],SiteDB6[[Site Name]:[Type of Accommodation]],10,FALSE)</f>
        <v>Camp</v>
      </c>
      <c r="EC483" s="862" t="str">
        <f>VLOOKUP(WWWW[[#This Row],[Site Name]],SiteDB6[[Site Name]:[Ethnic or GCA/NGCA]],11,FALSE)</f>
        <v>GCA</v>
      </c>
      <c r="ED483" s="862">
        <f>VLOOKUP(WWWW[[#This Row],[Site Name]],SiteDB6[[Site Name]:[Lat]],12,FALSE)</f>
        <v>0</v>
      </c>
      <c r="EE483" s="862">
        <f>VLOOKUP(WWWW[[#This Row],[Site Name]],SiteDB6[[Site Name]:[Long]],13,FALSE)</f>
        <v>0</v>
      </c>
      <c r="EF483" s="862">
        <f>VLOOKUP(WWWW[[#This Row],[Site Name]],SiteDB6[[Site Name]:[Pcode]],3,FALSE)</f>
        <v>0</v>
      </c>
      <c r="EG483" s="865" t="str">
        <f t="shared" si="14"/>
        <v>Covered</v>
      </c>
      <c r="EH483" s="865">
        <f>VLOOKUP(WWWW[[#This Row],[Site Name]],Site_DB!$C$389:$D$1120,2,FALSE)</f>
        <v>0</v>
      </c>
    </row>
    <row r="484" spans="1:138">
      <c r="A484" s="860" t="s">
        <v>3263</v>
      </c>
      <c r="B484" s="860" t="s">
        <v>195</v>
      </c>
      <c r="C484" s="861" t="s">
        <v>195</v>
      </c>
      <c r="D484" s="861" t="s">
        <v>3364</v>
      </c>
      <c r="E484" s="861" t="s">
        <v>711</v>
      </c>
      <c r="F484" s="861" t="s">
        <v>715</v>
      </c>
      <c r="G484" s="721" t="str">
        <f>VLOOKUP(WWWW[[#This Row],[Site Name]],SiteDB6[[Site Name]:[Location Type]],8,FALSE)</f>
        <v>Camp</v>
      </c>
      <c r="H484" s="861" t="s">
        <v>737</v>
      </c>
      <c r="I484" s="851">
        <v>52</v>
      </c>
      <c r="J484" s="851">
        <v>259</v>
      </c>
      <c r="K484" s="407" t="s">
        <v>3634</v>
      </c>
      <c r="L484" s="56" t="s">
        <v>3632</v>
      </c>
      <c r="M484" s="851"/>
      <c r="N484" s="851">
        <v>1</v>
      </c>
      <c r="O484" s="851"/>
      <c r="P484" s="851"/>
      <c r="Q484" s="864" t="s">
        <v>43</v>
      </c>
      <c r="R484" s="851">
        <v>3</v>
      </c>
      <c r="S484" s="851">
        <v>3</v>
      </c>
      <c r="T484" s="523">
        <v>1</v>
      </c>
      <c r="U484" s="851"/>
      <c r="V484" s="851"/>
      <c r="W484" s="851">
        <v>1</v>
      </c>
      <c r="X484" s="851">
        <v>2</v>
      </c>
      <c r="Y484" s="851"/>
      <c r="Z484" s="851"/>
      <c r="AA484" s="851"/>
      <c r="AB484" s="851"/>
      <c r="AC484" s="851"/>
      <c r="AD484" s="851"/>
      <c r="AE484" s="851"/>
      <c r="AF484" s="851"/>
      <c r="AG484" s="851">
        <v>3</v>
      </c>
      <c r="AH484" s="851"/>
      <c r="AI484" s="851"/>
      <c r="AJ484" s="851"/>
      <c r="AK484" s="851"/>
      <c r="AL484" s="851"/>
      <c r="AM484" s="851"/>
      <c r="AN484" s="851"/>
      <c r="AO484" s="865"/>
      <c r="AP484" s="851">
        <v>12</v>
      </c>
      <c r="AQ484" s="851"/>
      <c r="AR484" s="866"/>
      <c r="AS484" s="851"/>
      <c r="AT484" s="851"/>
      <c r="AU484" s="851"/>
      <c r="AV484" s="851"/>
      <c r="AW484" s="851"/>
      <c r="AX484" s="862" t="s">
        <v>43</v>
      </c>
      <c r="AY484" s="865" t="s">
        <v>139</v>
      </c>
      <c r="AZ484" s="851"/>
      <c r="BA484" s="851"/>
      <c r="BB484" s="851">
        <v>1</v>
      </c>
      <c r="BC484" s="523"/>
      <c r="BD484" s="523"/>
      <c r="BE484" s="862"/>
      <c r="BF484" s="851">
        <v>7</v>
      </c>
      <c r="BG484" s="851"/>
      <c r="BH484" s="851"/>
      <c r="BI484" s="851">
        <v>1</v>
      </c>
      <c r="BJ484" s="851"/>
      <c r="BK484" s="851"/>
      <c r="BL484" s="851">
        <v>1</v>
      </c>
      <c r="BM484" s="851">
        <v>52</v>
      </c>
      <c r="BN484" s="851"/>
      <c r="BO484" s="862"/>
      <c r="BP484" s="867"/>
      <c r="BQ484" s="866"/>
      <c r="BR484" s="862"/>
      <c r="BS484" s="472"/>
      <c r="BT484" s="472"/>
      <c r="BU484" s="474"/>
      <c r="BV484" s="472"/>
      <c r="BW484" s="523"/>
      <c r="BX484" s="523"/>
      <c r="BY484" s="523"/>
      <c r="BZ484" s="868" t="str">
        <f>IFERROR(WWWW[[#This Row],['#_Water sources passed]]/WWWW[[#This Row],['#_Water sources tested for fecal coliform ]],"no test")</f>
        <v>no test</v>
      </c>
      <c r="CA484" s="866" t="str">
        <f>IFERROR(WWWW[[#This Row],['#_Household passed]]/WWWW[[#This Row],['#_Household water samples tested for fecal coliform]],"no test")</f>
        <v>no test</v>
      </c>
      <c r="CB484" s="867" t="str">
        <f>IF(AND(WWWW[[#This Row],[% of water sources passed]]="no test",WWWW[[#This Row],[% Household passed]]="no test"),"No Test","Tested")</f>
        <v>No Test</v>
      </c>
      <c r="CC484" s="867">
        <f>WWWW[[#This Row],['#_Constructed/existing protected hand dug well]]-WWWW[[#This Row],['#_Non-functional protected hand dug well]]</f>
        <v>1</v>
      </c>
      <c r="CD484" s="867">
        <f>(WWWW[[#This Row],['#_Constructed/Existing tube wells/boreholes/handpumps_WASH_agency]]+WWWW[[#This Row],['#_Non-Cluster partner water tube-wells/boreholes/handpumps]])-WWWW[[#This Row],['#_Non-functional tube wells/boreholes/handpumps]]</f>
        <v>3</v>
      </c>
      <c r="CE484" s="867">
        <f>WWWW[[#This Row],['#_Constructed/Existingwater storage tank with gravity fed reticulation system]]-WWWW[[#This Row],['#_Non-functional storage tank gravity fed reticulation system]]</f>
        <v>0</v>
      </c>
      <c r="CF484" s="867">
        <f>(WWWW[[#This Row],['#_Water_Liters_supplied_by_Water boating or water trucking]]/90)/15</f>
        <v>0</v>
      </c>
      <c r="CG484" s="867">
        <f>WWWW[[#This Row],['#_Water_Liters_from_Constructed/Existing water distribution system from river or natural spring]]/90/15</f>
        <v>0</v>
      </c>
      <c r="CH484" s="473">
        <f>WWWW[[#This Row],['#_of water points in TLS/CFS /THF]]*500</f>
        <v>0</v>
      </c>
      <c r="CI48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4" s="866">
        <f>IF(WWWW[[#This Row],[Location Type 1]]="Village",WWWW[[#This Row],[Access to safe drinking water for Village]],WWWW[[#This Row],[Access to safe drinking water for Camp]])</f>
        <v>1</v>
      </c>
      <c r="CL484" s="864">
        <f>WWWW[[#This Row],[%Equitable and continuous access to sufficient quantity of safe drinking water]]*WWWW[[#This Row],[Total PoP ]]</f>
        <v>259</v>
      </c>
      <c r="CM484" s="866">
        <f>IF((WWWW[[#This Row],['#_Constructed/Existing protected/fenced ponds]]*250)/WWWW[[#This Row],[Total PoP ]]&gt;1,1,(WWWW[[#This Row],['#_Constructed/Existing protected/fenced ponds]]*250)/WWWW[[#This Row],[Total PoP ]])</f>
        <v>0</v>
      </c>
      <c r="CN484" s="864">
        <f>WWWW[[#This Row],[% Access to unimproved water points]]*WWWW[[#This Row],[Total PoP ]]</f>
        <v>0</v>
      </c>
      <c r="CO48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Q484" s="864">
        <f>WWWW[[#This Row],[HRP1]]/500</f>
        <v>0.51800000000000002</v>
      </c>
      <c r="CR484" s="869">
        <f>1-WWWW[[#This Row],[% Equitable and continuous access to sufficient quantity of domestic water]]</f>
        <v>0</v>
      </c>
      <c r="CS484" s="864">
        <f>WWWW[[#This Row],[%equitable and continuous access to sufficient quantity of safe drinking and domestic water''s GAP]]*WWWW[[#This Row],[Total PoP ]]</f>
        <v>0</v>
      </c>
      <c r="CT484" s="867">
        <f>IF(WWWW[[#This Row],[Total required water points]]-WWWW[[#This Row],['#Water points coverage]]&lt;0,0,WWWW[[#This Row],[Total required water points]]-WWWW[[#This Row],['#Water points coverage]])</f>
        <v>0.48199999999999998</v>
      </c>
      <c r="CU484" s="867">
        <f>ROUND(IF(WWWW[[#This Row],[Total PoP ]]&lt;500,1,WWWW[[#This Row],[Total PoP ]]/500),0)</f>
        <v>1</v>
      </c>
      <c r="CV484" s="867">
        <f>(WWWW[[#This Row],['#_Constructed latrines_by_WASHAgencies]]+WWWW[[#This Row],['#_Non Cluster partner latrines]])-WWWW[[#This Row],['#_Non-functional latrines]]</f>
        <v>12</v>
      </c>
      <c r="CW484" s="804">
        <f>WWWW[[#This Row],[HRP2]]/WWWW[[#This Row],[Total PoP ]]</f>
        <v>0.92664092664092668</v>
      </c>
      <c r="CX48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48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4" s="473">
        <f>IF(WWWW[[#This Row],['# of functional latrines in THF supported by WASH partners during the reporting period2]]="",0,WWWW[[#This Row],['# of functional latrines in THF supported by WASH partners during the reporting period2]]*50)</f>
        <v>0</v>
      </c>
      <c r="DB484" s="473">
        <f>WWWW[[#This Row],['# students access to functioning school latrines_HRP5]]+WWWW[[#This Row],['# People access to functioning latrines in THF_HRP5]]</f>
        <v>0</v>
      </c>
      <c r="DC484" s="867">
        <f>ROUND(IF(WWWW[[#This Row],[Location Type 1]]="camp",WWWW[[#This Row],[Total PoP ]]/20,IF(WWWW[[#This Row],[Location Type 1]]="Temporary Location",WWWW[[#This Row],[Total PoP ]]/50,(WWWW[[#This Row],[Total PoP ]]/6))),0)</f>
        <v>13</v>
      </c>
      <c r="DD484" s="867">
        <f>IF(WWWW[[#This Row],[Total required Latrines]]-(WWWW[[#This Row],['#_Constructed latrines_by_WASHAgencies]]+WWWW[[#This Row],['#_Non Cluster partner latrines]])&lt;0,0,WWWW[[#This Row],[Total required Latrines]]-(WWWW[[#This Row],['#_Constructed latrines_by_WASHAgencies]]+WWWW[[#This Row],['#_Non Cluster partner latrines]]))</f>
        <v>1</v>
      </c>
      <c r="DE484" s="869">
        <f>1-WWWW[[#This Row],[% people access to functioning Latrine]]</f>
        <v>7.3359073359073323E-2</v>
      </c>
      <c r="DF484" s="868">
        <f>IF(OR(WWWW[[#This Row],['#_Non-functional latrines]]="",WWWW[[#This Row],['#_Non-functional latrines]]=0),0,WWWW[[#This Row],['#_Non-functional latrines]]/(WWWW[[#This Row],['#_Constructed latrines_by_WASHAgencies]]+WWWW[[#This Row],['#_Non Cluster partner latrines]]))</f>
        <v>0</v>
      </c>
      <c r="DG484" s="864">
        <f>IF(500*(WWWW[[#This Row],['#_male hygiene promoters]]+WWWW[[#This Row],['#_female hygiene promoters]])&gt;WWWW[[#This Row],[Total PoP ]],WWWW[[#This Row],[Total PoP ]],500*(WWWW[[#This Row],['#_male hygiene promoters]]+WWWW[[#This Row],['#_female hygiene promoters]]))</f>
        <v>259</v>
      </c>
      <c r="DH48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259</v>
      </c>
      <c r="DI48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4" s="867">
        <f>IF(WWWW[[#This Row],['# People with access to soap]]&gt;WWWW[[#This Row],['# People with access to Sanity Pads]],WWWW[[#This Row],['# People with access to soap]],WWWW[[#This Row],['# People with access to Sanity Pads]])</f>
        <v>259</v>
      </c>
      <c r="DK484" s="867">
        <f>IF(WWWW[[#This Row],['# people reached by regular dedicated hygiene promotion_5]]&gt;WWWW[[#This Row],['# People received regular supply of hygiene items_6]],WWWW[[#This Row],['# people reached by regular dedicated hygiene promotion_5]],WWWW[[#This Row],['# People received regular supply of hygiene items_6]])</f>
        <v>259</v>
      </c>
      <c r="DL484" s="869">
        <f>IF(WWWW[[#This Row],[HRP3]]/WWWW[[#This Row],[Total PoP ]]&gt;1,1,WWWW[[#This Row],[HRP3]]/WWWW[[#This Row],[Total PoP ]])</f>
        <v>1</v>
      </c>
      <c r="DM484" s="868">
        <f>1-WWWW[[#This Row],[Hygiene Coverage%]]</f>
        <v>0</v>
      </c>
      <c r="DN484" s="866">
        <f>WWWW[[#This Row],['# people reached by regular dedicated hygiene promotion_5]]/WWWW[[#This Row],[Total PoP ]]</f>
        <v>1</v>
      </c>
      <c r="DO48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4" s="867">
        <f>WWWW[[#This Row],['#_Constructed/Existing hand washing stations]]-WWWW[[#This Row],['#_Non-Functional_hand_washing_stations]]</f>
        <v>7</v>
      </c>
      <c r="DR484" s="864">
        <f>IF(WWWW[[#This Row],['# Functional hand washing stations during reporting period]]*20&gt;WWWW[[#This Row],[Total HH]],WWWW[[#This Row],[Total HH]],WWWW[[#This Row],['# Functional hand washing stations during reporting period]]*20)</f>
        <v>52</v>
      </c>
      <c r="DS484" s="864">
        <f>IF(WWWW[[#This Row],[Is sufficient soap available for TLS? (Yes/No)]]="yes",WWWW[[#This Row],['#_Constructed/Existing hand washing stations at TLS]],0)</f>
        <v>0</v>
      </c>
      <c r="DT484" s="479">
        <f>IF(WWWW[[#This Row],['# Functional hand washing stations during reporting period]]*100&gt;WWWW[[#This Row],[Total PoP ]],WWWW[[#This Row],[Total PoP ]],WWWW[[#This Row],['# Functional hand washing stations during reporting period]]*100)</f>
        <v>259</v>
      </c>
      <c r="DU484" s="479" t="str">
        <f>IF(OR(WWWW[[#This Row],['#_students at TLS_CFS]]="",WWWW[[#This Row],['#_students at TLS_CFS]]=0),"No","Yes")</f>
        <v>No</v>
      </c>
      <c r="DV48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4" s="862" t="str">
        <f>VLOOKUP(WWWW[[#This Row],[Site Name]],SiteDB6[[Site Name]:[CCCM Management]],6,FALSE)</f>
        <v>Yes</v>
      </c>
      <c r="DZ484" s="862" t="str">
        <f>VLOOKUP(WWWW[[#This Row],[Site Name]],SiteDB6[[Site Name]:[CCCM Focal Agency]],7,FALSE)</f>
        <v>KBC-NSS</v>
      </c>
      <c r="EA484" s="862" t="str">
        <f>VLOOKUP(WWWW[[#This Row],[Site Name]],SiteDB6[[Site Name]:[Location Type 1]],9,FALSE)</f>
        <v>Camp</v>
      </c>
      <c r="EB484" s="862" t="str">
        <f>VLOOKUP(WWWW[[#This Row],[Site Name]],SiteDB6[[Site Name]:[Type of Accommodation]],10,FALSE)</f>
        <v>Camp</v>
      </c>
      <c r="EC484" s="862" t="str">
        <f>VLOOKUP(WWWW[[#This Row],[Site Name]],SiteDB6[[Site Name]:[Ethnic or GCA/NGCA]],11,FALSE)</f>
        <v>GCA</v>
      </c>
      <c r="ED484" s="862">
        <f>VLOOKUP(WWWW[[#This Row],[Site Name]],SiteDB6[[Site Name]:[Lat]],12,FALSE)</f>
        <v>23.450914000000001</v>
      </c>
      <c r="EE484" s="862">
        <f>VLOOKUP(WWWW[[#This Row],[Site Name]],SiteDB6[[Site Name]:[Long]],13,FALSE)</f>
        <v>97.926813999999993</v>
      </c>
      <c r="EF484" s="862" t="str">
        <f>VLOOKUP(WWWW[[#This Row],[Site Name]],SiteDB6[[Site Name]:[Pcode]],3,FALSE)</f>
        <v>MMR015CMP016</v>
      </c>
      <c r="EG484" s="865" t="str">
        <f t="shared" si="14"/>
        <v>Covered</v>
      </c>
      <c r="EH484" s="865" t="str">
        <f>VLOOKUP(WWWW[[#This Row],[Site Name]],Site_DB!$C$389:$D$1120,2,FALSE)</f>
        <v>cccm_2019OCT</v>
      </c>
    </row>
    <row r="485" spans="1:138">
      <c r="A485" s="860" t="s">
        <v>3263</v>
      </c>
      <c r="B485" s="860" t="s">
        <v>195</v>
      </c>
      <c r="C485" s="861" t="s">
        <v>195</v>
      </c>
      <c r="D485" s="861" t="s">
        <v>3364</v>
      </c>
      <c r="E485" s="861" t="s">
        <v>711</v>
      </c>
      <c r="F485" s="861" t="s">
        <v>715</v>
      </c>
      <c r="G485" s="721" t="str">
        <f>VLOOKUP(WWWW[[#This Row],[Site Name]],SiteDB6[[Site Name]:[Location Type]],8,FALSE)</f>
        <v>Camp</v>
      </c>
      <c r="H485" s="861" t="s">
        <v>742</v>
      </c>
      <c r="I485" s="851">
        <v>35</v>
      </c>
      <c r="J485" s="851">
        <v>156</v>
      </c>
      <c r="K485" s="407" t="s">
        <v>3634</v>
      </c>
      <c r="L485" s="56" t="s">
        <v>3632</v>
      </c>
      <c r="M485" s="851"/>
      <c r="N485" s="851"/>
      <c r="O485" s="851"/>
      <c r="P485" s="851"/>
      <c r="Q485" s="864"/>
      <c r="R485" s="851">
        <v>4</v>
      </c>
      <c r="S485" s="851">
        <v>5</v>
      </c>
      <c r="T485" s="523">
        <v>1</v>
      </c>
      <c r="U485" s="851"/>
      <c r="V485" s="851"/>
      <c r="W485" s="851">
        <v>1</v>
      </c>
      <c r="X485" s="851"/>
      <c r="Y485" s="851"/>
      <c r="Z485" s="851"/>
      <c r="AA485" s="851"/>
      <c r="AB485" s="851"/>
      <c r="AC485" s="851"/>
      <c r="AD485" s="851"/>
      <c r="AE485" s="851"/>
      <c r="AF485" s="851"/>
      <c r="AG485" s="851"/>
      <c r="AH485" s="851"/>
      <c r="AI485" s="851"/>
      <c r="AJ485" s="851"/>
      <c r="AK485" s="851"/>
      <c r="AL485" s="851"/>
      <c r="AM485" s="851"/>
      <c r="AN485" s="851"/>
      <c r="AO485" s="865"/>
      <c r="AP485" s="851">
        <v>9</v>
      </c>
      <c r="AQ485" s="851"/>
      <c r="AR485" s="866"/>
      <c r="AS485" s="851"/>
      <c r="AT485" s="851"/>
      <c r="AU485" s="851"/>
      <c r="AV485" s="851"/>
      <c r="AW485" s="851"/>
      <c r="AX485" s="862" t="s">
        <v>43</v>
      </c>
      <c r="AY485" s="865" t="s">
        <v>140</v>
      </c>
      <c r="AZ485" s="851"/>
      <c r="BA485" s="851"/>
      <c r="BB485" s="851"/>
      <c r="BC485" s="523"/>
      <c r="BD485" s="523"/>
      <c r="BE485" s="862"/>
      <c r="BF485" s="851">
        <v>4</v>
      </c>
      <c r="BG485" s="851"/>
      <c r="BH485" s="851"/>
      <c r="BI485" s="851">
        <v>2</v>
      </c>
      <c r="BJ485" s="851"/>
      <c r="BK485" s="851"/>
      <c r="BL485" s="851">
        <v>1</v>
      </c>
      <c r="BM485" s="851">
        <v>35</v>
      </c>
      <c r="BN485" s="851"/>
      <c r="BO485" s="862" t="s">
        <v>139</v>
      </c>
      <c r="BP485" s="867"/>
      <c r="BQ485" s="866"/>
      <c r="BR485" s="862"/>
      <c r="BS485" s="472"/>
      <c r="BT485" s="472"/>
      <c r="BU485" s="474"/>
      <c r="BV485" s="472"/>
      <c r="BW485" s="523"/>
      <c r="BX485" s="523"/>
      <c r="BY485" s="523"/>
      <c r="BZ485" s="868" t="str">
        <f>IFERROR(WWWW[[#This Row],['#_Water sources passed]]/WWWW[[#This Row],['#_Water sources tested for fecal coliform ]],"no test")</f>
        <v>no test</v>
      </c>
      <c r="CA485" s="866" t="str">
        <f>IFERROR(WWWW[[#This Row],['#_Household passed]]/WWWW[[#This Row],['#_Household water samples tested for fecal coliform]],"no test")</f>
        <v>no test</v>
      </c>
      <c r="CB485" s="867" t="str">
        <f>IF(AND(WWWW[[#This Row],[% of water sources passed]]="no test",WWWW[[#This Row],[% Household passed]]="no test"),"No Test","Tested")</f>
        <v>No Test</v>
      </c>
      <c r="CC485" s="867">
        <f>WWWW[[#This Row],['#_Constructed/existing protected hand dug well]]-WWWW[[#This Row],['#_Non-functional protected hand dug well]]</f>
        <v>1</v>
      </c>
      <c r="CD485" s="867">
        <f>(WWWW[[#This Row],['#_Constructed/Existing tube wells/boreholes/handpumps_WASH_agency]]+WWWW[[#This Row],['#_Non-Cluster partner water tube-wells/boreholes/handpumps]])-WWWW[[#This Row],['#_Non-functional tube wells/boreholes/handpumps]]</f>
        <v>1</v>
      </c>
      <c r="CE485" s="867">
        <f>WWWW[[#This Row],['#_Constructed/Existingwater storage tank with gravity fed reticulation system]]-WWWW[[#This Row],['#_Non-functional storage tank gravity fed reticulation system]]</f>
        <v>0</v>
      </c>
      <c r="CF485" s="867">
        <f>(WWWW[[#This Row],['#_Water_Liters_supplied_by_Water boating or water trucking]]/90)/15</f>
        <v>0</v>
      </c>
      <c r="CG485" s="867">
        <f>WWWW[[#This Row],['#_Water_Liters_from_Constructed/Existing water distribution system from river or natural spring]]/90/15</f>
        <v>0</v>
      </c>
      <c r="CH485" s="473">
        <f>WWWW[[#This Row],['#_of water points in TLS/CFS /THF]]*500</f>
        <v>0</v>
      </c>
      <c r="CI48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5" s="866">
        <f>IF(WWWW[[#This Row],[Location Type 1]]="Village",WWWW[[#This Row],[Access to safe drinking water for Village]],WWWW[[#This Row],[Access to safe drinking water for Camp]])</f>
        <v>1</v>
      </c>
      <c r="CL485" s="864">
        <f>WWWW[[#This Row],[%Equitable and continuous access to sufficient quantity of safe drinking water]]*WWWW[[#This Row],[Total PoP ]]</f>
        <v>156</v>
      </c>
      <c r="CM485" s="866">
        <f>IF((WWWW[[#This Row],['#_Constructed/Existing protected/fenced ponds]]*250)/WWWW[[#This Row],[Total PoP ]]&gt;1,1,(WWWW[[#This Row],['#_Constructed/Existing protected/fenced ponds]]*250)/WWWW[[#This Row],[Total PoP ]])</f>
        <v>0</v>
      </c>
      <c r="CN485" s="864">
        <f>WWWW[[#This Row],[% Access to unimproved water points]]*WWWW[[#This Row],[Total PoP ]]</f>
        <v>0</v>
      </c>
      <c r="CO48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485" s="864">
        <f>WWWW[[#This Row],[HRP1]]/500</f>
        <v>0.312</v>
      </c>
      <c r="CR485" s="869">
        <f>1-WWWW[[#This Row],[% Equitable and continuous access to sufficient quantity of domestic water]]</f>
        <v>0</v>
      </c>
      <c r="CS485" s="864">
        <f>WWWW[[#This Row],[%equitable and continuous access to sufficient quantity of safe drinking and domestic water''s GAP]]*WWWW[[#This Row],[Total PoP ]]</f>
        <v>0</v>
      </c>
      <c r="CT485" s="867">
        <f>IF(WWWW[[#This Row],[Total required water points]]-WWWW[[#This Row],['#Water points coverage]]&lt;0,0,WWWW[[#This Row],[Total required water points]]-WWWW[[#This Row],['#Water points coverage]])</f>
        <v>0.68799999999999994</v>
      </c>
      <c r="CU485" s="867">
        <f>ROUND(IF(WWWW[[#This Row],[Total PoP ]]&lt;500,1,WWWW[[#This Row],[Total PoP ]]/500),0)</f>
        <v>1</v>
      </c>
      <c r="CV485" s="867">
        <f>(WWWW[[#This Row],['#_Constructed latrines_by_WASHAgencies]]+WWWW[[#This Row],['#_Non Cluster partner latrines]])-WWWW[[#This Row],['#_Non-functional latrines]]</f>
        <v>9</v>
      </c>
      <c r="CW485" s="804">
        <f>WWWW[[#This Row],[HRP2]]/WWWW[[#This Row],[Total PoP ]]</f>
        <v>1</v>
      </c>
      <c r="CX48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48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5" s="473">
        <f>IF(WWWW[[#This Row],['# of functional latrines in THF supported by WASH partners during the reporting period2]]="",0,WWWW[[#This Row],['# of functional latrines in THF supported by WASH partners during the reporting period2]]*50)</f>
        <v>0</v>
      </c>
      <c r="DB485" s="473">
        <f>WWWW[[#This Row],['# students access to functioning school latrines_HRP5]]+WWWW[[#This Row],['# People access to functioning latrines in THF_HRP5]]</f>
        <v>0</v>
      </c>
      <c r="DC485" s="867">
        <f>ROUND(IF(WWWW[[#This Row],[Location Type 1]]="camp",WWWW[[#This Row],[Total PoP ]]/20,IF(WWWW[[#This Row],[Location Type 1]]="Temporary Location",WWWW[[#This Row],[Total PoP ]]/50,(WWWW[[#This Row],[Total PoP ]]/6))),0)</f>
        <v>8</v>
      </c>
      <c r="DD485" s="867">
        <f>IF(WWWW[[#This Row],[Total required Latrines]]-(WWWW[[#This Row],['#_Constructed latrines_by_WASHAgencies]]+WWWW[[#This Row],['#_Non Cluster partner latrines]])&lt;0,0,WWWW[[#This Row],[Total required Latrines]]-(WWWW[[#This Row],['#_Constructed latrines_by_WASHAgencies]]+WWWW[[#This Row],['#_Non Cluster partner latrines]]))</f>
        <v>0</v>
      </c>
      <c r="DE485" s="869">
        <f>1-WWWW[[#This Row],[% people access to functioning Latrine]]</f>
        <v>0</v>
      </c>
      <c r="DF485" s="868">
        <f>IF(OR(WWWW[[#This Row],['#_Non-functional latrines]]="",WWWW[[#This Row],['#_Non-functional latrines]]=0),0,WWWW[[#This Row],['#_Non-functional latrines]]/(WWWW[[#This Row],['#_Constructed latrines_by_WASHAgencies]]+WWWW[[#This Row],['#_Non Cluster partner latrines]]))</f>
        <v>0</v>
      </c>
      <c r="DG485" s="864">
        <f>IF(500*(WWWW[[#This Row],['#_male hygiene promoters]]+WWWW[[#This Row],['#_female hygiene promoters]])&gt;WWWW[[#This Row],[Total PoP ]],WWWW[[#This Row],[Total PoP ]],500*(WWWW[[#This Row],['#_male hygiene promoters]]+WWWW[[#This Row],['#_female hygiene promoters]]))</f>
        <v>156</v>
      </c>
      <c r="DH48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DI48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5" s="867">
        <f>IF(WWWW[[#This Row],['# People with access to soap]]&gt;WWWW[[#This Row],['# People with access to Sanity Pads]],WWWW[[#This Row],['# People with access to soap]],WWWW[[#This Row],['# People with access to Sanity Pads]])</f>
        <v>156</v>
      </c>
      <c r="DK485" s="867">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485" s="869">
        <f>IF(WWWW[[#This Row],[HRP3]]/WWWW[[#This Row],[Total PoP ]]&gt;1,1,WWWW[[#This Row],[HRP3]]/WWWW[[#This Row],[Total PoP ]])</f>
        <v>1</v>
      </c>
      <c r="DM485" s="868">
        <f>1-WWWW[[#This Row],[Hygiene Coverage%]]</f>
        <v>0</v>
      </c>
      <c r="DN485" s="866">
        <f>WWWW[[#This Row],['# people reached by regular dedicated hygiene promotion_5]]/WWWW[[#This Row],[Total PoP ]]</f>
        <v>1</v>
      </c>
      <c r="DO48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5" s="867">
        <f>WWWW[[#This Row],['#_Constructed/Existing hand washing stations]]-WWWW[[#This Row],['#_Non-Functional_hand_washing_stations]]</f>
        <v>4</v>
      </c>
      <c r="DR485" s="864">
        <f>IF(WWWW[[#This Row],['# Functional hand washing stations during reporting period]]*20&gt;WWWW[[#This Row],[Total HH]],WWWW[[#This Row],[Total HH]],WWWW[[#This Row],['# Functional hand washing stations during reporting period]]*20)</f>
        <v>35</v>
      </c>
      <c r="DS485" s="864">
        <f>IF(WWWW[[#This Row],[Is sufficient soap available for TLS? (Yes/No)]]="yes",WWWW[[#This Row],['#_Constructed/Existing hand washing stations at TLS]],0)</f>
        <v>0</v>
      </c>
      <c r="DT485" s="479">
        <f>IF(WWWW[[#This Row],['# Functional hand washing stations during reporting period]]*100&gt;WWWW[[#This Row],[Total PoP ]],WWWW[[#This Row],[Total PoP ]],WWWW[[#This Row],['# Functional hand washing stations during reporting period]]*100)</f>
        <v>156</v>
      </c>
      <c r="DU485" s="479" t="str">
        <f>IF(OR(WWWW[[#This Row],['#_students at TLS_CFS]]="",WWWW[[#This Row],['#_students at TLS_CFS]]=0),"No","Yes")</f>
        <v>No</v>
      </c>
      <c r="DV48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5" s="862" t="str">
        <f>VLOOKUP(WWWW[[#This Row],[Site Name]],SiteDB6[[Site Name]:[CCCM Management]],6,FALSE)</f>
        <v>Yes</v>
      </c>
      <c r="DZ485" s="862" t="str">
        <f>VLOOKUP(WWWW[[#This Row],[Site Name]],SiteDB6[[Site Name]:[CCCM Focal Agency]],7,FALSE)</f>
        <v>KBC-NSS</v>
      </c>
      <c r="EA485" s="862" t="str">
        <f>VLOOKUP(WWWW[[#This Row],[Site Name]],SiteDB6[[Site Name]:[Location Type 1]],9,FALSE)</f>
        <v>Camp</v>
      </c>
      <c r="EB485" s="862" t="str">
        <f>VLOOKUP(WWWW[[#This Row],[Site Name]],SiteDB6[[Site Name]:[Type of Accommodation]],10,FALSE)</f>
        <v>Camp</v>
      </c>
      <c r="EC485" s="862" t="str">
        <f>VLOOKUP(WWWW[[#This Row],[Site Name]],SiteDB6[[Site Name]:[Ethnic or GCA/NGCA]],11,FALSE)</f>
        <v>GCA</v>
      </c>
      <c r="ED485" s="862">
        <f>VLOOKUP(WWWW[[#This Row],[Site Name]],SiteDB6[[Site Name]:[Lat]],12,FALSE)</f>
        <v>23.460349999999998</v>
      </c>
      <c r="EE485" s="862">
        <f>VLOOKUP(WWWW[[#This Row],[Site Name]],SiteDB6[[Site Name]:[Long]],13,FALSE)</f>
        <v>97.947360000000003</v>
      </c>
      <c r="EF485" s="862" t="str">
        <f>VLOOKUP(WWWW[[#This Row],[Site Name]],SiteDB6[[Site Name]:[Pcode]],3,FALSE)</f>
        <v>MMR015CMP245</v>
      </c>
      <c r="EG485" s="865" t="str">
        <f t="shared" si="14"/>
        <v>Covered</v>
      </c>
      <c r="EH485" s="865" t="str">
        <f>VLOOKUP(WWWW[[#This Row],[Site Name]],Site_DB!$C$389:$D$1120,2,FALSE)</f>
        <v>cccm_2019OCT</v>
      </c>
    </row>
    <row r="486" spans="1:138">
      <c r="A486" s="860" t="s">
        <v>3263</v>
      </c>
      <c r="B486" s="860" t="s">
        <v>195</v>
      </c>
      <c r="C486" s="861" t="s">
        <v>195</v>
      </c>
      <c r="D486" s="861" t="s">
        <v>3364</v>
      </c>
      <c r="E486" s="861" t="s">
        <v>711</v>
      </c>
      <c r="F486" s="861" t="s">
        <v>715</v>
      </c>
      <c r="G486" s="721" t="str">
        <f>VLOOKUP(WWWW[[#This Row],[Site Name]],SiteDB6[[Site Name]:[Location Type]],8,FALSE)</f>
        <v>Camp</v>
      </c>
      <c r="H486" s="861" t="s">
        <v>716</v>
      </c>
      <c r="I486" s="851">
        <v>30</v>
      </c>
      <c r="J486" s="851">
        <v>138</v>
      </c>
      <c r="K486" s="407" t="s">
        <v>3634</v>
      </c>
      <c r="L486" s="56" t="s">
        <v>3632</v>
      </c>
      <c r="M486" s="851"/>
      <c r="N486" s="851"/>
      <c r="O486" s="851"/>
      <c r="P486" s="851"/>
      <c r="Q486" s="864"/>
      <c r="R486" s="851">
        <v>3</v>
      </c>
      <c r="S486" s="851">
        <v>2</v>
      </c>
      <c r="T486" s="523"/>
      <c r="U486" s="851"/>
      <c r="V486" s="851"/>
      <c r="W486" s="851"/>
      <c r="X486" s="851"/>
      <c r="Y486" s="851"/>
      <c r="Z486" s="851"/>
      <c r="AA486" s="851"/>
      <c r="AB486" s="851"/>
      <c r="AC486" s="851"/>
      <c r="AD486" s="851"/>
      <c r="AE486" s="851"/>
      <c r="AF486" s="851"/>
      <c r="AG486" s="851">
        <v>3</v>
      </c>
      <c r="AH486" s="851"/>
      <c r="AI486" s="851"/>
      <c r="AJ486" s="851"/>
      <c r="AK486" s="851"/>
      <c r="AL486" s="851"/>
      <c r="AM486" s="851"/>
      <c r="AN486" s="851"/>
      <c r="AO486" s="865" t="s">
        <v>3137</v>
      </c>
      <c r="AP486" s="851">
        <v>27</v>
      </c>
      <c r="AQ486" s="851"/>
      <c r="AR486" s="866"/>
      <c r="AS486" s="851"/>
      <c r="AT486" s="851"/>
      <c r="AU486" s="851"/>
      <c r="AV486" s="851"/>
      <c r="AW486" s="851">
        <v>2</v>
      </c>
      <c r="AX486" s="862" t="s">
        <v>43</v>
      </c>
      <c r="AY486" s="865" t="s">
        <v>139</v>
      </c>
      <c r="AZ486" s="851"/>
      <c r="BA486" s="851"/>
      <c r="BB486" s="851"/>
      <c r="BC486" s="523"/>
      <c r="BD486" s="523"/>
      <c r="BE486" s="862"/>
      <c r="BF486" s="851">
        <v>4</v>
      </c>
      <c r="BG486" s="851"/>
      <c r="BH486" s="851"/>
      <c r="BI486" s="851">
        <v>2</v>
      </c>
      <c r="BJ486" s="851"/>
      <c r="BK486" s="851"/>
      <c r="BL486" s="851">
        <v>1</v>
      </c>
      <c r="BM486" s="851">
        <v>30</v>
      </c>
      <c r="BN486" s="851"/>
      <c r="BO486" s="862"/>
      <c r="BP486" s="867"/>
      <c r="BQ486" s="866"/>
      <c r="BR486" s="862"/>
      <c r="BS486" s="472"/>
      <c r="BT486" s="472"/>
      <c r="BU486" s="474"/>
      <c r="BV486" s="472"/>
      <c r="BW486" s="523"/>
      <c r="BX486" s="523"/>
      <c r="BY486" s="523"/>
      <c r="BZ486" s="868" t="str">
        <f>IFERROR(WWWW[[#This Row],['#_Water sources passed]]/WWWW[[#This Row],['#_Water sources tested for fecal coliform ]],"no test")</f>
        <v>no test</v>
      </c>
      <c r="CA486" s="866" t="str">
        <f>IFERROR(WWWW[[#This Row],['#_Household passed]]/WWWW[[#This Row],['#_Household water samples tested for fecal coliform]],"no test")</f>
        <v>no test</v>
      </c>
      <c r="CB486" s="867" t="str">
        <f>IF(AND(WWWW[[#This Row],[% of water sources passed]]="no test",WWWW[[#This Row],[% Household passed]]="no test"),"No Test","Tested")</f>
        <v>No Test</v>
      </c>
      <c r="CC486" s="867">
        <f>WWWW[[#This Row],['#_Constructed/existing protected hand dug well]]-WWWW[[#This Row],['#_Non-functional protected hand dug well]]</f>
        <v>0</v>
      </c>
      <c r="CD486" s="867">
        <f>(WWWW[[#This Row],['#_Constructed/Existing tube wells/boreholes/handpumps_WASH_agency]]+WWWW[[#This Row],['#_Non-Cluster partner water tube-wells/boreholes/handpumps]])-WWWW[[#This Row],['#_Non-functional tube wells/boreholes/handpumps]]</f>
        <v>0</v>
      </c>
      <c r="CE486" s="867">
        <f>WWWW[[#This Row],['#_Constructed/Existingwater storage tank with gravity fed reticulation system]]-WWWW[[#This Row],['#_Non-functional storage tank gravity fed reticulation system]]</f>
        <v>0</v>
      </c>
      <c r="CF486" s="867">
        <f>(WWWW[[#This Row],['#_Water_Liters_supplied_by_Water boating or water trucking]]/90)/15</f>
        <v>0</v>
      </c>
      <c r="CG486" s="867">
        <f>WWWW[[#This Row],['#_Water_Liters_from_Constructed/Existing water distribution system from river or natural spring]]/90/15</f>
        <v>0</v>
      </c>
      <c r="CH486" s="473">
        <f>WWWW[[#This Row],['#_of water points in TLS/CFS /THF]]*500</f>
        <v>0</v>
      </c>
      <c r="CI48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8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86" s="866">
        <f>IF(WWWW[[#This Row],[Location Type 1]]="Village",WWWW[[#This Row],[Access to safe drinking water for Village]],WWWW[[#This Row],[Access to safe drinking water for Camp]])</f>
        <v>0</v>
      </c>
      <c r="CL486" s="864">
        <f>WWWW[[#This Row],[%Equitable and continuous access to sufficient quantity of safe drinking water]]*WWWW[[#This Row],[Total PoP ]]</f>
        <v>0</v>
      </c>
      <c r="CM486" s="866">
        <f>IF((WWWW[[#This Row],['#_Constructed/Existing protected/fenced ponds]]*250)/WWWW[[#This Row],[Total PoP ]]&gt;1,1,(WWWW[[#This Row],['#_Constructed/Existing protected/fenced ponds]]*250)/WWWW[[#This Row],[Total PoP ]])</f>
        <v>0</v>
      </c>
      <c r="CN486" s="864">
        <f>WWWW[[#This Row],[% Access to unimproved water points]]*WWWW[[#This Row],[Total PoP ]]</f>
        <v>0</v>
      </c>
      <c r="CO48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8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86" s="864">
        <f>WWWW[[#This Row],[HRP1]]/500</f>
        <v>0</v>
      </c>
      <c r="CR486" s="869">
        <f>1-WWWW[[#This Row],[% Equitable and continuous access to sufficient quantity of domestic water]]</f>
        <v>1</v>
      </c>
      <c r="CS486" s="864">
        <f>WWWW[[#This Row],[%equitable and continuous access to sufficient quantity of safe drinking and domestic water''s GAP]]*WWWW[[#This Row],[Total PoP ]]</f>
        <v>138</v>
      </c>
      <c r="CT486" s="867">
        <f>IF(WWWW[[#This Row],[Total required water points]]-WWWW[[#This Row],['#Water points coverage]]&lt;0,0,WWWW[[#This Row],[Total required water points]]-WWWW[[#This Row],['#Water points coverage]])</f>
        <v>1</v>
      </c>
      <c r="CU486" s="867">
        <f>ROUND(IF(WWWW[[#This Row],[Total PoP ]]&lt;500,1,WWWW[[#This Row],[Total PoP ]]/500),0)</f>
        <v>1</v>
      </c>
      <c r="CV486" s="867">
        <f>(WWWW[[#This Row],['#_Constructed latrines_by_WASHAgencies]]+WWWW[[#This Row],['#_Non Cluster partner latrines]])-WWWW[[#This Row],['#_Non-functional latrines]]</f>
        <v>27</v>
      </c>
      <c r="CW486" s="804">
        <f>WWWW[[#This Row],[HRP2]]/WWWW[[#This Row],[Total PoP ]]</f>
        <v>1</v>
      </c>
      <c r="CX48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138</v>
      </c>
      <c r="CY48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6" s="473">
        <f>IF(WWWW[[#This Row],['# of functional latrines in THF supported by WASH partners during the reporting period2]]="",0,WWWW[[#This Row],['# of functional latrines in THF supported by WASH partners during the reporting period2]]*50)</f>
        <v>0</v>
      </c>
      <c r="DB486" s="473">
        <f>WWWW[[#This Row],['# students access to functioning school latrines_HRP5]]+WWWW[[#This Row],['# People access to functioning latrines in THF_HRP5]]</f>
        <v>0</v>
      </c>
      <c r="DC486" s="867">
        <f>ROUND(IF(WWWW[[#This Row],[Location Type 1]]="camp",WWWW[[#This Row],[Total PoP ]]/20,IF(WWWW[[#This Row],[Location Type 1]]="Temporary Location",WWWW[[#This Row],[Total PoP ]]/50,(WWWW[[#This Row],[Total PoP ]]/6))),0)</f>
        <v>7</v>
      </c>
      <c r="DD486" s="867">
        <f>IF(WWWW[[#This Row],[Total required Latrines]]-(WWWW[[#This Row],['#_Constructed latrines_by_WASHAgencies]]+WWWW[[#This Row],['#_Non Cluster partner latrines]])&lt;0,0,WWWW[[#This Row],[Total required Latrines]]-(WWWW[[#This Row],['#_Constructed latrines_by_WASHAgencies]]+WWWW[[#This Row],['#_Non Cluster partner latrines]]))</f>
        <v>0</v>
      </c>
      <c r="DE486" s="869">
        <f>1-WWWW[[#This Row],[% people access to functioning Latrine]]</f>
        <v>0</v>
      </c>
      <c r="DF486" s="868">
        <f>IF(OR(WWWW[[#This Row],['#_Non-functional latrines]]="",WWWW[[#This Row],['#_Non-functional latrines]]=0),0,WWWW[[#This Row],['#_Non-functional latrines]]/(WWWW[[#This Row],['#_Constructed latrines_by_WASHAgencies]]+WWWW[[#This Row],['#_Non Cluster partner latrines]]))</f>
        <v>0</v>
      </c>
      <c r="DG486" s="864">
        <f>IF(500*(WWWW[[#This Row],['#_male hygiene promoters]]+WWWW[[#This Row],['#_female hygiene promoters]])&gt;WWWW[[#This Row],[Total PoP ]],WWWW[[#This Row],[Total PoP ]],500*(WWWW[[#This Row],['#_male hygiene promoters]]+WWWW[[#This Row],['#_female hygiene promoters]]))</f>
        <v>138</v>
      </c>
      <c r="DH48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138</v>
      </c>
      <c r="DI48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6" s="867">
        <f>IF(WWWW[[#This Row],['# People with access to soap]]&gt;WWWW[[#This Row],['# People with access to Sanity Pads]],WWWW[[#This Row],['# People with access to soap]],WWWW[[#This Row],['# People with access to Sanity Pads]])</f>
        <v>138</v>
      </c>
      <c r="DK486" s="867">
        <f>IF(WWWW[[#This Row],['# people reached by regular dedicated hygiene promotion_5]]&gt;WWWW[[#This Row],['# People received regular supply of hygiene items_6]],WWWW[[#This Row],['# people reached by regular dedicated hygiene promotion_5]],WWWW[[#This Row],['# People received regular supply of hygiene items_6]])</f>
        <v>138</v>
      </c>
      <c r="DL486" s="869">
        <f>IF(WWWW[[#This Row],[HRP3]]/WWWW[[#This Row],[Total PoP ]]&gt;1,1,WWWW[[#This Row],[HRP3]]/WWWW[[#This Row],[Total PoP ]])</f>
        <v>1</v>
      </c>
      <c r="DM486" s="868">
        <f>1-WWWW[[#This Row],[Hygiene Coverage%]]</f>
        <v>0</v>
      </c>
      <c r="DN486" s="866">
        <f>WWWW[[#This Row],['# people reached by regular dedicated hygiene promotion_5]]/WWWW[[#This Row],[Total PoP ]]</f>
        <v>1</v>
      </c>
      <c r="DO48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6" s="867">
        <f>WWWW[[#This Row],['#_Constructed/Existing hand washing stations]]-WWWW[[#This Row],['#_Non-Functional_hand_washing_stations]]</f>
        <v>4</v>
      </c>
      <c r="DR486" s="864">
        <f>IF(WWWW[[#This Row],['# Functional hand washing stations during reporting period]]*20&gt;WWWW[[#This Row],[Total HH]],WWWW[[#This Row],[Total HH]],WWWW[[#This Row],['# Functional hand washing stations during reporting period]]*20)</f>
        <v>30</v>
      </c>
      <c r="DS486" s="864">
        <f>IF(WWWW[[#This Row],[Is sufficient soap available for TLS? (Yes/No)]]="yes",WWWW[[#This Row],['#_Constructed/Existing hand washing stations at TLS]],0)</f>
        <v>0</v>
      </c>
      <c r="DT486" s="479">
        <f>IF(WWWW[[#This Row],['# Functional hand washing stations during reporting period]]*100&gt;WWWW[[#This Row],[Total PoP ]],WWWW[[#This Row],[Total PoP ]],WWWW[[#This Row],['# Functional hand washing stations during reporting period]]*100)</f>
        <v>138</v>
      </c>
      <c r="DU486" s="479" t="str">
        <f>IF(OR(WWWW[[#This Row],['#_students at TLS_CFS]]="",WWWW[[#This Row],['#_students at TLS_CFS]]=0),"No","Yes")</f>
        <v>No</v>
      </c>
      <c r="DV48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6" s="862" t="str">
        <f>VLOOKUP(WWWW[[#This Row],[Site Name]],SiteDB6[[Site Name]:[CCCM Management]],6,FALSE)</f>
        <v>Yes</v>
      </c>
      <c r="DZ486" s="862" t="str">
        <f>VLOOKUP(WWWW[[#This Row],[Site Name]],SiteDB6[[Site Name]:[CCCM Focal Agency]],7,FALSE)</f>
        <v>KMSS-LSO</v>
      </c>
      <c r="EA486" s="862" t="str">
        <f>VLOOKUP(WWWW[[#This Row],[Site Name]],SiteDB6[[Site Name]:[Location Type 1]],9,FALSE)</f>
        <v>Camp</v>
      </c>
      <c r="EB486" s="862" t="str">
        <f>VLOOKUP(WWWW[[#This Row],[Site Name]],SiteDB6[[Site Name]:[Type of Accommodation]],10,FALSE)</f>
        <v>Camp</v>
      </c>
      <c r="EC486" s="862" t="str">
        <f>VLOOKUP(WWWW[[#This Row],[Site Name]],SiteDB6[[Site Name]:[Ethnic or GCA/NGCA]],11,FALSE)</f>
        <v>GCA</v>
      </c>
      <c r="ED486" s="862">
        <f>VLOOKUP(WWWW[[#This Row],[Site Name]],SiteDB6[[Site Name]:[Lat]],12,FALSE)</f>
        <v>23.460349999999998</v>
      </c>
      <c r="EE486" s="862">
        <f>VLOOKUP(WWWW[[#This Row],[Site Name]],SiteDB6[[Site Name]:[Long]],13,FALSE)</f>
        <v>97.947360000000003</v>
      </c>
      <c r="EF486" s="862" t="str">
        <f>VLOOKUP(WWWW[[#This Row],[Site Name]],SiteDB6[[Site Name]:[Pcode]],3,FALSE)</f>
        <v>MMR015CMP017</v>
      </c>
      <c r="EG486" s="865" t="str">
        <f t="shared" si="14"/>
        <v>Covered</v>
      </c>
      <c r="EH486" s="865" t="str">
        <f>VLOOKUP(WWWW[[#This Row],[Site Name]],Site_DB!$C$389:$D$1120,2,FALSE)</f>
        <v>cccm_2019OCT</v>
      </c>
    </row>
    <row r="487" spans="1:138">
      <c r="A487" s="860" t="s">
        <v>3263</v>
      </c>
      <c r="B487" s="860" t="s">
        <v>195</v>
      </c>
      <c r="C487" s="861" t="s">
        <v>195</v>
      </c>
      <c r="D487" s="861" t="s">
        <v>3630</v>
      </c>
      <c r="E487" s="861" t="s">
        <v>711</v>
      </c>
      <c r="F487" s="861" t="s">
        <v>732</v>
      </c>
      <c r="G487" s="721" t="str">
        <f>VLOOKUP(WWWW[[#This Row],[Site Name]],SiteDB6[[Site Name]:[Location Type]],8,FALSE)</f>
        <v>Camp</v>
      </c>
      <c r="H487" s="861" t="s">
        <v>739</v>
      </c>
      <c r="I487" s="851">
        <v>60</v>
      </c>
      <c r="J487" s="851">
        <v>249</v>
      </c>
      <c r="K487" s="407" t="s">
        <v>3636</v>
      </c>
      <c r="L487" s="56" t="s">
        <v>3637</v>
      </c>
      <c r="M487" s="851"/>
      <c r="N487" s="851"/>
      <c r="O487" s="851">
        <v>1</v>
      </c>
      <c r="P487" s="851"/>
      <c r="Q487" s="864" t="s">
        <v>43</v>
      </c>
      <c r="R487" s="851">
        <v>4</v>
      </c>
      <c r="S487" s="851">
        <v>3</v>
      </c>
      <c r="T487" s="523">
        <v>1</v>
      </c>
      <c r="U487" s="851"/>
      <c r="V487" s="851"/>
      <c r="W487" s="851">
        <v>1</v>
      </c>
      <c r="X487" s="851">
        <v>1</v>
      </c>
      <c r="Y487" s="851"/>
      <c r="Z487" s="851"/>
      <c r="AA487" s="851"/>
      <c r="AB487" s="851"/>
      <c r="AC487" s="851"/>
      <c r="AD487" s="851"/>
      <c r="AE487" s="851"/>
      <c r="AF487" s="851"/>
      <c r="AG487" s="851">
        <v>3</v>
      </c>
      <c r="AH487" s="851"/>
      <c r="AI487" s="851"/>
      <c r="AJ487" s="851"/>
      <c r="AK487" s="851"/>
      <c r="AL487" s="851"/>
      <c r="AM487" s="851">
        <v>2</v>
      </c>
      <c r="AN487" s="851"/>
      <c r="AO487" s="865"/>
      <c r="AP487" s="851">
        <v>16</v>
      </c>
      <c r="AQ487" s="851"/>
      <c r="AR487" s="866"/>
      <c r="AS487" s="851"/>
      <c r="AT487" s="851"/>
      <c r="AU487" s="851"/>
      <c r="AV487" s="851"/>
      <c r="AW487" s="851"/>
      <c r="AX487" s="862" t="s">
        <v>43</v>
      </c>
      <c r="AY487" s="865" t="s">
        <v>140</v>
      </c>
      <c r="AZ487" s="851"/>
      <c r="BA487" s="851"/>
      <c r="BB487" s="851"/>
      <c r="BC487" s="523"/>
      <c r="BD487" s="523"/>
      <c r="BE487" s="862"/>
      <c r="BF487" s="851">
        <v>11</v>
      </c>
      <c r="BG487" s="851"/>
      <c r="BH487" s="851"/>
      <c r="BI487" s="851">
        <v>2</v>
      </c>
      <c r="BJ487" s="851"/>
      <c r="BK487" s="851"/>
      <c r="BL487" s="851">
        <v>1</v>
      </c>
      <c r="BM487" s="851">
        <v>38</v>
      </c>
      <c r="BN487" s="851"/>
      <c r="BO487" s="862"/>
      <c r="BP487" s="867"/>
      <c r="BQ487" s="866"/>
      <c r="BR487" s="862"/>
      <c r="BS487" s="472"/>
      <c r="BT487" s="472"/>
      <c r="BU487" s="474"/>
      <c r="BV487" s="472"/>
      <c r="BW487" s="523"/>
      <c r="BX487" s="523"/>
      <c r="BY487" s="523"/>
      <c r="BZ487" s="868" t="str">
        <f>IFERROR(WWWW[[#This Row],['#_Water sources passed]]/WWWW[[#This Row],['#_Water sources tested for fecal coliform ]],"no test")</f>
        <v>no test</v>
      </c>
      <c r="CA487" s="866" t="str">
        <f>IFERROR(WWWW[[#This Row],['#_Household passed]]/WWWW[[#This Row],['#_Household water samples tested for fecal coliform]],"no test")</f>
        <v>no test</v>
      </c>
      <c r="CB487" s="867" t="str">
        <f>IF(AND(WWWW[[#This Row],[% of water sources passed]]="no test",WWWW[[#This Row],[% Household passed]]="no test"),"No Test","Tested")</f>
        <v>No Test</v>
      </c>
      <c r="CC487" s="867">
        <f>WWWW[[#This Row],['#_Constructed/existing protected hand dug well]]-WWWW[[#This Row],['#_Non-functional protected hand dug well]]</f>
        <v>1</v>
      </c>
      <c r="CD487" s="867">
        <f>(WWWW[[#This Row],['#_Constructed/Existing tube wells/boreholes/handpumps_WASH_agency]]+WWWW[[#This Row],['#_Non-Cluster partner water tube-wells/boreholes/handpumps]])-WWWW[[#This Row],['#_Non-functional tube wells/boreholes/handpumps]]</f>
        <v>2</v>
      </c>
      <c r="CE487" s="867">
        <f>WWWW[[#This Row],['#_Constructed/Existingwater storage tank with gravity fed reticulation system]]-WWWW[[#This Row],['#_Non-functional storage tank gravity fed reticulation system]]</f>
        <v>0</v>
      </c>
      <c r="CF487" s="867">
        <f>(WWWW[[#This Row],['#_Water_Liters_supplied_by_Water boating or water trucking]]/90)/15</f>
        <v>0</v>
      </c>
      <c r="CG487" s="867">
        <f>WWWW[[#This Row],['#_Water_Liters_from_Constructed/Existing water distribution system from river or natural spring]]/90/15</f>
        <v>0</v>
      </c>
      <c r="CH487" s="473">
        <f>WWWW[[#This Row],['#_of water points in TLS/CFS /THF]]*500</f>
        <v>0</v>
      </c>
      <c r="CI48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7" s="866">
        <f>IF(WWWW[[#This Row],[Location Type 1]]="Village",WWWW[[#This Row],[Access to safe drinking water for Village]],WWWW[[#This Row],[Access to safe drinking water for Camp]])</f>
        <v>1</v>
      </c>
      <c r="CL487" s="864">
        <f>WWWW[[#This Row],[%Equitable and continuous access to sufficient quantity of safe drinking water]]*WWWW[[#This Row],[Total PoP ]]</f>
        <v>249</v>
      </c>
      <c r="CM487" s="866">
        <f>IF((WWWW[[#This Row],['#_Constructed/Existing protected/fenced ponds]]*250)/WWWW[[#This Row],[Total PoP ]]&gt;1,1,(WWWW[[#This Row],['#_Constructed/Existing protected/fenced ponds]]*250)/WWWW[[#This Row],[Total PoP ]])</f>
        <v>0</v>
      </c>
      <c r="CN487" s="864">
        <f>WWWW[[#This Row],[% Access to unimproved water points]]*WWWW[[#This Row],[Total PoP ]]</f>
        <v>0</v>
      </c>
      <c r="CO48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Q487" s="864">
        <f>WWWW[[#This Row],[HRP1]]/500</f>
        <v>0.498</v>
      </c>
      <c r="CR487" s="869">
        <f>1-WWWW[[#This Row],[% Equitable and continuous access to sufficient quantity of domestic water]]</f>
        <v>0</v>
      </c>
      <c r="CS487" s="864">
        <f>WWWW[[#This Row],[%equitable and continuous access to sufficient quantity of safe drinking and domestic water''s GAP]]*WWWW[[#This Row],[Total PoP ]]</f>
        <v>0</v>
      </c>
      <c r="CT487" s="867">
        <f>IF(WWWW[[#This Row],[Total required water points]]-WWWW[[#This Row],['#Water points coverage]]&lt;0,0,WWWW[[#This Row],[Total required water points]]-WWWW[[#This Row],['#Water points coverage]])</f>
        <v>0.502</v>
      </c>
      <c r="CU487" s="867">
        <f>ROUND(IF(WWWW[[#This Row],[Total PoP ]]&lt;500,1,WWWW[[#This Row],[Total PoP ]]/500),0)</f>
        <v>1</v>
      </c>
      <c r="CV487" s="867">
        <f>(WWWW[[#This Row],['#_Constructed latrines_by_WASHAgencies]]+WWWW[[#This Row],['#_Non Cluster partner latrines]])-WWWW[[#This Row],['#_Non-functional latrines]]</f>
        <v>16</v>
      </c>
      <c r="CW487" s="804">
        <f>WWWW[[#This Row],[HRP2]]/WWWW[[#This Row],[Total PoP ]]</f>
        <v>1</v>
      </c>
      <c r="CX48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249</v>
      </c>
      <c r="CY48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7" s="473">
        <f>IF(WWWW[[#This Row],['# of functional latrines in THF supported by WASH partners during the reporting period2]]="",0,WWWW[[#This Row],['# of functional latrines in THF supported by WASH partners during the reporting period2]]*50)</f>
        <v>0</v>
      </c>
      <c r="DB487" s="473">
        <f>WWWW[[#This Row],['# students access to functioning school latrines_HRP5]]+WWWW[[#This Row],['# People access to functioning latrines in THF_HRP5]]</f>
        <v>0</v>
      </c>
      <c r="DC487" s="867">
        <f>ROUND(IF(WWWW[[#This Row],[Location Type 1]]="camp",WWWW[[#This Row],[Total PoP ]]/20,IF(WWWW[[#This Row],[Location Type 1]]="Temporary Location",WWWW[[#This Row],[Total PoP ]]/50,(WWWW[[#This Row],[Total PoP ]]/6))),0)</f>
        <v>12</v>
      </c>
      <c r="DD487" s="867">
        <f>IF(WWWW[[#This Row],[Total required Latrines]]-(WWWW[[#This Row],['#_Constructed latrines_by_WASHAgencies]]+WWWW[[#This Row],['#_Non Cluster partner latrines]])&lt;0,0,WWWW[[#This Row],[Total required Latrines]]-(WWWW[[#This Row],['#_Constructed latrines_by_WASHAgencies]]+WWWW[[#This Row],['#_Non Cluster partner latrines]]))</f>
        <v>0</v>
      </c>
      <c r="DE487" s="869">
        <f>1-WWWW[[#This Row],[% people access to functioning Latrine]]</f>
        <v>0</v>
      </c>
      <c r="DF487" s="868">
        <f>IF(OR(WWWW[[#This Row],['#_Non-functional latrines]]="",WWWW[[#This Row],['#_Non-functional latrines]]=0),0,WWWW[[#This Row],['#_Non-functional latrines]]/(WWWW[[#This Row],['#_Constructed latrines_by_WASHAgencies]]+WWWW[[#This Row],['#_Non Cluster partner latrines]]))</f>
        <v>0</v>
      </c>
      <c r="DG487" s="864">
        <f>IF(500*(WWWW[[#This Row],['#_male hygiene promoters]]+WWWW[[#This Row],['#_female hygiene promoters]])&gt;WWWW[[#This Row],[Total PoP ]],WWWW[[#This Row],[Total PoP ]],500*(WWWW[[#This Row],['#_male hygiene promoters]]+WWWW[[#This Row],['#_female hygiene promoters]]))</f>
        <v>249</v>
      </c>
      <c r="DH48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190</v>
      </c>
      <c r="DI48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7" s="867">
        <f>IF(WWWW[[#This Row],['# People with access to soap]]&gt;WWWW[[#This Row],['# People with access to Sanity Pads]],WWWW[[#This Row],['# People with access to soap]],WWWW[[#This Row],['# People with access to Sanity Pads]])</f>
        <v>190</v>
      </c>
      <c r="DK487" s="867">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L487" s="869">
        <f>IF(WWWW[[#This Row],[HRP3]]/WWWW[[#This Row],[Total PoP ]]&gt;1,1,WWWW[[#This Row],[HRP3]]/WWWW[[#This Row],[Total PoP ]])</f>
        <v>1</v>
      </c>
      <c r="DM487" s="868">
        <f>1-WWWW[[#This Row],[Hygiene Coverage%]]</f>
        <v>0</v>
      </c>
      <c r="DN487" s="866">
        <f>WWWW[[#This Row],['# people reached by regular dedicated hygiene promotion_5]]/WWWW[[#This Row],[Total PoP ]]</f>
        <v>1</v>
      </c>
      <c r="DO48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7" s="867">
        <f>WWWW[[#This Row],['#_Constructed/Existing hand washing stations]]-WWWW[[#This Row],['#_Non-Functional_hand_washing_stations]]</f>
        <v>11</v>
      </c>
      <c r="DR487" s="864">
        <f>IF(WWWW[[#This Row],['# Functional hand washing stations during reporting period]]*20&gt;WWWW[[#This Row],[Total HH]],WWWW[[#This Row],[Total HH]],WWWW[[#This Row],['# Functional hand washing stations during reporting period]]*20)</f>
        <v>60</v>
      </c>
      <c r="DS487" s="864">
        <f>IF(WWWW[[#This Row],[Is sufficient soap available for TLS? (Yes/No)]]="yes",WWWW[[#This Row],['#_Constructed/Existing hand washing stations at TLS]],0)</f>
        <v>0</v>
      </c>
      <c r="DT487" s="479">
        <f>IF(WWWW[[#This Row],['# Functional hand washing stations during reporting period]]*100&gt;WWWW[[#This Row],[Total PoP ]],WWWW[[#This Row],[Total PoP ]],WWWW[[#This Row],['# Functional hand washing stations during reporting period]]*100)</f>
        <v>249</v>
      </c>
      <c r="DU487" s="479" t="str">
        <f>IF(OR(WWWW[[#This Row],['#_students at TLS_CFS]]="",WWWW[[#This Row],['#_students at TLS_CFS]]=0),"No","Yes")</f>
        <v>No</v>
      </c>
      <c r="DV48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7" s="862" t="str">
        <f>VLOOKUP(WWWW[[#This Row],[Site Name]],SiteDB6[[Site Name]:[CCCM Management]],6,FALSE)</f>
        <v>Yes</v>
      </c>
      <c r="DZ487" s="862" t="str">
        <f>VLOOKUP(WWWW[[#This Row],[Site Name]],SiteDB6[[Site Name]:[CCCM Focal Agency]],7,FALSE)</f>
        <v>KMSS-LSO</v>
      </c>
      <c r="EA487" s="862" t="str">
        <f>VLOOKUP(WWWW[[#This Row],[Site Name]],SiteDB6[[Site Name]:[Location Type 1]],9,FALSE)</f>
        <v>Camp</v>
      </c>
      <c r="EB487" s="862" t="str">
        <f>VLOOKUP(WWWW[[#This Row],[Site Name]],SiteDB6[[Site Name]:[Type of Accommodation]],10,FALSE)</f>
        <v>Camp</v>
      </c>
      <c r="EC487" s="862" t="str">
        <f>VLOOKUP(WWWW[[#This Row],[Site Name]],SiteDB6[[Site Name]:[Ethnic or GCA/NGCA]],11,FALSE)</f>
        <v>GCA</v>
      </c>
      <c r="ED487" s="862">
        <f>VLOOKUP(WWWW[[#This Row],[Site Name]],SiteDB6[[Site Name]:[Lat]],12,FALSE)</f>
        <v>23.099304</v>
      </c>
      <c r="EE487" s="862">
        <f>VLOOKUP(WWWW[[#This Row],[Site Name]],SiteDB6[[Site Name]:[Long]],13,FALSE)</f>
        <v>97.400671000000003</v>
      </c>
      <c r="EF487" s="862" t="str">
        <f>VLOOKUP(WWWW[[#This Row],[Site Name]],SiteDB6[[Site Name]:[Pcode]],3,FALSE)</f>
        <v>MMR015CMP248</v>
      </c>
      <c r="EG487" s="865" t="str">
        <f t="shared" si="14"/>
        <v>Covered</v>
      </c>
      <c r="EH487" s="865" t="e">
        <f>VLOOKUP(WWWW[[#This Row],[Site Name]],Site_DB!$C$389:$D$1120,2,FALSE)</f>
        <v>#N/A</v>
      </c>
    </row>
    <row r="488" spans="1:138">
      <c r="A488" s="860" t="s">
        <v>3263</v>
      </c>
      <c r="B488" s="860" t="s">
        <v>144</v>
      </c>
      <c r="C488" s="861" t="s">
        <v>144</v>
      </c>
      <c r="D488" s="861" t="s">
        <v>3277</v>
      </c>
      <c r="E488" s="861" t="s">
        <v>39</v>
      </c>
      <c r="F488" s="861" t="s">
        <v>198</v>
      </c>
      <c r="G488" s="721" t="str">
        <f>VLOOKUP(WWWW[[#This Row],[Site Name]],SiteDB6[[Site Name]:[Location Type]],8,FALSE)</f>
        <v>Camp_not registered</v>
      </c>
      <c r="H488" s="861" t="s">
        <v>3128</v>
      </c>
      <c r="I488" s="851">
        <v>42</v>
      </c>
      <c r="J488" s="851">
        <v>197</v>
      </c>
      <c r="K488" s="863" t="s">
        <v>3278</v>
      </c>
      <c r="L488" s="859" t="s">
        <v>3279</v>
      </c>
      <c r="M488" s="851"/>
      <c r="N488" s="851">
        <v>4</v>
      </c>
      <c r="O488" s="851"/>
      <c r="P488" s="851"/>
      <c r="Q488" s="864" t="s">
        <v>43</v>
      </c>
      <c r="R488" s="851">
        <v>2</v>
      </c>
      <c r="S488" s="851">
        <v>2</v>
      </c>
      <c r="T488" s="523"/>
      <c r="U488" s="851"/>
      <c r="V488" s="851"/>
      <c r="W488" s="851">
        <v>2</v>
      </c>
      <c r="X488" s="851"/>
      <c r="Y488" s="851"/>
      <c r="Z488" s="851"/>
      <c r="AA488" s="851"/>
      <c r="AB488" s="851"/>
      <c r="AC488" s="851"/>
      <c r="AD488" s="851"/>
      <c r="AE488" s="851"/>
      <c r="AF488" s="851"/>
      <c r="AG488" s="851"/>
      <c r="AH488" s="851">
        <v>2</v>
      </c>
      <c r="AI488" s="851"/>
      <c r="AJ488" s="851"/>
      <c r="AK488" s="851"/>
      <c r="AL488" s="851"/>
      <c r="AM488" s="851">
        <v>1</v>
      </c>
      <c r="AN488" s="851"/>
      <c r="AO488" s="865" t="s">
        <v>3380</v>
      </c>
      <c r="AP488" s="851">
        <v>7</v>
      </c>
      <c r="AQ488" s="851"/>
      <c r="AR488" s="866"/>
      <c r="AS488" s="851"/>
      <c r="AT488" s="851"/>
      <c r="AU488" s="851"/>
      <c r="AV488" s="851"/>
      <c r="AW488" s="851">
        <v>6</v>
      </c>
      <c r="AX488" s="862" t="s">
        <v>43</v>
      </c>
      <c r="AY488" s="865" t="s">
        <v>140</v>
      </c>
      <c r="AZ488" s="851"/>
      <c r="BA488" s="851"/>
      <c r="BB488" s="851"/>
      <c r="BC488" s="523"/>
      <c r="BD488" s="523">
        <v>4</v>
      </c>
      <c r="BE488" s="862" t="s">
        <v>3381</v>
      </c>
      <c r="BF488" s="851">
        <v>3</v>
      </c>
      <c r="BG488" s="851"/>
      <c r="BH488" s="851"/>
      <c r="BI488" s="851">
        <v>2</v>
      </c>
      <c r="BJ488" s="851"/>
      <c r="BK488" s="851"/>
      <c r="BL488" s="851">
        <v>2</v>
      </c>
      <c r="BM488" s="851"/>
      <c r="BN488" s="851"/>
      <c r="BO488" s="862" t="s">
        <v>139</v>
      </c>
      <c r="BP488" s="867"/>
      <c r="BQ488" s="866"/>
      <c r="BR488" s="862" t="s">
        <v>3382</v>
      </c>
      <c r="BS488" s="472"/>
      <c r="BT488" s="472"/>
      <c r="BU488" s="474"/>
      <c r="BV488" s="472"/>
      <c r="BW488" s="523"/>
      <c r="BX488" s="523"/>
      <c r="BY488" s="523"/>
      <c r="BZ488" s="868" t="str">
        <f>IFERROR(WWWW[[#This Row],['#_Water sources passed]]/WWWW[[#This Row],['#_Water sources tested for fecal coliform ]],"no test")</f>
        <v>no test</v>
      </c>
      <c r="CA488" s="866" t="str">
        <f>IFERROR(WWWW[[#This Row],['#_Household passed]]/WWWW[[#This Row],['#_Household water samples tested for fecal coliform]],"no test")</f>
        <v>no test</v>
      </c>
      <c r="CB488" s="867" t="str">
        <f>IF(AND(WWWW[[#This Row],[% of water sources passed]]="no test",WWWW[[#This Row],[% Household passed]]="no test"),"No Test","Tested")</f>
        <v>No Test</v>
      </c>
      <c r="CC488" s="867">
        <f>WWWW[[#This Row],['#_Constructed/existing protected hand dug well]]-WWWW[[#This Row],['#_Non-functional protected hand dug well]]</f>
        <v>0</v>
      </c>
      <c r="CD488" s="867">
        <f>(WWWW[[#This Row],['#_Constructed/Existing tube wells/boreholes/handpumps_WASH_agency]]+WWWW[[#This Row],['#_Non-Cluster partner water tube-wells/boreholes/handpumps]])-WWWW[[#This Row],['#_Non-functional tube wells/boreholes/handpumps]]</f>
        <v>2</v>
      </c>
      <c r="CE488" s="867">
        <f>WWWW[[#This Row],['#_Constructed/Existingwater storage tank with gravity fed reticulation system]]-WWWW[[#This Row],['#_Non-functional storage tank gravity fed reticulation system]]</f>
        <v>0</v>
      </c>
      <c r="CF488" s="867">
        <f>(WWWW[[#This Row],['#_Water_Liters_supplied_by_Water boating or water trucking]]/90)/15</f>
        <v>0</v>
      </c>
      <c r="CG488" s="867">
        <f>WWWW[[#This Row],['#_Water_Liters_from_Constructed/Existing water distribution system from river or natural spring]]/90/15</f>
        <v>0</v>
      </c>
      <c r="CH488" s="473">
        <f>WWWW[[#This Row],['#_of water points in TLS/CFS /THF]]*500</f>
        <v>0</v>
      </c>
      <c r="CI48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8" s="866">
        <f>IF(WWWW[[#This Row],[Location Type 1]]="Village",WWWW[[#This Row],[Access to safe drinking water for Village]],WWWW[[#This Row],[Access to safe drinking water for Camp]])</f>
        <v>1</v>
      </c>
      <c r="CL488" s="864">
        <f>WWWW[[#This Row],[%Equitable and continuous access to sufficient quantity of safe drinking water]]*WWWW[[#This Row],[Total PoP ]]</f>
        <v>197</v>
      </c>
      <c r="CM488" s="866">
        <f>IF((WWWW[[#This Row],['#_Constructed/Existing protected/fenced ponds]]*250)/WWWW[[#This Row],[Total PoP ]]&gt;1,1,(WWWW[[#This Row],['#_Constructed/Existing protected/fenced ponds]]*250)/WWWW[[#This Row],[Total PoP ]])</f>
        <v>0</v>
      </c>
      <c r="CN488" s="864">
        <f>WWWW[[#This Row],[% Access to unimproved water points]]*WWWW[[#This Row],[Total PoP ]]</f>
        <v>0</v>
      </c>
      <c r="CO48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Q488" s="864">
        <f>WWWW[[#This Row],[HRP1]]/500</f>
        <v>0.39400000000000002</v>
      </c>
      <c r="CR488" s="869">
        <f>1-WWWW[[#This Row],[% Equitable and continuous access to sufficient quantity of domestic water]]</f>
        <v>0</v>
      </c>
      <c r="CS488" s="864">
        <f>WWWW[[#This Row],[%equitable and continuous access to sufficient quantity of safe drinking and domestic water''s GAP]]*WWWW[[#This Row],[Total PoP ]]</f>
        <v>0</v>
      </c>
      <c r="CT488" s="867">
        <f>IF(WWWW[[#This Row],[Total required water points]]-WWWW[[#This Row],['#Water points coverage]]&lt;0,0,WWWW[[#This Row],[Total required water points]]-WWWW[[#This Row],['#Water points coverage]])</f>
        <v>0.60599999999999998</v>
      </c>
      <c r="CU488" s="867">
        <f>ROUND(IF(WWWW[[#This Row],[Total PoP ]]&lt;500,1,WWWW[[#This Row],[Total PoP ]]/500),0)</f>
        <v>1</v>
      </c>
      <c r="CV488" s="867">
        <f>(WWWW[[#This Row],['#_Constructed latrines_by_WASHAgencies]]+WWWW[[#This Row],['#_Non Cluster partner latrines]])-WWWW[[#This Row],['#_Non-functional latrines]]</f>
        <v>7</v>
      </c>
      <c r="CW488" s="804">
        <f>WWWW[[#This Row],[HRP2]]/WWWW[[#This Row],[Total PoP ]]</f>
        <v>0.73096446700507611</v>
      </c>
      <c r="CX48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CY48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8" s="473">
        <f>IF(WWWW[[#This Row],['# of functional latrines in THF supported by WASH partners during the reporting period2]]="",0,WWWW[[#This Row],['# of functional latrines in THF supported by WASH partners during the reporting period2]]*50)</f>
        <v>0</v>
      </c>
      <c r="DB488" s="473">
        <f>WWWW[[#This Row],['# students access to functioning school latrines_HRP5]]+WWWW[[#This Row],['# People access to functioning latrines in THF_HRP5]]</f>
        <v>0</v>
      </c>
      <c r="DC488" s="867">
        <f>ROUND(IF(WWWW[[#This Row],[Location Type 1]]="camp",WWWW[[#This Row],[Total PoP ]]/20,IF(WWWW[[#This Row],[Location Type 1]]="Temporary Location",WWWW[[#This Row],[Total PoP ]]/50,(WWWW[[#This Row],[Total PoP ]]/6))),0)</f>
        <v>10</v>
      </c>
      <c r="DD488" s="867">
        <f>IF(WWWW[[#This Row],[Total required Latrines]]-(WWWW[[#This Row],['#_Constructed latrines_by_WASHAgencies]]+WWWW[[#This Row],['#_Non Cluster partner latrines]])&lt;0,0,WWWW[[#This Row],[Total required Latrines]]-(WWWW[[#This Row],['#_Constructed latrines_by_WASHAgencies]]+WWWW[[#This Row],['#_Non Cluster partner latrines]]))</f>
        <v>3</v>
      </c>
      <c r="DE488" s="869">
        <f>1-WWWW[[#This Row],[% people access to functioning Latrine]]</f>
        <v>0.26903553299492389</v>
      </c>
      <c r="DF488" s="868">
        <f>IF(OR(WWWW[[#This Row],['#_Non-functional latrines]]="",WWWW[[#This Row],['#_Non-functional latrines]]=0),0,WWWW[[#This Row],['#_Non-functional latrines]]/(WWWW[[#This Row],['#_Constructed latrines_by_WASHAgencies]]+WWWW[[#This Row],['#_Non Cluster partner latrines]]))</f>
        <v>0</v>
      </c>
      <c r="DG488" s="864">
        <f>IF(500*(WWWW[[#This Row],['#_male hygiene promoters]]+WWWW[[#This Row],['#_female hygiene promoters]])&gt;WWWW[[#This Row],[Total PoP ]],WWWW[[#This Row],[Total PoP ]],500*(WWWW[[#This Row],['#_male hygiene promoters]]+WWWW[[#This Row],['#_female hygiene promoters]]))</f>
        <v>197</v>
      </c>
      <c r="DH48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8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8" s="867">
        <f>IF(WWWW[[#This Row],['# People with access to soap]]&gt;WWWW[[#This Row],['# People with access to Sanity Pads]],WWWW[[#This Row],['# People with access to soap]],WWWW[[#This Row],['# People with access to Sanity Pads]])</f>
        <v>0</v>
      </c>
      <c r="DK488" s="867">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L488" s="869">
        <f>IF(WWWW[[#This Row],[HRP3]]/WWWW[[#This Row],[Total PoP ]]&gt;1,1,WWWW[[#This Row],[HRP3]]/WWWW[[#This Row],[Total PoP ]])</f>
        <v>1</v>
      </c>
      <c r="DM488" s="868">
        <f>1-WWWW[[#This Row],[Hygiene Coverage%]]</f>
        <v>0</v>
      </c>
      <c r="DN488" s="866">
        <f>WWWW[[#This Row],['# people reached by regular dedicated hygiene promotion_5]]/WWWW[[#This Row],[Total PoP ]]</f>
        <v>1</v>
      </c>
      <c r="DO48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8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8" s="867">
        <f>WWWW[[#This Row],['#_Constructed/Existing hand washing stations]]-WWWW[[#This Row],['#_Non-Functional_hand_washing_stations]]</f>
        <v>3</v>
      </c>
      <c r="DR488" s="864">
        <f>IF(WWWW[[#This Row],['# Functional hand washing stations during reporting period]]*20&gt;WWWW[[#This Row],[Total HH]],WWWW[[#This Row],[Total HH]],WWWW[[#This Row],['# Functional hand washing stations during reporting period]]*20)</f>
        <v>42</v>
      </c>
      <c r="DS488" s="864">
        <f>IF(WWWW[[#This Row],[Is sufficient soap available for TLS? (Yes/No)]]="yes",WWWW[[#This Row],['#_Constructed/Existing hand washing stations at TLS]],0)</f>
        <v>0</v>
      </c>
      <c r="DT488" s="479">
        <f>IF(WWWW[[#This Row],['# Functional hand washing stations during reporting period]]*100&gt;WWWW[[#This Row],[Total PoP ]],WWWW[[#This Row],[Total PoP ]],WWWW[[#This Row],['# Functional hand washing stations during reporting period]]*100)</f>
        <v>197</v>
      </c>
      <c r="DU488" s="479" t="str">
        <f>IF(OR(WWWW[[#This Row],['#_students at TLS_CFS]]="",WWWW[[#This Row],['#_students at TLS_CFS]]=0),"No","Yes")</f>
        <v>No</v>
      </c>
      <c r="DV48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8" s="862">
        <f>VLOOKUP(WWWW[[#This Row],[Site Name]],SiteDB6[[Site Name]:[CCCM Management]],6,FALSE)</f>
        <v>0</v>
      </c>
      <c r="DZ488" s="862">
        <f>VLOOKUP(WWWW[[#This Row],[Site Name]],SiteDB6[[Site Name]:[CCCM Focal Agency]],7,FALSE)</f>
        <v>0</v>
      </c>
      <c r="EA488" s="862" t="str">
        <f>VLOOKUP(WWWW[[#This Row],[Site Name]],SiteDB6[[Site Name]:[Location Type 1]],9,FALSE)</f>
        <v>Camp</v>
      </c>
      <c r="EB488" s="862" t="str">
        <f>VLOOKUP(WWWW[[#This Row],[Site Name]],SiteDB6[[Site Name]:[Type of Accommodation]],10,FALSE)</f>
        <v>Camp like setting</v>
      </c>
      <c r="EC488" s="862" t="str">
        <f>VLOOKUP(WWWW[[#This Row],[Site Name]],SiteDB6[[Site Name]:[Ethnic or GCA/NGCA]],11,FALSE)</f>
        <v>GCA</v>
      </c>
      <c r="ED488" s="862">
        <f>VLOOKUP(WWWW[[#This Row],[Site Name]],SiteDB6[[Site Name]:[Lat]],12,FALSE)</f>
        <v>0</v>
      </c>
      <c r="EE488" s="862">
        <f>VLOOKUP(WWWW[[#This Row],[Site Name]],SiteDB6[[Site Name]:[Long]],13,FALSE)</f>
        <v>0</v>
      </c>
      <c r="EF488" s="862">
        <f>VLOOKUP(WWWW[[#This Row],[Site Name]],SiteDB6[[Site Name]:[Pcode]],3,FALSE)</f>
        <v>0</v>
      </c>
      <c r="EG488" s="865" t="str">
        <f t="shared" si="14"/>
        <v>Covered</v>
      </c>
      <c r="EH488" s="865">
        <f>VLOOKUP(WWWW[[#This Row],[Site Name]],Site_DB!$C$389:$D$1120,2,FALSE)</f>
        <v>0</v>
      </c>
    </row>
    <row r="489" spans="1:138">
      <c r="A489" s="860" t="s">
        <v>3263</v>
      </c>
      <c r="B489" s="860" t="s">
        <v>195</v>
      </c>
      <c r="C489" s="861" t="s">
        <v>195</v>
      </c>
      <c r="D489" s="861" t="s">
        <v>3630</v>
      </c>
      <c r="E489" s="861" t="s">
        <v>711</v>
      </c>
      <c r="F489" s="861" t="s">
        <v>732</v>
      </c>
      <c r="G489" s="721" t="str">
        <f>VLOOKUP(WWWW[[#This Row],[Site Name]],SiteDB6[[Site Name]:[Location Type]],8,FALSE)</f>
        <v>Camp</v>
      </c>
      <c r="H489" s="861" t="s">
        <v>740</v>
      </c>
      <c r="I489" s="720">
        <v>30</v>
      </c>
      <c r="J489" s="720">
        <v>146</v>
      </c>
      <c r="K489" s="407" t="s">
        <v>3636</v>
      </c>
      <c r="L489" s="56" t="s">
        <v>3637</v>
      </c>
      <c r="M489" s="851"/>
      <c r="N489" s="851"/>
      <c r="O489" s="851">
        <v>1</v>
      </c>
      <c r="P489" s="851"/>
      <c r="Q489" s="864" t="s">
        <v>43</v>
      </c>
      <c r="R489" s="851">
        <v>3</v>
      </c>
      <c r="S489" s="851">
        <v>3</v>
      </c>
      <c r="T489" s="523"/>
      <c r="U489" s="851"/>
      <c r="V489" s="851"/>
      <c r="W489" s="851">
        <v>2</v>
      </c>
      <c r="X489" s="851">
        <v>1</v>
      </c>
      <c r="Y489" s="851"/>
      <c r="Z489" s="851"/>
      <c r="AA489" s="851"/>
      <c r="AB489" s="851"/>
      <c r="AC489" s="851"/>
      <c r="AD489" s="851"/>
      <c r="AE489" s="851"/>
      <c r="AF489" s="851"/>
      <c r="AG489" s="851">
        <v>3</v>
      </c>
      <c r="AH489" s="851"/>
      <c r="AI489" s="851"/>
      <c r="AJ489" s="851"/>
      <c r="AK489" s="851"/>
      <c r="AL489" s="851"/>
      <c r="AM489" s="851"/>
      <c r="AN489" s="851"/>
      <c r="AO489" s="865"/>
      <c r="AP489" s="851">
        <v>10</v>
      </c>
      <c r="AQ489" s="851">
        <v>2</v>
      </c>
      <c r="AR489" s="866"/>
      <c r="AS489" s="851"/>
      <c r="AT489" s="851"/>
      <c r="AU489" s="851"/>
      <c r="AV489" s="851"/>
      <c r="AW489" s="851">
        <v>2</v>
      </c>
      <c r="AX489" s="862" t="s">
        <v>43</v>
      </c>
      <c r="AY489" s="865" t="s">
        <v>140</v>
      </c>
      <c r="AZ489" s="851"/>
      <c r="BA489" s="851"/>
      <c r="BB489" s="851"/>
      <c r="BC489" s="523"/>
      <c r="BD489" s="523"/>
      <c r="BE489" s="862"/>
      <c r="BF489" s="851">
        <v>11</v>
      </c>
      <c r="BG489" s="851"/>
      <c r="BH489" s="851"/>
      <c r="BI489" s="851">
        <v>3</v>
      </c>
      <c r="BJ489" s="851"/>
      <c r="BK489" s="851"/>
      <c r="BL489" s="851">
        <v>1</v>
      </c>
      <c r="BM489" s="851">
        <v>28</v>
      </c>
      <c r="BN489" s="851"/>
      <c r="BO489" s="862"/>
      <c r="BP489" s="867"/>
      <c r="BQ489" s="866"/>
      <c r="BR489" s="862"/>
      <c r="BS489" s="472"/>
      <c r="BT489" s="472"/>
      <c r="BU489" s="474"/>
      <c r="BV489" s="472"/>
      <c r="BW489" s="523"/>
      <c r="BX489" s="523"/>
      <c r="BY489" s="523"/>
      <c r="BZ489" s="868" t="str">
        <f>IFERROR(WWWW[[#This Row],['#_Water sources passed]]/WWWW[[#This Row],['#_Water sources tested for fecal coliform ]],"no test")</f>
        <v>no test</v>
      </c>
      <c r="CA489" s="866" t="str">
        <f>IFERROR(WWWW[[#This Row],['#_Household passed]]/WWWW[[#This Row],['#_Household water samples tested for fecal coliform]],"no test")</f>
        <v>no test</v>
      </c>
      <c r="CB489" s="867" t="str">
        <f>IF(AND(WWWW[[#This Row],[% of water sources passed]]="no test",WWWW[[#This Row],[% Household passed]]="no test"),"No Test","Tested")</f>
        <v>No Test</v>
      </c>
      <c r="CC489" s="867">
        <f>WWWW[[#This Row],['#_Constructed/existing protected hand dug well]]-WWWW[[#This Row],['#_Non-functional protected hand dug well]]</f>
        <v>0</v>
      </c>
      <c r="CD489" s="867">
        <f>(WWWW[[#This Row],['#_Constructed/Existing tube wells/boreholes/handpumps_WASH_agency]]+WWWW[[#This Row],['#_Non-Cluster partner water tube-wells/boreholes/handpumps]])-WWWW[[#This Row],['#_Non-functional tube wells/boreholes/handpumps]]</f>
        <v>3</v>
      </c>
      <c r="CE489" s="867">
        <f>WWWW[[#This Row],['#_Constructed/Existingwater storage tank with gravity fed reticulation system]]-WWWW[[#This Row],['#_Non-functional storage tank gravity fed reticulation system]]</f>
        <v>0</v>
      </c>
      <c r="CF489" s="867">
        <f>(WWWW[[#This Row],['#_Water_Liters_supplied_by_Water boating or water trucking]]/90)/15</f>
        <v>0</v>
      </c>
      <c r="CG489" s="867">
        <f>WWWW[[#This Row],['#_Water_Liters_from_Constructed/Existing water distribution system from river or natural spring]]/90/15</f>
        <v>0</v>
      </c>
      <c r="CH489" s="473">
        <f>WWWW[[#This Row],['#_of water points in TLS/CFS /THF]]*500</f>
        <v>0</v>
      </c>
      <c r="CI48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8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89" s="866">
        <f>IF(WWWW[[#This Row],[Location Type 1]]="Village",WWWW[[#This Row],[Access to safe drinking water for Village]],WWWW[[#This Row],[Access to safe drinking water for Camp]])</f>
        <v>1</v>
      </c>
      <c r="CL489" s="864">
        <f>WWWW[[#This Row],[%Equitable and continuous access to sufficient quantity of safe drinking water]]*WWWW[[#This Row],[Total PoP ]]</f>
        <v>146</v>
      </c>
      <c r="CM489" s="866">
        <f>IF((WWWW[[#This Row],['#_Constructed/Existing protected/fenced ponds]]*250)/WWWW[[#This Row],[Total PoP ]]&gt;1,1,(WWWW[[#This Row],['#_Constructed/Existing protected/fenced ponds]]*250)/WWWW[[#This Row],[Total PoP ]])</f>
        <v>0</v>
      </c>
      <c r="CN489" s="864">
        <f>WWWW[[#This Row],[% Access to unimproved water points]]*WWWW[[#This Row],[Total PoP ]]</f>
        <v>0</v>
      </c>
      <c r="CO48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8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Q489" s="864">
        <f>WWWW[[#This Row],[HRP1]]/500</f>
        <v>0.29199999999999998</v>
      </c>
      <c r="CR489" s="869">
        <f>1-WWWW[[#This Row],[% Equitable and continuous access to sufficient quantity of domestic water]]</f>
        <v>0</v>
      </c>
      <c r="CS489" s="864">
        <f>WWWW[[#This Row],[%equitable and continuous access to sufficient quantity of safe drinking and domestic water''s GAP]]*WWWW[[#This Row],[Total PoP ]]</f>
        <v>0</v>
      </c>
      <c r="CT489" s="867">
        <f>IF(WWWW[[#This Row],[Total required water points]]-WWWW[[#This Row],['#Water points coverage]]&lt;0,0,WWWW[[#This Row],[Total required water points]]-WWWW[[#This Row],['#Water points coverage]])</f>
        <v>0.70799999999999996</v>
      </c>
      <c r="CU489" s="867">
        <f>ROUND(IF(WWWW[[#This Row],[Total PoP ]]&lt;500,1,WWWW[[#This Row],[Total PoP ]]/500),0)</f>
        <v>1</v>
      </c>
      <c r="CV489" s="867">
        <f>(WWWW[[#This Row],['#_Constructed latrines_by_WASHAgencies]]+WWWW[[#This Row],['#_Non Cluster partner latrines]])-WWWW[[#This Row],['#_Non-functional latrines]]</f>
        <v>12</v>
      </c>
      <c r="CW489" s="804">
        <f>WWWW[[#This Row],[HRP2]]/WWWW[[#This Row],[Total PoP ]]</f>
        <v>1</v>
      </c>
      <c r="CX48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v>
      </c>
      <c r="CY48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8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89" s="473">
        <f>IF(WWWW[[#This Row],['# of functional latrines in THF supported by WASH partners during the reporting period2]]="",0,WWWW[[#This Row],['# of functional latrines in THF supported by WASH partners during the reporting period2]]*50)</f>
        <v>0</v>
      </c>
      <c r="DB489" s="473">
        <f>WWWW[[#This Row],['# students access to functioning school latrines_HRP5]]+WWWW[[#This Row],['# People access to functioning latrines in THF_HRP5]]</f>
        <v>0</v>
      </c>
      <c r="DC489" s="867">
        <f>ROUND(IF(WWWW[[#This Row],[Location Type 1]]="camp",WWWW[[#This Row],[Total PoP ]]/20,IF(WWWW[[#This Row],[Location Type 1]]="Temporary Location",WWWW[[#This Row],[Total PoP ]]/50,(WWWW[[#This Row],[Total PoP ]]/6))),0)</f>
        <v>7</v>
      </c>
      <c r="DD489" s="867">
        <f>IF(WWWW[[#This Row],[Total required Latrines]]-(WWWW[[#This Row],['#_Constructed latrines_by_WASHAgencies]]+WWWW[[#This Row],['#_Non Cluster partner latrines]])&lt;0,0,WWWW[[#This Row],[Total required Latrines]]-(WWWW[[#This Row],['#_Constructed latrines_by_WASHAgencies]]+WWWW[[#This Row],['#_Non Cluster partner latrines]]))</f>
        <v>0</v>
      </c>
      <c r="DE489" s="869">
        <f>1-WWWW[[#This Row],[% people access to functioning Latrine]]</f>
        <v>0</v>
      </c>
      <c r="DF489" s="868">
        <f>IF(OR(WWWW[[#This Row],['#_Non-functional latrines]]="",WWWW[[#This Row],['#_Non-functional latrines]]=0),0,WWWW[[#This Row],['#_Non-functional latrines]]/(WWWW[[#This Row],['#_Constructed latrines_by_WASHAgencies]]+WWWW[[#This Row],['#_Non Cluster partner latrines]]))</f>
        <v>0</v>
      </c>
      <c r="DG489" s="864">
        <f>IF(500*(WWWW[[#This Row],['#_male hygiene promoters]]+WWWW[[#This Row],['#_female hygiene promoters]])&gt;WWWW[[#This Row],[Total PoP ]],WWWW[[#This Row],[Total PoP ]],500*(WWWW[[#This Row],['#_male hygiene promoters]]+WWWW[[#This Row],['#_female hygiene promoters]]))</f>
        <v>146</v>
      </c>
      <c r="DH48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140</v>
      </c>
      <c r="DI48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89" s="867">
        <f>IF(WWWW[[#This Row],['# People with access to soap]]&gt;WWWW[[#This Row],['# People with access to Sanity Pads]],WWWW[[#This Row],['# People with access to soap]],WWWW[[#This Row],['# People with access to Sanity Pads]])</f>
        <v>140</v>
      </c>
      <c r="DK489" s="867">
        <f>IF(WWWW[[#This Row],['# people reached by regular dedicated hygiene promotion_5]]&gt;WWWW[[#This Row],['# People received regular supply of hygiene items_6]],WWWW[[#This Row],['# people reached by regular dedicated hygiene promotion_5]],WWWW[[#This Row],['# People received regular supply of hygiene items_6]])</f>
        <v>146</v>
      </c>
      <c r="DL489" s="869">
        <f>IF(WWWW[[#This Row],[HRP3]]/WWWW[[#This Row],[Total PoP ]]&gt;1,1,WWWW[[#This Row],[HRP3]]/WWWW[[#This Row],[Total PoP ]])</f>
        <v>1</v>
      </c>
      <c r="DM489" s="868">
        <f>1-WWWW[[#This Row],[Hygiene Coverage%]]</f>
        <v>0</v>
      </c>
      <c r="DN489" s="866">
        <f>WWWW[[#This Row],['# people reached by regular dedicated hygiene promotion_5]]/WWWW[[#This Row],[Total PoP ]]</f>
        <v>1</v>
      </c>
      <c r="DO48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8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89" s="867">
        <f>WWWW[[#This Row],['#_Constructed/Existing hand washing stations]]-WWWW[[#This Row],['#_Non-Functional_hand_washing_stations]]</f>
        <v>11</v>
      </c>
      <c r="DR489" s="864">
        <f>IF(WWWW[[#This Row],['# Functional hand washing stations during reporting period]]*20&gt;WWWW[[#This Row],[Total HH]],WWWW[[#This Row],[Total HH]],WWWW[[#This Row],['# Functional hand washing stations during reporting period]]*20)</f>
        <v>30</v>
      </c>
      <c r="DS489" s="864">
        <f>IF(WWWW[[#This Row],[Is sufficient soap available for TLS? (Yes/No)]]="yes",WWWW[[#This Row],['#_Constructed/Existing hand washing stations at TLS]],0)</f>
        <v>0</v>
      </c>
      <c r="DT489" s="479">
        <f>IF(WWWW[[#This Row],['# Functional hand washing stations during reporting period]]*100&gt;WWWW[[#This Row],[Total PoP ]],WWWW[[#This Row],[Total PoP ]],WWWW[[#This Row],['# Functional hand washing stations during reporting period]]*100)</f>
        <v>146</v>
      </c>
      <c r="DU489" s="479" t="str">
        <f>IF(OR(WWWW[[#This Row],['#_students at TLS_CFS]]="",WWWW[[#This Row],['#_students at TLS_CFS]]=0),"No","Yes")</f>
        <v>No</v>
      </c>
      <c r="DV48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89" s="862" t="str">
        <f>VLOOKUP(WWWW[[#This Row],[Site Name]],SiteDB6[[Site Name]:[CCCM Management]],6,FALSE)</f>
        <v>Yes</v>
      </c>
      <c r="DZ489" s="862" t="str">
        <f>VLOOKUP(WWWW[[#This Row],[Site Name]],SiteDB6[[Site Name]:[CCCM Focal Agency]],7,FALSE)</f>
        <v>KMSS-LSO</v>
      </c>
      <c r="EA489" s="862" t="str">
        <f>VLOOKUP(WWWW[[#This Row],[Site Name]],SiteDB6[[Site Name]:[Location Type 1]],9,FALSE)</f>
        <v>Camp</v>
      </c>
      <c r="EB489" s="862" t="str">
        <f>VLOOKUP(WWWW[[#This Row],[Site Name]],SiteDB6[[Site Name]:[Type of Accommodation]],10,FALSE)</f>
        <v>Camp</v>
      </c>
      <c r="EC489" s="862" t="str">
        <f>VLOOKUP(WWWW[[#This Row],[Site Name]],SiteDB6[[Site Name]:[Ethnic or GCA/NGCA]],11,FALSE)</f>
        <v>GCA</v>
      </c>
      <c r="ED489" s="862">
        <f>VLOOKUP(WWWW[[#This Row],[Site Name]],SiteDB6[[Site Name]:[Lat]],12,FALSE)</f>
        <v>0</v>
      </c>
      <c r="EE489" s="862">
        <f>VLOOKUP(WWWW[[#This Row],[Site Name]],SiteDB6[[Site Name]:[Long]],13,FALSE)</f>
        <v>0</v>
      </c>
      <c r="EF489" s="862" t="str">
        <f>VLOOKUP(WWWW[[#This Row],[Site Name]],SiteDB6[[Site Name]:[Pcode]],3,FALSE)</f>
        <v>MMR015CMP232</v>
      </c>
      <c r="EG489" s="865" t="str">
        <f t="shared" si="14"/>
        <v>Covered</v>
      </c>
      <c r="EH489" s="865" t="e">
        <f>VLOOKUP(WWWW[[#This Row],[Site Name]],Site_DB!$C$389:$D$1120,2,FALSE)</f>
        <v>#N/A</v>
      </c>
    </row>
    <row r="490" spans="1:138">
      <c r="A490" s="860" t="s">
        <v>3263</v>
      </c>
      <c r="B490" s="860" t="s">
        <v>195</v>
      </c>
      <c r="C490" s="861" t="s">
        <v>195</v>
      </c>
      <c r="D490" s="861" t="s">
        <v>3364</v>
      </c>
      <c r="E490" s="861" t="s">
        <v>711</v>
      </c>
      <c r="F490" s="861" t="s">
        <v>715</v>
      </c>
      <c r="G490" s="721" t="str">
        <f>VLOOKUP(WWWW[[#This Row],[Site Name]],SiteDB6[[Site Name]:[Location Type]],8,FALSE)</f>
        <v>Camp</v>
      </c>
      <c r="H490" s="861" t="s">
        <v>2178</v>
      </c>
      <c r="I490" s="851">
        <v>69</v>
      </c>
      <c r="J490" s="851">
        <v>721</v>
      </c>
      <c r="K490" s="407" t="s">
        <v>3634</v>
      </c>
      <c r="L490" s="56" t="s">
        <v>3632</v>
      </c>
      <c r="M490" s="851"/>
      <c r="N490" s="851"/>
      <c r="O490" s="851"/>
      <c r="P490" s="851"/>
      <c r="Q490" s="864"/>
      <c r="R490" s="851">
        <v>6</v>
      </c>
      <c r="S490" s="851">
        <v>3</v>
      </c>
      <c r="T490" s="523"/>
      <c r="U490" s="851"/>
      <c r="V490" s="851"/>
      <c r="W490" s="851"/>
      <c r="X490" s="851"/>
      <c r="Y490" s="851"/>
      <c r="Z490" s="851"/>
      <c r="AA490" s="851">
        <v>1</v>
      </c>
      <c r="AB490" s="851">
        <v>1</v>
      </c>
      <c r="AC490" s="851"/>
      <c r="AD490" s="851"/>
      <c r="AE490" s="851"/>
      <c r="AF490" s="851"/>
      <c r="AG490" s="851">
        <v>3</v>
      </c>
      <c r="AH490" s="851"/>
      <c r="AI490" s="851"/>
      <c r="AJ490" s="851"/>
      <c r="AK490" s="851"/>
      <c r="AL490" s="851"/>
      <c r="AM490" s="851">
        <v>1</v>
      </c>
      <c r="AN490" s="851">
        <v>2</v>
      </c>
      <c r="AO490" s="865"/>
      <c r="AP490" s="851">
        <v>85</v>
      </c>
      <c r="AQ490" s="851"/>
      <c r="AR490" s="866"/>
      <c r="AS490" s="851"/>
      <c r="AT490" s="851"/>
      <c r="AU490" s="851"/>
      <c r="AV490" s="851"/>
      <c r="AW490" s="851">
        <v>5</v>
      </c>
      <c r="AX490" s="862" t="s">
        <v>43</v>
      </c>
      <c r="AY490" s="865" t="s">
        <v>1195</v>
      </c>
      <c r="AZ490" s="851"/>
      <c r="BA490" s="851"/>
      <c r="BB490" s="851"/>
      <c r="BC490" s="523"/>
      <c r="BD490" s="523"/>
      <c r="BE490" s="862"/>
      <c r="BF490" s="851">
        <v>2</v>
      </c>
      <c r="BG490" s="851"/>
      <c r="BH490" s="851"/>
      <c r="BI490" s="851">
        <v>1</v>
      </c>
      <c r="BJ490" s="851"/>
      <c r="BK490" s="851">
        <v>1</v>
      </c>
      <c r="BL490" s="851"/>
      <c r="BM490" s="851">
        <v>69</v>
      </c>
      <c r="BN490" s="851"/>
      <c r="BO490" s="862"/>
      <c r="BP490" s="867"/>
      <c r="BQ490" s="866"/>
      <c r="BR490" s="862"/>
      <c r="BS490" s="472"/>
      <c r="BT490" s="472"/>
      <c r="BU490" s="474"/>
      <c r="BV490" s="472"/>
      <c r="BW490" s="523"/>
      <c r="BX490" s="523"/>
      <c r="BY490" s="523"/>
      <c r="BZ490" s="868" t="str">
        <f>IFERROR(WWWW[[#This Row],['#_Water sources passed]]/WWWW[[#This Row],['#_Water sources tested for fecal coliform ]],"no test")</f>
        <v>no test</v>
      </c>
      <c r="CA490" s="866" t="str">
        <f>IFERROR(WWWW[[#This Row],['#_Household passed]]/WWWW[[#This Row],['#_Household water samples tested for fecal coliform]],"no test")</f>
        <v>no test</v>
      </c>
      <c r="CB490" s="867" t="str">
        <f>IF(AND(WWWW[[#This Row],[% of water sources passed]]="no test",WWWW[[#This Row],[% Household passed]]="no test"),"No Test","Tested")</f>
        <v>No Test</v>
      </c>
      <c r="CC490" s="867">
        <f>WWWW[[#This Row],['#_Constructed/existing protected hand dug well]]-WWWW[[#This Row],['#_Non-functional protected hand dug well]]</f>
        <v>0</v>
      </c>
      <c r="CD490" s="867">
        <f>(WWWW[[#This Row],['#_Constructed/Existing tube wells/boreholes/handpumps_WASH_agency]]+WWWW[[#This Row],['#_Non-Cluster partner water tube-wells/boreholes/handpumps]])-WWWW[[#This Row],['#_Non-functional tube wells/boreholes/handpumps]]</f>
        <v>0</v>
      </c>
      <c r="CE490" s="867">
        <f>WWWW[[#This Row],['#_Constructed/Existingwater storage tank with gravity fed reticulation system]]-WWWW[[#This Row],['#_Non-functional storage tank gravity fed reticulation system]]</f>
        <v>0</v>
      </c>
      <c r="CF490" s="867">
        <f>(WWWW[[#This Row],['#_Water_Liters_supplied_by_Water boating or water trucking]]/90)/15</f>
        <v>0</v>
      </c>
      <c r="CG490" s="867">
        <f>WWWW[[#This Row],['#_Water_Liters_from_Constructed/Existing water distribution system from river or natural spring]]/90/15</f>
        <v>0</v>
      </c>
      <c r="CH490" s="473">
        <f>WWWW[[#This Row],['#_of water points in TLS/CFS /THF]]*500</f>
        <v>1000</v>
      </c>
      <c r="CI49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0" s="866">
        <f>IF(WWWW[[#This Row],[Location Type 1]]="Village",WWWW[[#This Row],[Access to safe drinking water for Village]],WWWW[[#This Row],[Access to safe drinking water for Camp]])</f>
        <v>0</v>
      </c>
      <c r="CL490" s="864">
        <f>WWWW[[#This Row],[%Equitable and continuous access to sufficient quantity of safe drinking water]]*WWWW[[#This Row],[Total PoP ]]</f>
        <v>0</v>
      </c>
      <c r="CM490" s="866">
        <f>IF((WWWW[[#This Row],['#_Constructed/Existing protected/fenced ponds]]*250)/WWWW[[#This Row],[Total PoP ]]&gt;1,1,(WWWW[[#This Row],['#_Constructed/Existing protected/fenced ponds]]*250)/WWWW[[#This Row],[Total PoP ]])</f>
        <v>0</v>
      </c>
      <c r="CN490" s="864">
        <f>WWWW[[#This Row],[% Access to unimproved water points]]*WWWW[[#This Row],[Total PoP ]]</f>
        <v>0</v>
      </c>
      <c r="CO49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0" s="864">
        <f>WWWW[[#This Row],[HRP1]]/500</f>
        <v>0</v>
      </c>
      <c r="CR490" s="869">
        <f>1-WWWW[[#This Row],[% Equitable and continuous access to sufficient quantity of domestic water]]</f>
        <v>1</v>
      </c>
      <c r="CS490" s="864">
        <f>WWWW[[#This Row],[%equitable and continuous access to sufficient quantity of safe drinking and domestic water''s GAP]]*WWWW[[#This Row],[Total PoP ]]</f>
        <v>721</v>
      </c>
      <c r="CT490" s="867">
        <f>IF(WWWW[[#This Row],[Total required water points]]-WWWW[[#This Row],['#Water points coverage]]&lt;0,0,WWWW[[#This Row],[Total required water points]]-WWWW[[#This Row],['#Water points coverage]])</f>
        <v>1</v>
      </c>
      <c r="CU490" s="867">
        <f>ROUND(IF(WWWW[[#This Row],[Total PoP ]]&lt;500,1,WWWW[[#This Row],[Total PoP ]]/500),0)</f>
        <v>1</v>
      </c>
      <c r="CV490" s="867">
        <f>(WWWW[[#This Row],['#_Constructed latrines_by_WASHAgencies]]+WWWW[[#This Row],['#_Non Cluster partner latrines]])-WWWW[[#This Row],['#_Non-functional latrines]]</f>
        <v>85</v>
      </c>
      <c r="CW490" s="804">
        <f>WWWW[[#This Row],[HRP2]]/WWWW[[#This Row],[Total PoP ]]</f>
        <v>1</v>
      </c>
      <c r="CX49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721</v>
      </c>
      <c r="CY49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0" s="473">
        <f>IF(WWWW[[#This Row],['# of functional latrines in THF supported by WASH partners during the reporting period2]]="",0,WWWW[[#This Row],['# of functional latrines in THF supported by WASH partners during the reporting period2]]*50)</f>
        <v>0</v>
      </c>
      <c r="DB490" s="473">
        <f>WWWW[[#This Row],['# students access to functioning school latrines_HRP5]]+WWWW[[#This Row],['# People access to functioning latrines in THF_HRP5]]</f>
        <v>0</v>
      </c>
      <c r="DC490" s="867">
        <f>ROUND(IF(WWWW[[#This Row],[Location Type 1]]="camp",WWWW[[#This Row],[Total PoP ]]/20,IF(WWWW[[#This Row],[Location Type 1]]="Temporary Location",WWWW[[#This Row],[Total PoP ]]/50,(WWWW[[#This Row],[Total PoP ]]/6))),0)</f>
        <v>36</v>
      </c>
      <c r="DD490" s="867">
        <f>IF(WWWW[[#This Row],[Total required Latrines]]-(WWWW[[#This Row],['#_Constructed latrines_by_WASHAgencies]]+WWWW[[#This Row],['#_Non Cluster partner latrines]])&lt;0,0,WWWW[[#This Row],[Total required Latrines]]-(WWWW[[#This Row],['#_Constructed latrines_by_WASHAgencies]]+WWWW[[#This Row],['#_Non Cluster partner latrines]]))</f>
        <v>0</v>
      </c>
      <c r="DE490" s="869">
        <f>1-WWWW[[#This Row],[% people access to functioning Latrine]]</f>
        <v>0</v>
      </c>
      <c r="DF490" s="868">
        <f>IF(OR(WWWW[[#This Row],['#_Non-functional latrines]]="",WWWW[[#This Row],['#_Non-functional latrines]]=0),0,WWWW[[#This Row],['#_Non-functional latrines]]/(WWWW[[#This Row],['#_Constructed latrines_by_WASHAgencies]]+WWWW[[#This Row],['#_Non Cluster partner latrines]]))</f>
        <v>0</v>
      </c>
      <c r="DG490" s="864">
        <f>IF(500*(WWWW[[#This Row],['#_male hygiene promoters]]+WWWW[[#This Row],['#_female hygiene promoters]])&gt;WWWW[[#This Row],[Total PoP ]],WWWW[[#This Row],[Total PoP ]],500*(WWWW[[#This Row],['#_male hygiene promoters]]+WWWW[[#This Row],['#_female hygiene promoters]]))</f>
        <v>500</v>
      </c>
      <c r="DH49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721</v>
      </c>
      <c r="DI49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0" s="867">
        <f>IF(WWWW[[#This Row],['# People with access to soap]]&gt;WWWW[[#This Row],['# People with access to Sanity Pads]],WWWW[[#This Row],['# People with access to soap]],WWWW[[#This Row],['# People with access to Sanity Pads]])</f>
        <v>721</v>
      </c>
      <c r="DK490" s="867">
        <f>IF(WWWW[[#This Row],['# people reached by regular dedicated hygiene promotion_5]]&gt;WWWW[[#This Row],['# People received regular supply of hygiene items_6]],WWWW[[#This Row],['# people reached by regular dedicated hygiene promotion_5]],WWWW[[#This Row],['# People received regular supply of hygiene items_6]])</f>
        <v>721</v>
      </c>
      <c r="DL490" s="869">
        <f>IF(WWWW[[#This Row],[HRP3]]/WWWW[[#This Row],[Total PoP ]]&gt;1,1,WWWW[[#This Row],[HRP3]]/WWWW[[#This Row],[Total PoP ]])</f>
        <v>1</v>
      </c>
      <c r="DM490" s="868">
        <f>1-WWWW[[#This Row],[Hygiene Coverage%]]</f>
        <v>0</v>
      </c>
      <c r="DN490" s="866">
        <f>WWWW[[#This Row],['# people reached by regular dedicated hygiene promotion_5]]/WWWW[[#This Row],[Total PoP ]]</f>
        <v>0.69348127600554788</v>
      </c>
      <c r="DO49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9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0" s="867">
        <f>WWWW[[#This Row],['#_Constructed/Existing hand washing stations]]-WWWW[[#This Row],['#_Non-Functional_hand_washing_stations]]</f>
        <v>2</v>
      </c>
      <c r="DR490" s="864">
        <f>IF(WWWW[[#This Row],['# Functional hand washing stations during reporting period]]*20&gt;WWWW[[#This Row],[Total HH]],WWWW[[#This Row],[Total HH]],WWWW[[#This Row],['# Functional hand washing stations during reporting period]]*20)</f>
        <v>40</v>
      </c>
      <c r="DS490" s="864">
        <f>IF(WWWW[[#This Row],[Is sufficient soap available for TLS? (Yes/No)]]="yes",WWWW[[#This Row],['#_Constructed/Existing hand washing stations at TLS]],0)</f>
        <v>0</v>
      </c>
      <c r="DT490" s="479">
        <f>IF(WWWW[[#This Row],['# Functional hand washing stations during reporting period]]*100&gt;WWWW[[#This Row],[Total PoP ]],WWWW[[#This Row],[Total PoP ]],WWWW[[#This Row],['# Functional hand washing stations during reporting period]]*100)</f>
        <v>200</v>
      </c>
      <c r="DU490" s="479" t="str">
        <f>IF(OR(WWWW[[#This Row],['#_students at TLS_CFS]]="",WWWW[[#This Row],['#_students at TLS_CFS]]=0),"No","Yes")</f>
        <v>No</v>
      </c>
      <c r="DV49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490" s="862" t="str">
        <f>VLOOKUP(WWWW[[#This Row],[Site Name]],SiteDB6[[Site Name]:[CCCM Management]],6,FALSE)</f>
        <v>Yes</v>
      </c>
      <c r="DZ490" s="862" t="str">
        <f>VLOOKUP(WWWW[[#This Row],[Site Name]],SiteDB6[[Site Name]:[CCCM Focal Agency]],7,FALSE)</f>
        <v>KMSS-LSO</v>
      </c>
      <c r="EA490" s="862" t="str">
        <f>VLOOKUP(WWWW[[#This Row],[Site Name]],SiteDB6[[Site Name]:[Location Type 1]],9,FALSE)</f>
        <v>Camp</v>
      </c>
      <c r="EB490" s="862" t="str">
        <f>VLOOKUP(WWWW[[#This Row],[Site Name]],SiteDB6[[Site Name]:[Type of Accommodation]],10,FALSE)</f>
        <v>Camp</v>
      </c>
      <c r="EC490" s="862" t="str">
        <f>VLOOKUP(WWWW[[#This Row],[Site Name]],SiteDB6[[Site Name]:[Ethnic or GCA/NGCA]],11,FALSE)</f>
        <v>GCA</v>
      </c>
      <c r="ED490" s="862">
        <f>VLOOKUP(WWWW[[#This Row],[Site Name]],SiteDB6[[Site Name]:[Lat]],12,FALSE)</f>
        <v>23.591999999999999</v>
      </c>
      <c r="EE490" s="862">
        <f>VLOOKUP(WWWW[[#This Row],[Site Name]],SiteDB6[[Site Name]:[Long]],13,FALSE)</f>
        <v>97.796999999999997</v>
      </c>
      <c r="EF490" s="862" t="str">
        <f>VLOOKUP(WWWW[[#This Row],[Site Name]],SiteDB6[[Site Name]:[Pcode]],3,FALSE)</f>
        <v>MMR015CMP220</v>
      </c>
      <c r="EG490" s="865" t="str">
        <f t="shared" si="14"/>
        <v>Covered</v>
      </c>
      <c r="EH490" s="865" t="str">
        <f>VLOOKUP(WWWW[[#This Row],[Site Name]],Site_DB!$C$389:$D$1120,2,FALSE)</f>
        <v>cccm_2019OCT</v>
      </c>
    </row>
    <row r="491" spans="1:138">
      <c r="A491" s="860" t="s">
        <v>3263</v>
      </c>
      <c r="B491" s="860" t="s">
        <v>195</v>
      </c>
      <c r="C491" s="861" t="s">
        <v>195</v>
      </c>
      <c r="D491" s="404" t="s">
        <v>3643</v>
      </c>
      <c r="E491" s="861" t="s">
        <v>39</v>
      </c>
      <c r="F491" s="861" t="s">
        <v>208</v>
      </c>
      <c r="G491" s="721" t="str">
        <f>VLOOKUP(WWWW[[#This Row],[Site Name]],SiteDB6[[Site Name]:[Location Type]],8,FALSE)</f>
        <v>Camp</v>
      </c>
      <c r="H491" s="861" t="s">
        <v>213</v>
      </c>
      <c r="I491" s="851">
        <v>127</v>
      </c>
      <c r="J491" s="851">
        <v>741</v>
      </c>
      <c r="K491" s="863" t="s">
        <v>3611</v>
      </c>
      <c r="L491" s="859" t="s">
        <v>3612</v>
      </c>
      <c r="M491" s="851"/>
      <c r="N491" s="851"/>
      <c r="O491" s="851"/>
      <c r="P491" s="851"/>
      <c r="Q491" s="864" t="s">
        <v>139</v>
      </c>
      <c r="R491" s="851"/>
      <c r="S491" s="851"/>
      <c r="T491" s="523"/>
      <c r="U491" s="851"/>
      <c r="V491" s="851"/>
      <c r="W491" s="851">
        <v>2</v>
      </c>
      <c r="X491" s="851">
        <v>1</v>
      </c>
      <c r="Y491" s="851"/>
      <c r="Z491" s="851"/>
      <c r="AA491" s="851"/>
      <c r="AB491" s="851"/>
      <c r="AC491" s="851"/>
      <c r="AD491" s="851"/>
      <c r="AE491" s="851"/>
      <c r="AF491" s="851"/>
      <c r="AG491" s="851"/>
      <c r="AH491" s="851"/>
      <c r="AI491" s="851"/>
      <c r="AJ491" s="851"/>
      <c r="AK491" s="851"/>
      <c r="AL491" s="851"/>
      <c r="AM491" s="851"/>
      <c r="AN491" s="851"/>
      <c r="AO491" s="865"/>
      <c r="AP491" s="851">
        <v>40</v>
      </c>
      <c r="AQ491" s="851"/>
      <c r="AR491" s="866"/>
      <c r="AS491" s="851"/>
      <c r="AT491" s="851"/>
      <c r="AU491" s="851"/>
      <c r="AV491" s="851"/>
      <c r="AW491" s="851"/>
      <c r="AX491" s="862" t="s">
        <v>43</v>
      </c>
      <c r="AY491" s="865" t="s">
        <v>140</v>
      </c>
      <c r="AZ491" s="851"/>
      <c r="BA491" s="851"/>
      <c r="BB491" s="851"/>
      <c r="BC491" s="523"/>
      <c r="BD491" s="523"/>
      <c r="BE491" s="862"/>
      <c r="BF491" s="851">
        <v>17</v>
      </c>
      <c r="BG491" s="851"/>
      <c r="BH491" s="851"/>
      <c r="BI491" s="851">
        <v>5</v>
      </c>
      <c r="BJ491" s="851"/>
      <c r="BK491" s="851"/>
      <c r="BL491" s="851">
        <v>1</v>
      </c>
      <c r="BM491" s="851">
        <v>127</v>
      </c>
      <c r="BN491" s="851"/>
      <c r="BO491" s="862"/>
      <c r="BP491" s="867"/>
      <c r="BQ491" s="866"/>
      <c r="BR491" s="806" t="s">
        <v>3645</v>
      </c>
      <c r="BS491" s="472"/>
      <c r="BT491" s="472"/>
      <c r="BU491" s="474"/>
      <c r="BV491" s="472"/>
      <c r="BW491" s="523"/>
      <c r="BX491" s="523"/>
      <c r="BY491" s="523"/>
      <c r="BZ491" s="868" t="str">
        <f>IFERROR(WWWW[[#This Row],['#_Water sources passed]]/WWWW[[#This Row],['#_Water sources tested for fecal coliform ]],"no test")</f>
        <v>no test</v>
      </c>
      <c r="CA491" s="866" t="str">
        <f>IFERROR(WWWW[[#This Row],['#_Household passed]]/WWWW[[#This Row],['#_Household water samples tested for fecal coliform]],"no test")</f>
        <v>no test</v>
      </c>
      <c r="CB491" s="867" t="str">
        <f>IF(AND(WWWW[[#This Row],[% of water sources passed]]="no test",WWWW[[#This Row],[% Household passed]]="no test"),"No Test","Tested")</f>
        <v>No Test</v>
      </c>
      <c r="CC491" s="867">
        <f>WWWW[[#This Row],['#_Constructed/existing protected hand dug well]]-WWWW[[#This Row],['#_Non-functional protected hand dug well]]</f>
        <v>0</v>
      </c>
      <c r="CD491" s="867">
        <f>(WWWW[[#This Row],['#_Constructed/Existing tube wells/boreholes/handpumps_WASH_agency]]+WWWW[[#This Row],['#_Non-Cluster partner water tube-wells/boreholes/handpumps]])-WWWW[[#This Row],['#_Non-functional tube wells/boreholes/handpumps]]</f>
        <v>3</v>
      </c>
      <c r="CE491" s="867">
        <f>WWWW[[#This Row],['#_Constructed/Existingwater storage tank with gravity fed reticulation system]]-WWWW[[#This Row],['#_Non-functional storage tank gravity fed reticulation system]]</f>
        <v>0</v>
      </c>
      <c r="CF491" s="867">
        <f>(WWWW[[#This Row],['#_Water_Liters_supplied_by_Water boating or water trucking]]/90)/15</f>
        <v>0</v>
      </c>
      <c r="CG491" s="867">
        <f>WWWW[[#This Row],['#_Water_Liters_from_Constructed/Existing water distribution system from river or natural spring]]/90/15</f>
        <v>0</v>
      </c>
      <c r="CH491" s="473">
        <f>WWWW[[#This Row],['#_of water points in TLS/CFS /THF]]*500</f>
        <v>0</v>
      </c>
      <c r="CI49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1" s="866">
        <f>IF(WWWW[[#This Row],[Location Type 1]]="Village",WWWW[[#This Row],[Access to safe drinking water for Village]],WWWW[[#This Row],[Access to safe drinking water for Camp]])</f>
        <v>1</v>
      </c>
      <c r="CL491" s="864">
        <f>WWWW[[#This Row],[%Equitable and continuous access to sufficient quantity of safe drinking water]]*WWWW[[#This Row],[Total PoP ]]</f>
        <v>741</v>
      </c>
      <c r="CM491" s="866">
        <f>IF((WWWW[[#This Row],['#_Constructed/Existing protected/fenced ponds]]*250)/WWWW[[#This Row],[Total PoP ]]&gt;1,1,(WWWW[[#This Row],['#_Constructed/Existing protected/fenced ponds]]*250)/WWWW[[#This Row],[Total PoP ]])</f>
        <v>0</v>
      </c>
      <c r="CN491" s="864">
        <f>WWWW[[#This Row],[% Access to unimproved water points]]*WWWW[[#This Row],[Total PoP ]]</f>
        <v>0</v>
      </c>
      <c r="CO49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Q491" s="864">
        <f>WWWW[[#This Row],[HRP1]]/500</f>
        <v>1.482</v>
      </c>
      <c r="CR491" s="869">
        <f>1-WWWW[[#This Row],[% Equitable and continuous access to sufficient quantity of domestic water]]</f>
        <v>0</v>
      </c>
      <c r="CS491" s="864">
        <f>WWWW[[#This Row],[%equitable and continuous access to sufficient quantity of safe drinking and domestic water''s GAP]]*WWWW[[#This Row],[Total PoP ]]</f>
        <v>0</v>
      </c>
      <c r="CT491" s="867">
        <f>IF(WWWW[[#This Row],[Total required water points]]-WWWW[[#This Row],['#Water points coverage]]&lt;0,0,WWWW[[#This Row],[Total required water points]]-WWWW[[#This Row],['#Water points coverage]])</f>
        <v>0</v>
      </c>
      <c r="CU491" s="867">
        <f>ROUND(IF(WWWW[[#This Row],[Total PoP ]]&lt;500,1,WWWW[[#This Row],[Total PoP ]]/500),0)</f>
        <v>1</v>
      </c>
      <c r="CV491" s="867">
        <f>(WWWW[[#This Row],['#_Constructed latrines_by_WASHAgencies]]+WWWW[[#This Row],['#_Non Cluster partner latrines]])-WWWW[[#This Row],['#_Non-functional latrines]]</f>
        <v>40</v>
      </c>
      <c r="CW491" s="804">
        <f>WWWW[[#This Row],[HRP2]]/WWWW[[#This Row],[Total PoP ]]</f>
        <v>1</v>
      </c>
      <c r="CX49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CY49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1" s="473">
        <f>IF(WWWW[[#This Row],['# of functional latrines in THF supported by WASH partners during the reporting period2]]="",0,WWWW[[#This Row],['# of functional latrines in THF supported by WASH partners during the reporting period2]]*50)</f>
        <v>0</v>
      </c>
      <c r="DB491" s="473">
        <f>WWWW[[#This Row],['# students access to functioning school latrines_HRP5]]+WWWW[[#This Row],['# People access to functioning latrines in THF_HRP5]]</f>
        <v>0</v>
      </c>
      <c r="DC491" s="867">
        <f>ROUND(IF(WWWW[[#This Row],[Location Type 1]]="camp",WWWW[[#This Row],[Total PoP ]]/20,IF(WWWW[[#This Row],[Location Type 1]]="Temporary Location",WWWW[[#This Row],[Total PoP ]]/50,(WWWW[[#This Row],[Total PoP ]]/6))),0)</f>
        <v>37</v>
      </c>
      <c r="DD491" s="867">
        <f>IF(WWWW[[#This Row],[Total required Latrines]]-(WWWW[[#This Row],['#_Constructed latrines_by_WASHAgencies]]+WWWW[[#This Row],['#_Non Cluster partner latrines]])&lt;0,0,WWWW[[#This Row],[Total required Latrines]]-(WWWW[[#This Row],['#_Constructed latrines_by_WASHAgencies]]+WWWW[[#This Row],['#_Non Cluster partner latrines]]))</f>
        <v>0</v>
      </c>
      <c r="DE491" s="869">
        <f>1-WWWW[[#This Row],[% people access to functioning Latrine]]</f>
        <v>0</v>
      </c>
      <c r="DF491" s="868">
        <f>IF(OR(WWWW[[#This Row],['#_Non-functional latrines]]="",WWWW[[#This Row],['#_Non-functional latrines]]=0),0,WWWW[[#This Row],['#_Non-functional latrines]]/(WWWW[[#This Row],['#_Constructed latrines_by_WASHAgencies]]+WWWW[[#This Row],['#_Non Cluster partner latrines]]))</f>
        <v>0</v>
      </c>
      <c r="DG491" s="864">
        <f>IF(500*(WWWW[[#This Row],['#_male hygiene promoters]]+WWWW[[#This Row],['#_female hygiene promoters]])&gt;WWWW[[#This Row],[Total PoP ]],WWWW[[#This Row],[Total PoP ]],500*(WWWW[[#This Row],['#_male hygiene promoters]]+WWWW[[#This Row],['#_female hygiene promoters]]))</f>
        <v>500</v>
      </c>
      <c r="DH49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741</v>
      </c>
      <c r="DI49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1" s="867">
        <f>IF(WWWW[[#This Row],['# People with access to soap]]&gt;WWWW[[#This Row],['# People with access to Sanity Pads]],WWWW[[#This Row],['# People with access to soap]],WWWW[[#This Row],['# People with access to Sanity Pads]])</f>
        <v>741</v>
      </c>
      <c r="DK491" s="867">
        <f>IF(WWWW[[#This Row],['# people reached by regular dedicated hygiene promotion_5]]&gt;WWWW[[#This Row],['# People received regular supply of hygiene items_6]],WWWW[[#This Row],['# people reached by regular dedicated hygiene promotion_5]],WWWW[[#This Row],['# People received regular supply of hygiene items_6]])</f>
        <v>741</v>
      </c>
      <c r="DL491" s="869">
        <f>IF(WWWW[[#This Row],[HRP3]]/WWWW[[#This Row],[Total PoP ]]&gt;1,1,WWWW[[#This Row],[HRP3]]/WWWW[[#This Row],[Total PoP ]])</f>
        <v>1</v>
      </c>
      <c r="DM491" s="868">
        <f>1-WWWW[[#This Row],[Hygiene Coverage%]]</f>
        <v>0</v>
      </c>
      <c r="DN491" s="866">
        <f>WWWW[[#This Row],['# people reached by regular dedicated hygiene promotion_5]]/WWWW[[#This Row],[Total PoP ]]</f>
        <v>0.67476383265856954</v>
      </c>
      <c r="DO49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9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1" s="867">
        <f>WWWW[[#This Row],['#_Constructed/Existing hand washing stations]]-WWWW[[#This Row],['#_Non-Functional_hand_washing_stations]]</f>
        <v>17</v>
      </c>
      <c r="DR491" s="864">
        <f>IF(WWWW[[#This Row],['# Functional hand washing stations during reporting period]]*20&gt;WWWW[[#This Row],[Total HH]],WWWW[[#This Row],[Total HH]],WWWW[[#This Row],['# Functional hand washing stations during reporting period]]*20)</f>
        <v>127</v>
      </c>
      <c r="DS491" s="864">
        <f>IF(WWWW[[#This Row],[Is sufficient soap available for TLS? (Yes/No)]]="yes",WWWW[[#This Row],['#_Constructed/Existing hand washing stations at TLS]],0)</f>
        <v>0</v>
      </c>
      <c r="DT491" s="479">
        <f>IF(WWWW[[#This Row],['# Functional hand washing stations during reporting period]]*100&gt;WWWW[[#This Row],[Total PoP ]],WWWW[[#This Row],[Total PoP ]],WWWW[[#This Row],['# Functional hand washing stations during reporting period]]*100)</f>
        <v>741</v>
      </c>
      <c r="DU491" s="479" t="str">
        <f>IF(OR(WWWW[[#This Row],['#_students at TLS_CFS]]="",WWWW[[#This Row],['#_students at TLS_CFS]]=0),"No","Yes")</f>
        <v>No</v>
      </c>
      <c r="DV49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1" s="862" t="str">
        <f>VLOOKUP(WWWW[[#This Row],[Site Name]],SiteDB6[[Site Name]:[CCCM Management]],6,FALSE)</f>
        <v>Yes</v>
      </c>
      <c r="DZ491" s="862" t="str">
        <f>VLOOKUP(WWWW[[#This Row],[Site Name]],SiteDB6[[Site Name]:[CCCM Focal Agency]],7,FALSE)</f>
        <v>KMSS-BMO</v>
      </c>
      <c r="EA491" s="862" t="str">
        <f>VLOOKUP(WWWW[[#This Row],[Site Name]],SiteDB6[[Site Name]:[Location Type 1]],9,FALSE)</f>
        <v>Camp</v>
      </c>
      <c r="EB491" s="862" t="str">
        <f>VLOOKUP(WWWW[[#This Row],[Site Name]],SiteDB6[[Site Name]:[Type of Accommodation]],10,FALSE)</f>
        <v>Camp</v>
      </c>
      <c r="EC491" s="862" t="str">
        <f>VLOOKUP(WWWW[[#This Row],[Site Name]],SiteDB6[[Site Name]:[Ethnic or GCA/NGCA]],11,FALSE)</f>
        <v>GCA</v>
      </c>
      <c r="ED491" s="862">
        <f>VLOOKUP(WWWW[[#This Row],[Site Name]],SiteDB6[[Site Name]:[Lat]],12,FALSE)</f>
        <v>24.245100000000001</v>
      </c>
      <c r="EE491" s="862">
        <f>VLOOKUP(WWWW[[#This Row],[Site Name]],SiteDB6[[Site Name]:[Long]],13,FALSE)</f>
        <v>97.325019999999995</v>
      </c>
      <c r="EF491" s="862" t="str">
        <f>VLOOKUP(WWWW[[#This Row],[Site Name]],SiteDB6[[Site Name]:[Pcode]],3,FALSE)</f>
        <v>MMR001CMP062</v>
      </c>
      <c r="EG491" s="865" t="str">
        <f t="shared" si="14"/>
        <v>Covered</v>
      </c>
      <c r="EH491" s="865" t="str">
        <f>VLOOKUP(WWWW[[#This Row],[Site Name]],Site_DB!$C$389:$D$1120,2,FALSE)</f>
        <v>cccm_2019OCT</v>
      </c>
    </row>
    <row r="492" spans="1:138">
      <c r="A492" s="860" t="s">
        <v>3263</v>
      </c>
      <c r="B492" s="860" t="s">
        <v>195</v>
      </c>
      <c r="C492" s="861" t="s">
        <v>195</v>
      </c>
      <c r="D492" s="861" t="s">
        <v>3364</v>
      </c>
      <c r="E492" s="861" t="s">
        <v>711</v>
      </c>
      <c r="F492" s="861" t="s">
        <v>715</v>
      </c>
      <c r="G492" s="721" t="str">
        <f>VLOOKUP(WWWW[[#This Row],[Site Name]],SiteDB6[[Site Name]:[Location Type]],8,FALSE)</f>
        <v>Camp</v>
      </c>
      <c r="H492" s="861" t="s">
        <v>750</v>
      </c>
      <c r="I492" s="851">
        <v>24</v>
      </c>
      <c r="J492" s="851">
        <v>85</v>
      </c>
      <c r="K492" s="407" t="s">
        <v>3634</v>
      </c>
      <c r="L492" s="56" t="s">
        <v>3632</v>
      </c>
      <c r="M492" s="851"/>
      <c r="N492" s="851"/>
      <c r="O492" s="851"/>
      <c r="P492" s="851"/>
      <c r="Q492" s="864"/>
      <c r="R492" s="851"/>
      <c r="S492" s="851"/>
      <c r="T492" s="523"/>
      <c r="U492" s="851"/>
      <c r="V492" s="851"/>
      <c r="W492" s="851"/>
      <c r="X492" s="851">
        <v>1</v>
      </c>
      <c r="Y492" s="851"/>
      <c r="Z492" s="851"/>
      <c r="AA492" s="851"/>
      <c r="AB492" s="851"/>
      <c r="AC492" s="851"/>
      <c r="AD492" s="851"/>
      <c r="AE492" s="851"/>
      <c r="AF492" s="851"/>
      <c r="AG492" s="851"/>
      <c r="AH492" s="851"/>
      <c r="AI492" s="851"/>
      <c r="AJ492" s="851"/>
      <c r="AK492" s="851"/>
      <c r="AL492" s="851"/>
      <c r="AM492" s="851"/>
      <c r="AN492" s="851"/>
      <c r="AO492" s="865"/>
      <c r="AP492" s="851">
        <v>4</v>
      </c>
      <c r="AQ492" s="851"/>
      <c r="AR492" s="866"/>
      <c r="AS492" s="851"/>
      <c r="AT492" s="851"/>
      <c r="AU492" s="851"/>
      <c r="AV492" s="851"/>
      <c r="AW492" s="851"/>
      <c r="AX492" s="862" t="s">
        <v>143</v>
      </c>
      <c r="AY492" s="865" t="s">
        <v>143</v>
      </c>
      <c r="AZ492" s="851"/>
      <c r="BA492" s="851"/>
      <c r="BB492" s="851"/>
      <c r="BC492" s="523"/>
      <c r="BD492" s="523"/>
      <c r="BE492" s="862"/>
      <c r="BF492" s="851"/>
      <c r="BG492" s="851"/>
      <c r="BH492" s="851"/>
      <c r="BI492" s="851"/>
      <c r="BJ492" s="851"/>
      <c r="BK492" s="851"/>
      <c r="BL492" s="851"/>
      <c r="BM492" s="851">
        <v>2</v>
      </c>
      <c r="BN492" s="851"/>
      <c r="BO492" s="862" t="s">
        <v>139</v>
      </c>
      <c r="BP492" s="867"/>
      <c r="BQ492" s="866"/>
      <c r="BR492" s="862"/>
      <c r="BS492" s="472"/>
      <c r="BT492" s="472"/>
      <c r="BU492" s="474"/>
      <c r="BV492" s="472"/>
      <c r="BW492" s="523"/>
      <c r="BX492" s="523"/>
      <c r="BY492" s="523"/>
      <c r="BZ492" s="868" t="str">
        <f>IFERROR(WWWW[[#This Row],['#_Water sources passed]]/WWWW[[#This Row],['#_Water sources tested for fecal coliform ]],"no test")</f>
        <v>no test</v>
      </c>
      <c r="CA492" s="866" t="str">
        <f>IFERROR(WWWW[[#This Row],['#_Household passed]]/WWWW[[#This Row],['#_Household water samples tested for fecal coliform]],"no test")</f>
        <v>no test</v>
      </c>
      <c r="CB492" s="867" t="str">
        <f>IF(AND(WWWW[[#This Row],[% of water sources passed]]="no test",WWWW[[#This Row],[% Household passed]]="no test"),"No Test","Tested")</f>
        <v>No Test</v>
      </c>
      <c r="CC492" s="867">
        <f>WWWW[[#This Row],['#_Constructed/existing protected hand dug well]]-WWWW[[#This Row],['#_Non-functional protected hand dug well]]</f>
        <v>0</v>
      </c>
      <c r="CD492" s="867">
        <f>(WWWW[[#This Row],['#_Constructed/Existing tube wells/boreholes/handpumps_WASH_agency]]+WWWW[[#This Row],['#_Non-Cluster partner water tube-wells/boreholes/handpumps]])-WWWW[[#This Row],['#_Non-functional tube wells/boreholes/handpumps]]</f>
        <v>1</v>
      </c>
      <c r="CE492" s="867">
        <f>WWWW[[#This Row],['#_Constructed/Existingwater storage tank with gravity fed reticulation system]]-WWWW[[#This Row],['#_Non-functional storage tank gravity fed reticulation system]]</f>
        <v>0</v>
      </c>
      <c r="CF492" s="867">
        <f>(WWWW[[#This Row],['#_Water_Liters_supplied_by_Water boating or water trucking]]/90)/15</f>
        <v>0</v>
      </c>
      <c r="CG492" s="867">
        <f>WWWW[[#This Row],['#_Water_Liters_from_Constructed/Existing water distribution system from river or natural spring]]/90/15</f>
        <v>0</v>
      </c>
      <c r="CH492" s="473">
        <f>WWWW[[#This Row],['#_of water points in TLS/CFS /THF]]*500</f>
        <v>0</v>
      </c>
      <c r="CI49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2" s="866">
        <f>IF(WWWW[[#This Row],[Location Type 1]]="Village",WWWW[[#This Row],[Access to safe drinking water for Village]],WWWW[[#This Row],[Access to safe drinking water for Camp]])</f>
        <v>1</v>
      </c>
      <c r="CL492" s="864">
        <f>WWWW[[#This Row],[%Equitable and continuous access to sufficient quantity of safe drinking water]]*WWWW[[#This Row],[Total PoP ]]</f>
        <v>85</v>
      </c>
      <c r="CM492" s="866">
        <f>IF((WWWW[[#This Row],['#_Constructed/Existing protected/fenced ponds]]*250)/WWWW[[#This Row],[Total PoP ]]&gt;1,1,(WWWW[[#This Row],['#_Constructed/Existing protected/fenced ponds]]*250)/WWWW[[#This Row],[Total PoP ]])</f>
        <v>0</v>
      </c>
      <c r="CN492" s="864">
        <f>WWWW[[#This Row],[% Access to unimproved water points]]*WWWW[[#This Row],[Total PoP ]]</f>
        <v>0</v>
      </c>
      <c r="CO49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Q492" s="864">
        <f>WWWW[[#This Row],[HRP1]]/500</f>
        <v>0.17</v>
      </c>
      <c r="CR492" s="869">
        <f>1-WWWW[[#This Row],[% Equitable and continuous access to sufficient quantity of domestic water]]</f>
        <v>0</v>
      </c>
      <c r="CS492" s="864">
        <f>WWWW[[#This Row],[%equitable and continuous access to sufficient quantity of safe drinking and domestic water''s GAP]]*WWWW[[#This Row],[Total PoP ]]</f>
        <v>0</v>
      </c>
      <c r="CT492" s="867">
        <f>IF(WWWW[[#This Row],[Total required water points]]-WWWW[[#This Row],['#Water points coverage]]&lt;0,0,WWWW[[#This Row],[Total required water points]]-WWWW[[#This Row],['#Water points coverage]])</f>
        <v>0.83</v>
      </c>
      <c r="CU492" s="867">
        <f>ROUND(IF(WWWW[[#This Row],[Total PoP ]]&lt;500,1,WWWW[[#This Row],[Total PoP ]]/500),0)</f>
        <v>1</v>
      </c>
      <c r="CV492" s="867">
        <f>(WWWW[[#This Row],['#_Constructed latrines_by_WASHAgencies]]+WWWW[[#This Row],['#_Non Cluster partner latrines]])-WWWW[[#This Row],['#_Non-functional latrines]]</f>
        <v>4</v>
      </c>
      <c r="CW492" s="804">
        <f>WWWW[[#This Row],[HRP2]]/WWWW[[#This Row],[Total PoP ]]</f>
        <v>0.94117647058823528</v>
      </c>
      <c r="CX49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49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2" s="473">
        <f>IF(WWWW[[#This Row],['# of functional latrines in THF supported by WASH partners during the reporting period2]]="",0,WWWW[[#This Row],['# of functional latrines in THF supported by WASH partners during the reporting period2]]*50)</f>
        <v>0</v>
      </c>
      <c r="DB492" s="473">
        <f>WWWW[[#This Row],['# students access to functioning school latrines_HRP5]]+WWWW[[#This Row],['# People access to functioning latrines in THF_HRP5]]</f>
        <v>0</v>
      </c>
      <c r="DC492" s="867">
        <f>ROUND(IF(WWWW[[#This Row],[Location Type 1]]="camp",WWWW[[#This Row],[Total PoP ]]/20,IF(WWWW[[#This Row],[Location Type 1]]="Temporary Location",WWWW[[#This Row],[Total PoP ]]/50,(WWWW[[#This Row],[Total PoP ]]/6))),0)</f>
        <v>4</v>
      </c>
      <c r="DD492" s="867">
        <f>IF(WWWW[[#This Row],[Total required Latrines]]-(WWWW[[#This Row],['#_Constructed latrines_by_WASHAgencies]]+WWWW[[#This Row],['#_Non Cluster partner latrines]])&lt;0,0,WWWW[[#This Row],[Total required Latrines]]-(WWWW[[#This Row],['#_Constructed latrines_by_WASHAgencies]]+WWWW[[#This Row],['#_Non Cluster partner latrines]]))</f>
        <v>0</v>
      </c>
      <c r="DE492" s="869">
        <f>1-WWWW[[#This Row],[% people access to functioning Latrine]]</f>
        <v>5.8823529411764719E-2</v>
      </c>
      <c r="DF492" s="868">
        <f>IF(OR(WWWW[[#This Row],['#_Non-functional latrines]]="",WWWW[[#This Row],['#_Non-functional latrines]]=0),0,WWWW[[#This Row],['#_Non-functional latrines]]/(WWWW[[#This Row],['#_Constructed latrines_by_WASHAgencies]]+WWWW[[#This Row],['#_Non Cluster partner latrines]]))</f>
        <v>0</v>
      </c>
      <c r="DG492" s="864">
        <f>IF(500*(WWWW[[#This Row],['#_male hygiene promoters]]+WWWW[[#This Row],['#_female hygiene promoters]])&gt;WWWW[[#This Row],[Total PoP ]],WWWW[[#This Row],[Total PoP ]],500*(WWWW[[#This Row],['#_male hygiene promoters]]+WWWW[[#This Row],['#_female hygiene promoters]]))</f>
        <v>0</v>
      </c>
      <c r="DH49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v>
      </c>
      <c r="DI49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2" s="867">
        <f>IF(WWWW[[#This Row],['# People with access to soap]]&gt;WWWW[[#This Row],['# People with access to Sanity Pads]],WWWW[[#This Row],['# People with access to soap]],WWWW[[#This Row],['# People with access to Sanity Pads]])</f>
        <v>10</v>
      </c>
      <c r="DK492" s="867">
        <f>IF(WWWW[[#This Row],['# people reached by regular dedicated hygiene promotion_5]]&gt;WWWW[[#This Row],['# People received regular supply of hygiene items_6]],WWWW[[#This Row],['# people reached by regular dedicated hygiene promotion_5]],WWWW[[#This Row],['# People received regular supply of hygiene items_6]])</f>
        <v>10</v>
      </c>
      <c r="DL492" s="869">
        <f>IF(WWWW[[#This Row],[HRP3]]/WWWW[[#This Row],[Total PoP ]]&gt;1,1,WWWW[[#This Row],[HRP3]]/WWWW[[#This Row],[Total PoP ]])</f>
        <v>0.11764705882352941</v>
      </c>
      <c r="DM492" s="868">
        <f>1-WWWW[[#This Row],[Hygiene Coverage%]]</f>
        <v>0.88235294117647056</v>
      </c>
      <c r="DN492" s="866">
        <f>WWWW[[#This Row],['# people reached by regular dedicated hygiene promotion_5]]/WWWW[[#This Row],[Total PoP ]]</f>
        <v>0</v>
      </c>
      <c r="DO49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0.33333333333333331</v>
      </c>
      <c r="DP49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2" s="867">
        <f>WWWW[[#This Row],['#_Constructed/Existing hand washing stations]]-WWWW[[#This Row],['#_Non-Functional_hand_washing_stations]]</f>
        <v>0</v>
      </c>
      <c r="DR492" s="864">
        <f>IF(WWWW[[#This Row],['# Functional hand washing stations during reporting period]]*20&gt;WWWW[[#This Row],[Total HH]],WWWW[[#This Row],[Total HH]],WWWW[[#This Row],['# Functional hand washing stations during reporting period]]*20)</f>
        <v>0</v>
      </c>
      <c r="DS492" s="864">
        <f>IF(WWWW[[#This Row],[Is sufficient soap available for TLS? (Yes/No)]]="yes",WWWW[[#This Row],['#_Constructed/Existing hand washing stations at TLS]],0)</f>
        <v>0</v>
      </c>
      <c r="DT492" s="479">
        <f>IF(WWWW[[#This Row],['# Functional hand washing stations during reporting period]]*100&gt;WWWW[[#This Row],[Total PoP ]],WWWW[[#This Row],[Total PoP ]],WWWW[[#This Row],['# Functional hand washing stations during reporting period]]*100)</f>
        <v>0</v>
      </c>
      <c r="DU492" s="479" t="str">
        <f>IF(OR(WWWW[[#This Row],['#_students at TLS_CFS]]="",WWWW[[#This Row],['#_students at TLS_CFS]]=0),"No","Yes")</f>
        <v>No</v>
      </c>
      <c r="DV49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2" s="862">
        <f>VLOOKUP(WWWW[[#This Row],[Site Name]],SiteDB6[[Site Name]:[CCCM Management]],6,FALSE)</f>
        <v>0</v>
      </c>
      <c r="DZ492" s="862" t="str">
        <f>VLOOKUP(WWWW[[#This Row],[Site Name]],SiteDB6[[Site Name]:[CCCM Focal Agency]],7,FALSE)</f>
        <v>uncovered</v>
      </c>
      <c r="EA492" s="862" t="str">
        <f>VLOOKUP(WWWW[[#This Row],[Site Name]],SiteDB6[[Site Name]:[Location Type 1]],9,FALSE)</f>
        <v>Camp</v>
      </c>
      <c r="EB492" s="862" t="str">
        <f>VLOOKUP(WWWW[[#This Row],[Site Name]],SiteDB6[[Site Name]:[Type of Accommodation]],10,FALSE)</f>
        <v>Camp like setting</v>
      </c>
      <c r="EC492" s="862" t="str">
        <f>VLOOKUP(WWWW[[#This Row],[Site Name]],SiteDB6[[Site Name]:[Ethnic or GCA/NGCA]],11,FALSE)</f>
        <v>GCA</v>
      </c>
      <c r="ED492" s="862">
        <f>VLOOKUP(WWWW[[#This Row],[Site Name]],SiteDB6[[Site Name]:[Lat]],12,FALSE)</f>
        <v>0</v>
      </c>
      <c r="EE492" s="862">
        <f>VLOOKUP(WWWW[[#This Row],[Site Name]],SiteDB6[[Site Name]:[Long]],13,FALSE)</f>
        <v>0</v>
      </c>
      <c r="EF492" s="862" t="str">
        <f>VLOOKUP(WWWW[[#This Row],[Site Name]],SiteDB6[[Site Name]:[Pcode]],3,FALSE)</f>
        <v>MMR015CMP246</v>
      </c>
      <c r="EG492" s="865" t="str">
        <f t="shared" si="14"/>
        <v>Covered</v>
      </c>
      <c r="EH492" s="865" t="str">
        <f>VLOOKUP(WWWW[[#This Row],[Site Name]],Site_DB!$C$389:$D$1120,2,FALSE)</f>
        <v>cccm_2019OCT</v>
      </c>
    </row>
    <row r="493" spans="1:138">
      <c r="A493" s="860" t="s">
        <v>3263</v>
      </c>
      <c r="B493" s="860" t="s">
        <v>195</v>
      </c>
      <c r="C493" s="861" t="s">
        <v>195</v>
      </c>
      <c r="D493" s="861" t="s">
        <v>3364</v>
      </c>
      <c r="E493" s="861" t="s">
        <v>39</v>
      </c>
      <c r="F493" s="861" t="s">
        <v>40</v>
      </c>
      <c r="G493" s="721" t="str">
        <f>VLOOKUP(WWWW[[#This Row],[Site Name]],SiteDB6[[Site Name]:[Location Type]],8,FALSE)</f>
        <v>Camp</v>
      </c>
      <c r="H493" s="861" t="s">
        <v>301</v>
      </c>
      <c r="I493" s="851">
        <v>98</v>
      </c>
      <c r="J493" s="851">
        <v>529</v>
      </c>
      <c r="K493" s="863" t="s">
        <v>3607</v>
      </c>
      <c r="L493" s="859" t="s">
        <v>3608</v>
      </c>
      <c r="M493" s="851"/>
      <c r="N493" s="851">
        <v>1</v>
      </c>
      <c r="O493" s="851"/>
      <c r="P493" s="851"/>
      <c r="Q493" s="864" t="s">
        <v>43</v>
      </c>
      <c r="R493" s="851"/>
      <c r="S493" s="851"/>
      <c r="T493" s="523"/>
      <c r="U493" s="851"/>
      <c r="V493" s="851"/>
      <c r="W493" s="851"/>
      <c r="X493" s="851"/>
      <c r="Y493" s="851"/>
      <c r="Z493" s="851"/>
      <c r="AA493" s="851"/>
      <c r="AB493" s="851"/>
      <c r="AC493" s="851"/>
      <c r="AD493" s="851"/>
      <c r="AE493" s="851"/>
      <c r="AF493" s="851"/>
      <c r="AG493" s="851"/>
      <c r="AH493" s="851"/>
      <c r="AI493" s="851"/>
      <c r="AJ493" s="851"/>
      <c r="AK493" s="851"/>
      <c r="AL493" s="851"/>
      <c r="AM493" s="851"/>
      <c r="AN493" s="851"/>
      <c r="AO493" s="865"/>
      <c r="AP493" s="851">
        <v>8</v>
      </c>
      <c r="AQ493" s="851"/>
      <c r="AR493" s="866"/>
      <c r="AS493" s="851"/>
      <c r="AT493" s="851"/>
      <c r="AU493" s="851"/>
      <c r="AV493" s="851"/>
      <c r="AW493" s="851"/>
      <c r="AX493" s="862" t="s">
        <v>143</v>
      </c>
      <c r="AY493" s="865" t="s">
        <v>143</v>
      </c>
      <c r="AZ493" s="851"/>
      <c r="BA493" s="851"/>
      <c r="BB493" s="851"/>
      <c r="BC493" s="523"/>
      <c r="BD493" s="523"/>
      <c r="BE493" s="862"/>
      <c r="BF493" s="851"/>
      <c r="BG493" s="851"/>
      <c r="BH493" s="851"/>
      <c r="BI493" s="851"/>
      <c r="BJ493" s="851"/>
      <c r="BK493" s="851"/>
      <c r="BL493" s="851">
        <v>1</v>
      </c>
      <c r="BM493" s="851"/>
      <c r="BN493" s="851"/>
      <c r="BO493" s="862"/>
      <c r="BP493" s="867"/>
      <c r="BQ493" s="866"/>
      <c r="BR493" s="862"/>
      <c r="BS493" s="472"/>
      <c r="BT493" s="472"/>
      <c r="BU493" s="474"/>
      <c r="BV493" s="472"/>
      <c r="BW493" s="523"/>
      <c r="BX493" s="523"/>
      <c r="BY493" s="523"/>
      <c r="BZ493" s="868" t="str">
        <f>IFERROR(WWWW[[#This Row],['#_Water sources passed]]/WWWW[[#This Row],['#_Water sources tested for fecal coliform ]],"no test")</f>
        <v>no test</v>
      </c>
      <c r="CA493" s="866" t="str">
        <f>IFERROR(WWWW[[#This Row],['#_Household passed]]/WWWW[[#This Row],['#_Household water samples tested for fecal coliform]],"no test")</f>
        <v>no test</v>
      </c>
      <c r="CB493" s="867" t="str">
        <f>IF(AND(WWWW[[#This Row],[% of water sources passed]]="no test",WWWW[[#This Row],[% Household passed]]="no test"),"No Test","Tested")</f>
        <v>No Test</v>
      </c>
      <c r="CC493" s="867">
        <f>WWWW[[#This Row],['#_Constructed/existing protected hand dug well]]-WWWW[[#This Row],['#_Non-functional protected hand dug well]]</f>
        <v>0</v>
      </c>
      <c r="CD493" s="867">
        <f>(WWWW[[#This Row],['#_Constructed/Existing tube wells/boreholes/handpumps_WASH_agency]]+WWWW[[#This Row],['#_Non-Cluster partner water tube-wells/boreholes/handpumps]])-WWWW[[#This Row],['#_Non-functional tube wells/boreholes/handpumps]]</f>
        <v>0</v>
      </c>
      <c r="CE493" s="867">
        <f>WWWW[[#This Row],['#_Constructed/Existingwater storage tank with gravity fed reticulation system]]-WWWW[[#This Row],['#_Non-functional storage tank gravity fed reticulation system]]</f>
        <v>0</v>
      </c>
      <c r="CF493" s="867">
        <f>(WWWW[[#This Row],['#_Water_Liters_supplied_by_Water boating or water trucking]]/90)/15</f>
        <v>0</v>
      </c>
      <c r="CG493" s="867">
        <f>WWWW[[#This Row],['#_Water_Liters_from_Constructed/Existing water distribution system from river or natural spring]]/90/15</f>
        <v>0</v>
      </c>
      <c r="CH493" s="473">
        <f>WWWW[[#This Row],['#_of water points in TLS/CFS /THF]]*500</f>
        <v>0</v>
      </c>
      <c r="CI49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3" s="866">
        <f>IF(WWWW[[#This Row],[Location Type 1]]="Village",WWWW[[#This Row],[Access to safe drinking water for Village]],WWWW[[#This Row],[Access to safe drinking water for Camp]])</f>
        <v>0</v>
      </c>
      <c r="CL493" s="864">
        <f>WWWW[[#This Row],[%Equitable and continuous access to sufficient quantity of safe drinking water]]*WWWW[[#This Row],[Total PoP ]]</f>
        <v>0</v>
      </c>
      <c r="CM493" s="866">
        <f>IF((WWWW[[#This Row],['#_Constructed/Existing protected/fenced ponds]]*250)/WWWW[[#This Row],[Total PoP ]]&gt;1,1,(WWWW[[#This Row],['#_Constructed/Existing protected/fenced ponds]]*250)/WWWW[[#This Row],[Total PoP ]])</f>
        <v>0</v>
      </c>
      <c r="CN493" s="864">
        <f>WWWW[[#This Row],[% Access to unimproved water points]]*WWWW[[#This Row],[Total PoP ]]</f>
        <v>0</v>
      </c>
      <c r="CO49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3" s="864">
        <f>WWWW[[#This Row],[HRP1]]/500</f>
        <v>0</v>
      </c>
      <c r="CR493" s="869">
        <f>1-WWWW[[#This Row],[% Equitable and continuous access to sufficient quantity of domestic water]]</f>
        <v>1</v>
      </c>
      <c r="CS493" s="864">
        <f>WWWW[[#This Row],[%equitable and continuous access to sufficient quantity of safe drinking and domestic water''s GAP]]*WWWW[[#This Row],[Total PoP ]]</f>
        <v>529</v>
      </c>
      <c r="CT493" s="867">
        <f>IF(WWWW[[#This Row],[Total required water points]]-WWWW[[#This Row],['#Water points coverage]]&lt;0,0,WWWW[[#This Row],[Total required water points]]-WWWW[[#This Row],['#Water points coverage]])</f>
        <v>1</v>
      </c>
      <c r="CU493" s="867">
        <f>ROUND(IF(WWWW[[#This Row],[Total PoP ]]&lt;500,1,WWWW[[#This Row],[Total PoP ]]/500),0)</f>
        <v>1</v>
      </c>
      <c r="CV493" s="867">
        <f>(WWWW[[#This Row],['#_Constructed latrines_by_WASHAgencies]]+WWWW[[#This Row],['#_Non Cluster partner latrines]])-WWWW[[#This Row],['#_Non-functional latrines]]</f>
        <v>8</v>
      </c>
      <c r="CW493" s="804">
        <f>WWWW[[#This Row],[HRP2]]/WWWW[[#This Row],[Total PoP ]]</f>
        <v>0.30245746691871456</v>
      </c>
      <c r="CX49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49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3" s="473">
        <f>IF(WWWW[[#This Row],['# of functional latrines in THF supported by WASH partners during the reporting period2]]="",0,WWWW[[#This Row],['# of functional latrines in THF supported by WASH partners during the reporting period2]]*50)</f>
        <v>0</v>
      </c>
      <c r="DB493" s="473">
        <f>WWWW[[#This Row],['# students access to functioning school latrines_HRP5]]+WWWW[[#This Row],['# People access to functioning latrines in THF_HRP5]]</f>
        <v>0</v>
      </c>
      <c r="DC493" s="867">
        <f>ROUND(IF(WWWW[[#This Row],[Location Type 1]]="camp",WWWW[[#This Row],[Total PoP ]]/20,IF(WWWW[[#This Row],[Location Type 1]]="Temporary Location",WWWW[[#This Row],[Total PoP ]]/50,(WWWW[[#This Row],[Total PoP ]]/6))),0)</f>
        <v>26</v>
      </c>
      <c r="DD493" s="867">
        <f>IF(WWWW[[#This Row],[Total required Latrines]]-(WWWW[[#This Row],['#_Constructed latrines_by_WASHAgencies]]+WWWW[[#This Row],['#_Non Cluster partner latrines]])&lt;0,0,WWWW[[#This Row],[Total required Latrines]]-(WWWW[[#This Row],['#_Constructed latrines_by_WASHAgencies]]+WWWW[[#This Row],['#_Non Cluster partner latrines]]))</f>
        <v>18</v>
      </c>
      <c r="DE493" s="869">
        <f>1-WWWW[[#This Row],[% people access to functioning Latrine]]</f>
        <v>0.69754253308128544</v>
      </c>
      <c r="DF493" s="868">
        <f>IF(OR(WWWW[[#This Row],['#_Non-functional latrines]]="",WWWW[[#This Row],['#_Non-functional latrines]]=0),0,WWWW[[#This Row],['#_Non-functional latrines]]/(WWWW[[#This Row],['#_Constructed latrines_by_WASHAgencies]]+WWWW[[#This Row],['#_Non Cluster partner latrines]]))</f>
        <v>0</v>
      </c>
      <c r="DG493" s="864">
        <f>IF(500*(WWWW[[#This Row],['#_male hygiene promoters]]+WWWW[[#This Row],['#_female hygiene promoters]])&gt;WWWW[[#This Row],[Total PoP ]],WWWW[[#This Row],[Total PoP ]],500*(WWWW[[#This Row],['#_male hygiene promoters]]+WWWW[[#This Row],['#_female hygiene promoters]]))</f>
        <v>500</v>
      </c>
      <c r="DH49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3" s="867">
        <f>IF(WWWW[[#This Row],['# People with access to soap]]&gt;WWWW[[#This Row],['# People with access to Sanity Pads]],WWWW[[#This Row],['# People with access to soap]],WWWW[[#This Row],['# People with access to Sanity Pads]])</f>
        <v>0</v>
      </c>
      <c r="DK493" s="86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493" s="869">
        <f>IF(WWWW[[#This Row],[HRP3]]/WWWW[[#This Row],[Total PoP ]]&gt;1,1,WWWW[[#This Row],[HRP3]]/WWWW[[#This Row],[Total PoP ]])</f>
        <v>0.94517958412098302</v>
      </c>
      <c r="DM493" s="868">
        <f>1-WWWW[[#This Row],[Hygiene Coverage%]]</f>
        <v>5.4820415879016982E-2</v>
      </c>
      <c r="DN493" s="866">
        <f>WWWW[[#This Row],['# people reached by regular dedicated hygiene promotion_5]]/WWWW[[#This Row],[Total PoP ]]</f>
        <v>0.94517958412098302</v>
      </c>
      <c r="DO49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3" s="867">
        <f>WWWW[[#This Row],['#_Constructed/Existing hand washing stations]]-WWWW[[#This Row],['#_Non-Functional_hand_washing_stations]]</f>
        <v>0</v>
      </c>
      <c r="DR493" s="864">
        <f>IF(WWWW[[#This Row],['# Functional hand washing stations during reporting period]]*20&gt;WWWW[[#This Row],[Total HH]],WWWW[[#This Row],[Total HH]],WWWW[[#This Row],['# Functional hand washing stations during reporting period]]*20)</f>
        <v>0</v>
      </c>
      <c r="DS493" s="864">
        <f>IF(WWWW[[#This Row],[Is sufficient soap available for TLS? (Yes/No)]]="yes",WWWW[[#This Row],['#_Constructed/Existing hand washing stations at TLS]],0)</f>
        <v>0</v>
      </c>
      <c r="DT493" s="479">
        <f>IF(WWWW[[#This Row],['# Functional hand washing stations during reporting period]]*100&gt;WWWW[[#This Row],[Total PoP ]],WWWW[[#This Row],[Total PoP ]],WWWW[[#This Row],['# Functional hand washing stations during reporting period]]*100)</f>
        <v>0</v>
      </c>
      <c r="DU493" s="479" t="str">
        <f>IF(OR(WWWW[[#This Row],['#_students at TLS_CFS]]="",WWWW[[#This Row],['#_students at TLS_CFS]]=0),"No","Yes")</f>
        <v>No</v>
      </c>
      <c r="DV49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3" s="862" t="str">
        <f>VLOOKUP(WWWW[[#This Row],[Site Name]],SiteDB6[[Site Name]:[CCCM Management]],6,FALSE)</f>
        <v>Yes</v>
      </c>
      <c r="DZ493" s="862" t="str">
        <f>VLOOKUP(WWWW[[#This Row],[Site Name]],SiteDB6[[Site Name]:[CCCM Focal Agency]],7,FALSE)</f>
        <v>KBC-NSS</v>
      </c>
      <c r="EA493" s="862" t="str">
        <f>VLOOKUP(WWWW[[#This Row],[Site Name]],SiteDB6[[Site Name]:[Location Type 1]],9,FALSE)</f>
        <v>Camp</v>
      </c>
      <c r="EB493" s="862" t="str">
        <f>VLOOKUP(WWWW[[#This Row],[Site Name]],SiteDB6[[Site Name]:[Type of Accommodation]],10,FALSE)</f>
        <v>Camp</v>
      </c>
      <c r="EC493" s="862" t="str">
        <f>VLOOKUP(WWWW[[#This Row],[Site Name]],SiteDB6[[Site Name]:[Ethnic or GCA/NGCA]],11,FALSE)</f>
        <v>GCA</v>
      </c>
      <c r="ED493" s="862">
        <f>VLOOKUP(WWWW[[#This Row],[Site Name]],SiteDB6[[Site Name]:[Lat]],12,FALSE)</f>
        <v>23.83013</v>
      </c>
      <c r="EE493" s="862">
        <f>VLOOKUP(WWWW[[#This Row],[Site Name]],SiteDB6[[Site Name]:[Long]],13,FALSE)</f>
        <v>97.589979999999997</v>
      </c>
      <c r="EF493" s="862" t="str">
        <f>VLOOKUP(WWWW[[#This Row],[Site Name]],SiteDB6[[Site Name]:[Pcode]],3,FALSE)</f>
        <v>MMR001CMP133</v>
      </c>
      <c r="EG493" s="865" t="str">
        <f t="shared" si="14"/>
        <v>Covered</v>
      </c>
      <c r="EH493" s="865" t="str">
        <f>VLOOKUP(WWWW[[#This Row],[Site Name]],Site_DB!$C$389:$D$1120,2,FALSE)</f>
        <v>cccm_2019OCT</v>
      </c>
    </row>
    <row r="494" spans="1:138">
      <c r="A494" s="860" t="s">
        <v>3263</v>
      </c>
      <c r="B494" s="860" t="s">
        <v>195</v>
      </c>
      <c r="C494" s="861" t="s">
        <v>195</v>
      </c>
      <c r="D494" s="861" t="s">
        <v>3364</v>
      </c>
      <c r="E494" s="861" t="s">
        <v>39</v>
      </c>
      <c r="F494" s="861" t="s">
        <v>40</v>
      </c>
      <c r="G494" s="721" t="str">
        <f>VLOOKUP(WWWW[[#This Row],[Site Name]],SiteDB6[[Site Name]:[Location Type]],8,FALSE)</f>
        <v>Camp</v>
      </c>
      <c r="H494" s="861" t="s">
        <v>303</v>
      </c>
      <c r="I494" s="851">
        <v>120</v>
      </c>
      <c r="J494" s="851">
        <v>535</v>
      </c>
      <c r="K494" s="863" t="s">
        <v>3607</v>
      </c>
      <c r="L494" s="859" t="s">
        <v>3608</v>
      </c>
      <c r="M494" s="851"/>
      <c r="N494" s="851"/>
      <c r="O494" s="851"/>
      <c r="P494" s="851"/>
      <c r="Q494" s="864"/>
      <c r="R494" s="851"/>
      <c r="S494" s="851"/>
      <c r="T494" s="523"/>
      <c r="U494" s="851"/>
      <c r="V494" s="851"/>
      <c r="W494" s="851"/>
      <c r="X494" s="851"/>
      <c r="Y494" s="851"/>
      <c r="Z494" s="851"/>
      <c r="AA494" s="851"/>
      <c r="AB494" s="851"/>
      <c r="AC494" s="851"/>
      <c r="AD494" s="851"/>
      <c r="AE494" s="851"/>
      <c r="AF494" s="851"/>
      <c r="AG494" s="851"/>
      <c r="AH494" s="851"/>
      <c r="AI494" s="851"/>
      <c r="AJ494" s="851"/>
      <c r="AK494" s="851"/>
      <c r="AL494" s="851"/>
      <c r="AM494" s="851"/>
      <c r="AN494" s="851"/>
      <c r="AO494" s="865"/>
      <c r="AP494" s="851">
        <v>12</v>
      </c>
      <c r="AQ494" s="851"/>
      <c r="AR494" s="866"/>
      <c r="AS494" s="851"/>
      <c r="AT494" s="851"/>
      <c r="AU494" s="851"/>
      <c r="AV494" s="851"/>
      <c r="AW494" s="851"/>
      <c r="AX494" s="862" t="s">
        <v>143</v>
      </c>
      <c r="AY494" s="865" t="s">
        <v>143</v>
      </c>
      <c r="AZ494" s="851"/>
      <c r="BA494" s="851"/>
      <c r="BB494" s="851"/>
      <c r="BC494" s="523"/>
      <c r="BD494" s="523"/>
      <c r="BE494" s="862"/>
      <c r="BF494" s="851"/>
      <c r="BG494" s="851"/>
      <c r="BH494" s="851"/>
      <c r="BI494" s="851"/>
      <c r="BJ494" s="851"/>
      <c r="BK494" s="851"/>
      <c r="BL494" s="851"/>
      <c r="BM494" s="851"/>
      <c r="BN494" s="851"/>
      <c r="BO494" s="862"/>
      <c r="BP494" s="867"/>
      <c r="BQ494" s="866"/>
      <c r="BR494" s="862"/>
      <c r="BS494" s="472"/>
      <c r="BT494" s="472"/>
      <c r="BU494" s="474"/>
      <c r="BV494" s="472"/>
      <c r="BW494" s="523"/>
      <c r="BX494" s="523"/>
      <c r="BY494" s="523"/>
      <c r="BZ494" s="868" t="str">
        <f>IFERROR(WWWW[[#This Row],['#_Water sources passed]]/WWWW[[#This Row],['#_Water sources tested for fecal coliform ]],"no test")</f>
        <v>no test</v>
      </c>
      <c r="CA494" s="866" t="str">
        <f>IFERROR(WWWW[[#This Row],['#_Household passed]]/WWWW[[#This Row],['#_Household water samples tested for fecal coliform]],"no test")</f>
        <v>no test</v>
      </c>
      <c r="CB494" s="867" t="str">
        <f>IF(AND(WWWW[[#This Row],[% of water sources passed]]="no test",WWWW[[#This Row],[% Household passed]]="no test"),"No Test","Tested")</f>
        <v>No Test</v>
      </c>
      <c r="CC494" s="867">
        <f>WWWW[[#This Row],['#_Constructed/existing protected hand dug well]]-WWWW[[#This Row],['#_Non-functional protected hand dug well]]</f>
        <v>0</v>
      </c>
      <c r="CD494" s="867">
        <f>(WWWW[[#This Row],['#_Constructed/Existing tube wells/boreholes/handpumps_WASH_agency]]+WWWW[[#This Row],['#_Non-Cluster partner water tube-wells/boreholes/handpumps]])-WWWW[[#This Row],['#_Non-functional tube wells/boreholes/handpumps]]</f>
        <v>0</v>
      </c>
      <c r="CE494" s="867">
        <f>WWWW[[#This Row],['#_Constructed/Existingwater storage tank with gravity fed reticulation system]]-WWWW[[#This Row],['#_Non-functional storage tank gravity fed reticulation system]]</f>
        <v>0</v>
      </c>
      <c r="CF494" s="867">
        <f>(WWWW[[#This Row],['#_Water_Liters_supplied_by_Water boating or water trucking]]/90)/15</f>
        <v>0</v>
      </c>
      <c r="CG494" s="867">
        <f>WWWW[[#This Row],['#_Water_Liters_from_Constructed/Existing water distribution system from river or natural spring]]/90/15</f>
        <v>0</v>
      </c>
      <c r="CH494" s="473">
        <f>WWWW[[#This Row],['#_of water points in TLS/CFS /THF]]*500</f>
        <v>0</v>
      </c>
      <c r="CI49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4" s="866">
        <f>IF(WWWW[[#This Row],[Location Type 1]]="Village",WWWW[[#This Row],[Access to safe drinking water for Village]],WWWW[[#This Row],[Access to safe drinking water for Camp]])</f>
        <v>0</v>
      </c>
      <c r="CL494" s="864">
        <f>WWWW[[#This Row],[%Equitable and continuous access to sufficient quantity of safe drinking water]]*WWWW[[#This Row],[Total PoP ]]</f>
        <v>0</v>
      </c>
      <c r="CM494" s="866">
        <f>IF((WWWW[[#This Row],['#_Constructed/Existing protected/fenced ponds]]*250)/WWWW[[#This Row],[Total PoP ]]&gt;1,1,(WWWW[[#This Row],['#_Constructed/Existing protected/fenced ponds]]*250)/WWWW[[#This Row],[Total PoP ]])</f>
        <v>0</v>
      </c>
      <c r="CN494" s="864">
        <f>WWWW[[#This Row],[% Access to unimproved water points]]*WWWW[[#This Row],[Total PoP ]]</f>
        <v>0</v>
      </c>
      <c r="CO49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4" s="864">
        <f>WWWW[[#This Row],[HRP1]]/500</f>
        <v>0</v>
      </c>
      <c r="CR494" s="869">
        <f>1-WWWW[[#This Row],[% Equitable and continuous access to sufficient quantity of domestic water]]</f>
        <v>1</v>
      </c>
      <c r="CS494" s="864">
        <f>WWWW[[#This Row],[%equitable and continuous access to sufficient quantity of safe drinking and domestic water''s GAP]]*WWWW[[#This Row],[Total PoP ]]</f>
        <v>535</v>
      </c>
      <c r="CT494" s="867">
        <f>IF(WWWW[[#This Row],[Total required water points]]-WWWW[[#This Row],['#Water points coverage]]&lt;0,0,WWWW[[#This Row],[Total required water points]]-WWWW[[#This Row],['#Water points coverage]])</f>
        <v>1</v>
      </c>
      <c r="CU494" s="867">
        <f>ROUND(IF(WWWW[[#This Row],[Total PoP ]]&lt;500,1,WWWW[[#This Row],[Total PoP ]]/500),0)</f>
        <v>1</v>
      </c>
      <c r="CV494" s="867">
        <f>(WWWW[[#This Row],['#_Constructed latrines_by_WASHAgencies]]+WWWW[[#This Row],['#_Non Cluster partner latrines]])-WWWW[[#This Row],['#_Non-functional latrines]]</f>
        <v>12</v>
      </c>
      <c r="CW494" s="804">
        <f>WWWW[[#This Row],[HRP2]]/WWWW[[#This Row],[Total PoP ]]</f>
        <v>0.44859813084112149</v>
      </c>
      <c r="CX49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CY49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4" s="473">
        <f>IF(WWWW[[#This Row],['# of functional latrines in THF supported by WASH partners during the reporting period2]]="",0,WWWW[[#This Row],['# of functional latrines in THF supported by WASH partners during the reporting period2]]*50)</f>
        <v>0</v>
      </c>
      <c r="DB494" s="473">
        <f>WWWW[[#This Row],['# students access to functioning school latrines_HRP5]]+WWWW[[#This Row],['# People access to functioning latrines in THF_HRP5]]</f>
        <v>0</v>
      </c>
      <c r="DC494" s="867">
        <f>ROUND(IF(WWWW[[#This Row],[Location Type 1]]="camp",WWWW[[#This Row],[Total PoP ]]/20,IF(WWWW[[#This Row],[Location Type 1]]="Temporary Location",WWWW[[#This Row],[Total PoP ]]/50,(WWWW[[#This Row],[Total PoP ]]/6))),0)</f>
        <v>27</v>
      </c>
      <c r="DD494" s="867">
        <f>IF(WWWW[[#This Row],[Total required Latrines]]-(WWWW[[#This Row],['#_Constructed latrines_by_WASHAgencies]]+WWWW[[#This Row],['#_Non Cluster partner latrines]])&lt;0,0,WWWW[[#This Row],[Total required Latrines]]-(WWWW[[#This Row],['#_Constructed latrines_by_WASHAgencies]]+WWWW[[#This Row],['#_Non Cluster partner latrines]]))</f>
        <v>15</v>
      </c>
      <c r="DE494" s="869">
        <f>1-WWWW[[#This Row],[% people access to functioning Latrine]]</f>
        <v>0.55140186915887845</v>
      </c>
      <c r="DF494" s="868">
        <f>IF(OR(WWWW[[#This Row],['#_Non-functional latrines]]="",WWWW[[#This Row],['#_Non-functional latrines]]=0),0,WWWW[[#This Row],['#_Non-functional latrines]]/(WWWW[[#This Row],['#_Constructed latrines_by_WASHAgencies]]+WWWW[[#This Row],['#_Non Cluster partner latrines]]))</f>
        <v>0</v>
      </c>
      <c r="DG494" s="864">
        <f>IF(500*(WWWW[[#This Row],['#_male hygiene promoters]]+WWWW[[#This Row],['#_female hygiene promoters]])&gt;WWWW[[#This Row],[Total PoP ]],WWWW[[#This Row],[Total PoP ]],500*(WWWW[[#This Row],['#_male hygiene promoters]]+WWWW[[#This Row],['#_female hygiene promoters]]))</f>
        <v>0</v>
      </c>
      <c r="DH49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4" s="867">
        <f>IF(WWWW[[#This Row],['# People with access to soap]]&gt;WWWW[[#This Row],['# People with access to Sanity Pads]],WWWW[[#This Row],['# People with access to soap]],WWWW[[#This Row],['# People with access to Sanity Pads]])</f>
        <v>0</v>
      </c>
      <c r="DK49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94" s="869">
        <f>IF(WWWW[[#This Row],[HRP3]]/WWWW[[#This Row],[Total PoP ]]&gt;1,1,WWWW[[#This Row],[HRP3]]/WWWW[[#This Row],[Total PoP ]])</f>
        <v>0</v>
      </c>
      <c r="DM494" s="868">
        <f>1-WWWW[[#This Row],[Hygiene Coverage%]]</f>
        <v>1</v>
      </c>
      <c r="DN494" s="866">
        <f>WWWW[[#This Row],['# people reached by regular dedicated hygiene promotion_5]]/WWWW[[#This Row],[Total PoP ]]</f>
        <v>0</v>
      </c>
      <c r="DO49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4" s="867">
        <f>WWWW[[#This Row],['#_Constructed/Existing hand washing stations]]-WWWW[[#This Row],['#_Non-Functional_hand_washing_stations]]</f>
        <v>0</v>
      </c>
      <c r="DR494" s="864">
        <f>IF(WWWW[[#This Row],['# Functional hand washing stations during reporting period]]*20&gt;WWWW[[#This Row],[Total HH]],WWWW[[#This Row],[Total HH]],WWWW[[#This Row],['# Functional hand washing stations during reporting period]]*20)</f>
        <v>0</v>
      </c>
      <c r="DS494" s="864">
        <f>IF(WWWW[[#This Row],[Is sufficient soap available for TLS? (Yes/No)]]="yes",WWWW[[#This Row],['#_Constructed/Existing hand washing stations at TLS]],0)</f>
        <v>0</v>
      </c>
      <c r="DT494" s="479">
        <f>IF(WWWW[[#This Row],['# Functional hand washing stations during reporting period]]*100&gt;WWWW[[#This Row],[Total PoP ]],WWWW[[#This Row],[Total PoP ]],WWWW[[#This Row],['# Functional hand washing stations during reporting period]]*100)</f>
        <v>0</v>
      </c>
      <c r="DU494" s="479" t="str">
        <f>IF(OR(WWWW[[#This Row],['#_students at TLS_CFS]]="",WWWW[[#This Row],['#_students at TLS_CFS]]=0),"No","Yes")</f>
        <v>No</v>
      </c>
      <c r="DV49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4" s="862" t="str">
        <f>VLOOKUP(WWWW[[#This Row],[Site Name]],SiteDB6[[Site Name]:[CCCM Management]],6,FALSE)</f>
        <v>Yes</v>
      </c>
      <c r="DZ494" s="862" t="str">
        <f>VLOOKUP(WWWW[[#This Row],[Site Name]],SiteDB6[[Site Name]:[CCCM Focal Agency]],7,FALSE)</f>
        <v>KBC-NSS</v>
      </c>
      <c r="EA494" s="862" t="str">
        <f>VLOOKUP(WWWW[[#This Row],[Site Name]],SiteDB6[[Site Name]:[Location Type 1]],9,FALSE)</f>
        <v>Camp</v>
      </c>
      <c r="EB494" s="862" t="str">
        <f>VLOOKUP(WWWW[[#This Row],[Site Name]],SiteDB6[[Site Name]:[Type of Accommodation]],10,FALSE)</f>
        <v>Camp</v>
      </c>
      <c r="EC494" s="862" t="str">
        <f>VLOOKUP(WWWW[[#This Row],[Site Name]],SiteDB6[[Site Name]:[Ethnic or GCA/NGCA]],11,FALSE)</f>
        <v>GCA</v>
      </c>
      <c r="ED494" s="862">
        <f>VLOOKUP(WWWW[[#This Row],[Site Name]],SiteDB6[[Site Name]:[Lat]],12,FALSE)</f>
        <v>23.829599000000002</v>
      </c>
      <c r="EE494" s="862">
        <f>VLOOKUP(WWWW[[#This Row],[Site Name]],SiteDB6[[Site Name]:[Long]],13,FALSE)</f>
        <v>97.590767</v>
      </c>
      <c r="EF494" s="862" t="str">
        <f>VLOOKUP(WWWW[[#This Row],[Site Name]],SiteDB6[[Site Name]:[Pcode]],3,FALSE)</f>
        <v>MMR001CMP230</v>
      </c>
      <c r="EG494" s="865" t="str">
        <f t="shared" si="14"/>
        <v>Covered</v>
      </c>
      <c r="EH494" s="865" t="str">
        <f>VLOOKUP(WWWW[[#This Row],[Site Name]],Site_DB!$C$389:$D$1120,2,FALSE)</f>
        <v>cccm_2019OCT</v>
      </c>
    </row>
    <row r="495" spans="1:138">
      <c r="A495" s="860" t="s">
        <v>3263</v>
      </c>
      <c r="B495" s="860" t="s">
        <v>195</v>
      </c>
      <c r="C495" s="861" t="s">
        <v>195</v>
      </c>
      <c r="D495" s="861" t="s">
        <v>3364</v>
      </c>
      <c r="E495" s="861" t="s">
        <v>39</v>
      </c>
      <c r="F495" s="861" t="s">
        <v>40</v>
      </c>
      <c r="G495" s="721" t="str">
        <f>VLOOKUP(WWWW[[#This Row],[Site Name]],SiteDB6[[Site Name]:[Location Type]],8,FALSE)</f>
        <v>Camp</v>
      </c>
      <c r="H495" s="861" t="s">
        <v>304</v>
      </c>
      <c r="I495" s="851">
        <v>471</v>
      </c>
      <c r="J495" s="851">
        <v>2306</v>
      </c>
      <c r="K495" s="863" t="s">
        <v>3607</v>
      </c>
      <c r="L495" s="859" t="s">
        <v>3608</v>
      </c>
      <c r="M495" s="851"/>
      <c r="N495" s="851"/>
      <c r="O495" s="851"/>
      <c r="P495" s="851"/>
      <c r="Q495" s="864"/>
      <c r="R495" s="851"/>
      <c r="S495" s="851"/>
      <c r="T495" s="523"/>
      <c r="U495" s="851"/>
      <c r="V495" s="851"/>
      <c r="W495" s="851"/>
      <c r="X495" s="851"/>
      <c r="Y495" s="851"/>
      <c r="Z495" s="851"/>
      <c r="AA495" s="851"/>
      <c r="AB495" s="851"/>
      <c r="AC495" s="851"/>
      <c r="AD495" s="851"/>
      <c r="AE495" s="851"/>
      <c r="AF495" s="851"/>
      <c r="AG495" s="851"/>
      <c r="AH495" s="851"/>
      <c r="AI495" s="851"/>
      <c r="AJ495" s="851"/>
      <c r="AK495" s="851"/>
      <c r="AL495" s="851"/>
      <c r="AM495" s="851"/>
      <c r="AN495" s="851"/>
      <c r="AO495" s="865"/>
      <c r="AP495" s="851"/>
      <c r="AQ495" s="851"/>
      <c r="AR495" s="866"/>
      <c r="AS495" s="851"/>
      <c r="AT495" s="851"/>
      <c r="AU495" s="851"/>
      <c r="AV495" s="851"/>
      <c r="AW495" s="851"/>
      <c r="AX495" s="862" t="s">
        <v>143</v>
      </c>
      <c r="AY495" s="865" t="s">
        <v>143</v>
      </c>
      <c r="AZ495" s="851"/>
      <c r="BA495" s="851"/>
      <c r="BB495" s="851"/>
      <c r="BC495" s="523"/>
      <c r="BD495" s="523"/>
      <c r="BE495" s="862"/>
      <c r="BF495" s="851"/>
      <c r="BG495" s="851"/>
      <c r="BH495" s="851"/>
      <c r="BI495" s="851"/>
      <c r="BJ495" s="851"/>
      <c r="BK495" s="851"/>
      <c r="BL495" s="851">
        <v>1</v>
      </c>
      <c r="BM495" s="851"/>
      <c r="BN495" s="851"/>
      <c r="BO495" s="862"/>
      <c r="BP495" s="867"/>
      <c r="BQ495" s="866"/>
      <c r="BR495" s="862"/>
      <c r="BS495" s="472"/>
      <c r="BT495" s="472"/>
      <c r="BU495" s="474"/>
      <c r="BV495" s="472"/>
      <c r="BW495" s="523"/>
      <c r="BX495" s="523"/>
      <c r="BY495" s="523"/>
      <c r="BZ495" s="868" t="str">
        <f>IFERROR(WWWW[[#This Row],['#_Water sources passed]]/WWWW[[#This Row],['#_Water sources tested for fecal coliform ]],"no test")</f>
        <v>no test</v>
      </c>
      <c r="CA495" s="866" t="str">
        <f>IFERROR(WWWW[[#This Row],['#_Household passed]]/WWWW[[#This Row],['#_Household water samples tested for fecal coliform]],"no test")</f>
        <v>no test</v>
      </c>
      <c r="CB495" s="867" t="str">
        <f>IF(AND(WWWW[[#This Row],[% of water sources passed]]="no test",WWWW[[#This Row],[% Household passed]]="no test"),"No Test","Tested")</f>
        <v>No Test</v>
      </c>
      <c r="CC495" s="867">
        <f>WWWW[[#This Row],['#_Constructed/existing protected hand dug well]]-WWWW[[#This Row],['#_Non-functional protected hand dug well]]</f>
        <v>0</v>
      </c>
      <c r="CD495" s="867">
        <f>(WWWW[[#This Row],['#_Constructed/Existing tube wells/boreholes/handpumps_WASH_agency]]+WWWW[[#This Row],['#_Non-Cluster partner water tube-wells/boreholes/handpumps]])-WWWW[[#This Row],['#_Non-functional tube wells/boreholes/handpumps]]</f>
        <v>0</v>
      </c>
      <c r="CE495" s="867">
        <f>WWWW[[#This Row],['#_Constructed/Existingwater storage tank with gravity fed reticulation system]]-WWWW[[#This Row],['#_Non-functional storage tank gravity fed reticulation system]]</f>
        <v>0</v>
      </c>
      <c r="CF495" s="867">
        <f>(WWWW[[#This Row],['#_Water_Liters_supplied_by_Water boating or water trucking]]/90)/15</f>
        <v>0</v>
      </c>
      <c r="CG495" s="867">
        <f>WWWW[[#This Row],['#_Water_Liters_from_Constructed/Existing water distribution system from river or natural spring]]/90/15</f>
        <v>0</v>
      </c>
      <c r="CH495" s="473">
        <f>WWWW[[#This Row],['#_of water points in TLS/CFS /THF]]*500</f>
        <v>0</v>
      </c>
      <c r="CI49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5" s="866">
        <f>IF(WWWW[[#This Row],[Location Type 1]]="Village",WWWW[[#This Row],[Access to safe drinking water for Village]],WWWW[[#This Row],[Access to safe drinking water for Camp]])</f>
        <v>0</v>
      </c>
      <c r="CL495" s="864">
        <f>WWWW[[#This Row],[%Equitable and continuous access to sufficient quantity of safe drinking water]]*WWWW[[#This Row],[Total PoP ]]</f>
        <v>0</v>
      </c>
      <c r="CM495" s="866">
        <f>IF((WWWW[[#This Row],['#_Constructed/Existing protected/fenced ponds]]*250)/WWWW[[#This Row],[Total PoP ]]&gt;1,1,(WWWW[[#This Row],['#_Constructed/Existing protected/fenced ponds]]*250)/WWWW[[#This Row],[Total PoP ]])</f>
        <v>0</v>
      </c>
      <c r="CN495" s="864">
        <f>WWWW[[#This Row],[% Access to unimproved water points]]*WWWW[[#This Row],[Total PoP ]]</f>
        <v>0</v>
      </c>
      <c r="CO49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5" s="864">
        <f>WWWW[[#This Row],[HRP1]]/500</f>
        <v>0</v>
      </c>
      <c r="CR495" s="869">
        <f>1-WWWW[[#This Row],[% Equitable and continuous access to sufficient quantity of domestic water]]</f>
        <v>1</v>
      </c>
      <c r="CS495" s="864">
        <f>WWWW[[#This Row],[%equitable and continuous access to sufficient quantity of safe drinking and domestic water''s GAP]]*WWWW[[#This Row],[Total PoP ]]</f>
        <v>2306</v>
      </c>
      <c r="CT495" s="867">
        <f>IF(WWWW[[#This Row],[Total required water points]]-WWWW[[#This Row],['#Water points coverage]]&lt;0,0,WWWW[[#This Row],[Total required water points]]-WWWW[[#This Row],['#Water points coverage]])</f>
        <v>5</v>
      </c>
      <c r="CU495" s="867">
        <f>ROUND(IF(WWWW[[#This Row],[Total PoP ]]&lt;500,1,WWWW[[#This Row],[Total PoP ]]/500),0)</f>
        <v>5</v>
      </c>
      <c r="CV495" s="867">
        <f>(WWWW[[#This Row],['#_Constructed latrines_by_WASHAgencies]]+WWWW[[#This Row],['#_Non Cluster partner latrines]])-WWWW[[#This Row],['#_Non-functional latrines]]</f>
        <v>0</v>
      </c>
      <c r="CW495" s="804">
        <f>WWWW[[#This Row],[HRP2]]/WWWW[[#This Row],[Total PoP ]]</f>
        <v>0</v>
      </c>
      <c r="CX49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9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5" s="473">
        <f>IF(WWWW[[#This Row],['# of functional latrines in THF supported by WASH partners during the reporting period2]]="",0,WWWW[[#This Row],['# of functional latrines in THF supported by WASH partners during the reporting period2]]*50)</f>
        <v>0</v>
      </c>
      <c r="DB495" s="473">
        <f>WWWW[[#This Row],['# students access to functioning school latrines_HRP5]]+WWWW[[#This Row],['# People access to functioning latrines in THF_HRP5]]</f>
        <v>0</v>
      </c>
      <c r="DC495" s="867">
        <f>ROUND(IF(WWWW[[#This Row],[Location Type 1]]="camp",WWWW[[#This Row],[Total PoP ]]/20,IF(WWWW[[#This Row],[Location Type 1]]="Temporary Location",WWWW[[#This Row],[Total PoP ]]/50,(WWWW[[#This Row],[Total PoP ]]/6))),0)</f>
        <v>115</v>
      </c>
      <c r="DD495" s="867">
        <f>IF(WWWW[[#This Row],[Total required Latrines]]-(WWWW[[#This Row],['#_Constructed latrines_by_WASHAgencies]]+WWWW[[#This Row],['#_Non Cluster partner latrines]])&lt;0,0,WWWW[[#This Row],[Total required Latrines]]-(WWWW[[#This Row],['#_Constructed latrines_by_WASHAgencies]]+WWWW[[#This Row],['#_Non Cluster partner latrines]]))</f>
        <v>115</v>
      </c>
      <c r="DE495" s="869">
        <f>1-WWWW[[#This Row],[% people access to functioning Latrine]]</f>
        <v>1</v>
      </c>
      <c r="DF495" s="868">
        <f>IF(OR(WWWW[[#This Row],['#_Non-functional latrines]]="",WWWW[[#This Row],['#_Non-functional latrines]]=0),0,WWWW[[#This Row],['#_Non-functional latrines]]/(WWWW[[#This Row],['#_Constructed latrines_by_WASHAgencies]]+WWWW[[#This Row],['#_Non Cluster partner latrines]]))</f>
        <v>0</v>
      </c>
      <c r="DG495" s="864">
        <f>IF(500*(WWWW[[#This Row],['#_male hygiene promoters]]+WWWW[[#This Row],['#_female hygiene promoters]])&gt;WWWW[[#This Row],[Total PoP ]],WWWW[[#This Row],[Total PoP ]],500*(WWWW[[#This Row],['#_male hygiene promoters]]+WWWW[[#This Row],['#_female hygiene promoters]]))</f>
        <v>500</v>
      </c>
      <c r="DH49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5" s="867">
        <f>IF(WWWW[[#This Row],['# People with access to soap]]&gt;WWWW[[#This Row],['# People with access to Sanity Pads]],WWWW[[#This Row],['# People with access to soap]],WWWW[[#This Row],['# People with access to Sanity Pads]])</f>
        <v>0</v>
      </c>
      <c r="DK495" s="86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L495" s="869">
        <f>IF(WWWW[[#This Row],[HRP3]]/WWWW[[#This Row],[Total PoP ]]&gt;1,1,WWWW[[#This Row],[HRP3]]/WWWW[[#This Row],[Total PoP ]])</f>
        <v>0.2168256721595837</v>
      </c>
      <c r="DM495" s="868">
        <f>1-WWWW[[#This Row],[Hygiene Coverage%]]</f>
        <v>0.7831743278404163</v>
      </c>
      <c r="DN495" s="866">
        <f>WWWW[[#This Row],['# people reached by regular dedicated hygiene promotion_5]]/WWWW[[#This Row],[Total PoP ]]</f>
        <v>0.2168256721595837</v>
      </c>
      <c r="DO49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5" s="867">
        <f>WWWW[[#This Row],['#_Constructed/Existing hand washing stations]]-WWWW[[#This Row],['#_Non-Functional_hand_washing_stations]]</f>
        <v>0</v>
      </c>
      <c r="DR495" s="864">
        <f>IF(WWWW[[#This Row],['# Functional hand washing stations during reporting period]]*20&gt;WWWW[[#This Row],[Total HH]],WWWW[[#This Row],[Total HH]],WWWW[[#This Row],['# Functional hand washing stations during reporting period]]*20)</f>
        <v>0</v>
      </c>
      <c r="DS495" s="864">
        <f>IF(WWWW[[#This Row],[Is sufficient soap available for TLS? (Yes/No)]]="yes",WWWW[[#This Row],['#_Constructed/Existing hand washing stations at TLS]],0)</f>
        <v>0</v>
      </c>
      <c r="DT495" s="479">
        <f>IF(WWWW[[#This Row],['# Functional hand washing stations during reporting period]]*100&gt;WWWW[[#This Row],[Total PoP ]],WWWW[[#This Row],[Total PoP ]],WWWW[[#This Row],['# Functional hand washing stations during reporting period]]*100)</f>
        <v>0</v>
      </c>
      <c r="DU495" s="479" t="str">
        <f>IF(OR(WWWW[[#This Row],['#_students at TLS_CFS]]="",WWWW[[#This Row],['#_students at TLS_CFS]]=0),"No","Yes")</f>
        <v>No</v>
      </c>
      <c r="DV49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5" s="862" t="str">
        <f>VLOOKUP(WWWW[[#This Row],[Site Name]],SiteDB6[[Site Name]:[CCCM Management]],6,FALSE)</f>
        <v>Yes</v>
      </c>
      <c r="DZ495" s="862" t="str">
        <f>VLOOKUP(WWWW[[#This Row],[Site Name]],SiteDB6[[Site Name]:[CCCM Focal Agency]],7,FALSE)</f>
        <v>KMSS-BMO</v>
      </c>
      <c r="EA495" s="862" t="str">
        <f>VLOOKUP(WWWW[[#This Row],[Site Name]],SiteDB6[[Site Name]:[Location Type 1]],9,FALSE)</f>
        <v>Camp</v>
      </c>
      <c r="EB495" s="862" t="str">
        <f>VLOOKUP(WWWW[[#This Row],[Site Name]],SiteDB6[[Site Name]:[Type of Accommodation]],10,FALSE)</f>
        <v>Camp</v>
      </c>
      <c r="EC495" s="862" t="str">
        <f>VLOOKUP(WWWW[[#This Row],[Site Name]],SiteDB6[[Site Name]:[Ethnic or GCA/NGCA]],11,FALSE)</f>
        <v>GCA</v>
      </c>
      <c r="ED495" s="862">
        <f>VLOOKUP(WWWW[[#This Row],[Site Name]],SiteDB6[[Site Name]:[Lat]],12,FALSE)</f>
        <v>23.835319999999999</v>
      </c>
      <c r="EE495" s="862">
        <f>VLOOKUP(WWWW[[#This Row],[Site Name]],SiteDB6[[Site Name]:[Long]],13,FALSE)</f>
        <v>97.578490000000002</v>
      </c>
      <c r="EF495" s="862" t="str">
        <f>VLOOKUP(WWWW[[#This Row],[Site Name]],SiteDB6[[Site Name]:[Pcode]],3,FALSE)</f>
        <v>MMR001CMP132</v>
      </c>
      <c r="EG495" s="865" t="str">
        <f t="shared" si="14"/>
        <v>Covered</v>
      </c>
      <c r="EH495" s="865" t="str">
        <f>VLOOKUP(WWWW[[#This Row],[Site Name]],Site_DB!$C$389:$D$1120,2,FALSE)</f>
        <v>cccm_2019OCT</v>
      </c>
    </row>
    <row r="496" spans="1:138">
      <c r="A496" s="860" t="s">
        <v>3263</v>
      </c>
      <c r="B496" s="860" t="s">
        <v>195</v>
      </c>
      <c r="C496" s="861" t="s">
        <v>195</v>
      </c>
      <c r="D496" s="861" t="s">
        <v>3364</v>
      </c>
      <c r="E496" s="861" t="s">
        <v>39</v>
      </c>
      <c r="F496" s="861" t="s">
        <v>40</v>
      </c>
      <c r="G496" s="721" t="str">
        <f>VLOOKUP(WWWW[[#This Row],[Site Name]],SiteDB6[[Site Name]:[Location Type]],8,FALSE)</f>
        <v>Camp</v>
      </c>
      <c r="H496" s="861" t="s">
        <v>305</v>
      </c>
      <c r="I496" s="851">
        <v>144</v>
      </c>
      <c r="J496" s="851">
        <v>631</v>
      </c>
      <c r="K496" s="863" t="s">
        <v>3607</v>
      </c>
      <c r="L496" s="859" t="s">
        <v>3608</v>
      </c>
      <c r="M496" s="851"/>
      <c r="N496" s="851"/>
      <c r="O496" s="851"/>
      <c r="P496" s="851"/>
      <c r="Q496" s="864"/>
      <c r="R496" s="851"/>
      <c r="S496" s="851"/>
      <c r="T496" s="523"/>
      <c r="U496" s="851"/>
      <c r="V496" s="851"/>
      <c r="W496" s="851"/>
      <c r="X496" s="851"/>
      <c r="Y496" s="851"/>
      <c r="Z496" s="851"/>
      <c r="AA496" s="851"/>
      <c r="AB496" s="851"/>
      <c r="AC496" s="851"/>
      <c r="AD496" s="851"/>
      <c r="AE496" s="851"/>
      <c r="AF496" s="851"/>
      <c r="AG496" s="851"/>
      <c r="AH496" s="851"/>
      <c r="AI496" s="851"/>
      <c r="AJ496" s="851"/>
      <c r="AK496" s="851"/>
      <c r="AL496" s="851"/>
      <c r="AM496" s="851"/>
      <c r="AN496" s="851"/>
      <c r="AO496" s="865"/>
      <c r="AP496" s="851"/>
      <c r="AQ496" s="851"/>
      <c r="AR496" s="866"/>
      <c r="AS496" s="851"/>
      <c r="AT496" s="851"/>
      <c r="AU496" s="851"/>
      <c r="AV496" s="851"/>
      <c r="AW496" s="851"/>
      <c r="AX496" s="862" t="s">
        <v>143</v>
      </c>
      <c r="AY496" s="865" t="s">
        <v>143</v>
      </c>
      <c r="AZ496" s="851"/>
      <c r="BA496" s="851"/>
      <c r="BB496" s="851"/>
      <c r="BC496" s="523"/>
      <c r="BD496" s="523"/>
      <c r="BE496" s="862"/>
      <c r="BF496" s="851"/>
      <c r="BG496" s="851"/>
      <c r="BH496" s="851"/>
      <c r="BI496" s="851"/>
      <c r="BJ496" s="851"/>
      <c r="BK496" s="851"/>
      <c r="BL496" s="851"/>
      <c r="BM496" s="851"/>
      <c r="BN496" s="851"/>
      <c r="BO496" s="862"/>
      <c r="BP496" s="867"/>
      <c r="BQ496" s="866"/>
      <c r="BR496" s="862"/>
      <c r="BS496" s="472"/>
      <c r="BT496" s="472"/>
      <c r="BU496" s="474"/>
      <c r="BV496" s="472"/>
      <c r="BW496" s="523"/>
      <c r="BX496" s="523"/>
      <c r="BY496" s="523"/>
      <c r="BZ496" s="868" t="str">
        <f>IFERROR(WWWW[[#This Row],['#_Water sources passed]]/WWWW[[#This Row],['#_Water sources tested for fecal coliform ]],"no test")</f>
        <v>no test</v>
      </c>
      <c r="CA496" s="866" t="str">
        <f>IFERROR(WWWW[[#This Row],['#_Household passed]]/WWWW[[#This Row],['#_Household water samples tested for fecal coliform]],"no test")</f>
        <v>no test</v>
      </c>
      <c r="CB496" s="867" t="str">
        <f>IF(AND(WWWW[[#This Row],[% of water sources passed]]="no test",WWWW[[#This Row],[% Household passed]]="no test"),"No Test","Tested")</f>
        <v>No Test</v>
      </c>
      <c r="CC496" s="867">
        <f>WWWW[[#This Row],['#_Constructed/existing protected hand dug well]]-WWWW[[#This Row],['#_Non-functional protected hand dug well]]</f>
        <v>0</v>
      </c>
      <c r="CD496" s="867">
        <f>(WWWW[[#This Row],['#_Constructed/Existing tube wells/boreholes/handpumps_WASH_agency]]+WWWW[[#This Row],['#_Non-Cluster partner water tube-wells/boreholes/handpumps]])-WWWW[[#This Row],['#_Non-functional tube wells/boreholes/handpumps]]</f>
        <v>0</v>
      </c>
      <c r="CE496" s="867">
        <f>WWWW[[#This Row],['#_Constructed/Existingwater storage tank with gravity fed reticulation system]]-WWWW[[#This Row],['#_Non-functional storage tank gravity fed reticulation system]]</f>
        <v>0</v>
      </c>
      <c r="CF496" s="867">
        <f>(WWWW[[#This Row],['#_Water_Liters_supplied_by_Water boating or water trucking]]/90)/15</f>
        <v>0</v>
      </c>
      <c r="CG496" s="867">
        <f>WWWW[[#This Row],['#_Water_Liters_from_Constructed/Existing water distribution system from river or natural spring]]/90/15</f>
        <v>0</v>
      </c>
      <c r="CH496" s="473">
        <f>WWWW[[#This Row],['#_of water points in TLS/CFS /THF]]*500</f>
        <v>0</v>
      </c>
      <c r="CI49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6" s="866">
        <f>IF(WWWW[[#This Row],[Location Type 1]]="Village",WWWW[[#This Row],[Access to safe drinking water for Village]],WWWW[[#This Row],[Access to safe drinking water for Camp]])</f>
        <v>0</v>
      </c>
      <c r="CL496" s="864">
        <f>WWWW[[#This Row],[%Equitable and continuous access to sufficient quantity of safe drinking water]]*WWWW[[#This Row],[Total PoP ]]</f>
        <v>0</v>
      </c>
      <c r="CM496" s="866">
        <f>IF((WWWW[[#This Row],['#_Constructed/Existing protected/fenced ponds]]*250)/WWWW[[#This Row],[Total PoP ]]&gt;1,1,(WWWW[[#This Row],['#_Constructed/Existing protected/fenced ponds]]*250)/WWWW[[#This Row],[Total PoP ]])</f>
        <v>0</v>
      </c>
      <c r="CN496" s="864">
        <f>WWWW[[#This Row],[% Access to unimproved water points]]*WWWW[[#This Row],[Total PoP ]]</f>
        <v>0</v>
      </c>
      <c r="CO49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6" s="864">
        <f>WWWW[[#This Row],[HRP1]]/500</f>
        <v>0</v>
      </c>
      <c r="CR496" s="869">
        <f>1-WWWW[[#This Row],[% Equitable and continuous access to sufficient quantity of domestic water]]</f>
        <v>1</v>
      </c>
      <c r="CS496" s="864">
        <f>WWWW[[#This Row],[%equitable and continuous access to sufficient quantity of safe drinking and domestic water''s GAP]]*WWWW[[#This Row],[Total PoP ]]</f>
        <v>631</v>
      </c>
      <c r="CT496" s="867">
        <f>IF(WWWW[[#This Row],[Total required water points]]-WWWW[[#This Row],['#Water points coverage]]&lt;0,0,WWWW[[#This Row],[Total required water points]]-WWWW[[#This Row],['#Water points coverage]])</f>
        <v>1</v>
      </c>
      <c r="CU496" s="867">
        <f>ROUND(IF(WWWW[[#This Row],[Total PoP ]]&lt;500,1,WWWW[[#This Row],[Total PoP ]]/500),0)</f>
        <v>1</v>
      </c>
      <c r="CV496" s="867">
        <f>(WWWW[[#This Row],['#_Constructed latrines_by_WASHAgencies]]+WWWW[[#This Row],['#_Non Cluster partner latrines]])-WWWW[[#This Row],['#_Non-functional latrines]]</f>
        <v>0</v>
      </c>
      <c r="CW496" s="804">
        <f>WWWW[[#This Row],[HRP2]]/WWWW[[#This Row],[Total PoP ]]</f>
        <v>0</v>
      </c>
      <c r="CX49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9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6" s="473">
        <f>IF(WWWW[[#This Row],['# of functional latrines in THF supported by WASH partners during the reporting period2]]="",0,WWWW[[#This Row],['# of functional latrines in THF supported by WASH partners during the reporting period2]]*50)</f>
        <v>0</v>
      </c>
      <c r="DB496" s="473">
        <f>WWWW[[#This Row],['# students access to functioning school latrines_HRP5]]+WWWW[[#This Row],['# People access to functioning latrines in THF_HRP5]]</f>
        <v>0</v>
      </c>
      <c r="DC496" s="867">
        <f>ROUND(IF(WWWW[[#This Row],[Location Type 1]]="camp",WWWW[[#This Row],[Total PoP ]]/20,IF(WWWW[[#This Row],[Location Type 1]]="Temporary Location",WWWW[[#This Row],[Total PoP ]]/50,(WWWW[[#This Row],[Total PoP ]]/6))),0)</f>
        <v>32</v>
      </c>
      <c r="DD496" s="867">
        <f>IF(WWWW[[#This Row],[Total required Latrines]]-(WWWW[[#This Row],['#_Constructed latrines_by_WASHAgencies]]+WWWW[[#This Row],['#_Non Cluster partner latrines]])&lt;0,0,WWWW[[#This Row],[Total required Latrines]]-(WWWW[[#This Row],['#_Constructed latrines_by_WASHAgencies]]+WWWW[[#This Row],['#_Non Cluster partner latrines]]))</f>
        <v>32</v>
      </c>
      <c r="DE496" s="869">
        <f>1-WWWW[[#This Row],[% people access to functioning Latrine]]</f>
        <v>1</v>
      </c>
      <c r="DF496" s="868">
        <f>IF(OR(WWWW[[#This Row],['#_Non-functional latrines]]="",WWWW[[#This Row],['#_Non-functional latrines]]=0),0,WWWW[[#This Row],['#_Non-functional latrines]]/(WWWW[[#This Row],['#_Constructed latrines_by_WASHAgencies]]+WWWW[[#This Row],['#_Non Cluster partner latrines]]))</f>
        <v>0</v>
      </c>
      <c r="DG496" s="864">
        <f>IF(500*(WWWW[[#This Row],['#_male hygiene promoters]]+WWWW[[#This Row],['#_female hygiene promoters]])&gt;WWWW[[#This Row],[Total PoP ]],WWWW[[#This Row],[Total PoP ]],500*(WWWW[[#This Row],['#_male hygiene promoters]]+WWWW[[#This Row],['#_female hygiene promoters]]))</f>
        <v>0</v>
      </c>
      <c r="DH49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6" s="867">
        <f>IF(WWWW[[#This Row],['# People with access to soap]]&gt;WWWW[[#This Row],['# People with access to Sanity Pads]],WWWW[[#This Row],['# People with access to soap]],WWWW[[#This Row],['# People with access to Sanity Pads]])</f>
        <v>0</v>
      </c>
      <c r="DK496"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96" s="869">
        <f>IF(WWWW[[#This Row],[HRP3]]/WWWW[[#This Row],[Total PoP ]]&gt;1,1,WWWW[[#This Row],[HRP3]]/WWWW[[#This Row],[Total PoP ]])</f>
        <v>0</v>
      </c>
      <c r="DM496" s="868">
        <f>1-WWWW[[#This Row],[Hygiene Coverage%]]</f>
        <v>1</v>
      </c>
      <c r="DN496" s="866">
        <f>WWWW[[#This Row],['# people reached by regular dedicated hygiene promotion_5]]/WWWW[[#This Row],[Total PoP ]]</f>
        <v>0</v>
      </c>
      <c r="DO49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6" s="867">
        <f>WWWW[[#This Row],['#_Constructed/Existing hand washing stations]]-WWWW[[#This Row],['#_Non-Functional_hand_washing_stations]]</f>
        <v>0</v>
      </c>
      <c r="DR496" s="864">
        <f>IF(WWWW[[#This Row],['# Functional hand washing stations during reporting period]]*20&gt;WWWW[[#This Row],[Total HH]],WWWW[[#This Row],[Total HH]],WWWW[[#This Row],['# Functional hand washing stations during reporting period]]*20)</f>
        <v>0</v>
      </c>
      <c r="DS496" s="864">
        <f>IF(WWWW[[#This Row],[Is sufficient soap available for TLS? (Yes/No)]]="yes",WWWW[[#This Row],['#_Constructed/Existing hand washing stations at TLS]],0)</f>
        <v>0</v>
      </c>
      <c r="DT496" s="479">
        <f>IF(WWWW[[#This Row],['# Functional hand washing stations during reporting period]]*100&gt;WWWW[[#This Row],[Total PoP ]],WWWW[[#This Row],[Total PoP ]],WWWW[[#This Row],['# Functional hand washing stations during reporting period]]*100)</f>
        <v>0</v>
      </c>
      <c r="DU496" s="479" t="str">
        <f>IF(OR(WWWW[[#This Row],['#_students at TLS_CFS]]="",WWWW[[#This Row],['#_students at TLS_CFS]]=0),"No","Yes")</f>
        <v>No</v>
      </c>
      <c r="DV49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6" s="862" t="str">
        <f>VLOOKUP(WWWW[[#This Row],[Site Name]],SiteDB6[[Site Name]:[CCCM Management]],6,FALSE)</f>
        <v>Yes</v>
      </c>
      <c r="DZ496" s="862" t="str">
        <f>VLOOKUP(WWWW[[#This Row],[Site Name]],SiteDB6[[Site Name]:[CCCM Focal Agency]],7,FALSE)</f>
        <v>KMSS-BMO</v>
      </c>
      <c r="EA496" s="862" t="str">
        <f>VLOOKUP(WWWW[[#This Row],[Site Name]],SiteDB6[[Site Name]:[Location Type 1]],9,FALSE)</f>
        <v>Camp</v>
      </c>
      <c r="EB496" s="862" t="str">
        <f>VLOOKUP(WWWW[[#This Row],[Site Name]],SiteDB6[[Site Name]:[Type of Accommodation]],10,FALSE)</f>
        <v>Camp</v>
      </c>
      <c r="EC496" s="862" t="str">
        <f>VLOOKUP(WWWW[[#This Row],[Site Name]],SiteDB6[[Site Name]:[Ethnic or GCA/NGCA]],11,FALSE)</f>
        <v>GCA</v>
      </c>
      <c r="ED496" s="862">
        <f>VLOOKUP(WWWW[[#This Row],[Site Name]],SiteDB6[[Site Name]:[Lat]],12,FALSE)</f>
        <v>23.833477999999999</v>
      </c>
      <c r="EE496" s="862">
        <f>VLOOKUP(WWWW[[#This Row],[Site Name]],SiteDB6[[Site Name]:[Long]],13,FALSE)</f>
        <v>97.578367</v>
      </c>
      <c r="EF496" s="862" t="str">
        <f>VLOOKUP(WWWW[[#This Row],[Site Name]],SiteDB6[[Site Name]:[Pcode]],3,FALSE)</f>
        <v>MMR001CMP228</v>
      </c>
      <c r="EG496" s="865" t="str">
        <f t="shared" si="14"/>
        <v>Covered</v>
      </c>
      <c r="EH496" s="865" t="str">
        <f>VLOOKUP(WWWW[[#This Row],[Site Name]],Site_DB!$C$389:$D$1120,2,FALSE)</f>
        <v>cccm_2019OCT</v>
      </c>
    </row>
    <row r="497" spans="1:138">
      <c r="A497" s="860" t="s">
        <v>3263</v>
      </c>
      <c r="B497" s="860" t="s">
        <v>195</v>
      </c>
      <c r="C497" s="861" t="s">
        <v>195</v>
      </c>
      <c r="D497" s="861" t="s">
        <v>3291</v>
      </c>
      <c r="E497" s="861" t="s">
        <v>39</v>
      </c>
      <c r="F497" s="861" t="s">
        <v>40</v>
      </c>
      <c r="G497" s="721" t="str">
        <f>VLOOKUP(WWWW[[#This Row],[Site Name]],SiteDB6[[Site Name]:[Location Type]],8,FALSE)</f>
        <v>Camp</v>
      </c>
      <c r="H497" s="861" t="s">
        <v>986</v>
      </c>
      <c r="I497" s="851">
        <v>204</v>
      </c>
      <c r="J497" s="851">
        <v>1105</v>
      </c>
      <c r="K497" s="863" t="s">
        <v>3615</v>
      </c>
      <c r="L497" s="859" t="s">
        <v>3616</v>
      </c>
      <c r="M497" s="851"/>
      <c r="N497" s="851"/>
      <c r="O497" s="851"/>
      <c r="P497" s="851"/>
      <c r="Q497" s="864"/>
      <c r="R497" s="851"/>
      <c r="S497" s="851"/>
      <c r="T497" s="523"/>
      <c r="U497" s="851"/>
      <c r="V497" s="851"/>
      <c r="W497" s="851"/>
      <c r="X497" s="851"/>
      <c r="Y497" s="851"/>
      <c r="Z497" s="851"/>
      <c r="AA497" s="851"/>
      <c r="AB497" s="851"/>
      <c r="AC497" s="851"/>
      <c r="AD497" s="851"/>
      <c r="AE497" s="851"/>
      <c r="AF497" s="851"/>
      <c r="AG497" s="851"/>
      <c r="AH497" s="851"/>
      <c r="AI497" s="851"/>
      <c r="AJ497" s="851"/>
      <c r="AK497" s="851"/>
      <c r="AL497" s="851"/>
      <c r="AM497" s="851"/>
      <c r="AN497" s="851"/>
      <c r="AO497" s="865"/>
      <c r="AP497" s="851"/>
      <c r="AQ497" s="851"/>
      <c r="AR497" s="866"/>
      <c r="AS497" s="851"/>
      <c r="AT497" s="851"/>
      <c r="AU497" s="851"/>
      <c r="AV497" s="851"/>
      <c r="AW497" s="851"/>
      <c r="AX497" s="862" t="s">
        <v>143</v>
      </c>
      <c r="AY497" s="865" t="s">
        <v>143</v>
      </c>
      <c r="AZ497" s="851"/>
      <c r="BA497" s="851"/>
      <c r="BB497" s="851"/>
      <c r="BC497" s="523"/>
      <c r="BD497" s="523"/>
      <c r="BE497" s="862"/>
      <c r="BF497" s="851"/>
      <c r="BG497" s="851"/>
      <c r="BH497" s="851"/>
      <c r="BI497" s="851"/>
      <c r="BJ497" s="851"/>
      <c r="BK497" s="851"/>
      <c r="BL497" s="851"/>
      <c r="BM497" s="851"/>
      <c r="BN497" s="851"/>
      <c r="BO497" s="862"/>
      <c r="BP497" s="867"/>
      <c r="BQ497" s="866"/>
      <c r="BR497" s="862"/>
      <c r="BS497" s="472"/>
      <c r="BT497" s="472"/>
      <c r="BU497" s="474"/>
      <c r="BV497" s="472"/>
      <c r="BW497" s="523"/>
      <c r="BX497" s="523"/>
      <c r="BY497" s="523"/>
      <c r="BZ497" s="868" t="str">
        <f>IFERROR(WWWW[[#This Row],['#_Water sources passed]]/WWWW[[#This Row],['#_Water sources tested for fecal coliform ]],"no test")</f>
        <v>no test</v>
      </c>
      <c r="CA497" s="866" t="str">
        <f>IFERROR(WWWW[[#This Row],['#_Household passed]]/WWWW[[#This Row],['#_Household water samples tested for fecal coliform]],"no test")</f>
        <v>no test</v>
      </c>
      <c r="CB497" s="867" t="str">
        <f>IF(AND(WWWW[[#This Row],[% of water sources passed]]="no test",WWWW[[#This Row],[% Household passed]]="no test"),"No Test","Tested")</f>
        <v>No Test</v>
      </c>
      <c r="CC497" s="867">
        <f>WWWW[[#This Row],['#_Constructed/existing protected hand dug well]]-WWWW[[#This Row],['#_Non-functional protected hand dug well]]</f>
        <v>0</v>
      </c>
      <c r="CD497" s="867">
        <f>(WWWW[[#This Row],['#_Constructed/Existing tube wells/boreholes/handpumps_WASH_agency]]+WWWW[[#This Row],['#_Non-Cluster partner water tube-wells/boreholes/handpumps]])-WWWW[[#This Row],['#_Non-functional tube wells/boreholes/handpumps]]</f>
        <v>0</v>
      </c>
      <c r="CE497" s="867">
        <f>WWWW[[#This Row],['#_Constructed/Existingwater storage tank with gravity fed reticulation system]]-WWWW[[#This Row],['#_Non-functional storage tank gravity fed reticulation system]]</f>
        <v>0</v>
      </c>
      <c r="CF497" s="867">
        <f>(WWWW[[#This Row],['#_Water_Liters_supplied_by_Water boating or water trucking]]/90)/15</f>
        <v>0</v>
      </c>
      <c r="CG497" s="867">
        <f>WWWW[[#This Row],['#_Water_Liters_from_Constructed/Existing water distribution system from river or natural spring]]/90/15</f>
        <v>0</v>
      </c>
      <c r="CH497" s="473">
        <f>WWWW[[#This Row],['#_of water points in TLS/CFS /THF]]*500</f>
        <v>0</v>
      </c>
      <c r="CI49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49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497" s="866">
        <f>IF(WWWW[[#This Row],[Location Type 1]]="Village",WWWW[[#This Row],[Access to safe drinking water for Village]],WWWW[[#This Row],[Access to safe drinking water for Camp]])</f>
        <v>0</v>
      </c>
      <c r="CL497" s="864">
        <f>WWWW[[#This Row],[%Equitable and continuous access to sufficient quantity of safe drinking water]]*WWWW[[#This Row],[Total PoP ]]</f>
        <v>0</v>
      </c>
      <c r="CM497" s="866">
        <f>IF((WWWW[[#This Row],['#_Constructed/Existing protected/fenced ponds]]*250)/WWWW[[#This Row],[Total PoP ]]&gt;1,1,(WWWW[[#This Row],['#_Constructed/Existing protected/fenced ponds]]*250)/WWWW[[#This Row],[Total PoP ]])</f>
        <v>0</v>
      </c>
      <c r="CN497" s="864">
        <f>WWWW[[#This Row],[% Access to unimproved water points]]*WWWW[[#This Row],[Total PoP ]]</f>
        <v>0</v>
      </c>
      <c r="CO49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49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497" s="864">
        <f>WWWW[[#This Row],[HRP1]]/500</f>
        <v>0</v>
      </c>
      <c r="CR497" s="869">
        <f>1-WWWW[[#This Row],[% Equitable and continuous access to sufficient quantity of domestic water]]</f>
        <v>1</v>
      </c>
      <c r="CS497" s="864">
        <f>WWWW[[#This Row],[%equitable and continuous access to sufficient quantity of safe drinking and domestic water''s GAP]]*WWWW[[#This Row],[Total PoP ]]</f>
        <v>1105</v>
      </c>
      <c r="CT497" s="867">
        <f>IF(WWWW[[#This Row],[Total required water points]]-WWWW[[#This Row],['#Water points coverage]]&lt;0,0,WWWW[[#This Row],[Total required water points]]-WWWW[[#This Row],['#Water points coverage]])</f>
        <v>2</v>
      </c>
      <c r="CU497" s="867">
        <f>ROUND(IF(WWWW[[#This Row],[Total PoP ]]&lt;500,1,WWWW[[#This Row],[Total PoP ]]/500),0)</f>
        <v>2</v>
      </c>
      <c r="CV497" s="867">
        <f>(WWWW[[#This Row],['#_Constructed latrines_by_WASHAgencies]]+WWWW[[#This Row],['#_Non Cluster partner latrines]])-WWWW[[#This Row],['#_Non-functional latrines]]</f>
        <v>0</v>
      </c>
      <c r="CW497" s="804">
        <f>WWWW[[#This Row],[HRP2]]/WWWW[[#This Row],[Total PoP ]]</f>
        <v>0</v>
      </c>
      <c r="CX49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49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7" s="473">
        <f>IF(WWWW[[#This Row],['# of functional latrines in THF supported by WASH partners during the reporting period2]]="",0,WWWW[[#This Row],['# of functional latrines in THF supported by WASH partners during the reporting period2]]*50)</f>
        <v>0</v>
      </c>
      <c r="DB497" s="473">
        <f>WWWW[[#This Row],['# students access to functioning school latrines_HRP5]]+WWWW[[#This Row],['# People access to functioning latrines in THF_HRP5]]</f>
        <v>0</v>
      </c>
      <c r="DC497" s="867">
        <f>ROUND(IF(WWWW[[#This Row],[Location Type 1]]="camp",WWWW[[#This Row],[Total PoP ]]/20,IF(WWWW[[#This Row],[Location Type 1]]="Temporary Location",WWWW[[#This Row],[Total PoP ]]/50,(WWWW[[#This Row],[Total PoP ]]/6))),0)</f>
        <v>55</v>
      </c>
      <c r="DD497" s="867">
        <f>IF(WWWW[[#This Row],[Total required Latrines]]-(WWWW[[#This Row],['#_Constructed latrines_by_WASHAgencies]]+WWWW[[#This Row],['#_Non Cluster partner latrines]])&lt;0,0,WWWW[[#This Row],[Total required Latrines]]-(WWWW[[#This Row],['#_Constructed latrines_by_WASHAgencies]]+WWWW[[#This Row],['#_Non Cluster partner latrines]]))</f>
        <v>55</v>
      </c>
      <c r="DE497" s="869">
        <f>1-WWWW[[#This Row],[% people access to functioning Latrine]]</f>
        <v>1</v>
      </c>
      <c r="DF497" s="868">
        <f>IF(OR(WWWW[[#This Row],['#_Non-functional latrines]]="",WWWW[[#This Row],['#_Non-functional latrines]]=0),0,WWWW[[#This Row],['#_Non-functional latrines]]/(WWWW[[#This Row],['#_Constructed latrines_by_WASHAgencies]]+WWWW[[#This Row],['#_Non Cluster partner latrines]]))</f>
        <v>0</v>
      </c>
      <c r="DG497" s="864">
        <f>IF(500*(WWWW[[#This Row],['#_male hygiene promoters]]+WWWW[[#This Row],['#_female hygiene promoters]])&gt;WWWW[[#This Row],[Total PoP ]],WWWW[[#This Row],[Total PoP ]],500*(WWWW[[#This Row],['#_male hygiene promoters]]+WWWW[[#This Row],['#_female hygiene promoters]]))</f>
        <v>0</v>
      </c>
      <c r="DH49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49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7" s="867">
        <f>IF(WWWW[[#This Row],['# People with access to soap]]&gt;WWWW[[#This Row],['# People with access to Sanity Pads]],WWWW[[#This Row],['# People with access to soap]],WWWW[[#This Row],['# People with access to Sanity Pads]])</f>
        <v>0</v>
      </c>
      <c r="DK497"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497" s="869">
        <f>IF(WWWW[[#This Row],[HRP3]]/WWWW[[#This Row],[Total PoP ]]&gt;1,1,WWWW[[#This Row],[HRP3]]/WWWW[[#This Row],[Total PoP ]])</f>
        <v>0</v>
      </c>
      <c r="DM497" s="868">
        <f>1-WWWW[[#This Row],[Hygiene Coverage%]]</f>
        <v>1</v>
      </c>
      <c r="DN497" s="866">
        <f>WWWW[[#This Row],['# people reached by regular dedicated hygiene promotion_5]]/WWWW[[#This Row],[Total PoP ]]</f>
        <v>0</v>
      </c>
      <c r="DO49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49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7" s="867">
        <f>WWWW[[#This Row],['#_Constructed/Existing hand washing stations]]-WWWW[[#This Row],['#_Non-Functional_hand_washing_stations]]</f>
        <v>0</v>
      </c>
      <c r="DR497" s="864">
        <f>IF(WWWW[[#This Row],['# Functional hand washing stations during reporting period]]*20&gt;WWWW[[#This Row],[Total HH]],WWWW[[#This Row],[Total HH]],WWWW[[#This Row],['# Functional hand washing stations during reporting period]]*20)</f>
        <v>0</v>
      </c>
      <c r="DS497" s="864">
        <f>IF(WWWW[[#This Row],[Is sufficient soap available for TLS? (Yes/No)]]="yes",WWWW[[#This Row],['#_Constructed/Existing hand washing stations at TLS]],0)</f>
        <v>0</v>
      </c>
      <c r="DT497" s="479">
        <f>IF(WWWW[[#This Row],['# Functional hand washing stations during reporting period]]*100&gt;WWWW[[#This Row],[Total PoP ]],WWWW[[#This Row],[Total PoP ]],WWWW[[#This Row],['# Functional hand washing stations during reporting period]]*100)</f>
        <v>0</v>
      </c>
      <c r="DU497" s="479" t="str">
        <f>IF(OR(WWWW[[#This Row],['#_students at TLS_CFS]]="",WWWW[[#This Row],['#_students at TLS_CFS]]=0),"No","Yes")</f>
        <v>No</v>
      </c>
      <c r="DV49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7" s="862">
        <f>VLOOKUP(WWWW[[#This Row],[Site Name]],SiteDB6[[Site Name]:[CCCM Management]],6,FALSE)</f>
        <v>0</v>
      </c>
      <c r="DZ497" s="862" t="str">
        <f>VLOOKUP(WWWW[[#This Row],[Site Name]],SiteDB6[[Site Name]:[CCCM Focal Agency]],7,FALSE)</f>
        <v>uncovered</v>
      </c>
      <c r="EA497" s="862" t="str">
        <f>VLOOKUP(WWWW[[#This Row],[Site Name]],SiteDB6[[Site Name]:[Location Type 1]],9,FALSE)</f>
        <v>Camp</v>
      </c>
      <c r="EB497" s="862" t="str">
        <f>VLOOKUP(WWWW[[#This Row],[Site Name]],SiteDB6[[Site Name]:[Type of Accommodation]],10,FALSE)</f>
        <v>Host Families</v>
      </c>
      <c r="EC497" s="862" t="str">
        <f>VLOOKUP(WWWW[[#This Row],[Site Name]],SiteDB6[[Site Name]:[Ethnic or GCA/NGCA]],11,FALSE)</f>
        <v>GCA</v>
      </c>
      <c r="ED497" s="862">
        <f>VLOOKUP(WWWW[[#This Row],[Site Name]],SiteDB6[[Site Name]:[Lat]],12,FALSE)</f>
        <v>23.827870999999998</v>
      </c>
      <c r="EE497" s="862">
        <f>VLOOKUP(WWWW[[#This Row],[Site Name]],SiteDB6[[Site Name]:[Long]],13,FALSE)</f>
        <v>97.588291999999996</v>
      </c>
      <c r="EF497" s="862" t="str">
        <f>VLOOKUP(WWWW[[#This Row],[Site Name]],SiteDB6[[Site Name]:[Pcode]],3,FALSE)</f>
        <v>MMR001CMP134</v>
      </c>
      <c r="EG497" s="865" t="str">
        <f t="shared" si="14"/>
        <v>Covered</v>
      </c>
      <c r="EH497" s="865" t="str">
        <f>VLOOKUP(WWWW[[#This Row],[Site Name]],Site_DB!$C$389:$D$1120,2,FALSE)</f>
        <v>cccm_2019OCT</v>
      </c>
    </row>
    <row r="498" spans="1:138">
      <c r="A498" s="860" t="s">
        <v>3263</v>
      </c>
      <c r="B498" s="860" t="s">
        <v>195</v>
      </c>
      <c r="C498" s="861" t="s">
        <v>195</v>
      </c>
      <c r="D498" s="861" t="s">
        <v>3630</v>
      </c>
      <c r="E498" s="861" t="s">
        <v>711</v>
      </c>
      <c r="F498" s="861" t="s">
        <v>718</v>
      </c>
      <c r="G498" s="721" t="str">
        <f>VLOOKUP(WWWW[[#This Row],[Site Name]],SiteDB6[[Site Name]:[Location Type]],8,FALSE)</f>
        <v>Camp</v>
      </c>
      <c r="H498" s="861" t="s">
        <v>744</v>
      </c>
      <c r="I498" s="851">
        <v>28</v>
      </c>
      <c r="J498" s="851">
        <v>148</v>
      </c>
      <c r="K498" s="717" t="s">
        <v>3636</v>
      </c>
      <c r="L498" s="718" t="s">
        <v>3637</v>
      </c>
      <c r="M498" s="851"/>
      <c r="N498" s="851"/>
      <c r="O498" s="851">
        <v>1</v>
      </c>
      <c r="P498" s="851"/>
      <c r="Q498" s="864" t="s">
        <v>43</v>
      </c>
      <c r="R498" s="851"/>
      <c r="S498" s="851"/>
      <c r="T498" s="523"/>
      <c r="U498" s="851"/>
      <c r="V498" s="851"/>
      <c r="W498" s="851">
        <v>1</v>
      </c>
      <c r="X498" s="851">
        <v>1</v>
      </c>
      <c r="Y498" s="851"/>
      <c r="Z498" s="851"/>
      <c r="AA498" s="851">
        <v>1</v>
      </c>
      <c r="AB498" s="851"/>
      <c r="AC498" s="851"/>
      <c r="AD498" s="851"/>
      <c r="AE498" s="851"/>
      <c r="AF498" s="851"/>
      <c r="AG498" s="851"/>
      <c r="AH498" s="851"/>
      <c r="AI498" s="851"/>
      <c r="AJ498" s="851"/>
      <c r="AK498" s="851"/>
      <c r="AL498" s="851"/>
      <c r="AM498" s="851"/>
      <c r="AN498" s="851"/>
      <c r="AO498" s="865"/>
      <c r="AP498" s="851">
        <v>18</v>
      </c>
      <c r="AQ498" s="851"/>
      <c r="AR498" s="866"/>
      <c r="AS498" s="851"/>
      <c r="AT498" s="851"/>
      <c r="AU498" s="851"/>
      <c r="AV498" s="851"/>
      <c r="AW498" s="851"/>
      <c r="AX498" s="862" t="s">
        <v>43</v>
      </c>
      <c r="AY498" s="865" t="s">
        <v>140</v>
      </c>
      <c r="AZ498" s="851"/>
      <c r="BA498" s="851"/>
      <c r="BB498" s="851"/>
      <c r="BC498" s="523"/>
      <c r="BD498" s="523"/>
      <c r="BE498" s="862"/>
      <c r="BF498" s="851"/>
      <c r="BG498" s="851"/>
      <c r="BH498" s="851"/>
      <c r="BI498" s="851">
        <v>5</v>
      </c>
      <c r="BJ498" s="851"/>
      <c r="BK498" s="851"/>
      <c r="BL498" s="851">
        <v>1</v>
      </c>
      <c r="BM498" s="851">
        <v>29</v>
      </c>
      <c r="BN498" s="851"/>
      <c r="BO498" s="862" t="s">
        <v>139</v>
      </c>
      <c r="BP498" s="867"/>
      <c r="BQ498" s="866"/>
      <c r="BR498" s="862"/>
      <c r="BS498" s="472"/>
      <c r="BT498" s="472"/>
      <c r="BU498" s="474"/>
      <c r="BV498" s="472"/>
      <c r="BW498" s="523"/>
      <c r="BX498" s="523"/>
      <c r="BY498" s="523"/>
      <c r="BZ498" s="868" t="str">
        <f>IFERROR(WWWW[[#This Row],['#_Water sources passed]]/WWWW[[#This Row],['#_Water sources tested for fecal coliform ]],"no test")</f>
        <v>no test</v>
      </c>
      <c r="CA498" s="866" t="str">
        <f>IFERROR(WWWW[[#This Row],['#_Household passed]]/WWWW[[#This Row],['#_Household water samples tested for fecal coliform]],"no test")</f>
        <v>no test</v>
      </c>
      <c r="CB498" s="867" t="str">
        <f>IF(AND(WWWW[[#This Row],[% of water sources passed]]="no test",WWWW[[#This Row],[% Household passed]]="no test"),"No Test","Tested")</f>
        <v>No Test</v>
      </c>
      <c r="CC498" s="867">
        <f>WWWW[[#This Row],['#_Constructed/existing protected hand dug well]]-WWWW[[#This Row],['#_Non-functional protected hand dug well]]</f>
        <v>0</v>
      </c>
      <c r="CD498" s="867">
        <f>(WWWW[[#This Row],['#_Constructed/Existing tube wells/boreholes/handpumps_WASH_agency]]+WWWW[[#This Row],['#_Non-Cluster partner water tube-wells/boreholes/handpumps]])-WWWW[[#This Row],['#_Non-functional tube wells/boreholes/handpumps]]</f>
        <v>2</v>
      </c>
      <c r="CE498" s="867">
        <f>WWWW[[#This Row],['#_Constructed/Existingwater storage tank with gravity fed reticulation system]]-WWWW[[#This Row],['#_Non-functional storage tank gravity fed reticulation system]]</f>
        <v>1</v>
      </c>
      <c r="CF498" s="867">
        <f>(WWWW[[#This Row],['#_Water_Liters_supplied_by_Water boating or water trucking]]/90)/15</f>
        <v>0</v>
      </c>
      <c r="CG498" s="867">
        <f>WWWW[[#This Row],['#_Water_Liters_from_Constructed/Existing water distribution system from river or natural spring]]/90/15</f>
        <v>0</v>
      </c>
      <c r="CH498" s="473">
        <f>WWWW[[#This Row],['#_of water points in TLS/CFS /THF]]*500</f>
        <v>0</v>
      </c>
      <c r="CI49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8" s="866">
        <f>IF(WWWW[[#This Row],[Location Type 1]]="Village",WWWW[[#This Row],[Access to safe drinking water for Village]],WWWW[[#This Row],[Access to safe drinking water for Camp]])</f>
        <v>1</v>
      </c>
      <c r="CL498" s="864">
        <f>WWWW[[#This Row],[%Equitable and continuous access to sufficient quantity of safe drinking water]]*WWWW[[#This Row],[Total PoP ]]</f>
        <v>148</v>
      </c>
      <c r="CM498" s="866">
        <f>IF((WWWW[[#This Row],['#_Constructed/Existing protected/fenced ponds]]*250)/WWWW[[#This Row],[Total PoP ]]&gt;1,1,(WWWW[[#This Row],['#_Constructed/Existing protected/fenced ponds]]*250)/WWWW[[#This Row],[Total PoP ]])</f>
        <v>0</v>
      </c>
      <c r="CN498" s="864">
        <f>WWWW[[#This Row],[% Access to unimproved water points]]*WWWW[[#This Row],[Total PoP ]]</f>
        <v>0</v>
      </c>
      <c r="CO49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v>
      </c>
      <c r="CQ498" s="864">
        <f>WWWW[[#This Row],[HRP1]]/500</f>
        <v>0.29599999999999999</v>
      </c>
      <c r="CR498" s="869">
        <f>1-WWWW[[#This Row],[% Equitable and continuous access to sufficient quantity of domestic water]]</f>
        <v>0</v>
      </c>
      <c r="CS498" s="864">
        <f>WWWW[[#This Row],[%equitable and continuous access to sufficient quantity of safe drinking and domestic water''s GAP]]*WWWW[[#This Row],[Total PoP ]]</f>
        <v>0</v>
      </c>
      <c r="CT498" s="867">
        <f>IF(WWWW[[#This Row],[Total required water points]]-WWWW[[#This Row],['#Water points coverage]]&lt;0,0,WWWW[[#This Row],[Total required water points]]-WWWW[[#This Row],['#Water points coverage]])</f>
        <v>0.70399999999999996</v>
      </c>
      <c r="CU498" s="867">
        <f>ROUND(IF(WWWW[[#This Row],[Total PoP ]]&lt;500,1,WWWW[[#This Row],[Total PoP ]]/500),0)</f>
        <v>1</v>
      </c>
      <c r="CV498" s="867">
        <f>(WWWW[[#This Row],['#_Constructed latrines_by_WASHAgencies]]+WWWW[[#This Row],['#_Non Cluster partner latrines]])-WWWW[[#This Row],['#_Non-functional latrines]]</f>
        <v>18</v>
      </c>
      <c r="CW498" s="804">
        <f>WWWW[[#This Row],[HRP2]]/WWWW[[#This Row],[Total PoP ]]</f>
        <v>1</v>
      </c>
      <c r="CX49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148</v>
      </c>
      <c r="CY49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8" s="473">
        <f>IF(WWWW[[#This Row],['# of functional latrines in THF supported by WASH partners during the reporting period2]]="",0,WWWW[[#This Row],['# of functional latrines in THF supported by WASH partners during the reporting period2]]*50)</f>
        <v>0</v>
      </c>
      <c r="DB498" s="473">
        <f>WWWW[[#This Row],['# students access to functioning school latrines_HRP5]]+WWWW[[#This Row],['# People access to functioning latrines in THF_HRP5]]</f>
        <v>0</v>
      </c>
      <c r="DC498" s="867">
        <f>ROUND(IF(WWWW[[#This Row],[Location Type 1]]="camp",WWWW[[#This Row],[Total PoP ]]/20,IF(WWWW[[#This Row],[Location Type 1]]="Temporary Location",WWWW[[#This Row],[Total PoP ]]/50,(WWWW[[#This Row],[Total PoP ]]/6))),0)</f>
        <v>7</v>
      </c>
      <c r="DD498" s="867">
        <f>IF(WWWW[[#This Row],[Total required Latrines]]-(WWWW[[#This Row],['#_Constructed latrines_by_WASHAgencies]]+WWWW[[#This Row],['#_Non Cluster partner latrines]])&lt;0,0,WWWW[[#This Row],[Total required Latrines]]-(WWWW[[#This Row],['#_Constructed latrines_by_WASHAgencies]]+WWWW[[#This Row],['#_Non Cluster partner latrines]]))</f>
        <v>0</v>
      </c>
      <c r="DE498" s="869">
        <f>1-WWWW[[#This Row],[% people access to functioning Latrine]]</f>
        <v>0</v>
      </c>
      <c r="DF498" s="868">
        <f>IF(OR(WWWW[[#This Row],['#_Non-functional latrines]]="",WWWW[[#This Row],['#_Non-functional latrines]]=0),0,WWWW[[#This Row],['#_Non-functional latrines]]/(WWWW[[#This Row],['#_Constructed latrines_by_WASHAgencies]]+WWWW[[#This Row],['#_Non Cluster partner latrines]]))</f>
        <v>0</v>
      </c>
      <c r="DG498" s="864">
        <f>IF(500*(WWWW[[#This Row],['#_male hygiene promoters]]+WWWW[[#This Row],['#_female hygiene promoters]])&gt;WWWW[[#This Row],[Total PoP ]],WWWW[[#This Row],[Total PoP ]],500*(WWWW[[#This Row],['#_male hygiene promoters]]+WWWW[[#This Row],['#_female hygiene promoters]]))</f>
        <v>148</v>
      </c>
      <c r="DH49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145</v>
      </c>
      <c r="DI49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8" s="867">
        <f>IF(WWWW[[#This Row],['# People with access to soap]]&gt;WWWW[[#This Row],['# People with access to Sanity Pads]],WWWW[[#This Row],['# People with access to soap]],WWWW[[#This Row],['# People with access to Sanity Pads]])</f>
        <v>145</v>
      </c>
      <c r="DK498" s="867">
        <f>IF(WWWW[[#This Row],['# people reached by regular dedicated hygiene promotion_5]]&gt;WWWW[[#This Row],['# People received regular supply of hygiene items_6]],WWWW[[#This Row],['# people reached by regular dedicated hygiene promotion_5]],WWWW[[#This Row],['# People received regular supply of hygiene items_6]])</f>
        <v>148</v>
      </c>
      <c r="DL498" s="869">
        <f>IF(WWWW[[#This Row],[HRP3]]/WWWW[[#This Row],[Total PoP ]]&gt;1,1,WWWW[[#This Row],[HRP3]]/WWWW[[#This Row],[Total PoP ]])</f>
        <v>1</v>
      </c>
      <c r="DM498" s="868">
        <f>1-WWWW[[#This Row],[Hygiene Coverage%]]</f>
        <v>0</v>
      </c>
      <c r="DN498" s="866">
        <f>WWWW[[#This Row],['# people reached by regular dedicated hygiene promotion_5]]/WWWW[[#This Row],[Total PoP ]]</f>
        <v>1</v>
      </c>
      <c r="DO49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9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8" s="867">
        <f>WWWW[[#This Row],['#_Constructed/Existing hand washing stations]]-WWWW[[#This Row],['#_Non-Functional_hand_washing_stations]]</f>
        <v>0</v>
      </c>
      <c r="DR498" s="864">
        <f>IF(WWWW[[#This Row],['# Functional hand washing stations during reporting period]]*20&gt;WWWW[[#This Row],[Total HH]],WWWW[[#This Row],[Total HH]],WWWW[[#This Row],['# Functional hand washing stations during reporting period]]*20)</f>
        <v>0</v>
      </c>
      <c r="DS498" s="864">
        <f>IF(WWWW[[#This Row],[Is sufficient soap available for TLS? (Yes/No)]]="yes",WWWW[[#This Row],['#_Constructed/Existing hand washing stations at TLS]],0)</f>
        <v>0</v>
      </c>
      <c r="DT498" s="479">
        <f>IF(WWWW[[#This Row],['# Functional hand washing stations during reporting period]]*100&gt;WWWW[[#This Row],[Total PoP ]],WWWW[[#This Row],[Total PoP ]],WWWW[[#This Row],['# Functional hand washing stations during reporting period]]*100)</f>
        <v>0</v>
      </c>
      <c r="DU498" s="479" t="str">
        <f>IF(OR(WWWW[[#This Row],['#_students at TLS_CFS]]="",WWWW[[#This Row],['#_students at TLS_CFS]]=0),"No","Yes")</f>
        <v>No</v>
      </c>
      <c r="DV49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8" s="862" t="str">
        <f>VLOOKUP(WWWW[[#This Row],[Site Name]],SiteDB6[[Site Name]:[CCCM Management]],6,FALSE)</f>
        <v>Yes</v>
      </c>
      <c r="DZ498" s="862" t="str">
        <f>VLOOKUP(WWWW[[#This Row],[Site Name]],SiteDB6[[Site Name]:[CCCM Focal Agency]],7,FALSE)</f>
        <v>KBC-NSS</v>
      </c>
      <c r="EA498" s="862" t="str">
        <f>VLOOKUP(WWWW[[#This Row],[Site Name]],SiteDB6[[Site Name]:[Location Type 1]],9,FALSE)</f>
        <v>Camp</v>
      </c>
      <c r="EB498" s="862" t="str">
        <f>VLOOKUP(WWWW[[#This Row],[Site Name]],SiteDB6[[Site Name]:[Type of Accommodation]],10,FALSE)</f>
        <v>Camp</v>
      </c>
      <c r="EC498" s="862" t="str">
        <f>VLOOKUP(WWWW[[#This Row],[Site Name]],SiteDB6[[Site Name]:[Ethnic or GCA/NGCA]],11,FALSE)</f>
        <v>GCA</v>
      </c>
      <c r="ED498" s="862">
        <f>VLOOKUP(WWWW[[#This Row],[Site Name]],SiteDB6[[Site Name]:[Lat]],12,FALSE)</f>
        <v>23.250678000000001</v>
      </c>
      <c r="EE498" s="862">
        <f>VLOOKUP(WWWW[[#This Row],[Site Name]],SiteDB6[[Site Name]:[Long]],13,FALSE)</f>
        <v>97.124403000000001</v>
      </c>
      <c r="EF498" s="862" t="str">
        <f>VLOOKUP(WWWW[[#This Row],[Site Name]],SiteDB6[[Site Name]:[Pcode]],3,FALSE)</f>
        <v>MMR015CMP009</v>
      </c>
      <c r="EG498" s="865" t="str">
        <f t="shared" si="14"/>
        <v>Covered</v>
      </c>
      <c r="EH498" s="865" t="str">
        <f>VLOOKUP(WWWW[[#This Row],[Site Name]],Site_DB!$C$389:$D$1120,2,FALSE)</f>
        <v>cccm_2019OCT</v>
      </c>
    </row>
    <row r="499" spans="1:138">
      <c r="A499" s="860" t="s">
        <v>3263</v>
      </c>
      <c r="B499" s="860" t="s">
        <v>3376</v>
      </c>
      <c r="C499" s="861" t="s">
        <v>3376</v>
      </c>
      <c r="D499" s="404" t="s">
        <v>3646</v>
      </c>
      <c r="E499" s="861" t="s">
        <v>39</v>
      </c>
      <c r="F499" s="861" t="s">
        <v>40</v>
      </c>
      <c r="G499" s="721" t="str">
        <f>VLOOKUP(WWWW[[#This Row],[Site Name]],SiteDB6[[Site Name]:[Location Type]],8,FALSE)</f>
        <v>Camp</v>
      </c>
      <c r="H499" s="861" t="s">
        <v>196</v>
      </c>
      <c r="I499" s="851">
        <v>172</v>
      </c>
      <c r="J499" s="851">
        <v>789</v>
      </c>
      <c r="K499" s="863" t="s">
        <v>3611</v>
      </c>
      <c r="L499" s="859" t="s">
        <v>3612</v>
      </c>
      <c r="M499" s="851"/>
      <c r="N499" s="851"/>
      <c r="O499" s="851">
        <v>7</v>
      </c>
      <c r="P499" s="851"/>
      <c r="Q499" s="864" t="s">
        <v>43</v>
      </c>
      <c r="R499" s="851"/>
      <c r="S499" s="851">
        <v>7</v>
      </c>
      <c r="T499" s="523">
        <v>2</v>
      </c>
      <c r="U499" s="851"/>
      <c r="V499" s="851"/>
      <c r="W499" s="851">
        <v>2</v>
      </c>
      <c r="X499" s="851">
        <v>3</v>
      </c>
      <c r="Y499" s="851"/>
      <c r="Z499" s="851"/>
      <c r="AA499" s="851"/>
      <c r="AB499" s="851"/>
      <c r="AC499" s="851"/>
      <c r="AD499" s="851"/>
      <c r="AE499" s="851"/>
      <c r="AF499" s="851"/>
      <c r="AG499" s="851"/>
      <c r="AH499" s="851"/>
      <c r="AI499" s="851"/>
      <c r="AJ499" s="851"/>
      <c r="AK499" s="851"/>
      <c r="AL499" s="851"/>
      <c r="AM499" s="851">
        <v>1</v>
      </c>
      <c r="AN499" s="851"/>
      <c r="AO499" s="865" t="s">
        <v>3380</v>
      </c>
      <c r="AP499" s="851">
        <v>40</v>
      </c>
      <c r="AQ499" s="851"/>
      <c r="AR499" s="866"/>
      <c r="AS499" s="851"/>
      <c r="AT499" s="851"/>
      <c r="AU499" s="851"/>
      <c r="AV499" s="851"/>
      <c r="AW499" s="851"/>
      <c r="AX499" s="862" t="s">
        <v>43</v>
      </c>
      <c r="AY499" s="865" t="s">
        <v>140</v>
      </c>
      <c r="AZ499" s="851"/>
      <c r="BA499" s="851">
        <v>1</v>
      </c>
      <c r="BB499" s="851">
        <v>3</v>
      </c>
      <c r="BC499" s="523"/>
      <c r="BD499" s="523"/>
      <c r="BE499" s="862"/>
      <c r="BF499" s="851">
        <v>22</v>
      </c>
      <c r="BG499" s="851"/>
      <c r="BH499" s="851"/>
      <c r="BI499" s="851">
        <v>7</v>
      </c>
      <c r="BJ499" s="851"/>
      <c r="BK499" s="851"/>
      <c r="BL499" s="851">
        <v>3</v>
      </c>
      <c r="BM499" s="851">
        <v>172</v>
      </c>
      <c r="BN499" s="851"/>
      <c r="BO499" s="862"/>
      <c r="BP499" s="867"/>
      <c r="BQ499" s="866"/>
      <c r="BR499" s="806" t="s">
        <v>3645</v>
      </c>
      <c r="BS499" s="472"/>
      <c r="BT499" s="472"/>
      <c r="BU499" s="474"/>
      <c r="BV499" s="472"/>
      <c r="BW499" s="523"/>
      <c r="BX499" s="523"/>
      <c r="BY499" s="523"/>
      <c r="BZ499" s="868" t="str">
        <f>IFERROR(WWWW[[#This Row],['#_Water sources passed]]/WWWW[[#This Row],['#_Water sources tested for fecal coliform ]],"no test")</f>
        <v>no test</v>
      </c>
      <c r="CA499" s="866" t="str">
        <f>IFERROR(WWWW[[#This Row],['#_Household passed]]/WWWW[[#This Row],['#_Household water samples tested for fecal coliform]],"no test")</f>
        <v>no test</v>
      </c>
      <c r="CB499" s="867" t="str">
        <f>IF(AND(WWWW[[#This Row],[% of water sources passed]]="no test",WWWW[[#This Row],[% Household passed]]="no test"),"No Test","Tested")</f>
        <v>No Test</v>
      </c>
      <c r="CC499" s="867">
        <f>WWWW[[#This Row],['#_Constructed/existing protected hand dug well]]-WWWW[[#This Row],['#_Non-functional protected hand dug well]]</f>
        <v>2</v>
      </c>
      <c r="CD499" s="867">
        <f>(WWWW[[#This Row],['#_Constructed/Existing tube wells/boreholes/handpumps_WASH_agency]]+WWWW[[#This Row],['#_Non-Cluster partner water tube-wells/boreholes/handpumps]])-WWWW[[#This Row],['#_Non-functional tube wells/boreholes/handpumps]]</f>
        <v>5</v>
      </c>
      <c r="CE499" s="867">
        <f>WWWW[[#This Row],['#_Constructed/Existingwater storage tank with gravity fed reticulation system]]-WWWW[[#This Row],['#_Non-functional storage tank gravity fed reticulation system]]</f>
        <v>0</v>
      </c>
      <c r="CF499" s="867">
        <f>(WWWW[[#This Row],['#_Water_Liters_supplied_by_Water boating or water trucking]]/90)/15</f>
        <v>0</v>
      </c>
      <c r="CG499" s="867">
        <f>WWWW[[#This Row],['#_Water_Liters_from_Constructed/Existing water distribution system from river or natural spring]]/90/15</f>
        <v>0</v>
      </c>
      <c r="CH499" s="473">
        <f>WWWW[[#This Row],['#_of water points in TLS/CFS /THF]]*500</f>
        <v>0</v>
      </c>
      <c r="CI49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49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499" s="866">
        <f>IF(WWWW[[#This Row],[Location Type 1]]="Village",WWWW[[#This Row],[Access to safe drinking water for Village]],WWWW[[#This Row],[Access to safe drinking water for Camp]])</f>
        <v>1</v>
      </c>
      <c r="CL499" s="864">
        <f>WWWW[[#This Row],[%Equitable and continuous access to sufficient quantity of safe drinking water]]*WWWW[[#This Row],[Total PoP ]]</f>
        <v>789</v>
      </c>
      <c r="CM499" s="866">
        <f>IF((WWWW[[#This Row],['#_Constructed/Existing protected/fenced ponds]]*250)/WWWW[[#This Row],[Total PoP ]]&gt;1,1,(WWWW[[#This Row],['#_Constructed/Existing protected/fenced ponds]]*250)/WWWW[[#This Row],[Total PoP ]])</f>
        <v>0</v>
      </c>
      <c r="CN499" s="864">
        <f>WWWW[[#This Row],[% Access to unimproved water points]]*WWWW[[#This Row],[Total PoP ]]</f>
        <v>0</v>
      </c>
      <c r="CO49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49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Q499" s="864">
        <f>WWWW[[#This Row],[HRP1]]/500</f>
        <v>1.5780000000000001</v>
      </c>
      <c r="CR499" s="869">
        <f>1-WWWW[[#This Row],[% Equitable and continuous access to sufficient quantity of domestic water]]</f>
        <v>0</v>
      </c>
      <c r="CS499" s="864">
        <f>WWWW[[#This Row],[%equitable and continuous access to sufficient quantity of safe drinking and domestic water''s GAP]]*WWWW[[#This Row],[Total PoP ]]</f>
        <v>0</v>
      </c>
      <c r="CT499" s="867">
        <f>IF(WWWW[[#This Row],[Total required water points]]-WWWW[[#This Row],['#Water points coverage]]&lt;0,0,WWWW[[#This Row],[Total required water points]]-WWWW[[#This Row],['#Water points coverage]])</f>
        <v>0.42199999999999993</v>
      </c>
      <c r="CU499" s="867">
        <f>ROUND(IF(WWWW[[#This Row],[Total PoP ]]&lt;500,1,WWWW[[#This Row],[Total PoP ]]/500),0)</f>
        <v>2</v>
      </c>
      <c r="CV499" s="867">
        <f>(WWWW[[#This Row],['#_Constructed latrines_by_WASHAgencies]]+WWWW[[#This Row],['#_Non Cluster partner latrines]])-WWWW[[#This Row],['#_Non-functional latrines]]</f>
        <v>40</v>
      </c>
      <c r="CW499" s="804">
        <f>WWWW[[#This Row],[HRP2]]/WWWW[[#This Row],[Total PoP ]]</f>
        <v>1</v>
      </c>
      <c r="CX49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CY49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49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499" s="473">
        <f>IF(WWWW[[#This Row],['# of functional latrines in THF supported by WASH partners during the reporting period2]]="",0,WWWW[[#This Row],['# of functional latrines in THF supported by WASH partners during the reporting period2]]*50)</f>
        <v>0</v>
      </c>
      <c r="DB499" s="473">
        <f>WWWW[[#This Row],['# students access to functioning school latrines_HRP5]]+WWWW[[#This Row],['# People access to functioning latrines in THF_HRP5]]</f>
        <v>0</v>
      </c>
      <c r="DC499" s="867">
        <f>ROUND(IF(WWWW[[#This Row],[Location Type 1]]="camp",WWWW[[#This Row],[Total PoP ]]/20,IF(WWWW[[#This Row],[Location Type 1]]="Temporary Location",WWWW[[#This Row],[Total PoP ]]/50,(WWWW[[#This Row],[Total PoP ]]/6))),0)</f>
        <v>39</v>
      </c>
      <c r="DD499" s="867">
        <f>IF(WWWW[[#This Row],[Total required Latrines]]-(WWWW[[#This Row],['#_Constructed latrines_by_WASHAgencies]]+WWWW[[#This Row],['#_Non Cluster partner latrines]])&lt;0,0,WWWW[[#This Row],[Total required Latrines]]-(WWWW[[#This Row],['#_Constructed latrines_by_WASHAgencies]]+WWWW[[#This Row],['#_Non Cluster partner latrines]]))</f>
        <v>0</v>
      </c>
      <c r="DE499" s="869">
        <f>1-WWWW[[#This Row],[% people access to functioning Latrine]]</f>
        <v>0</v>
      </c>
      <c r="DF499" s="868">
        <f>IF(OR(WWWW[[#This Row],['#_Non-functional latrines]]="",WWWW[[#This Row],['#_Non-functional latrines]]=0),0,WWWW[[#This Row],['#_Non-functional latrines]]/(WWWW[[#This Row],['#_Constructed latrines_by_WASHAgencies]]+WWWW[[#This Row],['#_Non Cluster partner latrines]]))</f>
        <v>0</v>
      </c>
      <c r="DG499" s="864">
        <f>IF(500*(WWWW[[#This Row],['#_male hygiene promoters]]+WWWW[[#This Row],['#_female hygiene promoters]])&gt;WWWW[[#This Row],[Total PoP ]],WWWW[[#This Row],[Total PoP ]],500*(WWWW[[#This Row],['#_male hygiene promoters]]+WWWW[[#This Row],['#_female hygiene promoters]]))</f>
        <v>789</v>
      </c>
      <c r="DH49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789</v>
      </c>
      <c r="DI49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499" s="867">
        <f>IF(WWWW[[#This Row],['# People with access to soap]]&gt;WWWW[[#This Row],['# People with access to Sanity Pads]],WWWW[[#This Row],['# People with access to soap]],WWWW[[#This Row],['# People with access to Sanity Pads]])</f>
        <v>789</v>
      </c>
      <c r="DK499" s="867">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L499" s="869">
        <f>IF(WWWW[[#This Row],[HRP3]]/WWWW[[#This Row],[Total PoP ]]&gt;1,1,WWWW[[#This Row],[HRP3]]/WWWW[[#This Row],[Total PoP ]])</f>
        <v>1</v>
      </c>
      <c r="DM499" s="868">
        <f>1-WWWW[[#This Row],[Hygiene Coverage%]]</f>
        <v>0</v>
      </c>
      <c r="DN499" s="866">
        <f>WWWW[[#This Row],['# people reached by regular dedicated hygiene promotion_5]]/WWWW[[#This Row],[Total PoP ]]</f>
        <v>1</v>
      </c>
      <c r="DO49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49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499" s="867">
        <f>WWWW[[#This Row],['#_Constructed/Existing hand washing stations]]-WWWW[[#This Row],['#_Non-Functional_hand_washing_stations]]</f>
        <v>22</v>
      </c>
      <c r="DR499" s="864">
        <f>IF(WWWW[[#This Row],['# Functional hand washing stations during reporting period]]*20&gt;WWWW[[#This Row],[Total HH]],WWWW[[#This Row],[Total HH]],WWWW[[#This Row],['# Functional hand washing stations during reporting period]]*20)</f>
        <v>172</v>
      </c>
      <c r="DS499" s="864">
        <f>IF(WWWW[[#This Row],[Is sufficient soap available for TLS? (Yes/No)]]="yes",WWWW[[#This Row],['#_Constructed/Existing hand washing stations at TLS]],0)</f>
        <v>0</v>
      </c>
      <c r="DT499" s="479">
        <f>IF(WWWW[[#This Row],['# Functional hand washing stations during reporting period]]*100&gt;WWWW[[#This Row],[Total PoP ]],WWWW[[#This Row],[Total PoP ]],WWWW[[#This Row],['# Functional hand washing stations during reporting period]]*100)</f>
        <v>789</v>
      </c>
      <c r="DU499" s="479" t="str">
        <f>IF(OR(WWWW[[#This Row],['#_students at TLS_CFS]]="",WWWW[[#This Row],['#_students at TLS_CFS]]=0),"No","Yes")</f>
        <v>No</v>
      </c>
      <c r="DV49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4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4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499" s="862" t="str">
        <f>VLOOKUP(WWWW[[#This Row],[Site Name]],SiteDB6[[Site Name]:[CCCM Management]],6,FALSE)</f>
        <v>Yes</v>
      </c>
      <c r="DZ499" s="862" t="str">
        <f>VLOOKUP(WWWW[[#This Row],[Site Name]],SiteDB6[[Site Name]:[CCCM Focal Agency]],7,FALSE)</f>
        <v>KBC-BMO</v>
      </c>
      <c r="EA499" s="862" t="str">
        <f>VLOOKUP(WWWW[[#This Row],[Site Name]],SiteDB6[[Site Name]:[Location Type 1]],9,FALSE)</f>
        <v>Camp</v>
      </c>
      <c r="EB499" s="862" t="str">
        <f>VLOOKUP(WWWW[[#This Row],[Site Name]],SiteDB6[[Site Name]:[Type of Accommodation]],10,FALSE)</f>
        <v>Camp</v>
      </c>
      <c r="EC499" s="862" t="str">
        <f>VLOOKUP(WWWW[[#This Row],[Site Name]],SiteDB6[[Site Name]:[Ethnic or GCA/NGCA]],11,FALSE)</f>
        <v>GCA</v>
      </c>
      <c r="ED499" s="862">
        <f>VLOOKUP(WWWW[[#This Row],[Site Name]],SiteDB6[[Site Name]:[Lat]],12,FALSE)</f>
        <v>24.129059999999999</v>
      </c>
      <c r="EE499" s="862">
        <f>VLOOKUP(WWWW[[#This Row],[Site Name]],SiteDB6[[Site Name]:[Long]],13,FALSE)</f>
        <v>97.291820000000001</v>
      </c>
      <c r="EF499" s="862" t="str">
        <f>VLOOKUP(WWWW[[#This Row],[Site Name]],SiteDB6[[Site Name]:[Pcode]],3,FALSE)</f>
        <v>MMR001CMP066</v>
      </c>
      <c r="EG499" s="865" t="str">
        <f t="shared" si="14"/>
        <v>Covered</v>
      </c>
      <c r="EH499" s="865" t="str">
        <f>VLOOKUP(WWWW[[#This Row],[Site Name]],Site_DB!$C$389:$D$1120,2,FALSE)</f>
        <v>cccm_2019OCT</v>
      </c>
    </row>
    <row r="500" spans="1:138">
      <c r="A500" s="860" t="s">
        <v>3263</v>
      </c>
      <c r="B500" s="860" t="s">
        <v>195</v>
      </c>
      <c r="C500" s="861" t="s">
        <v>195</v>
      </c>
      <c r="D500" s="861" t="s">
        <v>3630</v>
      </c>
      <c r="E500" s="861" t="s">
        <v>711</v>
      </c>
      <c r="F500" s="861" t="s">
        <v>1285</v>
      </c>
      <c r="G500" s="721" t="str">
        <f>VLOOKUP(WWWW[[#This Row],[Site Name]],SiteDB6[[Site Name]:[Location Type]],8,FALSE)</f>
        <v>Camp_not registered</v>
      </c>
      <c r="H500" s="861" t="s">
        <v>2294</v>
      </c>
      <c r="I500" s="851">
        <v>11</v>
      </c>
      <c r="J500" s="851">
        <v>53</v>
      </c>
      <c r="K500" s="717" t="s">
        <v>3638</v>
      </c>
      <c r="L500" s="718" t="s">
        <v>3637</v>
      </c>
      <c r="M500" s="851"/>
      <c r="N500" s="851"/>
      <c r="O500" s="851"/>
      <c r="P500" s="851"/>
      <c r="Q500" s="864"/>
      <c r="R500" s="851"/>
      <c r="S500" s="851"/>
      <c r="T500" s="523"/>
      <c r="U500" s="851"/>
      <c r="V500" s="851"/>
      <c r="W500" s="851"/>
      <c r="X500" s="851"/>
      <c r="Y500" s="851"/>
      <c r="Z500" s="851"/>
      <c r="AA500" s="851"/>
      <c r="AB500" s="851"/>
      <c r="AC500" s="851"/>
      <c r="AD500" s="851"/>
      <c r="AE500" s="851"/>
      <c r="AF500" s="851"/>
      <c r="AG500" s="851"/>
      <c r="AH500" s="851"/>
      <c r="AI500" s="851"/>
      <c r="AJ500" s="851"/>
      <c r="AK500" s="851"/>
      <c r="AL500" s="851"/>
      <c r="AM500" s="851"/>
      <c r="AN500" s="851"/>
      <c r="AO500" s="865"/>
      <c r="AP500" s="851"/>
      <c r="AQ500" s="851"/>
      <c r="AR500" s="866"/>
      <c r="AS500" s="851"/>
      <c r="AT500" s="851"/>
      <c r="AU500" s="851"/>
      <c r="AV500" s="851"/>
      <c r="AW500" s="851"/>
      <c r="AX500" s="862" t="s">
        <v>143</v>
      </c>
      <c r="AY500" s="865" t="s">
        <v>143</v>
      </c>
      <c r="AZ500" s="851"/>
      <c r="BA500" s="851"/>
      <c r="BB500" s="851"/>
      <c r="BC500" s="523"/>
      <c r="BD500" s="523"/>
      <c r="BE500" s="862"/>
      <c r="BF500" s="851"/>
      <c r="BG500" s="851"/>
      <c r="BH500" s="851"/>
      <c r="BI500" s="851"/>
      <c r="BJ500" s="851"/>
      <c r="BK500" s="851"/>
      <c r="BL500" s="851"/>
      <c r="BM500" s="851">
        <v>11</v>
      </c>
      <c r="BN500" s="851"/>
      <c r="BO500" s="862" t="s">
        <v>139</v>
      </c>
      <c r="BP500" s="867"/>
      <c r="BQ500" s="866"/>
      <c r="BR500" s="862"/>
      <c r="BS500" s="472"/>
      <c r="BT500" s="472"/>
      <c r="BU500" s="474"/>
      <c r="BV500" s="472"/>
      <c r="BW500" s="523"/>
      <c r="BX500" s="523"/>
      <c r="BY500" s="523"/>
      <c r="BZ500" s="868" t="str">
        <f>IFERROR(WWWW[[#This Row],['#_Water sources passed]]/WWWW[[#This Row],['#_Water sources tested for fecal coliform ]],"no test")</f>
        <v>no test</v>
      </c>
      <c r="CA500" s="866" t="str">
        <f>IFERROR(WWWW[[#This Row],['#_Household passed]]/WWWW[[#This Row],['#_Household water samples tested for fecal coliform]],"no test")</f>
        <v>no test</v>
      </c>
      <c r="CB500" s="867" t="str">
        <f>IF(AND(WWWW[[#This Row],[% of water sources passed]]="no test",WWWW[[#This Row],[% Household passed]]="no test"),"No Test","Tested")</f>
        <v>No Test</v>
      </c>
      <c r="CC500" s="867">
        <f>WWWW[[#This Row],['#_Constructed/existing protected hand dug well]]-WWWW[[#This Row],['#_Non-functional protected hand dug well]]</f>
        <v>0</v>
      </c>
      <c r="CD500" s="867">
        <f>(WWWW[[#This Row],['#_Constructed/Existing tube wells/boreholes/handpumps_WASH_agency]]+WWWW[[#This Row],['#_Non-Cluster partner water tube-wells/boreholes/handpumps]])-WWWW[[#This Row],['#_Non-functional tube wells/boreholes/handpumps]]</f>
        <v>0</v>
      </c>
      <c r="CE500" s="867">
        <f>WWWW[[#This Row],['#_Constructed/Existingwater storage tank with gravity fed reticulation system]]-WWWW[[#This Row],['#_Non-functional storage tank gravity fed reticulation system]]</f>
        <v>0</v>
      </c>
      <c r="CF500" s="867">
        <f>(WWWW[[#This Row],['#_Water_Liters_supplied_by_Water boating or water trucking]]/90)/15</f>
        <v>0</v>
      </c>
      <c r="CG500" s="867">
        <f>WWWW[[#This Row],['#_Water_Liters_from_Constructed/Existing water distribution system from river or natural spring]]/90/15</f>
        <v>0</v>
      </c>
      <c r="CH500" s="473">
        <f>WWWW[[#This Row],['#_of water points in TLS/CFS /THF]]*500</f>
        <v>0</v>
      </c>
      <c r="CI50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0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00" s="866">
        <f>IF(WWWW[[#This Row],[Location Type 1]]="Village",WWWW[[#This Row],[Access to safe drinking water for Village]],WWWW[[#This Row],[Access to safe drinking water for Camp]])</f>
        <v>0</v>
      </c>
      <c r="CL500" s="864">
        <f>WWWW[[#This Row],[%Equitable and continuous access to sufficient quantity of safe drinking water]]*WWWW[[#This Row],[Total PoP ]]</f>
        <v>0</v>
      </c>
      <c r="CM500" s="866">
        <f>IF((WWWW[[#This Row],['#_Constructed/Existing protected/fenced ponds]]*250)/WWWW[[#This Row],[Total PoP ]]&gt;1,1,(WWWW[[#This Row],['#_Constructed/Existing protected/fenced ponds]]*250)/WWWW[[#This Row],[Total PoP ]])</f>
        <v>0</v>
      </c>
      <c r="CN500" s="864">
        <f>WWWW[[#This Row],[% Access to unimproved water points]]*WWWW[[#This Row],[Total PoP ]]</f>
        <v>0</v>
      </c>
      <c r="CO50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0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00" s="864">
        <f>WWWW[[#This Row],[HRP1]]/500</f>
        <v>0</v>
      </c>
      <c r="CR500" s="869">
        <f>1-WWWW[[#This Row],[% Equitable and continuous access to sufficient quantity of domestic water]]</f>
        <v>1</v>
      </c>
      <c r="CS500" s="864">
        <f>WWWW[[#This Row],[%equitable and continuous access to sufficient quantity of safe drinking and domestic water''s GAP]]*WWWW[[#This Row],[Total PoP ]]</f>
        <v>53</v>
      </c>
      <c r="CT500" s="867">
        <f>IF(WWWW[[#This Row],[Total required water points]]-WWWW[[#This Row],['#Water points coverage]]&lt;0,0,WWWW[[#This Row],[Total required water points]]-WWWW[[#This Row],['#Water points coverage]])</f>
        <v>1</v>
      </c>
      <c r="CU500" s="867">
        <f>ROUND(IF(WWWW[[#This Row],[Total PoP ]]&lt;500,1,WWWW[[#This Row],[Total PoP ]]/500),0)</f>
        <v>1</v>
      </c>
      <c r="CV500" s="867">
        <f>(WWWW[[#This Row],['#_Constructed latrines_by_WASHAgencies]]+WWWW[[#This Row],['#_Non Cluster partner latrines]])-WWWW[[#This Row],['#_Non-functional latrines]]</f>
        <v>0</v>
      </c>
      <c r="CW500" s="804">
        <f>WWWW[[#This Row],[HRP2]]/WWWW[[#This Row],[Total PoP ]]</f>
        <v>0</v>
      </c>
      <c r="CX50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0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0" s="473">
        <f>IF(WWWW[[#This Row],['# of functional latrines in THF supported by WASH partners during the reporting period2]]="",0,WWWW[[#This Row],['# of functional latrines in THF supported by WASH partners during the reporting period2]]*50)</f>
        <v>0</v>
      </c>
      <c r="DB500" s="473">
        <f>WWWW[[#This Row],['# students access to functioning school latrines_HRP5]]+WWWW[[#This Row],['# People access to functioning latrines in THF_HRP5]]</f>
        <v>0</v>
      </c>
      <c r="DC500" s="867">
        <f>ROUND(IF(WWWW[[#This Row],[Location Type 1]]="camp",WWWW[[#This Row],[Total PoP ]]/20,IF(WWWW[[#This Row],[Location Type 1]]="Temporary Location",WWWW[[#This Row],[Total PoP ]]/50,(WWWW[[#This Row],[Total PoP ]]/6))),0)</f>
        <v>3</v>
      </c>
      <c r="DD500" s="867">
        <f>IF(WWWW[[#This Row],[Total required Latrines]]-(WWWW[[#This Row],['#_Constructed latrines_by_WASHAgencies]]+WWWW[[#This Row],['#_Non Cluster partner latrines]])&lt;0,0,WWWW[[#This Row],[Total required Latrines]]-(WWWW[[#This Row],['#_Constructed latrines_by_WASHAgencies]]+WWWW[[#This Row],['#_Non Cluster partner latrines]]))</f>
        <v>3</v>
      </c>
      <c r="DE500" s="869">
        <f>1-WWWW[[#This Row],[% people access to functioning Latrine]]</f>
        <v>1</v>
      </c>
      <c r="DF500" s="868">
        <f>IF(OR(WWWW[[#This Row],['#_Non-functional latrines]]="",WWWW[[#This Row],['#_Non-functional latrines]]=0),0,WWWW[[#This Row],['#_Non-functional latrines]]/(WWWW[[#This Row],['#_Constructed latrines_by_WASHAgencies]]+WWWW[[#This Row],['#_Non Cluster partner latrines]]))</f>
        <v>0</v>
      </c>
      <c r="DG500" s="864">
        <f>IF(500*(WWWW[[#This Row],['#_male hygiene promoters]]+WWWW[[#This Row],['#_female hygiene promoters]])&gt;WWWW[[#This Row],[Total PoP ]],WWWW[[#This Row],[Total PoP ]],500*(WWWW[[#This Row],['#_male hygiene promoters]]+WWWW[[#This Row],['#_female hygiene promoters]]))</f>
        <v>0</v>
      </c>
      <c r="DH50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53</v>
      </c>
      <c r="DI50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0" s="867">
        <f>IF(WWWW[[#This Row],['# People with access to soap]]&gt;WWWW[[#This Row],['# People with access to Sanity Pads]],WWWW[[#This Row],['# People with access to soap]],WWWW[[#This Row],['# People with access to Sanity Pads]])</f>
        <v>53</v>
      </c>
      <c r="DK500" s="867">
        <f>IF(WWWW[[#This Row],['# people reached by regular dedicated hygiene promotion_5]]&gt;WWWW[[#This Row],['# People received regular supply of hygiene items_6]],WWWW[[#This Row],['# people reached by regular dedicated hygiene promotion_5]],WWWW[[#This Row],['# People received regular supply of hygiene items_6]])</f>
        <v>53</v>
      </c>
      <c r="DL500" s="869">
        <f>IF(WWWW[[#This Row],[HRP3]]/WWWW[[#This Row],[Total PoP ]]&gt;1,1,WWWW[[#This Row],[HRP3]]/WWWW[[#This Row],[Total PoP ]])</f>
        <v>1</v>
      </c>
      <c r="DM500" s="868">
        <f>1-WWWW[[#This Row],[Hygiene Coverage%]]</f>
        <v>0</v>
      </c>
      <c r="DN500" s="866">
        <f>WWWW[[#This Row],['# people reached by regular dedicated hygiene promotion_5]]/WWWW[[#This Row],[Total PoP ]]</f>
        <v>0</v>
      </c>
      <c r="DO50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0" s="867">
        <f>WWWW[[#This Row],['#_Constructed/Existing hand washing stations]]-WWWW[[#This Row],['#_Non-Functional_hand_washing_stations]]</f>
        <v>0</v>
      </c>
      <c r="DR500" s="864">
        <f>IF(WWWW[[#This Row],['# Functional hand washing stations during reporting period]]*20&gt;WWWW[[#This Row],[Total HH]],WWWW[[#This Row],[Total HH]],WWWW[[#This Row],['# Functional hand washing stations during reporting period]]*20)</f>
        <v>0</v>
      </c>
      <c r="DS500" s="864">
        <f>IF(WWWW[[#This Row],[Is sufficient soap available for TLS? (Yes/No)]]="yes",WWWW[[#This Row],['#_Constructed/Existing hand washing stations at TLS]],0)</f>
        <v>0</v>
      </c>
      <c r="DT500" s="479">
        <f>IF(WWWW[[#This Row],['# Functional hand washing stations during reporting period]]*100&gt;WWWW[[#This Row],[Total PoP ]],WWWW[[#This Row],[Total PoP ]],WWWW[[#This Row],['# Functional hand washing stations during reporting period]]*100)</f>
        <v>0</v>
      </c>
      <c r="DU500" s="479" t="str">
        <f>IF(OR(WWWW[[#This Row],['#_students at TLS_CFS]]="",WWWW[[#This Row],['#_students at TLS_CFS]]=0),"No","Yes")</f>
        <v>No</v>
      </c>
      <c r="DV50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0" s="862">
        <f>VLOOKUP(WWWW[[#This Row],[Site Name]],SiteDB6[[Site Name]:[CCCM Management]],6,FALSE)</f>
        <v>0</v>
      </c>
      <c r="DZ500" s="862">
        <f>VLOOKUP(WWWW[[#This Row],[Site Name]],SiteDB6[[Site Name]:[CCCM Focal Agency]],7,FALSE)</f>
        <v>0</v>
      </c>
      <c r="EA500" s="862" t="str">
        <f>VLOOKUP(WWWW[[#This Row],[Site Name]],SiteDB6[[Site Name]:[Location Type 1]],9,FALSE)</f>
        <v>Camp</v>
      </c>
      <c r="EB500" s="862" t="str">
        <f>VLOOKUP(WWWW[[#This Row],[Site Name]],SiteDB6[[Site Name]:[Type of Accommodation]],10,FALSE)</f>
        <v>Camp</v>
      </c>
      <c r="EC500" s="862" t="str">
        <f>VLOOKUP(WWWW[[#This Row],[Site Name]],SiteDB6[[Site Name]:[Ethnic or GCA/NGCA]],11,FALSE)</f>
        <v>GCA</v>
      </c>
      <c r="ED500" s="862">
        <f>VLOOKUP(WWWW[[#This Row],[Site Name]],SiteDB6[[Site Name]:[Lat]],12,FALSE)</f>
        <v>0</v>
      </c>
      <c r="EE500" s="862">
        <f>VLOOKUP(WWWW[[#This Row],[Site Name]],SiteDB6[[Site Name]:[Long]],13,FALSE)</f>
        <v>0</v>
      </c>
      <c r="EF500" s="862">
        <f>VLOOKUP(WWWW[[#This Row],[Site Name]],SiteDB6[[Site Name]:[Pcode]],3,FALSE)</f>
        <v>0</v>
      </c>
      <c r="EG500" s="865" t="str">
        <f t="shared" si="14"/>
        <v>Covered</v>
      </c>
      <c r="EH500" s="865" t="e">
        <f>VLOOKUP(WWWW[[#This Row],[Site Name]],Site_DB!$C$389:$D$1120,2,FALSE)</f>
        <v>#N/A</v>
      </c>
    </row>
    <row r="501" spans="1:138">
      <c r="A501" s="860" t="s">
        <v>3263</v>
      </c>
      <c r="B501" s="860" t="s">
        <v>195</v>
      </c>
      <c r="C501" s="861" t="s">
        <v>195</v>
      </c>
      <c r="D501" s="861" t="s">
        <v>3364</v>
      </c>
      <c r="E501" s="861" t="s">
        <v>711</v>
      </c>
      <c r="F501" s="861" t="s">
        <v>715</v>
      </c>
      <c r="G501" s="721" t="str">
        <f>VLOOKUP(WWWW[[#This Row],[Site Name]],SiteDB6[[Site Name]:[Location Type]],8,FALSE)</f>
        <v>Camp</v>
      </c>
      <c r="H501" s="861" t="s">
        <v>2179</v>
      </c>
      <c r="I501" s="851">
        <v>145</v>
      </c>
      <c r="J501" s="851">
        <v>305</v>
      </c>
      <c r="K501" s="407" t="s">
        <v>3634</v>
      </c>
      <c r="L501" s="56" t="s">
        <v>3632</v>
      </c>
      <c r="M501" s="851"/>
      <c r="N501" s="851">
        <v>1</v>
      </c>
      <c r="O501" s="851"/>
      <c r="P501" s="851"/>
      <c r="Q501" s="864" t="s">
        <v>43</v>
      </c>
      <c r="R501" s="851">
        <v>4</v>
      </c>
      <c r="S501" s="851">
        <v>5</v>
      </c>
      <c r="T501" s="523"/>
      <c r="U501" s="851"/>
      <c r="V501" s="851"/>
      <c r="W501" s="851"/>
      <c r="X501" s="851"/>
      <c r="Y501" s="851"/>
      <c r="Z501" s="851"/>
      <c r="AA501" s="851">
        <v>1</v>
      </c>
      <c r="AB501" s="851"/>
      <c r="AC501" s="851"/>
      <c r="AD501" s="851"/>
      <c r="AE501" s="851"/>
      <c r="AF501" s="851"/>
      <c r="AG501" s="851">
        <v>3</v>
      </c>
      <c r="AH501" s="851">
        <v>1</v>
      </c>
      <c r="AI501" s="851"/>
      <c r="AJ501" s="851"/>
      <c r="AK501" s="851"/>
      <c r="AL501" s="851"/>
      <c r="AM501" s="851">
        <v>3</v>
      </c>
      <c r="AN501" s="851"/>
      <c r="AO501" s="865" t="s">
        <v>3138</v>
      </c>
      <c r="AP501" s="851">
        <v>71</v>
      </c>
      <c r="AQ501" s="851"/>
      <c r="AR501" s="866"/>
      <c r="AS501" s="851"/>
      <c r="AT501" s="851"/>
      <c r="AU501" s="851"/>
      <c r="AV501" s="851"/>
      <c r="AW501" s="851"/>
      <c r="AX501" s="862" t="s">
        <v>139</v>
      </c>
      <c r="AY501" s="865" t="s">
        <v>1195</v>
      </c>
      <c r="AZ501" s="851"/>
      <c r="BA501" s="851"/>
      <c r="BB501" s="851">
        <v>4</v>
      </c>
      <c r="BC501" s="523"/>
      <c r="BD501" s="523"/>
      <c r="BE501" s="862"/>
      <c r="BF501" s="851">
        <v>5</v>
      </c>
      <c r="BG501" s="851"/>
      <c r="BH501" s="851"/>
      <c r="BI501" s="851">
        <v>3</v>
      </c>
      <c r="BJ501" s="851"/>
      <c r="BK501" s="851">
        <v>1</v>
      </c>
      <c r="BL501" s="851"/>
      <c r="BM501" s="851">
        <v>145</v>
      </c>
      <c r="BN501" s="851"/>
      <c r="BO501" s="862" t="s">
        <v>43</v>
      </c>
      <c r="BP501" s="867"/>
      <c r="BQ501" s="866"/>
      <c r="BR501" s="862"/>
      <c r="BS501" s="472"/>
      <c r="BT501" s="472"/>
      <c r="BU501" s="474"/>
      <c r="BV501" s="472"/>
      <c r="BW501" s="523"/>
      <c r="BX501" s="523"/>
      <c r="BY501" s="523"/>
      <c r="BZ501" s="868" t="str">
        <f>IFERROR(WWWW[[#This Row],['#_Water sources passed]]/WWWW[[#This Row],['#_Water sources tested for fecal coliform ]],"no test")</f>
        <v>no test</v>
      </c>
      <c r="CA501" s="866" t="str">
        <f>IFERROR(WWWW[[#This Row],['#_Household passed]]/WWWW[[#This Row],['#_Household water samples tested for fecal coliform]],"no test")</f>
        <v>no test</v>
      </c>
      <c r="CB501" s="867" t="str">
        <f>IF(AND(WWWW[[#This Row],[% of water sources passed]]="no test",WWWW[[#This Row],[% Household passed]]="no test"),"No Test","Tested")</f>
        <v>No Test</v>
      </c>
      <c r="CC501" s="867">
        <f>WWWW[[#This Row],['#_Constructed/existing protected hand dug well]]-WWWW[[#This Row],['#_Non-functional protected hand dug well]]</f>
        <v>0</v>
      </c>
      <c r="CD501" s="867">
        <f>(WWWW[[#This Row],['#_Constructed/Existing tube wells/boreholes/handpumps_WASH_agency]]+WWWW[[#This Row],['#_Non-Cluster partner water tube-wells/boreholes/handpumps]])-WWWW[[#This Row],['#_Non-functional tube wells/boreholes/handpumps]]</f>
        <v>0</v>
      </c>
      <c r="CE501" s="867">
        <f>WWWW[[#This Row],['#_Constructed/Existingwater storage tank with gravity fed reticulation system]]-WWWW[[#This Row],['#_Non-functional storage tank gravity fed reticulation system]]</f>
        <v>1</v>
      </c>
      <c r="CF501" s="867">
        <f>(WWWW[[#This Row],['#_Water_Liters_supplied_by_Water boating or water trucking]]/90)/15</f>
        <v>0</v>
      </c>
      <c r="CG501" s="867">
        <f>WWWW[[#This Row],['#_Water_Liters_from_Constructed/Existing water distribution system from river or natural spring]]/90/15</f>
        <v>0</v>
      </c>
      <c r="CH501" s="473">
        <f>WWWW[[#This Row],['#_of water points in TLS/CFS /THF]]*500</f>
        <v>0</v>
      </c>
      <c r="CI50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0.21857923497267762</v>
      </c>
      <c r="CJ50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0.21857923497267762</v>
      </c>
      <c r="CK501" s="866">
        <f>IF(WWWW[[#This Row],[Location Type 1]]="Village",WWWW[[#This Row],[Access to safe drinking water for Village]],WWWW[[#This Row],[Access to safe drinking water for Camp]])</f>
        <v>0.21857923497267762</v>
      </c>
      <c r="CL501" s="864">
        <f>WWWW[[#This Row],[%Equitable and continuous access to sufficient quantity of safe drinking water]]*WWWW[[#This Row],[Total PoP ]]</f>
        <v>66.666666666666671</v>
      </c>
      <c r="CM501" s="866">
        <f>IF((WWWW[[#This Row],['#_Constructed/Existing protected/fenced ponds]]*250)/WWWW[[#This Row],[Total PoP ]]&gt;1,1,(WWWW[[#This Row],['#_Constructed/Existing protected/fenced ponds]]*250)/WWWW[[#This Row],[Total PoP ]])</f>
        <v>0</v>
      </c>
      <c r="CN501" s="864">
        <f>WWWW[[#This Row],[% Access to unimproved water points]]*WWWW[[#This Row],[Total PoP ]]</f>
        <v>0</v>
      </c>
      <c r="CO50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0.21857923497267762</v>
      </c>
      <c r="CP50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01" s="864">
        <f>WWWW[[#This Row],[HRP1]]/500</f>
        <v>0.13333333333333333</v>
      </c>
      <c r="CR501" s="869">
        <f>1-WWWW[[#This Row],[% Equitable and continuous access to sufficient quantity of domestic water]]</f>
        <v>0.78142076502732238</v>
      </c>
      <c r="CS501" s="864">
        <f>WWWW[[#This Row],[%equitable and continuous access to sufficient quantity of safe drinking and domestic water''s GAP]]*WWWW[[#This Row],[Total PoP ]]</f>
        <v>238.33333333333331</v>
      </c>
      <c r="CT501" s="867">
        <f>IF(WWWW[[#This Row],[Total required water points]]-WWWW[[#This Row],['#Water points coverage]]&lt;0,0,WWWW[[#This Row],[Total required water points]]-WWWW[[#This Row],['#Water points coverage]])</f>
        <v>0.8666666666666667</v>
      </c>
      <c r="CU501" s="867">
        <f>ROUND(IF(WWWW[[#This Row],[Total PoP ]]&lt;500,1,WWWW[[#This Row],[Total PoP ]]/500),0)</f>
        <v>1</v>
      </c>
      <c r="CV501" s="867">
        <f>(WWWW[[#This Row],['#_Constructed latrines_by_WASHAgencies]]+WWWW[[#This Row],['#_Non Cluster partner latrines]])-WWWW[[#This Row],['#_Non-functional latrines]]</f>
        <v>71</v>
      </c>
      <c r="CW501" s="804">
        <f>WWWW[[#This Row],[HRP2]]/WWWW[[#This Row],[Total PoP ]]</f>
        <v>1</v>
      </c>
      <c r="CX50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305</v>
      </c>
      <c r="CY50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1" s="473">
        <f>IF(WWWW[[#This Row],['# of functional latrines in THF supported by WASH partners during the reporting period2]]="",0,WWWW[[#This Row],['# of functional latrines in THF supported by WASH partners during the reporting period2]]*50)</f>
        <v>0</v>
      </c>
      <c r="DB501" s="473">
        <f>WWWW[[#This Row],['# students access to functioning school latrines_HRP5]]+WWWW[[#This Row],['# People access to functioning latrines in THF_HRP5]]</f>
        <v>0</v>
      </c>
      <c r="DC501" s="867">
        <f>ROUND(IF(WWWW[[#This Row],[Location Type 1]]="camp",WWWW[[#This Row],[Total PoP ]]/20,IF(WWWW[[#This Row],[Location Type 1]]="Temporary Location",WWWW[[#This Row],[Total PoP ]]/50,(WWWW[[#This Row],[Total PoP ]]/6))),0)</f>
        <v>51</v>
      </c>
      <c r="DD501" s="867">
        <f>IF(WWWW[[#This Row],[Total required Latrines]]-(WWWW[[#This Row],['#_Constructed latrines_by_WASHAgencies]]+WWWW[[#This Row],['#_Non Cluster partner latrines]])&lt;0,0,WWWW[[#This Row],[Total required Latrines]]-(WWWW[[#This Row],['#_Constructed latrines_by_WASHAgencies]]+WWWW[[#This Row],['#_Non Cluster partner latrines]]))</f>
        <v>0</v>
      </c>
      <c r="DE501" s="869">
        <f>1-WWWW[[#This Row],[% people access to functioning Latrine]]</f>
        <v>0</v>
      </c>
      <c r="DF501" s="868">
        <f>IF(OR(WWWW[[#This Row],['#_Non-functional latrines]]="",WWWW[[#This Row],['#_Non-functional latrines]]=0),0,WWWW[[#This Row],['#_Non-functional latrines]]/(WWWW[[#This Row],['#_Constructed latrines_by_WASHAgencies]]+WWWW[[#This Row],['#_Non Cluster partner latrines]]))</f>
        <v>0</v>
      </c>
      <c r="DG501" s="864">
        <f>IF(500*(WWWW[[#This Row],['#_male hygiene promoters]]+WWWW[[#This Row],['#_female hygiene promoters]])&gt;WWWW[[#This Row],[Total PoP ]],WWWW[[#This Row],[Total PoP ]],500*(WWWW[[#This Row],['#_male hygiene promoters]]+WWWW[[#This Row],['#_female hygiene promoters]]))</f>
        <v>305</v>
      </c>
      <c r="DH50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305</v>
      </c>
      <c r="DI50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1" s="867">
        <f>IF(WWWW[[#This Row],['# People with access to soap]]&gt;WWWW[[#This Row],['# People with access to Sanity Pads]],WWWW[[#This Row],['# People with access to soap]],WWWW[[#This Row],['# People with access to Sanity Pads]])</f>
        <v>305</v>
      </c>
      <c r="DK501" s="867">
        <f>IF(WWWW[[#This Row],['# people reached by regular dedicated hygiene promotion_5]]&gt;WWWW[[#This Row],['# People received regular supply of hygiene items_6]],WWWW[[#This Row],['# people reached by regular dedicated hygiene promotion_5]],WWWW[[#This Row],['# People received regular supply of hygiene items_6]])</f>
        <v>305</v>
      </c>
      <c r="DL501" s="869">
        <f>IF(WWWW[[#This Row],[HRP3]]/WWWW[[#This Row],[Total PoP ]]&gt;1,1,WWWW[[#This Row],[HRP3]]/WWWW[[#This Row],[Total PoP ]])</f>
        <v>1</v>
      </c>
      <c r="DM501" s="868">
        <f>1-WWWW[[#This Row],[Hygiene Coverage%]]</f>
        <v>0</v>
      </c>
      <c r="DN501" s="866">
        <f>WWWW[[#This Row],['# people reached by regular dedicated hygiene promotion_5]]/WWWW[[#This Row],[Total PoP ]]</f>
        <v>1</v>
      </c>
      <c r="DO50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1" s="867">
        <f>WWWW[[#This Row],['#_Constructed/Existing hand washing stations]]-WWWW[[#This Row],['#_Non-Functional_hand_washing_stations]]</f>
        <v>5</v>
      </c>
      <c r="DR501" s="864">
        <f>IF(WWWW[[#This Row],['# Functional hand washing stations during reporting period]]*20&gt;WWWW[[#This Row],[Total HH]],WWWW[[#This Row],[Total HH]],WWWW[[#This Row],['# Functional hand washing stations during reporting period]]*20)</f>
        <v>100</v>
      </c>
      <c r="DS501" s="864">
        <f>IF(WWWW[[#This Row],[Is sufficient soap available for TLS? (Yes/No)]]="yes",WWWW[[#This Row],['#_Constructed/Existing hand washing stations at TLS]],0)</f>
        <v>3</v>
      </c>
      <c r="DT501" s="479">
        <f>IF(WWWW[[#This Row],['# Functional hand washing stations during reporting period]]*100&gt;WWWW[[#This Row],[Total PoP ]],WWWW[[#This Row],[Total PoP ]],WWWW[[#This Row],['# Functional hand washing stations during reporting period]]*100)</f>
        <v>305</v>
      </c>
      <c r="DU501" s="479" t="str">
        <f>IF(OR(WWWW[[#This Row],['#_students at TLS_CFS]]="",WWWW[[#This Row],['#_students at TLS_CFS]]=0),"No","Yes")</f>
        <v>No</v>
      </c>
      <c r="DV50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1" s="862" t="str">
        <f>VLOOKUP(WWWW[[#This Row],[Site Name]],SiteDB6[[Site Name]:[CCCM Management]],6,FALSE)</f>
        <v>Yes</v>
      </c>
      <c r="DZ501" s="862" t="str">
        <f>VLOOKUP(WWWW[[#This Row],[Site Name]],SiteDB6[[Site Name]:[CCCM Focal Agency]],7,FALSE)</f>
        <v>KMSS-LSO</v>
      </c>
      <c r="EA501" s="862" t="str">
        <f>VLOOKUP(WWWW[[#This Row],[Site Name]],SiteDB6[[Site Name]:[Location Type 1]],9,FALSE)</f>
        <v>Village Type Camp</v>
      </c>
      <c r="EB501" s="862" t="str">
        <f>VLOOKUP(WWWW[[#This Row],[Site Name]],SiteDB6[[Site Name]:[Type of Accommodation]],10,FALSE)</f>
        <v>Camp</v>
      </c>
      <c r="EC501" s="862" t="str">
        <f>VLOOKUP(WWWW[[#This Row],[Site Name]],SiteDB6[[Site Name]:[Ethnic or GCA/NGCA]],11,FALSE)</f>
        <v>GCA</v>
      </c>
      <c r="ED501" s="862">
        <f>VLOOKUP(WWWW[[#This Row],[Site Name]],SiteDB6[[Site Name]:[Lat]],12,FALSE)</f>
        <v>23.588920000000002</v>
      </c>
      <c r="EE501" s="862">
        <f>VLOOKUP(WWWW[[#This Row],[Site Name]],SiteDB6[[Site Name]:[Long]],13,FALSE)</f>
        <v>97.793019999999999</v>
      </c>
      <c r="EF501" s="862" t="str">
        <f>VLOOKUP(WWWW[[#This Row],[Site Name]],SiteDB6[[Site Name]:[Pcode]],3,FALSE)</f>
        <v>MMR015CMP018</v>
      </c>
      <c r="EG501" s="865" t="str">
        <f t="shared" si="14"/>
        <v>Covered</v>
      </c>
      <c r="EH501" s="865" t="str">
        <f>VLOOKUP(WWWW[[#This Row],[Site Name]],Site_DB!$C$389:$D$1120,2,FALSE)</f>
        <v>cccm_2019OCT</v>
      </c>
    </row>
    <row r="502" spans="1:138">
      <c r="A502" s="860" t="s">
        <v>3263</v>
      </c>
      <c r="B502" s="860" t="s">
        <v>3378</v>
      </c>
      <c r="C502" s="861" t="s">
        <v>3378</v>
      </c>
      <c r="D502" s="861" t="s">
        <v>3386</v>
      </c>
      <c r="E502" s="861" t="s">
        <v>39</v>
      </c>
      <c r="F502" s="861" t="s">
        <v>208</v>
      </c>
      <c r="G502" s="721" t="str">
        <f>VLOOKUP(WWWW[[#This Row],[Site Name]],SiteDB6[[Site Name]:[Location Type]],8,FALSE)</f>
        <v>Camp_not registered</v>
      </c>
      <c r="H502" s="861" t="s">
        <v>290</v>
      </c>
      <c r="I502" s="872">
        <v>113</v>
      </c>
      <c r="J502" s="872">
        <v>607</v>
      </c>
      <c r="K502" s="863" t="s">
        <v>3627</v>
      </c>
      <c r="L502" s="859" t="s">
        <v>3614</v>
      </c>
      <c r="M502" s="851"/>
      <c r="N502" s="851">
        <v>0</v>
      </c>
      <c r="O502" s="851">
        <v>2</v>
      </c>
      <c r="P502" s="851"/>
      <c r="Q502" s="864" t="s">
        <v>43</v>
      </c>
      <c r="R502" s="851">
        <v>6</v>
      </c>
      <c r="S502" s="851">
        <v>10</v>
      </c>
      <c r="T502" s="523">
        <v>1</v>
      </c>
      <c r="U502" s="851"/>
      <c r="V502" s="851"/>
      <c r="W502" s="851">
        <v>1</v>
      </c>
      <c r="X502" s="851">
        <v>0</v>
      </c>
      <c r="Y502" s="851"/>
      <c r="Z502" s="851"/>
      <c r="AA502" s="851"/>
      <c r="AB502" s="851"/>
      <c r="AC502" s="851"/>
      <c r="AD502" s="851"/>
      <c r="AE502" s="851"/>
      <c r="AF502" s="851"/>
      <c r="AG502" s="851">
        <v>2</v>
      </c>
      <c r="AH502" s="851"/>
      <c r="AI502" s="872">
        <v>1</v>
      </c>
      <c r="AJ502" s="872">
        <v>1</v>
      </c>
      <c r="AK502" s="872">
        <v>12</v>
      </c>
      <c r="AL502" s="872">
        <v>9</v>
      </c>
      <c r="AM502" s="872">
        <v>12</v>
      </c>
      <c r="AN502" s="851"/>
      <c r="AO502" s="871" t="s">
        <v>3380</v>
      </c>
      <c r="AP502" s="851">
        <v>28</v>
      </c>
      <c r="AQ502" s="851"/>
      <c r="AR502" s="866"/>
      <c r="AS502" s="851"/>
      <c r="AT502" s="851"/>
      <c r="AU502" s="851">
        <v>15</v>
      </c>
      <c r="AV502" s="851">
        <v>50</v>
      </c>
      <c r="AW502" s="851"/>
      <c r="AX502" s="862" t="s">
        <v>43</v>
      </c>
      <c r="AY502" s="865" t="s">
        <v>140</v>
      </c>
      <c r="AZ502" s="851">
        <v>0</v>
      </c>
      <c r="BA502" s="851">
        <v>0</v>
      </c>
      <c r="BB502" s="851">
        <v>2</v>
      </c>
      <c r="BC502" s="523"/>
      <c r="BD502" s="523"/>
      <c r="BE502" s="862" t="s">
        <v>3371</v>
      </c>
      <c r="BF502" s="851">
        <v>12</v>
      </c>
      <c r="BG502" s="851"/>
      <c r="BH502" s="851"/>
      <c r="BI502" s="851">
        <v>4</v>
      </c>
      <c r="BJ502" s="851"/>
      <c r="BK502" s="851">
        <v>0</v>
      </c>
      <c r="BL502" s="851">
        <v>8</v>
      </c>
      <c r="BM502" s="851"/>
      <c r="BN502" s="851"/>
      <c r="BO502" s="862" t="s">
        <v>43</v>
      </c>
      <c r="BP502" s="867"/>
      <c r="BQ502" s="866"/>
      <c r="BR502" s="862" t="s">
        <v>3382</v>
      </c>
      <c r="BS502" s="472"/>
      <c r="BT502" s="472"/>
      <c r="BU502" s="474"/>
      <c r="BV502" s="472"/>
      <c r="BW502" s="523"/>
      <c r="BX502" s="523"/>
      <c r="BY502" s="523"/>
      <c r="BZ502" s="868">
        <f>IFERROR(WWWW[[#This Row],['#_Water sources passed]]/WWWW[[#This Row],['#_Water sources tested for fecal coliform ]],"no test")</f>
        <v>1</v>
      </c>
      <c r="CA502" s="866">
        <f>IFERROR(WWWW[[#This Row],['#_Household passed]]/WWWW[[#This Row],['#_Household water samples tested for fecal coliform]],"no test")</f>
        <v>0.75</v>
      </c>
      <c r="CB502" s="867" t="str">
        <f>IF(AND(WWWW[[#This Row],[% of water sources passed]]="no test",WWWW[[#This Row],[% Household passed]]="no test"),"No Test","Tested")</f>
        <v>Tested</v>
      </c>
      <c r="CC502" s="867">
        <f>WWWW[[#This Row],['#_Constructed/existing protected hand dug well]]-WWWW[[#This Row],['#_Non-functional protected hand dug well]]</f>
        <v>1</v>
      </c>
      <c r="CD502" s="867">
        <f>(WWWW[[#This Row],['#_Constructed/Existing tube wells/boreholes/handpumps_WASH_agency]]+WWWW[[#This Row],['#_Non-Cluster partner water tube-wells/boreholes/handpumps]])-WWWW[[#This Row],['#_Non-functional tube wells/boreholes/handpumps]]</f>
        <v>1</v>
      </c>
      <c r="CE502" s="867">
        <f>WWWW[[#This Row],['#_Constructed/Existingwater storage tank with gravity fed reticulation system]]-WWWW[[#This Row],['#_Non-functional storage tank gravity fed reticulation system]]</f>
        <v>0</v>
      </c>
      <c r="CF502" s="867">
        <f>(WWWW[[#This Row],['#_Water_Liters_supplied_by_Water boating or water trucking]]/90)/15</f>
        <v>0</v>
      </c>
      <c r="CG502" s="867">
        <f>WWWW[[#This Row],['#_Water_Liters_from_Constructed/Existing water distribution system from river or natural spring]]/90/15</f>
        <v>0</v>
      </c>
      <c r="CH502" s="473">
        <f>WWWW[[#This Row],['#_of water points in TLS/CFS /THF]]*500</f>
        <v>0</v>
      </c>
      <c r="CI50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0.82372322899505768</v>
      </c>
      <c r="CK502" s="866">
        <f>IF(WWWW[[#This Row],[Location Type 1]]="Village",WWWW[[#This Row],[Access to safe drinking water for Village]],WWWW[[#This Row],[Access to safe drinking water for Camp]])</f>
        <v>1</v>
      </c>
      <c r="CL502" s="864">
        <f>WWWW[[#This Row],[%Equitable and continuous access to sufficient quantity of safe drinking water]]*WWWW[[#This Row],[Total PoP ]]</f>
        <v>607</v>
      </c>
      <c r="CM502" s="866">
        <f>IF((WWWW[[#This Row],['#_Constructed/Existing protected/fenced ponds]]*250)/WWWW[[#This Row],[Total PoP ]]&gt;1,1,(WWWW[[#This Row],['#_Constructed/Existing protected/fenced ponds]]*250)/WWWW[[#This Row],[Total PoP ]])</f>
        <v>0</v>
      </c>
      <c r="CN502" s="864">
        <f>WWWW[[#This Row],[% Access to unimproved water points]]*WWWW[[#This Row],[Total PoP ]]</f>
        <v>0</v>
      </c>
      <c r="CO50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607</v>
      </c>
      <c r="CQ502" s="864">
        <f>WWWW[[#This Row],[HRP1]]/500</f>
        <v>1.214</v>
      </c>
      <c r="CR502" s="869">
        <f>1-WWWW[[#This Row],[% Equitable and continuous access to sufficient quantity of domestic water]]</f>
        <v>0</v>
      </c>
      <c r="CS502" s="864">
        <f>WWWW[[#This Row],[%equitable and continuous access to sufficient quantity of safe drinking and domestic water''s GAP]]*WWWW[[#This Row],[Total PoP ]]</f>
        <v>0</v>
      </c>
      <c r="CT502" s="867">
        <f>IF(WWWW[[#This Row],[Total required water points]]-WWWW[[#This Row],['#Water points coverage]]&lt;0,0,WWWW[[#This Row],[Total required water points]]-WWWW[[#This Row],['#Water points coverage]])</f>
        <v>0</v>
      </c>
      <c r="CU502" s="867">
        <f>ROUND(IF(WWWW[[#This Row],[Total PoP ]]&lt;500,1,WWWW[[#This Row],[Total PoP ]]/500),0)</f>
        <v>1</v>
      </c>
      <c r="CV502" s="867">
        <f>(WWWW[[#This Row],['#_Constructed latrines_by_WASHAgencies]]+WWWW[[#This Row],['#_Non Cluster partner latrines]])-WWWW[[#This Row],['#_Non-functional latrines]]</f>
        <v>28</v>
      </c>
      <c r="CW502" s="804">
        <f>WWWW[[#This Row],[HRP2]]/WWWW[[#This Row],[Total PoP ]]</f>
        <v>0.92257001647446457</v>
      </c>
      <c r="CX50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0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Z50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2" s="473">
        <f>IF(WWWW[[#This Row],['# of functional latrines in THF supported by WASH partners during the reporting period2]]="",0,WWWW[[#This Row],['# of functional latrines in THF supported by WASH partners during the reporting period2]]*50)</f>
        <v>0</v>
      </c>
      <c r="DB502" s="473">
        <f>WWWW[[#This Row],['# students access to functioning school latrines_HRP5]]+WWWW[[#This Row],['# People access to functioning latrines in THF_HRP5]]</f>
        <v>0</v>
      </c>
      <c r="DC502" s="867">
        <f>ROUND(IF(WWWW[[#This Row],[Location Type 1]]="camp",WWWW[[#This Row],[Total PoP ]]/20,IF(WWWW[[#This Row],[Location Type 1]]="Temporary Location",WWWW[[#This Row],[Total PoP ]]/50,(WWWW[[#This Row],[Total PoP ]]/6))),0)</f>
        <v>30</v>
      </c>
      <c r="DD502" s="867">
        <f>IF(WWWW[[#This Row],[Total required Latrines]]-(WWWW[[#This Row],['#_Constructed latrines_by_WASHAgencies]]+WWWW[[#This Row],['#_Non Cluster partner latrines]])&lt;0,0,WWWW[[#This Row],[Total required Latrines]]-(WWWW[[#This Row],['#_Constructed latrines_by_WASHAgencies]]+WWWW[[#This Row],['#_Non Cluster partner latrines]]))</f>
        <v>2</v>
      </c>
      <c r="DE502" s="869">
        <f>1-WWWW[[#This Row],[% people access to functioning Latrine]]</f>
        <v>7.7429983525535429E-2</v>
      </c>
      <c r="DF502" s="868">
        <f>IF(OR(WWWW[[#This Row],['#_Non-functional latrines]]="",WWWW[[#This Row],['#_Non-functional latrines]]=0),0,WWWW[[#This Row],['#_Non-functional latrines]]/(WWWW[[#This Row],['#_Constructed latrines_by_WASHAgencies]]+WWWW[[#This Row],['#_Non Cluster partner latrines]]))</f>
        <v>0</v>
      </c>
      <c r="DG502" s="864">
        <f>IF(500*(WWWW[[#This Row],['#_male hygiene promoters]]+WWWW[[#This Row],['#_female hygiene promoters]])&gt;WWWW[[#This Row],[Total PoP ]],WWWW[[#This Row],[Total PoP ]],500*(WWWW[[#This Row],['#_male hygiene promoters]]+WWWW[[#This Row],['#_female hygiene promoters]]))</f>
        <v>607</v>
      </c>
      <c r="DH50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0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2" s="867">
        <f>IF(WWWW[[#This Row],['# People with access to soap]]&gt;WWWW[[#This Row],['# People with access to Sanity Pads]],WWWW[[#This Row],['# People with access to soap]],WWWW[[#This Row],['# People with access to Sanity Pads]])</f>
        <v>0</v>
      </c>
      <c r="DK502" s="867">
        <f>IF(WWWW[[#This Row],['# people reached by regular dedicated hygiene promotion_5]]&gt;WWWW[[#This Row],['# People received regular supply of hygiene items_6]],WWWW[[#This Row],['# people reached by regular dedicated hygiene promotion_5]],WWWW[[#This Row],['# People received regular supply of hygiene items_6]])</f>
        <v>607</v>
      </c>
      <c r="DL502" s="869">
        <f>IF(WWWW[[#This Row],[HRP3]]/WWWW[[#This Row],[Total PoP ]]&gt;1,1,WWWW[[#This Row],[HRP3]]/WWWW[[#This Row],[Total PoP ]])</f>
        <v>1</v>
      </c>
      <c r="DM502" s="868">
        <f>1-WWWW[[#This Row],[Hygiene Coverage%]]</f>
        <v>0</v>
      </c>
      <c r="DN502" s="866">
        <f>WWWW[[#This Row],['# people reached by regular dedicated hygiene promotion_5]]/WWWW[[#This Row],[Total PoP ]]</f>
        <v>1</v>
      </c>
      <c r="DO50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0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2" s="867">
        <f>WWWW[[#This Row],['#_Constructed/Existing hand washing stations]]-WWWW[[#This Row],['#_Non-Functional_hand_washing_stations]]</f>
        <v>12</v>
      </c>
      <c r="DR502" s="864">
        <f>IF(WWWW[[#This Row],['# Functional hand washing stations during reporting period]]*20&gt;WWWW[[#This Row],[Total HH]],WWWW[[#This Row],[Total HH]],WWWW[[#This Row],['# Functional hand washing stations during reporting period]]*20)</f>
        <v>113</v>
      </c>
      <c r="DS502" s="864">
        <f>IF(WWWW[[#This Row],[Is sufficient soap available for TLS? (Yes/No)]]="yes",WWWW[[#This Row],['#_Constructed/Existing hand washing stations at TLS]],0)</f>
        <v>12</v>
      </c>
      <c r="DT502" s="479">
        <f>IF(WWWW[[#This Row],['# Functional hand washing stations during reporting period]]*100&gt;WWWW[[#This Row],[Total PoP ]],WWWW[[#This Row],[Total PoP ]],WWWW[[#This Row],['# Functional hand washing stations during reporting period]]*100)</f>
        <v>607</v>
      </c>
      <c r="DU502" s="479" t="str">
        <f>IF(OR(WWWW[[#This Row],['#_students at TLS_CFS]]="",WWWW[[#This Row],['#_students at TLS_CFS]]=0),"No","Yes")</f>
        <v>No</v>
      </c>
      <c r="DV50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2" s="862">
        <f>VLOOKUP(WWWW[[#This Row],[Site Name]],SiteDB6[[Site Name]:[CCCM Management]],6,FALSE)</f>
        <v>0</v>
      </c>
      <c r="DZ502" s="862">
        <f>VLOOKUP(WWWW[[#This Row],[Site Name]],SiteDB6[[Site Name]:[CCCM Focal Agency]],7,FALSE)</f>
        <v>0</v>
      </c>
      <c r="EA502" s="862" t="str">
        <f>VLOOKUP(WWWW[[#This Row],[Site Name]],SiteDB6[[Site Name]:[Location Type 1]],9,FALSE)</f>
        <v>Camp</v>
      </c>
      <c r="EB502" s="862" t="str">
        <f>VLOOKUP(WWWW[[#This Row],[Site Name]],SiteDB6[[Site Name]:[Type of Accommodation]],10,FALSE)</f>
        <v>Camp</v>
      </c>
      <c r="EC502" s="862" t="str">
        <f>VLOOKUP(WWWW[[#This Row],[Site Name]],SiteDB6[[Site Name]:[Ethnic or GCA/NGCA]],11,FALSE)</f>
        <v>GCA</v>
      </c>
      <c r="ED502" s="862">
        <f>VLOOKUP(WWWW[[#This Row],[Site Name]],SiteDB6[[Site Name]:[Lat]],12,FALSE)</f>
        <v>0</v>
      </c>
      <c r="EE502" s="862">
        <f>VLOOKUP(WWWW[[#This Row],[Site Name]],SiteDB6[[Site Name]:[Long]],13,FALSE)</f>
        <v>0</v>
      </c>
      <c r="EF502" s="862">
        <f>VLOOKUP(WWWW[[#This Row],[Site Name]],SiteDB6[[Site Name]:[Pcode]],3,FALSE)</f>
        <v>0</v>
      </c>
      <c r="EG502" s="865" t="str">
        <f t="shared" si="14"/>
        <v>Covered</v>
      </c>
      <c r="EH502" s="865">
        <f>VLOOKUP(WWWW[[#This Row],[Site Name]],Site_DB!$C$389:$D$1120,2,FALSE)</f>
        <v>0</v>
      </c>
    </row>
    <row r="503" spans="1:138">
      <c r="A503" s="860" t="s">
        <v>3263</v>
      </c>
      <c r="B503" s="860" t="s">
        <v>195</v>
      </c>
      <c r="C503" s="861" t="s">
        <v>195</v>
      </c>
      <c r="D503" s="861" t="s">
        <v>3630</v>
      </c>
      <c r="E503" s="861" t="s">
        <v>711</v>
      </c>
      <c r="F503" s="861" t="s">
        <v>712</v>
      </c>
      <c r="G503" s="721" t="str">
        <f>VLOOKUP(WWWW[[#This Row],[Site Name]],SiteDB6[[Site Name]:[Location Type]],8,FALSE)</f>
        <v>Camp</v>
      </c>
      <c r="H503" s="861" t="s">
        <v>757</v>
      </c>
      <c r="I503" s="851">
        <v>62</v>
      </c>
      <c r="J503" s="851">
        <v>328</v>
      </c>
      <c r="K503" s="717" t="s">
        <v>3638</v>
      </c>
      <c r="L503" s="718" t="s">
        <v>3637</v>
      </c>
      <c r="M503" s="851"/>
      <c r="N503" s="851"/>
      <c r="O503" s="851"/>
      <c r="P503" s="851"/>
      <c r="Q503" s="864"/>
      <c r="R503" s="851">
        <v>4</v>
      </c>
      <c r="S503" s="851">
        <v>5</v>
      </c>
      <c r="T503" s="523">
        <v>0</v>
      </c>
      <c r="U503" s="851"/>
      <c r="V503" s="851"/>
      <c r="W503" s="851"/>
      <c r="X503" s="851">
        <v>0</v>
      </c>
      <c r="Y503" s="851"/>
      <c r="Z503" s="851"/>
      <c r="AA503" s="851"/>
      <c r="AB503" s="851"/>
      <c r="AC503" s="851"/>
      <c r="AD503" s="851">
        <v>0</v>
      </c>
      <c r="AE503" s="851"/>
      <c r="AF503" s="851">
        <v>0</v>
      </c>
      <c r="AG503" s="851"/>
      <c r="AH503" s="851"/>
      <c r="AI503" s="851"/>
      <c r="AJ503" s="851"/>
      <c r="AK503" s="851"/>
      <c r="AL503" s="851"/>
      <c r="AM503" s="851"/>
      <c r="AN503" s="851"/>
      <c r="AO503" s="865"/>
      <c r="AP503" s="851">
        <v>10</v>
      </c>
      <c r="AQ503" s="851">
        <v>0</v>
      </c>
      <c r="AR503" s="866"/>
      <c r="AS503" s="851"/>
      <c r="AT503" s="851"/>
      <c r="AU503" s="851"/>
      <c r="AV503" s="851"/>
      <c r="AW503" s="851"/>
      <c r="AX503" s="862" t="s">
        <v>43</v>
      </c>
      <c r="AY503" s="865" t="s">
        <v>140</v>
      </c>
      <c r="AZ503" s="851">
        <v>0</v>
      </c>
      <c r="BA503" s="851">
        <v>0</v>
      </c>
      <c r="BB503" s="851"/>
      <c r="BC503" s="523"/>
      <c r="BD503" s="523"/>
      <c r="BE503" s="862"/>
      <c r="BF503" s="851">
        <v>2</v>
      </c>
      <c r="BG503" s="851"/>
      <c r="BH503" s="851">
        <v>0</v>
      </c>
      <c r="BI503" s="851">
        <v>2</v>
      </c>
      <c r="BJ503" s="851"/>
      <c r="BK503" s="851">
        <v>0</v>
      </c>
      <c r="BL503" s="851">
        <v>1</v>
      </c>
      <c r="BM503" s="851"/>
      <c r="BN503" s="851"/>
      <c r="BO503" s="862" t="s">
        <v>139</v>
      </c>
      <c r="BP503" s="867"/>
      <c r="BQ503" s="866"/>
      <c r="BR503" s="862"/>
      <c r="BS503" s="472"/>
      <c r="BT503" s="472"/>
      <c r="BU503" s="474"/>
      <c r="BV503" s="472"/>
      <c r="BW503" s="523"/>
      <c r="BX503" s="523"/>
      <c r="BY503" s="523"/>
      <c r="BZ503" s="868" t="str">
        <f>IFERROR(WWWW[[#This Row],['#_Water sources passed]]/WWWW[[#This Row],['#_Water sources tested for fecal coliform ]],"no test")</f>
        <v>no test</v>
      </c>
      <c r="CA503" s="866" t="str">
        <f>IFERROR(WWWW[[#This Row],['#_Household passed]]/WWWW[[#This Row],['#_Household water samples tested for fecal coliform]],"no test")</f>
        <v>no test</v>
      </c>
      <c r="CB503" s="867" t="str">
        <f>IF(AND(WWWW[[#This Row],[% of water sources passed]]="no test",WWWW[[#This Row],[% Household passed]]="no test"),"No Test","Tested")</f>
        <v>No Test</v>
      </c>
      <c r="CC503" s="867">
        <f>WWWW[[#This Row],['#_Constructed/existing protected hand dug well]]-WWWW[[#This Row],['#_Non-functional protected hand dug well]]</f>
        <v>0</v>
      </c>
      <c r="CD503" s="867">
        <f>(WWWW[[#This Row],['#_Constructed/Existing tube wells/boreholes/handpumps_WASH_agency]]+WWWW[[#This Row],['#_Non-Cluster partner water tube-wells/boreholes/handpumps]])-WWWW[[#This Row],['#_Non-functional tube wells/boreholes/handpumps]]</f>
        <v>0</v>
      </c>
      <c r="CE503" s="867">
        <f>WWWW[[#This Row],['#_Constructed/Existingwater storage tank with gravity fed reticulation system]]-WWWW[[#This Row],['#_Non-functional storage tank gravity fed reticulation system]]</f>
        <v>0</v>
      </c>
      <c r="CF503" s="867">
        <f>(WWWW[[#This Row],['#_Water_Liters_supplied_by_Water boating or water trucking]]/90)/15</f>
        <v>0</v>
      </c>
      <c r="CG503" s="867">
        <f>WWWW[[#This Row],['#_Water_Liters_from_Constructed/Existing water distribution system from river or natural spring]]/90/15</f>
        <v>0</v>
      </c>
      <c r="CH503" s="473">
        <f>WWWW[[#This Row],['#_of water points in TLS/CFS /THF]]*500</f>
        <v>0</v>
      </c>
      <c r="CI50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0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03" s="866">
        <f>IF(WWWW[[#This Row],[Location Type 1]]="Village",WWWW[[#This Row],[Access to safe drinking water for Village]],WWWW[[#This Row],[Access to safe drinking water for Camp]])</f>
        <v>0</v>
      </c>
      <c r="CL503" s="864">
        <f>WWWW[[#This Row],[%Equitable and continuous access to sufficient quantity of safe drinking water]]*WWWW[[#This Row],[Total PoP ]]</f>
        <v>0</v>
      </c>
      <c r="CM503" s="866">
        <f>IF((WWWW[[#This Row],['#_Constructed/Existing protected/fenced ponds]]*250)/WWWW[[#This Row],[Total PoP ]]&gt;1,1,(WWWW[[#This Row],['#_Constructed/Existing protected/fenced ponds]]*250)/WWWW[[#This Row],[Total PoP ]])</f>
        <v>0</v>
      </c>
      <c r="CN503" s="864">
        <f>WWWW[[#This Row],[% Access to unimproved water points]]*WWWW[[#This Row],[Total PoP ]]</f>
        <v>0</v>
      </c>
      <c r="CO50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0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03" s="864">
        <f>WWWW[[#This Row],[HRP1]]/500</f>
        <v>0</v>
      </c>
      <c r="CR503" s="869">
        <f>1-WWWW[[#This Row],[% Equitable and continuous access to sufficient quantity of domestic water]]</f>
        <v>1</v>
      </c>
      <c r="CS503" s="864">
        <f>WWWW[[#This Row],[%equitable and continuous access to sufficient quantity of safe drinking and domestic water''s GAP]]*WWWW[[#This Row],[Total PoP ]]</f>
        <v>328</v>
      </c>
      <c r="CT503" s="867">
        <f>IF(WWWW[[#This Row],[Total required water points]]-WWWW[[#This Row],['#Water points coverage]]&lt;0,0,WWWW[[#This Row],[Total required water points]]-WWWW[[#This Row],['#Water points coverage]])</f>
        <v>1</v>
      </c>
      <c r="CU503" s="867">
        <f>ROUND(IF(WWWW[[#This Row],[Total PoP ]]&lt;500,1,WWWW[[#This Row],[Total PoP ]]/500),0)</f>
        <v>1</v>
      </c>
      <c r="CV503" s="867">
        <f>(WWWW[[#This Row],['#_Constructed latrines_by_WASHAgencies]]+WWWW[[#This Row],['#_Non Cluster partner latrines]])-WWWW[[#This Row],['#_Non-functional latrines]]</f>
        <v>10</v>
      </c>
      <c r="CW503" s="804">
        <f>WWWW[[#This Row],[HRP2]]/WWWW[[#This Row],[Total PoP ]]</f>
        <v>0.6097560975609756</v>
      </c>
      <c r="CX50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50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3" s="473">
        <f>IF(WWWW[[#This Row],['# of functional latrines in THF supported by WASH partners during the reporting period2]]="",0,WWWW[[#This Row],['# of functional latrines in THF supported by WASH partners during the reporting period2]]*50)</f>
        <v>0</v>
      </c>
      <c r="DB503" s="473">
        <f>WWWW[[#This Row],['# students access to functioning school latrines_HRP5]]+WWWW[[#This Row],['# People access to functioning latrines in THF_HRP5]]</f>
        <v>0</v>
      </c>
      <c r="DC503" s="867">
        <f>ROUND(IF(WWWW[[#This Row],[Location Type 1]]="camp",WWWW[[#This Row],[Total PoP ]]/20,IF(WWWW[[#This Row],[Location Type 1]]="Temporary Location",WWWW[[#This Row],[Total PoP ]]/50,(WWWW[[#This Row],[Total PoP ]]/6))),0)</f>
        <v>16</v>
      </c>
      <c r="DD503" s="867">
        <f>IF(WWWW[[#This Row],[Total required Latrines]]-(WWWW[[#This Row],['#_Constructed latrines_by_WASHAgencies]]+WWWW[[#This Row],['#_Non Cluster partner latrines]])&lt;0,0,WWWW[[#This Row],[Total required Latrines]]-(WWWW[[#This Row],['#_Constructed latrines_by_WASHAgencies]]+WWWW[[#This Row],['#_Non Cluster partner latrines]]))</f>
        <v>6</v>
      </c>
      <c r="DE503" s="869">
        <f>1-WWWW[[#This Row],[% people access to functioning Latrine]]</f>
        <v>0.3902439024390244</v>
      </c>
      <c r="DF503" s="868">
        <f>IF(OR(WWWW[[#This Row],['#_Non-functional latrines]]="",WWWW[[#This Row],['#_Non-functional latrines]]=0),0,WWWW[[#This Row],['#_Non-functional latrines]]/(WWWW[[#This Row],['#_Constructed latrines_by_WASHAgencies]]+WWWW[[#This Row],['#_Non Cluster partner latrines]]))</f>
        <v>0</v>
      </c>
      <c r="DG503" s="864">
        <f>IF(500*(WWWW[[#This Row],['#_male hygiene promoters]]+WWWW[[#This Row],['#_female hygiene promoters]])&gt;WWWW[[#This Row],[Total PoP ]],WWWW[[#This Row],[Total PoP ]],500*(WWWW[[#This Row],['#_male hygiene promoters]]+WWWW[[#This Row],['#_female hygiene promoters]]))</f>
        <v>328</v>
      </c>
      <c r="DH50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0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3" s="867">
        <f>IF(WWWW[[#This Row],['# People with access to soap]]&gt;WWWW[[#This Row],['# People with access to Sanity Pads]],WWWW[[#This Row],['# People with access to soap]],WWWW[[#This Row],['# People with access to Sanity Pads]])</f>
        <v>0</v>
      </c>
      <c r="DK503" s="867">
        <f>IF(WWWW[[#This Row],['# people reached by regular dedicated hygiene promotion_5]]&gt;WWWW[[#This Row],['# People received regular supply of hygiene items_6]],WWWW[[#This Row],['# people reached by regular dedicated hygiene promotion_5]],WWWW[[#This Row],['# People received regular supply of hygiene items_6]])</f>
        <v>328</v>
      </c>
      <c r="DL503" s="869">
        <f>IF(WWWW[[#This Row],[HRP3]]/WWWW[[#This Row],[Total PoP ]]&gt;1,1,WWWW[[#This Row],[HRP3]]/WWWW[[#This Row],[Total PoP ]])</f>
        <v>1</v>
      </c>
      <c r="DM503" s="868">
        <f>1-WWWW[[#This Row],[Hygiene Coverage%]]</f>
        <v>0</v>
      </c>
      <c r="DN503" s="866">
        <f>WWWW[[#This Row],['# people reached by regular dedicated hygiene promotion_5]]/WWWW[[#This Row],[Total PoP ]]</f>
        <v>1</v>
      </c>
      <c r="DO50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0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3" s="867">
        <f>WWWW[[#This Row],['#_Constructed/Existing hand washing stations]]-WWWW[[#This Row],['#_Non-Functional_hand_washing_stations]]</f>
        <v>2</v>
      </c>
      <c r="DR503" s="864">
        <f>IF(WWWW[[#This Row],['# Functional hand washing stations during reporting period]]*20&gt;WWWW[[#This Row],[Total HH]],WWWW[[#This Row],[Total HH]],WWWW[[#This Row],['# Functional hand washing stations during reporting period]]*20)</f>
        <v>40</v>
      </c>
      <c r="DS503" s="864">
        <f>IF(WWWW[[#This Row],[Is sufficient soap available for TLS? (Yes/No)]]="yes",WWWW[[#This Row],['#_Constructed/Existing hand washing stations at TLS]],0)</f>
        <v>0</v>
      </c>
      <c r="DT503" s="479">
        <f>IF(WWWW[[#This Row],['# Functional hand washing stations during reporting period]]*100&gt;WWWW[[#This Row],[Total PoP ]],WWWW[[#This Row],[Total PoP ]],WWWW[[#This Row],['# Functional hand washing stations during reporting period]]*100)</f>
        <v>200</v>
      </c>
      <c r="DU503" s="479" t="str">
        <f>IF(OR(WWWW[[#This Row],['#_students at TLS_CFS]]="",WWWW[[#This Row],['#_students at TLS_CFS]]=0),"No","Yes")</f>
        <v>No</v>
      </c>
      <c r="DV50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3" s="862">
        <f>VLOOKUP(WWWW[[#This Row],[Site Name]],SiteDB6[[Site Name]:[CCCM Management]],6,FALSE)</f>
        <v>0</v>
      </c>
      <c r="DZ503" s="862" t="str">
        <f>VLOOKUP(WWWW[[#This Row],[Site Name]],SiteDB6[[Site Name]:[CCCM Focal Agency]],7,FALSE)</f>
        <v>uncovered</v>
      </c>
      <c r="EA503" s="862" t="str">
        <f>VLOOKUP(WWWW[[#This Row],[Site Name]],SiteDB6[[Site Name]:[Location Type 1]],9,FALSE)</f>
        <v>Camp</v>
      </c>
      <c r="EB503" s="862" t="str">
        <f>VLOOKUP(WWWW[[#This Row],[Site Name]],SiteDB6[[Site Name]:[Type of Accommodation]],10,FALSE)</f>
        <v>Camp like setting</v>
      </c>
      <c r="EC503" s="862" t="str">
        <f>VLOOKUP(WWWW[[#This Row],[Site Name]],SiteDB6[[Site Name]:[Ethnic or GCA/NGCA]],11,FALSE)</f>
        <v>GCA</v>
      </c>
      <c r="ED503" s="862">
        <f>VLOOKUP(WWWW[[#This Row],[Site Name]],SiteDB6[[Site Name]:[Lat]],12,FALSE)</f>
        <v>23.611999999999998</v>
      </c>
      <c r="EE503" s="862">
        <f>VLOOKUP(WWWW[[#This Row],[Site Name]],SiteDB6[[Site Name]:[Long]],13,FALSE)</f>
        <v>97.506</v>
      </c>
      <c r="EF503" s="862" t="str">
        <f>VLOOKUP(WWWW[[#This Row],[Site Name]],SiteDB6[[Site Name]:[Pcode]],3,FALSE)</f>
        <v>MMR015CMP224</v>
      </c>
      <c r="EG503" s="865" t="str">
        <f t="shared" si="14"/>
        <v>Covered</v>
      </c>
      <c r="EH503" s="865" t="str">
        <f>VLOOKUP(WWWW[[#This Row],[Site Name]],Site_DB!$C$389:$D$1120,2,FALSE)</f>
        <v>cccm_2019OCT</v>
      </c>
    </row>
    <row r="504" spans="1:138">
      <c r="A504" s="860" t="s">
        <v>3263</v>
      </c>
      <c r="B504" s="860" t="s">
        <v>195</v>
      </c>
      <c r="C504" s="861" t="s">
        <v>195</v>
      </c>
      <c r="D504" s="861" t="s">
        <v>3364</v>
      </c>
      <c r="E504" s="861" t="s">
        <v>711</v>
      </c>
      <c r="F504" s="861" t="s">
        <v>715</v>
      </c>
      <c r="G504" s="721" t="str">
        <f>VLOOKUP(WWWW[[#This Row],[Site Name]],SiteDB6[[Site Name]:[Location Type]],8,FALSE)</f>
        <v>Camp</v>
      </c>
      <c r="H504" s="861" t="s">
        <v>741</v>
      </c>
      <c r="I504" s="851">
        <v>34</v>
      </c>
      <c r="J504" s="851">
        <v>180</v>
      </c>
      <c r="K504" s="407" t="s">
        <v>3634</v>
      </c>
      <c r="L504" s="56" t="s">
        <v>3632</v>
      </c>
      <c r="M504" s="851"/>
      <c r="N504" s="851"/>
      <c r="O504" s="851"/>
      <c r="P504" s="851"/>
      <c r="Q504" s="864"/>
      <c r="R504" s="851">
        <v>5</v>
      </c>
      <c r="S504" s="851">
        <v>4</v>
      </c>
      <c r="T504" s="523">
        <v>0</v>
      </c>
      <c r="U504" s="851"/>
      <c r="V504" s="851"/>
      <c r="W504" s="851">
        <v>0</v>
      </c>
      <c r="X504" s="851">
        <v>0</v>
      </c>
      <c r="Y504" s="851"/>
      <c r="Z504" s="851"/>
      <c r="AA504" s="851"/>
      <c r="AB504" s="851"/>
      <c r="AC504" s="851"/>
      <c r="AD504" s="851">
        <v>0</v>
      </c>
      <c r="AE504" s="851"/>
      <c r="AF504" s="851">
        <v>0</v>
      </c>
      <c r="AG504" s="851"/>
      <c r="AH504" s="851"/>
      <c r="AI504" s="851"/>
      <c r="AJ504" s="851"/>
      <c r="AK504" s="851"/>
      <c r="AL504" s="851"/>
      <c r="AM504" s="851"/>
      <c r="AN504" s="851"/>
      <c r="AO504" s="865"/>
      <c r="AP504" s="851">
        <v>34</v>
      </c>
      <c r="AQ504" s="851">
        <v>0</v>
      </c>
      <c r="AR504" s="866"/>
      <c r="AS504" s="851"/>
      <c r="AT504" s="851"/>
      <c r="AU504" s="851"/>
      <c r="AV504" s="851"/>
      <c r="AW504" s="851"/>
      <c r="AX504" s="862" t="s">
        <v>43</v>
      </c>
      <c r="AY504" s="865" t="s">
        <v>140</v>
      </c>
      <c r="AZ504" s="851">
        <v>0</v>
      </c>
      <c r="BA504" s="851">
        <v>0</v>
      </c>
      <c r="BB504" s="851">
        <v>2</v>
      </c>
      <c r="BC504" s="523"/>
      <c r="BD504" s="523"/>
      <c r="BE504" s="862"/>
      <c r="BF504" s="851">
        <v>2</v>
      </c>
      <c r="BG504" s="851"/>
      <c r="BH504" s="851">
        <v>0</v>
      </c>
      <c r="BI504" s="851">
        <v>2</v>
      </c>
      <c r="BJ504" s="851"/>
      <c r="BK504" s="851">
        <v>0</v>
      </c>
      <c r="BL504" s="851">
        <v>1</v>
      </c>
      <c r="BM504" s="851">
        <v>34</v>
      </c>
      <c r="BN504" s="851"/>
      <c r="BO504" s="862" t="s">
        <v>139</v>
      </c>
      <c r="BP504" s="867"/>
      <c r="BQ504" s="866"/>
      <c r="BR504" s="862"/>
      <c r="BS504" s="472"/>
      <c r="BT504" s="472"/>
      <c r="BU504" s="474"/>
      <c r="BV504" s="472"/>
      <c r="BW504" s="523"/>
      <c r="BX504" s="523"/>
      <c r="BY504" s="523"/>
      <c r="BZ504" s="868" t="str">
        <f>IFERROR(WWWW[[#This Row],['#_Water sources passed]]/WWWW[[#This Row],['#_Water sources tested for fecal coliform ]],"no test")</f>
        <v>no test</v>
      </c>
      <c r="CA504" s="866" t="str">
        <f>IFERROR(WWWW[[#This Row],['#_Household passed]]/WWWW[[#This Row],['#_Household water samples tested for fecal coliform]],"no test")</f>
        <v>no test</v>
      </c>
      <c r="CB504" s="867" t="str">
        <f>IF(AND(WWWW[[#This Row],[% of water sources passed]]="no test",WWWW[[#This Row],[% Household passed]]="no test"),"No Test","Tested")</f>
        <v>No Test</v>
      </c>
      <c r="CC504" s="867">
        <f>WWWW[[#This Row],['#_Constructed/existing protected hand dug well]]-WWWW[[#This Row],['#_Non-functional protected hand dug well]]</f>
        <v>0</v>
      </c>
      <c r="CD504" s="867">
        <f>(WWWW[[#This Row],['#_Constructed/Existing tube wells/boreholes/handpumps_WASH_agency]]+WWWW[[#This Row],['#_Non-Cluster partner water tube-wells/boreholes/handpumps]])-WWWW[[#This Row],['#_Non-functional tube wells/boreholes/handpumps]]</f>
        <v>0</v>
      </c>
      <c r="CE504" s="867">
        <f>WWWW[[#This Row],['#_Constructed/Existingwater storage tank with gravity fed reticulation system]]-WWWW[[#This Row],['#_Non-functional storage tank gravity fed reticulation system]]</f>
        <v>0</v>
      </c>
      <c r="CF504" s="867">
        <f>(WWWW[[#This Row],['#_Water_Liters_supplied_by_Water boating or water trucking]]/90)/15</f>
        <v>0</v>
      </c>
      <c r="CG504" s="867">
        <f>WWWW[[#This Row],['#_Water_Liters_from_Constructed/Existing water distribution system from river or natural spring]]/90/15</f>
        <v>0</v>
      </c>
      <c r="CH504" s="473">
        <f>WWWW[[#This Row],['#_of water points in TLS/CFS /THF]]*500</f>
        <v>0</v>
      </c>
      <c r="CI50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0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04" s="866">
        <f>IF(WWWW[[#This Row],[Location Type 1]]="Village",WWWW[[#This Row],[Access to safe drinking water for Village]],WWWW[[#This Row],[Access to safe drinking water for Camp]])</f>
        <v>0</v>
      </c>
      <c r="CL504" s="864">
        <f>WWWW[[#This Row],[%Equitable and continuous access to sufficient quantity of safe drinking water]]*WWWW[[#This Row],[Total PoP ]]</f>
        <v>0</v>
      </c>
      <c r="CM504" s="866">
        <f>IF((WWWW[[#This Row],['#_Constructed/Existing protected/fenced ponds]]*250)/WWWW[[#This Row],[Total PoP ]]&gt;1,1,(WWWW[[#This Row],['#_Constructed/Existing protected/fenced ponds]]*250)/WWWW[[#This Row],[Total PoP ]])</f>
        <v>0</v>
      </c>
      <c r="CN504" s="864">
        <f>WWWW[[#This Row],[% Access to unimproved water points]]*WWWW[[#This Row],[Total PoP ]]</f>
        <v>0</v>
      </c>
      <c r="CO50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0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04" s="864">
        <f>WWWW[[#This Row],[HRP1]]/500</f>
        <v>0</v>
      </c>
      <c r="CR504" s="869">
        <f>1-WWWW[[#This Row],[% Equitable and continuous access to sufficient quantity of domestic water]]</f>
        <v>1</v>
      </c>
      <c r="CS504" s="864">
        <f>WWWW[[#This Row],[%equitable and continuous access to sufficient quantity of safe drinking and domestic water''s GAP]]*WWWW[[#This Row],[Total PoP ]]</f>
        <v>180</v>
      </c>
      <c r="CT504" s="867">
        <f>IF(WWWW[[#This Row],[Total required water points]]-WWWW[[#This Row],['#Water points coverage]]&lt;0,0,WWWW[[#This Row],[Total required water points]]-WWWW[[#This Row],['#Water points coverage]])</f>
        <v>1</v>
      </c>
      <c r="CU504" s="867">
        <f>ROUND(IF(WWWW[[#This Row],[Total PoP ]]&lt;500,1,WWWW[[#This Row],[Total PoP ]]/500),0)</f>
        <v>1</v>
      </c>
      <c r="CV504" s="867">
        <f>(WWWW[[#This Row],['#_Constructed latrines_by_WASHAgencies]]+WWWW[[#This Row],['#_Non Cluster partner latrines]])-WWWW[[#This Row],['#_Non-functional latrines]]</f>
        <v>34</v>
      </c>
      <c r="CW504" s="804">
        <f>WWWW[[#This Row],[HRP2]]/WWWW[[#This Row],[Total PoP ]]</f>
        <v>1</v>
      </c>
      <c r="CX50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50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4" s="473">
        <f>IF(WWWW[[#This Row],['# of functional latrines in THF supported by WASH partners during the reporting period2]]="",0,WWWW[[#This Row],['# of functional latrines in THF supported by WASH partners during the reporting period2]]*50)</f>
        <v>0</v>
      </c>
      <c r="DB504" s="473">
        <f>WWWW[[#This Row],['# students access to functioning school latrines_HRP5]]+WWWW[[#This Row],['# People access to functioning latrines in THF_HRP5]]</f>
        <v>0</v>
      </c>
      <c r="DC504" s="867">
        <f>ROUND(IF(WWWW[[#This Row],[Location Type 1]]="camp",WWWW[[#This Row],[Total PoP ]]/20,IF(WWWW[[#This Row],[Location Type 1]]="Temporary Location",WWWW[[#This Row],[Total PoP ]]/50,(WWWW[[#This Row],[Total PoP ]]/6))),0)</f>
        <v>9</v>
      </c>
      <c r="DD504" s="867">
        <f>IF(WWWW[[#This Row],[Total required Latrines]]-(WWWW[[#This Row],['#_Constructed latrines_by_WASHAgencies]]+WWWW[[#This Row],['#_Non Cluster partner latrines]])&lt;0,0,WWWW[[#This Row],[Total required Latrines]]-(WWWW[[#This Row],['#_Constructed latrines_by_WASHAgencies]]+WWWW[[#This Row],['#_Non Cluster partner latrines]]))</f>
        <v>0</v>
      </c>
      <c r="DE504" s="869">
        <f>1-WWWW[[#This Row],[% people access to functioning Latrine]]</f>
        <v>0</v>
      </c>
      <c r="DF504" s="868">
        <f>IF(OR(WWWW[[#This Row],['#_Non-functional latrines]]="",WWWW[[#This Row],['#_Non-functional latrines]]=0),0,WWWW[[#This Row],['#_Non-functional latrines]]/(WWWW[[#This Row],['#_Constructed latrines_by_WASHAgencies]]+WWWW[[#This Row],['#_Non Cluster partner latrines]]))</f>
        <v>0</v>
      </c>
      <c r="DG504" s="864">
        <f>IF(500*(WWWW[[#This Row],['#_male hygiene promoters]]+WWWW[[#This Row],['#_female hygiene promoters]])&gt;WWWW[[#This Row],[Total PoP ]],WWWW[[#This Row],[Total PoP ]],500*(WWWW[[#This Row],['#_male hygiene promoters]]+WWWW[[#This Row],['#_female hygiene promoters]]))</f>
        <v>180</v>
      </c>
      <c r="DH50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I50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4" s="867">
        <f>IF(WWWW[[#This Row],['# People with access to soap]]&gt;WWWW[[#This Row],['# People with access to Sanity Pads]],WWWW[[#This Row],['# People with access to soap]],WWWW[[#This Row],['# People with access to Sanity Pads]])</f>
        <v>180</v>
      </c>
      <c r="DK504" s="867">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L504" s="869">
        <f>IF(WWWW[[#This Row],[HRP3]]/WWWW[[#This Row],[Total PoP ]]&gt;1,1,WWWW[[#This Row],[HRP3]]/WWWW[[#This Row],[Total PoP ]])</f>
        <v>1</v>
      </c>
      <c r="DM504" s="868">
        <f>1-WWWW[[#This Row],[Hygiene Coverage%]]</f>
        <v>0</v>
      </c>
      <c r="DN504" s="866">
        <f>WWWW[[#This Row],['# people reached by regular dedicated hygiene promotion_5]]/WWWW[[#This Row],[Total PoP ]]</f>
        <v>1</v>
      </c>
      <c r="DO50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4" s="867">
        <f>WWWW[[#This Row],['#_Constructed/Existing hand washing stations]]-WWWW[[#This Row],['#_Non-Functional_hand_washing_stations]]</f>
        <v>2</v>
      </c>
      <c r="DR504" s="864">
        <f>IF(WWWW[[#This Row],['# Functional hand washing stations during reporting period]]*20&gt;WWWW[[#This Row],[Total HH]],WWWW[[#This Row],[Total HH]],WWWW[[#This Row],['# Functional hand washing stations during reporting period]]*20)</f>
        <v>34</v>
      </c>
      <c r="DS504" s="864">
        <f>IF(WWWW[[#This Row],[Is sufficient soap available for TLS? (Yes/No)]]="yes",WWWW[[#This Row],['#_Constructed/Existing hand washing stations at TLS]],0)</f>
        <v>0</v>
      </c>
      <c r="DT504" s="479">
        <f>IF(WWWW[[#This Row],['# Functional hand washing stations during reporting period]]*100&gt;WWWW[[#This Row],[Total PoP ]],WWWW[[#This Row],[Total PoP ]],WWWW[[#This Row],['# Functional hand washing stations during reporting period]]*100)</f>
        <v>180</v>
      </c>
      <c r="DU504" s="479" t="str">
        <f>IF(OR(WWWW[[#This Row],['#_students at TLS_CFS]]="",WWWW[[#This Row],['#_students at TLS_CFS]]=0),"No","Yes")</f>
        <v>No</v>
      </c>
      <c r="DV50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4" s="862">
        <f>VLOOKUP(WWWW[[#This Row],[Site Name]],SiteDB6[[Site Name]:[CCCM Management]],6,FALSE)</f>
        <v>0</v>
      </c>
      <c r="DZ504" s="862" t="str">
        <f>VLOOKUP(WWWW[[#This Row],[Site Name]],SiteDB6[[Site Name]:[CCCM Focal Agency]],7,FALSE)</f>
        <v>uncovered</v>
      </c>
      <c r="EA504" s="862" t="str">
        <f>VLOOKUP(WWWW[[#This Row],[Site Name]],SiteDB6[[Site Name]:[Location Type 1]],9,FALSE)</f>
        <v>Camp</v>
      </c>
      <c r="EB504" s="862" t="str">
        <f>VLOOKUP(WWWW[[#This Row],[Site Name]],SiteDB6[[Site Name]:[Type of Accommodation]],10,FALSE)</f>
        <v>Camp like setting</v>
      </c>
      <c r="EC504" s="862" t="str">
        <f>VLOOKUP(WWWW[[#This Row],[Site Name]],SiteDB6[[Site Name]:[Ethnic or GCA/NGCA]],11,FALSE)</f>
        <v>GCA</v>
      </c>
      <c r="ED504" s="862">
        <f>VLOOKUP(WWWW[[#This Row],[Site Name]],SiteDB6[[Site Name]:[Lat]],12,FALSE)</f>
        <v>23.850999999999999</v>
      </c>
      <c r="EE504" s="862">
        <f>VLOOKUP(WWWW[[#This Row],[Site Name]],SiteDB6[[Site Name]:[Long]],13,FALSE)</f>
        <v>98.337999999999994</v>
      </c>
      <c r="EF504" s="862" t="str">
        <f>VLOOKUP(WWWW[[#This Row],[Site Name]],SiteDB6[[Site Name]:[Pcode]],3,FALSE)</f>
        <v>MMR015CMP227</v>
      </c>
      <c r="EG504" s="865" t="str">
        <f t="shared" si="14"/>
        <v>Covered</v>
      </c>
      <c r="EH504" s="865" t="str">
        <f>VLOOKUP(WWWW[[#This Row],[Site Name]],Site_DB!$C$389:$D$1120,2,FALSE)</f>
        <v>cccm_2019OCT</v>
      </c>
    </row>
    <row r="505" spans="1:138">
      <c r="A505" s="860" t="s">
        <v>3263</v>
      </c>
      <c r="B505" s="860" t="s">
        <v>195</v>
      </c>
      <c r="C505" s="861" t="s">
        <v>195</v>
      </c>
      <c r="D505" s="861" t="s">
        <v>3364</v>
      </c>
      <c r="E505" s="861" t="s">
        <v>711</v>
      </c>
      <c r="F505" s="861" t="s">
        <v>715</v>
      </c>
      <c r="G505" s="721" t="str">
        <f>VLOOKUP(WWWW[[#This Row],[Site Name]],SiteDB6[[Site Name]:[Location Type]],8,FALSE)</f>
        <v>Camp</v>
      </c>
      <c r="H505" s="861" t="s">
        <v>724</v>
      </c>
      <c r="I505" s="851">
        <v>44</v>
      </c>
      <c r="J505" s="851">
        <v>264</v>
      </c>
      <c r="K505" s="407" t="s">
        <v>3634</v>
      </c>
      <c r="L505" s="56" t="s">
        <v>3632</v>
      </c>
      <c r="M505" s="851"/>
      <c r="N505" s="851">
        <v>1</v>
      </c>
      <c r="O505" s="851"/>
      <c r="P505" s="851"/>
      <c r="Q505" s="864" t="s">
        <v>43</v>
      </c>
      <c r="R505" s="851"/>
      <c r="S505" s="851"/>
      <c r="T505" s="523"/>
      <c r="U505" s="851"/>
      <c r="V505" s="851"/>
      <c r="W505" s="851"/>
      <c r="X505" s="851"/>
      <c r="Y505" s="851"/>
      <c r="Z505" s="851"/>
      <c r="AA505" s="851"/>
      <c r="AB505" s="851"/>
      <c r="AC505" s="851"/>
      <c r="AD505" s="851"/>
      <c r="AE505" s="851"/>
      <c r="AF505" s="851"/>
      <c r="AG505" s="851"/>
      <c r="AH505" s="851"/>
      <c r="AI505" s="851"/>
      <c r="AJ505" s="851"/>
      <c r="AK505" s="851"/>
      <c r="AL505" s="851"/>
      <c r="AM505" s="851"/>
      <c r="AN505" s="851"/>
      <c r="AO505" s="865"/>
      <c r="AP505" s="851">
        <v>6</v>
      </c>
      <c r="AQ505" s="851"/>
      <c r="AR505" s="866"/>
      <c r="AS505" s="851"/>
      <c r="AT505" s="851"/>
      <c r="AU505" s="851"/>
      <c r="AV505" s="851"/>
      <c r="AW505" s="851"/>
      <c r="AX505" s="862" t="s">
        <v>43</v>
      </c>
      <c r="AY505" s="865" t="s">
        <v>139</v>
      </c>
      <c r="AZ505" s="851"/>
      <c r="BA505" s="851"/>
      <c r="BB505" s="851"/>
      <c r="BC505" s="523"/>
      <c r="BD505" s="523"/>
      <c r="BE505" s="862"/>
      <c r="BF505" s="851"/>
      <c r="BG505" s="851"/>
      <c r="BH505" s="851"/>
      <c r="BI505" s="851"/>
      <c r="BJ505" s="851"/>
      <c r="BK505" s="851"/>
      <c r="BL505" s="851"/>
      <c r="BM505" s="851">
        <v>44</v>
      </c>
      <c r="BN505" s="851"/>
      <c r="BO505" s="862" t="s">
        <v>139</v>
      </c>
      <c r="BP505" s="867"/>
      <c r="BQ505" s="866"/>
      <c r="BR505" s="862"/>
      <c r="BS505" s="472"/>
      <c r="BT505" s="472"/>
      <c r="BU505" s="474"/>
      <c r="BV505" s="472"/>
      <c r="BW505" s="523"/>
      <c r="BX505" s="523"/>
      <c r="BY505" s="523"/>
      <c r="BZ505" s="868" t="str">
        <f>IFERROR(WWWW[[#This Row],['#_Water sources passed]]/WWWW[[#This Row],['#_Water sources tested for fecal coliform ]],"no test")</f>
        <v>no test</v>
      </c>
      <c r="CA505" s="866" t="str">
        <f>IFERROR(WWWW[[#This Row],['#_Household passed]]/WWWW[[#This Row],['#_Household water samples tested for fecal coliform]],"no test")</f>
        <v>no test</v>
      </c>
      <c r="CB505" s="867" t="str">
        <f>IF(AND(WWWW[[#This Row],[% of water sources passed]]="no test",WWWW[[#This Row],[% Household passed]]="no test"),"No Test","Tested")</f>
        <v>No Test</v>
      </c>
      <c r="CC505" s="867">
        <f>WWWW[[#This Row],['#_Constructed/existing protected hand dug well]]-WWWW[[#This Row],['#_Non-functional protected hand dug well]]</f>
        <v>0</v>
      </c>
      <c r="CD505" s="867">
        <f>(WWWW[[#This Row],['#_Constructed/Existing tube wells/boreholes/handpumps_WASH_agency]]+WWWW[[#This Row],['#_Non-Cluster partner water tube-wells/boreholes/handpumps]])-WWWW[[#This Row],['#_Non-functional tube wells/boreholes/handpumps]]</f>
        <v>0</v>
      </c>
      <c r="CE505" s="867">
        <f>WWWW[[#This Row],['#_Constructed/Existingwater storage tank with gravity fed reticulation system]]-WWWW[[#This Row],['#_Non-functional storage tank gravity fed reticulation system]]</f>
        <v>0</v>
      </c>
      <c r="CF505" s="867">
        <f>(WWWW[[#This Row],['#_Water_Liters_supplied_by_Water boating or water trucking]]/90)/15</f>
        <v>0</v>
      </c>
      <c r="CG505" s="867">
        <f>WWWW[[#This Row],['#_Water_Liters_from_Constructed/Existing water distribution system from river or natural spring]]/90/15</f>
        <v>0</v>
      </c>
      <c r="CH505" s="473">
        <f>WWWW[[#This Row],['#_of water points in TLS/CFS /THF]]*500</f>
        <v>0</v>
      </c>
      <c r="CI50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0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05" s="866">
        <f>IF(WWWW[[#This Row],[Location Type 1]]="Village",WWWW[[#This Row],[Access to safe drinking water for Village]],WWWW[[#This Row],[Access to safe drinking water for Camp]])</f>
        <v>0</v>
      </c>
      <c r="CL505" s="864">
        <f>WWWW[[#This Row],[%Equitable and continuous access to sufficient quantity of safe drinking water]]*WWWW[[#This Row],[Total PoP ]]</f>
        <v>0</v>
      </c>
      <c r="CM505" s="866">
        <f>IF((WWWW[[#This Row],['#_Constructed/Existing protected/fenced ponds]]*250)/WWWW[[#This Row],[Total PoP ]]&gt;1,1,(WWWW[[#This Row],['#_Constructed/Existing protected/fenced ponds]]*250)/WWWW[[#This Row],[Total PoP ]])</f>
        <v>0</v>
      </c>
      <c r="CN505" s="864">
        <f>WWWW[[#This Row],[% Access to unimproved water points]]*WWWW[[#This Row],[Total PoP ]]</f>
        <v>0</v>
      </c>
      <c r="CO50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0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05" s="864">
        <f>WWWW[[#This Row],[HRP1]]/500</f>
        <v>0</v>
      </c>
      <c r="CR505" s="869">
        <f>1-WWWW[[#This Row],[% Equitable and continuous access to sufficient quantity of domestic water]]</f>
        <v>1</v>
      </c>
      <c r="CS505" s="864">
        <f>WWWW[[#This Row],[%equitable and continuous access to sufficient quantity of safe drinking and domestic water''s GAP]]*WWWW[[#This Row],[Total PoP ]]</f>
        <v>264</v>
      </c>
      <c r="CT505" s="867">
        <f>IF(WWWW[[#This Row],[Total required water points]]-WWWW[[#This Row],['#Water points coverage]]&lt;0,0,WWWW[[#This Row],[Total required water points]]-WWWW[[#This Row],['#Water points coverage]])</f>
        <v>1</v>
      </c>
      <c r="CU505" s="867">
        <f>ROUND(IF(WWWW[[#This Row],[Total PoP ]]&lt;500,1,WWWW[[#This Row],[Total PoP ]]/500),0)</f>
        <v>1</v>
      </c>
      <c r="CV505" s="867">
        <f>(WWWW[[#This Row],['#_Constructed latrines_by_WASHAgencies]]+WWWW[[#This Row],['#_Non Cluster partner latrines]])-WWWW[[#This Row],['#_Non-functional latrines]]</f>
        <v>6</v>
      </c>
      <c r="CW505" s="804">
        <f>WWWW[[#This Row],[HRP2]]/WWWW[[#This Row],[Total PoP ]]</f>
        <v>0.11363636363636363</v>
      </c>
      <c r="CX50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v>
      </c>
      <c r="CY50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5" s="473">
        <f>IF(WWWW[[#This Row],['# of functional latrines in THF supported by WASH partners during the reporting period2]]="",0,WWWW[[#This Row],['# of functional latrines in THF supported by WASH partners during the reporting period2]]*50)</f>
        <v>0</v>
      </c>
      <c r="DB505" s="473">
        <f>WWWW[[#This Row],['# students access to functioning school latrines_HRP5]]+WWWW[[#This Row],['# People access to functioning latrines in THF_HRP5]]</f>
        <v>0</v>
      </c>
      <c r="DC505" s="867">
        <f>ROUND(IF(WWWW[[#This Row],[Location Type 1]]="camp",WWWW[[#This Row],[Total PoP ]]/20,IF(WWWW[[#This Row],[Location Type 1]]="Temporary Location",WWWW[[#This Row],[Total PoP ]]/50,(WWWW[[#This Row],[Total PoP ]]/6))),0)</f>
        <v>44</v>
      </c>
      <c r="DD505" s="867">
        <f>IF(WWWW[[#This Row],[Total required Latrines]]-(WWWW[[#This Row],['#_Constructed latrines_by_WASHAgencies]]+WWWW[[#This Row],['#_Non Cluster partner latrines]])&lt;0,0,WWWW[[#This Row],[Total required Latrines]]-(WWWW[[#This Row],['#_Constructed latrines_by_WASHAgencies]]+WWWW[[#This Row],['#_Non Cluster partner latrines]]))</f>
        <v>38</v>
      </c>
      <c r="DE505" s="869">
        <f>1-WWWW[[#This Row],[% people access to functioning Latrine]]</f>
        <v>0.88636363636363635</v>
      </c>
      <c r="DF505" s="868">
        <f>IF(OR(WWWW[[#This Row],['#_Non-functional latrines]]="",WWWW[[#This Row],['#_Non-functional latrines]]=0),0,WWWW[[#This Row],['#_Non-functional latrines]]/(WWWW[[#This Row],['#_Constructed latrines_by_WASHAgencies]]+WWWW[[#This Row],['#_Non Cluster partner latrines]]))</f>
        <v>0</v>
      </c>
      <c r="DG505" s="864">
        <f>IF(500*(WWWW[[#This Row],['#_male hygiene promoters]]+WWWW[[#This Row],['#_female hygiene promoters]])&gt;WWWW[[#This Row],[Total PoP ]],WWWW[[#This Row],[Total PoP ]],500*(WWWW[[#This Row],['#_male hygiene promoters]]+WWWW[[#This Row],['#_female hygiene promoters]]))</f>
        <v>0</v>
      </c>
      <c r="DH50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264</v>
      </c>
      <c r="DI50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5" s="867">
        <f>IF(WWWW[[#This Row],['# People with access to soap]]&gt;WWWW[[#This Row],['# People with access to Sanity Pads]],WWWW[[#This Row],['# People with access to soap]],WWWW[[#This Row],['# People with access to Sanity Pads]])</f>
        <v>264</v>
      </c>
      <c r="DK505" s="867">
        <f>IF(WWWW[[#This Row],['# people reached by regular dedicated hygiene promotion_5]]&gt;WWWW[[#This Row],['# People received regular supply of hygiene items_6]],WWWW[[#This Row],['# people reached by regular dedicated hygiene promotion_5]],WWWW[[#This Row],['# People received regular supply of hygiene items_6]])</f>
        <v>264</v>
      </c>
      <c r="DL505" s="869">
        <f>IF(WWWW[[#This Row],[HRP3]]/WWWW[[#This Row],[Total PoP ]]&gt;1,1,WWWW[[#This Row],[HRP3]]/WWWW[[#This Row],[Total PoP ]])</f>
        <v>1</v>
      </c>
      <c r="DM505" s="868">
        <f>1-WWWW[[#This Row],[Hygiene Coverage%]]</f>
        <v>0</v>
      </c>
      <c r="DN505" s="866">
        <f>WWWW[[#This Row],['# people reached by regular dedicated hygiene promotion_5]]/WWWW[[#This Row],[Total PoP ]]</f>
        <v>0</v>
      </c>
      <c r="DO50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5" s="867">
        <f>WWWW[[#This Row],['#_Constructed/Existing hand washing stations]]-WWWW[[#This Row],['#_Non-Functional_hand_washing_stations]]</f>
        <v>0</v>
      </c>
      <c r="DR505" s="864">
        <f>IF(WWWW[[#This Row],['# Functional hand washing stations during reporting period]]*20&gt;WWWW[[#This Row],[Total HH]],WWWW[[#This Row],[Total HH]],WWWW[[#This Row],['# Functional hand washing stations during reporting period]]*20)</f>
        <v>0</v>
      </c>
      <c r="DS505" s="864">
        <f>IF(WWWW[[#This Row],[Is sufficient soap available for TLS? (Yes/No)]]="yes",WWWW[[#This Row],['#_Constructed/Existing hand washing stations at TLS]],0)</f>
        <v>0</v>
      </c>
      <c r="DT505" s="479">
        <f>IF(WWWW[[#This Row],['# Functional hand washing stations during reporting period]]*100&gt;WWWW[[#This Row],[Total PoP ]],WWWW[[#This Row],[Total PoP ]],WWWW[[#This Row],['# Functional hand washing stations during reporting period]]*100)</f>
        <v>0</v>
      </c>
      <c r="DU505" s="479" t="str">
        <f>IF(OR(WWWW[[#This Row],['#_students at TLS_CFS]]="",WWWW[[#This Row],['#_students at TLS_CFS]]=0),"No","Yes")</f>
        <v>No</v>
      </c>
      <c r="DV50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5" s="862" t="str">
        <f>VLOOKUP(WWWW[[#This Row],[Site Name]],SiteDB6[[Site Name]:[CCCM Management]],6,FALSE)</f>
        <v>Yes</v>
      </c>
      <c r="DZ505" s="862" t="str">
        <f>VLOOKUP(WWWW[[#This Row],[Site Name]],SiteDB6[[Site Name]:[CCCM Focal Agency]],7,FALSE)</f>
        <v>KBC-NSS</v>
      </c>
      <c r="EA505" s="862" t="str">
        <f>VLOOKUP(WWWW[[#This Row],[Site Name]],SiteDB6[[Site Name]:[Location Type 1]],9,FALSE)</f>
        <v>Village Type Camp</v>
      </c>
      <c r="EB505" s="862" t="str">
        <f>VLOOKUP(WWWW[[#This Row],[Site Name]],SiteDB6[[Site Name]:[Type of Accommodation]],10,FALSE)</f>
        <v>Camp</v>
      </c>
      <c r="EC505" s="862" t="str">
        <f>VLOOKUP(WWWW[[#This Row],[Site Name]],SiteDB6[[Site Name]:[Ethnic or GCA/NGCA]],11,FALSE)</f>
        <v>GCA</v>
      </c>
      <c r="ED505" s="862">
        <f>VLOOKUP(WWWW[[#This Row],[Site Name]],SiteDB6[[Site Name]:[Lat]],12,FALSE)</f>
        <v>23.400155999999999</v>
      </c>
      <c r="EE505" s="862">
        <f>VLOOKUP(WWWW[[#This Row],[Site Name]],SiteDB6[[Site Name]:[Long]],13,FALSE)</f>
        <v>98.220614999999995</v>
      </c>
      <c r="EF505" s="862" t="str">
        <f>VLOOKUP(WWWW[[#This Row],[Site Name]],SiteDB6[[Site Name]:[Pcode]],3,FALSE)</f>
        <v>MMR015CMP006</v>
      </c>
      <c r="EG505" s="865" t="str">
        <f t="shared" si="14"/>
        <v>Covered</v>
      </c>
      <c r="EH505" s="865" t="str">
        <f>VLOOKUP(WWWW[[#This Row],[Site Name]],Site_DB!$C$389:$D$1120,2,FALSE)</f>
        <v>cccm_2019OCT</v>
      </c>
    </row>
    <row r="506" spans="1:138">
      <c r="A506" s="860" t="s">
        <v>3263</v>
      </c>
      <c r="B506" s="860" t="s">
        <v>195</v>
      </c>
      <c r="C506" s="861" t="s">
        <v>195</v>
      </c>
      <c r="D506" s="861" t="s">
        <v>3364</v>
      </c>
      <c r="E506" s="861" t="s">
        <v>711</v>
      </c>
      <c r="F506" s="861" t="s">
        <v>715</v>
      </c>
      <c r="G506" s="721" t="str">
        <f>VLOOKUP(WWWW[[#This Row],[Site Name]],SiteDB6[[Site Name]:[Location Type]],8,FALSE)</f>
        <v>Camp</v>
      </c>
      <c r="H506" s="861" t="s">
        <v>720</v>
      </c>
      <c r="I506" s="851">
        <v>22</v>
      </c>
      <c r="J506" s="851">
        <v>111</v>
      </c>
      <c r="K506" s="407" t="s">
        <v>3634</v>
      </c>
      <c r="L506" s="56" t="s">
        <v>3632</v>
      </c>
      <c r="M506" s="851"/>
      <c r="N506" s="851"/>
      <c r="O506" s="851"/>
      <c r="P506" s="851"/>
      <c r="Q506" s="864"/>
      <c r="R506" s="851"/>
      <c r="S506" s="851"/>
      <c r="T506" s="523">
        <v>0</v>
      </c>
      <c r="U506" s="851"/>
      <c r="V506" s="851"/>
      <c r="W506" s="851">
        <v>0</v>
      </c>
      <c r="X506" s="851"/>
      <c r="Y506" s="851"/>
      <c r="Z506" s="851"/>
      <c r="AA506" s="851"/>
      <c r="AB506" s="851"/>
      <c r="AC506" s="851"/>
      <c r="AD506" s="851"/>
      <c r="AE506" s="851">
        <v>1</v>
      </c>
      <c r="AF506" s="851"/>
      <c r="AG506" s="851"/>
      <c r="AH506" s="851"/>
      <c r="AI506" s="851"/>
      <c r="AJ506" s="851"/>
      <c r="AK506" s="851"/>
      <c r="AL506" s="851"/>
      <c r="AM506" s="851"/>
      <c r="AN506" s="851"/>
      <c r="AO506" s="865"/>
      <c r="AP506" s="851">
        <v>11</v>
      </c>
      <c r="AQ506" s="851"/>
      <c r="AR506" s="866"/>
      <c r="AS506" s="851"/>
      <c r="AT506" s="851"/>
      <c r="AU506" s="851"/>
      <c r="AV506" s="851"/>
      <c r="AW506" s="851"/>
      <c r="AX506" s="862" t="s">
        <v>43</v>
      </c>
      <c r="AY506" s="865" t="s">
        <v>140</v>
      </c>
      <c r="AZ506" s="851"/>
      <c r="BA506" s="851"/>
      <c r="BB506" s="851">
        <v>0</v>
      </c>
      <c r="BC506" s="523"/>
      <c r="BD506" s="523"/>
      <c r="BE506" s="862"/>
      <c r="BF506" s="851"/>
      <c r="BG506" s="851"/>
      <c r="BH506" s="851">
        <v>0</v>
      </c>
      <c r="BI506" s="851">
        <v>2</v>
      </c>
      <c r="BJ506" s="851"/>
      <c r="BK506" s="851"/>
      <c r="BL506" s="851">
        <v>0</v>
      </c>
      <c r="BM506" s="851">
        <v>22</v>
      </c>
      <c r="BN506" s="851"/>
      <c r="BO506" s="862" t="s">
        <v>139</v>
      </c>
      <c r="BP506" s="867"/>
      <c r="BQ506" s="866"/>
      <c r="BR506" s="862"/>
      <c r="BS506" s="472"/>
      <c r="BT506" s="472"/>
      <c r="BU506" s="474"/>
      <c r="BV506" s="472"/>
      <c r="BW506" s="523"/>
      <c r="BX506" s="523"/>
      <c r="BY506" s="523"/>
      <c r="BZ506" s="868" t="str">
        <f>IFERROR(WWWW[[#This Row],['#_Water sources passed]]/WWWW[[#This Row],['#_Water sources tested for fecal coliform ]],"no test")</f>
        <v>no test</v>
      </c>
      <c r="CA506" s="866" t="str">
        <f>IFERROR(WWWW[[#This Row],['#_Household passed]]/WWWW[[#This Row],['#_Household water samples tested for fecal coliform]],"no test")</f>
        <v>no test</v>
      </c>
      <c r="CB506" s="867" t="str">
        <f>IF(AND(WWWW[[#This Row],[% of water sources passed]]="no test",WWWW[[#This Row],[% Household passed]]="no test"),"No Test","Tested")</f>
        <v>No Test</v>
      </c>
      <c r="CC506" s="867">
        <f>WWWW[[#This Row],['#_Constructed/existing protected hand dug well]]-WWWW[[#This Row],['#_Non-functional protected hand dug well]]</f>
        <v>0</v>
      </c>
      <c r="CD506" s="867">
        <f>(WWWW[[#This Row],['#_Constructed/Existing tube wells/boreholes/handpumps_WASH_agency]]+WWWW[[#This Row],['#_Non-Cluster partner water tube-wells/boreholes/handpumps]])-WWWW[[#This Row],['#_Non-functional tube wells/boreholes/handpumps]]</f>
        <v>0</v>
      </c>
      <c r="CE506" s="867">
        <f>WWWW[[#This Row],['#_Constructed/Existingwater storage tank with gravity fed reticulation system]]-WWWW[[#This Row],['#_Non-functional storage tank gravity fed reticulation system]]</f>
        <v>0</v>
      </c>
      <c r="CF506" s="867">
        <f>(WWWW[[#This Row],['#_Water_Liters_supplied_by_Water boating or water trucking]]/90)/15</f>
        <v>0</v>
      </c>
      <c r="CG506" s="867">
        <f>WWWW[[#This Row],['#_Water_Liters_from_Constructed/Existing water distribution system from river or natural spring]]/90/15</f>
        <v>0</v>
      </c>
      <c r="CH506" s="473">
        <f>WWWW[[#This Row],['#_of water points in TLS/CFS /THF]]*500</f>
        <v>0</v>
      </c>
      <c r="CI50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0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06" s="866">
        <f>IF(WWWW[[#This Row],[Location Type 1]]="Village",WWWW[[#This Row],[Access to safe drinking water for Village]],WWWW[[#This Row],[Access to safe drinking water for Camp]])</f>
        <v>0</v>
      </c>
      <c r="CL506" s="864">
        <f>WWWW[[#This Row],[%Equitable and continuous access to sufficient quantity of safe drinking water]]*WWWW[[#This Row],[Total PoP ]]</f>
        <v>0</v>
      </c>
      <c r="CM506" s="866">
        <f>IF((WWWW[[#This Row],['#_Constructed/Existing protected/fenced ponds]]*250)/WWWW[[#This Row],[Total PoP ]]&gt;1,1,(WWWW[[#This Row],['#_Constructed/Existing protected/fenced ponds]]*250)/WWWW[[#This Row],[Total PoP ]])</f>
        <v>1</v>
      </c>
      <c r="CN506" s="864">
        <f>WWWW[[#This Row],[% Access to unimproved water points]]*WWWW[[#This Row],[Total PoP ]]</f>
        <v>111</v>
      </c>
      <c r="CO50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Q506" s="864">
        <f>WWWW[[#This Row],[HRP1]]/500</f>
        <v>0.222</v>
      </c>
      <c r="CR506" s="869">
        <f>1-WWWW[[#This Row],[% Equitable and continuous access to sufficient quantity of domestic water]]</f>
        <v>0</v>
      </c>
      <c r="CS506" s="864">
        <f>WWWW[[#This Row],[%equitable and continuous access to sufficient quantity of safe drinking and domestic water''s GAP]]*WWWW[[#This Row],[Total PoP ]]</f>
        <v>0</v>
      </c>
      <c r="CT506" s="867">
        <f>IF(WWWW[[#This Row],[Total required water points]]-WWWW[[#This Row],['#Water points coverage]]&lt;0,0,WWWW[[#This Row],[Total required water points]]-WWWW[[#This Row],['#Water points coverage]])</f>
        <v>0.77800000000000002</v>
      </c>
      <c r="CU506" s="867">
        <f>ROUND(IF(WWWW[[#This Row],[Total PoP ]]&lt;500,1,WWWW[[#This Row],[Total PoP ]]/500),0)</f>
        <v>1</v>
      </c>
      <c r="CV506" s="867">
        <f>(WWWW[[#This Row],['#_Constructed latrines_by_WASHAgencies]]+WWWW[[#This Row],['#_Non Cluster partner latrines]])-WWWW[[#This Row],['#_Non-functional latrines]]</f>
        <v>11</v>
      </c>
      <c r="CW506" s="804">
        <f>WWWW[[#This Row],[HRP2]]/WWWW[[#This Row],[Total PoP ]]</f>
        <v>1</v>
      </c>
      <c r="CX50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111</v>
      </c>
      <c r="CY50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6" s="473">
        <f>IF(WWWW[[#This Row],['# of functional latrines in THF supported by WASH partners during the reporting period2]]="",0,WWWW[[#This Row],['# of functional latrines in THF supported by WASH partners during the reporting period2]]*50)</f>
        <v>0</v>
      </c>
      <c r="DB506" s="473">
        <f>WWWW[[#This Row],['# students access to functioning school latrines_HRP5]]+WWWW[[#This Row],['# People access to functioning latrines in THF_HRP5]]</f>
        <v>0</v>
      </c>
      <c r="DC506" s="867">
        <f>ROUND(IF(WWWW[[#This Row],[Location Type 1]]="camp",WWWW[[#This Row],[Total PoP ]]/20,IF(WWWW[[#This Row],[Location Type 1]]="Temporary Location",WWWW[[#This Row],[Total PoP ]]/50,(WWWW[[#This Row],[Total PoP ]]/6))),0)</f>
        <v>6</v>
      </c>
      <c r="DD506" s="867">
        <f>IF(WWWW[[#This Row],[Total required Latrines]]-(WWWW[[#This Row],['#_Constructed latrines_by_WASHAgencies]]+WWWW[[#This Row],['#_Non Cluster partner latrines]])&lt;0,0,WWWW[[#This Row],[Total required Latrines]]-(WWWW[[#This Row],['#_Constructed latrines_by_WASHAgencies]]+WWWW[[#This Row],['#_Non Cluster partner latrines]]))</f>
        <v>0</v>
      </c>
      <c r="DE506" s="869">
        <f>1-WWWW[[#This Row],[% people access to functioning Latrine]]</f>
        <v>0</v>
      </c>
      <c r="DF506" s="868">
        <f>IF(OR(WWWW[[#This Row],['#_Non-functional latrines]]="",WWWW[[#This Row],['#_Non-functional latrines]]=0),0,WWWW[[#This Row],['#_Non-functional latrines]]/(WWWW[[#This Row],['#_Constructed latrines_by_WASHAgencies]]+WWWW[[#This Row],['#_Non Cluster partner latrines]]))</f>
        <v>0</v>
      </c>
      <c r="DG506" s="864">
        <f>IF(500*(WWWW[[#This Row],['#_male hygiene promoters]]+WWWW[[#This Row],['#_female hygiene promoters]])&gt;WWWW[[#This Row],[Total PoP ]],WWWW[[#This Row],[Total PoP ]],500*(WWWW[[#This Row],['#_male hygiene promoters]]+WWWW[[#This Row],['#_female hygiene promoters]]))</f>
        <v>0</v>
      </c>
      <c r="DH50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111</v>
      </c>
      <c r="DI50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6" s="867">
        <f>IF(WWWW[[#This Row],['# People with access to soap]]&gt;WWWW[[#This Row],['# People with access to Sanity Pads]],WWWW[[#This Row],['# People with access to soap]],WWWW[[#This Row],['# People with access to Sanity Pads]])</f>
        <v>111</v>
      </c>
      <c r="DK506" s="867">
        <f>IF(WWWW[[#This Row],['# people reached by regular dedicated hygiene promotion_5]]&gt;WWWW[[#This Row],['# People received regular supply of hygiene items_6]],WWWW[[#This Row],['# people reached by regular dedicated hygiene promotion_5]],WWWW[[#This Row],['# People received regular supply of hygiene items_6]])</f>
        <v>111</v>
      </c>
      <c r="DL506" s="869">
        <f>IF(WWWW[[#This Row],[HRP3]]/WWWW[[#This Row],[Total PoP ]]&gt;1,1,WWWW[[#This Row],[HRP3]]/WWWW[[#This Row],[Total PoP ]])</f>
        <v>1</v>
      </c>
      <c r="DM506" s="868">
        <f>1-WWWW[[#This Row],[Hygiene Coverage%]]</f>
        <v>0</v>
      </c>
      <c r="DN506" s="866">
        <f>WWWW[[#This Row],['# people reached by regular dedicated hygiene promotion_5]]/WWWW[[#This Row],[Total PoP ]]</f>
        <v>0</v>
      </c>
      <c r="DO50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6" s="867">
        <f>WWWW[[#This Row],['#_Constructed/Existing hand washing stations]]-WWWW[[#This Row],['#_Non-Functional_hand_washing_stations]]</f>
        <v>0</v>
      </c>
      <c r="DR506" s="864">
        <f>IF(WWWW[[#This Row],['# Functional hand washing stations during reporting period]]*20&gt;WWWW[[#This Row],[Total HH]],WWWW[[#This Row],[Total HH]],WWWW[[#This Row],['# Functional hand washing stations during reporting period]]*20)</f>
        <v>0</v>
      </c>
      <c r="DS506" s="864">
        <f>IF(WWWW[[#This Row],[Is sufficient soap available for TLS? (Yes/No)]]="yes",WWWW[[#This Row],['#_Constructed/Existing hand washing stations at TLS]],0)</f>
        <v>0</v>
      </c>
      <c r="DT506" s="479">
        <f>IF(WWWW[[#This Row],['# Functional hand washing stations during reporting period]]*100&gt;WWWW[[#This Row],[Total PoP ]],WWWW[[#This Row],[Total PoP ]],WWWW[[#This Row],['# Functional hand washing stations during reporting period]]*100)</f>
        <v>0</v>
      </c>
      <c r="DU506" s="479" t="str">
        <f>IF(OR(WWWW[[#This Row],['#_students at TLS_CFS]]="",WWWW[[#This Row],['#_students at TLS_CFS]]=0),"No","Yes")</f>
        <v>No</v>
      </c>
      <c r="DV50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6" s="862" t="str">
        <f>VLOOKUP(WWWW[[#This Row],[Site Name]],SiteDB6[[Site Name]:[CCCM Management]],6,FALSE)</f>
        <v>Yes</v>
      </c>
      <c r="DZ506" s="862" t="str">
        <f>VLOOKUP(WWWW[[#This Row],[Site Name]],SiteDB6[[Site Name]:[CCCM Focal Agency]],7,FALSE)</f>
        <v>KMSS-LSO</v>
      </c>
      <c r="EA506" s="862" t="str">
        <f>VLOOKUP(WWWW[[#This Row],[Site Name]],SiteDB6[[Site Name]:[Location Type 1]],9,FALSE)</f>
        <v>Camp</v>
      </c>
      <c r="EB506" s="862" t="str">
        <f>VLOOKUP(WWWW[[#This Row],[Site Name]],SiteDB6[[Site Name]:[Type of Accommodation]],10,FALSE)</f>
        <v>Camp</v>
      </c>
      <c r="EC506" s="862" t="str">
        <f>VLOOKUP(WWWW[[#This Row],[Site Name]],SiteDB6[[Site Name]:[Ethnic or GCA/NGCA]],11,FALSE)</f>
        <v>GCA</v>
      </c>
      <c r="ED506" s="862">
        <f>VLOOKUP(WWWW[[#This Row],[Site Name]],SiteDB6[[Site Name]:[Lat]],12,FALSE)</f>
        <v>23.463000000000001</v>
      </c>
      <c r="EE506" s="862">
        <f>VLOOKUP(WWWW[[#This Row],[Site Name]],SiteDB6[[Site Name]:[Long]],13,FALSE)</f>
        <v>98.248999999999995</v>
      </c>
      <c r="EF506" s="862" t="str">
        <f>VLOOKUP(WWWW[[#This Row],[Site Name]],SiteDB6[[Site Name]:[Pcode]],3,FALSE)</f>
        <v>MMR015CMP217</v>
      </c>
      <c r="EG506" s="865" t="str">
        <f t="shared" si="14"/>
        <v>Covered</v>
      </c>
      <c r="EH506" s="865" t="str">
        <f>VLOOKUP(WWWW[[#This Row],[Site Name]],Site_DB!$C$389:$D$1120,2,FALSE)</f>
        <v>cccm_2019OCT</v>
      </c>
    </row>
    <row r="507" spans="1:138">
      <c r="A507" s="860" t="s">
        <v>3263</v>
      </c>
      <c r="B507" s="860" t="s">
        <v>195</v>
      </c>
      <c r="C507" s="861" t="s">
        <v>195</v>
      </c>
      <c r="D507" s="861" t="s">
        <v>3630</v>
      </c>
      <c r="E507" s="861" t="s">
        <v>711</v>
      </c>
      <c r="F507" s="861" t="s">
        <v>721</v>
      </c>
      <c r="G507" s="721" t="str">
        <f>VLOOKUP(WWWW[[#This Row],[Site Name]],SiteDB6[[Site Name]:[Location Type]],8,FALSE)</f>
        <v>Camp</v>
      </c>
      <c r="H507" s="861" t="s">
        <v>722</v>
      </c>
      <c r="I507" s="851">
        <v>24</v>
      </c>
      <c r="J507" s="851">
        <v>114</v>
      </c>
      <c r="K507" s="717" t="s">
        <v>3636</v>
      </c>
      <c r="L507" s="718" t="s">
        <v>3637</v>
      </c>
      <c r="M507" s="851"/>
      <c r="N507" s="851"/>
      <c r="O507" s="851"/>
      <c r="P507" s="851"/>
      <c r="Q507" s="864"/>
      <c r="R507" s="851"/>
      <c r="S507" s="851"/>
      <c r="T507" s="523">
        <v>1</v>
      </c>
      <c r="U507" s="851"/>
      <c r="V507" s="851"/>
      <c r="W507" s="851">
        <v>1</v>
      </c>
      <c r="X507" s="851"/>
      <c r="Y507" s="851"/>
      <c r="Z507" s="851"/>
      <c r="AA507" s="851"/>
      <c r="AB507" s="851"/>
      <c r="AC507" s="851"/>
      <c r="AD507" s="851"/>
      <c r="AE507" s="851"/>
      <c r="AF507" s="851"/>
      <c r="AG507" s="851"/>
      <c r="AH507" s="851"/>
      <c r="AI507" s="851"/>
      <c r="AJ507" s="851"/>
      <c r="AK507" s="851"/>
      <c r="AL507" s="851"/>
      <c r="AM507" s="851"/>
      <c r="AN507" s="851"/>
      <c r="AO507" s="865"/>
      <c r="AP507" s="851">
        <v>8</v>
      </c>
      <c r="AQ507" s="851"/>
      <c r="AR507" s="866"/>
      <c r="AS507" s="851"/>
      <c r="AT507" s="851"/>
      <c r="AU507" s="851"/>
      <c r="AV507" s="851"/>
      <c r="AW507" s="851"/>
      <c r="AX507" s="862" t="s">
        <v>43</v>
      </c>
      <c r="AY507" s="865" t="s">
        <v>1195</v>
      </c>
      <c r="AZ507" s="851"/>
      <c r="BA507" s="851"/>
      <c r="BB507" s="851">
        <v>1</v>
      </c>
      <c r="BC507" s="523"/>
      <c r="BD507" s="523"/>
      <c r="BE507" s="862"/>
      <c r="BF507" s="851"/>
      <c r="BG507" s="851"/>
      <c r="BH507" s="851">
        <v>1</v>
      </c>
      <c r="BI507" s="851">
        <v>2</v>
      </c>
      <c r="BJ507" s="851"/>
      <c r="BK507" s="851"/>
      <c r="BL507" s="851">
        <v>2</v>
      </c>
      <c r="BM507" s="851">
        <v>24</v>
      </c>
      <c r="BN507" s="851"/>
      <c r="BO507" s="862"/>
      <c r="BP507" s="867"/>
      <c r="BQ507" s="866"/>
      <c r="BR507" s="862"/>
      <c r="BS507" s="472"/>
      <c r="BT507" s="472"/>
      <c r="BU507" s="474"/>
      <c r="BV507" s="472"/>
      <c r="BW507" s="523"/>
      <c r="BX507" s="523"/>
      <c r="BY507" s="523"/>
      <c r="BZ507" s="868" t="str">
        <f>IFERROR(WWWW[[#This Row],['#_Water sources passed]]/WWWW[[#This Row],['#_Water sources tested for fecal coliform ]],"no test")</f>
        <v>no test</v>
      </c>
      <c r="CA507" s="866" t="str">
        <f>IFERROR(WWWW[[#This Row],['#_Household passed]]/WWWW[[#This Row],['#_Household water samples tested for fecal coliform]],"no test")</f>
        <v>no test</v>
      </c>
      <c r="CB507" s="867" t="str">
        <f>IF(AND(WWWW[[#This Row],[% of water sources passed]]="no test",WWWW[[#This Row],[% Household passed]]="no test"),"No Test","Tested")</f>
        <v>No Test</v>
      </c>
      <c r="CC507" s="867">
        <f>WWWW[[#This Row],['#_Constructed/existing protected hand dug well]]-WWWW[[#This Row],['#_Non-functional protected hand dug well]]</f>
        <v>1</v>
      </c>
      <c r="CD507" s="867">
        <f>(WWWW[[#This Row],['#_Constructed/Existing tube wells/boreholes/handpumps_WASH_agency]]+WWWW[[#This Row],['#_Non-Cluster partner water tube-wells/boreholes/handpumps]])-WWWW[[#This Row],['#_Non-functional tube wells/boreholes/handpumps]]</f>
        <v>1</v>
      </c>
      <c r="CE507" s="867">
        <f>WWWW[[#This Row],['#_Constructed/Existingwater storage tank with gravity fed reticulation system]]-WWWW[[#This Row],['#_Non-functional storage tank gravity fed reticulation system]]</f>
        <v>0</v>
      </c>
      <c r="CF507" s="867">
        <f>(WWWW[[#This Row],['#_Water_Liters_supplied_by_Water boating or water trucking]]/90)/15</f>
        <v>0</v>
      </c>
      <c r="CG507" s="867">
        <f>WWWW[[#This Row],['#_Water_Liters_from_Constructed/Existing water distribution system from river or natural spring]]/90/15</f>
        <v>0</v>
      </c>
      <c r="CH507" s="473">
        <f>WWWW[[#This Row],['#_of water points in TLS/CFS /THF]]*500</f>
        <v>0</v>
      </c>
      <c r="CI50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07" s="866">
        <f>IF(WWWW[[#This Row],[Location Type 1]]="Village",WWWW[[#This Row],[Access to safe drinking water for Village]],WWWW[[#This Row],[Access to safe drinking water for Camp]])</f>
        <v>1</v>
      </c>
      <c r="CL507" s="864">
        <f>WWWW[[#This Row],[%Equitable and continuous access to sufficient quantity of safe drinking water]]*WWWW[[#This Row],[Total PoP ]]</f>
        <v>114</v>
      </c>
      <c r="CM507" s="866">
        <f>IF((WWWW[[#This Row],['#_Constructed/Existing protected/fenced ponds]]*250)/WWWW[[#This Row],[Total PoP ]]&gt;1,1,(WWWW[[#This Row],['#_Constructed/Existing protected/fenced ponds]]*250)/WWWW[[#This Row],[Total PoP ]])</f>
        <v>0</v>
      </c>
      <c r="CN507" s="864">
        <f>WWWW[[#This Row],[% Access to unimproved water points]]*WWWW[[#This Row],[Total PoP ]]</f>
        <v>0</v>
      </c>
      <c r="CO50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507" s="864">
        <f>WWWW[[#This Row],[HRP1]]/500</f>
        <v>0.22800000000000001</v>
      </c>
      <c r="CR507" s="869">
        <f>1-WWWW[[#This Row],[% Equitable and continuous access to sufficient quantity of domestic water]]</f>
        <v>0</v>
      </c>
      <c r="CS507" s="864">
        <f>WWWW[[#This Row],[%equitable and continuous access to sufficient quantity of safe drinking and domestic water''s GAP]]*WWWW[[#This Row],[Total PoP ]]</f>
        <v>0</v>
      </c>
      <c r="CT507" s="867">
        <f>IF(WWWW[[#This Row],[Total required water points]]-WWWW[[#This Row],['#Water points coverage]]&lt;0,0,WWWW[[#This Row],[Total required water points]]-WWWW[[#This Row],['#Water points coverage]])</f>
        <v>0.77200000000000002</v>
      </c>
      <c r="CU507" s="867">
        <f>ROUND(IF(WWWW[[#This Row],[Total PoP ]]&lt;500,1,WWWW[[#This Row],[Total PoP ]]/500),0)</f>
        <v>1</v>
      </c>
      <c r="CV507" s="867">
        <f>(WWWW[[#This Row],['#_Constructed latrines_by_WASHAgencies]]+WWWW[[#This Row],['#_Non Cluster partner latrines]])-WWWW[[#This Row],['#_Non-functional latrines]]</f>
        <v>8</v>
      </c>
      <c r="CW507" s="804">
        <f>WWWW[[#This Row],[HRP2]]/WWWW[[#This Row],[Total PoP ]]</f>
        <v>1</v>
      </c>
      <c r="CX50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50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7" s="473">
        <f>IF(WWWW[[#This Row],['# of functional latrines in THF supported by WASH partners during the reporting period2]]="",0,WWWW[[#This Row],['# of functional latrines in THF supported by WASH partners during the reporting period2]]*50)</f>
        <v>0</v>
      </c>
      <c r="DB507" s="473">
        <f>WWWW[[#This Row],['# students access to functioning school latrines_HRP5]]+WWWW[[#This Row],['# People access to functioning latrines in THF_HRP5]]</f>
        <v>0</v>
      </c>
      <c r="DC507" s="867">
        <f>ROUND(IF(WWWW[[#This Row],[Location Type 1]]="camp",WWWW[[#This Row],[Total PoP ]]/20,IF(WWWW[[#This Row],[Location Type 1]]="Temporary Location",WWWW[[#This Row],[Total PoP ]]/50,(WWWW[[#This Row],[Total PoP ]]/6))),0)</f>
        <v>6</v>
      </c>
      <c r="DD507" s="867">
        <f>IF(WWWW[[#This Row],[Total required Latrines]]-(WWWW[[#This Row],['#_Constructed latrines_by_WASHAgencies]]+WWWW[[#This Row],['#_Non Cluster partner latrines]])&lt;0,0,WWWW[[#This Row],[Total required Latrines]]-(WWWW[[#This Row],['#_Constructed latrines_by_WASHAgencies]]+WWWW[[#This Row],['#_Non Cluster partner latrines]]))</f>
        <v>0</v>
      </c>
      <c r="DE507" s="869">
        <f>1-WWWW[[#This Row],[% people access to functioning Latrine]]</f>
        <v>0</v>
      </c>
      <c r="DF507" s="868">
        <f>IF(OR(WWWW[[#This Row],['#_Non-functional latrines]]="",WWWW[[#This Row],['#_Non-functional latrines]]=0),0,WWWW[[#This Row],['#_Non-functional latrines]]/(WWWW[[#This Row],['#_Constructed latrines_by_WASHAgencies]]+WWWW[[#This Row],['#_Non Cluster partner latrines]]))</f>
        <v>0</v>
      </c>
      <c r="DG507" s="864">
        <f>IF(500*(WWWW[[#This Row],['#_male hygiene promoters]]+WWWW[[#This Row],['#_female hygiene promoters]])&gt;WWWW[[#This Row],[Total PoP ]],WWWW[[#This Row],[Total PoP ]],500*(WWWW[[#This Row],['#_male hygiene promoters]]+WWWW[[#This Row],['#_female hygiene promoters]]))</f>
        <v>114</v>
      </c>
      <c r="DH50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114</v>
      </c>
      <c r="DI50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7" s="867">
        <f>IF(WWWW[[#This Row],['# People with access to soap]]&gt;WWWW[[#This Row],['# People with access to Sanity Pads]],WWWW[[#This Row],['# People with access to soap]],WWWW[[#This Row],['# People with access to Sanity Pads]])</f>
        <v>114</v>
      </c>
      <c r="DK507" s="867">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507" s="869">
        <f>IF(WWWW[[#This Row],[HRP3]]/WWWW[[#This Row],[Total PoP ]]&gt;1,1,WWWW[[#This Row],[HRP3]]/WWWW[[#This Row],[Total PoP ]])</f>
        <v>1</v>
      </c>
      <c r="DM507" s="868">
        <f>1-WWWW[[#This Row],[Hygiene Coverage%]]</f>
        <v>0</v>
      </c>
      <c r="DN507" s="866">
        <f>WWWW[[#This Row],['# people reached by regular dedicated hygiene promotion_5]]/WWWW[[#This Row],[Total PoP ]]</f>
        <v>1</v>
      </c>
      <c r="DO50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7" s="867">
        <f>WWWW[[#This Row],['#_Constructed/Existing hand washing stations]]-WWWW[[#This Row],['#_Non-Functional_hand_washing_stations]]</f>
        <v>0</v>
      </c>
      <c r="DR507" s="864">
        <f>IF(WWWW[[#This Row],['# Functional hand washing stations during reporting period]]*20&gt;WWWW[[#This Row],[Total HH]],WWWW[[#This Row],[Total HH]],WWWW[[#This Row],['# Functional hand washing stations during reporting period]]*20)</f>
        <v>0</v>
      </c>
      <c r="DS507" s="864">
        <f>IF(WWWW[[#This Row],[Is sufficient soap available for TLS? (Yes/No)]]="yes",WWWW[[#This Row],['#_Constructed/Existing hand washing stations at TLS]],0)</f>
        <v>0</v>
      </c>
      <c r="DT507" s="479">
        <f>IF(WWWW[[#This Row],['# Functional hand washing stations during reporting period]]*100&gt;WWWW[[#This Row],[Total PoP ]],WWWW[[#This Row],[Total PoP ]],WWWW[[#This Row],['# Functional hand washing stations during reporting period]]*100)</f>
        <v>0</v>
      </c>
      <c r="DU507" s="479" t="str">
        <f>IF(OR(WWWW[[#This Row],['#_students at TLS_CFS]]="",WWWW[[#This Row],['#_students at TLS_CFS]]=0),"No","Yes")</f>
        <v>No</v>
      </c>
      <c r="DV50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7" s="862" t="str">
        <f>VLOOKUP(WWWW[[#This Row],[Site Name]],SiteDB6[[Site Name]:[CCCM Management]],6,FALSE)</f>
        <v>Yes</v>
      </c>
      <c r="DZ507" s="862" t="str">
        <f>VLOOKUP(WWWW[[#This Row],[Site Name]],SiteDB6[[Site Name]:[CCCM Focal Agency]],7,FALSE)</f>
        <v>KMSS-LSO</v>
      </c>
      <c r="EA507" s="862" t="str">
        <f>VLOOKUP(WWWW[[#This Row],[Site Name]],SiteDB6[[Site Name]:[Location Type 1]],9,FALSE)</f>
        <v>Camp</v>
      </c>
      <c r="EB507" s="862" t="str">
        <f>VLOOKUP(WWWW[[#This Row],[Site Name]],SiteDB6[[Site Name]:[Type of Accommodation]],10,FALSE)</f>
        <v>Camp</v>
      </c>
      <c r="EC507" s="862" t="str">
        <f>VLOOKUP(WWWW[[#This Row],[Site Name]],SiteDB6[[Site Name]:[Ethnic or GCA/NGCA]],11,FALSE)</f>
        <v>GCA</v>
      </c>
      <c r="ED507" s="862">
        <f>VLOOKUP(WWWW[[#This Row],[Site Name]],SiteDB6[[Site Name]:[Lat]],12,FALSE)</f>
        <v>24.006789000000001</v>
      </c>
      <c r="EE507" s="862">
        <f>VLOOKUP(WWWW[[#This Row],[Site Name]],SiteDB6[[Site Name]:[Long]],13,FALSE)</f>
        <v>97.911647000000002</v>
      </c>
      <c r="EF507" s="862" t="str">
        <f>VLOOKUP(WWWW[[#This Row],[Site Name]],SiteDB6[[Site Name]:[Pcode]],3,FALSE)</f>
        <v>MMR015CMP216</v>
      </c>
      <c r="EG507" s="865" t="str">
        <f t="shared" si="14"/>
        <v>Covered</v>
      </c>
      <c r="EH507" s="865" t="str">
        <f>VLOOKUP(WWWW[[#This Row],[Site Name]],Site_DB!$C$389:$D$1120,2,FALSE)</f>
        <v>cccm_2019OCT</v>
      </c>
    </row>
    <row r="508" spans="1:138">
      <c r="A508" s="860" t="s">
        <v>3263</v>
      </c>
      <c r="B508" s="860" t="s">
        <v>195</v>
      </c>
      <c r="C508" s="861" t="s">
        <v>195</v>
      </c>
      <c r="D508" s="861" t="s">
        <v>3643</v>
      </c>
      <c r="E508" s="861" t="s">
        <v>39</v>
      </c>
      <c r="F508" s="861" t="s">
        <v>198</v>
      </c>
      <c r="G508" s="721" t="str">
        <f>VLOOKUP(WWWW[[#This Row],[Site Name]],SiteDB6[[Site Name]:[Location Type]],8,FALSE)</f>
        <v>Camp</v>
      </c>
      <c r="H508" s="861" t="s">
        <v>204</v>
      </c>
      <c r="I508" s="851">
        <v>10</v>
      </c>
      <c r="J508" s="851">
        <v>45</v>
      </c>
      <c r="K508" s="717" t="s">
        <v>3611</v>
      </c>
      <c r="L508" s="718" t="s">
        <v>3612</v>
      </c>
      <c r="M508" s="851"/>
      <c r="N508" s="851"/>
      <c r="O508" s="851"/>
      <c r="P508" s="851"/>
      <c r="Q508" s="864" t="s">
        <v>139</v>
      </c>
      <c r="R508" s="851"/>
      <c r="S508" s="851"/>
      <c r="T508" s="523"/>
      <c r="U508" s="851"/>
      <c r="V508" s="851"/>
      <c r="W508" s="851">
        <v>1</v>
      </c>
      <c r="X508" s="851">
        <v>1</v>
      </c>
      <c r="Y508" s="851"/>
      <c r="Z508" s="851"/>
      <c r="AA508" s="851"/>
      <c r="AB508" s="851"/>
      <c r="AC508" s="851"/>
      <c r="AD508" s="851"/>
      <c r="AE508" s="851"/>
      <c r="AF508" s="851"/>
      <c r="AG508" s="851"/>
      <c r="AH508" s="851"/>
      <c r="AI508" s="851"/>
      <c r="AJ508" s="851"/>
      <c r="AK508" s="851"/>
      <c r="AL508" s="851"/>
      <c r="AM508" s="851"/>
      <c r="AN508" s="851"/>
      <c r="AO508" s="865"/>
      <c r="AP508" s="851">
        <v>4</v>
      </c>
      <c r="AQ508" s="851"/>
      <c r="AR508" s="866"/>
      <c r="AS508" s="851"/>
      <c r="AT508" s="851"/>
      <c r="AU508" s="851"/>
      <c r="AV508" s="851"/>
      <c r="AW508" s="851"/>
      <c r="AX508" s="862" t="s">
        <v>43</v>
      </c>
      <c r="AY508" s="865" t="s">
        <v>140</v>
      </c>
      <c r="AZ508" s="851"/>
      <c r="BA508" s="851"/>
      <c r="BB508" s="851"/>
      <c r="BC508" s="523"/>
      <c r="BD508" s="523"/>
      <c r="BE508" s="862"/>
      <c r="BF508" s="851">
        <v>2</v>
      </c>
      <c r="BG508" s="851"/>
      <c r="BH508" s="851"/>
      <c r="BI508" s="851">
        <v>2</v>
      </c>
      <c r="BJ508" s="851"/>
      <c r="BK508" s="851"/>
      <c r="BL508" s="851">
        <v>1</v>
      </c>
      <c r="BM508" s="851">
        <v>10</v>
      </c>
      <c r="BN508" s="851"/>
      <c r="BO508" s="862"/>
      <c r="BP508" s="867"/>
      <c r="BQ508" s="866"/>
      <c r="BR508" s="806" t="s">
        <v>3645</v>
      </c>
      <c r="BS508" s="472"/>
      <c r="BT508" s="472"/>
      <c r="BU508" s="474"/>
      <c r="BV508" s="472"/>
      <c r="BW508" s="523"/>
      <c r="BX508" s="523"/>
      <c r="BY508" s="523"/>
      <c r="BZ508" s="868" t="str">
        <f>IFERROR(WWWW[[#This Row],['#_Water sources passed]]/WWWW[[#This Row],['#_Water sources tested for fecal coliform ]],"no test")</f>
        <v>no test</v>
      </c>
      <c r="CA508" s="866" t="str">
        <f>IFERROR(WWWW[[#This Row],['#_Household passed]]/WWWW[[#This Row],['#_Household water samples tested for fecal coliform]],"no test")</f>
        <v>no test</v>
      </c>
      <c r="CB508" s="867" t="str">
        <f>IF(AND(WWWW[[#This Row],[% of water sources passed]]="no test",WWWW[[#This Row],[% Household passed]]="no test"),"No Test","Tested")</f>
        <v>No Test</v>
      </c>
      <c r="CC508" s="867">
        <f>WWWW[[#This Row],['#_Constructed/existing protected hand dug well]]-WWWW[[#This Row],['#_Non-functional protected hand dug well]]</f>
        <v>0</v>
      </c>
      <c r="CD508" s="867">
        <f>(WWWW[[#This Row],['#_Constructed/Existing tube wells/boreholes/handpumps_WASH_agency]]+WWWW[[#This Row],['#_Non-Cluster partner water tube-wells/boreholes/handpumps]])-WWWW[[#This Row],['#_Non-functional tube wells/boreholes/handpumps]]</f>
        <v>2</v>
      </c>
      <c r="CE508" s="867">
        <f>WWWW[[#This Row],['#_Constructed/Existingwater storage tank with gravity fed reticulation system]]-WWWW[[#This Row],['#_Non-functional storage tank gravity fed reticulation system]]</f>
        <v>0</v>
      </c>
      <c r="CF508" s="867">
        <f>(WWWW[[#This Row],['#_Water_Liters_supplied_by_Water boating or water trucking]]/90)/15</f>
        <v>0</v>
      </c>
      <c r="CG508" s="867">
        <f>WWWW[[#This Row],['#_Water_Liters_from_Constructed/Existing water distribution system from river or natural spring]]/90/15</f>
        <v>0</v>
      </c>
      <c r="CH508" s="473">
        <f>WWWW[[#This Row],['#_of water points in TLS/CFS /THF]]*500</f>
        <v>0</v>
      </c>
      <c r="CI50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08" s="866">
        <f>IF(WWWW[[#This Row],[Location Type 1]]="Village",WWWW[[#This Row],[Access to safe drinking water for Village]],WWWW[[#This Row],[Access to safe drinking water for Camp]])</f>
        <v>1</v>
      </c>
      <c r="CL508" s="864">
        <f>WWWW[[#This Row],[%Equitable and continuous access to sufficient quantity of safe drinking water]]*WWWW[[#This Row],[Total PoP ]]</f>
        <v>45</v>
      </c>
      <c r="CM508" s="866">
        <f>IF((WWWW[[#This Row],['#_Constructed/Existing protected/fenced ponds]]*250)/WWWW[[#This Row],[Total PoP ]]&gt;1,1,(WWWW[[#This Row],['#_Constructed/Existing protected/fenced ponds]]*250)/WWWW[[#This Row],[Total PoP ]])</f>
        <v>0</v>
      </c>
      <c r="CN508" s="864">
        <f>WWWW[[#This Row],[% Access to unimproved water points]]*WWWW[[#This Row],[Total PoP ]]</f>
        <v>0</v>
      </c>
      <c r="CO50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v>
      </c>
      <c r="CQ508" s="864">
        <f>WWWW[[#This Row],[HRP1]]/500</f>
        <v>0.09</v>
      </c>
      <c r="CR508" s="869">
        <f>1-WWWW[[#This Row],[% Equitable and continuous access to sufficient quantity of domestic water]]</f>
        <v>0</v>
      </c>
      <c r="CS508" s="864">
        <f>WWWW[[#This Row],[%equitable and continuous access to sufficient quantity of safe drinking and domestic water''s GAP]]*WWWW[[#This Row],[Total PoP ]]</f>
        <v>0</v>
      </c>
      <c r="CT508" s="867">
        <f>IF(WWWW[[#This Row],[Total required water points]]-WWWW[[#This Row],['#Water points coverage]]&lt;0,0,WWWW[[#This Row],[Total required water points]]-WWWW[[#This Row],['#Water points coverage]])</f>
        <v>0.91</v>
      </c>
      <c r="CU508" s="867">
        <f>ROUND(IF(WWWW[[#This Row],[Total PoP ]]&lt;500,1,WWWW[[#This Row],[Total PoP ]]/500),0)</f>
        <v>1</v>
      </c>
      <c r="CV508" s="867">
        <f>(WWWW[[#This Row],['#_Constructed latrines_by_WASHAgencies]]+WWWW[[#This Row],['#_Non Cluster partner latrines]])-WWWW[[#This Row],['#_Non-functional latrines]]</f>
        <v>4</v>
      </c>
      <c r="CW508" s="804">
        <f>WWWW[[#This Row],[HRP2]]/WWWW[[#This Row],[Total PoP ]]</f>
        <v>1</v>
      </c>
      <c r="CX50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45</v>
      </c>
      <c r="CY50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8" s="473">
        <f>IF(WWWW[[#This Row],['# of functional latrines in THF supported by WASH partners during the reporting period2]]="",0,WWWW[[#This Row],['# of functional latrines in THF supported by WASH partners during the reporting period2]]*50)</f>
        <v>0</v>
      </c>
      <c r="DB508" s="473">
        <f>WWWW[[#This Row],['# students access to functioning school latrines_HRP5]]+WWWW[[#This Row],['# People access to functioning latrines in THF_HRP5]]</f>
        <v>0</v>
      </c>
      <c r="DC508" s="867">
        <f>ROUND(IF(WWWW[[#This Row],[Location Type 1]]="camp",WWWW[[#This Row],[Total PoP ]]/20,IF(WWWW[[#This Row],[Location Type 1]]="Temporary Location",WWWW[[#This Row],[Total PoP ]]/50,(WWWW[[#This Row],[Total PoP ]]/6))),0)</f>
        <v>2</v>
      </c>
      <c r="DD508" s="867">
        <f>IF(WWWW[[#This Row],[Total required Latrines]]-(WWWW[[#This Row],['#_Constructed latrines_by_WASHAgencies]]+WWWW[[#This Row],['#_Non Cluster partner latrines]])&lt;0,0,WWWW[[#This Row],[Total required Latrines]]-(WWWW[[#This Row],['#_Constructed latrines_by_WASHAgencies]]+WWWW[[#This Row],['#_Non Cluster partner latrines]]))</f>
        <v>0</v>
      </c>
      <c r="DE508" s="869">
        <f>1-WWWW[[#This Row],[% people access to functioning Latrine]]</f>
        <v>0</v>
      </c>
      <c r="DF508" s="868">
        <f>IF(OR(WWWW[[#This Row],['#_Non-functional latrines]]="",WWWW[[#This Row],['#_Non-functional latrines]]=0),0,WWWW[[#This Row],['#_Non-functional latrines]]/(WWWW[[#This Row],['#_Constructed latrines_by_WASHAgencies]]+WWWW[[#This Row],['#_Non Cluster partner latrines]]))</f>
        <v>0</v>
      </c>
      <c r="DG508" s="864">
        <f>IF(500*(WWWW[[#This Row],['#_male hygiene promoters]]+WWWW[[#This Row],['#_female hygiene promoters]])&gt;WWWW[[#This Row],[Total PoP ]],WWWW[[#This Row],[Total PoP ]],500*(WWWW[[#This Row],['#_male hygiene promoters]]+WWWW[[#This Row],['#_female hygiene promoters]]))</f>
        <v>45</v>
      </c>
      <c r="DH50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I50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8" s="867">
        <f>IF(WWWW[[#This Row],['# People with access to soap]]&gt;WWWW[[#This Row],['# People with access to Sanity Pads]],WWWW[[#This Row],['# People with access to soap]],WWWW[[#This Row],['# People with access to Sanity Pads]])</f>
        <v>45</v>
      </c>
      <c r="DK508" s="867">
        <f>IF(WWWW[[#This Row],['# people reached by regular dedicated hygiene promotion_5]]&gt;WWWW[[#This Row],['# People received regular supply of hygiene items_6]],WWWW[[#This Row],['# people reached by regular dedicated hygiene promotion_5]],WWWW[[#This Row],['# People received regular supply of hygiene items_6]])</f>
        <v>45</v>
      </c>
      <c r="DL508" s="869">
        <f>IF(WWWW[[#This Row],[HRP3]]/WWWW[[#This Row],[Total PoP ]]&gt;1,1,WWWW[[#This Row],[HRP3]]/WWWW[[#This Row],[Total PoP ]])</f>
        <v>1</v>
      </c>
      <c r="DM508" s="868">
        <f>1-WWWW[[#This Row],[Hygiene Coverage%]]</f>
        <v>0</v>
      </c>
      <c r="DN508" s="866">
        <f>WWWW[[#This Row],['# people reached by regular dedicated hygiene promotion_5]]/WWWW[[#This Row],[Total PoP ]]</f>
        <v>1</v>
      </c>
      <c r="DO50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0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8" s="867">
        <f>WWWW[[#This Row],['#_Constructed/Existing hand washing stations]]-WWWW[[#This Row],['#_Non-Functional_hand_washing_stations]]</f>
        <v>2</v>
      </c>
      <c r="DR508" s="864">
        <f>IF(WWWW[[#This Row],['# Functional hand washing stations during reporting period]]*20&gt;WWWW[[#This Row],[Total HH]],WWWW[[#This Row],[Total HH]],WWWW[[#This Row],['# Functional hand washing stations during reporting period]]*20)</f>
        <v>10</v>
      </c>
      <c r="DS508" s="864">
        <f>IF(WWWW[[#This Row],[Is sufficient soap available for TLS? (Yes/No)]]="yes",WWWW[[#This Row],['#_Constructed/Existing hand washing stations at TLS]],0)</f>
        <v>0</v>
      </c>
      <c r="DT508" s="479">
        <f>IF(WWWW[[#This Row],['# Functional hand washing stations during reporting period]]*100&gt;WWWW[[#This Row],[Total PoP ]],WWWW[[#This Row],[Total PoP ]],WWWW[[#This Row],['# Functional hand washing stations during reporting period]]*100)</f>
        <v>45</v>
      </c>
      <c r="DU508" s="479" t="str">
        <f>IF(OR(WWWW[[#This Row],['#_students at TLS_CFS]]="",WWWW[[#This Row],['#_students at TLS_CFS]]=0),"No","Yes")</f>
        <v>No</v>
      </c>
      <c r="DV50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8" s="862" t="str">
        <f>VLOOKUP(WWWW[[#This Row],[Site Name]],SiteDB6[[Site Name]:[CCCM Management]],6,FALSE)</f>
        <v>Yes</v>
      </c>
      <c r="DZ508" s="862" t="str">
        <f>VLOOKUP(WWWW[[#This Row],[Site Name]],SiteDB6[[Site Name]:[CCCM Focal Agency]],7,FALSE)</f>
        <v>Shalom</v>
      </c>
      <c r="EA508" s="862" t="str">
        <f>VLOOKUP(WWWW[[#This Row],[Site Name]],SiteDB6[[Site Name]:[Location Type 1]],9,FALSE)</f>
        <v>Camp</v>
      </c>
      <c r="EB508" s="862" t="str">
        <f>VLOOKUP(WWWW[[#This Row],[Site Name]],SiteDB6[[Site Name]:[Type of Accommodation]],10,FALSE)</f>
        <v>Camp</v>
      </c>
      <c r="EC508" s="862" t="str">
        <f>VLOOKUP(WWWW[[#This Row],[Site Name]],SiteDB6[[Site Name]:[Ethnic or GCA/NGCA]],11,FALSE)</f>
        <v>GCA</v>
      </c>
      <c r="ED508" s="862">
        <f>VLOOKUP(WWWW[[#This Row],[Site Name]],SiteDB6[[Site Name]:[Lat]],12,FALSE)</f>
        <v>24.253067000000001</v>
      </c>
      <c r="EE508" s="862">
        <f>VLOOKUP(WWWW[[#This Row],[Site Name]],SiteDB6[[Site Name]:[Long]],13,FALSE)</f>
        <v>97.234200000000001</v>
      </c>
      <c r="EF508" s="862" t="str">
        <f>VLOOKUP(WWWW[[#This Row],[Site Name]],SiteDB6[[Site Name]:[Pcode]],3,FALSE)</f>
        <v>MMR001CMP051</v>
      </c>
      <c r="EG508" s="865" t="str">
        <f t="shared" ref="EG508:EG539" si="15">IF(C508="none","Notcovered","Covered")</f>
        <v>Covered</v>
      </c>
      <c r="EH508" s="865" t="str">
        <f>VLOOKUP(WWWW[[#This Row],[Site Name]],Site_DB!$C$389:$D$1120,2,FALSE)</f>
        <v>cccm_2019OCT</v>
      </c>
    </row>
    <row r="509" spans="1:138">
      <c r="A509" s="860" t="s">
        <v>3263</v>
      </c>
      <c r="B509" s="860" t="s">
        <v>195</v>
      </c>
      <c r="C509" s="861" t="s">
        <v>195</v>
      </c>
      <c r="D509" s="861" t="s">
        <v>3630</v>
      </c>
      <c r="E509" s="861" t="s">
        <v>711</v>
      </c>
      <c r="F509" s="861" t="s">
        <v>712</v>
      </c>
      <c r="G509" s="721" t="str">
        <f>VLOOKUP(WWWW[[#This Row],[Site Name]],SiteDB6[[Site Name]:[Location Type]],8,FALSE)</f>
        <v>Camp</v>
      </c>
      <c r="H509" s="861" t="s">
        <v>759</v>
      </c>
      <c r="I509" s="851">
        <v>68</v>
      </c>
      <c r="J509" s="851">
        <v>350</v>
      </c>
      <c r="K509" s="717" t="s">
        <v>3638</v>
      </c>
      <c r="L509" s="718" t="s">
        <v>3637</v>
      </c>
      <c r="M509" s="851"/>
      <c r="N509" s="851">
        <v>1</v>
      </c>
      <c r="O509" s="851">
        <v>1</v>
      </c>
      <c r="P509" s="851"/>
      <c r="Q509" s="864" t="s">
        <v>43</v>
      </c>
      <c r="R509" s="851"/>
      <c r="S509" s="851"/>
      <c r="T509" s="523"/>
      <c r="U509" s="851"/>
      <c r="V509" s="851"/>
      <c r="W509" s="851"/>
      <c r="X509" s="851">
        <v>1</v>
      </c>
      <c r="Y509" s="851"/>
      <c r="Z509" s="851"/>
      <c r="AA509" s="851"/>
      <c r="AB509" s="851"/>
      <c r="AC509" s="851"/>
      <c r="AD509" s="851"/>
      <c r="AE509" s="851"/>
      <c r="AF509" s="851"/>
      <c r="AG509" s="851"/>
      <c r="AH509" s="851"/>
      <c r="AI509" s="851"/>
      <c r="AJ509" s="851"/>
      <c r="AK509" s="851"/>
      <c r="AL509" s="851"/>
      <c r="AM509" s="851"/>
      <c r="AN509" s="851"/>
      <c r="AO509" s="865"/>
      <c r="AP509" s="851">
        <v>10</v>
      </c>
      <c r="AQ509" s="851"/>
      <c r="AR509" s="866"/>
      <c r="AS509" s="851"/>
      <c r="AT509" s="851"/>
      <c r="AU509" s="851"/>
      <c r="AV509" s="851"/>
      <c r="AW509" s="851"/>
      <c r="AX509" s="862" t="s">
        <v>143</v>
      </c>
      <c r="AY509" s="865" t="s">
        <v>143</v>
      </c>
      <c r="AZ509" s="851"/>
      <c r="BA509" s="851"/>
      <c r="BB509" s="851"/>
      <c r="BC509" s="523"/>
      <c r="BD509" s="523"/>
      <c r="BE509" s="862"/>
      <c r="BF509" s="851"/>
      <c r="BG509" s="851"/>
      <c r="BH509" s="851"/>
      <c r="BI509" s="851"/>
      <c r="BJ509" s="851"/>
      <c r="BK509" s="851"/>
      <c r="BL509" s="851"/>
      <c r="BM509" s="851"/>
      <c r="BN509" s="851"/>
      <c r="BO509" s="862" t="s">
        <v>139</v>
      </c>
      <c r="BP509" s="867"/>
      <c r="BQ509" s="866"/>
      <c r="BR509" s="862"/>
      <c r="BS509" s="472"/>
      <c r="BT509" s="472"/>
      <c r="BU509" s="474"/>
      <c r="BV509" s="472"/>
      <c r="BW509" s="523"/>
      <c r="BX509" s="523"/>
      <c r="BY509" s="523"/>
      <c r="BZ509" s="868" t="str">
        <f>IFERROR(WWWW[[#This Row],['#_Water sources passed]]/WWWW[[#This Row],['#_Water sources tested for fecal coliform ]],"no test")</f>
        <v>no test</v>
      </c>
      <c r="CA509" s="866" t="str">
        <f>IFERROR(WWWW[[#This Row],['#_Household passed]]/WWWW[[#This Row],['#_Household water samples tested for fecal coliform]],"no test")</f>
        <v>no test</v>
      </c>
      <c r="CB509" s="867" t="str">
        <f>IF(AND(WWWW[[#This Row],[% of water sources passed]]="no test",WWWW[[#This Row],[% Household passed]]="no test"),"No Test","Tested")</f>
        <v>No Test</v>
      </c>
      <c r="CC509" s="867">
        <f>WWWW[[#This Row],['#_Constructed/existing protected hand dug well]]-WWWW[[#This Row],['#_Non-functional protected hand dug well]]</f>
        <v>0</v>
      </c>
      <c r="CD509" s="867">
        <f>(WWWW[[#This Row],['#_Constructed/Existing tube wells/boreholes/handpumps_WASH_agency]]+WWWW[[#This Row],['#_Non-Cluster partner water tube-wells/boreholes/handpumps]])-WWWW[[#This Row],['#_Non-functional tube wells/boreholes/handpumps]]</f>
        <v>1</v>
      </c>
      <c r="CE509" s="867">
        <f>WWWW[[#This Row],['#_Constructed/Existingwater storage tank with gravity fed reticulation system]]-WWWW[[#This Row],['#_Non-functional storage tank gravity fed reticulation system]]</f>
        <v>0</v>
      </c>
      <c r="CF509" s="867">
        <f>(WWWW[[#This Row],['#_Water_Liters_supplied_by_Water boating or water trucking]]/90)/15</f>
        <v>0</v>
      </c>
      <c r="CG509" s="867">
        <f>WWWW[[#This Row],['#_Water_Liters_from_Constructed/Existing water distribution system from river or natural spring]]/90/15</f>
        <v>0</v>
      </c>
      <c r="CH509" s="473">
        <f>WWWW[[#This Row],['#_of water points in TLS/CFS /THF]]*500</f>
        <v>0</v>
      </c>
      <c r="CI50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0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0.7142857142857143</v>
      </c>
      <c r="CK509" s="866">
        <f>IF(WWWW[[#This Row],[Location Type 1]]="Village",WWWW[[#This Row],[Access to safe drinking water for Village]],WWWW[[#This Row],[Access to safe drinking water for Camp]])</f>
        <v>1</v>
      </c>
      <c r="CL509" s="864">
        <f>WWWW[[#This Row],[%Equitable and continuous access to sufficient quantity of safe drinking water]]*WWWW[[#This Row],[Total PoP ]]</f>
        <v>350</v>
      </c>
      <c r="CM509" s="866">
        <f>IF((WWWW[[#This Row],['#_Constructed/Existing protected/fenced ponds]]*250)/WWWW[[#This Row],[Total PoP ]]&gt;1,1,(WWWW[[#This Row],['#_Constructed/Existing protected/fenced ponds]]*250)/WWWW[[#This Row],[Total PoP ]])</f>
        <v>0</v>
      </c>
      <c r="CN509" s="864">
        <f>WWWW[[#This Row],[% Access to unimproved water points]]*WWWW[[#This Row],[Total PoP ]]</f>
        <v>0</v>
      </c>
      <c r="CO50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0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Q509" s="864">
        <f>WWWW[[#This Row],[HRP1]]/500</f>
        <v>0.7</v>
      </c>
      <c r="CR509" s="869">
        <f>1-WWWW[[#This Row],[% Equitable and continuous access to sufficient quantity of domestic water]]</f>
        <v>0</v>
      </c>
      <c r="CS509" s="864">
        <f>WWWW[[#This Row],[%equitable and continuous access to sufficient quantity of safe drinking and domestic water''s GAP]]*WWWW[[#This Row],[Total PoP ]]</f>
        <v>0</v>
      </c>
      <c r="CT509" s="867">
        <f>IF(WWWW[[#This Row],[Total required water points]]-WWWW[[#This Row],['#Water points coverage]]&lt;0,0,WWWW[[#This Row],[Total required water points]]-WWWW[[#This Row],['#Water points coverage]])</f>
        <v>0.30000000000000004</v>
      </c>
      <c r="CU509" s="867">
        <f>ROUND(IF(WWWW[[#This Row],[Total PoP ]]&lt;500,1,WWWW[[#This Row],[Total PoP ]]/500),0)</f>
        <v>1</v>
      </c>
      <c r="CV509" s="867">
        <f>(WWWW[[#This Row],['#_Constructed latrines_by_WASHAgencies]]+WWWW[[#This Row],['#_Non Cluster partner latrines]])-WWWW[[#This Row],['#_Non-functional latrines]]</f>
        <v>10</v>
      </c>
      <c r="CW509" s="804">
        <f>WWWW[[#This Row],[HRP2]]/WWWW[[#This Row],[Total PoP ]]</f>
        <v>0.5714285714285714</v>
      </c>
      <c r="CX50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50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0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09" s="473">
        <f>IF(WWWW[[#This Row],['# of functional latrines in THF supported by WASH partners during the reporting period2]]="",0,WWWW[[#This Row],['# of functional latrines in THF supported by WASH partners during the reporting period2]]*50)</f>
        <v>0</v>
      </c>
      <c r="DB509" s="473">
        <f>WWWW[[#This Row],['# students access to functioning school latrines_HRP5]]+WWWW[[#This Row],['# People access to functioning latrines in THF_HRP5]]</f>
        <v>0</v>
      </c>
      <c r="DC509" s="867">
        <f>ROUND(IF(WWWW[[#This Row],[Location Type 1]]="camp",WWWW[[#This Row],[Total PoP ]]/20,IF(WWWW[[#This Row],[Location Type 1]]="Temporary Location",WWWW[[#This Row],[Total PoP ]]/50,(WWWW[[#This Row],[Total PoP ]]/6))),0)</f>
        <v>18</v>
      </c>
      <c r="DD509" s="867">
        <f>IF(WWWW[[#This Row],[Total required Latrines]]-(WWWW[[#This Row],['#_Constructed latrines_by_WASHAgencies]]+WWWW[[#This Row],['#_Non Cluster partner latrines]])&lt;0,0,WWWW[[#This Row],[Total required Latrines]]-(WWWW[[#This Row],['#_Constructed latrines_by_WASHAgencies]]+WWWW[[#This Row],['#_Non Cluster partner latrines]]))</f>
        <v>8</v>
      </c>
      <c r="DE509" s="869">
        <f>1-WWWW[[#This Row],[% people access to functioning Latrine]]</f>
        <v>0.4285714285714286</v>
      </c>
      <c r="DF509" s="868">
        <f>IF(OR(WWWW[[#This Row],['#_Non-functional latrines]]="",WWWW[[#This Row],['#_Non-functional latrines]]=0),0,WWWW[[#This Row],['#_Non-functional latrines]]/(WWWW[[#This Row],['#_Constructed latrines_by_WASHAgencies]]+WWWW[[#This Row],['#_Non Cluster partner latrines]]))</f>
        <v>0</v>
      </c>
      <c r="DG509" s="864">
        <f>IF(500*(WWWW[[#This Row],['#_male hygiene promoters]]+WWWW[[#This Row],['#_female hygiene promoters]])&gt;WWWW[[#This Row],[Total PoP ]],WWWW[[#This Row],[Total PoP ]],500*(WWWW[[#This Row],['#_male hygiene promoters]]+WWWW[[#This Row],['#_female hygiene promoters]]))</f>
        <v>0</v>
      </c>
      <c r="DH50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0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09" s="867">
        <f>IF(WWWW[[#This Row],['# People with access to soap]]&gt;WWWW[[#This Row],['# People with access to Sanity Pads]],WWWW[[#This Row],['# People with access to soap]],WWWW[[#This Row],['# People with access to Sanity Pads]])</f>
        <v>0</v>
      </c>
      <c r="DK50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09" s="869">
        <f>IF(WWWW[[#This Row],[HRP3]]/WWWW[[#This Row],[Total PoP ]]&gt;1,1,WWWW[[#This Row],[HRP3]]/WWWW[[#This Row],[Total PoP ]])</f>
        <v>0</v>
      </c>
      <c r="DM509" s="868">
        <f>1-WWWW[[#This Row],[Hygiene Coverage%]]</f>
        <v>1</v>
      </c>
      <c r="DN509" s="866">
        <f>WWWW[[#This Row],['# people reached by regular dedicated hygiene promotion_5]]/WWWW[[#This Row],[Total PoP ]]</f>
        <v>0</v>
      </c>
      <c r="DO50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0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09" s="867">
        <f>WWWW[[#This Row],['#_Constructed/Existing hand washing stations]]-WWWW[[#This Row],['#_Non-Functional_hand_washing_stations]]</f>
        <v>0</v>
      </c>
      <c r="DR509" s="864">
        <f>IF(WWWW[[#This Row],['# Functional hand washing stations during reporting period]]*20&gt;WWWW[[#This Row],[Total HH]],WWWW[[#This Row],[Total HH]],WWWW[[#This Row],['# Functional hand washing stations during reporting period]]*20)</f>
        <v>0</v>
      </c>
      <c r="DS509" s="864">
        <f>IF(WWWW[[#This Row],[Is sufficient soap available for TLS? (Yes/No)]]="yes",WWWW[[#This Row],['#_Constructed/Existing hand washing stations at TLS]],0)</f>
        <v>0</v>
      </c>
      <c r="DT509" s="479">
        <f>IF(WWWW[[#This Row],['# Functional hand washing stations during reporting period]]*100&gt;WWWW[[#This Row],[Total PoP ]],WWWW[[#This Row],[Total PoP ]],WWWW[[#This Row],['# Functional hand washing stations during reporting period]]*100)</f>
        <v>0</v>
      </c>
      <c r="DU509" s="479" t="str">
        <f>IF(OR(WWWW[[#This Row],['#_students at TLS_CFS]]="",WWWW[[#This Row],['#_students at TLS_CFS]]=0),"No","Yes")</f>
        <v>No</v>
      </c>
      <c r="DV50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0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0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09" s="862" t="str">
        <f>VLOOKUP(WWWW[[#This Row],[Site Name]],SiteDB6[[Site Name]:[CCCM Management]],6,FALSE)</f>
        <v>Yes</v>
      </c>
      <c r="DZ509" s="862" t="str">
        <f>VLOOKUP(WWWW[[#This Row],[Site Name]],SiteDB6[[Site Name]:[CCCM Focal Agency]],7,FALSE)</f>
        <v>KBC-NSS</v>
      </c>
      <c r="EA509" s="862" t="str">
        <f>VLOOKUP(WWWW[[#This Row],[Site Name]],SiteDB6[[Site Name]:[Location Type 1]],9,FALSE)</f>
        <v>Camp</v>
      </c>
      <c r="EB509" s="862" t="str">
        <f>VLOOKUP(WWWW[[#This Row],[Site Name]],SiteDB6[[Site Name]:[Type of Accommodation]],10,FALSE)</f>
        <v>Camp</v>
      </c>
      <c r="EC509" s="862" t="str">
        <f>VLOOKUP(WWWW[[#This Row],[Site Name]],SiteDB6[[Site Name]:[Ethnic or GCA/NGCA]],11,FALSE)</f>
        <v>GCA</v>
      </c>
      <c r="ED509" s="862">
        <f>VLOOKUP(WWWW[[#This Row],[Site Name]],SiteDB6[[Site Name]:[Lat]],12,FALSE)</f>
        <v>23.828520000000001</v>
      </c>
      <c r="EE509" s="862">
        <f>VLOOKUP(WWWW[[#This Row],[Site Name]],SiteDB6[[Site Name]:[Long]],13,FALSE)</f>
        <v>97.669557999999995</v>
      </c>
      <c r="EF509" s="862" t="str">
        <f>VLOOKUP(WWWW[[#This Row],[Site Name]],SiteDB6[[Site Name]:[Pcode]],3,FALSE)</f>
        <v>MMR015CMP001</v>
      </c>
      <c r="EG509" s="865" t="str">
        <f t="shared" si="15"/>
        <v>Covered</v>
      </c>
      <c r="EH509" s="865" t="str">
        <f>VLOOKUP(WWWW[[#This Row],[Site Name]],Site_DB!$C$389:$D$1120,2,FALSE)</f>
        <v>cccm_2019OCT</v>
      </c>
    </row>
    <row r="510" spans="1:138">
      <c r="A510" s="860" t="s">
        <v>3263</v>
      </c>
      <c r="B510" s="860" t="s">
        <v>195</v>
      </c>
      <c r="C510" s="861" t="s">
        <v>195</v>
      </c>
      <c r="D510" s="861" t="s">
        <v>3630</v>
      </c>
      <c r="E510" s="861" t="s">
        <v>711</v>
      </c>
      <c r="F510" s="861" t="s">
        <v>712</v>
      </c>
      <c r="G510" s="721" t="str">
        <f>VLOOKUP(WWWW[[#This Row],[Site Name]],SiteDB6[[Site Name]:[Location Type]],8,FALSE)</f>
        <v>Camp</v>
      </c>
      <c r="H510" s="861" t="s">
        <v>747</v>
      </c>
      <c r="I510" s="851">
        <v>37</v>
      </c>
      <c r="J510" s="851">
        <v>176</v>
      </c>
      <c r="K510" s="717" t="s">
        <v>3638</v>
      </c>
      <c r="L510" s="718" t="s">
        <v>3637</v>
      </c>
      <c r="M510" s="851"/>
      <c r="N510" s="851"/>
      <c r="O510" s="851">
        <v>1</v>
      </c>
      <c r="P510" s="851"/>
      <c r="Q510" s="864"/>
      <c r="R510" s="851"/>
      <c r="S510" s="851"/>
      <c r="T510" s="523"/>
      <c r="U510" s="851"/>
      <c r="V510" s="851"/>
      <c r="W510" s="851"/>
      <c r="X510" s="851">
        <v>1</v>
      </c>
      <c r="Y510" s="851"/>
      <c r="Z510" s="851"/>
      <c r="AA510" s="851"/>
      <c r="AB510" s="851"/>
      <c r="AC510" s="851"/>
      <c r="AD510" s="851"/>
      <c r="AE510" s="851"/>
      <c r="AF510" s="851"/>
      <c r="AG510" s="851"/>
      <c r="AH510" s="851"/>
      <c r="AI510" s="851"/>
      <c r="AJ510" s="851"/>
      <c r="AK510" s="851"/>
      <c r="AL510" s="851"/>
      <c r="AM510" s="851"/>
      <c r="AN510" s="851"/>
      <c r="AO510" s="865"/>
      <c r="AP510" s="851"/>
      <c r="AQ510" s="851"/>
      <c r="AR510" s="866"/>
      <c r="AS510" s="851"/>
      <c r="AT510" s="851"/>
      <c r="AU510" s="851"/>
      <c r="AV510" s="851"/>
      <c r="AW510" s="851"/>
      <c r="AX510" s="862" t="s">
        <v>143</v>
      </c>
      <c r="AY510" s="865" t="s">
        <v>143</v>
      </c>
      <c r="AZ510" s="851"/>
      <c r="BA510" s="851"/>
      <c r="BB510" s="851"/>
      <c r="BC510" s="523"/>
      <c r="BD510" s="523"/>
      <c r="BE510" s="862"/>
      <c r="BF510" s="851"/>
      <c r="BG510" s="851"/>
      <c r="BH510" s="851"/>
      <c r="BI510" s="851"/>
      <c r="BJ510" s="851"/>
      <c r="BK510" s="851"/>
      <c r="BL510" s="851">
        <v>1</v>
      </c>
      <c r="BM510" s="851"/>
      <c r="BN510" s="851"/>
      <c r="BO510" s="862" t="s">
        <v>139</v>
      </c>
      <c r="BP510" s="867"/>
      <c r="BQ510" s="866"/>
      <c r="BR510" s="862"/>
      <c r="BS510" s="472"/>
      <c r="BT510" s="472"/>
      <c r="BU510" s="474"/>
      <c r="BV510" s="472"/>
      <c r="BW510" s="523"/>
      <c r="BX510" s="523"/>
      <c r="BY510" s="523"/>
      <c r="BZ510" s="868" t="str">
        <f>IFERROR(WWWW[[#This Row],['#_Water sources passed]]/WWWW[[#This Row],['#_Water sources tested for fecal coliform ]],"no test")</f>
        <v>no test</v>
      </c>
      <c r="CA510" s="866" t="str">
        <f>IFERROR(WWWW[[#This Row],['#_Household passed]]/WWWW[[#This Row],['#_Household water samples tested for fecal coliform]],"no test")</f>
        <v>no test</v>
      </c>
      <c r="CB510" s="867" t="str">
        <f>IF(AND(WWWW[[#This Row],[% of water sources passed]]="no test",WWWW[[#This Row],[% Household passed]]="no test"),"No Test","Tested")</f>
        <v>No Test</v>
      </c>
      <c r="CC510" s="867">
        <f>WWWW[[#This Row],['#_Constructed/existing protected hand dug well]]-WWWW[[#This Row],['#_Non-functional protected hand dug well]]</f>
        <v>0</v>
      </c>
      <c r="CD510" s="867">
        <f>(WWWW[[#This Row],['#_Constructed/Existing tube wells/boreholes/handpumps_WASH_agency]]+WWWW[[#This Row],['#_Non-Cluster partner water tube-wells/boreholes/handpumps]])-WWWW[[#This Row],['#_Non-functional tube wells/boreholes/handpumps]]</f>
        <v>1</v>
      </c>
      <c r="CE510" s="867">
        <f>WWWW[[#This Row],['#_Constructed/Existingwater storage tank with gravity fed reticulation system]]-WWWW[[#This Row],['#_Non-functional storage tank gravity fed reticulation system]]</f>
        <v>0</v>
      </c>
      <c r="CF510" s="867">
        <f>(WWWW[[#This Row],['#_Water_Liters_supplied_by_Water boating or water trucking]]/90)/15</f>
        <v>0</v>
      </c>
      <c r="CG510" s="867">
        <f>WWWW[[#This Row],['#_Water_Liters_from_Constructed/Existing water distribution system from river or natural spring]]/90/15</f>
        <v>0</v>
      </c>
      <c r="CH510" s="473">
        <f>WWWW[[#This Row],['#_of water points in TLS/CFS /THF]]*500</f>
        <v>0</v>
      </c>
      <c r="CI51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1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10" s="866">
        <f>IF(WWWW[[#This Row],[Location Type 1]]="Village",WWWW[[#This Row],[Access to safe drinking water for Village]],WWWW[[#This Row],[Access to safe drinking water for Camp]])</f>
        <v>1</v>
      </c>
      <c r="CL510" s="864">
        <f>WWWW[[#This Row],[%Equitable and continuous access to sufficient quantity of safe drinking water]]*WWWW[[#This Row],[Total PoP ]]</f>
        <v>176</v>
      </c>
      <c r="CM510" s="866">
        <f>IF((WWWW[[#This Row],['#_Constructed/Existing protected/fenced ponds]]*250)/WWWW[[#This Row],[Total PoP ]]&gt;1,1,(WWWW[[#This Row],['#_Constructed/Existing protected/fenced ponds]]*250)/WWWW[[#This Row],[Total PoP ]])</f>
        <v>0</v>
      </c>
      <c r="CN510" s="864">
        <f>WWWW[[#This Row],[% Access to unimproved water points]]*WWWW[[#This Row],[Total PoP ]]</f>
        <v>0</v>
      </c>
      <c r="CO51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1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Q510" s="864">
        <f>WWWW[[#This Row],[HRP1]]/500</f>
        <v>0.35199999999999998</v>
      </c>
      <c r="CR510" s="869">
        <f>1-WWWW[[#This Row],[% Equitable and continuous access to sufficient quantity of domestic water]]</f>
        <v>0</v>
      </c>
      <c r="CS510" s="864">
        <f>WWWW[[#This Row],[%equitable and continuous access to sufficient quantity of safe drinking and domestic water''s GAP]]*WWWW[[#This Row],[Total PoP ]]</f>
        <v>0</v>
      </c>
      <c r="CT510" s="867">
        <f>IF(WWWW[[#This Row],[Total required water points]]-WWWW[[#This Row],['#Water points coverage]]&lt;0,0,WWWW[[#This Row],[Total required water points]]-WWWW[[#This Row],['#Water points coverage]])</f>
        <v>0.64800000000000002</v>
      </c>
      <c r="CU510" s="867">
        <f>ROUND(IF(WWWW[[#This Row],[Total PoP ]]&lt;500,1,WWWW[[#This Row],[Total PoP ]]/500),0)</f>
        <v>1</v>
      </c>
      <c r="CV510" s="867">
        <f>(WWWW[[#This Row],['#_Constructed latrines_by_WASHAgencies]]+WWWW[[#This Row],['#_Non Cluster partner latrines]])-WWWW[[#This Row],['#_Non-functional latrines]]</f>
        <v>0</v>
      </c>
      <c r="CW510" s="804">
        <f>WWWW[[#This Row],[HRP2]]/WWWW[[#This Row],[Total PoP ]]</f>
        <v>0</v>
      </c>
      <c r="CX51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1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0" s="473">
        <f>IF(WWWW[[#This Row],['# of functional latrines in THF supported by WASH partners during the reporting period2]]="",0,WWWW[[#This Row],['# of functional latrines in THF supported by WASH partners during the reporting period2]]*50)</f>
        <v>0</v>
      </c>
      <c r="DB510" s="473">
        <f>WWWW[[#This Row],['# students access to functioning school latrines_HRP5]]+WWWW[[#This Row],['# People access to functioning latrines in THF_HRP5]]</f>
        <v>0</v>
      </c>
      <c r="DC510" s="867">
        <f>ROUND(IF(WWWW[[#This Row],[Location Type 1]]="camp",WWWW[[#This Row],[Total PoP ]]/20,IF(WWWW[[#This Row],[Location Type 1]]="Temporary Location",WWWW[[#This Row],[Total PoP ]]/50,(WWWW[[#This Row],[Total PoP ]]/6))),0)</f>
        <v>9</v>
      </c>
      <c r="DD510" s="867">
        <f>IF(WWWW[[#This Row],[Total required Latrines]]-(WWWW[[#This Row],['#_Constructed latrines_by_WASHAgencies]]+WWWW[[#This Row],['#_Non Cluster partner latrines]])&lt;0,0,WWWW[[#This Row],[Total required Latrines]]-(WWWW[[#This Row],['#_Constructed latrines_by_WASHAgencies]]+WWWW[[#This Row],['#_Non Cluster partner latrines]]))</f>
        <v>9</v>
      </c>
      <c r="DE510" s="869">
        <f>1-WWWW[[#This Row],[% people access to functioning Latrine]]</f>
        <v>1</v>
      </c>
      <c r="DF510" s="868">
        <f>IF(OR(WWWW[[#This Row],['#_Non-functional latrines]]="",WWWW[[#This Row],['#_Non-functional latrines]]=0),0,WWWW[[#This Row],['#_Non-functional latrines]]/(WWWW[[#This Row],['#_Constructed latrines_by_WASHAgencies]]+WWWW[[#This Row],['#_Non Cluster partner latrines]]))</f>
        <v>0</v>
      </c>
      <c r="DG510" s="864">
        <f>IF(500*(WWWW[[#This Row],['#_male hygiene promoters]]+WWWW[[#This Row],['#_female hygiene promoters]])&gt;WWWW[[#This Row],[Total PoP ]],WWWW[[#This Row],[Total PoP ]],500*(WWWW[[#This Row],['#_male hygiene promoters]]+WWWW[[#This Row],['#_female hygiene promoters]]))</f>
        <v>176</v>
      </c>
      <c r="DH51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1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0" s="867">
        <f>IF(WWWW[[#This Row],['# People with access to soap]]&gt;WWWW[[#This Row],['# People with access to Sanity Pads]],WWWW[[#This Row],['# People with access to soap]],WWWW[[#This Row],['# People with access to Sanity Pads]])</f>
        <v>0</v>
      </c>
      <c r="DK510" s="867">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L510" s="869">
        <f>IF(WWWW[[#This Row],[HRP3]]/WWWW[[#This Row],[Total PoP ]]&gt;1,1,WWWW[[#This Row],[HRP3]]/WWWW[[#This Row],[Total PoP ]])</f>
        <v>1</v>
      </c>
      <c r="DM510" s="868">
        <f>1-WWWW[[#This Row],[Hygiene Coverage%]]</f>
        <v>0</v>
      </c>
      <c r="DN510" s="866">
        <f>WWWW[[#This Row],['# people reached by regular dedicated hygiene promotion_5]]/WWWW[[#This Row],[Total PoP ]]</f>
        <v>1</v>
      </c>
      <c r="DO51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1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0" s="867">
        <f>WWWW[[#This Row],['#_Constructed/Existing hand washing stations]]-WWWW[[#This Row],['#_Non-Functional_hand_washing_stations]]</f>
        <v>0</v>
      </c>
      <c r="DR510" s="864">
        <f>IF(WWWW[[#This Row],['# Functional hand washing stations during reporting period]]*20&gt;WWWW[[#This Row],[Total HH]],WWWW[[#This Row],[Total HH]],WWWW[[#This Row],['# Functional hand washing stations during reporting period]]*20)</f>
        <v>0</v>
      </c>
      <c r="DS510" s="864">
        <f>IF(WWWW[[#This Row],[Is sufficient soap available for TLS? (Yes/No)]]="yes",WWWW[[#This Row],['#_Constructed/Existing hand washing stations at TLS]],0)</f>
        <v>0</v>
      </c>
      <c r="DT510" s="479">
        <f>IF(WWWW[[#This Row],['# Functional hand washing stations during reporting period]]*100&gt;WWWW[[#This Row],[Total PoP ]],WWWW[[#This Row],[Total PoP ]],WWWW[[#This Row],['# Functional hand washing stations during reporting period]]*100)</f>
        <v>0</v>
      </c>
      <c r="DU510" s="479" t="str">
        <f>IF(OR(WWWW[[#This Row],['#_students at TLS_CFS]]="",WWWW[[#This Row],['#_students at TLS_CFS]]=0),"No","Yes")</f>
        <v>No</v>
      </c>
      <c r="DV51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0" s="862" t="str">
        <f>VLOOKUP(WWWW[[#This Row],[Site Name]],SiteDB6[[Site Name]:[CCCM Management]],6,FALSE)</f>
        <v>Yes</v>
      </c>
      <c r="DZ510" s="862" t="str">
        <f>VLOOKUP(WWWW[[#This Row],[Site Name]],SiteDB6[[Site Name]:[CCCM Focal Agency]],7,FALSE)</f>
        <v>KBC-NSS</v>
      </c>
      <c r="EA510" s="862" t="str">
        <f>VLOOKUP(WWWW[[#This Row],[Site Name]],SiteDB6[[Site Name]:[Location Type 1]],9,FALSE)</f>
        <v>Camp</v>
      </c>
      <c r="EB510" s="862" t="str">
        <f>VLOOKUP(WWWW[[#This Row],[Site Name]],SiteDB6[[Site Name]:[Type of Accommodation]],10,FALSE)</f>
        <v>Camp</v>
      </c>
      <c r="EC510" s="862" t="str">
        <f>VLOOKUP(WWWW[[#This Row],[Site Name]],SiteDB6[[Site Name]:[Ethnic or GCA/NGCA]],11,FALSE)</f>
        <v>GCA</v>
      </c>
      <c r="ED510" s="862">
        <f>VLOOKUP(WWWW[[#This Row],[Site Name]],SiteDB6[[Site Name]:[Lat]],12,FALSE)</f>
        <v>23.841646999999998</v>
      </c>
      <c r="EE510" s="862">
        <f>VLOOKUP(WWWW[[#This Row],[Site Name]],SiteDB6[[Site Name]:[Long]],13,FALSE)</f>
        <v>97.700940000000003</v>
      </c>
      <c r="EF510" s="862" t="str">
        <f>VLOOKUP(WWWW[[#This Row],[Site Name]],SiteDB6[[Site Name]:[Pcode]],3,FALSE)</f>
        <v>MMR015CMP214</v>
      </c>
      <c r="EG510" s="865" t="str">
        <f t="shared" si="15"/>
        <v>Covered</v>
      </c>
      <c r="EH510" s="865" t="e">
        <f>VLOOKUP(WWWW[[#This Row],[Site Name]],Site_DB!$C$389:$D$1120,2,FALSE)</f>
        <v>#N/A</v>
      </c>
    </row>
    <row r="511" spans="1:138">
      <c r="A511" s="860" t="s">
        <v>3263</v>
      </c>
      <c r="B511" s="860" t="s">
        <v>195</v>
      </c>
      <c r="C511" s="861" t="s">
        <v>195</v>
      </c>
      <c r="D511" s="861" t="s">
        <v>3364</v>
      </c>
      <c r="E511" s="861" t="s">
        <v>711</v>
      </c>
      <c r="F511" s="861" t="s">
        <v>715</v>
      </c>
      <c r="G511" s="721" t="str">
        <f>VLOOKUP(WWWW[[#This Row],[Site Name]],SiteDB6[[Site Name]:[Location Type]],8,FALSE)</f>
        <v>Camp</v>
      </c>
      <c r="H511" s="861" t="s">
        <v>727</v>
      </c>
      <c r="I511" s="851">
        <v>56</v>
      </c>
      <c r="J511" s="851">
        <v>263</v>
      </c>
      <c r="K511" s="407" t="s">
        <v>3634</v>
      </c>
      <c r="L511" s="56" t="s">
        <v>3632</v>
      </c>
      <c r="M511" s="851"/>
      <c r="N511" s="851">
        <v>1</v>
      </c>
      <c r="O511" s="851"/>
      <c r="P511" s="851"/>
      <c r="Q511" s="864" t="s">
        <v>43</v>
      </c>
      <c r="R511" s="851">
        <v>5</v>
      </c>
      <c r="S511" s="851">
        <v>4</v>
      </c>
      <c r="T511" s="523"/>
      <c r="U511" s="851"/>
      <c r="V511" s="851"/>
      <c r="W511" s="851"/>
      <c r="X511" s="851"/>
      <c r="Y511" s="851"/>
      <c r="Z511" s="851"/>
      <c r="AA511" s="851">
        <v>1</v>
      </c>
      <c r="AB511" s="851"/>
      <c r="AC511" s="851"/>
      <c r="AD511" s="851"/>
      <c r="AE511" s="851"/>
      <c r="AF511" s="851"/>
      <c r="AG511" s="851">
        <v>1</v>
      </c>
      <c r="AH511" s="851">
        <v>1</v>
      </c>
      <c r="AI511" s="851"/>
      <c r="AJ511" s="851"/>
      <c r="AK511" s="851"/>
      <c r="AL511" s="851"/>
      <c r="AM511" s="851"/>
      <c r="AN511" s="851"/>
      <c r="AO511" s="865"/>
      <c r="AP511" s="851">
        <v>18</v>
      </c>
      <c r="AQ511" s="851"/>
      <c r="AR511" s="866"/>
      <c r="AS511" s="851"/>
      <c r="AT511" s="851"/>
      <c r="AU511" s="851"/>
      <c r="AV511" s="851"/>
      <c r="AW511" s="851"/>
      <c r="AX511" s="862" t="s">
        <v>43</v>
      </c>
      <c r="AY511" s="865" t="s">
        <v>140</v>
      </c>
      <c r="AZ511" s="851"/>
      <c r="BA511" s="851"/>
      <c r="BB511" s="851"/>
      <c r="BC511" s="523"/>
      <c r="BD511" s="523"/>
      <c r="BE511" s="862"/>
      <c r="BF511" s="851">
        <v>6</v>
      </c>
      <c r="BG511" s="851"/>
      <c r="BH511" s="851"/>
      <c r="BI511" s="851">
        <v>1</v>
      </c>
      <c r="BJ511" s="851"/>
      <c r="BK511" s="851"/>
      <c r="BL511" s="851">
        <v>2</v>
      </c>
      <c r="BM511" s="851">
        <v>56</v>
      </c>
      <c r="BN511" s="851"/>
      <c r="BO511" s="862"/>
      <c r="BP511" s="867"/>
      <c r="BQ511" s="866"/>
      <c r="BR511" s="862"/>
      <c r="BS511" s="472"/>
      <c r="BT511" s="472"/>
      <c r="BU511" s="474"/>
      <c r="BV511" s="472"/>
      <c r="BW511" s="523"/>
      <c r="BX511" s="523"/>
      <c r="BY511" s="523"/>
      <c r="BZ511" s="868" t="str">
        <f>IFERROR(WWWW[[#This Row],['#_Water sources passed]]/WWWW[[#This Row],['#_Water sources tested for fecal coliform ]],"no test")</f>
        <v>no test</v>
      </c>
      <c r="CA511" s="866" t="str">
        <f>IFERROR(WWWW[[#This Row],['#_Household passed]]/WWWW[[#This Row],['#_Household water samples tested for fecal coliform]],"no test")</f>
        <v>no test</v>
      </c>
      <c r="CB511" s="867" t="str">
        <f>IF(AND(WWWW[[#This Row],[% of water sources passed]]="no test",WWWW[[#This Row],[% Household passed]]="no test"),"No Test","Tested")</f>
        <v>No Test</v>
      </c>
      <c r="CC511" s="867">
        <f>WWWW[[#This Row],['#_Constructed/existing protected hand dug well]]-WWWW[[#This Row],['#_Non-functional protected hand dug well]]</f>
        <v>0</v>
      </c>
      <c r="CD511" s="867">
        <f>(WWWW[[#This Row],['#_Constructed/Existing tube wells/boreholes/handpumps_WASH_agency]]+WWWW[[#This Row],['#_Non-Cluster partner water tube-wells/boreholes/handpumps]])-WWWW[[#This Row],['#_Non-functional tube wells/boreholes/handpumps]]</f>
        <v>0</v>
      </c>
      <c r="CE511" s="867">
        <f>WWWW[[#This Row],['#_Constructed/Existingwater storage tank with gravity fed reticulation system]]-WWWW[[#This Row],['#_Non-functional storage tank gravity fed reticulation system]]</f>
        <v>1</v>
      </c>
      <c r="CF511" s="867">
        <f>(WWWW[[#This Row],['#_Water_Liters_supplied_by_Water boating or water trucking]]/90)/15</f>
        <v>0</v>
      </c>
      <c r="CG511" s="867">
        <f>WWWW[[#This Row],['#_Water_Liters_from_Constructed/Existing water distribution system from river or natural spring]]/90/15</f>
        <v>0</v>
      </c>
      <c r="CH511" s="473">
        <f>WWWW[[#This Row],['#_of water points in TLS/CFS /THF]]*500</f>
        <v>0</v>
      </c>
      <c r="CI51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0.25348542458808621</v>
      </c>
      <c r="CJ51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0.25348542458808621</v>
      </c>
      <c r="CK511" s="866">
        <f>IF(WWWW[[#This Row],[Location Type 1]]="Village",WWWW[[#This Row],[Access to safe drinking water for Village]],WWWW[[#This Row],[Access to safe drinking water for Camp]])</f>
        <v>0.25348542458808621</v>
      </c>
      <c r="CL511" s="864">
        <f>WWWW[[#This Row],[%Equitable and continuous access to sufficient quantity of safe drinking water]]*WWWW[[#This Row],[Total PoP ]]</f>
        <v>66.666666666666671</v>
      </c>
      <c r="CM511" s="866">
        <f>IF((WWWW[[#This Row],['#_Constructed/Existing protected/fenced ponds]]*250)/WWWW[[#This Row],[Total PoP ]]&gt;1,1,(WWWW[[#This Row],['#_Constructed/Existing protected/fenced ponds]]*250)/WWWW[[#This Row],[Total PoP ]])</f>
        <v>0</v>
      </c>
      <c r="CN511" s="864">
        <f>WWWW[[#This Row],[% Access to unimproved water points]]*WWWW[[#This Row],[Total PoP ]]</f>
        <v>0</v>
      </c>
      <c r="CO51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0.25348542458808621</v>
      </c>
      <c r="CP51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11" s="864">
        <f>WWWW[[#This Row],[HRP1]]/500</f>
        <v>0.13333333333333333</v>
      </c>
      <c r="CR511" s="869">
        <f>1-WWWW[[#This Row],[% Equitable and continuous access to sufficient quantity of domestic water]]</f>
        <v>0.74651457541191379</v>
      </c>
      <c r="CS511" s="864">
        <f>WWWW[[#This Row],[%equitable and continuous access to sufficient quantity of safe drinking and domestic water''s GAP]]*WWWW[[#This Row],[Total PoP ]]</f>
        <v>196.33333333333331</v>
      </c>
      <c r="CT511" s="867">
        <f>IF(WWWW[[#This Row],[Total required water points]]-WWWW[[#This Row],['#Water points coverage]]&lt;0,0,WWWW[[#This Row],[Total required water points]]-WWWW[[#This Row],['#Water points coverage]])</f>
        <v>0.8666666666666667</v>
      </c>
      <c r="CU511" s="867">
        <f>ROUND(IF(WWWW[[#This Row],[Total PoP ]]&lt;500,1,WWWW[[#This Row],[Total PoP ]]/500),0)</f>
        <v>1</v>
      </c>
      <c r="CV511" s="867">
        <f>(WWWW[[#This Row],['#_Constructed latrines_by_WASHAgencies]]+WWWW[[#This Row],['#_Non Cluster partner latrines]])-WWWW[[#This Row],['#_Non-functional latrines]]</f>
        <v>18</v>
      </c>
      <c r="CW511" s="804">
        <f>WWWW[[#This Row],[HRP2]]/WWWW[[#This Row],[Total PoP ]]</f>
        <v>1</v>
      </c>
      <c r="CX51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CY51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1" s="473">
        <f>IF(WWWW[[#This Row],['# of functional latrines in THF supported by WASH partners during the reporting period2]]="",0,WWWW[[#This Row],['# of functional latrines in THF supported by WASH partners during the reporting period2]]*50)</f>
        <v>0</v>
      </c>
      <c r="DB511" s="473">
        <f>WWWW[[#This Row],['# students access to functioning school latrines_HRP5]]+WWWW[[#This Row],['# People access to functioning latrines in THF_HRP5]]</f>
        <v>0</v>
      </c>
      <c r="DC511" s="867">
        <f>ROUND(IF(WWWW[[#This Row],[Location Type 1]]="camp",WWWW[[#This Row],[Total PoP ]]/20,IF(WWWW[[#This Row],[Location Type 1]]="Temporary Location",WWWW[[#This Row],[Total PoP ]]/50,(WWWW[[#This Row],[Total PoP ]]/6))),0)</f>
        <v>13</v>
      </c>
      <c r="DD511" s="867">
        <f>IF(WWWW[[#This Row],[Total required Latrines]]-(WWWW[[#This Row],['#_Constructed latrines_by_WASHAgencies]]+WWWW[[#This Row],['#_Non Cluster partner latrines]])&lt;0,0,WWWW[[#This Row],[Total required Latrines]]-(WWWW[[#This Row],['#_Constructed latrines_by_WASHAgencies]]+WWWW[[#This Row],['#_Non Cluster partner latrines]]))</f>
        <v>0</v>
      </c>
      <c r="DE511" s="869">
        <f>1-WWWW[[#This Row],[% people access to functioning Latrine]]</f>
        <v>0</v>
      </c>
      <c r="DF511" s="868">
        <f>IF(OR(WWWW[[#This Row],['#_Non-functional latrines]]="",WWWW[[#This Row],['#_Non-functional latrines]]=0),0,WWWW[[#This Row],['#_Non-functional latrines]]/(WWWW[[#This Row],['#_Constructed latrines_by_WASHAgencies]]+WWWW[[#This Row],['#_Non Cluster partner latrines]]))</f>
        <v>0</v>
      </c>
      <c r="DG511" s="864">
        <f>IF(500*(WWWW[[#This Row],['#_male hygiene promoters]]+WWWW[[#This Row],['#_female hygiene promoters]])&gt;WWWW[[#This Row],[Total PoP ]],WWWW[[#This Row],[Total PoP ]],500*(WWWW[[#This Row],['#_male hygiene promoters]]+WWWW[[#This Row],['#_female hygiene promoters]]))</f>
        <v>263</v>
      </c>
      <c r="DH51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263</v>
      </c>
      <c r="DI51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1" s="867">
        <f>IF(WWWW[[#This Row],['# People with access to soap]]&gt;WWWW[[#This Row],['# People with access to Sanity Pads]],WWWW[[#This Row],['# People with access to soap]],WWWW[[#This Row],['# People with access to Sanity Pads]])</f>
        <v>263</v>
      </c>
      <c r="DK511" s="867">
        <f>IF(WWWW[[#This Row],['# people reached by regular dedicated hygiene promotion_5]]&gt;WWWW[[#This Row],['# People received regular supply of hygiene items_6]],WWWW[[#This Row],['# people reached by regular dedicated hygiene promotion_5]],WWWW[[#This Row],['# People received regular supply of hygiene items_6]])</f>
        <v>263</v>
      </c>
      <c r="DL511" s="869">
        <f>IF(WWWW[[#This Row],[HRP3]]/WWWW[[#This Row],[Total PoP ]]&gt;1,1,WWWW[[#This Row],[HRP3]]/WWWW[[#This Row],[Total PoP ]])</f>
        <v>1</v>
      </c>
      <c r="DM511" s="868">
        <f>1-WWWW[[#This Row],[Hygiene Coverage%]]</f>
        <v>0</v>
      </c>
      <c r="DN511" s="866">
        <f>WWWW[[#This Row],['# people reached by regular dedicated hygiene promotion_5]]/WWWW[[#This Row],[Total PoP ]]</f>
        <v>1</v>
      </c>
      <c r="DO51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1" s="867">
        <f>WWWW[[#This Row],['#_Constructed/Existing hand washing stations]]-WWWW[[#This Row],['#_Non-Functional_hand_washing_stations]]</f>
        <v>6</v>
      </c>
      <c r="DR511" s="864">
        <f>IF(WWWW[[#This Row],['# Functional hand washing stations during reporting period]]*20&gt;WWWW[[#This Row],[Total HH]],WWWW[[#This Row],[Total HH]],WWWW[[#This Row],['# Functional hand washing stations during reporting period]]*20)</f>
        <v>56</v>
      </c>
      <c r="DS511" s="864">
        <f>IF(WWWW[[#This Row],[Is sufficient soap available for TLS? (Yes/No)]]="yes",WWWW[[#This Row],['#_Constructed/Existing hand washing stations at TLS]],0)</f>
        <v>0</v>
      </c>
      <c r="DT511" s="479">
        <f>IF(WWWW[[#This Row],['# Functional hand washing stations during reporting period]]*100&gt;WWWW[[#This Row],[Total PoP ]],WWWW[[#This Row],[Total PoP ]],WWWW[[#This Row],['# Functional hand washing stations during reporting period]]*100)</f>
        <v>263</v>
      </c>
      <c r="DU511" s="479" t="str">
        <f>IF(OR(WWWW[[#This Row],['#_students at TLS_CFS]]="",WWWW[[#This Row],['#_students at TLS_CFS]]=0),"No","Yes")</f>
        <v>No</v>
      </c>
      <c r="DV51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1" s="862" t="str">
        <f>VLOOKUP(WWWW[[#This Row],[Site Name]],SiteDB6[[Site Name]:[CCCM Management]],6,FALSE)</f>
        <v>Yes</v>
      </c>
      <c r="DZ511" s="862" t="str">
        <f>VLOOKUP(WWWW[[#This Row],[Site Name]],SiteDB6[[Site Name]:[CCCM Focal Agency]],7,FALSE)</f>
        <v>KBC-NSS</v>
      </c>
      <c r="EA511" s="862" t="str">
        <f>VLOOKUP(WWWW[[#This Row],[Site Name]],SiteDB6[[Site Name]:[Location Type 1]],9,FALSE)</f>
        <v>Camp</v>
      </c>
      <c r="EB511" s="862" t="str">
        <f>VLOOKUP(WWWW[[#This Row],[Site Name]],SiteDB6[[Site Name]:[Type of Accommodation]],10,FALSE)</f>
        <v>Camp</v>
      </c>
      <c r="EC511" s="862" t="str">
        <f>VLOOKUP(WWWW[[#This Row],[Site Name]],SiteDB6[[Site Name]:[Ethnic or GCA/NGCA]],11,FALSE)</f>
        <v>GCA</v>
      </c>
      <c r="ED511" s="862">
        <f>VLOOKUP(WWWW[[#This Row],[Site Name]],SiteDB6[[Site Name]:[Lat]],12,FALSE)</f>
        <v>23.694130000000001</v>
      </c>
      <c r="EE511" s="862">
        <f>VLOOKUP(WWWW[[#This Row],[Site Name]],SiteDB6[[Site Name]:[Long]],13,FALSE)</f>
        <v>97.818979999999996</v>
      </c>
      <c r="EF511" s="862" t="str">
        <f>VLOOKUP(WWWW[[#This Row],[Site Name]],SiteDB6[[Site Name]:[Pcode]],3,FALSE)</f>
        <v>MMR015CMP007</v>
      </c>
      <c r="EG511" s="865" t="str">
        <f t="shared" si="15"/>
        <v>Covered</v>
      </c>
      <c r="EH511" s="865" t="str">
        <f>VLOOKUP(WWWW[[#This Row],[Site Name]],Site_DB!$C$389:$D$1120,2,FALSE)</f>
        <v>cccm_2019OCT</v>
      </c>
    </row>
    <row r="512" spans="1:138">
      <c r="A512" s="860" t="s">
        <v>3263</v>
      </c>
      <c r="B512" s="860" t="s">
        <v>195</v>
      </c>
      <c r="C512" s="861" t="s">
        <v>195</v>
      </c>
      <c r="D512" s="861" t="s">
        <v>3364</v>
      </c>
      <c r="E512" s="861" t="s">
        <v>711</v>
      </c>
      <c r="F512" s="861" t="s">
        <v>715</v>
      </c>
      <c r="G512" s="721" t="str">
        <f>VLOOKUP(WWWW[[#This Row],[Site Name]],SiteDB6[[Site Name]:[Location Type]],8,FALSE)</f>
        <v>Camp</v>
      </c>
      <c r="H512" s="861" t="s">
        <v>2180</v>
      </c>
      <c r="I512" s="851">
        <v>34</v>
      </c>
      <c r="J512" s="851">
        <v>114</v>
      </c>
      <c r="K512" s="407" t="s">
        <v>3634</v>
      </c>
      <c r="L512" s="56" t="s">
        <v>3632</v>
      </c>
      <c r="M512" s="851"/>
      <c r="N512" s="851">
        <v>1</v>
      </c>
      <c r="O512" s="851"/>
      <c r="P512" s="851"/>
      <c r="Q512" s="864" t="s">
        <v>43</v>
      </c>
      <c r="R512" s="851">
        <v>5</v>
      </c>
      <c r="S512" s="851">
        <v>4</v>
      </c>
      <c r="T512" s="523"/>
      <c r="U512" s="851"/>
      <c r="V512" s="851"/>
      <c r="W512" s="851">
        <v>2</v>
      </c>
      <c r="X512" s="851"/>
      <c r="Y512" s="851"/>
      <c r="Z512" s="851"/>
      <c r="AA512" s="851"/>
      <c r="AB512" s="851"/>
      <c r="AC512" s="851"/>
      <c r="AD512" s="851"/>
      <c r="AE512" s="851"/>
      <c r="AF512" s="851"/>
      <c r="AG512" s="851">
        <v>1</v>
      </c>
      <c r="AH512" s="851">
        <v>1</v>
      </c>
      <c r="AI512" s="851"/>
      <c r="AJ512" s="851"/>
      <c r="AK512" s="851"/>
      <c r="AL512" s="851"/>
      <c r="AM512" s="851"/>
      <c r="AN512" s="851"/>
      <c r="AO512" s="865"/>
      <c r="AP512" s="851">
        <v>8</v>
      </c>
      <c r="AQ512" s="851"/>
      <c r="AR512" s="866"/>
      <c r="AS512" s="851"/>
      <c r="AT512" s="851"/>
      <c r="AU512" s="851"/>
      <c r="AV512" s="851"/>
      <c r="AW512" s="851"/>
      <c r="AX512" s="862" t="s">
        <v>43</v>
      </c>
      <c r="AY512" s="865" t="s">
        <v>139</v>
      </c>
      <c r="AZ512" s="851"/>
      <c r="BA512" s="851"/>
      <c r="BB512" s="851"/>
      <c r="BC512" s="523"/>
      <c r="BD512" s="523"/>
      <c r="BE512" s="862"/>
      <c r="BF512" s="851">
        <v>4</v>
      </c>
      <c r="BG512" s="851"/>
      <c r="BH512" s="851"/>
      <c r="BI512" s="851">
        <v>1</v>
      </c>
      <c r="BJ512" s="851"/>
      <c r="BK512" s="851"/>
      <c r="BL512" s="851">
        <v>2</v>
      </c>
      <c r="BM512" s="851">
        <v>34</v>
      </c>
      <c r="BN512" s="851"/>
      <c r="BO512" s="862"/>
      <c r="BP512" s="867"/>
      <c r="BQ512" s="866"/>
      <c r="BR512" s="862"/>
      <c r="BS512" s="472"/>
      <c r="BT512" s="472"/>
      <c r="BU512" s="474"/>
      <c r="BV512" s="472"/>
      <c r="BW512" s="523"/>
      <c r="BX512" s="523"/>
      <c r="BY512" s="523"/>
      <c r="BZ512" s="868" t="str">
        <f>IFERROR(WWWW[[#This Row],['#_Water sources passed]]/WWWW[[#This Row],['#_Water sources tested for fecal coliform ]],"no test")</f>
        <v>no test</v>
      </c>
      <c r="CA512" s="866" t="str">
        <f>IFERROR(WWWW[[#This Row],['#_Household passed]]/WWWW[[#This Row],['#_Household water samples tested for fecal coliform]],"no test")</f>
        <v>no test</v>
      </c>
      <c r="CB512" s="867" t="str">
        <f>IF(AND(WWWW[[#This Row],[% of water sources passed]]="no test",WWWW[[#This Row],[% Household passed]]="no test"),"No Test","Tested")</f>
        <v>No Test</v>
      </c>
      <c r="CC512" s="867">
        <f>WWWW[[#This Row],['#_Constructed/existing protected hand dug well]]-WWWW[[#This Row],['#_Non-functional protected hand dug well]]</f>
        <v>0</v>
      </c>
      <c r="CD512" s="867">
        <f>(WWWW[[#This Row],['#_Constructed/Existing tube wells/boreholes/handpumps_WASH_agency]]+WWWW[[#This Row],['#_Non-Cluster partner water tube-wells/boreholes/handpumps]])-WWWW[[#This Row],['#_Non-functional tube wells/boreholes/handpumps]]</f>
        <v>2</v>
      </c>
      <c r="CE512" s="867">
        <f>WWWW[[#This Row],['#_Constructed/Existingwater storage tank with gravity fed reticulation system]]-WWWW[[#This Row],['#_Non-functional storage tank gravity fed reticulation system]]</f>
        <v>0</v>
      </c>
      <c r="CF512" s="867">
        <f>(WWWW[[#This Row],['#_Water_Liters_supplied_by_Water boating or water trucking]]/90)/15</f>
        <v>0</v>
      </c>
      <c r="CG512" s="867">
        <f>WWWW[[#This Row],['#_Water_Liters_from_Constructed/Existing water distribution system from river or natural spring]]/90/15</f>
        <v>0</v>
      </c>
      <c r="CH512" s="473">
        <f>WWWW[[#This Row],['#_of water points in TLS/CFS /THF]]*500</f>
        <v>0</v>
      </c>
      <c r="CI51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1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12" s="866">
        <f>IF(WWWW[[#This Row],[Location Type 1]]="Village",WWWW[[#This Row],[Access to safe drinking water for Village]],WWWW[[#This Row],[Access to safe drinking water for Camp]])</f>
        <v>1</v>
      </c>
      <c r="CL512" s="864">
        <f>WWWW[[#This Row],[%Equitable and continuous access to sufficient quantity of safe drinking water]]*WWWW[[#This Row],[Total PoP ]]</f>
        <v>114</v>
      </c>
      <c r="CM512" s="866">
        <f>IF((WWWW[[#This Row],['#_Constructed/Existing protected/fenced ponds]]*250)/WWWW[[#This Row],[Total PoP ]]&gt;1,1,(WWWW[[#This Row],['#_Constructed/Existing protected/fenced ponds]]*250)/WWWW[[#This Row],[Total PoP ]])</f>
        <v>0</v>
      </c>
      <c r="CN512" s="864">
        <f>WWWW[[#This Row],[% Access to unimproved water points]]*WWWW[[#This Row],[Total PoP ]]</f>
        <v>0</v>
      </c>
      <c r="CO51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1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Q512" s="864">
        <f>WWWW[[#This Row],[HRP1]]/500</f>
        <v>0.22800000000000001</v>
      </c>
      <c r="CR512" s="869">
        <f>1-WWWW[[#This Row],[% Equitable and continuous access to sufficient quantity of domestic water]]</f>
        <v>0</v>
      </c>
      <c r="CS512" s="864">
        <f>WWWW[[#This Row],[%equitable and continuous access to sufficient quantity of safe drinking and domestic water''s GAP]]*WWWW[[#This Row],[Total PoP ]]</f>
        <v>0</v>
      </c>
      <c r="CT512" s="867">
        <f>IF(WWWW[[#This Row],[Total required water points]]-WWWW[[#This Row],['#Water points coverage]]&lt;0,0,WWWW[[#This Row],[Total required water points]]-WWWW[[#This Row],['#Water points coverage]])</f>
        <v>0.77200000000000002</v>
      </c>
      <c r="CU512" s="867">
        <f>ROUND(IF(WWWW[[#This Row],[Total PoP ]]&lt;500,1,WWWW[[#This Row],[Total PoP ]]/500),0)</f>
        <v>1</v>
      </c>
      <c r="CV512" s="867">
        <f>(WWWW[[#This Row],['#_Constructed latrines_by_WASHAgencies]]+WWWW[[#This Row],['#_Non Cluster partner latrines]])-WWWW[[#This Row],['#_Non-functional latrines]]</f>
        <v>8</v>
      </c>
      <c r="CW512" s="804">
        <f>WWWW[[#This Row],[HRP2]]/WWWW[[#This Row],[Total PoP ]]</f>
        <v>1</v>
      </c>
      <c r="CX51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114</v>
      </c>
      <c r="CY51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2" s="473">
        <f>IF(WWWW[[#This Row],['# of functional latrines in THF supported by WASH partners during the reporting period2]]="",0,WWWW[[#This Row],['# of functional latrines in THF supported by WASH partners during the reporting period2]]*50)</f>
        <v>0</v>
      </c>
      <c r="DB512" s="473">
        <f>WWWW[[#This Row],['# students access to functioning school latrines_HRP5]]+WWWW[[#This Row],['# People access to functioning latrines in THF_HRP5]]</f>
        <v>0</v>
      </c>
      <c r="DC512" s="867">
        <f>ROUND(IF(WWWW[[#This Row],[Location Type 1]]="camp",WWWW[[#This Row],[Total PoP ]]/20,IF(WWWW[[#This Row],[Location Type 1]]="Temporary Location",WWWW[[#This Row],[Total PoP ]]/50,(WWWW[[#This Row],[Total PoP ]]/6))),0)</f>
        <v>6</v>
      </c>
      <c r="DD512" s="867">
        <f>IF(WWWW[[#This Row],[Total required Latrines]]-(WWWW[[#This Row],['#_Constructed latrines_by_WASHAgencies]]+WWWW[[#This Row],['#_Non Cluster partner latrines]])&lt;0,0,WWWW[[#This Row],[Total required Latrines]]-(WWWW[[#This Row],['#_Constructed latrines_by_WASHAgencies]]+WWWW[[#This Row],['#_Non Cluster partner latrines]]))</f>
        <v>0</v>
      </c>
      <c r="DE512" s="869">
        <f>1-WWWW[[#This Row],[% people access to functioning Latrine]]</f>
        <v>0</v>
      </c>
      <c r="DF512" s="868">
        <f>IF(OR(WWWW[[#This Row],['#_Non-functional latrines]]="",WWWW[[#This Row],['#_Non-functional latrines]]=0),0,WWWW[[#This Row],['#_Non-functional latrines]]/(WWWW[[#This Row],['#_Constructed latrines_by_WASHAgencies]]+WWWW[[#This Row],['#_Non Cluster partner latrines]]))</f>
        <v>0</v>
      </c>
      <c r="DG512" s="864">
        <f>IF(500*(WWWW[[#This Row],['#_male hygiene promoters]]+WWWW[[#This Row],['#_female hygiene promoters]])&gt;WWWW[[#This Row],[Total PoP ]],WWWW[[#This Row],[Total PoP ]],500*(WWWW[[#This Row],['#_male hygiene promoters]]+WWWW[[#This Row],['#_female hygiene promoters]]))</f>
        <v>114</v>
      </c>
      <c r="DH51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114</v>
      </c>
      <c r="DI51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2" s="867">
        <f>IF(WWWW[[#This Row],['# People with access to soap]]&gt;WWWW[[#This Row],['# People with access to Sanity Pads]],WWWW[[#This Row],['# People with access to soap]],WWWW[[#This Row],['# People with access to Sanity Pads]])</f>
        <v>114</v>
      </c>
      <c r="DK512" s="867">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L512" s="869">
        <f>IF(WWWW[[#This Row],[HRP3]]/WWWW[[#This Row],[Total PoP ]]&gt;1,1,WWWW[[#This Row],[HRP3]]/WWWW[[#This Row],[Total PoP ]])</f>
        <v>1</v>
      </c>
      <c r="DM512" s="868">
        <f>1-WWWW[[#This Row],[Hygiene Coverage%]]</f>
        <v>0</v>
      </c>
      <c r="DN512" s="866">
        <f>WWWW[[#This Row],['# people reached by regular dedicated hygiene promotion_5]]/WWWW[[#This Row],[Total PoP ]]</f>
        <v>1</v>
      </c>
      <c r="DO51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2" s="867">
        <f>WWWW[[#This Row],['#_Constructed/Existing hand washing stations]]-WWWW[[#This Row],['#_Non-Functional_hand_washing_stations]]</f>
        <v>4</v>
      </c>
      <c r="DR512" s="864">
        <f>IF(WWWW[[#This Row],['# Functional hand washing stations during reporting period]]*20&gt;WWWW[[#This Row],[Total HH]],WWWW[[#This Row],[Total HH]],WWWW[[#This Row],['# Functional hand washing stations during reporting period]]*20)</f>
        <v>34</v>
      </c>
      <c r="DS512" s="864">
        <f>IF(WWWW[[#This Row],[Is sufficient soap available for TLS? (Yes/No)]]="yes",WWWW[[#This Row],['#_Constructed/Existing hand washing stations at TLS]],0)</f>
        <v>0</v>
      </c>
      <c r="DT512" s="479">
        <f>IF(WWWW[[#This Row],['# Functional hand washing stations during reporting period]]*100&gt;WWWW[[#This Row],[Total PoP ]],WWWW[[#This Row],[Total PoP ]],WWWW[[#This Row],['# Functional hand washing stations during reporting period]]*100)</f>
        <v>114</v>
      </c>
      <c r="DU512" s="479" t="str">
        <f>IF(OR(WWWW[[#This Row],['#_students at TLS_CFS]]="",WWWW[[#This Row],['#_students at TLS_CFS]]=0),"No","Yes")</f>
        <v>No</v>
      </c>
      <c r="DV51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2" s="862" t="str">
        <f>VLOOKUP(WWWW[[#This Row],[Site Name]],SiteDB6[[Site Name]:[CCCM Management]],6,FALSE)</f>
        <v>Yes</v>
      </c>
      <c r="DZ512" s="862" t="str">
        <f>VLOOKUP(WWWW[[#This Row],[Site Name]],SiteDB6[[Site Name]:[CCCM Focal Agency]],7,FALSE)</f>
        <v>KMSS-LSO</v>
      </c>
      <c r="EA512" s="862" t="str">
        <f>VLOOKUP(WWWW[[#This Row],[Site Name]],SiteDB6[[Site Name]:[Location Type 1]],9,FALSE)</f>
        <v>Camp</v>
      </c>
      <c r="EB512" s="862" t="str">
        <f>VLOOKUP(WWWW[[#This Row],[Site Name]],SiteDB6[[Site Name]:[Type of Accommodation]],10,FALSE)</f>
        <v>Camp</v>
      </c>
      <c r="EC512" s="862" t="str">
        <f>VLOOKUP(WWWW[[#This Row],[Site Name]],SiteDB6[[Site Name]:[Ethnic or GCA/NGCA]],11,FALSE)</f>
        <v>GCA</v>
      </c>
      <c r="ED512" s="862">
        <f>VLOOKUP(WWWW[[#This Row],[Site Name]],SiteDB6[[Site Name]:[Lat]],12,FALSE)</f>
        <v>23.682887999999998</v>
      </c>
      <c r="EE512" s="862">
        <f>VLOOKUP(WWWW[[#This Row],[Site Name]],SiteDB6[[Site Name]:[Long]],13,FALSE)</f>
        <v>97.810101000000003</v>
      </c>
      <c r="EF512" s="862" t="str">
        <f>VLOOKUP(WWWW[[#This Row],[Site Name]],SiteDB6[[Site Name]:[Pcode]],3,FALSE)</f>
        <v>MMR015CMP225</v>
      </c>
      <c r="EG512" s="865" t="str">
        <f t="shared" si="15"/>
        <v>Covered</v>
      </c>
      <c r="EH512" s="865" t="str">
        <f>VLOOKUP(WWWW[[#This Row],[Site Name]],Site_DB!$C$389:$D$1120,2,FALSE)</f>
        <v>cccm_2019OCT</v>
      </c>
    </row>
    <row r="513" spans="1:138">
      <c r="A513" s="860" t="s">
        <v>3263</v>
      </c>
      <c r="B513" s="860" t="s">
        <v>195</v>
      </c>
      <c r="C513" s="861" t="s">
        <v>195</v>
      </c>
      <c r="D513" s="861" t="s">
        <v>3630</v>
      </c>
      <c r="E513" s="861" t="s">
        <v>711</v>
      </c>
      <c r="F513" s="861" t="s">
        <v>730</v>
      </c>
      <c r="G513" s="721" t="str">
        <f>VLOOKUP(WWWW[[#This Row],[Site Name]],SiteDB6[[Site Name]:[Location Type]],8,FALSE)</f>
        <v>Camp</v>
      </c>
      <c r="H513" s="861" t="s">
        <v>731</v>
      </c>
      <c r="I513" s="851">
        <v>34</v>
      </c>
      <c r="J513" s="851">
        <v>182</v>
      </c>
      <c r="K513" s="717" t="s">
        <v>3631</v>
      </c>
      <c r="L513" s="718" t="s">
        <v>3632</v>
      </c>
      <c r="M513" s="851"/>
      <c r="N513" s="851"/>
      <c r="O513" s="851">
        <v>1</v>
      </c>
      <c r="P513" s="851"/>
      <c r="Q513" s="864" t="s">
        <v>43</v>
      </c>
      <c r="R513" s="851"/>
      <c r="S513" s="851">
        <v>5</v>
      </c>
      <c r="T513" s="523">
        <v>4</v>
      </c>
      <c r="U513" s="851"/>
      <c r="V513" s="851"/>
      <c r="W513" s="851">
        <v>1</v>
      </c>
      <c r="X513" s="851"/>
      <c r="Y513" s="851"/>
      <c r="Z513" s="851"/>
      <c r="AA513" s="851"/>
      <c r="AB513" s="851"/>
      <c r="AC513" s="851"/>
      <c r="AD513" s="851"/>
      <c r="AE513" s="851"/>
      <c r="AF513" s="851"/>
      <c r="AG513" s="851"/>
      <c r="AH513" s="851"/>
      <c r="AI513" s="851"/>
      <c r="AJ513" s="851"/>
      <c r="AK513" s="851"/>
      <c r="AL513" s="851"/>
      <c r="AM513" s="851"/>
      <c r="AN513" s="851"/>
      <c r="AO513" s="865"/>
      <c r="AP513" s="851">
        <v>10</v>
      </c>
      <c r="AQ513" s="851">
        <v>10</v>
      </c>
      <c r="AR513" s="866"/>
      <c r="AS513" s="851"/>
      <c r="AT513" s="851"/>
      <c r="AU513" s="851"/>
      <c r="AV513" s="851"/>
      <c r="AW513" s="851"/>
      <c r="AX513" s="862" t="s">
        <v>43</v>
      </c>
      <c r="AY513" s="865" t="s">
        <v>140</v>
      </c>
      <c r="AZ513" s="851"/>
      <c r="BA513" s="851"/>
      <c r="BB513" s="851"/>
      <c r="BC513" s="523"/>
      <c r="BD513" s="523"/>
      <c r="BE513" s="914" t="s">
        <v>3633</v>
      </c>
      <c r="BF513" s="851"/>
      <c r="BG513" s="851"/>
      <c r="BH513" s="851"/>
      <c r="BI513" s="851">
        <v>2</v>
      </c>
      <c r="BJ513" s="851"/>
      <c r="BK513" s="851"/>
      <c r="BL513" s="851">
        <v>1</v>
      </c>
      <c r="BM513" s="851">
        <v>34</v>
      </c>
      <c r="BN513" s="851"/>
      <c r="BO513" s="862" t="s">
        <v>139</v>
      </c>
      <c r="BP513" s="867"/>
      <c r="BQ513" s="866"/>
      <c r="BR513" s="862"/>
      <c r="BS513" s="472"/>
      <c r="BT513" s="472"/>
      <c r="BU513" s="474"/>
      <c r="BV513" s="472"/>
      <c r="BW513" s="523"/>
      <c r="BX513" s="523"/>
      <c r="BY513" s="523"/>
      <c r="BZ513" s="868" t="str">
        <f>IFERROR(WWWW[[#This Row],['#_Water sources passed]]/WWWW[[#This Row],['#_Water sources tested for fecal coliform ]],"no test")</f>
        <v>no test</v>
      </c>
      <c r="CA513" s="866" t="str">
        <f>IFERROR(WWWW[[#This Row],['#_Household passed]]/WWWW[[#This Row],['#_Household water samples tested for fecal coliform]],"no test")</f>
        <v>no test</v>
      </c>
      <c r="CB513" s="867" t="str">
        <f>IF(AND(WWWW[[#This Row],[% of water sources passed]]="no test",WWWW[[#This Row],[% Household passed]]="no test"),"No Test","Tested")</f>
        <v>No Test</v>
      </c>
      <c r="CC513" s="867">
        <f>WWWW[[#This Row],['#_Constructed/existing protected hand dug well]]-WWWW[[#This Row],['#_Non-functional protected hand dug well]]</f>
        <v>4</v>
      </c>
      <c r="CD513" s="867">
        <f>(WWWW[[#This Row],['#_Constructed/Existing tube wells/boreholes/handpumps_WASH_agency]]+WWWW[[#This Row],['#_Non-Cluster partner water tube-wells/boreholes/handpumps]])-WWWW[[#This Row],['#_Non-functional tube wells/boreholes/handpumps]]</f>
        <v>1</v>
      </c>
      <c r="CE513" s="867">
        <f>WWWW[[#This Row],['#_Constructed/Existingwater storage tank with gravity fed reticulation system]]-WWWW[[#This Row],['#_Non-functional storage tank gravity fed reticulation system]]</f>
        <v>0</v>
      </c>
      <c r="CF513" s="867">
        <f>(WWWW[[#This Row],['#_Water_Liters_supplied_by_Water boating or water trucking]]/90)/15</f>
        <v>0</v>
      </c>
      <c r="CG513" s="867">
        <f>WWWW[[#This Row],['#_Water_Liters_from_Constructed/Existing water distribution system from river or natural spring]]/90/15</f>
        <v>0</v>
      </c>
      <c r="CH513" s="473">
        <f>WWWW[[#This Row],['#_of water points in TLS/CFS /THF]]*500</f>
        <v>0</v>
      </c>
      <c r="CI51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1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13" s="866">
        <f>IF(WWWW[[#This Row],[Location Type 1]]="Village",WWWW[[#This Row],[Access to safe drinking water for Village]],WWWW[[#This Row],[Access to safe drinking water for Camp]])</f>
        <v>1</v>
      </c>
      <c r="CL513" s="864">
        <f>WWWW[[#This Row],[%Equitable and continuous access to sufficient quantity of safe drinking water]]*WWWW[[#This Row],[Total PoP ]]</f>
        <v>182</v>
      </c>
      <c r="CM513" s="866">
        <f>IF((WWWW[[#This Row],['#_Constructed/Existing protected/fenced ponds]]*250)/WWWW[[#This Row],[Total PoP ]]&gt;1,1,(WWWW[[#This Row],['#_Constructed/Existing protected/fenced ponds]]*250)/WWWW[[#This Row],[Total PoP ]])</f>
        <v>0</v>
      </c>
      <c r="CN513" s="864">
        <f>WWWW[[#This Row],[% Access to unimproved water points]]*WWWW[[#This Row],[Total PoP ]]</f>
        <v>0</v>
      </c>
      <c r="CO51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1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Q513" s="864">
        <f>WWWW[[#This Row],[HRP1]]/500</f>
        <v>0.36399999999999999</v>
      </c>
      <c r="CR513" s="869">
        <f>1-WWWW[[#This Row],[% Equitable and continuous access to sufficient quantity of domestic water]]</f>
        <v>0</v>
      </c>
      <c r="CS513" s="864">
        <f>WWWW[[#This Row],[%equitable and continuous access to sufficient quantity of safe drinking and domestic water''s GAP]]*WWWW[[#This Row],[Total PoP ]]</f>
        <v>0</v>
      </c>
      <c r="CT513" s="867">
        <f>IF(WWWW[[#This Row],[Total required water points]]-WWWW[[#This Row],['#Water points coverage]]&lt;0,0,WWWW[[#This Row],[Total required water points]]-WWWW[[#This Row],['#Water points coverage]])</f>
        <v>0.63600000000000001</v>
      </c>
      <c r="CU513" s="867">
        <f>ROUND(IF(WWWW[[#This Row],[Total PoP ]]&lt;500,1,WWWW[[#This Row],[Total PoP ]]/500),0)</f>
        <v>1</v>
      </c>
      <c r="CV513" s="867">
        <f>(WWWW[[#This Row],['#_Constructed latrines_by_WASHAgencies]]+WWWW[[#This Row],['#_Non Cluster partner latrines]])-WWWW[[#This Row],['#_Non-functional latrines]]</f>
        <v>20</v>
      </c>
      <c r="CW513" s="804">
        <f>WWWW[[#This Row],[HRP2]]/WWWW[[#This Row],[Total PoP ]]</f>
        <v>1</v>
      </c>
      <c r="CX51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CY51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3" s="473">
        <f>IF(WWWW[[#This Row],['# of functional latrines in THF supported by WASH partners during the reporting period2]]="",0,WWWW[[#This Row],['# of functional latrines in THF supported by WASH partners during the reporting period2]]*50)</f>
        <v>0</v>
      </c>
      <c r="DB513" s="473">
        <f>WWWW[[#This Row],['# students access to functioning school latrines_HRP5]]+WWWW[[#This Row],['# People access to functioning latrines in THF_HRP5]]</f>
        <v>0</v>
      </c>
      <c r="DC513" s="867">
        <f>ROUND(IF(WWWW[[#This Row],[Location Type 1]]="camp",WWWW[[#This Row],[Total PoP ]]/20,IF(WWWW[[#This Row],[Location Type 1]]="Temporary Location",WWWW[[#This Row],[Total PoP ]]/50,(WWWW[[#This Row],[Total PoP ]]/6))),0)</f>
        <v>9</v>
      </c>
      <c r="DD513" s="867">
        <f>IF(WWWW[[#This Row],[Total required Latrines]]-(WWWW[[#This Row],['#_Constructed latrines_by_WASHAgencies]]+WWWW[[#This Row],['#_Non Cluster partner latrines]])&lt;0,0,WWWW[[#This Row],[Total required Latrines]]-(WWWW[[#This Row],['#_Constructed latrines_by_WASHAgencies]]+WWWW[[#This Row],['#_Non Cluster partner latrines]]))</f>
        <v>0</v>
      </c>
      <c r="DE513" s="869">
        <f>1-WWWW[[#This Row],[% people access to functioning Latrine]]</f>
        <v>0</v>
      </c>
      <c r="DF513" s="868">
        <f>IF(OR(WWWW[[#This Row],['#_Non-functional latrines]]="",WWWW[[#This Row],['#_Non-functional latrines]]=0),0,WWWW[[#This Row],['#_Non-functional latrines]]/(WWWW[[#This Row],['#_Constructed latrines_by_WASHAgencies]]+WWWW[[#This Row],['#_Non Cluster partner latrines]]))</f>
        <v>0</v>
      </c>
      <c r="DG513" s="864">
        <f>IF(500*(WWWW[[#This Row],['#_male hygiene promoters]]+WWWW[[#This Row],['#_female hygiene promoters]])&gt;WWWW[[#This Row],[Total PoP ]],WWWW[[#This Row],[Total PoP ]],500*(WWWW[[#This Row],['#_male hygiene promoters]]+WWWW[[#This Row],['#_female hygiene promoters]]))</f>
        <v>182</v>
      </c>
      <c r="DH51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182</v>
      </c>
      <c r="DI51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3" s="867">
        <f>IF(WWWW[[#This Row],['# People with access to soap]]&gt;WWWW[[#This Row],['# People with access to Sanity Pads]],WWWW[[#This Row],['# People with access to soap]],WWWW[[#This Row],['# People with access to Sanity Pads]])</f>
        <v>182</v>
      </c>
      <c r="DK513" s="867">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L513" s="869">
        <f>IF(WWWW[[#This Row],[HRP3]]/WWWW[[#This Row],[Total PoP ]]&gt;1,1,WWWW[[#This Row],[HRP3]]/WWWW[[#This Row],[Total PoP ]])</f>
        <v>1</v>
      </c>
      <c r="DM513" s="868">
        <f>1-WWWW[[#This Row],[Hygiene Coverage%]]</f>
        <v>0</v>
      </c>
      <c r="DN513" s="866">
        <f>WWWW[[#This Row],['# people reached by regular dedicated hygiene promotion_5]]/WWWW[[#This Row],[Total PoP ]]</f>
        <v>1</v>
      </c>
      <c r="DO51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3" s="867">
        <f>WWWW[[#This Row],['#_Constructed/Existing hand washing stations]]-WWWW[[#This Row],['#_Non-Functional_hand_washing_stations]]</f>
        <v>0</v>
      </c>
      <c r="DR513" s="864">
        <f>IF(WWWW[[#This Row],['# Functional hand washing stations during reporting period]]*20&gt;WWWW[[#This Row],[Total HH]],WWWW[[#This Row],[Total HH]],WWWW[[#This Row],['# Functional hand washing stations during reporting period]]*20)</f>
        <v>0</v>
      </c>
      <c r="DS513" s="864">
        <f>IF(WWWW[[#This Row],[Is sufficient soap available for TLS? (Yes/No)]]="yes",WWWW[[#This Row],['#_Constructed/Existing hand washing stations at TLS]],0)</f>
        <v>0</v>
      </c>
      <c r="DT513" s="479">
        <f>IF(WWWW[[#This Row],['# Functional hand washing stations during reporting period]]*100&gt;WWWW[[#This Row],[Total PoP ]],WWWW[[#This Row],[Total PoP ]],WWWW[[#This Row],['# Functional hand washing stations during reporting period]]*100)</f>
        <v>0</v>
      </c>
      <c r="DU513" s="479" t="str">
        <f>IF(OR(WWWW[[#This Row],['#_students at TLS_CFS]]="",WWWW[[#This Row],['#_students at TLS_CFS]]=0),"No","Yes")</f>
        <v>No</v>
      </c>
      <c r="DV51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3" s="862" t="str">
        <f>VLOOKUP(WWWW[[#This Row],[Site Name]],SiteDB6[[Site Name]:[CCCM Management]],6,FALSE)</f>
        <v>Yes</v>
      </c>
      <c r="DZ513" s="862" t="str">
        <f>VLOOKUP(WWWW[[#This Row],[Site Name]],SiteDB6[[Site Name]:[CCCM Focal Agency]],7,FALSE)</f>
        <v>KBC-NSS</v>
      </c>
      <c r="EA513" s="862" t="str">
        <f>VLOOKUP(WWWW[[#This Row],[Site Name]],SiteDB6[[Site Name]:[Location Type 1]],9,FALSE)</f>
        <v>Camp</v>
      </c>
      <c r="EB513" s="862" t="str">
        <f>VLOOKUP(WWWW[[#This Row],[Site Name]],SiteDB6[[Site Name]:[Type of Accommodation]],10,FALSE)</f>
        <v>Camp</v>
      </c>
      <c r="EC513" s="862" t="str">
        <f>VLOOKUP(WWWW[[#This Row],[Site Name]],SiteDB6[[Site Name]:[Ethnic or GCA/NGCA]],11,FALSE)</f>
        <v>GCA</v>
      </c>
      <c r="ED513" s="862">
        <f>VLOOKUP(WWWW[[#This Row],[Site Name]],SiteDB6[[Site Name]:[Lat]],12,FALSE)</f>
        <v>23.354268999999999</v>
      </c>
      <c r="EE513" s="862">
        <f>VLOOKUP(WWWW[[#This Row],[Site Name]],SiteDB6[[Site Name]:[Long]],13,FALSE)</f>
        <v>98.218626999999998</v>
      </c>
      <c r="EF513" s="862" t="str">
        <f>VLOOKUP(WWWW[[#This Row],[Site Name]],SiteDB6[[Site Name]:[Pcode]],3,FALSE)</f>
        <v>MMR015CMP218</v>
      </c>
      <c r="EG513" s="865" t="str">
        <f t="shared" si="15"/>
        <v>Covered</v>
      </c>
      <c r="EH513" s="865" t="str">
        <f>VLOOKUP(WWWW[[#This Row],[Site Name]],Site_DB!$C$389:$D$1120,2,FALSE)</f>
        <v>cccm_2019OCT</v>
      </c>
    </row>
    <row r="514" spans="1:138">
      <c r="A514" s="860" t="s">
        <v>3263</v>
      </c>
      <c r="B514" s="860" t="s">
        <v>195</v>
      </c>
      <c r="C514" s="861" t="s">
        <v>195</v>
      </c>
      <c r="D514" s="861" t="s">
        <v>3630</v>
      </c>
      <c r="E514" s="861" t="s">
        <v>711</v>
      </c>
      <c r="F514" s="861" t="s">
        <v>732</v>
      </c>
      <c r="G514" s="721" t="str">
        <f>VLOOKUP(WWWW[[#This Row],[Site Name]],SiteDB6[[Site Name]:[Location Type]],8,FALSE)</f>
        <v>Camp</v>
      </c>
      <c r="H514" s="861" t="s">
        <v>743</v>
      </c>
      <c r="I514" s="851">
        <v>38</v>
      </c>
      <c r="J514" s="851">
        <v>161</v>
      </c>
      <c r="K514" s="407" t="s">
        <v>3636</v>
      </c>
      <c r="L514" s="56" t="s">
        <v>3637</v>
      </c>
      <c r="M514" s="851"/>
      <c r="N514" s="851"/>
      <c r="O514" s="851">
        <v>1</v>
      </c>
      <c r="P514" s="851"/>
      <c r="Q514" s="864" t="s">
        <v>43</v>
      </c>
      <c r="R514" s="851">
        <v>3</v>
      </c>
      <c r="S514" s="851">
        <v>3</v>
      </c>
      <c r="T514" s="523"/>
      <c r="U514" s="851"/>
      <c r="V514" s="851"/>
      <c r="W514" s="851"/>
      <c r="X514" s="851"/>
      <c r="Y514" s="851"/>
      <c r="Z514" s="851"/>
      <c r="AA514" s="851">
        <v>1</v>
      </c>
      <c r="AB514" s="851"/>
      <c r="AC514" s="851"/>
      <c r="AD514" s="851"/>
      <c r="AE514" s="851"/>
      <c r="AF514" s="851"/>
      <c r="AG514" s="851">
        <v>3</v>
      </c>
      <c r="AH514" s="851"/>
      <c r="AI514" s="851"/>
      <c r="AJ514" s="851"/>
      <c r="AK514" s="851"/>
      <c r="AL514" s="851"/>
      <c r="AM514" s="851"/>
      <c r="AN514" s="851"/>
      <c r="AO514" s="865"/>
      <c r="AP514" s="851">
        <v>8</v>
      </c>
      <c r="AQ514" s="851"/>
      <c r="AR514" s="866"/>
      <c r="AS514" s="851"/>
      <c r="AT514" s="851"/>
      <c r="AU514" s="851"/>
      <c r="AV514" s="851"/>
      <c r="AW514" s="851"/>
      <c r="AX514" s="862" t="s">
        <v>43</v>
      </c>
      <c r="AY514" s="865" t="s">
        <v>140</v>
      </c>
      <c r="AZ514" s="851"/>
      <c r="BA514" s="851"/>
      <c r="BB514" s="851"/>
      <c r="BC514" s="523"/>
      <c r="BD514" s="523"/>
      <c r="BE514" s="862"/>
      <c r="BF514" s="851">
        <v>5</v>
      </c>
      <c r="BG514" s="851"/>
      <c r="BH514" s="851"/>
      <c r="BI514" s="851">
        <v>2</v>
      </c>
      <c r="BJ514" s="851"/>
      <c r="BK514" s="851"/>
      <c r="BL514" s="851">
        <v>1</v>
      </c>
      <c r="BM514" s="851">
        <v>38</v>
      </c>
      <c r="BN514" s="851"/>
      <c r="BO514" s="862"/>
      <c r="BP514" s="867"/>
      <c r="BQ514" s="866"/>
      <c r="BR514" s="862"/>
      <c r="BS514" s="472"/>
      <c r="BT514" s="472"/>
      <c r="BU514" s="474"/>
      <c r="BV514" s="472"/>
      <c r="BW514" s="523"/>
      <c r="BX514" s="523"/>
      <c r="BY514" s="523"/>
      <c r="BZ514" s="868" t="str">
        <f>IFERROR(WWWW[[#This Row],['#_Water sources passed]]/WWWW[[#This Row],['#_Water sources tested for fecal coliform ]],"no test")</f>
        <v>no test</v>
      </c>
      <c r="CA514" s="866" t="str">
        <f>IFERROR(WWWW[[#This Row],['#_Household passed]]/WWWW[[#This Row],['#_Household water samples tested for fecal coliform]],"no test")</f>
        <v>no test</v>
      </c>
      <c r="CB514" s="867" t="str">
        <f>IF(AND(WWWW[[#This Row],[% of water sources passed]]="no test",WWWW[[#This Row],[% Household passed]]="no test"),"No Test","Tested")</f>
        <v>No Test</v>
      </c>
      <c r="CC514" s="867">
        <f>WWWW[[#This Row],['#_Constructed/existing protected hand dug well]]-WWWW[[#This Row],['#_Non-functional protected hand dug well]]</f>
        <v>0</v>
      </c>
      <c r="CD514" s="867">
        <f>(WWWW[[#This Row],['#_Constructed/Existing tube wells/boreholes/handpumps_WASH_agency]]+WWWW[[#This Row],['#_Non-Cluster partner water tube-wells/boreholes/handpumps]])-WWWW[[#This Row],['#_Non-functional tube wells/boreholes/handpumps]]</f>
        <v>0</v>
      </c>
      <c r="CE514" s="867">
        <f>WWWW[[#This Row],['#_Constructed/Existingwater storage tank with gravity fed reticulation system]]-WWWW[[#This Row],['#_Non-functional storage tank gravity fed reticulation system]]</f>
        <v>1</v>
      </c>
      <c r="CF514" s="867">
        <f>(WWWW[[#This Row],['#_Water_Liters_supplied_by_Water boating or water trucking]]/90)/15</f>
        <v>0</v>
      </c>
      <c r="CG514" s="867">
        <f>WWWW[[#This Row],['#_Water_Liters_from_Constructed/Existing water distribution system from river or natural spring]]/90/15</f>
        <v>0</v>
      </c>
      <c r="CH514" s="473">
        <f>WWWW[[#This Row],['#_of water points in TLS/CFS /THF]]*500</f>
        <v>0</v>
      </c>
      <c r="CI51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0.41407867494824019</v>
      </c>
      <c r="CJ51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0.41407867494824019</v>
      </c>
      <c r="CK514" s="866">
        <f>IF(WWWW[[#This Row],[Location Type 1]]="Village",WWWW[[#This Row],[Access to safe drinking water for Village]],WWWW[[#This Row],[Access to safe drinking water for Camp]])</f>
        <v>0.41407867494824019</v>
      </c>
      <c r="CL514" s="864">
        <f>WWWW[[#This Row],[%Equitable and continuous access to sufficient quantity of safe drinking water]]*WWWW[[#This Row],[Total PoP ]]</f>
        <v>66.666666666666671</v>
      </c>
      <c r="CM514" s="866">
        <f>IF((WWWW[[#This Row],['#_Constructed/Existing protected/fenced ponds]]*250)/WWWW[[#This Row],[Total PoP ]]&gt;1,1,(WWWW[[#This Row],['#_Constructed/Existing protected/fenced ponds]]*250)/WWWW[[#This Row],[Total PoP ]])</f>
        <v>0</v>
      </c>
      <c r="CN514" s="864">
        <f>WWWW[[#This Row],[% Access to unimproved water points]]*WWWW[[#This Row],[Total PoP ]]</f>
        <v>0</v>
      </c>
      <c r="CO51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0.41407867494824019</v>
      </c>
      <c r="CP51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14" s="864">
        <f>WWWW[[#This Row],[HRP1]]/500</f>
        <v>0.13333333333333333</v>
      </c>
      <c r="CR514" s="869">
        <f>1-WWWW[[#This Row],[% Equitable and continuous access to sufficient quantity of domestic water]]</f>
        <v>0.58592132505175987</v>
      </c>
      <c r="CS514" s="864">
        <f>WWWW[[#This Row],[%equitable and continuous access to sufficient quantity of safe drinking and domestic water''s GAP]]*WWWW[[#This Row],[Total PoP ]]</f>
        <v>94.333333333333343</v>
      </c>
      <c r="CT514" s="867">
        <f>IF(WWWW[[#This Row],[Total required water points]]-WWWW[[#This Row],['#Water points coverage]]&lt;0,0,WWWW[[#This Row],[Total required water points]]-WWWW[[#This Row],['#Water points coverage]])</f>
        <v>0.8666666666666667</v>
      </c>
      <c r="CU514" s="867">
        <f>ROUND(IF(WWWW[[#This Row],[Total PoP ]]&lt;500,1,WWWW[[#This Row],[Total PoP ]]/500),0)</f>
        <v>1</v>
      </c>
      <c r="CV514" s="867">
        <f>(WWWW[[#This Row],['#_Constructed latrines_by_WASHAgencies]]+WWWW[[#This Row],['#_Non Cluster partner latrines]])-WWWW[[#This Row],['#_Non-functional latrines]]</f>
        <v>8</v>
      </c>
      <c r="CW514" s="804">
        <f>WWWW[[#This Row],[HRP2]]/WWWW[[#This Row],[Total PoP ]]</f>
        <v>0.99378881987577639</v>
      </c>
      <c r="CX51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51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4" s="473">
        <f>IF(WWWW[[#This Row],['# of functional latrines in THF supported by WASH partners during the reporting period2]]="",0,WWWW[[#This Row],['# of functional latrines in THF supported by WASH partners during the reporting period2]]*50)</f>
        <v>0</v>
      </c>
      <c r="DB514" s="473">
        <f>WWWW[[#This Row],['# students access to functioning school latrines_HRP5]]+WWWW[[#This Row],['# People access to functioning latrines in THF_HRP5]]</f>
        <v>0</v>
      </c>
      <c r="DC514" s="867">
        <f>ROUND(IF(WWWW[[#This Row],[Location Type 1]]="camp",WWWW[[#This Row],[Total PoP ]]/20,IF(WWWW[[#This Row],[Location Type 1]]="Temporary Location",WWWW[[#This Row],[Total PoP ]]/50,(WWWW[[#This Row],[Total PoP ]]/6))),0)</f>
        <v>8</v>
      </c>
      <c r="DD514" s="867">
        <f>IF(WWWW[[#This Row],[Total required Latrines]]-(WWWW[[#This Row],['#_Constructed latrines_by_WASHAgencies]]+WWWW[[#This Row],['#_Non Cluster partner latrines]])&lt;0,0,WWWW[[#This Row],[Total required Latrines]]-(WWWW[[#This Row],['#_Constructed latrines_by_WASHAgencies]]+WWWW[[#This Row],['#_Non Cluster partner latrines]]))</f>
        <v>0</v>
      </c>
      <c r="DE514" s="869">
        <f>1-WWWW[[#This Row],[% people access to functioning Latrine]]</f>
        <v>6.2111801242236142E-3</v>
      </c>
      <c r="DF514" s="868">
        <f>IF(OR(WWWW[[#This Row],['#_Non-functional latrines]]="",WWWW[[#This Row],['#_Non-functional latrines]]=0),0,WWWW[[#This Row],['#_Non-functional latrines]]/(WWWW[[#This Row],['#_Constructed latrines_by_WASHAgencies]]+WWWW[[#This Row],['#_Non Cluster partner latrines]]))</f>
        <v>0</v>
      </c>
      <c r="DG514" s="864">
        <f>IF(500*(WWWW[[#This Row],['#_male hygiene promoters]]+WWWW[[#This Row],['#_female hygiene promoters]])&gt;WWWW[[#This Row],[Total PoP ]],WWWW[[#This Row],[Total PoP ]],500*(WWWW[[#This Row],['#_male hygiene promoters]]+WWWW[[#This Row],['#_female hygiene promoters]]))</f>
        <v>161</v>
      </c>
      <c r="DH51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161</v>
      </c>
      <c r="DI51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4" s="867">
        <f>IF(WWWW[[#This Row],['# People with access to soap]]&gt;WWWW[[#This Row],['# People with access to Sanity Pads]],WWWW[[#This Row],['# People with access to soap]],WWWW[[#This Row],['# People with access to Sanity Pads]])</f>
        <v>161</v>
      </c>
      <c r="DK514" s="867">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L514" s="869">
        <f>IF(WWWW[[#This Row],[HRP3]]/WWWW[[#This Row],[Total PoP ]]&gt;1,1,WWWW[[#This Row],[HRP3]]/WWWW[[#This Row],[Total PoP ]])</f>
        <v>1</v>
      </c>
      <c r="DM514" s="868">
        <f>1-WWWW[[#This Row],[Hygiene Coverage%]]</f>
        <v>0</v>
      </c>
      <c r="DN514" s="866">
        <f>WWWW[[#This Row],['# people reached by regular dedicated hygiene promotion_5]]/WWWW[[#This Row],[Total PoP ]]</f>
        <v>1</v>
      </c>
      <c r="DO51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4" s="867">
        <f>WWWW[[#This Row],['#_Constructed/Existing hand washing stations]]-WWWW[[#This Row],['#_Non-Functional_hand_washing_stations]]</f>
        <v>5</v>
      </c>
      <c r="DR514" s="864">
        <f>IF(WWWW[[#This Row],['# Functional hand washing stations during reporting period]]*20&gt;WWWW[[#This Row],[Total HH]],WWWW[[#This Row],[Total HH]],WWWW[[#This Row],['# Functional hand washing stations during reporting period]]*20)</f>
        <v>38</v>
      </c>
      <c r="DS514" s="864">
        <f>IF(WWWW[[#This Row],[Is sufficient soap available for TLS? (Yes/No)]]="yes",WWWW[[#This Row],['#_Constructed/Existing hand washing stations at TLS]],0)</f>
        <v>0</v>
      </c>
      <c r="DT514" s="479">
        <f>IF(WWWW[[#This Row],['# Functional hand washing stations during reporting period]]*100&gt;WWWW[[#This Row],[Total PoP ]],WWWW[[#This Row],[Total PoP ]],WWWW[[#This Row],['# Functional hand washing stations during reporting period]]*100)</f>
        <v>161</v>
      </c>
      <c r="DU514" s="479" t="str">
        <f>IF(OR(WWWW[[#This Row],['#_students at TLS_CFS]]="",WWWW[[#This Row],['#_students at TLS_CFS]]=0),"No","Yes")</f>
        <v>No</v>
      </c>
      <c r="DV51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4" s="862" t="str">
        <f>VLOOKUP(WWWW[[#This Row],[Site Name]],SiteDB6[[Site Name]:[CCCM Management]],6,FALSE)</f>
        <v>Yes</v>
      </c>
      <c r="DZ514" s="862" t="str">
        <f>VLOOKUP(WWWW[[#This Row],[Site Name]],SiteDB6[[Site Name]:[CCCM Focal Agency]],7,FALSE)</f>
        <v>KBC-NSS</v>
      </c>
      <c r="EA514" s="862" t="str">
        <f>VLOOKUP(WWWW[[#This Row],[Site Name]],SiteDB6[[Site Name]:[Location Type 1]],9,FALSE)</f>
        <v>Camp</v>
      </c>
      <c r="EB514" s="862" t="str">
        <f>VLOOKUP(WWWW[[#This Row],[Site Name]],SiteDB6[[Site Name]:[Type of Accommodation]],10,FALSE)</f>
        <v>Camp</v>
      </c>
      <c r="EC514" s="862" t="str">
        <f>VLOOKUP(WWWW[[#This Row],[Site Name]],SiteDB6[[Site Name]:[Ethnic or GCA/NGCA]],11,FALSE)</f>
        <v>GCA</v>
      </c>
      <c r="ED514" s="862">
        <f>VLOOKUP(WWWW[[#This Row],[Site Name]],SiteDB6[[Site Name]:[Lat]],12,FALSE)</f>
        <v>23.094290000000001</v>
      </c>
      <c r="EE514" s="862">
        <f>VLOOKUP(WWWW[[#This Row],[Site Name]],SiteDB6[[Site Name]:[Long]],13,FALSE)</f>
        <v>97.404089999999997</v>
      </c>
      <c r="EF514" s="862" t="str">
        <f>VLOOKUP(WWWW[[#This Row],[Site Name]],SiteDB6[[Site Name]:[Pcode]],3,FALSE)</f>
        <v>MMR015CMP014</v>
      </c>
      <c r="EG514" s="865" t="str">
        <f t="shared" si="15"/>
        <v>Covered</v>
      </c>
      <c r="EH514" s="865" t="e">
        <f>VLOOKUP(WWWW[[#This Row],[Site Name]],Site_DB!$C$389:$D$1120,2,FALSE)</f>
        <v>#N/A</v>
      </c>
    </row>
    <row r="515" spans="1:138">
      <c r="A515" s="860" t="s">
        <v>3263</v>
      </c>
      <c r="B515" s="860" t="s">
        <v>195</v>
      </c>
      <c r="C515" s="861" t="s">
        <v>195</v>
      </c>
      <c r="D515" s="861" t="s">
        <v>3630</v>
      </c>
      <c r="E515" s="861" t="s">
        <v>711</v>
      </c>
      <c r="F515" s="861" t="s">
        <v>712</v>
      </c>
      <c r="G515" s="721" t="str">
        <f>VLOOKUP(WWWW[[#This Row],[Site Name]],SiteDB6[[Site Name]:[Location Type]],8,FALSE)</f>
        <v>Camp</v>
      </c>
      <c r="H515" s="861" t="s">
        <v>749</v>
      </c>
      <c r="I515" s="851">
        <v>111</v>
      </c>
      <c r="J515" s="851">
        <v>568</v>
      </c>
      <c r="K515" s="717" t="s">
        <v>3638</v>
      </c>
      <c r="L515" s="718" t="s">
        <v>3637</v>
      </c>
      <c r="M515" s="851"/>
      <c r="N515" s="851"/>
      <c r="O515" s="851">
        <v>1</v>
      </c>
      <c r="P515" s="851"/>
      <c r="Q515" s="864"/>
      <c r="R515" s="851"/>
      <c r="S515" s="851"/>
      <c r="T515" s="523"/>
      <c r="U515" s="851"/>
      <c r="V515" s="851"/>
      <c r="W515" s="851"/>
      <c r="X515" s="851"/>
      <c r="Y515" s="851"/>
      <c r="Z515" s="851"/>
      <c r="AA515" s="851"/>
      <c r="AB515" s="851"/>
      <c r="AC515" s="851"/>
      <c r="AD515" s="851"/>
      <c r="AE515" s="851"/>
      <c r="AF515" s="851"/>
      <c r="AG515" s="851"/>
      <c r="AH515" s="851"/>
      <c r="AI515" s="851"/>
      <c r="AJ515" s="851"/>
      <c r="AK515" s="851"/>
      <c r="AL515" s="851"/>
      <c r="AM515" s="851"/>
      <c r="AN515" s="851"/>
      <c r="AO515" s="865"/>
      <c r="AP515" s="851"/>
      <c r="AQ515" s="851">
        <v>16</v>
      </c>
      <c r="AR515" s="866"/>
      <c r="AS515" s="851"/>
      <c r="AT515" s="851"/>
      <c r="AU515" s="851"/>
      <c r="AV515" s="851"/>
      <c r="AW515" s="851"/>
      <c r="AX515" s="862" t="s">
        <v>143</v>
      </c>
      <c r="AY515" s="865" t="s">
        <v>143</v>
      </c>
      <c r="AZ515" s="851"/>
      <c r="BA515" s="851"/>
      <c r="BB515" s="851"/>
      <c r="BC515" s="523"/>
      <c r="BD515" s="523"/>
      <c r="BE515" s="862"/>
      <c r="BF515" s="851"/>
      <c r="BG515" s="851"/>
      <c r="BH515" s="851"/>
      <c r="BI515" s="851"/>
      <c r="BJ515" s="851"/>
      <c r="BK515" s="851"/>
      <c r="BL515" s="851"/>
      <c r="BM515" s="851"/>
      <c r="BN515" s="851"/>
      <c r="BO515" s="862" t="s">
        <v>139</v>
      </c>
      <c r="BP515" s="867"/>
      <c r="BQ515" s="866"/>
      <c r="BR515" s="862"/>
      <c r="BS515" s="472"/>
      <c r="BT515" s="472"/>
      <c r="BU515" s="474"/>
      <c r="BV515" s="472"/>
      <c r="BW515" s="523"/>
      <c r="BX515" s="523"/>
      <c r="BY515" s="523"/>
      <c r="BZ515" s="868" t="str">
        <f>IFERROR(WWWW[[#This Row],['#_Water sources passed]]/WWWW[[#This Row],['#_Water sources tested for fecal coliform ]],"no test")</f>
        <v>no test</v>
      </c>
      <c r="CA515" s="866" t="str">
        <f>IFERROR(WWWW[[#This Row],['#_Household passed]]/WWWW[[#This Row],['#_Household water samples tested for fecal coliform]],"no test")</f>
        <v>no test</v>
      </c>
      <c r="CB515" s="867" t="str">
        <f>IF(AND(WWWW[[#This Row],[% of water sources passed]]="no test",WWWW[[#This Row],[% Household passed]]="no test"),"No Test","Tested")</f>
        <v>No Test</v>
      </c>
      <c r="CC515" s="867">
        <f>WWWW[[#This Row],['#_Constructed/existing protected hand dug well]]-WWWW[[#This Row],['#_Non-functional protected hand dug well]]</f>
        <v>0</v>
      </c>
      <c r="CD515" s="867">
        <f>(WWWW[[#This Row],['#_Constructed/Existing tube wells/boreholes/handpumps_WASH_agency]]+WWWW[[#This Row],['#_Non-Cluster partner water tube-wells/boreholes/handpumps]])-WWWW[[#This Row],['#_Non-functional tube wells/boreholes/handpumps]]</f>
        <v>0</v>
      </c>
      <c r="CE515" s="867">
        <f>WWWW[[#This Row],['#_Constructed/Existingwater storage tank with gravity fed reticulation system]]-WWWW[[#This Row],['#_Non-functional storage tank gravity fed reticulation system]]</f>
        <v>0</v>
      </c>
      <c r="CF515" s="867">
        <f>(WWWW[[#This Row],['#_Water_Liters_supplied_by_Water boating or water trucking]]/90)/15</f>
        <v>0</v>
      </c>
      <c r="CG515" s="867">
        <f>WWWW[[#This Row],['#_Water_Liters_from_Constructed/Existing water distribution system from river or natural spring]]/90/15</f>
        <v>0</v>
      </c>
      <c r="CH515" s="473">
        <f>WWWW[[#This Row],['#_of water points in TLS/CFS /THF]]*500</f>
        <v>0</v>
      </c>
      <c r="CI51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1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15" s="866">
        <f>IF(WWWW[[#This Row],[Location Type 1]]="Village",WWWW[[#This Row],[Access to safe drinking water for Village]],WWWW[[#This Row],[Access to safe drinking water for Camp]])</f>
        <v>0</v>
      </c>
      <c r="CL515" s="864">
        <f>WWWW[[#This Row],[%Equitable and continuous access to sufficient quantity of safe drinking water]]*WWWW[[#This Row],[Total PoP ]]</f>
        <v>0</v>
      </c>
      <c r="CM515" s="866">
        <f>IF((WWWW[[#This Row],['#_Constructed/Existing protected/fenced ponds]]*250)/WWWW[[#This Row],[Total PoP ]]&gt;1,1,(WWWW[[#This Row],['#_Constructed/Existing protected/fenced ponds]]*250)/WWWW[[#This Row],[Total PoP ]])</f>
        <v>0</v>
      </c>
      <c r="CN515" s="864">
        <f>WWWW[[#This Row],[% Access to unimproved water points]]*WWWW[[#This Row],[Total PoP ]]</f>
        <v>0</v>
      </c>
      <c r="CO51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1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15" s="864">
        <f>WWWW[[#This Row],[HRP1]]/500</f>
        <v>0</v>
      </c>
      <c r="CR515" s="869">
        <f>1-WWWW[[#This Row],[% Equitable and continuous access to sufficient quantity of domestic water]]</f>
        <v>1</v>
      </c>
      <c r="CS515" s="864">
        <f>WWWW[[#This Row],[%equitable and continuous access to sufficient quantity of safe drinking and domestic water''s GAP]]*WWWW[[#This Row],[Total PoP ]]</f>
        <v>568</v>
      </c>
      <c r="CT515" s="867">
        <f>IF(WWWW[[#This Row],[Total required water points]]-WWWW[[#This Row],['#Water points coverage]]&lt;0,0,WWWW[[#This Row],[Total required water points]]-WWWW[[#This Row],['#Water points coverage]])</f>
        <v>1</v>
      </c>
      <c r="CU515" s="867">
        <f>ROUND(IF(WWWW[[#This Row],[Total PoP ]]&lt;500,1,WWWW[[#This Row],[Total PoP ]]/500),0)</f>
        <v>1</v>
      </c>
      <c r="CV515" s="867">
        <f>(WWWW[[#This Row],['#_Constructed latrines_by_WASHAgencies]]+WWWW[[#This Row],['#_Non Cluster partner latrines]])-WWWW[[#This Row],['#_Non-functional latrines]]</f>
        <v>16</v>
      </c>
      <c r="CW515" s="804">
        <f>WWWW[[#This Row],[HRP2]]/WWWW[[#This Row],[Total PoP ]]</f>
        <v>0.56338028169014087</v>
      </c>
      <c r="CX51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CY51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5" s="473">
        <f>IF(WWWW[[#This Row],['# of functional latrines in THF supported by WASH partners during the reporting period2]]="",0,WWWW[[#This Row],['# of functional latrines in THF supported by WASH partners during the reporting period2]]*50)</f>
        <v>0</v>
      </c>
      <c r="DB515" s="473">
        <f>WWWW[[#This Row],['# students access to functioning school latrines_HRP5]]+WWWW[[#This Row],['# People access to functioning latrines in THF_HRP5]]</f>
        <v>0</v>
      </c>
      <c r="DC515" s="867">
        <f>ROUND(IF(WWWW[[#This Row],[Location Type 1]]="camp",WWWW[[#This Row],[Total PoP ]]/20,IF(WWWW[[#This Row],[Location Type 1]]="Temporary Location",WWWW[[#This Row],[Total PoP ]]/50,(WWWW[[#This Row],[Total PoP ]]/6))),0)</f>
        <v>28</v>
      </c>
      <c r="DD515" s="867">
        <f>IF(WWWW[[#This Row],[Total required Latrines]]-(WWWW[[#This Row],['#_Constructed latrines_by_WASHAgencies]]+WWWW[[#This Row],['#_Non Cluster partner latrines]])&lt;0,0,WWWW[[#This Row],[Total required Latrines]]-(WWWW[[#This Row],['#_Constructed latrines_by_WASHAgencies]]+WWWW[[#This Row],['#_Non Cluster partner latrines]]))</f>
        <v>12</v>
      </c>
      <c r="DE515" s="869">
        <f>1-WWWW[[#This Row],[% people access to functioning Latrine]]</f>
        <v>0.43661971830985913</v>
      </c>
      <c r="DF515" s="868">
        <f>IF(OR(WWWW[[#This Row],['#_Non-functional latrines]]="",WWWW[[#This Row],['#_Non-functional latrines]]=0),0,WWWW[[#This Row],['#_Non-functional latrines]]/(WWWW[[#This Row],['#_Constructed latrines_by_WASHAgencies]]+WWWW[[#This Row],['#_Non Cluster partner latrines]]))</f>
        <v>0</v>
      </c>
      <c r="DG515" s="864">
        <f>IF(500*(WWWW[[#This Row],['#_male hygiene promoters]]+WWWW[[#This Row],['#_female hygiene promoters]])&gt;WWWW[[#This Row],[Total PoP ]],WWWW[[#This Row],[Total PoP ]],500*(WWWW[[#This Row],['#_male hygiene promoters]]+WWWW[[#This Row],['#_female hygiene promoters]]))</f>
        <v>0</v>
      </c>
      <c r="DH51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1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5" s="867">
        <f>IF(WWWW[[#This Row],['# People with access to soap]]&gt;WWWW[[#This Row],['# People with access to Sanity Pads]],WWWW[[#This Row],['# People with access to soap]],WWWW[[#This Row],['# People with access to Sanity Pads]])</f>
        <v>0</v>
      </c>
      <c r="DK51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15" s="869">
        <f>IF(WWWW[[#This Row],[HRP3]]/WWWW[[#This Row],[Total PoP ]]&gt;1,1,WWWW[[#This Row],[HRP3]]/WWWW[[#This Row],[Total PoP ]])</f>
        <v>0</v>
      </c>
      <c r="DM515" s="868">
        <f>1-WWWW[[#This Row],[Hygiene Coverage%]]</f>
        <v>1</v>
      </c>
      <c r="DN515" s="866">
        <f>WWWW[[#This Row],['# people reached by regular dedicated hygiene promotion_5]]/WWWW[[#This Row],[Total PoP ]]</f>
        <v>0</v>
      </c>
      <c r="DO51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1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5" s="867">
        <f>WWWW[[#This Row],['#_Constructed/Existing hand washing stations]]-WWWW[[#This Row],['#_Non-Functional_hand_washing_stations]]</f>
        <v>0</v>
      </c>
      <c r="DR515" s="864">
        <f>IF(WWWW[[#This Row],['# Functional hand washing stations during reporting period]]*20&gt;WWWW[[#This Row],[Total HH]],WWWW[[#This Row],[Total HH]],WWWW[[#This Row],['# Functional hand washing stations during reporting period]]*20)</f>
        <v>0</v>
      </c>
      <c r="DS515" s="864">
        <f>IF(WWWW[[#This Row],[Is sufficient soap available for TLS? (Yes/No)]]="yes",WWWW[[#This Row],['#_Constructed/Existing hand washing stations at TLS]],0)</f>
        <v>0</v>
      </c>
      <c r="DT515" s="479">
        <f>IF(WWWW[[#This Row],['# Functional hand washing stations during reporting period]]*100&gt;WWWW[[#This Row],[Total PoP ]],WWWW[[#This Row],[Total PoP ]],WWWW[[#This Row],['# Functional hand washing stations during reporting period]]*100)</f>
        <v>0</v>
      </c>
      <c r="DU515" s="479" t="str">
        <f>IF(OR(WWWW[[#This Row],['#_students at TLS_CFS]]="",WWWW[[#This Row],['#_students at TLS_CFS]]=0),"No","Yes")</f>
        <v>No</v>
      </c>
      <c r="DV51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5" s="862" t="str">
        <f>VLOOKUP(WWWW[[#This Row],[Site Name]],SiteDB6[[Site Name]:[CCCM Management]],6,FALSE)</f>
        <v>Yes</v>
      </c>
      <c r="DZ515" s="862" t="str">
        <f>VLOOKUP(WWWW[[#This Row],[Site Name]],SiteDB6[[Site Name]:[CCCM Focal Agency]],7,FALSE)</f>
        <v>KBC-NSS</v>
      </c>
      <c r="EA515" s="862" t="str">
        <f>VLOOKUP(WWWW[[#This Row],[Site Name]],SiteDB6[[Site Name]:[Location Type 1]],9,FALSE)</f>
        <v>Camp</v>
      </c>
      <c r="EB515" s="862" t="str">
        <f>VLOOKUP(WWWW[[#This Row],[Site Name]],SiteDB6[[Site Name]:[Type of Accommodation]],10,FALSE)</f>
        <v>Camp</v>
      </c>
      <c r="EC515" s="862" t="str">
        <f>VLOOKUP(WWWW[[#This Row],[Site Name]],SiteDB6[[Site Name]:[Ethnic or GCA/NGCA]],11,FALSE)</f>
        <v>GCA</v>
      </c>
      <c r="ED515" s="862">
        <f>VLOOKUP(WWWW[[#This Row],[Site Name]],SiteDB6[[Site Name]:[Lat]],12,FALSE)</f>
        <v>23.838190000000001</v>
      </c>
      <c r="EE515" s="862">
        <f>VLOOKUP(WWWW[[#This Row],[Site Name]],SiteDB6[[Site Name]:[Long]],13,FALSE)</f>
        <v>97.709879999999998</v>
      </c>
      <c r="EF515" s="862" t="str">
        <f>VLOOKUP(WWWW[[#This Row],[Site Name]],SiteDB6[[Site Name]:[Pcode]],3,FALSE)</f>
        <v>MMR015CMP215</v>
      </c>
      <c r="EG515" s="865" t="str">
        <f t="shared" si="15"/>
        <v>Covered</v>
      </c>
      <c r="EH515" s="865" t="e">
        <f>VLOOKUP(WWWW[[#This Row],[Site Name]],Site_DB!$C$389:$D$1120,2,FALSE)</f>
        <v>#N/A</v>
      </c>
    </row>
    <row r="516" spans="1:138">
      <c r="A516" s="860" t="s">
        <v>3263</v>
      </c>
      <c r="B516" s="860" t="s">
        <v>195</v>
      </c>
      <c r="C516" s="861" t="s">
        <v>195</v>
      </c>
      <c r="D516" s="861" t="s">
        <v>3364</v>
      </c>
      <c r="E516" s="861" t="s">
        <v>711</v>
      </c>
      <c r="F516" s="861" t="s">
        <v>715</v>
      </c>
      <c r="G516" s="721" t="str">
        <f>VLOOKUP(WWWW[[#This Row],[Site Name]],SiteDB6[[Site Name]:[Location Type]],8,FALSE)</f>
        <v>Camp</v>
      </c>
      <c r="H516" s="861" t="s">
        <v>738</v>
      </c>
      <c r="I516" s="851">
        <v>103</v>
      </c>
      <c r="J516" s="851">
        <v>632</v>
      </c>
      <c r="K516" s="407" t="s">
        <v>3634</v>
      </c>
      <c r="L516" s="56" t="s">
        <v>3632</v>
      </c>
      <c r="M516" s="851"/>
      <c r="N516" s="851">
        <v>1</v>
      </c>
      <c r="O516" s="851"/>
      <c r="P516" s="851"/>
      <c r="Q516" s="864" t="s">
        <v>43</v>
      </c>
      <c r="R516" s="851">
        <v>4</v>
      </c>
      <c r="S516" s="851">
        <v>5</v>
      </c>
      <c r="T516" s="523"/>
      <c r="U516" s="851"/>
      <c r="V516" s="851"/>
      <c r="W516" s="851"/>
      <c r="X516" s="851"/>
      <c r="Y516" s="851"/>
      <c r="Z516" s="851"/>
      <c r="AA516" s="851"/>
      <c r="AB516" s="851"/>
      <c r="AC516" s="851"/>
      <c r="AD516" s="851"/>
      <c r="AE516" s="851"/>
      <c r="AF516" s="851"/>
      <c r="AG516" s="851"/>
      <c r="AH516" s="851"/>
      <c r="AI516" s="851"/>
      <c r="AJ516" s="851"/>
      <c r="AK516" s="851"/>
      <c r="AL516" s="851"/>
      <c r="AM516" s="851">
        <v>1</v>
      </c>
      <c r="AN516" s="851"/>
      <c r="AO516" s="865"/>
      <c r="AP516" s="851">
        <v>105</v>
      </c>
      <c r="AQ516" s="851"/>
      <c r="AR516" s="866"/>
      <c r="AS516" s="851"/>
      <c r="AT516" s="851"/>
      <c r="AU516" s="851"/>
      <c r="AV516" s="851"/>
      <c r="AW516" s="851"/>
      <c r="AX516" s="862" t="s">
        <v>43</v>
      </c>
      <c r="AY516" s="865" t="s">
        <v>140</v>
      </c>
      <c r="AZ516" s="851"/>
      <c r="BA516" s="851"/>
      <c r="BB516" s="851"/>
      <c r="BC516" s="523"/>
      <c r="BD516" s="523"/>
      <c r="BE516" s="862"/>
      <c r="BF516" s="851">
        <v>2</v>
      </c>
      <c r="BG516" s="851"/>
      <c r="BH516" s="851"/>
      <c r="BI516" s="851"/>
      <c r="BJ516" s="851"/>
      <c r="BK516" s="851"/>
      <c r="BL516" s="851">
        <v>1</v>
      </c>
      <c r="BM516" s="851">
        <v>103</v>
      </c>
      <c r="BN516" s="851"/>
      <c r="BO516" s="862" t="s">
        <v>139</v>
      </c>
      <c r="BP516" s="867"/>
      <c r="BQ516" s="866"/>
      <c r="BR516" s="862"/>
      <c r="BS516" s="472"/>
      <c r="BT516" s="472"/>
      <c r="BU516" s="474"/>
      <c r="BV516" s="472"/>
      <c r="BW516" s="523"/>
      <c r="BX516" s="523"/>
      <c r="BY516" s="523"/>
      <c r="BZ516" s="868" t="str">
        <f>IFERROR(WWWW[[#This Row],['#_Water sources passed]]/WWWW[[#This Row],['#_Water sources tested for fecal coliform ]],"no test")</f>
        <v>no test</v>
      </c>
      <c r="CA516" s="866" t="str">
        <f>IFERROR(WWWW[[#This Row],['#_Household passed]]/WWWW[[#This Row],['#_Household water samples tested for fecal coliform]],"no test")</f>
        <v>no test</v>
      </c>
      <c r="CB516" s="867" t="str">
        <f>IF(AND(WWWW[[#This Row],[% of water sources passed]]="no test",WWWW[[#This Row],[% Household passed]]="no test"),"No Test","Tested")</f>
        <v>No Test</v>
      </c>
      <c r="CC516" s="867">
        <f>WWWW[[#This Row],['#_Constructed/existing protected hand dug well]]-WWWW[[#This Row],['#_Non-functional protected hand dug well]]</f>
        <v>0</v>
      </c>
      <c r="CD516" s="867">
        <f>(WWWW[[#This Row],['#_Constructed/Existing tube wells/boreholes/handpumps_WASH_agency]]+WWWW[[#This Row],['#_Non-Cluster partner water tube-wells/boreholes/handpumps]])-WWWW[[#This Row],['#_Non-functional tube wells/boreholes/handpumps]]</f>
        <v>0</v>
      </c>
      <c r="CE516" s="867">
        <f>WWWW[[#This Row],['#_Constructed/Existingwater storage tank with gravity fed reticulation system]]-WWWW[[#This Row],['#_Non-functional storage tank gravity fed reticulation system]]</f>
        <v>0</v>
      </c>
      <c r="CF516" s="867">
        <f>(WWWW[[#This Row],['#_Water_Liters_supplied_by_Water boating or water trucking]]/90)/15</f>
        <v>0</v>
      </c>
      <c r="CG516" s="867">
        <f>WWWW[[#This Row],['#_Water_Liters_from_Constructed/Existing water distribution system from river or natural spring]]/90/15</f>
        <v>0</v>
      </c>
      <c r="CH516" s="473">
        <f>WWWW[[#This Row],['#_of water points in TLS/CFS /THF]]*500</f>
        <v>0</v>
      </c>
      <c r="CI51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1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16" s="866">
        <f>IF(WWWW[[#This Row],[Location Type 1]]="Village",WWWW[[#This Row],[Access to safe drinking water for Village]],WWWW[[#This Row],[Access to safe drinking water for Camp]])</f>
        <v>0</v>
      </c>
      <c r="CL516" s="864">
        <f>WWWW[[#This Row],[%Equitable and continuous access to sufficient quantity of safe drinking water]]*WWWW[[#This Row],[Total PoP ]]</f>
        <v>0</v>
      </c>
      <c r="CM516" s="866">
        <f>IF((WWWW[[#This Row],['#_Constructed/Existing protected/fenced ponds]]*250)/WWWW[[#This Row],[Total PoP ]]&gt;1,1,(WWWW[[#This Row],['#_Constructed/Existing protected/fenced ponds]]*250)/WWWW[[#This Row],[Total PoP ]])</f>
        <v>0</v>
      </c>
      <c r="CN516" s="864">
        <f>WWWW[[#This Row],[% Access to unimproved water points]]*WWWW[[#This Row],[Total PoP ]]</f>
        <v>0</v>
      </c>
      <c r="CO51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1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16" s="864">
        <f>WWWW[[#This Row],[HRP1]]/500</f>
        <v>0</v>
      </c>
      <c r="CR516" s="869">
        <f>1-WWWW[[#This Row],[% Equitable and continuous access to sufficient quantity of domestic water]]</f>
        <v>1</v>
      </c>
      <c r="CS516" s="864">
        <f>WWWW[[#This Row],[%equitable and continuous access to sufficient quantity of safe drinking and domestic water''s GAP]]*WWWW[[#This Row],[Total PoP ]]</f>
        <v>632</v>
      </c>
      <c r="CT516" s="867">
        <f>IF(WWWW[[#This Row],[Total required water points]]-WWWW[[#This Row],['#Water points coverage]]&lt;0,0,WWWW[[#This Row],[Total required water points]]-WWWW[[#This Row],['#Water points coverage]])</f>
        <v>1</v>
      </c>
      <c r="CU516" s="867">
        <f>ROUND(IF(WWWW[[#This Row],[Total PoP ]]&lt;500,1,WWWW[[#This Row],[Total PoP ]]/500),0)</f>
        <v>1</v>
      </c>
      <c r="CV516" s="867">
        <f>(WWWW[[#This Row],['#_Constructed latrines_by_WASHAgencies]]+WWWW[[#This Row],['#_Non Cluster partner latrines]])-WWWW[[#This Row],['#_Non-functional latrines]]</f>
        <v>105</v>
      </c>
      <c r="CW516" s="804">
        <f>WWWW[[#This Row],[HRP2]]/WWWW[[#This Row],[Total PoP ]]</f>
        <v>0.83069620253164556</v>
      </c>
      <c r="CX51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CY51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6" s="473">
        <f>IF(WWWW[[#This Row],['# of functional latrines in THF supported by WASH partners during the reporting period2]]="",0,WWWW[[#This Row],['# of functional latrines in THF supported by WASH partners during the reporting period2]]*50)</f>
        <v>0</v>
      </c>
      <c r="DB516" s="473">
        <f>WWWW[[#This Row],['# students access to functioning school latrines_HRP5]]+WWWW[[#This Row],['# People access to functioning latrines in THF_HRP5]]</f>
        <v>0</v>
      </c>
      <c r="DC516" s="867">
        <f>ROUND(IF(WWWW[[#This Row],[Location Type 1]]="camp",WWWW[[#This Row],[Total PoP ]]/20,IF(WWWW[[#This Row],[Location Type 1]]="Temporary Location",WWWW[[#This Row],[Total PoP ]]/50,(WWWW[[#This Row],[Total PoP ]]/6))),0)</f>
        <v>105</v>
      </c>
      <c r="DD516" s="867">
        <f>IF(WWWW[[#This Row],[Total required Latrines]]-(WWWW[[#This Row],['#_Constructed latrines_by_WASHAgencies]]+WWWW[[#This Row],['#_Non Cluster partner latrines]])&lt;0,0,WWWW[[#This Row],[Total required Latrines]]-(WWWW[[#This Row],['#_Constructed latrines_by_WASHAgencies]]+WWWW[[#This Row],['#_Non Cluster partner latrines]]))</f>
        <v>0</v>
      </c>
      <c r="DE516" s="869">
        <f>1-WWWW[[#This Row],[% people access to functioning Latrine]]</f>
        <v>0.16930379746835444</v>
      </c>
      <c r="DF516" s="868">
        <f>IF(OR(WWWW[[#This Row],['#_Non-functional latrines]]="",WWWW[[#This Row],['#_Non-functional latrines]]=0),0,WWWW[[#This Row],['#_Non-functional latrines]]/(WWWW[[#This Row],['#_Constructed latrines_by_WASHAgencies]]+WWWW[[#This Row],['#_Non Cluster partner latrines]]))</f>
        <v>0</v>
      </c>
      <c r="DG516" s="864">
        <f>IF(500*(WWWW[[#This Row],['#_male hygiene promoters]]+WWWW[[#This Row],['#_female hygiene promoters]])&gt;WWWW[[#This Row],[Total PoP ]],WWWW[[#This Row],[Total PoP ]],500*(WWWW[[#This Row],['#_male hygiene promoters]]+WWWW[[#This Row],['#_female hygiene promoters]]))</f>
        <v>500</v>
      </c>
      <c r="DH51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632</v>
      </c>
      <c r="DI51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6" s="867">
        <f>IF(WWWW[[#This Row],['# People with access to soap]]&gt;WWWW[[#This Row],['# People with access to Sanity Pads]],WWWW[[#This Row],['# People with access to soap]],WWWW[[#This Row],['# People with access to Sanity Pads]])</f>
        <v>632</v>
      </c>
      <c r="DK516" s="867">
        <f>IF(WWWW[[#This Row],['# people reached by regular dedicated hygiene promotion_5]]&gt;WWWW[[#This Row],['# People received regular supply of hygiene items_6]],WWWW[[#This Row],['# people reached by regular dedicated hygiene promotion_5]],WWWW[[#This Row],['# People received regular supply of hygiene items_6]])</f>
        <v>632</v>
      </c>
      <c r="DL516" s="869">
        <f>IF(WWWW[[#This Row],[HRP3]]/WWWW[[#This Row],[Total PoP ]]&gt;1,1,WWWW[[#This Row],[HRP3]]/WWWW[[#This Row],[Total PoP ]])</f>
        <v>1</v>
      </c>
      <c r="DM516" s="868">
        <f>1-WWWW[[#This Row],[Hygiene Coverage%]]</f>
        <v>0</v>
      </c>
      <c r="DN516" s="866">
        <f>WWWW[[#This Row],['# people reached by regular dedicated hygiene promotion_5]]/WWWW[[#This Row],[Total PoP ]]</f>
        <v>0.79113924050632911</v>
      </c>
      <c r="DO51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6" s="867">
        <f>WWWW[[#This Row],['#_Constructed/Existing hand washing stations]]-WWWW[[#This Row],['#_Non-Functional_hand_washing_stations]]</f>
        <v>2</v>
      </c>
      <c r="DR516" s="864">
        <f>IF(WWWW[[#This Row],['# Functional hand washing stations during reporting period]]*20&gt;WWWW[[#This Row],[Total HH]],WWWW[[#This Row],[Total HH]],WWWW[[#This Row],['# Functional hand washing stations during reporting period]]*20)</f>
        <v>40</v>
      </c>
      <c r="DS516" s="864">
        <f>IF(WWWW[[#This Row],[Is sufficient soap available for TLS? (Yes/No)]]="yes",WWWW[[#This Row],['#_Constructed/Existing hand washing stations at TLS]],0)</f>
        <v>0</v>
      </c>
      <c r="DT516" s="479">
        <f>IF(WWWW[[#This Row],['# Functional hand washing stations during reporting period]]*100&gt;WWWW[[#This Row],[Total PoP ]],WWWW[[#This Row],[Total PoP ]],WWWW[[#This Row],['# Functional hand washing stations during reporting period]]*100)</f>
        <v>200</v>
      </c>
      <c r="DU516" s="479" t="str">
        <f>IF(OR(WWWW[[#This Row],['#_students at TLS_CFS]]="",WWWW[[#This Row],['#_students at TLS_CFS]]=0),"No","Yes")</f>
        <v>No</v>
      </c>
      <c r="DV51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6" s="862" t="str">
        <f>VLOOKUP(WWWW[[#This Row],[Site Name]],SiteDB6[[Site Name]:[CCCM Management]],6,FALSE)</f>
        <v>Yes</v>
      </c>
      <c r="DZ516" s="862" t="str">
        <f>VLOOKUP(WWWW[[#This Row],[Site Name]],SiteDB6[[Site Name]:[CCCM Focal Agency]],7,FALSE)</f>
        <v>KMSS-LSO</v>
      </c>
      <c r="EA516" s="862" t="str">
        <f>VLOOKUP(WWWW[[#This Row],[Site Name]],SiteDB6[[Site Name]:[Location Type 1]],9,FALSE)</f>
        <v>Village Type Camp</v>
      </c>
      <c r="EB516" s="862" t="str">
        <f>VLOOKUP(WWWW[[#This Row],[Site Name]],SiteDB6[[Site Name]:[Type of Accommodation]],10,FALSE)</f>
        <v>Camp</v>
      </c>
      <c r="EC516" s="862" t="str">
        <f>VLOOKUP(WWWW[[#This Row],[Site Name]],SiteDB6[[Site Name]:[Ethnic or GCA/NGCA]],11,FALSE)</f>
        <v>GCA</v>
      </c>
      <c r="ED516" s="862">
        <f>VLOOKUP(WWWW[[#This Row],[Site Name]],SiteDB6[[Site Name]:[Lat]],12,FALSE)</f>
        <v>23.447111</v>
      </c>
      <c r="EE516" s="862">
        <f>VLOOKUP(WWWW[[#This Row],[Site Name]],SiteDB6[[Site Name]:[Long]],13,FALSE)</f>
        <v>97.868876999999998</v>
      </c>
      <c r="EF516" s="862" t="str">
        <f>VLOOKUP(WWWW[[#This Row],[Site Name]],SiteDB6[[Site Name]:[Pcode]],3,FALSE)</f>
        <v>MMR015CMP219</v>
      </c>
      <c r="EG516" s="865" t="str">
        <f t="shared" si="15"/>
        <v>Covered</v>
      </c>
      <c r="EH516" s="865" t="str">
        <f>VLOOKUP(WWWW[[#This Row],[Site Name]],Site_DB!$C$389:$D$1120,2,FALSE)</f>
        <v>cccm_2019OCT</v>
      </c>
    </row>
    <row r="517" spans="1:138">
      <c r="A517" s="860" t="s">
        <v>3263</v>
      </c>
      <c r="B517" s="860" t="s">
        <v>195</v>
      </c>
      <c r="C517" s="861" t="s">
        <v>195</v>
      </c>
      <c r="D517" s="861" t="s">
        <v>3364</v>
      </c>
      <c r="E517" s="861" t="s">
        <v>711</v>
      </c>
      <c r="F517" s="861" t="s">
        <v>715</v>
      </c>
      <c r="G517" s="721" t="str">
        <f>VLOOKUP(WWWW[[#This Row],[Site Name]],SiteDB6[[Site Name]:[Location Type]],8,FALSE)</f>
        <v>Camp</v>
      </c>
      <c r="H517" s="861" t="s">
        <v>758</v>
      </c>
      <c r="I517" s="851">
        <v>33</v>
      </c>
      <c r="J517" s="851">
        <v>196</v>
      </c>
      <c r="K517" s="407" t="s">
        <v>3634</v>
      </c>
      <c r="L517" s="56" t="s">
        <v>3632</v>
      </c>
      <c r="M517" s="851"/>
      <c r="N517" s="851"/>
      <c r="O517" s="851"/>
      <c r="P517" s="851"/>
      <c r="Q517" s="864"/>
      <c r="R517" s="851">
        <v>5</v>
      </c>
      <c r="S517" s="851">
        <v>4</v>
      </c>
      <c r="T517" s="523"/>
      <c r="U517" s="851"/>
      <c r="V517" s="851"/>
      <c r="W517" s="851"/>
      <c r="X517" s="851"/>
      <c r="Y517" s="851"/>
      <c r="Z517" s="851"/>
      <c r="AA517" s="851">
        <v>1</v>
      </c>
      <c r="AB517" s="851"/>
      <c r="AC517" s="851"/>
      <c r="AD517" s="851"/>
      <c r="AE517" s="851"/>
      <c r="AF517" s="851"/>
      <c r="AG517" s="851">
        <v>3</v>
      </c>
      <c r="AH517" s="851">
        <v>1</v>
      </c>
      <c r="AI517" s="851"/>
      <c r="AJ517" s="851"/>
      <c r="AK517" s="851"/>
      <c r="AL517" s="851"/>
      <c r="AM517" s="851">
        <v>2</v>
      </c>
      <c r="AN517" s="851">
        <v>1</v>
      </c>
      <c r="AO517" s="865"/>
      <c r="AP517" s="851">
        <v>37</v>
      </c>
      <c r="AQ517" s="851"/>
      <c r="AR517" s="866"/>
      <c r="AS517" s="851"/>
      <c r="AT517" s="851"/>
      <c r="AU517" s="851"/>
      <c r="AV517" s="851"/>
      <c r="AW517" s="851">
        <v>3</v>
      </c>
      <c r="AX517" s="862" t="s">
        <v>139</v>
      </c>
      <c r="AY517" s="865" t="s">
        <v>1195</v>
      </c>
      <c r="AZ517" s="851"/>
      <c r="BA517" s="851"/>
      <c r="BB517" s="851">
        <v>2</v>
      </c>
      <c r="BC517" s="523"/>
      <c r="BD517" s="523"/>
      <c r="BE517" s="862"/>
      <c r="BF517" s="851">
        <v>7</v>
      </c>
      <c r="BG517" s="851"/>
      <c r="BH517" s="851"/>
      <c r="BI517" s="851"/>
      <c r="BJ517" s="851"/>
      <c r="BK517" s="851"/>
      <c r="BL517" s="851">
        <v>1</v>
      </c>
      <c r="BM517" s="851">
        <v>33</v>
      </c>
      <c r="BN517" s="851"/>
      <c r="BO517" s="862"/>
      <c r="BP517" s="867"/>
      <c r="BQ517" s="866"/>
      <c r="BR517" s="862"/>
      <c r="BS517" s="472"/>
      <c r="BT517" s="472"/>
      <c r="BU517" s="474"/>
      <c r="BV517" s="472"/>
      <c r="BW517" s="523"/>
      <c r="BX517" s="523"/>
      <c r="BY517" s="523"/>
      <c r="BZ517" s="868" t="str">
        <f>IFERROR(WWWW[[#This Row],['#_Water sources passed]]/WWWW[[#This Row],['#_Water sources tested for fecal coliform ]],"no test")</f>
        <v>no test</v>
      </c>
      <c r="CA517" s="866" t="str">
        <f>IFERROR(WWWW[[#This Row],['#_Household passed]]/WWWW[[#This Row],['#_Household water samples tested for fecal coliform]],"no test")</f>
        <v>no test</v>
      </c>
      <c r="CB517" s="867" t="str">
        <f>IF(AND(WWWW[[#This Row],[% of water sources passed]]="no test",WWWW[[#This Row],[% Household passed]]="no test"),"No Test","Tested")</f>
        <v>No Test</v>
      </c>
      <c r="CC517" s="867">
        <f>WWWW[[#This Row],['#_Constructed/existing protected hand dug well]]-WWWW[[#This Row],['#_Non-functional protected hand dug well]]</f>
        <v>0</v>
      </c>
      <c r="CD517" s="867">
        <f>(WWWW[[#This Row],['#_Constructed/Existing tube wells/boreholes/handpumps_WASH_agency]]+WWWW[[#This Row],['#_Non-Cluster partner water tube-wells/boreholes/handpumps]])-WWWW[[#This Row],['#_Non-functional tube wells/boreholes/handpumps]]</f>
        <v>0</v>
      </c>
      <c r="CE517" s="867">
        <f>WWWW[[#This Row],['#_Constructed/Existingwater storage tank with gravity fed reticulation system]]-WWWW[[#This Row],['#_Non-functional storage tank gravity fed reticulation system]]</f>
        <v>1</v>
      </c>
      <c r="CF517" s="867">
        <f>(WWWW[[#This Row],['#_Water_Liters_supplied_by_Water boating or water trucking]]/90)/15</f>
        <v>0</v>
      </c>
      <c r="CG517" s="867">
        <f>WWWW[[#This Row],['#_Water_Liters_from_Constructed/Existing water distribution system from river or natural spring]]/90/15</f>
        <v>0</v>
      </c>
      <c r="CH517" s="473">
        <f>WWWW[[#This Row],['#_of water points in TLS/CFS /THF]]*500</f>
        <v>500</v>
      </c>
      <c r="CI51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0.34013605442176875</v>
      </c>
      <c r="CJ51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0.34013605442176875</v>
      </c>
      <c r="CK517" s="866">
        <f>IF(WWWW[[#This Row],[Location Type 1]]="Village",WWWW[[#This Row],[Access to safe drinking water for Village]],WWWW[[#This Row],[Access to safe drinking water for Camp]])</f>
        <v>0.34013605442176875</v>
      </c>
      <c r="CL517" s="864">
        <f>WWWW[[#This Row],[%Equitable and continuous access to sufficient quantity of safe drinking water]]*WWWW[[#This Row],[Total PoP ]]</f>
        <v>66.666666666666671</v>
      </c>
      <c r="CM517" s="866">
        <f>IF((WWWW[[#This Row],['#_Constructed/Existing protected/fenced ponds]]*250)/WWWW[[#This Row],[Total PoP ]]&gt;1,1,(WWWW[[#This Row],['#_Constructed/Existing protected/fenced ponds]]*250)/WWWW[[#This Row],[Total PoP ]])</f>
        <v>0</v>
      </c>
      <c r="CN517" s="864">
        <f>WWWW[[#This Row],[% Access to unimproved water points]]*WWWW[[#This Row],[Total PoP ]]</f>
        <v>0</v>
      </c>
      <c r="CO51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0.34013605442176875</v>
      </c>
      <c r="CP51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17" s="864">
        <f>WWWW[[#This Row],[HRP1]]/500</f>
        <v>0.13333333333333333</v>
      </c>
      <c r="CR517" s="869">
        <f>1-WWWW[[#This Row],[% Equitable and continuous access to sufficient quantity of domestic water]]</f>
        <v>0.65986394557823125</v>
      </c>
      <c r="CS517" s="864">
        <f>WWWW[[#This Row],[%equitable and continuous access to sufficient quantity of safe drinking and domestic water''s GAP]]*WWWW[[#This Row],[Total PoP ]]</f>
        <v>129.33333333333331</v>
      </c>
      <c r="CT517" s="867">
        <f>IF(WWWW[[#This Row],[Total required water points]]-WWWW[[#This Row],['#Water points coverage]]&lt;0,0,WWWW[[#This Row],[Total required water points]]-WWWW[[#This Row],['#Water points coverage]])</f>
        <v>0.8666666666666667</v>
      </c>
      <c r="CU517" s="867">
        <f>ROUND(IF(WWWW[[#This Row],[Total PoP ]]&lt;500,1,WWWW[[#This Row],[Total PoP ]]/500),0)</f>
        <v>1</v>
      </c>
      <c r="CV517" s="867">
        <f>(WWWW[[#This Row],['#_Constructed latrines_by_WASHAgencies]]+WWWW[[#This Row],['#_Non Cluster partner latrines]])-WWWW[[#This Row],['#_Non-functional latrines]]</f>
        <v>37</v>
      </c>
      <c r="CW517" s="804">
        <f>WWWW[[#This Row],[HRP2]]/WWWW[[#This Row],[Total PoP ]]</f>
        <v>1</v>
      </c>
      <c r="CX51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196</v>
      </c>
      <c r="CY51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7" s="473">
        <f>IF(WWWW[[#This Row],['# of functional latrines in THF supported by WASH partners during the reporting period2]]="",0,WWWW[[#This Row],['# of functional latrines in THF supported by WASH partners during the reporting period2]]*50)</f>
        <v>0</v>
      </c>
      <c r="DB517" s="473">
        <f>WWWW[[#This Row],['# students access to functioning school latrines_HRP5]]+WWWW[[#This Row],['# People access to functioning latrines in THF_HRP5]]</f>
        <v>0</v>
      </c>
      <c r="DC517" s="867">
        <f>ROUND(IF(WWWW[[#This Row],[Location Type 1]]="camp",WWWW[[#This Row],[Total PoP ]]/20,IF(WWWW[[#This Row],[Location Type 1]]="Temporary Location",WWWW[[#This Row],[Total PoP ]]/50,(WWWW[[#This Row],[Total PoP ]]/6))),0)</f>
        <v>10</v>
      </c>
      <c r="DD517" s="867">
        <f>IF(WWWW[[#This Row],[Total required Latrines]]-(WWWW[[#This Row],['#_Constructed latrines_by_WASHAgencies]]+WWWW[[#This Row],['#_Non Cluster partner latrines]])&lt;0,0,WWWW[[#This Row],[Total required Latrines]]-(WWWW[[#This Row],['#_Constructed latrines_by_WASHAgencies]]+WWWW[[#This Row],['#_Non Cluster partner latrines]]))</f>
        <v>0</v>
      </c>
      <c r="DE517" s="869">
        <f>1-WWWW[[#This Row],[% people access to functioning Latrine]]</f>
        <v>0</v>
      </c>
      <c r="DF517" s="868">
        <f>IF(OR(WWWW[[#This Row],['#_Non-functional latrines]]="",WWWW[[#This Row],['#_Non-functional latrines]]=0),0,WWWW[[#This Row],['#_Non-functional latrines]]/(WWWW[[#This Row],['#_Constructed latrines_by_WASHAgencies]]+WWWW[[#This Row],['#_Non Cluster partner latrines]]))</f>
        <v>0</v>
      </c>
      <c r="DG517" s="864">
        <f>IF(500*(WWWW[[#This Row],['#_male hygiene promoters]]+WWWW[[#This Row],['#_female hygiene promoters]])&gt;WWWW[[#This Row],[Total PoP ]],WWWW[[#This Row],[Total PoP ]],500*(WWWW[[#This Row],['#_male hygiene promoters]]+WWWW[[#This Row],['#_female hygiene promoters]]))</f>
        <v>196</v>
      </c>
      <c r="DH51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196</v>
      </c>
      <c r="DI51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7" s="867">
        <f>IF(WWWW[[#This Row],['# People with access to soap]]&gt;WWWW[[#This Row],['# People with access to Sanity Pads]],WWWW[[#This Row],['# People with access to soap]],WWWW[[#This Row],['# People with access to Sanity Pads]])</f>
        <v>196</v>
      </c>
      <c r="DK517" s="867">
        <f>IF(WWWW[[#This Row],['# people reached by regular dedicated hygiene promotion_5]]&gt;WWWW[[#This Row],['# People received regular supply of hygiene items_6]],WWWW[[#This Row],['# people reached by regular dedicated hygiene promotion_5]],WWWW[[#This Row],['# People received regular supply of hygiene items_6]])</f>
        <v>196</v>
      </c>
      <c r="DL517" s="869">
        <f>IF(WWWW[[#This Row],[HRP3]]/WWWW[[#This Row],[Total PoP ]]&gt;1,1,WWWW[[#This Row],[HRP3]]/WWWW[[#This Row],[Total PoP ]])</f>
        <v>1</v>
      </c>
      <c r="DM517" s="868">
        <f>1-WWWW[[#This Row],[Hygiene Coverage%]]</f>
        <v>0</v>
      </c>
      <c r="DN517" s="866">
        <f>WWWW[[#This Row],['# people reached by regular dedicated hygiene promotion_5]]/WWWW[[#This Row],[Total PoP ]]</f>
        <v>1</v>
      </c>
      <c r="DO51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7" s="867">
        <f>WWWW[[#This Row],['#_Constructed/Existing hand washing stations]]-WWWW[[#This Row],['#_Non-Functional_hand_washing_stations]]</f>
        <v>7</v>
      </c>
      <c r="DR517" s="864">
        <f>IF(WWWW[[#This Row],['# Functional hand washing stations during reporting period]]*20&gt;WWWW[[#This Row],[Total HH]],WWWW[[#This Row],[Total HH]],WWWW[[#This Row],['# Functional hand washing stations during reporting period]]*20)</f>
        <v>33</v>
      </c>
      <c r="DS517" s="864">
        <f>IF(WWWW[[#This Row],[Is sufficient soap available for TLS? (Yes/No)]]="yes",WWWW[[#This Row],['#_Constructed/Existing hand washing stations at TLS]],0)</f>
        <v>0</v>
      </c>
      <c r="DT517" s="479">
        <f>IF(WWWW[[#This Row],['# Functional hand washing stations during reporting period]]*100&gt;WWWW[[#This Row],[Total PoP ]],WWWW[[#This Row],[Total PoP ]],WWWW[[#This Row],['# Functional hand washing stations during reporting period]]*100)</f>
        <v>196</v>
      </c>
      <c r="DU517" s="479" t="str">
        <f>IF(OR(WWWW[[#This Row],['#_students at TLS_CFS]]="",WWWW[[#This Row],['#_students at TLS_CFS]]=0),"No","Yes")</f>
        <v>No</v>
      </c>
      <c r="DV51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500</v>
      </c>
      <c r="DY517" s="862" t="str">
        <f>VLOOKUP(WWWW[[#This Row],[Site Name]],SiteDB6[[Site Name]:[CCCM Management]],6,FALSE)</f>
        <v>Yes</v>
      </c>
      <c r="DZ517" s="862" t="str">
        <f>VLOOKUP(WWWW[[#This Row],[Site Name]],SiteDB6[[Site Name]:[CCCM Focal Agency]],7,FALSE)</f>
        <v>KMSS-LSO</v>
      </c>
      <c r="EA517" s="862" t="str">
        <f>VLOOKUP(WWWW[[#This Row],[Site Name]],SiteDB6[[Site Name]:[Location Type 1]],9,FALSE)</f>
        <v>Camp</v>
      </c>
      <c r="EB517" s="862" t="str">
        <f>VLOOKUP(WWWW[[#This Row],[Site Name]],SiteDB6[[Site Name]:[Type of Accommodation]],10,FALSE)</f>
        <v>Camp</v>
      </c>
      <c r="EC517" s="862" t="str">
        <f>VLOOKUP(WWWW[[#This Row],[Site Name]],SiteDB6[[Site Name]:[Ethnic or GCA/NGCA]],11,FALSE)</f>
        <v>GCA</v>
      </c>
      <c r="ED517" s="862">
        <f>VLOOKUP(WWWW[[#This Row],[Site Name]],SiteDB6[[Site Name]:[Lat]],12,FALSE)</f>
        <v>0</v>
      </c>
      <c r="EE517" s="862">
        <f>VLOOKUP(WWWW[[#This Row],[Site Name]],SiteDB6[[Site Name]:[Long]],13,FALSE)</f>
        <v>0</v>
      </c>
      <c r="EF517" s="862" t="str">
        <f>VLOOKUP(WWWW[[#This Row],[Site Name]],SiteDB6[[Site Name]:[Pcode]],3,FALSE)</f>
        <v>MMR015CMP249</v>
      </c>
      <c r="EG517" s="865" t="str">
        <f t="shared" si="15"/>
        <v>Covered</v>
      </c>
      <c r="EH517" s="865" t="str">
        <f>VLOOKUP(WWWW[[#This Row],[Site Name]],Site_DB!$C$389:$D$1120,2,FALSE)</f>
        <v>cccm_2019OCT</v>
      </c>
    </row>
    <row r="518" spans="1:138">
      <c r="A518" s="860" t="s">
        <v>3263</v>
      </c>
      <c r="B518" s="860" t="s">
        <v>195</v>
      </c>
      <c r="C518" s="861" t="s">
        <v>195</v>
      </c>
      <c r="D518" s="861" t="s">
        <v>3630</v>
      </c>
      <c r="E518" s="861" t="s">
        <v>711</v>
      </c>
      <c r="F518" s="861" t="s">
        <v>732</v>
      </c>
      <c r="G518" s="721" t="str">
        <f>VLOOKUP(WWWW[[#This Row],[Site Name]],SiteDB6[[Site Name]:[Location Type]],8,FALSE)</f>
        <v>Camp</v>
      </c>
      <c r="H518" s="861" t="s">
        <v>733</v>
      </c>
      <c r="I518" s="851">
        <v>6</v>
      </c>
      <c r="J518" s="851">
        <v>27</v>
      </c>
      <c r="K518" s="407" t="s">
        <v>3636</v>
      </c>
      <c r="L518" s="56" t="s">
        <v>3637</v>
      </c>
      <c r="M518" s="851"/>
      <c r="N518" s="851"/>
      <c r="O518" s="851"/>
      <c r="P518" s="851"/>
      <c r="Q518" s="864"/>
      <c r="R518" s="851"/>
      <c r="S518" s="851"/>
      <c r="T518" s="523"/>
      <c r="U518" s="851"/>
      <c r="V518" s="851"/>
      <c r="W518" s="851">
        <v>1</v>
      </c>
      <c r="X518" s="851"/>
      <c r="Y518" s="851"/>
      <c r="Z518" s="851"/>
      <c r="AA518" s="851"/>
      <c r="AB518" s="851"/>
      <c r="AC518" s="851"/>
      <c r="AD518" s="851"/>
      <c r="AE518" s="851"/>
      <c r="AF518" s="851"/>
      <c r="AG518" s="851"/>
      <c r="AH518" s="851"/>
      <c r="AI518" s="851"/>
      <c r="AJ518" s="851"/>
      <c r="AK518" s="851"/>
      <c r="AL518" s="851"/>
      <c r="AM518" s="851"/>
      <c r="AN518" s="851"/>
      <c r="AO518" s="865"/>
      <c r="AP518" s="851">
        <v>6</v>
      </c>
      <c r="AQ518" s="851"/>
      <c r="AR518" s="866"/>
      <c r="AS518" s="851"/>
      <c r="AT518" s="851"/>
      <c r="AU518" s="851"/>
      <c r="AV518" s="851"/>
      <c r="AW518" s="851"/>
      <c r="AX518" s="862" t="s">
        <v>139</v>
      </c>
      <c r="AY518" s="865" t="s">
        <v>1195</v>
      </c>
      <c r="AZ518" s="851"/>
      <c r="BA518" s="851"/>
      <c r="BB518" s="851"/>
      <c r="BC518" s="523"/>
      <c r="BD518" s="523"/>
      <c r="BE518" s="862"/>
      <c r="BF518" s="851"/>
      <c r="BG518" s="851"/>
      <c r="BH518" s="851"/>
      <c r="BI518" s="851"/>
      <c r="BJ518" s="851"/>
      <c r="BK518" s="851"/>
      <c r="BL518" s="851"/>
      <c r="BM518" s="851">
        <v>6</v>
      </c>
      <c r="BN518" s="851"/>
      <c r="BO518" s="862" t="s">
        <v>139</v>
      </c>
      <c r="BP518" s="867"/>
      <c r="BQ518" s="866"/>
      <c r="BR518" s="862"/>
      <c r="BS518" s="472"/>
      <c r="BT518" s="472"/>
      <c r="BU518" s="474"/>
      <c r="BV518" s="472"/>
      <c r="BW518" s="523"/>
      <c r="BX518" s="523"/>
      <c r="BY518" s="523"/>
      <c r="BZ518" s="868" t="str">
        <f>IFERROR(WWWW[[#This Row],['#_Water sources passed]]/WWWW[[#This Row],['#_Water sources tested for fecal coliform ]],"no test")</f>
        <v>no test</v>
      </c>
      <c r="CA518" s="866" t="str">
        <f>IFERROR(WWWW[[#This Row],['#_Household passed]]/WWWW[[#This Row],['#_Household water samples tested for fecal coliform]],"no test")</f>
        <v>no test</v>
      </c>
      <c r="CB518" s="867" t="str">
        <f>IF(AND(WWWW[[#This Row],[% of water sources passed]]="no test",WWWW[[#This Row],[% Household passed]]="no test"),"No Test","Tested")</f>
        <v>No Test</v>
      </c>
      <c r="CC518" s="867">
        <f>WWWW[[#This Row],['#_Constructed/existing protected hand dug well]]-WWWW[[#This Row],['#_Non-functional protected hand dug well]]</f>
        <v>0</v>
      </c>
      <c r="CD518" s="867">
        <f>(WWWW[[#This Row],['#_Constructed/Existing tube wells/boreholes/handpumps_WASH_agency]]+WWWW[[#This Row],['#_Non-Cluster partner water tube-wells/boreholes/handpumps]])-WWWW[[#This Row],['#_Non-functional tube wells/boreholes/handpumps]]</f>
        <v>1</v>
      </c>
      <c r="CE518" s="867">
        <f>WWWW[[#This Row],['#_Constructed/Existingwater storage tank with gravity fed reticulation system]]-WWWW[[#This Row],['#_Non-functional storage tank gravity fed reticulation system]]</f>
        <v>0</v>
      </c>
      <c r="CF518" s="867">
        <f>(WWWW[[#This Row],['#_Water_Liters_supplied_by_Water boating or water trucking]]/90)/15</f>
        <v>0</v>
      </c>
      <c r="CG518" s="867">
        <f>WWWW[[#This Row],['#_Water_Liters_from_Constructed/Existing water distribution system from river or natural spring]]/90/15</f>
        <v>0</v>
      </c>
      <c r="CH518" s="473">
        <f>WWWW[[#This Row],['#_of water points in TLS/CFS /THF]]*500</f>
        <v>0</v>
      </c>
      <c r="CI51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1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18" s="866">
        <f>IF(WWWW[[#This Row],[Location Type 1]]="Village",WWWW[[#This Row],[Access to safe drinking water for Village]],WWWW[[#This Row],[Access to safe drinking water for Camp]])</f>
        <v>1</v>
      </c>
      <c r="CL518" s="864">
        <f>WWWW[[#This Row],[%Equitable and continuous access to sufficient quantity of safe drinking water]]*WWWW[[#This Row],[Total PoP ]]</f>
        <v>27</v>
      </c>
      <c r="CM518" s="866">
        <f>IF((WWWW[[#This Row],['#_Constructed/Existing protected/fenced ponds]]*250)/WWWW[[#This Row],[Total PoP ]]&gt;1,1,(WWWW[[#This Row],['#_Constructed/Existing protected/fenced ponds]]*250)/WWWW[[#This Row],[Total PoP ]])</f>
        <v>0</v>
      </c>
      <c r="CN518" s="864">
        <f>WWWW[[#This Row],[% Access to unimproved water points]]*WWWW[[#This Row],[Total PoP ]]</f>
        <v>0</v>
      </c>
      <c r="CO51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1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v>
      </c>
      <c r="CQ518" s="864">
        <f>WWWW[[#This Row],[HRP1]]/500</f>
        <v>5.3999999999999999E-2</v>
      </c>
      <c r="CR518" s="869">
        <f>1-WWWW[[#This Row],[% Equitable and continuous access to sufficient quantity of domestic water]]</f>
        <v>0</v>
      </c>
      <c r="CS518" s="864">
        <f>WWWW[[#This Row],[%equitable and continuous access to sufficient quantity of safe drinking and domestic water''s GAP]]*WWWW[[#This Row],[Total PoP ]]</f>
        <v>0</v>
      </c>
      <c r="CT518" s="867">
        <f>IF(WWWW[[#This Row],[Total required water points]]-WWWW[[#This Row],['#Water points coverage]]&lt;0,0,WWWW[[#This Row],[Total required water points]]-WWWW[[#This Row],['#Water points coverage]])</f>
        <v>0.94599999999999995</v>
      </c>
      <c r="CU518" s="867">
        <f>ROUND(IF(WWWW[[#This Row],[Total PoP ]]&lt;500,1,WWWW[[#This Row],[Total PoP ]]/500),0)</f>
        <v>1</v>
      </c>
      <c r="CV518" s="867">
        <f>(WWWW[[#This Row],['#_Constructed latrines_by_WASHAgencies]]+WWWW[[#This Row],['#_Non Cluster partner latrines]])-WWWW[[#This Row],['#_Non-functional latrines]]</f>
        <v>6</v>
      </c>
      <c r="CW518" s="804">
        <f>WWWW[[#This Row],[HRP2]]/WWWW[[#This Row],[Total PoP ]]</f>
        <v>1</v>
      </c>
      <c r="CX51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v>
      </c>
      <c r="CY51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8" s="473">
        <f>IF(WWWW[[#This Row],['# of functional latrines in THF supported by WASH partners during the reporting period2]]="",0,WWWW[[#This Row],['# of functional latrines in THF supported by WASH partners during the reporting period2]]*50)</f>
        <v>0</v>
      </c>
      <c r="DB518" s="473">
        <f>WWWW[[#This Row],['# students access to functioning school latrines_HRP5]]+WWWW[[#This Row],['# People access to functioning latrines in THF_HRP5]]</f>
        <v>0</v>
      </c>
      <c r="DC518" s="867">
        <f>ROUND(IF(WWWW[[#This Row],[Location Type 1]]="camp",WWWW[[#This Row],[Total PoP ]]/20,IF(WWWW[[#This Row],[Location Type 1]]="Temporary Location",WWWW[[#This Row],[Total PoP ]]/50,(WWWW[[#This Row],[Total PoP ]]/6))),0)</f>
        <v>1</v>
      </c>
      <c r="DD518" s="867">
        <f>IF(WWWW[[#This Row],[Total required Latrines]]-(WWWW[[#This Row],['#_Constructed latrines_by_WASHAgencies]]+WWWW[[#This Row],['#_Non Cluster partner latrines]])&lt;0,0,WWWW[[#This Row],[Total required Latrines]]-(WWWW[[#This Row],['#_Constructed latrines_by_WASHAgencies]]+WWWW[[#This Row],['#_Non Cluster partner latrines]]))</f>
        <v>0</v>
      </c>
      <c r="DE518" s="869">
        <f>1-WWWW[[#This Row],[% people access to functioning Latrine]]</f>
        <v>0</v>
      </c>
      <c r="DF518" s="868">
        <f>IF(OR(WWWW[[#This Row],['#_Non-functional latrines]]="",WWWW[[#This Row],['#_Non-functional latrines]]=0),0,WWWW[[#This Row],['#_Non-functional latrines]]/(WWWW[[#This Row],['#_Constructed latrines_by_WASHAgencies]]+WWWW[[#This Row],['#_Non Cluster partner latrines]]))</f>
        <v>0</v>
      </c>
      <c r="DG518" s="864">
        <f>IF(500*(WWWW[[#This Row],['#_male hygiene promoters]]+WWWW[[#This Row],['#_female hygiene promoters]])&gt;WWWW[[#This Row],[Total PoP ]],WWWW[[#This Row],[Total PoP ]],500*(WWWW[[#This Row],['#_male hygiene promoters]]+WWWW[[#This Row],['#_female hygiene promoters]]))</f>
        <v>0</v>
      </c>
      <c r="DH51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v>
      </c>
      <c r="DI51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8" s="867">
        <f>IF(WWWW[[#This Row],['# People with access to soap]]&gt;WWWW[[#This Row],['# People with access to Sanity Pads]],WWWW[[#This Row],['# People with access to soap]],WWWW[[#This Row],['# People with access to Sanity Pads]])</f>
        <v>27</v>
      </c>
      <c r="DK518" s="867">
        <f>IF(WWWW[[#This Row],['# people reached by regular dedicated hygiene promotion_5]]&gt;WWWW[[#This Row],['# People received regular supply of hygiene items_6]],WWWW[[#This Row],['# people reached by regular dedicated hygiene promotion_5]],WWWW[[#This Row],['# People received regular supply of hygiene items_6]])</f>
        <v>27</v>
      </c>
      <c r="DL518" s="869">
        <f>IF(WWWW[[#This Row],[HRP3]]/WWWW[[#This Row],[Total PoP ]]&gt;1,1,WWWW[[#This Row],[HRP3]]/WWWW[[#This Row],[Total PoP ]])</f>
        <v>1</v>
      </c>
      <c r="DM518" s="868">
        <f>1-WWWW[[#This Row],[Hygiene Coverage%]]</f>
        <v>0</v>
      </c>
      <c r="DN518" s="866">
        <f>WWWW[[#This Row],['# people reached by regular dedicated hygiene promotion_5]]/WWWW[[#This Row],[Total PoP ]]</f>
        <v>0</v>
      </c>
      <c r="DO51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8" s="867">
        <f>WWWW[[#This Row],['#_Constructed/Existing hand washing stations]]-WWWW[[#This Row],['#_Non-Functional_hand_washing_stations]]</f>
        <v>0</v>
      </c>
      <c r="DR518" s="864">
        <f>IF(WWWW[[#This Row],['# Functional hand washing stations during reporting period]]*20&gt;WWWW[[#This Row],[Total HH]],WWWW[[#This Row],[Total HH]],WWWW[[#This Row],['# Functional hand washing stations during reporting period]]*20)</f>
        <v>0</v>
      </c>
      <c r="DS518" s="864">
        <f>IF(WWWW[[#This Row],[Is sufficient soap available for TLS? (Yes/No)]]="yes",WWWW[[#This Row],['#_Constructed/Existing hand washing stations at TLS]],0)</f>
        <v>0</v>
      </c>
      <c r="DT518" s="479">
        <f>IF(WWWW[[#This Row],['# Functional hand washing stations during reporting period]]*100&gt;WWWW[[#This Row],[Total PoP ]],WWWW[[#This Row],[Total PoP ]],WWWW[[#This Row],['# Functional hand washing stations during reporting period]]*100)</f>
        <v>0</v>
      </c>
      <c r="DU518" s="479" t="str">
        <f>IF(OR(WWWW[[#This Row],['#_students at TLS_CFS]]="",WWWW[[#This Row],['#_students at TLS_CFS]]=0),"No","Yes")</f>
        <v>No</v>
      </c>
      <c r="DV51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8" s="862">
        <f>VLOOKUP(WWWW[[#This Row],[Site Name]],SiteDB6[[Site Name]:[CCCM Management]],6,FALSE)</f>
        <v>0</v>
      </c>
      <c r="DZ518" s="862" t="str">
        <f>VLOOKUP(WWWW[[#This Row],[Site Name]],SiteDB6[[Site Name]:[CCCM Focal Agency]],7,FALSE)</f>
        <v>uncovered</v>
      </c>
      <c r="EA518" s="862" t="str">
        <f>VLOOKUP(WWWW[[#This Row],[Site Name]],SiteDB6[[Site Name]:[Location Type 1]],9,FALSE)</f>
        <v>Camp</v>
      </c>
      <c r="EB518" s="862" t="str">
        <f>VLOOKUP(WWWW[[#This Row],[Site Name]],SiteDB6[[Site Name]:[Type of Accommodation]],10,FALSE)</f>
        <v>Camp like setting</v>
      </c>
      <c r="EC518" s="862" t="str">
        <f>VLOOKUP(WWWW[[#This Row],[Site Name]],SiteDB6[[Site Name]:[Ethnic or GCA/NGCA]],11,FALSE)</f>
        <v>GCA</v>
      </c>
      <c r="ED518" s="862">
        <f>VLOOKUP(WWWW[[#This Row],[Site Name]],SiteDB6[[Site Name]:[Lat]],12,FALSE)</f>
        <v>22.765999999999998</v>
      </c>
      <c r="EE518" s="862">
        <f>VLOOKUP(WWWW[[#This Row],[Site Name]],SiteDB6[[Site Name]:[Long]],13,FALSE)</f>
        <v>97.358999999999995</v>
      </c>
      <c r="EF518" s="862" t="str">
        <f>VLOOKUP(WWWW[[#This Row],[Site Name]],SiteDB6[[Site Name]:[Pcode]],3,FALSE)</f>
        <v>MMR015CMP221</v>
      </c>
      <c r="EG518" s="865" t="str">
        <f t="shared" si="15"/>
        <v>Covered</v>
      </c>
      <c r="EH518" s="865" t="e">
        <f>VLOOKUP(WWWW[[#This Row],[Site Name]],Site_DB!$C$389:$D$1120,2,FALSE)</f>
        <v>#N/A</v>
      </c>
    </row>
    <row r="519" spans="1:138">
      <c r="A519" s="860" t="s">
        <v>3263</v>
      </c>
      <c r="B519" s="860" t="s">
        <v>3376</v>
      </c>
      <c r="C519" s="861" t="s">
        <v>3376</v>
      </c>
      <c r="D519" s="861" t="s">
        <v>3377</v>
      </c>
      <c r="E519" s="861" t="s">
        <v>39</v>
      </c>
      <c r="F519" s="861" t="s">
        <v>217</v>
      </c>
      <c r="G519" s="721" t="str">
        <f>VLOOKUP(WWWW[[#This Row],[Site Name]],SiteDB6[[Site Name]:[Location Type]],8,FALSE)</f>
        <v>Camp</v>
      </c>
      <c r="H519" s="861" t="s">
        <v>218</v>
      </c>
      <c r="I519" s="851">
        <v>51</v>
      </c>
      <c r="J519" s="851">
        <v>298</v>
      </c>
      <c r="K519" s="863" t="s">
        <v>3606</v>
      </c>
      <c r="L519" s="859" t="s">
        <v>3605</v>
      </c>
      <c r="M519" s="851"/>
      <c r="N519" s="851"/>
      <c r="O519" s="851">
        <v>7</v>
      </c>
      <c r="P519" s="851"/>
      <c r="Q519" s="864" t="s">
        <v>43</v>
      </c>
      <c r="R519" s="851">
        <v>2</v>
      </c>
      <c r="S519" s="851">
        <v>4</v>
      </c>
      <c r="T519" s="523"/>
      <c r="U519" s="851"/>
      <c r="V519" s="851"/>
      <c r="W519" s="851"/>
      <c r="X519" s="851">
        <v>2</v>
      </c>
      <c r="Y519" s="851"/>
      <c r="Z519" s="851"/>
      <c r="AA519" s="851"/>
      <c r="AB519" s="851"/>
      <c r="AC519" s="851"/>
      <c r="AD519" s="851"/>
      <c r="AE519" s="851"/>
      <c r="AF519" s="851"/>
      <c r="AG519" s="851"/>
      <c r="AH519" s="851"/>
      <c r="AI519" s="851"/>
      <c r="AJ519" s="851"/>
      <c r="AK519" s="851"/>
      <c r="AL519" s="851"/>
      <c r="AM519" s="851">
        <v>5</v>
      </c>
      <c r="AN519" s="851"/>
      <c r="AO519" s="865" t="s">
        <v>3380</v>
      </c>
      <c r="AP519" s="851">
        <v>13</v>
      </c>
      <c r="AQ519" s="851"/>
      <c r="AR519" s="866"/>
      <c r="AS519" s="851"/>
      <c r="AT519" s="851"/>
      <c r="AU519" s="851"/>
      <c r="AV519" s="851"/>
      <c r="AW519" s="851"/>
      <c r="AX519" s="862" t="s">
        <v>43</v>
      </c>
      <c r="AY519" s="865" t="s">
        <v>140</v>
      </c>
      <c r="AZ519" s="851"/>
      <c r="BA519" s="851"/>
      <c r="BB519" s="851">
        <v>4</v>
      </c>
      <c r="BC519" s="523"/>
      <c r="BD519" s="523"/>
      <c r="BE519" s="862"/>
      <c r="BF519" s="851">
        <v>6</v>
      </c>
      <c r="BG519" s="851"/>
      <c r="BH519" s="851"/>
      <c r="BI519" s="851">
        <v>4</v>
      </c>
      <c r="BJ519" s="851"/>
      <c r="BK519" s="851"/>
      <c r="BL519" s="851">
        <v>1</v>
      </c>
      <c r="BM519" s="851">
        <v>51</v>
      </c>
      <c r="BN519" s="851"/>
      <c r="BO519" s="862" t="s">
        <v>139</v>
      </c>
      <c r="BP519" s="867"/>
      <c r="BQ519" s="866"/>
      <c r="BR519" s="806" t="s">
        <v>3645</v>
      </c>
      <c r="BS519" s="472"/>
      <c r="BT519" s="472"/>
      <c r="BU519" s="474"/>
      <c r="BV519" s="472"/>
      <c r="BW519" s="523"/>
      <c r="BX519" s="523"/>
      <c r="BY519" s="523"/>
      <c r="BZ519" s="868" t="str">
        <f>IFERROR(WWWW[[#This Row],['#_Water sources passed]]/WWWW[[#This Row],['#_Water sources tested for fecal coliform ]],"no test")</f>
        <v>no test</v>
      </c>
      <c r="CA519" s="866" t="str">
        <f>IFERROR(WWWW[[#This Row],['#_Household passed]]/WWWW[[#This Row],['#_Household water samples tested for fecal coliform]],"no test")</f>
        <v>no test</v>
      </c>
      <c r="CB519" s="867" t="str">
        <f>IF(AND(WWWW[[#This Row],[% of water sources passed]]="no test",WWWW[[#This Row],[% Household passed]]="no test"),"No Test","Tested")</f>
        <v>No Test</v>
      </c>
      <c r="CC519" s="867">
        <f>WWWW[[#This Row],['#_Constructed/existing protected hand dug well]]-WWWW[[#This Row],['#_Non-functional protected hand dug well]]</f>
        <v>0</v>
      </c>
      <c r="CD519" s="867">
        <f>(WWWW[[#This Row],['#_Constructed/Existing tube wells/boreholes/handpumps_WASH_agency]]+WWWW[[#This Row],['#_Non-Cluster partner water tube-wells/boreholes/handpumps]])-WWWW[[#This Row],['#_Non-functional tube wells/boreholes/handpumps]]</f>
        <v>2</v>
      </c>
      <c r="CE519" s="867">
        <f>WWWW[[#This Row],['#_Constructed/Existingwater storage tank with gravity fed reticulation system]]-WWWW[[#This Row],['#_Non-functional storage tank gravity fed reticulation system]]</f>
        <v>0</v>
      </c>
      <c r="CF519" s="867">
        <f>(WWWW[[#This Row],['#_Water_Liters_supplied_by_Water boating or water trucking]]/90)/15</f>
        <v>0</v>
      </c>
      <c r="CG519" s="867">
        <f>WWWW[[#This Row],['#_Water_Liters_from_Constructed/Existing water distribution system from river or natural spring]]/90/15</f>
        <v>0</v>
      </c>
      <c r="CH519" s="473">
        <f>WWWW[[#This Row],['#_of water points in TLS/CFS /THF]]*500</f>
        <v>0</v>
      </c>
      <c r="CI51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1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19" s="866">
        <f>IF(WWWW[[#This Row],[Location Type 1]]="Village",WWWW[[#This Row],[Access to safe drinking water for Village]],WWWW[[#This Row],[Access to safe drinking water for Camp]])</f>
        <v>1</v>
      </c>
      <c r="CL519" s="864">
        <f>WWWW[[#This Row],[%Equitable and continuous access to sufficient quantity of safe drinking water]]*WWWW[[#This Row],[Total PoP ]]</f>
        <v>298</v>
      </c>
      <c r="CM519" s="866">
        <f>IF((WWWW[[#This Row],['#_Constructed/Existing protected/fenced ponds]]*250)/WWWW[[#This Row],[Total PoP ]]&gt;1,1,(WWWW[[#This Row],['#_Constructed/Existing protected/fenced ponds]]*250)/WWWW[[#This Row],[Total PoP ]])</f>
        <v>0</v>
      </c>
      <c r="CN519" s="864">
        <f>WWWW[[#This Row],[% Access to unimproved water points]]*WWWW[[#This Row],[Total PoP ]]</f>
        <v>0</v>
      </c>
      <c r="CO51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1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Q519" s="864">
        <f>WWWW[[#This Row],[HRP1]]/500</f>
        <v>0.59599999999999997</v>
      </c>
      <c r="CR519" s="869">
        <f>1-WWWW[[#This Row],[% Equitable and continuous access to sufficient quantity of domestic water]]</f>
        <v>0</v>
      </c>
      <c r="CS519" s="864">
        <f>WWWW[[#This Row],[%equitable and continuous access to sufficient quantity of safe drinking and domestic water''s GAP]]*WWWW[[#This Row],[Total PoP ]]</f>
        <v>0</v>
      </c>
      <c r="CT519" s="867">
        <f>IF(WWWW[[#This Row],[Total required water points]]-WWWW[[#This Row],['#Water points coverage]]&lt;0,0,WWWW[[#This Row],[Total required water points]]-WWWW[[#This Row],['#Water points coverage]])</f>
        <v>0.40400000000000003</v>
      </c>
      <c r="CU519" s="867">
        <f>ROUND(IF(WWWW[[#This Row],[Total PoP ]]&lt;500,1,WWWW[[#This Row],[Total PoP ]]/500),0)</f>
        <v>1</v>
      </c>
      <c r="CV519" s="867">
        <f>(WWWW[[#This Row],['#_Constructed latrines_by_WASHAgencies]]+WWWW[[#This Row],['#_Non Cluster partner latrines]])-WWWW[[#This Row],['#_Non-functional latrines]]</f>
        <v>13</v>
      </c>
      <c r="CW519" s="804">
        <f>WWWW[[#This Row],[HRP2]]/WWWW[[#This Row],[Total PoP ]]</f>
        <v>0.87248322147651003</v>
      </c>
      <c r="CX51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CY51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1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19" s="473">
        <f>IF(WWWW[[#This Row],['# of functional latrines in THF supported by WASH partners during the reporting period2]]="",0,WWWW[[#This Row],['# of functional latrines in THF supported by WASH partners during the reporting period2]]*50)</f>
        <v>0</v>
      </c>
      <c r="DB519" s="473">
        <f>WWWW[[#This Row],['# students access to functioning school latrines_HRP5]]+WWWW[[#This Row],['# People access to functioning latrines in THF_HRP5]]</f>
        <v>0</v>
      </c>
      <c r="DC519" s="867">
        <f>ROUND(IF(WWWW[[#This Row],[Location Type 1]]="camp",WWWW[[#This Row],[Total PoP ]]/20,IF(WWWW[[#This Row],[Location Type 1]]="Temporary Location",WWWW[[#This Row],[Total PoP ]]/50,(WWWW[[#This Row],[Total PoP ]]/6))),0)</f>
        <v>15</v>
      </c>
      <c r="DD519" s="867">
        <f>IF(WWWW[[#This Row],[Total required Latrines]]-(WWWW[[#This Row],['#_Constructed latrines_by_WASHAgencies]]+WWWW[[#This Row],['#_Non Cluster partner latrines]])&lt;0,0,WWWW[[#This Row],[Total required Latrines]]-(WWWW[[#This Row],['#_Constructed latrines_by_WASHAgencies]]+WWWW[[#This Row],['#_Non Cluster partner latrines]]))</f>
        <v>2</v>
      </c>
      <c r="DE519" s="869">
        <f>1-WWWW[[#This Row],[% people access to functioning Latrine]]</f>
        <v>0.12751677852348997</v>
      </c>
      <c r="DF519" s="868">
        <f>IF(OR(WWWW[[#This Row],['#_Non-functional latrines]]="",WWWW[[#This Row],['#_Non-functional latrines]]=0),0,WWWW[[#This Row],['#_Non-functional latrines]]/(WWWW[[#This Row],['#_Constructed latrines_by_WASHAgencies]]+WWWW[[#This Row],['#_Non Cluster partner latrines]]))</f>
        <v>0</v>
      </c>
      <c r="DG519" s="864">
        <f>IF(500*(WWWW[[#This Row],['#_male hygiene promoters]]+WWWW[[#This Row],['#_female hygiene promoters]])&gt;WWWW[[#This Row],[Total PoP ]],WWWW[[#This Row],[Total PoP ]],500*(WWWW[[#This Row],['#_male hygiene promoters]]+WWWW[[#This Row],['#_female hygiene promoters]]))</f>
        <v>298</v>
      </c>
      <c r="DH51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I51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19" s="867">
        <f>IF(WWWW[[#This Row],['# People with access to soap]]&gt;WWWW[[#This Row],['# People with access to Sanity Pads]],WWWW[[#This Row],['# People with access to soap]],WWWW[[#This Row],['# People with access to Sanity Pads]])</f>
        <v>298</v>
      </c>
      <c r="DK519" s="867">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L519" s="869">
        <f>IF(WWWW[[#This Row],[HRP3]]/WWWW[[#This Row],[Total PoP ]]&gt;1,1,WWWW[[#This Row],[HRP3]]/WWWW[[#This Row],[Total PoP ]])</f>
        <v>1</v>
      </c>
      <c r="DM519" s="868">
        <f>1-WWWW[[#This Row],[Hygiene Coverage%]]</f>
        <v>0</v>
      </c>
      <c r="DN519" s="866">
        <f>WWWW[[#This Row],['# people reached by regular dedicated hygiene promotion_5]]/WWWW[[#This Row],[Total PoP ]]</f>
        <v>1</v>
      </c>
      <c r="DO51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1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19" s="867">
        <f>WWWW[[#This Row],['#_Constructed/Existing hand washing stations]]-WWWW[[#This Row],['#_Non-Functional_hand_washing_stations]]</f>
        <v>6</v>
      </c>
      <c r="DR519" s="864">
        <f>IF(WWWW[[#This Row],['# Functional hand washing stations during reporting period]]*20&gt;WWWW[[#This Row],[Total HH]],WWWW[[#This Row],[Total HH]],WWWW[[#This Row],['# Functional hand washing stations during reporting period]]*20)</f>
        <v>51</v>
      </c>
      <c r="DS519" s="864">
        <f>IF(WWWW[[#This Row],[Is sufficient soap available for TLS? (Yes/No)]]="yes",WWWW[[#This Row],['#_Constructed/Existing hand washing stations at TLS]],0)</f>
        <v>0</v>
      </c>
      <c r="DT519" s="479">
        <f>IF(WWWW[[#This Row],['# Functional hand washing stations during reporting period]]*100&gt;WWWW[[#This Row],[Total PoP ]],WWWW[[#This Row],[Total PoP ]],WWWW[[#This Row],['# Functional hand washing stations during reporting period]]*100)</f>
        <v>298</v>
      </c>
      <c r="DU519" s="479" t="str">
        <f>IF(OR(WWWW[[#This Row],['#_students at TLS_CFS]]="",WWWW[[#This Row],['#_students at TLS_CFS]]=0),"No","Yes")</f>
        <v>No</v>
      </c>
      <c r="DV51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1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1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19" s="862" t="str">
        <f>VLOOKUP(WWWW[[#This Row],[Site Name]],SiteDB6[[Site Name]:[CCCM Management]],6,FALSE)</f>
        <v>Yes</v>
      </c>
      <c r="DZ519" s="862" t="str">
        <f>VLOOKUP(WWWW[[#This Row],[Site Name]],SiteDB6[[Site Name]:[CCCM Focal Agency]],7,FALSE)</f>
        <v>KBC-BMO</v>
      </c>
      <c r="EA519" s="862" t="str">
        <f>VLOOKUP(WWWW[[#This Row],[Site Name]],SiteDB6[[Site Name]:[Location Type 1]],9,FALSE)</f>
        <v>Camp</v>
      </c>
      <c r="EB519" s="862" t="str">
        <f>VLOOKUP(WWWW[[#This Row],[Site Name]],SiteDB6[[Site Name]:[Type of Accommodation]],10,FALSE)</f>
        <v>Camp</v>
      </c>
      <c r="EC519" s="862" t="str">
        <f>VLOOKUP(WWWW[[#This Row],[Site Name]],SiteDB6[[Site Name]:[Ethnic or GCA/NGCA]],11,FALSE)</f>
        <v>GCA</v>
      </c>
      <c r="ED519" s="862">
        <f>VLOOKUP(WWWW[[#This Row],[Site Name]],SiteDB6[[Site Name]:[Lat]],12,FALSE)</f>
        <v>24.200361000000001</v>
      </c>
      <c r="EE519" s="862">
        <f>VLOOKUP(WWWW[[#This Row],[Site Name]],SiteDB6[[Site Name]:[Long]],13,FALSE)</f>
        <v>96.807353000000006</v>
      </c>
      <c r="EF519" s="862" t="str">
        <f>VLOOKUP(WWWW[[#This Row],[Site Name]],SiteDB6[[Site Name]:[Pcode]],3,FALSE)</f>
        <v>MMR001CMP067</v>
      </c>
      <c r="EG519" s="865" t="str">
        <f t="shared" si="15"/>
        <v>Covered</v>
      </c>
      <c r="EH519" s="865" t="str">
        <f>VLOOKUP(WWWW[[#This Row],[Site Name]],Site_DB!$C$389:$D$1120,2,FALSE)</f>
        <v>cccm_2019OCT</v>
      </c>
    </row>
    <row r="520" spans="1:138">
      <c r="A520" s="860" t="s">
        <v>3263</v>
      </c>
      <c r="B520" s="860" t="s">
        <v>195</v>
      </c>
      <c r="C520" s="861" t="s">
        <v>195</v>
      </c>
      <c r="D520" s="861" t="s">
        <v>3366</v>
      </c>
      <c r="E520" s="861" t="s">
        <v>39</v>
      </c>
      <c r="F520" s="861" t="s">
        <v>217</v>
      </c>
      <c r="G520" s="721" t="str">
        <f>VLOOKUP(WWWW[[#This Row],[Site Name]],SiteDB6[[Site Name]:[Location Type]],8,FALSE)</f>
        <v>Camp</v>
      </c>
      <c r="H520" s="861" t="s">
        <v>219</v>
      </c>
      <c r="I520" s="851">
        <v>38</v>
      </c>
      <c r="J520" s="851">
        <v>189</v>
      </c>
      <c r="K520" s="863" t="s">
        <v>3611</v>
      </c>
      <c r="L520" s="859" t="s">
        <v>3612</v>
      </c>
      <c r="M520" s="851"/>
      <c r="N520" s="851"/>
      <c r="O520" s="851"/>
      <c r="P520" s="851"/>
      <c r="Q520" s="864" t="s">
        <v>43</v>
      </c>
      <c r="R520" s="851">
        <v>1</v>
      </c>
      <c r="S520" s="851">
        <v>1</v>
      </c>
      <c r="T520" s="523"/>
      <c r="U520" s="851"/>
      <c r="V520" s="851"/>
      <c r="W520" s="851"/>
      <c r="X520" s="851">
        <v>1</v>
      </c>
      <c r="Y520" s="851"/>
      <c r="Z520" s="851"/>
      <c r="AA520" s="851"/>
      <c r="AB520" s="851"/>
      <c r="AC520" s="851"/>
      <c r="AD520" s="851"/>
      <c r="AE520" s="851"/>
      <c r="AF520" s="851"/>
      <c r="AG520" s="851"/>
      <c r="AH520" s="851"/>
      <c r="AI520" s="851"/>
      <c r="AJ520" s="851"/>
      <c r="AK520" s="851"/>
      <c r="AL520" s="851"/>
      <c r="AM520" s="851"/>
      <c r="AN520" s="851"/>
      <c r="AO520" s="865"/>
      <c r="AP520" s="851">
        <v>9</v>
      </c>
      <c r="AQ520" s="851"/>
      <c r="AR520" s="866"/>
      <c r="AS520" s="851"/>
      <c r="AT520" s="851"/>
      <c r="AU520" s="851"/>
      <c r="AV520" s="851"/>
      <c r="AW520" s="851"/>
      <c r="AX520" s="862" t="s">
        <v>43</v>
      </c>
      <c r="AY520" s="865" t="s">
        <v>140</v>
      </c>
      <c r="AZ520" s="851"/>
      <c r="BA520" s="851"/>
      <c r="BB520" s="851"/>
      <c r="BC520" s="523"/>
      <c r="BD520" s="523"/>
      <c r="BE520" s="862"/>
      <c r="BF520" s="851">
        <v>4</v>
      </c>
      <c r="BG520" s="851"/>
      <c r="BH520" s="851"/>
      <c r="BI520" s="851">
        <v>2</v>
      </c>
      <c r="BJ520" s="851"/>
      <c r="BK520" s="851"/>
      <c r="BL520" s="851">
        <v>1</v>
      </c>
      <c r="BM520" s="851">
        <v>38</v>
      </c>
      <c r="BN520" s="851"/>
      <c r="BO520" s="862"/>
      <c r="BP520" s="867"/>
      <c r="BQ520" s="866"/>
      <c r="BR520" s="806" t="s">
        <v>3645</v>
      </c>
      <c r="BS520" s="472"/>
      <c r="BT520" s="472"/>
      <c r="BU520" s="474"/>
      <c r="BV520" s="472"/>
      <c r="BW520" s="523"/>
      <c r="BX520" s="523"/>
      <c r="BY520" s="523"/>
      <c r="BZ520" s="868" t="str">
        <f>IFERROR(WWWW[[#This Row],['#_Water sources passed]]/WWWW[[#This Row],['#_Water sources tested for fecal coliform ]],"no test")</f>
        <v>no test</v>
      </c>
      <c r="CA520" s="866" t="str">
        <f>IFERROR(WWWW[[#This Row],['#_Household passed]]/WWWW[[#This Row],['#_Household water samples tested for fecal coliform]],"no test")</f>
        <v>no test</v>
      </c>
      <c r="CB520" s="867" t="str">
        <f>IF(AND(WWWW[[#This Row],[% of water sources passed]]="no test",WWWW[[#This Row],[% Household passed]]="no test"),"No Test","Tested")</f>
        <v>No Test</v>
      </c>
      <c r="CC520" s="867">
        <f>WWWW[[#This Row],['#_Constructed/existing protected hand dug well]]-WWWW[[#This Row],['#_Non-functional protected hand dug well]]</f>
        <v>0</v>
      </c>
      <c r="CD520" s="867">
        <f>(WWWW[[#This Row],['#_Constructed/Existing tube wells/boreholes/handpumps_WASH_agency]]+WWWW[[#This Row],['#_Non-Cluster partner water tube-wells/boreholes/handpumps]])-WWWW[[#This Row],['#_Non-functional tube wells/boreholes/handpumps]]</f>
        <v>1</v>
      </c>
      <c r="CE520" s="867">
        <f>WWWW[[#This Row],['#_Constructed/Existingwater storage tank with gravity fed reticulation system]]-WWWW[[#This Row],['#_Non-functional storage tank gravity fed reticulation system]]</f>
        <v>0</v>
      </c>
      <c r="CF520" s="867">
        <f>(WWWW[[#This Row],['#_Water_Liters_supplied_by_Water boating or water trucking]]/90)/15</f>
        <v>0</v>
      </c>
      <c r="CG520" s="867">
        <f>WWWW[[#This Row],['#_Water_Liters_from_Constructed/Existing water distribution system from river or natural spring]]/90/15</f>
        <v>0</v>
      </c>
      <c r="CH520" s="473">
        <f>WWWW[[#This Row],['#_of water points in TLS/CFS /THF]]*500</f>
        <v>0</v>
      </c>
      <c r="CI52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0" s="866">
        <f>IF(WWWW[[#This Row],[Location Type 1]]="Village",WWWW[[#This Row],[Access to safe drinking water for Village]],WWWW[[#This Row],[Access to safe drinking water for Camp]])</f>
        <v>1</v>
      </c>
      <c r="CL520" s="864">
        <f>WWWW[[#This Row],[%Equitable and continuous access to sufficient quantity of safe drinking water]]*WWWW[[#This Row],[Total PoP ]]</f>
        <v>189</v>
      </c>
      <c r="CM520" s="866">
        <f>IF((WWWW[[#This Row],['#_Constructed/Existing protected/fenced ponds]]*250)/WWWW[[#This Row],[Total PoP ]]&gt;1,1,(WWWW[[#This Row],['#_Constructed/Existing protected/fenced ponds]]*250)/WWWW[[#This Row],[Total PoP ]])</f>
        <v>0</v>
      </c>
      <c r="CN520" s="864">
        <f>WWWW[[#This Row],[% Access to unimproved water points]]*WWWW[[#This Row],[Total PoP ]]</f>
        <v>0</v>
      </c>
      <c r="CO52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520" s="864">
        <f>WWWW[[#This Row],[HRP1]]/500</f>
        <v>0.378</v>
      </c>
      <c r="CR520" s="869">
        <f>1-WWWW[[#This Row],[% Equitable and continuous access to sufficient quantity of domestic water]]</f>
        <v>0</v>
      </c>
      <c r="CS520" s="864">
        <f>WWWW[[#This Row],[%equitable and continuous access to sufficient quantity of safe drinking and domestic water''s GAP]]*WWWW[[#This Row],[Total PoP ]]</f>
        <v>0</v>
      </c>
      <c r="CT520" s="867">
        <f>IF(WWWW[[#This Row],[Total required water points]]-WWWW[[#This Row],['#Water points coverage]]&lt;0,0,WWWW[[#This Row],[Total required water points]]-WWWW[[#This Row],['#Water points coverage]])</f>
        <v>0.622</v>
      </c>
      <c r="CU520" s="867">
        <f>ROUND(IF(WWWW[[#This Row],[Total PoP ]]&lt;500,1,WWWW[[#This Row],[Total PoP ]]/500),0)</f>
        <v>1</v>
      </c>
      <c r="CV520" s="867">
        <f>(WWWW[[#This Row],['#_Constructed latrines_by_WASHAgencies]]+WWWW[[#This Row],['#_Non Cluster partner latrines]])-WWWW[[#This Row],['#_Non-functional latrines]]</f>
        <v>9</v>
      </c>
      <c r="CW520" s="804">
        <f>WWWW[[#This Row],[HRP2]]/WWWW[[#This Row],[Total PoP ]]</f>
        <v>0.95238095238095233</v>
      </c>
      <c r="CX52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52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0" s="473">
        <f>IF(WWWW[[#This Row],['# of functional latrines in THF supported by WASH partners during the reporting period2]]="",0,WWWW[[#This Row],['# of functional latrines in THF supported by WASH partners during the reporting period2]]*50)</f>
        <v>0</v>
      </c>
      <c r="DB520" s="473">
        <f>WWWW[[#This Row],['# students access to functioning school latrines_HRP5]]+WWWW[[#This Row],['# People access to functioning latrines in THF_HRP5]]</f>
        <v>0</v>
      </c>
      <c r="DC520" s="867">
        <f>ROUND(IF(WWWW[[#This Row],[Location Type 1]]="camp",WWWW[[#This Row],[Total PoP ]]/20,IF(WWWW[[#This Row],[Location Type 1]]="Temporary Location",WWWW[[#This Row],[Total PoP ]]/50,(WWWW[[#This Row],[Total PoP ]]/6))),0)</f>
        <v>9</v>
      </c>
      <c r="DD520" s="867">
        <f>IF(WWWW[[#This Row],[Total required Latrines]]-(WWWW[[#This Row],['#_Constructed latrines_by_WASHAgencies]]+WWWW[[#This Row],['#_Non Cluster partner latrines]])&lt;0,0,WWWW[[#This Row],[Total required Latrines]]-(WWWW[[#This Row],['#_Constructed latrines_by_WASHAgencies]]+WWWW[[#This Row],['#_Non Cluster partner latrines]]))</f>
        <v>0</v>
      </c>
      <c r="DE520" s="869">
        <f>1-WWWW[[#This Row],[% people access to functioning Latrine]]</f>
        <v>4.7619047619047672E-2</v>
      </c>
      <c r="DF520" s="868">
        <f>IF(OR(WWWW[[#This Row],['#_Non-functional latrines]]="",WWWW[[#This Row],['#_Non-functional latrines]]=0),0,WWWW[[#This Row],['#_Non-functional latrines]]/(WWWW[[#This Row],['#_Constructed latrines_by_WASHAgencies]]+WWWW[[#This Row],['#_Non Cluster partner latrines]]))</f>
        <v>0</v>
      </c>
      <c r="DG520" s="864">
        <f>IF(500*(WWWW[[#This Row],['#_male hygiene promoters]]+WWWW[[#This Row],['#_female hygiene promoters]])&gt;WWWW[[#This Row],[Total PoP ]],WWWW[[#This Row],[Total PoP ]],500*(WWWW[[#This Row],['#_male hygiene promoters]]+WWWW[[#This Row],['#_female hygiene promoters]]))</f>
        <v>189</v>
      </c>
      <c r="DH52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189</v>
      </c>
      <c r="DI52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0" s="867">
        <f>IF(WWWW[[#This Row],['# People with access to soap]]&gt;WWWW[[#This Row],['# People with access to Sanity Pads]],WWWW[[#This Row],['# People with access to soap]],WWWW[[#This Row],['# People with access to Sanity Pads]])</f>
        <v>189</v>
      </c>
      <c r="DK520" s="867">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L520" s="869">
        <f>IF(WWWW[[#This Row],[HRP3]]/WWWW[[#This Row],[Total PoP ]]&gt;1,1,WWWW[[#This Row],[HRP3]]/WWWW[[#This Row],[Total PoP ]])</f>
        <v>1</v>
      </c>
      <c r="DM520" s="868">
        <f>1-WWWW[[#This Row],[Hygiene Coverage%]]</f>
        <v>0</v>
      </c>
      <c r="DN520" s="866">
        <f>WWWW[[#This Row],['# people reached by regular dedicated hygiene promotion_5]]/WWWW[[#This Row],[Total PoP ]]</f>
        <v>1</v>
      </c>
      <c r="DO52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2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0" s="867">
        <f>WWWW[[#This Row],['#_Constructed/Existing hand washing stations]]-WWWW[[#This Row],['#_Non-Functional_hand_washing_stations]]</f>
        <v>4</v>
      </c>
      <c r="DR520" s="864">
        <f>IF(WWWW[[#This Row],['# Functional hand washing stations during reporting period]]*20&gt;WWWW[[#This Row],[Total HH]],WWWW[[#This Row],[Total HH]],WWWW[[#This Row],['# Functional hand washing stations during reporting period]]*20)</f>
        <v>38</v>
      </c>
      <c r="DS520" s="864">
        <f>IF(WWWW[[#This Row],[Is sufficient soap available for TLS? (Yes/No)]]="yes",WWWW[[#This Row],['#_Constructed/Existing hand washing stations at TLS]],0)</f>
        <v>0</v>
      </c>
      <c r="DT520" s="479">
        <f>IF(WWWW[[#This Row],['# Functional hand washing stations during reporting period]]*100&gt;WWWW[[#This Row],[Total PoP ]],WWWW[[#This Row],[Total PoP ]],WWWW[[#This Row],['# Functional hand washing stations during reporting period]]*100)</f>
        <v>189</v>
      </c>
      <c r="DU520" s="479" t="str">
        <f>IF(OR(WWWW[[#This Row],['#_students at TLS_CFS]]="",WWWW[[#This Row],['#_students at TLS_CFS]]=0),"No","Yes")</f>
        <v>No</v>
      </c>
      <c r="DV52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0" s="862" t="str">
        <f>VLOOKUP(WWWW[[#This Row],[Site Name]],SiteDB6[[Site Name]:[CCCM Management]],6,FALSE)</f>
        <v>Yes</v>
      </c>
      <c r="DZ520" s="862" t="str">
        <f>VLOOKUP(WWWW[[#This Row],[Site Name]],SiteDB6[[Site Name]:[CCCM Focal Agency]],7,FALSE)</f>
        <v>KMSS-BMO</v>
      </c>
      <c r="EA520" s="862" t="str">
        <f>VLOOKUP(WWWW[[#This Row],[Site Name]],SiteDB6[[Site Name]:[Location Type 1]],9,FALSE)</f>
        <v>Camp</v>
      </c>
      <c r="EB520" s="862" t="str">
        <f>VLOOKUP(WWWW[[#This Row],[Site Name]],SiteDB6[[Site Name]:[Type of Accommodation]],10,FALSE)</f>
        <v>Camp</v>
      </c>
      <c r="EC520" s="862" t="str">
        <f>VLOOKUP(WWWW[[#This Row],[Site Name]],SiteDB6[[Site Name]:[Ethnic or GCA/NGCA]],11,FALSE)</f>
        <v>GCA</v>
      </c>
      <c r="ED520" s="862">
        <f>VLOOKUP(WWWW[[#This Row],[Site Name]],SiteDB6[[Site Name]:[Lat]],12,FALSE)</f>
        <v>24.200367</v>
      </c>
      <c r="EE520" s="862">
        <f>VLOOKUP(WWWW[[#This Row],[Site Name]],SiteDB6[[Site Name]:[Long]],13,FALSE)</f>
        <v>96.807353000000006</v>
      </c>
      <c r="EF520" s="862" t="str">
        <f>VLOOKUP(WWWW[[#This Row],[Site Name]],SiteDB6[[Site Name]:[Pcode]],3,FALSE)</f>
        <v>MMR001CMP068</v>
      </c>
      <c r="EG520" s="865" t="str">
        <f t="shared" si="15"/>
        <v>Covered</v>
      </c>
      <c r="EH520" s="865" t="str">
        <f>VLOOKUP(WWWW[[#This Row],[Site Name]],Site_DB!$C$389:$D$1120,2,FALSE)</f>
        <v>cccm_2019OCT</v>
      </c>
    </row>
    <row r="521" spans="1:138">
      <c r="A521" s="860" t="s">
        <v>3263</v>
      </c>
      <c r="B521" s="860" t="s">
        <v>195</v>
      </c>
      <c r="C521" s="861" t="s">
        <v>195</v>
      </c>
      <c r="D521" s="861" t="s">
        <v>3630</v>
      </c>
      <c r="E521" s="861" t="s">
        <v>711</v>
      </c>
      <c r="F521" s="861" t="s">
        <v>730</v>
      </c>
      <c r="G521" s="721" t="str">
        <f>VLOOKUP(WWWW[[#This Row],[Site Name]],SiteDB6[[Site Name]:[Location Type]],8,FALSE)</f>
        <v>Camp</v>
      </c>
      <c r="H521" s="861" t="s">
        <v>760</v>
      </c>
      <c r="I521" s="851">
        <v>38</v>
      </c>
      <c r="J521" s="851">
        <v>183</v>
      </c>
      <c r="K521" s="717" t="s">
        <v>3631</v>
      </c>
      <c r="L521" s="718" t="s">
        <v>3632</v>
      </c>
      <c r="M521" s="851"/>
      <c r="N521" s="851"/>
      <c r="O521" s="851"/>
      <c r="P521" s="851"/>
      <c r="Q521" s="864"/>
      <c r="R521" s="851">
        <v>4</v>
      </c>
      <c r="S521" s="851">
        <v>4</v>
      </c>
      <c r="T521" s="523">
        <v>1</v>
      </c>
      <c r="U521" s="851"/>
      <c r="V521" s="851"/>
      <c r="W521" s="851">
        <v>1</v>
      </c>
      <c r="X521" s="851"/>
      <c r="Y521" s="851"/>
      <c r="Z521" s="851"/>
      <c r="AA521" s="851">
        <v>1</v>
      </c>
      <c r="AB521" s="851"/>
      <c r="AC521" s="851"/>
      <c r="AD521" s="851"/>
      <c r="AE521" s="851"/>
      <c r="AF521" s="851"/>
      <c r="AG521" s="851">
        <v>1</v>
      </c>
      <c r="AH521" s="851">
        <v>1</v>
      </c>
      <c r="AI521" s="851"/>
      <c r="AJ521" s="851"/>
      <c r="AK521" s="851"/>
      <c r="AL521" s="851"/>
      <c r="AM521" s="851">
        <v>1</v>
      </c>
      <c r="AN521" s="851"/>
      <c r="AO521" s="865"/>
      <c r="AP521" s="851">
        <v>38</v>
      </c>
      <c r="AQ521" s="851">
        <v>9</v>
      </c>
      <c r="AR521" s="866"/>
      <c r="AS521" s="851"/>
      <c r="AT521" s="851"/>
      <c r="AU521" s="851"/>
      <c r="AV521" s="851"/>
      <c r="AW521" s="851"/>
      <c r="AX521" s="862" t="s">
        <v>139</v>
      </c>
      <c r="AY521" s="865" t="s">
        <v>139</v>
      </c>
      <c r="AZ521" s="851"/>
      <c r="BA521" s="851"/>
      <c r="BB521" s="851"/>
      <c r="BC521" s="523"/>
      <c r="BD521" s="523"/>
      <c r="BE521" s="862"/>
      <c r="BF521" s="851"/>
      <c r="BG521" s="851"/>
      <c r="BH521" s="851"/>
      <c r="BI521" s="851"/>
      <c r="BJ521" s="851"/>
      <c r="BK521" s="851"/>
      <c r="BL521" s="851">
        <v>1</v>
      </c>
      <c r="BM521" s="851">
        <v>38</v>
      </c>
      <c r="BN521" s="851"/>
      <c r="BO521" s="862"/>
      <c r="BP521" s="867"/>
      <c r="BQ521" s="866"/>
      <c r="BR521" s="862"/>
      <c r="BS521" s="472"/>
      <c r="BT521" s="472"/>
      <c r="BU521" s="474"/>
      <c r="BV521" s="472"/>
      <c r="BW521" s="523"/>
      <c r="BX521" s="523"/>
      <c r="BY521" s="523"/>
      <c r="BZ521" s="868" t="str">
        <f>IFERROR(WWWW[[#This Row],['#_Water sources passed]]/WWWW[[#This Row],['#_Water sources tested for fecal coliform ]],"no test")</f>
        <v>no test</v>
      </c>
      <c r="CA521" s="866" t="str">
        <f>IFERROR(WWWW[[#This Row],['#_Household passed]]/WWWW[[#This Row],['#_Household water samples tested for fecal coliform]],"no test")</f>
        <v>no test</v>
      </c>
      <c r="CB521" s="867" t="str">
        <f>IF(AND(WWWW[[#This Row],[% of water sources passed]]="no test",WWWW[[#This Row],[% Household passed]]="no test"),"No Test","Tested")</f>
        <v>No Test</v>
      </c>
      <c r="CC521" s="867">
        <f>WWWW[[#This Row],['#_Constructed/existing protected hand dug well]]-WWWW[[#This Row],['#_Non-functional protected hand dug well]]</f>
        <v>1</v>
      </c>
      <c r="CD521" s="867">
        <f>(WWWW[[#This Row],['#_Constructed/Existing tube wells/boreholes/handpumps_WASH_agency]]+WWWW[[#This Row],['#_Non-Cluster partner water tube-wells/boreholes/handpumps]])-WWWW[[#This Row],['#_Non-functional tube wells/boreholes/handpumps]]</f>
        <v>1</v>
      </c>
      <c r="CE521" s="867">
        <f>WWWW[[#This Row],['#_Constructed/Existingwater storage tank with gravity fed reticulation system]]-WWWW[[#This Row],['#_Non-functional storage tank gravity fed reticulation system]]</f>
        <v>1</v>
      </c>
      <c r="CF521" s="867">
        <f>(WWWW[[#This Row],['#_Water_Liters_supplied_by_Water boating or water trucking]]/90)/15</f>
        <v>0</v>
      </c>
      <c r="CG521" s="867">
        <f>WWWW[[#This Row],['#_Water_Liters_from_Constructed/Existing water distribution system from river or natural spring]]/90/15</f>
        <v>0</v>
      </c>
      <c r="CH521" s="473">
        <f>WWWW[[#This Row],['#_of water points in TLS/CFS /THF]]*500</f>
        <v>0</v>
      </c>
      <c r="CI52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1" s="866">
        <f>IF(WWWW[[#This Row],[Location Type 1]]="Village",WWWW[[#This Row],[Access to safe drinking water for Village]],WWWW[[#This Row],[Access to safe drinking water for Camp]])</f>
        <v>1</v>
      </c>
      <c r="CL521" s="864">
        <f>WWWW[[#This Row],[%Equitable and continuous access to sufficient quantity of safe drinking water]]*WWWW[[#This Row],[Total PoP ]]</f>
        <v>183</v>
      </c>
      <c r="CM521" s="866">
        <f>IF((WWWW[[#This Row],['#_Constructed/Existing protected/fenced ponds]]*250)/WWWW[[#This Row],[Total PoP ]]&gt;1,1,(WWWW[[#This Row],['#_Constructed/Existing protected/fenced ponds]]*250)/WWWW[[#This Row],[Total PoP ]])</f>
        <v>0</v>
      </c>
      <c r="CN521" s="864">
        <f>WWWW[[#This Row],[% Access to unimproved water points]]*WWWW[[#This Row],[Total PoP ]]</f>
        <v>0</v>
      </c>
      <c r="CO52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Q521" s="864">
        <f>WWWW[[#This Row],[HRP1]]/500</f>
        <v>0.36599999999999999</v>
      </c>
      <c r="CR521" s="869">
        <f>1-WWWW[[#This Row],[% Equitable and continuous access to sufficient quantity of domestic water]]</f>
        <v>0</v>
      </c>
      <c r="CS521" s="864">
        <f>WWWW[[#This Row],[%equitable and continuous access to sufficient quantity of safe drinking and domestic water''s GAP]]*WWWW[[#This Row],[Total PoP ]]</f>
        <v>0</v>
      </c>
      <c r="CT521" s="867">
        <f>IF(WWWW[[#This Row],[Total required water points]]-WWWW[[#This Row],['#Water points coverage]]&lt;0,0,WWWW[[#This Row],[Total required water points]]-WWWW[[#This Row],['#Water points coverage]])</f>
        <v>0.63400000000000001</v>
      </c>
      <c r="CU521" s="867">
        <f>ROUND(IF(WWWW[[#This Row],[Total PoP ]]&lt;500,1,WWWW[[#This Row],[Total PoP ]]/500),0)</f>
        <v>1</v>
      </c>
      <c r="CV521" s="867">
        <f>(WWWW[[#This Row],['#_Constructed latrines_by_WASHAgencies]]+WWWW[[#This Row],['#_Non Cluster partner latrines]])-WWWW[[#This Row],['#_Non-functional latrines]]</f>
        <v>47</v>
      </c>
      <c r="CW521" s="804">
        <f>WWWW[[#This Row],[HRP2]]/WWWW[[#This Row],[Total PoP ]]</f>
        <v>1</v>
      </c>
      <c r="CX52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183</v>
      </c>
      <c r="CY52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1" s="473">
        <f>IF(WWWW[[#This Row],['# of functional latrines in THF supported by WASH partners during the reporting period2]]="",0,WWWW[[#This Row],['# of functional latrines in THF supported by WASH partners during the reporting period2]]*50)</f>
        <v>0</v>
      </c>
      <c r="DB521" s="473">
        <f>WWWW[[#This Row],['# students access to functioning school latrines_HRP5]]+WWWW[[#This Row],['# People access to functioning latrines in THF_HRP5]]</f>
        <v>0</v>
      </c>
      <c r="DC521" s="867">
        <f>ROUND(IF(WWWW[[#This Row],[Location Type 1]]="camp",WWWW[[#This Row],[Total PoP ]]/20,IF(WWWW[[#This Row],[Location Type 1]]="Temporary Location",WWWW[[#This Row],[Total PoP ]]/50,(WWWW[[#This Row],[Total PoP ]]/6))),0)</f>
        <v>9</v>
      </c>
      <c r="DD521" s="867">
        <f>IF(WWWW[[#This Row],[Total required Latrines]]-(WWWW[[#This Row],['#_Constructed latrines_by_WASHAgencies]]+WWWW[[#This Row],['#_Non Cluster partner latrines]])&lt;0,0,WWWW[[#This Row],[Total required Latrines]]-(WWWW[[#This Row],['#_Constructed latrines_by_WASHAgencies]]+WWWW[[#This Row],['#_Non Cluster partner latrines]]))</f>
        <v>0</v>
      </c>
      <c r="DE521" s="869">
        <f>1-WWWW[[#This Row],[% people access to functioning Latrine]]</f>
        <v>0</v>
      </c>
      <c r="DF521" s="868">
        <f>IF(OR(WWWW[[#This Row],['#_Non-functional latrines]]="",WWWW[[#This Row],['#_Non-functional latrines]]=0),0,WWWW[[#This Row],['#_Non-functional latrines]]/(WWWW[[#This Row],['#_Constructed latrines_by_WASHAgencies]]+WWWW[[#This Row],['#_Non Cluster partner latrines]]))</f>
        <v>0</v>
      </c>
      <c r="DG521" s="864">
        <f>IF(500*(WWWW[[#This Row],['#_male hygiene promoters]]+WWWW[[#This Row],['#_female hygiene promoters]])&gt;WWWW[[#This Row],[Total PoP ]],WWWW[[#This Row],[Total PoP ]],500*(WWWW[[#This Row],['#_male hygiene promoters]]+WWWW[[#This Row],['#_female hygiene promoters]]))</f>
        <v>183</v>
      </c>
      <c r="DH52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183</v>
      </c>
      <c r="DI52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1" s="867">
        <f>IF(WWWW[[#This Row],['# People with access to soap]]&gt;WWWW[[#This Row],['# People with access to Sanity Pads]],WWWW[[#This Row],['# People with access to soap]],WWWW[[#This Row],['# People with access to Sanity Pads]])</f>
        <v>183</v>
      </c>
      <c r="DK521" s="867">
        <f>IF(WWWW[[#This Row],['# people reached by regular dedicated hygiene promotion_5]]&gt;WWWW[[#This Row],['# People received regular supply of hygiene items_6]],WWWW[[#This Row],['# people reached by regular dedicated hygiene promotion_5]],WWWW[[#This Row],['# People received regular supply of hygiene items_6]])</f>
        <v>183</v>
      </c>
      <c r="DL521" s="869">
        <f>IF(WWWW[[#This Row],[HRP3]]/WWWW[[#This Row],[Total PoP ]]&gt;1,1,WWWW[[#This Row],[HRP3]]/WWWW[[#This Row],[Total PoP ]])</f>
        <v>1</v>
      </c>
      <c r="DM521" s="868">
        <f>1-WWWW[[#This Row],[Hygiene Coverage%]]</f>
        <v>0</v>
      </c>
      <c r="DN521" s="866">
        <f>WWWW[[#This Row],['# people reached by regular dedicated hygiene promotion_5]]/WWWW[[#This Row],[Total PoP ]]</f>
        <v>1</v>
      </c>
      <c r="DO52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2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1" s="867">
        <f>WWWW[[#This Row],['#_Constructed/Existing hand washing stations]]-WWWW[[#This Row],['#_Non-Functional_hand_washing_stations]]</f>
        <v>0</v>
      </c>
      <c r="DR521" s="864">
        <f>IF(WWWW[[#This Row],['# Functional hand washing stations during reporting period]]*20&gt;WWWW[[#This Row],[Total HH]],WWWW[[#This Row],[Total HH]],WWWW[[#This Row],['# Functional hand washing stations during reporting period]]*20)</f>
        <v>0</v>
      </c>
      <c r="DS521" s="864">
        <f>IF(WWWW[[#This Row],[Is sufficient soap available for TLS? (Yes/No)]]="yes",WWWW[[#This Row],['#_Constructed/Existing hand washing stations at TLS]],0)</f>
        <v>0</v>
      </c>
      <c r="DT521" s="479">
        <f>IF(WWWW[[#This Row],['# Functional hand washing stations during reporting period]]*100&gt;WWWW[[#This Row],[Total PoP ]],WWWW[[#This Row],[Total PoP ]],WWWW[[#This Row],['# Functional hand washing stations during reporting period]]*100)</f>
        <v>0</v>
      </c>
      <c r="DU521" s="479" t="str">
        <f>IF(OR(WWWW[[#This Row],['#_students at TLS_CFS]]="",WWWW[[#This Row],['#_students at TLS_CFS]]=0),"No","Yes")</f>
        <v>No</v>
      </c>
      <c r="DV52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1" s="862">
        <f>VLOOKUP(WWWW[[#This Row],[Site Name]],SiteDB6[[Site Name]:[CCCM Management]],6,FALSE)</f>
        <v>0</v>
      </c>
      <c r="DZ521" s="862">
        <f>VLOOKUP(WWWW[[#This Row],[Site Name]],SiteDB6[[Site Name]:[CCCM Focal Agency]],7,FALSE)</f>
        <v>0</v>
      </c>
      <c r="EA521" s="862" t="str">
        <f>VLOOKUP(WWWW[[#This Row],[Site Name]],SiteDB6[[Site Name]:[Location Type 1]],9,FALSE)</f>
        <v>Camp</v>
      </c>
      <c r="EB521" s="862" t="str">
        <f>VLOOKUP(WWWW[[#This Row],[Site Name]],SiteDB6[[Site Name]:[Type of Accommodation]],10,FALSE)</f>
        <v>Closed Camp</v>
      </c>
      <c r="EC521" s="862" t="str">
        <f>VLOOKUP(WWWW[[#This Row],[Site Name]],SiteDB6[[Site Name]:[Ethnic or GCA/NGCA]],11,FALSE)</f>
        <v>GCA</v>
      </c>
      <c r="ED521" s="862">
        <f>VLOOKUP(WWWW[[#This Row],[Site Name]],SiteDB6[[Site Name]:[Lat]],12,FALSE)</f>
        <v>23.353999999999999</v>
      </c>
      <c r="EE521" s="862">
        <f>VLOOKUP(WWWW[[#This Row],[Site Name]],SiteDB6[[Site Name]:[Long]],13,FALSE)</f>
        <v>98.221000000000004</v>
      </c>
      <c r="EF521" s="862" t="str">
        <f>VLOOKUP(WWWW[[#This Row],[Site Name]],SiteDB6[[Site Name]:[Pcode]],3,FALSE)</f>
        <v>MMR015CMP226</v>
      </c>
      <c r="EG521" s="865" t="str">
        <f t="shared" si="15"/>
        <v>Covered</v>
      </c>
      <c r="EH521" s="865" t="str">
        <f>VLOOKUP(WWWW[[#This Row],[Site Name]],Site_DB!$C$389:$D$1120,2,FALSE)</f>
        <v>closed_cccm2018Mar</v>
      </c>
    </row>
    <row r="522" spans="1:138">
      <c r="A522" s="860" t="s">
        <v>3263</v>
      </c>
      <c r="B522" s="860" t="s">
        <v>38</v>
      </c>
      <c r="C522" s="861" t="s">
        <v>38</v>
      </c>
      <c r="D522" s="861" t="s">
        <v>3049</v>
      </c>
      <c r="E522" s="861" t="s">
        <v>39</v>
      </c>
      <c r="F522" s="861" t="s">
        <v>145</v>
      </c>
      <c r="G522" s="721" t="str">
        <f>VLOOKUP(WWWW[[#This Row],[Site Name]],SiteDB6[[Site Name]:[Location Type]],8,FALSE)</f>
        <v>Camp</v>
      </c>
      <c r="H522" s="861" t="s">
        <v>241</v>
      </c>
      <c r="I522" s="851">
        <v>100</v>
      </c>
      <c r="J522" s="851">
        <v>612</v>
      </c>
      <c r="K522" s="863" t="s">
        <v>3619</v>
      </c>
      <c r="L522" s="859" t="s">
        <v>3620</v>
      </c>
      <c r="M522" s="851"/>
      <c r="N522" s="851"/>
      <c r="O522" s="851"/>
      <c r="P522" s="851"/>
      <c r="Q522" s="864" t="s">
        <v>43</v>
      </c>
      <c r="R522" s="851"/>
      <c r="S522" s="851"/>
      <c r="T522" s="523">
        <v>2</v>
      </c>
      <c r="U522" s="851"/>
      <c r="V522" s="851"/>
      <c r="W522" s="851"/>
      <c r="X522" s="851"/>
      <c r="Y522" s="851"/>
      <c r="Z522" s="851"/>
      <c r="AA522" s="851">
        <v>1</v>
      </c>
      <c r="AB522" s="851"/>
      <c r="AC522" s="851"/>
      <c r="AD522" s="851"/>
      <c r="AE522" s="851"/>
      <c r="AF522" s="851"/>
      <c r="AG522" s="851"/>
      <c r="AH522" s="851"/>
      <c r="AI522" s="851"/>
      <c r="AJ522" s="851"/>
      <c r="AK522" s="851"/>
      <c r="AL522" s="851"/>
      <c r="AM522" s="851">
        <v>4</v>
      </c>
      <c r="AN522" s="851"/>
      <c r="AO522" s="865"/>
      <c r="AP522" s="851">
        <v>98</v>
      </c>
      <c r="AQ522" s="851"/>
      <c r="AR522" s="866"/>
      <c r="AS522" s="851"/>
      <c r="AT522" s="851"/>
      <c r="AU522" s="851"/>
      <c r="AV522" s="851"/>
      <c r="AW522" s="851"/>
      <c r="AX522" s="862" t="s">
        <v>43</v>
      </c>
      <c r="AY522" s="865" t="s">
        <v>140</v>
      </c>
      <c r="AZ522" s="851">
        <v>3</v>
      </c>
      <c r="BA522" s="851"/>
      <c r="BB522" s="851"/>
      <c r="BC522" s="523"/>
      <c r="BD522" s="523"/>
      <c r="BE522" s="862"/>
      <c r="BF522" s="851"/>
      <c r="BG522" s="851"/>
      <c r="BH522" s="851"/>
      <c r="BI522" s="851">
        <v>4</v>
      </c>
      <c r="BJ522" s="851"/>
      <c r="BK522" s="851">
        <v>1</v>
      </c>
      <c r="BL522" s="851">
        <v>1</v>
      </c>
      <c r="BM522" s="851"/>
      <c r="BN522" s="851"/>
      <c r="BO522" s="862" t="s">
        <v>139</v>
      </c>
      <c r="BP522" s="867"/>
      <c r="BQ522" s="472">
        <v>0.6</v>
      </c>
      <c r="BR522" s="862"/>
      <c r="BS522" s="472"/>
      <c r="BT522" s="472"/>
      <c r="BU522" s="474"/>
      <c r="BV522" s="472"/>
      <c r="BW522" s="523"/>
      <c r="BX522" s="523"/>
      <c r="BY522" s="523"/>
      <c r="BZ522" s="868" t="str">
        <f>IFERROR(WWWW[[#This Row],['#_Water sources passed]]/WWWW[[#This Row],['#_Water sources tested for fecal coliform ]],"no test")</f>
        <v>no test</v>
      </c>
      <c r="CA522" s="866" t="str">
        <f>IFERROR(WWWW[[#This Row],['#_Household passed]]/WWWW[[#This Row],['#_Household water samples tested for fecal coliform]],"no test")</f>
        <v>no test</v>
      </c>
      <c r="CB522" s="867" t="str">
        <f>IF(AND(WWWW[[#This Row],[% of water sources passed]]="no test",WWWW[[#This Row],[% Household passed]]="no test"),"No Test","Tested")</f>
        <v>No Test</v>
      </c>
      <c r="CC522" s="867">
        <f>WWWW[[#This Row],['#_Constructed/existing protected hand dug well]]-WWWW[[#This Row],['#_Non-functional protected hand dug well]]</f>
        <v>2</v>
      </c>
      <c r="CD522" s="867">
        <f>(WWWW[[#This Row],['#_Constructed/Existing tube wells/boreholes/handpumps_WASH_agency]]+WWWW[[#This Row],['#_Non-Cluster partner water tube-wells/boreholes/handpumps]])-WWWW[[#This Row],['#_Non-functional tube wells/boreholes/handpumps]]</f>
        <v>0</v>
      </c>
      <c r="CE522" s="867">
        <f>WWWW[[#This Row],['#_Constructed/Existingwater storage tank with gravity fed reticulation system]]-WWWW[[#This Row],['#_Non-functional storage tank gravity fed reticulation system]]</f>
        <v>1</v>
      </c>
      <c r="CF522" s="867">
        <f>(WWWW[[#This Row],['#_Water_Liters_supplied_by_Water boating or water trucking]]/90)/15</f>
        <v>0</v>
      </c>
      <c r="CG522" s="867">
        <f>WWWW[[#This Row],['#_Water_Liters_from_Constructed/Existing water distribution system from river or natural spring]]/90/15</f>
        <v>0</v>
      </c>
      <c r="CH522" s="473">
        <f>WWWW[[#This Row],['#_of water points in TLS/CFS /THF]]*500</f>
        <v>0</v>
      </c>
      <c r="CI52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0.92592592592592582</v>
      </c>
      <c r="CK522" s="866">
        <f>IF(WWWW[[#This Row],[Location Type 1]]="Village",WWWW[[#This Row],[Access to safe drinking water for Village]],WWWW[[#This Row],[Access to safe drinking water for Camp]])</f>
        <v>1</v>
      </c>
      <c r="CL522" s="864">
        <f>WWWW[[#This Row],[%Equitable and continuous access to sufficient quantity of safe drinking water]]*WWWW[[#This Row],[Total PoP ]]</f>
        <v>612</v>
      </c>
      <c r="CM522" s="866">
        <f>IF((WWWW[[#This Row],['#_Constructed/Existing protected/fenced ponds]]*250)/WWWW[[#This Row],[Total PoP ]]&gt;1,1,(WWWW[[#This Row],['#_Constructed/Existing protected/fenced ponds]]*250)/WWWW[[#This Row],[Total PoP ]])</f>
        <v>0</v>
      </c>
      <c r="CN522" s="864">
        <f>WWWW[[#This Row],[% Access to unimproved water points]]*WWWW[[#This Row],[Total PoP ]]</f>
        <v>0</v>
      </c>
      <c r="CO52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612</v>
      </c>
      <c r="CQ522" s="864">
        <f>WWWW[[#This Row],[HRP1]]/500</f>
        <v>1.224</v>
      </c>
      <c r="CR522" s="869">
        <f>1-WWWW[[#This Row],[% Equitable and continuous access to sufficient quantity of domestic water]]</f>
        <v>0</v>
      </c>
      <c r="CS522" s="864">
        <f>WWWW[[#This Row],[%equitable and continuous access to sufficient quantity of safe drinking and domestic water''s GAP]]*WWWW[[#This Row],[Total PoP ]]</f>
        <v>0</v>
      </c>
      <c r="CT522" s="867">
        <f>IF(WWWW[[#This Row],[Total required water points]]-WWWW[[#This Row],['#Water points coverage]]&lt;0,0,WWWW[[#This Row],[Total required water points]]-WWWW[[#This Row],['#Water points coverage]])</f>
        <v>0</v>
      </c>
      <c r="CU522" s="867">
        <f>ROUND(IF(WWWW[[#This Row],[Total PoP ]]&lt;500,1,WWWW[[#This Row],[Total PoP ]]/500),0)</f>
        <v>1</v>
      </c>
      <c r="CV522" s="867">
        <f>(WWWW[[#This Row],['#_Constructed latrines_by_WASHAgencies]]+WWWW[[#This Row],['#_Non Cluster partner latrines]])-WWWW[[#This Row],['#_Non-functional latrines]]</f>
        <v>98</v>
      </c>
      <c r="CW522" s="804">
        <f>WWWW[[#This Row],[HRP2]]/WWWW[[#This Row],[Total PoP ]]</f>
        <v>1</v>
      </c>
      <c r="CX52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612</v>
      </c>
      <c r="CY52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2" s="473">
        <f>IF(WWWW[[#This Row],['# of functional latrines in THF supported by WASH partners during the reporting period2]]="",0,WWWW[[#This Row],['# of functional latrines in THF supported by WASH partners during the reporting period2]]*50)</f>
        <v>0</v>
      </c>
      <c r="DB522" s="473">
        <f>WWWW[[#This Row],['# students access to functioning school latrines_HRP5]]+WWWW[[#This Row],['# People access to functioning latrines in THF_HRP5]]</f>
        <v>0</v>
      </c>
      <c r="DC522" s="867">
        <f>ROUND(IF(WWWW[[#This Row],[Location Type 1]]="camp",WWWW[[#This Row],[Total PoP ]]/20,IF(WWWW[[#This Row],[Location Type 1]]="Temporary Location",WWWW[[#This Row],[Total PoP ]]/50,(WWWW[[#This Row],[Total PoP ]]/6))),0)</f>
        <v>31</v>
      </c>
      <c r="DD522" s="867">
        <f>IF(WWWW[[#This Row],[Total required Latrines]]-(WWWW[[#This Row],['#_Constructed latrines_by_WASHAgencies]]+WWWW[[#This Row],['#_Non Cluster partner latrines]])&lt;0,0,WWWW[[#This Row],[Total required Latrines]]-(WWWW[[#This Row],['#_Constructed latrines_by_WASHAgencies]]+WWWW[[#This Row],['#_Non Cluster partner latrines]]))</f>
        <v>0</v>
      </c>
      <c r="DE522" s="869">
        <f>1-WWWW[[#This Row],[% people access to functioning Latrine]]</f>
        <v>0</v>
      </c>
      <c r="DF522" s="868">
        <f>IF(OR(WWWW[[#This Row],['#_Non-functional latrines]]="",WWWW[[#This Row],['#_Non-functional latrines]]=0),0,WWWW[[#This Row],['#_Non-functional latrines]]/(WWWW[[#This Row],['#_Constructed latrines_by_WASHAgencies]]+WWWW[[#This Row],['#_Non Cluster partner latrines]]))</f>
        <v>0</v>
      </c>
      <c r="DG522" s="864">
        <f>IF(500*(WWWW[[#This Row],['#_male hygiene promoters]]+WWWW[[#This Row],['#_female hygiene promoters]])&gt;WWWW[[#This Row],[Total PoP ]],WWWW[[#This Row],[Total PoP ]],500*(WWWW[[#This Row],['#_male hygiene promoters]]+WWWW[[#This Row],['#_female hygiene promoters]]))</f>
        <v>612</v>
      </c>
      <c r="DH52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2" s="867">
        <f>IF(WWWW[[#This Row],['# People with access to soap]]&gt;WWWW[[#This Row],['# People with access to Sanity Pads]],WWWW[[#This Row],['# People with access to soap]],WWWW[[#This Row],['# People with access to Sanity Pads]])</f>
        <v>0</v>
      </c>
      <c r="DK522" s="867">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L522" s="869">
        <f>IF(WWWW[[#This Row],[HRP3]]/WWWW[[#This Row],[Total PoP ]]&gt;1,1,WWWW[[#This Row],[HRP3]]/WWWW[[#This Row],[Total PoP ]])</f>
        <v>1</v>
      </c>
      <c r="DM522" s="868">
        <f>1-WWWW[[#This Row],[Hygiene Coverage%]]</f>
        <v>0</v>
      </c>
      <c r="DN522" s="866">
        <f>WWWW[[#This Row],['# people reached by regular dedicated hygiene promotion_5]]/WWWW[[#This Row],[Total PoP ]]</f>
        <v>1</v>
      </c>
      <c r="DO52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2" s="867">
        <f>WWWW[[#This Row],['#_Constructed/Existing hand washing stations]]-WWWW[[#This Row],['#_Non-Functional_hand_washing_stations]]</f>
        <v>0</v>
      </c>
      <c r="DR522" s="864">
        <f>IF(WWWW[[#This Row],['# Functional hand washing stations during reporting period]]*20&gt;WWWW[[#This Row],[Total HH]],WWWW[[#This Row],[Total HH]],WWWW[[#This Row],['# Functional hand washing stations during reporting period]]*20)</f>
        <v>0</v>
      </c>
      <c r="DS522" s="864">
        <f>IF(WWWW[[#This Row],[Is sufficient soap available for TLS? (Yes/No)]]="yes",WWWW[[#This Row],['#_Constructed/Existing hand washing stations at TLS]],0)</f>
        <v>0</v>
      </c>
      <c r="DT522" s="479">
        <f>IF(WWWW[[#This Row],['# Functional hand washing stations during reporting period]]*100&gt;WWWW[[#This Row],[Total PoP ]],WWWW[[#This Row],[Total PoP ]],WWWW[[#This Row],['# Functional hand washing stations during reporting period]]*100)</f>
        <v>0</v>
      </c>
      <c r="DU522" s="479" t="str">
        <f>IF(OR(WWWW[[#This Row],['#_students at TLS_CFS]]="",WWWW[[#This Row],['#_students at TLS_CFS]]=0),"No","Yes")</f>
        <v>No</v>
      </c>
      <c r="DV52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2" s="862" t="str">
        <f>VLOOKUP(WWWW[[#This Row],[Site Name]],SiteDB6[[Site Name]:[CCCM Management]],6,FALSE)</f>
        <v>Yes</v>
      </c>
      <c r="DZ522" s="862" t="str">
        <f>VLOOKUP(WWWW[[#This Row],[Site Name]],SiteDB6[[Site Name]:[CCCM Focal Agency]],7,FALSE)</f>
        <v>KMSS-MYT</v>
      </c>
      <c r="EA522" s="862" t="str">
        <f>VLOOKUP(WWWW[[#This Row],[Site Name]],SiteDB6[[Site Name]:[Location Type 1]],9,FALSE)</f>
        <v>Camp</v>
      </c>
      <c r="EB522" s="862" t="str">
        <f>VLOOKUP(WWWW[[#This Row],[Site Name]],SiteDB6[[Site Name]:[Type of Accommodation]],10,FALSE)</f>
        <v>Camp</v>
      </c>
      <c r="EC522" s="862" t="str">
        <f>VLOOKUP(WWWW[[#This Row],[Site Name]],SiteDB6[[Site Name]:[Ethnic or GCA/NGCA]],11,FALSE)</f>
        <v>NGCA</v>
      </c>
      <c r="ED522" s="862">
        <f>VLOOKUP(WWWW[[#This Row],[Site Name]],SiteDB6[[Site Name]:[Lat]],12,FALSE)</f>
        <v>25.265277999999999</v>
      </c>
      <c r="EE522" s="862">
        <f>VLOOKUP(WWWW[[#This Row],[Site Name]],SiteDB6[[Site Name]:[Long]],13,FALSE)</f>
        <v>97.990555999999998</v>
      </c>
      <c r="EF522" s="862" t="str">
        <f>VLOOKUP(WWWW[[#This Row],[Site Name]],SiteDB6[[Site Name]:[Pcode]],3,FALSE)</f>
        <v>MMR001CMP160</v>
      </c>
      <c r="EG522" s="865" t="str">
        <f t="shared" si="15"/>
        <v>Covered</v>
      </c>
      <c r="EH522" s="865" t="str">
        <f>VLOOKUP(WWWW[[#This Row],[Site Name]],Site_DB!$C$389:$D$1120,2,FALSE)</f>
        <v>cccm_2019OCT</v>
      </c>
    </row>
    <row r="523" spans="1:138">
      <c r="A523" s="860" t="s">
        <v>3263</v>
      </c>
      <c r="B523" s="860" t="s">
        <v>245</v>
      </c>
      <c r="C523" s="861" t="s">
        <v>245</v>
      </c>
      <c r="D523" s="861" t="s">
        <v>310</v>
      </c>
      <c r="E523" s="861" t="s">
        <v>39</v>
      </c>
      <c r="F523" s="861" t="s">
        <v>145</v>
      </c>
      <c r="G523" s="721" t="str">
        <f>VLOOKUP(WWWW[[#This Row],[Site Name]],SiteDB6[[Site Name]:[Location Type]],8,FALSE)</f>
        <v>Camp</v>
      </c>
      <c r="H523" s="861" t="s">
        <v>274</v>
      </c>
      <c r="I523" s="851">
        <v>115</v>
      </c>
      <c r="J523" s="851">
        <v>493</v>
      </c>
      <c r="K523" s="863">
        <v>43313</v>
      </c>
      <c r="L523" s="859">
        <v>44196</v>
      </c>
      <c r="M523" s="851"/>
      <c r="N523" s="851">
        <v>1</v>
      </c>
      <c r="O523" s="851"/>
      <c r="P523" s="851"/>
      <c r="Q523" s="864" t="s">
        <v>43</v>
      </c>
      <c r="R523" s="851">
        <v>3</v>
      </c>
      <c r="S523" s="851">
        <v>4</v>
      </c>
      <c r="T523" s="523">
        <v>1</v>
      </c>
      <c r="U523" s="851"/>
      <c r="V523" s="851"/>
      <c r="W523" s="851">
        <v>2</v>
      </c>
      <c r="X523" s="851">
        <v>3</v>
      </c>
      <c r="Y523" s="851"/>
      <c r="Z523" s="851"/>
      <c r="AA523" s="851">
        <v>0</v>
      </c>
      <c r="AB523" s="851"/>
      <c r="AC523" s="851"/>
      <c r="AD523" s="851">
        <v>0</v>
      </c>
      <c r="AE523" s="851">
        <v>0</v>
      </c>
      <c r="AF523" s="851">
        <v>0</v>
      </c>
      <c r="AG523" s="851">
        <v>0</v>
      </c>
      <c r="AH523" s="851">
        <v>0</v>
      </c>
      <c r="AI523" s="851"/>
      <c r="AJ523" s="851"/>
      <c r="AK523" s="851"/>
      <c r="AL523" s="851"/>
      <c r="AM523" s="851">
        <v>0</v>
      </c>
      <c r="AN523" s="851">
        <v>0</v>
      </c>
      <c r="AO523" s="865"/>
      <c r="AP523" s="851">
        <v>30</v>
      </c>
      <c r="AQ523" s="851">
        <v>10</v>
      </c>
      <c r="AR523" s="866" t="s">
        <v>3142</v>
      </c>
      <c r="AS523" s="851"/>
      <c r="AT523" s="851"/>
      <c r="AU523" s="851"/>
      <c r="AV523" s="851"/>
      <c r="AW523" s="851">
        <v>0</v>
      </c>
      <c r="AX523" s="862" t="s">
        <v>43</v>
      </c>
      <c r="AY523" s="865" t="s">
        <v>140</v>
      </c>
      <c r="AZ523" s="851">
        <v>0</v>
      </c>
      <c r="BA523" s="851">
        <v>0</v>
      </c>
      <c r="BB523" s="851">
        <v>0</v>
      </c>
      <c r="BC523" s="523"/>
      <c r="BD523" s="523"/>
      <c r="BE523" s="862"/>
      <c r="BF523" s="851">
        <v>8</v>
      </c>
      <c r="BG523" s="851"/>
      <c r="BH523" s="851">
        <v>0</v>
      </c>
      <c r="BI523" s="851">
        <v>5</v>
      </c>
      <c r="BJ523" s="851"/>
      <c r="BK523" s="851">
        <v>0</v>
      </c>
      <c r="BL523" s="851">
        <v>0</v>
      </c>
      <c r="BM523" s="851"/>
      <c r="BN523" s="851"/>
      <c r="BO523" s="862" t="s">
        <v>43</v>
      </c>
      <c r="BP523" s="867"/>
      <c r="BQ523" s="866"/>
      <c r="BR523" s="862"/>
      <c r="BS523" s="472"/>
      <c r="BT523" s="472"/>
      <c r="BU523" s="474"/>
      <c r="BV523" s="472"/>
      <c r="BW523" s="523"/>
      <c r="BX523" s="523"/>
      <c r="BY523" s="523"/>
      <c r="BZ523" s="868" t="str">
        <f>IFERROR(WWWW[[#This Row],['#_Water sources passed]]/WWWW[[#This Row],['#_Water sources tested for fecal coliform ]],"no test")</f>
        <v>no test</v>
      </c>
      <c r="CA523" s="866" t="str">
        <f>IFERROR(WWWW[[#This Row],['#_Household passed]]/WWWW[[#This Row],['#_Household water samples tested for fecal coliform]],"no test")</f>
        <v>no test</v>
      </c>
      <c r="CB523" s="867" t="str">
        <f>IF(AND(WWWW[[#This Row],[% of water sources passed]]="no test",WWWW[[#This Row],[% Household passed]]="no test"),"No Test","Tested")</f>
        <v>No Test</v>
      </c>
      <c r="CC523" s="867">
        <f>WWWW[[#This Row],['#_Constructed/existing protected hand dug well]]-WWWW[[#This Row],['#_Non-functional protected hand dug well]]</f>
        <v>1</v>
      </c>
      <c r="CD523" s="867">
        <f>(WWWW[[#This Row],['#_Constructed/Existing tube wells/boreholes/handpumps_WASH_agency]]+WWWW[[#This Row],['#_Non-Cluster partner water tube-wells/boreholes/handpumps]])-WWWW[[#This Row],['#_Non-functional tube wells/boreholes/handpumps]]</f>
        <v>5</v>
      </c>
      <c r="CE523" s="867">
        <f>WWWW[[#This Row],['#_Constructed/Existingwater storage tank with gravity fed reticulation system]]-WWWW[[#This Row],['#_Non-functional storage tank gravity fed reticulation system]]</f>
        <v>0</v>
      </c>
      <c r="CF523" s="867">
        <f>(WWWW[[#This Row],['#_Water_Liters_supplied_by_Water boating or water trucking]]/90)/15</f>
        <v>0</v>
      </c>
      <c r="CG523" s="867">
        <f>WWWW[[#This Row],['#_Water_Liters_from_Constructed/Existing water distribution system from river or natural spring]]/90/15</f>
        <v>0</v>
      </c>
      <c r="CH523" s="473">
        <f>WWWW[[#This Row],['#_of water points in TLS/CFS /THF]]*500</f>
        <v>0</v>
      </c>
      <c r="CI52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3" s="866">
        <f>IF(WWWW[[#This Row],[Location Type 1]]="Village",WWWW[[#This Row],[Access to safe drinking water for Village]],WWWW[[#This Row],[Access to safe drinking water for Camp]])</f>
        <v>1</v>
      </c>
      <c r="CL523" s="864">
        <f>WWWW[[#This Row],[%Equitable and continuous access to sufficient quantity of safe drinking water]]*WWWW[[#This Row],[Total PoP ]]</f>
        <v>493</v>
      </c>
      <c r="CM523" s="866">
        <f>IF((WWWW[[#This Row],['#_Constructed/Existing protected/fenced ponds]]*250)/WWWW[[#This Row],[Total PoP ]]&gt;1,1,(WWWW[[#This Row],['#_Constructed/Existing protected/fenced ponds]]*250)/WWWW[[#This Row],[Total PoP ]])</f>
        <v>0</v>
      </c>
      <c r="CN523" s="864">
        <f>WWWW[[#This Row],[% Access to unimproved water points]]*WWWW[[#This Row],[Total PoP ]]</f>
        <v>0</v>
      </c>
      <c r="CO52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Q523" s="864">
        <f>WWWW[[#This Row],[HRP1]]/500</f>
        <v>0.98599999999999999</v>
      </c>
      <c r="CR523" s="869">
        <f>1-WWWW[[#This Row],[% Equitable and continuous access to sufficient quantity of domestic water]]</f>
        <v>0</v>
      </c>
      <c r="CS523" s="864">
        <f>WWWW[[#This Row],[%equitable and continuous access to sufficient quantity of safe drinking and domestic water''s GAP]]*WWWW[[#This Row],[Total PoP ]]</f>
        <v>0</v>
      </c>
      <c r="CT523" s="867">
        <f>IF(WWWW[[#This Row],[Total required water points]]-WWWW[[#This Row],['#Water points coverage]]&lt;0,0,WWWW[[#This Row],[Total required water points]]-WWWW[[#This Row],['#Water points coverage]])</f>
        <v>1.4000000000000012E-2</v>
      </c>
      <c r="CU523" s="867">
        <f>ROUND(IF(WWWW[[#This Row],[Total PoP ]]&lt;500,1,WWWW[[#This Row],[Total PoP ]]/500),0)</f>
        <v>1</v>
      </c>
      <c r="CV523" s="867">
        <f>(WWWW[[#This Row],['#_Constructed latrines_by_WASHAgencies]]+WWWW[[#This Row],['#_Non Cluster partner latrines]])-WWWW[[#This Row],['#_Non-functional latrines]]</f>
        <v>40</v>
      </c>
      <c r="CW523" s="804">
        <f>WWWW[[#This Row],[HRP2]]/WWWW[[#This Row],[Total PoP ]]</f>
        <v>1</v>
      </c>
      <c r="CX52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493</v>
      </c>
      <c r="CY52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3" s="473">
        <f>IF(WWWW[[#This Row],['# of functional latrines in THF supported by WASH partners during the reporting period2]]="",0,WWWW[[#This Row],['# of functional latrines in THF supported by WASH partners during the reporting period2]]*50)</f>
        <v>0</v>
      </c>
      <c r="DB523" s="473">
        <f>WWWW[[#This Row],['# students access to functioning school latrines_HRP5]]+WWWW[[#This Row],['# People access to functioning latrines in THF_HRP5]]</f>
        <v>0</v>
      </c>
      <c r="DC523" s="867">
        <f>ROUND(IF(WWWW[[#This Row],[Location Type 1]]="camp",WWWW[[#This Row],[Total PoP ]]/20,IF(WWWW[[#This Row],[Location Type 1]]="Temporary Location",WWWW[[#This Row],[Total PoP ]]/50,(WWWW[[#This Row],[Total PoP ]]/6))),0)</f>
        <v>25</v>
      </c>
      <c r="DD523" s="867">
        <f>IF(WWWW[[#This Row],[Total required Latrines]]-(WWWW[[#This Row],['#_Constructed latrines_by_WASHAgencies]]+WWWW[[#This Row],['#_Non Cluster partner latrines]])&lt;0,0,WWWW[[#This Row],[Total required Latrines]]-(WWWW[[#This Row],['#_Constructed latrines_by_WASHAgencies]]+WWWW[[#This Row],['#_Non Cluster partner latrines]]))</f>
        <v>0</v>
      </c>
      <c r="DE523" s="869">
        <f>1-WWWW[[#This Row],[% people access to functioning Latrine]]</f>
        <v>0</v>
      </c>
      <c r="DF523" s="868">
        <f>IF(OR(WWWW[[#This Row],['#_Non-functional latrines]]="",WWWW[[#This Row],['#_Non-functional latrines]]=0),0,WWWW[[#This Row],['#_Non-functional latrines]]/(WWWW[[#This Row],['#_Constructed latrines_by_WASHAgencies]]+WWWW[[#This Row],['#_Non Cluster partner latrines]]))</f>
        <v>0</v>
      </c>
      <c r="DG523" s="864">
        <f>IF(500*(WWWW[[#This Row],['#_male hygiene promoters]]+WWWW[[#This Row],['#_female hygiene promoters]])&gt;WWWW[[#This Row],[Total PoP ]],WWWW[[#This Row],[Total PoP ]],500*(WWWW[[#This Row],['#_male hygiene promoters]]+WWWW[[#This Row],['#_female hygiene promoters]]))</f>
        <v>0</v>
      </c>
      <c r="DH52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3" s="867">
        <f>IF(WWWW[[#This Row],['# People with access to soap]]&gt;WWWW[[#This Row],['# People with access to Sanity Pads]],WWWW[[#This Row],['# People with access to soap]],WWWW[[#This Row],['# People with access to Sanity Pads]])</f>
        <v>0</v>
      </c>
      <c r="DK52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23" s="869">
        <f>IF(WWWW[[#This Row],[HRP3]]/WWWW[[#This Row],[Total PoP ]]&gt;1,1,WWWW[[#This Row],[HRP3]]/WWWW[[#This Row],[Total PoP ]])</f>
        <v>0</v>
      </c>
      <c r="DM523" s="868">
        <f>1-WWWW[[#This Row],[Hygiene Coverage%]]</f>
        <v>1</v>
      </c>
      <c r="DN523" s="866">
        <f>WWWW[[#This Row],['# people reached by regular dedicated hygiene promotion_5]]/WWWW[[#This Row],[Total PoP ]]</f>
        <v>0</v>
      </c>
      <c r="DO52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3" s="867">
        <f>WWWW[[#This Row],['#_Constructed/Existing hand washing stations]]-WWWW[[#This Row],['#_Non-Functional_hand_washing_stations]]</f>
        <v>8</v>
      </c>
      <c r="DR523" s="864">
        <f>IF(WWWW[[#This Row],['# Functional hand washing stations during reporting period]]*20&gt;WWWW[[#This Row],[Total HH]],WWWW[[#This Row],[Total HH]],WWWW[[#This Row],['# Functional hand washing stations during reporting period]]*20)</f>
        <v>115</v>
      </c>
      <c r="DS523" s="864">
        <f>IF(WWWW[[#This Row],[Is sufficient soap available for TLS? (Yes/No)]]="yes",WWWW[[#This Row],['#_Constructed/Existing hand washing stations at TLS]],0)</f>
        <v>0</v>
      </c>
      <c r="DT523" s="479">
        <f>IF(WWWW[[#This Row],['# Functional hand washing stations during reporting period]]*100&gt;WWWW[[#This Row],[Total PoP ]],WWWW[[#This Row],[Total PoP ]],WWWW[[#This Row],['# Functional hand washing stations during reporting period]]*100)</f>
        <v>493</v>
      </c>
      <c r="DU523" s="479" t="str">
        <f>IF(OR(WWWW[[#This Row],['#_students at TLS_CFS]]="",WWWW[[#This Row],['#_students at TLS_CFS]]=0),"No","Yes")</f>
        <v>No</v>
      </c>
      <c r="DV52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3" s="862" t="str">
        <f>VLOOKUP(WWWW[[#This Row],[Site Name]],SiteDB6[[Site Name]:[CCCM Management]],6,FALSE)</f>
        <v>Yes</v>
      </c>
      <c r="DZ523" s="862" t="str">
        <f>VLOOKUP(WWWW[[#This Row],[Site Name]],SiteDB6[[Site Name]:[CCCM Focal Agency]],7,FALSE)</f>
        <v>Shalom</v>
      </c>
      <c r="EA523" s="862" t="str">
        <f>VLOOKUP(WWWW[[#This Row],[Site Name]],SiteDB6[[Site Name]:[Location Type 1]],9,FALSE)</f>
        <v>Camp</v>
      </c>
      <c r="EB523" s="862" t="str">
        <f>VLOOKUP(WWWW[[#This Row],[Site Name]],SiteDB6[[Site Name]:[Type of Accommodation]],10,FALSE)</f>
        <v>Camp</v>
      </c>
      <c r="EC523" s="862" t="str">
        <f>VLOOKUP(WWWW[[#This Row],[Site Name]],SiteDB6[[Site Name]:[Ethnic or GCA/NGCA]],11,FALSE)</f>
        <v>GCA</v>
      </c>
      <c r="ED523" s="862">
        <f>VLOOKUP(WWWW[[#This Row],[Site Name]],SiteDB6[[Site Name]:[Lat]],12,FALSE)</f>
        <v>25.3540362037037</v>
      </c>
      <c r="EE523" s="862">
        <f>VLOOKUP(WWWW[[#This Row],[Site Name]],SiteDB6[[Site Name]:[Long]],13,FALSE)</f>
        <v>97.441166388888902</v>
      </c>
      <c r="EF523" s="862" t="str">
        <f>VLOOKUP(WWWW[[#This Row],[Site Name]],SiteDB6[[Site Name]:[Pcode]],3,FALSE)</f>
        <v>MMR001CMP032</v>
      </c>
      <c r="EG523" s="865" t="str">
        <f t="shared" si="15"/>
        <v>Covered</v>
      </c>
      <c r="EH523" s="865" t="str">
        <f>VLOOKUP(WWWW[[#This Row],[Site Name]],Site_DB!$C$389:$D$1120,2,FALSE)</f>
        <v>cccm_2019OCT</v>
      </c>
    </row>
    <row r="524" spans="1:138">
      <c r="A524" s="860" t="s">
        <v>3263</v>
      </c>
      <c r="B524" s="860" t="s">
        <v>144</v>
      </c>
      <c r="C524" s="861" t="s">
        <v>144</v>
      </c>
      <c r="D524" s="861" t="s">
        <v>3277</v>
      </c>
      <c r="E524" s="861" t="s">
        <v>39</v>
      </c>
      <c r="F524" s="861" t="s">
        <v>145</v>
      </c>
      <c r="G524" s="721" t="str">
        <f>VLOOKUP(WWWW[[#This Row],[Site Name]],SiteDB6[[Site Name]:[Location Type]],8,FALSE)</f>
        <v>Camp</v>
      </c>
      <c r="H524" s="861" t="s">
        <v>184</v>
      </c>
      <c r="I524" s="851">
        <v>60</v>
      </c>
      <c r="J524" s="851">
        <v>307</v>
      </c>
      <c r="K524" s="863" t="s">
        <v>3278</v>
      </c>
      <c r="L524" s="859" t="s">
        <v>3279</v>
      </c>
      <c r="M524" s="851"/>
      <c r="N524" s="851"/>
      <c r="O524" s="851"/>
      <c r="P524" s="851"/>
      <c r="Q524" s="864" t="s">
        <v>43</v>
      </c>
      <c r="R524" s="851"/>
      <c r="S524" s="851">
        <v>3</v>
      </c>
      <c r="T524" s="523">
        <v>2</v>
      </c>
      <c r="U524" s="851"/>
      <c r="V524" s="851"/>
      <c r="W524" s="851">
        <v>0</v>
      </c>
      <c r="X524" s="851"/>
      <c r="Y524" s="851"/>
      <c r="Z524" s="851"/>
      <c r="AA524" s="851"/>
      <c r="AB524" s="851"/>
      <c r="AC524" s="851"/>
      <c r="AD524" s="851"/>
      <c r="AE524" s="851"/>
      <c r="AF524" s="851"/>
      <c r="AG524" s="851"/>
      <c r="AH524" s="851">
        <v>1</v>
      </c>
      <c r="AI524" s="851"/>
      <c r="AJ524" s="851"/>
      <c r="AK524" s="851"/>
      <c r="AL524" s="851"/>
      <c r="AM524" s="851"/>
      <c r="AN524" s="851"/>
      <c r="AO524" s="865"/>
      <c r="AP524" s="851">
        <v>14</v>
      </c>
      <c r="AQ524" s="851"/>
      <c r="AR524" s="866"/>
      <c r="AS524" s="851"/>
      <c r="AT524" s="851"/>
      <c r="AU524" s="851"/>
      <c r="AV524" s="851"/>
      <c r="AW524" s="851">
        <v>10</v>
      </c>
      <c r="AX524" s="862" t="s">
        <v>43</v>
      </c>
      <c r="AY524" s="865" t="s">
        <v>140</v>
      </c>
      <c r="AZ524" s="851"/>
      <c r="BA524" s="851"/>
      <c r="BB524" s="851"/>
      <c r="BC524" s="523"/>
      <c r="BD524" s="523"/>
      <c r="BE524" s="862"/>
      <c r="BF524" s="851">
        <v>4</v>
      </c>
      <c r="BG524" s="851"/>
      <c r="BH524" s="851"/>
      <c r="BI524" s="851">
        <v>2</v>
      </c>
      <c r="BJ524" s="851"/>
      <c r="BK524" s="851"/>
      <c r="BL524" s="851">
        <v>1</v>
      </c>
      <c r="BM524" s="851"/>
      <c r="BN524" s="851"/>
      <c r="BO524" s="862"/>
      <c r="BP524" s="867"/>
      <c r="BQ524" s="866"/>
      <c r="BR524" s="862"/>
      <c r="BS524" s="472"/>
      <c r="BT524" s="472"/>
      <c r="BU524" s="474"/>
      <c r="BV524" s="472"/>
      <c r="BW524" s="523"/>
      <c r="BX524" s="523"/>
      <c r="BY524" s="523"/>
      <c r="BZ524" s="868" t="str">
        <f>IFERROR(WWWW[[#This Row],['#_Water sources passed]]/WWWW[[#This Row],['#_Water sources tested for fecal coliform ]],"no test")</f>
        <v>no test</v>
      </c>
      <c r="CA524" s="866" t="str">
        <f>IFERROR(WWWW[[#This Row],['#_Household passed]]/WWWW[[#This Row],['#_Household water samples tested for fecal coliform]],"no test")</f>
        <v>no test</v>
      </c>
      <c r="CB524" s="867" t="str">
        <f>IF(AND(WWWW[[#This Row],[% of water sources passed]]="no test",WWWW[[#This Row],[% Household passed]]="no test"),"No Test","Tested")</f>
        <v>No Test</v>
      </c>
      <c r="CC524" s="867">
        <f>WWWW[[#This Row],['#_Constructed/existing protected hand dug well]]-WWWW[[#This Row],['#_Non-functional protected hand dug well]]</f>
        <v>2</v>
      </c>
      <c r="CD524" s="867">
        <f>(WWWW[[#This Row],['#_Constructed/Existing tube wells/boreholes/handpumps_WASH_agency]]+WWWW[[#This Row],['#_Non-Cluster partner water tube-wells/boreholes/handpumps]])-WWWW[[#This Row],['#_Non-functional tube wells/boreholes/handpumps]]</f>
        <v>0</v>
      </c>
      <c r="CE524" s="867">
        <f>WWWW[[#This Row],['#_Constructed/Existingwater storage tank with gravity fed reticulation system]]-WWWW[[#This Row],['#_Non-functional storage tank gravity fed reticulation system]]</f>
        <v>0</v>
      </c>
      <c r="CF524" s="867">
        <f>(WWWW[[#This Row],['#_Water_Liters_supplied_by_Water boating or water trucking]]/90)/15</f>
        <v>0</v>
      </c>
      <c r="CG524" s="867">
        <f>WWWW[[#This Row],['#_Water_Liters_from_Constructed/Existing water distribution system from river or natural spring]]/90/15</f>
        <v>0</v>
      </c>
      <c r="CH524" s="473">
        <f>WWWW[[#This Row],['#_of water points in TLS/CFS /THF]]*500</f>
        <v>0</v>
      </c>
      <c r="CI52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4" s="866">
        <f>IF(WWWW[[#This Row],[Location Type 1]]="Village",WWWW[[#This Row],[Access to safe drinking water for Village]],WWWW[[#This Row],[Access to safe drinking water for Camp]])</f>
        <v>1</v>
      </c>
      <c r="CL524" s="864">
        <f>WWWW[[#This Row],[%Equitable and continuous access to sufficient quantity of safe drinking water]]*WWWW[[#This Row],[Total PoP ]]</f>
        <v>307</v>
      </c>
      <c r="CM524" s="866">
        <f>IF((WWWW[[#This Row],['#_Constructed/Existing protected/fenced ponds]]*250)/WWWW[[#This Row],[Total PoP ]]&gt;1,1,(WWWW[[#This Row],['#_Constructed/Existing protected/fenced ponds]]*250)/WWWW[[#This Row],[Total PoP ]])</f>
        <v>0</v>
      </c>
      <c r="CN524" s="864">
        <f>WWWW[[#This Row],[% Access to unimproved water points]]*WWWW[[#This Row],[Total PoP ]]</f>
        <v>0</v>
      </c>
      <c r="CO52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Q524" s="864">
        <f>WWWW[[#This Row],[HRP1]]/500</f>
        <v>0.61399999999999999</v>
      </c>
      <c r="CR524" s="869">
        <f>1-WWWW[[#This Row],[% Equitable and continuous access to sufficient quantity of domestic water]]</f>
        <v>0</v>
      </c>
      <c r="CS524" s="864">
        <f>WWWW[[#This Row],[%equitable and continuous access to sufficient quantity of safe drinking and domestic water''s GAP]]*WWWW[[#This Row],[Total PoP ]]</f>
        <v>0</v>
      </c>
      <c r="CT524" s="867">
        <f>IF(WWWW[[#This Row],[Total required water points]]-WWWW[[#This Row],['#Water points coverage]]&lt;0,0,WWWW[[#This Row],[Total required water points]]-WWWW[[#This Row],['#Water points coverage]])</f>
        <v>0.38600000000000001</v>
      </c>
      <c r="CU524" s="867">
        <f>ROUND(IF(WWWW[[#This Row],[Total PoP ]]&lt;500,1,WWWW[[#This Row],[Total PoP ]]/500),0)</f>
        <v>1</v>
      </c>
      <c r="CV524" s="867">
        <f>(WWWW[[#This Row],['#_Constructed latrines_by_WASHAgencies]]+WWWW[[#This Row],['#_Non Cluster partner latrines]])-WWWW[[#This Row],['#_Non-functional latrines]]</f>
        <v>14</v>
      </c>
      <c r="CW524" s="804">
        <f>WWWW[[#This Row],[HRP2]]/WWWW[[#This Row],[Total PoP ]]</f>
        <v>0.91205211726384361</v>
      </c>
      <c r="CX52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52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4" s="473">
        <f>IF(WWWW[[#This Row],['# of functional latrines in THF supported by WASH partners during the reporting period2]]="",0,WWWW[[#This Row],['# of functional latrines in THF supported by WASH partners during the reporting period2]]*50)</f>
        <v>0</v>
      </c>
      <c r="DB524" s="473">
        <f>WWWW[[#This Row],['# students access to functioning school latrines_HRP5]]+WWWW[[#This Row],['# People access to functioning latrines in THF_HRP5]]</f>
        <v>0</v>
      </c>
      <c r="DC524" s="867">
        <f>ROUND(IF(WWWW[[#This Row],[Location Type 1]]="camp",WWWW[[#This Row],[Total PoP ]]/20,IF(WWWW[[#This Row],[Location Type 1]]="Temporary Location",WWWW[[#This Row],[Total PoP ]]/50,(WWWW[[#This Row],[Total PoP ]]/6))),0)</f>
        <v>15</v>
      </c>
      <c r="DD524" s="867">
        <f>IF(WWWW[[#This Row],[Total required Latrines]]-(WWWW[[#This Row],['#_Constructed latrines_by_WASHAgencies]]+WWWW[[#This Row],['#_Non Cluster partner latrines]])&lt;0,0,WWWW[[#This Row],[Total required Latrines]]-(WWWW[[#This Row],['#_Constructed latrines_by_WASHAgencies]]+WWWW[[#This Row],['#_Non Cluster partner latrines]]))</f>
        <v>1</v>
      </c>
      <c r="DE524" s="869">
        <f>1-WWWW[[#This Row],[% people access to functioning Latrine]]</f>
        <v>8.7947882736156391E-2</v>
      </c>
      <c r="DF524" s="868">
        <f>IF(OR(WWWW[[#This Row],['#_Non-functional latrines]]="",WWWW[[#This Row],['#_Non-functional latrines]]=0),0,WWWW[[#This Row],['#_Non-functional latrines]]/(WWWW[[#This Row],['#_Constructed latrines_by_WASHAgencies]]+WWWW[[#This Row],['#_Non Cluster partner latrines]]))</f>
        <v>0</v>
      </c>
      <c r="DG524" s="864">
        <f>IF(500*(WWWW[[#This Row],['#_male hygiene promoters]]+WWWW[[#This Row],['#_female hygiene promoters]])&gt;WWWW[[#This Row],[Total PoP ]],WWWW[[#This Row],[Total PoP ]],500*(WWWW[[#This Row],['#_male hygiene promoters]]+WWWW[[#This Row],['#_female hygiene promoters]]))</f>
        <v>307</v>
      </c>
      <c r="DH52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4" s="867">
        <f>IF(WWWW[[#This Row],['# People with access to soap]]&gt;WWWW[[#This Row],['# People with access to Sanity Pads]],WWWW[[#This Row],['# People with access to soap]],WWWW[[#This Row],['# People with access to Sanity Pads]])</f>
        <v>0</v>
      </c>
      <c r="DK524" s="867">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L524" s="869">
        <f>IF(WWWW[[#This Row],[HRP3]]/WWWW[[#This Row],[Total PoP ]]&gt;1,1,WWWW[[#This Row],[HRP3]]/WWWW[[#This Row],[Total PoP ]])</f>
        <v>1</v>
      </c>
      <c r="DM524" s="868">
        <f>1-WWWW[[#This Row],[Hygiene Coverage%]]</f>
        <v>0</v>
      </c>
      <c r="DN524" s="866">
        <f>WWWW[[#This Row],['# people reached by regular dedicated hygiene promotion_5]]/WWWW[[#This Row],[Total PoP ]]</f>
        <v>1</v>
      </c>
      <c r="DO52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4" s="867">
        <f>WWWW[[#This Row],['#_Constructed/Existing hand washing stations]]-WWWW[[#This Row],['#_Non-Functional_hand_washing_stations]]</f>
        <v>4</v>
      </c>
      <c r="DR524" s="864">
        <f>IF(WWWW[[#This Row],['# Functional hand washing stations during reporting period]]*20&gt;WWWW[[#This Row],[Total HH]],WWWW[[#This Row],[Total HH]],WWWW[[#This Row],['# Functional hand washing stations during reporting period]]*20)</f>
        <v>60</v>
      </c>
      <c r="DS524" s="864">
        <f>IF(WWWW[[#This Row],[Is sufficient soap available for TLS? (Yes/No)]]="yes",WWWW[[#This Row],['#_Constructed/Existing hand washing stations at TLS]],0)</f>
        <v>0</v>
      </c>
      <c r="DT524" s="479">
        <f>IF(WWWW[[#This Row],['# Functional hand washing stations during reporting period]]*100&gt;WWWW[[#This Row],[Total PoP ]],WWWW[[#This Row],[Total PoP ]],WWWW[[#This Row],['# Functional hand washing stations during reporting period]]*100)</f>
        <v>307</v>
      </c>
      <c r="DU524" s="479" t="str">
        <f>IF(OR(WWWW[[#This Row],['#_students at TLS_CFS]]="",WWWW[[#This Row],['#_students at TLS_CFS]]=0),"No","Yes")</f>
        <v>No</v>
      </c>
      <c r="DV52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4" s="862" t="str">
        <f>VLOOKUP(WWWW[[#This Row],[Site Name]],SiteDB6[[Site Name]:[CCCM Management]],6,FALSE)</f>
        <v>Yes</v>
      </c>
      <c r="DZ524" s="862" t="str">
        <f>VLOOKUP(WWWW[[#This Row],[Site Name]],SiteDB6[[Site Name]:[CCCM Focal Agency]],7,FALSE)</f>
        <v>KBC-MYT</v>
      </c>
      <c r="EA524" s="862" t="str">
        <f>VLOOKUP(WWWW[[#This Row],[Site Name]],SiteDB6[[Site Name]:[Location Type 1]],9,FALSE)</f>
        <v>Camp</v>
      </c>
      <c r="EB524" s="862" t="str">
        <f>VLOOKUP(WWWW[[#This Row],[Site Name]],SiteDB6[[Site Name]:[Type of Accommodation]],10,FALSE)</f>
        <v>Camp</v>
      </c>
      <c r="EC524" s="862" t="str">
        <f>VLOOKUP(WWWW[[#This Row],[Site Name]],SiteDB6[[Site Name]:[Ethnic or GCA/NGCA]],11,FALSE)</f>
        <v>GCA</v>
      </c>
      <c r="ED524" s="862">
        <f>VLOOKUP(WWWW[[#This Row],[Site Name]],SiteDB6[[Site Name]:[Lat]],12,FALSE)</f>
        <v>25.351724999999998</v>
      </c>
      <c r="EE524" s="862">
        <f>VLOOKUP(WWWW[[#This Row],[Site Name]],SiteDB6[[Site Name]:[Long]],13,FALSE)</f>
        <v>97.438432380952406</v>
      </c>
      <c r="EF524" s="862" t="str">
        <f>VLOOKUP(WWWW[[#This Row],[Site Name]],SiteDB6[[Site Name]:[Pcode]],3,FALSE)</f>
        <v>MMR001CMP025</v>
      </c>
      <c r="EG524" s="865" t="str">
        <f t="shared" si="15"/>
        <v>Covered</v>
      </c>
      <c r="EH524" s="865" t="str">
        <f>VLOOKUP(WWWW[[#This Row],[Site Name]],Site_DB!$C$389:$D$1120,2,FALSE)</f>
        <v>cccm_2019OCT</v>
      </c>
    </row>
    <row r="525" spans="1:138">
      <c r="A525" s="860" t="s">
        <v>3263</v>
      </c>
      <c r="B525" s="860" t="s">
        <v>195</v>
      </c>
      <c r="C525" s="861" t="s">
        <v>195</v>
      </c>
      <c r="D525" s="861" t="s">
        <v>3364</v>
      </c>
      <c r="E525" s="861" t="s">
        <v>711</v>
      </c>
      <c r="F525" s="861" t="s">
        <v>715</v>
      </c>
      <c r="G525" s="721" t="str">
        <f>VLOOKUP(WWWW[[#This Row],[Site Name]],SiteDB6[[Site Name]:[Location Type]],8,FALSE)</f>
        <v>Camp</v>
      </c>
      <c r="H525" s="861" t="s">
        <v>734</v>
      </c>
      <c r="I525" s="851">
        <v>205</v>
      </c>
      <c r="J525" s="851">
        <v>1077</v>
      </c>
      <c r="K525" s="407" t="s">
        <v>3634</v>
      </c>
      <c r="L525" s="56" t="s">
        <v>3632</v>
      </c>
      <c r="M525" s="851"/>
      <c r="N525" s="851">
        <v>2</v>
      </c>
      <c r="O525" s="851"/>
      <c r="P525" s="851"/>
      <c r="Q525" s="864" t="s">
        <v>43</v>
      </c>
      <c r="R525" s="851">
        <v>5</v>
      </c>
      <c r="S525" s="851">
        <v>4</v>
      </c>
      <c r="T525" s="523">
        <v>2</v>
      </c>
      <c r="U525" s="851"/>
      <c r="V525" s="851"/>
      <c r="W525" s="851">
        <v>1</v>
      </c>
      <c r="X525" s="851"/>
      <c r="Y525" s="851"/>
      <c r="Z525" s="851"/>
      <c r="AA525" s="851"/>
      <c r="AB525" s="851"/>
      <c r="AC525" s="851"/>
      <c r="AD525" s="851"/>
      <c r="AE525" s="851"/>
      <c r="AF525" s="851"/>
      <c r="AG525" s="851">
        <v>3</v>
      </c>
      <c r="AH525" s="851">
        <v>1</v>
      </c>
      <c r="AI525" s="851"/>
      <c r="AJ525" s="851"/>
      <c r="AK525" s="851"/>
      <c r="AL525" s="851"/>
      <c r="AM525" s="851"/>
      <c r="AN525" s="851">
        <v>2</v>
      </c>
      <c r="AO525" s="865"/>
      <c r="AP525" s="851">
        <v>200</v>
      </c>
      <c r="AQ525" s="851">
        <v>5</v>
      </c>
      <c r="AR525" s="866"/>
      <c r="AS525" s="851"/>
      <c r="AT525" s="851">
        <v>37</v>
      </c>
      <c r="AU525" s="851"/>
      <c r="AV525" s="851"/>
      <c r="AW525" s="851">
        <v>18</v>
      </c>
      <c r="AX525" s="862" t="s">
        <v>139</v>
      </c>
      <c r="AY525" s="865" t="s">
        <v>139</v>
      </c>
      <c r="AZ525" s="851"/>
      <c r="BA525" s="851"/>
      <c r="BB525" s="851">
        <v>2</v>
      </c>
      <c r="BC525" s="523"/>
      <c r="BD525" s="523"/>
      <c r="BE525" s="862"/>
      <c r="BF525" s="851">
        <v>2</v>
      </c>
      <c r="BG525" s="851"/>
      <c r="BH525" s="851"/>
      <c r="BI525" s="851">
        <v>5</v>
      </c>
      <c r="BJ525" s="851"/>
      <c r="BK525" s="851"/>
      <c r="BL525" s="851">
        <v>1</v>
      </c>
      <c r="BM525" s="851">
        <v>205</v>
      </c>
      <c r="BN525" s="851"/>
      <c r="BO525" s="862"/>
      <c r="BP525" s="867"/>
      <c r="BQ525" s="866"/>
      <c r="BR525" s="862"/>
      <c r="BS525" s="472"/>
      <c r="BT525" s="472"/>
      <c r="BU525" s="474"/>
      <c r="BV525" s="472"/>
      <c r="BW525" s="523"/>
      <c r="BX525" s="523"/>
      <c r="BY525" s="523"/>
      <c r="BZ525" s="868" t="str">
        <f>IFERROR(WWWW[[#This Row],['#_Water sources passed]]/WWWW[[#This Row],['#_Water sources tested for fecal coliform ]],"no test")</f>
        <v>no test</v>
      </c>
      <c r="CA525" s="866" t="str">
        <f>IFERROR(WWWW[[#This Row],['#_Household passed]]/WWWW[[#This Row],['#_Household water samples tested for fecal coliform]],"no test")</f>
        <v>no test</v>
      </c>
      <c r="CB525" s="867" t="str">
        <f>IF(AND(WWWW[[#This Row],[% of water sources passed]]="no test",WWWW[[#This Row],[% Household passed]]="no test"),"No Test","Tested")</f>
        <v>No Test</v>
      </c>
      <c r="CC525" s="867">
        <f>WWWW[[#This Row],['#_Constructed/existing protected hand dug well]]-WWWW[[#This Row],['#_Non-functional protected hand dug well]]</f>
        <v>2</v>
      </c>
      <c r="CD525" s="867">
        <f>(WWWW[[#This Row],['#_Constructed/Existing tube wells/boreholes/handpumps_WASH_agency]]+WWWW[[#This Row],['#_Non-Cluster partner water tube-wells/boreholes/handpumps]])-WWWW[[#This Row],['#_Non-functional tube wells/boreholes/handpumps]]</f>
        <v>1</v>
      </c>
      <c r="CE525" s="867">
        <f>WWWW[[#This Row],['#_Constructed/Existingwater storage tank with gravity fed reticulation system]]-WWWW[[#This Row],['#_Non-functional storage tank gravity fed reticulation system]]</f>
        <v>0</v>
      </c>
      <c r="CF525" s="867">
        <f>(WWWW[[#This Row],['#_Water_Liters_supplied_by_Water boating or water trucking]]/90)/15</f>
        <v>0</v>
      </c>
      <c r="CG525" s="867">
        <f>WWWW[[#This Row],['#_Water_Liters_from_Constructed/Existing water distribution system from river or natural spring]]/90/15</f>
        <v>0</v>
      </c>
      <c r="CH525" s="473">
        <f>WWWW[[#This Row],['#_of water points in TLS/CFS /THF]]*500</f>
        <v>1000</v>
      </c>
      <c r="CI52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0.69637883008356549</v>
      </c>
      <c r="CK525" s="866">
        <f>IF(WWWW[[#This Row],[Location Type 1]]="Village",WWWW[[#This Row],[Access to safe drinking water for Village]],WWWW[[#This Row],[Access to safe drinking water for Camp]])</f>
        <v>1</v>
      </c>
      <c r="CL525" s="864">
        <f>WWWW[[#This Row],[%Equitable and continuous access to sufficient quantity of safe drinking water]]*WWWW[[#This Row],[Total PoP ]]</f>
        <v>1077</v>
      </c>
      <c r="CM525" s="866">
        <f>IF((WWWW[[#This Row],['#_Constructed/Existing protected/fenced ponds]]*250)/WWWW[[#This Row],[Total PoP ]]&gt;1,1,(WWWW[[#This Row],['#_Constructed/Existing protected/fenced ponds]]*250)/WWWW[[#This Row],[Total PoP ]])</f>
        <v>0</v>
      </c>
      <c r="CN525" s="864">
        <f>WWWW[[#This Row],[% Access to unimproved water points]]*WWWW[[#This Row],[Total PoP ]]</f>
        <v>0</v>
      </c>
      <c r="CO52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Q525" s="864">
        <f>WWWW[[#This Row],[HRP1]]/500</f>
        <v>2.1539999999999999</v>
      </c>
      <c r="CR525" s="869">
        <f>1-WWWW[[#This Row],[% Equitable and continuous access to sufficient quantity of domestic water]]</f>
        <v>0</v>
      </c>
      <c r="CS525" s="864">
        <f>WWWW[[#This Row],[%equitable and continuous access to sufficient quantity of safe drinking and domestic water''s GAP]]*WWWW[[#This Row],[Total PoP ]]</f>
        <v>0</v>
      </c>
      <c r="CT525" s="867">
        <f>IF(WWWW[[#This Row],[Total required water points]]-WWWW[[#This Row],['#Water points coverage]]&lt;0,0,WWWW[[#This Row],[Total required water points]]-WWWW[[#This Row],['#Water points coverage]])</f>
        <v>0</v>
      </c>
      <c r="CU525" s="867">
        <f>ROUND(IF(WWWW[[#This Row],[Total PoP ]]&lt;500,1,WWWW[[#This Row],[Total PoP ]]/500),0)</f>
        <v>2</v>
      </c>
      <c r="CV525" s="867">
        <f>(WWWW[[#This Row],['#_Constructed latrines_by_WASHAgencies]]+WWWW[[#This Row],['#_Non Cluster partner latrines]])-WWWW[[#This Row],['#_Non-functional latrines]]</f>
        <v>205</v>
      </c>
      <c r="CW525" s="804">
        <f>WWWW[[#This Row],[HRP2]]/WWWW[[#This Row],[Total PoP ]]</f>
        <v>0.95171773444753949</v>
      </c>
      <c r="CX52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CY52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5" s="473">
        <f>IF(WWWW[[#This Row],['# of functional latrines in THF supported by WASH partners during the reporting period2]]="",0,WWWW[[#This Row],['# of functional latrines in THF supported by WASH partners during the reporting period2]]*50)</f>
        <v>0</v>
      </c>
      <c r="DB525" s="473">
        <f>WWWW[[#This Row],['# students access to functioning school latrines_HRP5]]+WWWW[[#This Row],['# People access to functioning latrines in THF_HRP5]]</f>
        <v>0</v>
      </c>
      <c r="DC525" s="867">
        <f>ROUND(IF(WWWW[[#This Row],[Location Type 1]]="camp",WWWW[[#This Row],[Total PoP ]]/20,IF(WWWW[[#This Row],[Location Type 1]]="Temporary Location",WWWW[[#This Row],[Total PoP ]]/50,(WWWW[[#This Row],[Total PoP ]]/6))),0)</f>
        <v>180</v>
      </c>
      <c r="DD525" s="867">
        <f>IF(WWWW[[#This Row],[Total required Latrines]]-(WWWW[[#This Row],['#_Constructed latrines_by_WASHAgencies]]+WWWW[[#This Row],['#_Non Cluster partner latrines]])&lt;0,0,WWWW[[#This Row],[Total required Latrines]]-(WWWW[[#This Row],['#_Constructed latrines_by_WASHAgencies]]+WWWW[[#This Row],['#_Non Cluster partner latrines]]))</f>
        <v>0</v>
      </c>
      <c r="DE525" s="869">
        <f>1-WWWW[[#This Row],[% people access to functioning Latrine]]</f>
        <v>4.8282265552460513E-2</v>
      </c>
      <c r="DF525" s="868">
        <f>IF(OR(WWWW[[#This Row],['#_Non-functional latrines]]="",WWWW[[#This Row],['#_Non-functional latrines]]=0),0,WWWW[[#This Row],['#_Non-functional latrines]]/(WWWW[[#This Row],['#_Constructed latrines_by_WASHAgencies]]+WWWW[[#This Row],['#_Non Cluster partner latrines]]))</f>
        <v>0</v>
      </c>
      <c r="DG525" s="864">
        <f>IF(500*(WWWW[[#This Row],['#_male hygiene promoters]]+WWWW[[#This Row],['#_female hygiene promoters]])&gt;WWWW[[#This Row],[Total PoP ]],WWWW[[#This Row],[Total PoP ]],500*(WWWW[[#This Row],['#_male hygiene promoters]]+WWWW[[#This Row],['#_female hygiene promoters]]))</f>
        <v>500</v>
      </c>
      <c r="DH52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1077</v>
      </c>
      <c r="DI52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5" s="867">
        <f>IF(WWWW[[#This Row],['# People with access to soap]]&gt;WWWW[[#This Row],['# People with access to Sanity Pads]],WWWW[[#This Row],['# People with access to soap]],WWWW[[#This Row],['# People with access to Sanity Pads]])</f>
        <v>1077</v>
      </c>
      <c r="DK525" s="867">
        <f>IF(WWWW[[#This Row],['# people reached by regular dedicated hygiene promotion_5]]&gt;WWWW[[#This Row],['# People received regular supply of hygiene items_6]],WWWW[[#This Row],['# people reached by regular dedicated hygiene promotion_5]],WWWW[[#This Row],['# People received regular supply of hygiene items_6]])</f>
        <v>1077</v>
      </c>
      <c r="DL525" s="869">
        <f>IF(WWWW[[#This Row],[HRP3]]/WWWW[[#This Row],[Total PoP ]]&gt;1,1,WWWW[[#This Row],[HRP3]]/WWWW[[#This Row],[Total PoP ]])</f>
        <v>1</v>
      </c>
      <c r="DM525" s="868">
        <f>1-WWWW[[#This Row],[Hygiene Coverage%]]</f>
        <v>0</v>
      </c>
      <c r="DN525" s="866">
        <f>WWWW[[#This Row],['# people reached by regular dedicated hygiene promotion_5]]/WWWW[[#This Row],[Total PoP ]]</f>
        <v>0.46425255338904364</v>
      </c>
      <c r="DO52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2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5" s="867">
        <f>WWWW[[#This Row],['#_Constructed/Existing hand washing stations]]-WWWW[[#This Row],['#_Non-Functional_hand_washing_stations]]</f>
        <v>2</v>
      </c>
      <c r="DR525" s="864">
        <f>IF(WWWW[[#This Row],['# Functional hand washing stations during reporting period]]*20&gt;WWWW[[#This Row],[Total HH]],WWWW[[#This Row],[Total HH]],WWWW[[#This Row],['# Functional hand washing stations during reporting period]]*20)</f>
        <v>40</v>
      </c>
      <c r="DS525" s="864">
        <f>IF(WWWW[[#This Row],[Is sufficient soap available for TLS? (Yes/No)]]="yes",WWWW[[#This Row],['#_Constructed/Existing hand washing stations at TLS]],0)</f>
        <v>0</v>
      </c>
      <c r="DT525" s="479">
        <f>IF(WWWW[[#This Row],['# Functional hand washing stations during reporting period]]*100&gt;WWWW[[#This Row],[Total PoP ]],WWWW[[#This Row],[Total PoP ]],WWWW[[#This Row],['# Functional hand washing stations during reporting period]]*100)</f>
        <v>200</v>
      </c>
      <c r="DU525" s="479" t="str">
        <f>IF(OR(WWWW[[#This Row],['#_students at TLS_CFS]]="",WWWW[[#This Row],['#_students at TLS_CFS]]=0),"No","Yes")</f>
        <v>No</v>
      </c>
      <c r="DV52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525" s="862" t="str">
        <f>VLOOKUP(WWWW[[#This Row],[Site Name]],SiteDB6[[Site Name]:[CCCM Management]],6,FALSE)</f>
        <v>Yes</v>
      </c>
      <c r="DZ525" s="862" t="str">
        <f>VLOOKUP(WWWW[[#This Row],[Site Name]],SiteDB6[[Site Name]:[CCCM Focal Agency]],7,FALSE)</f>
        <v>KBC-NSS</v>
      </c>
      <c r="EA525" s="862" t="str">
        <f>VLOOKUP(WWWW[[#This Row],[Site Name]],SiteDB6[[Site Name]:[Location Type 1]],9,FALSE)</f>
        <v>Village Type Camp</v>
      </c>
      <c r="EB525" s="862" t="str">
        <f>VLOOKUP(WWWW[[#This Row],[Site Name]],SiteDB6[[Site Name]:[Type of Accommodation]],10,FALSE)</f>
        <v>Camp</v>
      </c>
      <c r="EC525" s="862" t="str">
        <f>VLOOKUP(WWWW[[#This Row],[Site Name]],SiteDB6[[Site Name]:[Ethnic or GCA/NGCA]],11,FALSE)</f>
        <v>GCA</v>
      </c>
      <c r="ED525" s="862">
        <f>VLOOKUP(WWWW[[#This Row],[Site Name]],SiteDB6[[Site Name]:[Lat]],12,FALSE)</f>
        <v>23.38503</v>
      </c>
      <c r="EE525" s="862">
        <f>VLOOKUP(WWWW[[#This Row],[Site Name]],SiteDB6[[Site Name]:[Long]],13,FALSE)</f>
        <v>97.837040000000002</v>
      </c>
      <c r="EF525" s="862" t="str">
        <f>VLOOKUP(WWWW[[#This Row],[Site Name]],SiteDB6[[Site Name]:[Pcode]],3,FALSE)</f>
        <v>MMR015CMP020</v>
      </c>
      <c r="EG525" s="865" t="str">
        <f t="shared" si="15"/>
        <v>Covered</v>
      </c>
      <c r="EH525" s="865" t="str">
        <f>VLOOKUP(WWWW[[#This Row],[Site Name]],Site_DB!$C$389:$D$1120,2,FALSE)</f>
        <v>cccm_2019OCT</v>
      </c>
    </row>
    <row r="526" spans="1:138">
      <c r="A526" s="860" t="s">
        <v>3263</v>
      </c>
      <c r="B526" s="860" t="s">
        <v>3293</v>
      </c>
      <c r="C526" s="861" t="s">
        <v>3293</v>
      </c>
      <c r="D526" s="404" t="s">
        <v>3635</v>
      </c>
      <c r="E526" s="861" t="s">
        <v>711</v>
      </c>
      <c r="F526" s="861" t="s">
        <v>718</v>
      </c>
      <c r="G526" s="721" t="str">
        <f>VLOOKUP(WWWW[[#This Row],[Site Name]],SiteDB6[[Site Name]:[Location Type]],8,FALSE)</f>
        <v>Camp</v>
      </c>
      <c r="H526" s="861" t="s">
        <v>719</v>
      </c>
      <c r="I526" s="851">
        <v>30</v>
      </c>
      <c r="J526" s="851">
        <v>156</v>
      </c>
      <c r="K526" s="717" t="s">
        <v>3636</v>
      </c>
      <c r="L526" s="718" t="s">
        <v>3637</v>
      </c>
      <c r="M526" s="851"/>
      <c r="N526" s="851">
        <v>2</v>
      </c>
      <c r="O526" s="851"/>
      <c r="P526" s="851"/>
      <c r="Q526" s="864" t="s">
        <v>43</v>
      </c>
      <c r="R526" s="851">
        <v>2</v>
      </c>
      <c r="S526" s="851">
        <v>8</v>
      </c>
      <c r="T526" s="523">
        <v>1</v>
      </c>
      <c r="U526" s="851"/>
      <c r="V526" s="851"/>
      <c r="W526" s="851">
        <v>2</v>
      </c>
      <c r="X526" s="851"/>
      <c r="Y526" s="851"/>
      <c r="Z526" s="851"/>
      <c r="AA526" s="851"/>
      <c r="AB526" s="851"/>
      <c r="AC526" s="851"/>
      <c r="AD526" s="851"/>
      <c r="AE526" s="851">
        <v>2</v>
      </c>
      <c r="AF526" s="851"/>
      <c r="AG526" s="851">
        <v>1</v>
      </c>
      <c r="AH526" s="851">
        <v>1</v>
      </c>
      <c r="AI526" s="851"/>
      <c r="AJ526" s="851"/>
      <c r="AK526" s="851"/>
      <c r="AL526" s="851"/>
      <c r="AM526" s="851">
        <v>4</v>
      </c>
      <c r="AN526" s="851"/>
      <c r="AO526" s="865"/>
      <c r="AP526" s="851">
        <v>8</v>
      </c>
      <c r="AQ526" s="851"/>
      <c r="AR526" s="866"/>
      <c r="AS526" s="851"/>
      <c r="AT526" s="851"/>
      <c r="AU526" s="851"/>
      <c r="AV526" s="851"/>
      <c r="AW526" s="851">
        <v>8</v>
      </c>
      <c r="AX526" s="862" t="s">
        <v>43</v>
      </c>
      <c r="AY526" s="865" t="s">
        <v>140</v>
      </c>
      <c r="AZ526" s="851"/>
      <c r="BA526" s="851"/>
      <c r="BB526" s="851">
        <v>0</v>
      </c>
      <c r="BC526" s="523"/>
      <c r="BD526" s="523"/>
      <c r="BE526" s="862"/>
      <c r="BF526" s="851">
        <v>4</v>
      </c>
      <c r="BG526" s="851"/>
      <c r="BH526" s="851">
        <v>0</v>
      </c>
      <c r="BI526" s="851">
        <v>2</v>
      </c>
      <c r="BJ526" s="851"/>
      <c r="BK526" s="851"/>
      <c r="BL526" s="851">
        <v>2</v>
      </c>
      <c r="BM526" s="851">
        <v>29</v>
      </c>
      <c r="BN526" s="851"/>
      <c r="BO526" s="862" t="s">
        <v>43</v>
      </c>
      <c r="BP526" s="867"/>
      <c r="BQ526" s="866"/>
      <c r="BR526" s="862"/>
      <c r="BS526" s="472"/>
      <c r="BT526" s="472"/>
      <c r="BU526" s="474"/>
      <c r="BV526" s="472"/>
      <c r="BW526" s="523"/>
      <c r="BX526" s="523"/>
      <c r="BY526" s="523"/>
      <c r="BZ526" s="868" t="str">
        <f>IFERROR(WWWW[[#This Row],['#_Water sources passed]]/WWWW[[#This Row],['#_Water sources tested for fecal coliform ]],"no test")</f>
        <v>no test</v>
      </c>
      <c r="CA526" s="866" t="str">
        <f>IFERROR(WWWW[[#This Row],['#_Household passed]]/WWWW[[#This Row],['#_Household water samples tested for fecal coliform]],"no test")</f>
        <v>no test</v>
      </c>
      <c r="CB526" s="867" t="str">
        <f>IF(AND(WWWW[[#This Row],[% of water sources passed]]="no test",WWWW[[#This Row],[% Household passed]]="no test"),"No Test","Tested")</f>
        <v>No Test</v>
      </c>
      <c r="CC526" s="867">
        <f>WWWW[[#This Row],['#_Constructed/existing protected hand dug well]]-WWWW[[#This Row],['#_Non-functional protected hand dug well]]</f>
        <v>1</v>
      </c>
      <c r="CD526" s="867">
        <f>(WWWW[[#This Row],['#_Constructed/Existing tube wells/boreholes/handpumps_WASH_agency]]+WWWW[[#This Row],['#_Non-Cluster partner water tube-wells/boreholes/handpumps]])-WWWW[[#This Row],['#_Non-functional tube wells/boreholes/handpumps]]</f>
        <v>2</v>
      </c>
      <c r="CE526" s="867">
        <f>WWWW[[#This Row],['#_Constructed/Existingwater storage tank with gravity fed reticulation system]]-WWWW[[#This Row],['#_Non-functional storage tank gravity fed reticulation system]]</f>
        <v>0</v>
      </c>
      <c r="CF526" s="867">
        <f>(WWWW[[#This Row],['#_Water_Liters_supplied_by_Water boating or water trucking]]/90)/15</f>
        <v>0</v>
      </c>
      <c r="CG526" s="867">
        <f>WWWW[[#This Row],['#_Water_Liters_from_Constructed/Existing water distribution system from river or natural spring]]/90/15</f>
        <v>0</v>
      </c>
      <c r="CH526" s="473">
        <f>WWWW[[#This Row],['#_of water points in TLS/CFS /THF]]*500</f>
        <v>0</v>
      </c>
      <c r="CI52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6" s="866">
        <f>IF(WWWW[[#This Row],[Location Type 1]]="Village",WWWW[[#This Row],[Access to safe drinking water for Village]],WWWW[[#This Row],[Access to safe drinking water for Camp]])</f>
        <v>1</v>
      </c>
      <c r="CL526" s="864">
        <f>WWWW[[#This Row],[%Equitable and continuous access to sufficient quantity of safe drinking water]]*WWWW[[#This Row],[Total PoP ]]</f>
        <v>156</v>
      </c>
      <c r="CM526" s="866">
        <f>IF((WWWW[[#This Row],['#_Constructed/Existing protected/fenced ponds]]*250)/WWWW[[#This Row],[Total PoP ]]&gt;1,1,(WWWW[[#This Row],['#_Constructed/Existing protected/fenced ponds]]*250)/WWWW[[#This Row],[Total PoP ]])</f>
        <v>1</v>
      </c>
      <c r="CN526" s="864">
        <f>WWWW[[#This Row],[% Access to unimproved water points]]*WWWW[[#This Row],[Total PoP ]]</f>
        <v>156</v>
      </c>
      <c r="CO52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Q526" s="864">
        <f>WWWW[[#This Row],[HRP1]]/500</f>
        <v>0.312</v>
      </c>
      <c r="CR526" s="869">
        <f>1-WWWW[[#This Row],[% Equitable and continuous access to sufficient quantity of domestic water]]</f>
        <v>0</v>
      </c>
      <c r="CS526" s="864">
        <f>WWWW[[#This Row],[%equitable and continuous access to sufficient quantity of safe drinking and domestic water''s GAP]]*WWWW[[#This Row],[Total PoP ]]</f>
        <v>0</v>
      </c>
      <c r="CT526" s="867">
        <f>IF(WWWW[[#This Row],[Total required water points]]-WWWW[[#This Row],['#Water points coverage]]&lt;0,0,WWWW[[#This Row],[Total required water points]]-WWWW[[#This Row],['#Water points coverage]])</f>
        <v>0.68799999999999994</v>
      </c>
      <c r="CU526" s="867">
        <f>ROUND(IF(WWWW[[#This Row],[Total PoP ]]&lt;500,1,WWWW[[#This Row],[Total PoP ]]/500),0)</f>
        <v>1</v>
      </c>
      <c r="CV526" s="867">
        <f>(WWWW[[#This Row],['#_Constructed latrines_by_WASHAgencies]]+WWWW[[#This Row],['#_Non Cluster partner latrines]])-WWWW[[#This Row],['#_Non-functional latrines]]</f>
        <v>8</v>
      </c>
      <c r="CW526" s="804">
        <f>WWWW[[#This Row],[HRP2]]/WWWW[[#This Row],[Total PoP ]]</f>
        <v>1</v>
      </c>
      <c r="CX52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156</v>
      </c>
      <c r="CY52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6" s="473">
        <f>IF(WWWW[[#This Row],['# of functional latrines in THF supported by WASH partners during the reporting period2]]="",0,WWWW[[#This Row],['# of functional latrines in THF supported by WASH partners during the reporting period2]]*50)</f>
        <v>0</v>
      </c>
      <c r="DB526" s="473">
        <f>WWWW[[#This Row],['# students access to functioning school latrines_HRP5]]+WWWW[[#This Row],['# People access to functioning latrines in THF_HRP5]]</f>
        <v>0</v>
      </c>
      <c r="DC526" s="867">
        <f>ROUND(IF(WWWW[[#This Row],[Location Type 1]]="camp",WWWW[[#This Row],[Total PoP ]]/20,IF(WWWW[[#This Row],[Location Type 1]]="Temporary Location",WWWW[[#This Row],[Total PoP ]]/50,(WWWW[[#This Row],[Total PoP ]]/6))),0)</f>
        <v>8</v>
      </c>
      <c r="DD526" s="867">
        <f>IF(WWWW[[#This Row],[Total required Latrines]]-(WWWW[[#This Row],['#_Constructed latrines_by_WASHAgencies]]+WWWW[[#This Row],['#_Non Cluster partner latrines]])&lt;0,0,WWWW[[#This Row],[Total required Latrines]]-(WWWW[[#This Row],['#_Constructed latrines_by_WASHAgencies]]+WWWW[[#This Row],['#_Non Cluster partner latrines]]))</f>
        <v>0</v>
      </c>
      <c r="DE526" s="869">
        <f>1-WWWW[[#This Row],[% people access to functioning Latrine]]</f>
        <v>0</v>
      </c>
      <c r="DF526" s="868">
        <f>IF(OR(WWWW[[#This Row],['#_Non-functional latrines]]="",WWWW[[#This Row],['#_Non-functional latrines]]=0),0,WWWW[[#This Row],['#_Non-functional latrines]]/(WWWW[[#This Row],['#_Constructed latrines_by_WASHAgencies]]+WWWW[[#This Row],['#_Non Cluster partner latrines]]))</f>
        <v>0</v>
      </c>
      <c r="DG526" s="864">
        <f>IF(500*(WWWW[[#This Row],['#_male hygiene promoters]]+WWWW[[#This Row],['#_female hygiene promoters]])&gt;WWWW[[#This Row],[Total PoP ]],WWWW[[#This Row],[Total PoP ]],500*(WWWW[[#This Row],['#_male hygiene promoters]]+WWWW[[#This Row],['#_female hygiene promoters]]))</f>
        <v>156</v>
      </c>
      <c r="DH52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145</v>
      </c>
      <c r="DI52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6" s="867">
        <f>IF(WWWW[[#This Row],['# People with access to soap]]&gt;WWWW[[#This Row],['# People with access to Sanity Pads]],WWWW[[#This Row],['# People with access to soap]],WWWW[[#This Row],['# People with access to Sanity Pads]])</f>
        <v>145</v>
      </c>
      <c r="DK526" s="867">
        <f>IF(WWWW[[#This Row],['# people reached by regular dedicated hygiene promotion_5]]&gt;WWWW[[#This Row],['# People received regular supply of hygiene items_6]],WWWW[[#This Row],['# people reached by regular dedicated hygiene promotion_5]],WWWW[[#This Row],['# People received regular supply of hygiene items_6]])</f>
        <v>156</v>
      </c>
      <c r="DL526" s="869">
        <f>IF(WWWW[[#This Row],[HRP3]]/WWWW[[#This Row],[Total PoP ]]&gt;1,1,WWWW[[#This Row],[HRP3]]/WWWW[[#This Row],[Total PoP ]])</f>
        <v>1</v>
      </c>
      <c r="DM526" s="868">
        <f>1-WWWW[[#This Row],[Hygiene Coverage%]]</f>
        <v>0</v>
      </c>
      <c r="DN526" s="866">
        <f>WWWW[[#This Row],['# people reached by regular dedicated hygiene promotion_5]]/WWWW[[#This Row],[Total PoP ]]</f>
        <v>1</v>
      </c>
      <c r="DO52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2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6" s="867">
        <f>WWWW[[#This Row],['#_Constructed/Existing hand washing stations]]-WWWW[[#This Row],['#_Non-Functional_hand_washing_stations]]</f>
        <v>4</v>
      </c>
      <c r="DR526" s="864">
        <f>IF(WWWW[[#This Row],['# Functional hand washing stations during reporting period]]*20&gt;WWWW[[#This Row],[Total HH]],WWWW[[#This Row],[Total HH]],WWWW[[#This Row],['# Functional hand washing stations during reporting period]]*20)</f>
        <v>30</v>
      </c>
      <c r="DS526" s="864">
        <f>IF(WWWW[[#This Row],[Is sufficient soap available for TLS? (Yes/No)]]="yes",WWWW[[#This Row],['#_Constructed/Existing hand washing stations at TLS]],0)</f>
        <v>4</v>
      </c>
      <c r="DT526" s="479">
        <f>IF(WWWW[[#This Row],['# Functional hand washing stations during reporting period]]*100&gt;WWWW[[#This Row],[Total PoP ]],WWWW[[#This Row],[Total PoP ]],WWWW[[#This Row],['# Functional hand washing stations during reporting period]]*100)</f>
        <v>156</v>
      </c>
      <c r="DU526" s="479" t="str">
        <f>IF(OR(WWWW[[#This Row],['#_students at TLS_CFS]]="",WWWW[[#This Row],['#_students at TLS_CFS]]=0),"No","Yes")</f>
        <v>No</v>
      </c>
      <c r="DV52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6" s="862" t="str">
        <f>VLOOKUP(WWWW[[#This Row],[Site Name]],SiteDB6[[Site Name]:[CCCM Management]],6,FALSE)</f>
        <v>Yes</v>
      </c>
      <c r="DZ526" s="862" t="str">
        <f>VLOOKUP(WWWW[[#This Row],[Site Name]],SiteDB6[[Site Name]:[CCCM Focal Agency]],7,FALSE)</f>
        <v>KMSS-LSO</v>
      </c>
      <c r="EA526" s="862" t="str">
        <f>VLOOKUP(WWWW[[#This Row],[Site Name]],SiteDB6[[Site Name]:[Location Type 1]],9,FALSE)</f>
        <v>Camp</v>
      </c>
      <c r="EB526" s="862" t="str">
        <f>VLOOKUP(WWWW[[#This Row],[Site Name]],SiteDB6[[Site Name]:[Type of Accommodation]],10,FALSE)</f>
        <v>Camp</v>
      </c>
      <c r="EC526" s="862" t="str">
        <f>VLOOKUP(WWWW[[#This Row],[Site Name]],SiteDB6[[Site Name]:[Ethnic or GCA/NGCA]],11,FALSE)</f>
        <v>GCA</v>
      </c>
      <c r="ED526" s="862">
        <f>VLOOKUP(WWWW[[#This Row],[Site Name]],SiteDB6[[Site Name]:[Lat]],12,FALSE)</f>
        <v>23.24661</v>
      </c>
      <c r="EE526" s="862">
        <f>VLOOKUP(WWWW[[#This Row],[Site Name]],SiteDB6[[Site Name]:[Long]],13,FALSE)</f>
        <v>97.116680000000002</v>
      </c>
      <c r="EF526" s="862" t="str">
        <f>VLOOKUP(WWWW[[#This Row],[Site Name]],SiteDB6[[Site Name]:[Pcode]],3,FALSE)</f>
        <v>MMR015CMP209</v>
      </c>
      <c r="EG526" s="865" t="str">
        <f t="shared" si="15"/>
        <v>Covered</v>
      </c>
      <c r="EH526" s="865" t="str">
        <f>VLOOKUP(WWWW[[#This Row],[Site Name]],Site_DB!$C$389:$D$1120,2,FALSE)</f>
        <v>cccm_2019OCT</v>
      </c>
    </row>
    <row r="527" spans="1:138">
      <c r="A527" s="860" t="s">
        <v>3263</v>
      </c>
      <c r="B527" s="860" t="s">
        <v>3293</v>
      </c>
      <c r="C527" s="861" t="s">
        <v>3293</v>
      </c>
      <c r="D527" s="404" t="s">
        <v>3635</v>
      </c>
      <c r="E527" s="861" t="s">
        <v>711</v>
      </c>
      <c r="F527" s="861" t="s">
        <v>712</v>
      </c>
      <c r="G527" s="721" t="str">
        <f>VLOOKUP(WWWW[[#This Row],[Site Name]],SiteDB6[[Site Name]:[Location Type]],8,FALSE)</f>
        <v>Camp</v>
      </c>
      <c r="H527" s="861" t="s">
        <v>723</v>
      </c>
      <c r="I527" s="851">
        <v>85</v>
      </c>
      <c r="J527" s="851">
        <v>401</v>
      </c>
      <c r="K527" s="717" t="s">
        <v>3638</v>
      </c>
      <c r="L527" s="718" t="s">
        <v>3637</v>
      </c>
      <c r="M527" s="851"/>
      <c r="N527" s="851">
        <v>2</v>
      </c>
      <c r="O527" s="851"/>
      <c r="P527" s="851"/>
      <c r="Q527" s="864" t="s">
        <v>43</v>
      </c>
      <c r="R527" s="851">
        <v>7</v>
      </c>
      <c r="S527" s="851">
        <v>9</v>
      </c>
      <c r="T527" s="523">
        <v>0</v>
      </c>
      <c r="U527" s="851"/>
      <c r="V527" s="851"/>
      <c r="W527" s="851">
        <v>1</v>
      </c>
      <c r="X527" s="851"/>
      <c r="Y527" s="851"/>
      <c r="Z527" s="851"/>
      <c r="AA527" s="851"/>
      <c r="AB527" s="851"/>
      <c r="AC527" s="851"/>
      <c r="AD527" s="851"/>
      <c r="AE527" s="851"/>
      <c r="AF527" s="851"/>
      <c r="AG527" s="851">
        <v>1</v>
      </c>
      <c r="AH527" s="851">
        <v>2</v>
      </c>
      <c r="AI527" s="851"/>
      <c r="AJ527" s="851"/>
      <c r="AK527" s="851"/>
      <c r="AL527" s="851"/>
      <c r="AM527" s="851">
        <v>8</v>
      </c>
      <c r="AN527" s="851"/>
      <c r="AO527" s="865"/>
      <c r="AP527" s="851">
        <v>14</v>
      </c>
      <c r="AQ527" s="851">
        <v>6</v>
      </c>
      <c r="AR527" s="866"/>
      <c r="AS527" s="851"/>
      <c r="AT527" s="851"/>
      <c r="AU527" s="851"/>
      <c r="AV527" s="851"/>
      <c r="AW527" s="851">
        <v>14</v>
      </c>
      <c r="AX527" s="862" t="s">
        <v>43</v>
      </c>
      <c r="AY527" s="865" t="s">
        <v>140</v>
      </c>
      <c r="AZ527" s="851"/>
      <c r="BA527" s="851"/>
      <c r="BB527" s="851"/>
      <c r="BC527" s="523"/>
      <c r="BD527" s="523"/>
      <c r="BE527" s="862"/>
      <c r="BF527" s="851">
        <v>8</v>
      </c>
      <c r="BG527" s="851"/>
      <c r="BH527" s="851">
        <v>0</v>
      </c>
      <c r="BI527" s="851">
        <v>2</v>
      </c>
      <c r="BJ527" s="851"/>
      <c r="BK527" s="851">
        <v>1</v>
      </c>
      <c r="BL527" s="851">
        <v>1</v>
      </c>
      <c r="BM527" s="851"/>
      <c r="BN527" s="851"/>
      <c r="BO527" s="862" t="s">
        <v>43</v>
      </c>
      <c r="BP527" s="867"/>
      <c r="BQ527" s="866"/>
      <c r="BR527" s="862"/>
      <c r="BS527" s="472"/>
      <c r="BT527" s="472"/>
      <c r="BU527" s="474"/>
      <c r="BV527" s="472"/>
      <c r="BW527" s="523"/>
      <c r="BX527" s="523"/>
      <c r="BY527" s="523"/>
      <c r="BZ527" s="868" t="str">
        <f>IFERROR(WWWW[[#This Row],['#_Water sources passed]]/WWWW[[#This Row],['#_Water sources tested for fecal coliform ]],"no test")</f>
        <v>no test</v>
      </c>
      <c r="CA527" s="866" t="str">
        <f>IFERROR(WWWW[[#This Row],['#_Household passed]]/WWWW[[#This Row],['#_Household water samples tested for fecal coliform]],"no test")</f>
        <v>no test</v>
      </c>
      <c r="CB527" s="867" t="str">
        <f>IF(AND(WWWW[[#This Row],[% of water sources passed]]="no test",WWWW[[#This Row],[% Household passed]]="no test"),"No Test","Tested")</f>
        <v>No Test</v>
      </c>
      <c r="CC527" s="867">
        <f>WWWW[[#This Row],['#_Constructed/existing protected hand dug well]]-WWWW[[#This Row],['#_Non-functional protected hand dug well]]</f>
        <v>0</v>
      </c>
      <c r="CD527" s="867">
        <f>(WWWW[[#This Row],['#_Constructed/Existing tube wells/boreholes/handpumps_WASH_agency]]+WWWW[[#This Row],['#_Non-Cluster partner water tube-wells/boreholes/handpumps]])-WWWW[[#This Row],['#_Non-functional tube wells/boreholes/handpumps]]</f>
        <v>1</v>
      </c>
      <c r="CE527" s="867">
        <f>WWWW[[#This Row],['#_Constructed/Existingwater storage tank with gravity fed reticulation system]]-WWWW[[#This Row],['#_Non-functional storage tank gravity fed reticulation system]]</f>
        <v>0</v>
      </c>
      <c r="CF527" s="867">
        <f>(WWWW[[#This Row],['#_Water_Liters_supplied_by_Water boating or water trucking]]/90)/15</f>
        <v>0</v>
      </c>
      <c r="CG527" s="867">
        <f>WWWW[[#This Row],['#_Water_Liters_from_Constructed/Existing water distribution system from river or natural spring]]/90/15</f>
        <v>0</v>
      </c>
      <c r="CH527" s="473">
        <f>WWWW[[#This Row],['#_of water points in TLS/CFS /THF]]*500</f>
        <v>0</v>
      </c>
      <c r="CI52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0.62344139650872821</v>
      </c>
      <c r="CK527" s="866">
        <f>IF(WWWW[[#This Row],[Location Type 1]]="Village",WWWW[[#This Row],[Access to safe drinking water for Village]],WWWW[[#This Row],[Access to safe drinking water for Camp]])</f>
        <v>1</v>
      </c>
      <c r="CL527" s="864">
        <f>WWWW[[#This Row],[%Equitable and continuous access to sufficient quantity of safe drinking water]]*WWWW[[#This Row],[Total PoP ]]</f>
        <v>401</v>
      </c>
      <c r="CM527" s="866">
        <f>IF((WWWW[[#This Row],['#_Constructed/Existing protected/fenced ponds]]*250)/WWWW[[#This Row],[Total PoP ]]&gt;1,1,(WWWW[[#This Row],['#_Constructed/Existing protected/fenced ponds]]*250)/WWWW[[#This Row],[Total PoP ]])</f>
        <v>0</v>
      </c>
      <c r="CN527" s="864">
        <f>WWWW[[#This Row],[% Access to unimproved water points]]*WWWW[[#This Row],[Total PoP ]]</f>
        <v>0</v>
      </c>
      <c r="CO52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401</v>
      </c>
      <c r="CQ527" s="864">
        <f>WWWW[[#This Row],[HRP1]]/500</f>
        <v>0.80200000000000005</v>
      </c>
      <c r="CR527" s="869">
        <f>1-WWWW[[#This Row],[% Equitable and continuous access to sufficient quantity of domestic water]]</f>
        <v>0</v>
      </c>
      <c r="CS527" s="864">
        <f>WWWW[[#This Row],[%equitable and continuous access to sufficient quantity of safe drinking and domestic water''s GAP]]*WWWW[[#This Row],[Total PoP ]]</f>
        <v>0</v>
      </c>
      <c r="CT527" s="867">
        <f>IF(WWWW[[#This Row],[Total required water points]]-WWWW[[#This Row],['#Water points coverage]]&lt;0,0,WWWW[[#This Row],[Total required water points]]-WWWW[[#This Row],['#Water points coverage]])</f>
        <v>0.19799999999999995</v>
      </c>
      <c r="CU527" s="867">
        <f>ROUND(IF(WWWW[[#This Row],[Total PoP ]]&lt;500,1,WWWW[[#This Row],[Total PoP ]]/500),0)</f>
        <v>1</v>
      </c>
      <c r="CV527" s="867">
        <f>(WWWW[[#This Row],['#_Constructed latrines_by_WASHAgencies]]+WWWW[[#This Row],['#_Non Cluster partner latrines]])-WWWW[[#This Row],['#_Non-functional latrines]]</f>
        <v>20</v>
      </c>
      <c r="CW527" s="804">
        <f>WWWW[[#This Row],[HRP2]]/WWWW[[#This Row],[Total PoP ]]</f>
        <v>0.99750623441396513</v>
      </c>
      <c r="CX52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400</v>
      </c>
      <c r="CY52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7" s="473">
        <f>IF(WWWW[[#This Row],['# of functional latrines in THF supported by WASH partners during the reporting period2]]="",0,WWWW[[#This Row],['# of functional latrines in THF supported by WASH partners during the reporting period2]]*50)</f>
        <v>0</v>
      </c>
      <c r="DB527" s="473">
        <f>WWWW[[#This Row],['# students access to functioning school latrines_HRP5]]+WWWW[[#This Row],['# People access to functioning latrines in THF_HRP5]]</f>
        <v>0</v>
      </c>
      <c r="DC527" s="867">
        <f>ROUND(IF(WWWW[[#This Row],[Location Type 1]]="camp",WWWW[[#This Row],[Total PoP ]]/20,IF(WWWW[[#This Row],[Location Type 1]]="Temporary Location",WWWW[[#This Row],[Total PoP ]]/50,(WWWW[[#This Row],[Total PoP ]]/6))),0)</f>
        <v>20</v>
      </c>
      <c r="DD527" s="867">
        <f>IF(WWWW[[#This Row],[Total required Latrines]]-(WWWW[[#This Row],['#_Constructed latrines_by_WASHAgencies]]+WWWW[[#This Row],['#_Non Cluster partner latrines]])&lt;0,0,WWWW[[#This Row],[Total required Latrines]]-(WWWW[[#This Row],['#_Constructed latrines_by_WASHAgencies]]+WWWW[[#This Row],['#_Non Cluster partner latrines]]))</f>
        <v>0</v>
      </c>
      <c r="DE527" s="869">
        <f>1-WWWW[[#This Row],[% people access to functioning Latrine]]</f>
        <v>2.4937655860348684E-3</v>
      </c>
      <c r="DF527" s="868">
        <f>IF(OR(WWWW[[#This Row],['#_Non-functional latrines]]="",WWWW[[#This Row],['#_Non-functional latrines]]=0),0,WWWW[[#This Row],['#_Non-functional latrines]]/(WWWW[[#This Row],['#_Constructed latrines_by_WASHAgencies]]+WWWW[[#This Row],['#_Non Cluster partner latrines]]))</f>
        <v>0</v>
      </c>
      <c r="DG527" s="864">
        <f>IF(500*(WWWW[[#This Row],['#_male hygiene promoters]]+WWWW[[#This Row],['#_female hygiene promoters]])&gt;WWWW[[#This Row],[Total PoP ]],WWWW[[#This Row],[Total PoP ]],500*(WWWW[[#This Row],['#_male hygiene promoters]]+WWWW[[#This Row],['#_female hygiene promoters]]))</f>
        <v>401</v>
      </c>
      <c r="DH52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7" s="867">
        <f>IF(WWWW[[#This Row],['# People with access to soap]]&gt;WWWW[[#This Row],['# People with access to Sanity Pads]],WWWW[[#This Row],['# People with access to soap]],WWWW[[#This Row],['# People with access to Sanity Pads]])</f>
        <v>0</v>
      </c>
      <c r="DK527" s="867">
        <f>IF(WWWW[[#This Row],['# people reached by regular dedicated hygiene promotion_5]]&gt;WWWW[[#This Row],['# People received regular supply of hygiene items_6]],WWWW[[#This Row],['# people reached by regular dedicated hygiene promotion_5]],WWWW[[#This Row],['# People received regular supply of hygiene items_6]])</f>
        <v>401</v>
      </c>
      <c r="DL527" s="869">
        <f>IF(WWWW[[#This Row],[HRP3]]/WWWW[[#This Row],[Total PoP ]]&gt;1,1,WWWW[[#This Row],[HRP3]]/WWWW[[#This Row],[Total PoP ]])</f>
        <v>1</v>
      </c>
      <c r="DM527" s="868">
        <f>1-WWWW[[#This Row],[Hygiene Coverage%]]</f>
        <v>0</v>
      </c>
      <c r="DN527" s="866">
        <f>WWWW[[#This Row],['# people reached by regular dedicated hygiene promotion_5]]/WWWW[[#This Row],[Total PoP ]]</f>
        <v>1</v>
      </c>
      <c r="DO52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7" s="867">
        <f>WWWW[[#This Row],['#_Constructed/Existing hand washing stations]]-WWWW[[#This Row],['#_Non-Functional_hand_washing_stations]]</f>
        <v>8</v>
      </c>
      <c r="DR527" s="864">
        <f>IF(WWWW[[#This Row],['# Functional hand washing stations during reporting period]]*20&gt;WWWW[[#This Row],[Total HH]],WWWW[[#This Row],[Total HH]],WWWW[[#This Row],['# Functional hand washing stations during reporting period]]*20)</f>
        <v>85</v>
      </c>
      <c r="DS527" s="864">
        <f>IF(WWWW[[#This Row],[Is sufficient soap available for TLS? (Yes/No)]]="yes",WWWW[[#This Row],['#_Constructed/Existing hand washing stations at TLS]],0)</f>
        <v>8</v>
      </c>
      <c r="DT527" s="479">
        <f>IF(WWWW[[#This Row],['# Functional hand washing stations during reporting period]]*100&gt;WWWW[[#This Row],[Total PoP ]],WWWW[[#This Row],[Total PoP ]],WWWW[[#This Row],['# Functional hand washing stations during reporting period]]*100)</f>
        <v>401</v>
      </c>
      <c r="DU527" s="479" t="str">
        <f>IF(OR(WWWW[[#This Row],['#_students at TLS_CFS]]="",WWWW[[#This Row],['#_students at TLS_CFS]]=0),"No","Yes")</f>
        <v>No</v>
      </c>
      <c r="DV52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7" s="862" t="str">
        <f>VLOOKUP(WWWW[[#This Row],[Site Name]],SiteDB6[[Site Name]:[CCCM Management]],6,FALSE)</f>
        <v>Yes</v>
      </c>
      <c r="DZ527" s="862" t="str">
        <f>VLOOKUP(WWWW[[#This Row],[Site Name]],SiteDB6[[Site Name]:[CCCM Focal Agency]],7,FALSE)</f>
        <v>KBC-NSS</v>
      </c>
      <c r="EA527" s="862" t="str">
        <f>VLOOKUP(WWWW[[#This Row],[Site Name]],SiteDB6[[Site Name]:[Location Type 1]],9,FALSE)</f>
        <v>Camp</v>
      </c>
      <c r="EB527" s="862" t="str">
        <f>VLOOKUP(WWWW[[#This Row],[Site Name]],SiteDB6[[Site Name]:[Type of Accommodation]],10,FALSE)</f>
        <v>Camp</v>
      </c>
      <c r="EC527" s="862" t="str">
        <f>VLOOKUP(WWWW[[#This Row],[Site Name]],SiteDB6[[Site Name]:[Ethnic or GCA/NGCA]],11,FALSE)</f>
        <v>GCA</v>
      </c>
      <c r="ED527" s="862">
        <f>VLOOKUP(WWWW[[#This Row],[Site Name]],SiteDB6[[Site Name]:[Lat]],12,FALSE)</f>
        <v>23.821380000000001</v>
      </c>
      <c r="EE527" s="862">
        <f>VLOOKUP(WWWW[[#This Row],[Site Name]],SiteDB6[[Site Name]:[Long]],13,FALSE)</f>
        <v>97.681970000000007</v>
      </c>
      <c r="EF527" s="862" t="str">
        <f>VLOOKUP(WWWW[[#This Row],[Site Name]],SiteDB6[[Site Name]:[Pcode]],3,FALSE)</f>
        <v>MMR015CMP004</v>
      </c>
      <c r="EG527" s="865" t="str">
        <f t="shared" si="15"/>
        <v>Covered</v>
      </c>
      <c r="EH527" s="865" t="str">
        <f>VLOOKUP(WWWW[[#This Row],[Site Name]],Site_DB!$C$389:$D$1120,2,FALSE)</f>
        <v>cccm_2019OCT</v>
      </c>
    </row>
    <row r="528" spans="1:138">
      <c r="A528" s="860" t="s">
        <v>3263</v>
      </c>
      <c r="B528" s="860" t="s">
        <v>3293</v>
      </c>
      <c r="C528" s="861" t="s">
        <v>3293</v>
      </c>
      <c r="D528" s="404" t="s">
        <v>3635</v>
      </c>
      <c r="E528" s="861" t="s">
        <v>711</v>
      </c>
      <c r="F528" s="861" t="s">
        <v>712</v>
      </c>
      <c r="G528" s="721" t="str">
        <f>VLOOKUP(WWWW[[#This Row],[Site Name]],SiteDB6[[Site Name]:[Location Type]],8,FALSE)</f>
        <v>Camp</v>
      </c>
      <c r="H528" s="861" t="s">
        <v>713</v>
      </c>
      <c r="I528" s="851">
        <v>43</v>
      </c>
      <c r="J528" s="851">
        <v>212</v>
      </c>
      <c r="K528" s="717" t="s">
        <v>3638</v>
      </c>
      <c r="L528" s="718" t="s">
        <v>3637</v>
      </c>
      <c r="M528" s="851"/>
      <c r="N528" s="851">
        <v>2</v>
      </c>
      <c r="O528" s="851"/>
      <c r="P528" s="851"/>
      <c r="Q528" s="864" t="s">
        <v>43</v>
      </c>
      <c r="R528" s="851">
        <v>3</v>
      </c>
      <c r="S528" s="851">
        <v>9</v>
      </c>
      <c r="T528" s="523">
        <v>1</v>
      </c>
      <c r="U528" s="851"/>
      <c r="V528" s="851"/>
      <c r="W528" s="851">
        <v>2</v>
      </c>
      <c r="X528" s="851"/>
      <c r="Y528" s="851"/>
      <c r="Z528" s="851"/>
      <c r="AA528" s="851"/>
      <c r="AB528" s="851"/>
      <c r="AC528" s="851"/>
      <c r="AD528" s="851"/>
      <c r="AE528" s="851">
        <v>1</v>
      </c>
      <c r="AF528" s="851"/>
      <c r="AG528" s="851">
        <v>1</v>
      </c>
      <c r="AH528" s="851">
        <v>2</v>
      </c>
      <c r="AI528" s="851"/>
      <c r="AJ528" s="851"/>
      <c r="AK528" s="851"/>
      <c r="AL528" s="851"/>
      <c r="AM528" s="851">
        <v>3</v>
      </c>
      <c r="AN528" s="851"/>
      <c r="AO528" s="865"/>
      <c r="AP528" s="851">
        <v>14</v>
      </c>
      <c r="AQ528" s="851"/>
      <c r="AR528" s="866"/>
      <c r="AS528" s="851"/>
      <c r="AT528" s="851"/>
      <c r="AU528" s="851"/>
      <c r="AV528" s="851"/>
      <c r="AW528" s="851">
        <v>14</v>
      </c>
      <c r="AX528" s="862" t="s">
        <v>43</v>
      </c>
      <c r="AY528" s="865" t="s">
        <v>140</v>
      </c>
      <c r="AZ528" s="851"/>
      <c r="BA528" s="851"/>
      <c r="BB528" s="851"/>
      <c r="BC528" s="523"/>
      <c r="BD528" s="523"/>
      <c r="BE528" s="862"/>
      <c r="BF528" s="851">
        <v>3</v>
      </c>
      <c r="BG528" s="851"/>
      <c r="BH528" s="851">
        <v>0</v>
      </c>
      <c r="BI528" s="851">
        <v>2</v>
      </c>
      <c r="BJ528" s="851"/>
      <c r="BK528" s="851">
        <v>1</v>
      </c>
      <c r="BL528" s="851">
        <v>1</v>
      </c>
      <c r="BM528" s="851"/>
      <c r="BN528" s="851"/>
      <c r="BO528" s="862" t="s">
        <v>43</v>
      </c>
      <c r="BP528" s="867"/>
      <c r="BQ528" s="866"/>
      <c r="BR528" s="862"/>
      <c r="BS528" s="472"/>
      <c r="BT528" s="472"/>
      <c r="BU528" s="474"/>
      <c r="BV528" s="472"/>
      <c r="BW528" s="523"/>
      <c r="BX528" s="523"/>
      <c r="BY528" s="523"/>
      <c r="BZ528" s="868" t="str">
        <f>IFERROR(WWWW[[#This Row],['#_Water sources passed]]/WWWW[[#This Row],['#_Water sources tested for fecal coliform ]],"no test")</f>
        <v>no test</v>
      </c>
      <c r="CA528" s="866" t="str">
        <f>IFERROR(WWWW[[#This Row],['#_Household passed]]/WWWW[[#This Row],['#_Household water samples tested for fecal coliform]],"no test")</f>
        <v>no test</v>
      </c>
      <c r="CB528" s="867" t="str">
        <f>IF(AND(WWWW[[#This Row],[% of water sources passed]]="no test",WWWW[[#This Row],[% Household passed]]="no test"),"No Test","Tested")</f>
        <v>No Test</v>
      </c>
      <c r="CC528" s="867">
        <f>WWWW[[#This Row],['#_Constructed/existing protected hand dug well]]-WWWW[[#This Row],['#_Non-functional protected hand dug well]]</f>
        <v>1</v>
      </c>
      <c r="CD528" s="867">
        <f>(WWWW[[#This Row],['#_Constructed/Existing tube wells/boreholes/handpumps_WASH_agency]]+WWWW[[#This Row],['#_Non-Cluster partner water tube-wells/boreholes/handpumps]])-WWWW[[#This Row],['#_Non-functional tube wells/boreholes/handpumps]]</f>
        <v>2</v>
      </c>
      <c r="CE528" s="867">
        <f>WWWW[[#This Row],['#_Constructed/Existingwater storage tank with gravity fed reticulation system]]-WWWW[[#This Row],['#_Non-functional storage tank gravity fed reticulation system]]</f>
        <v>0</v>
      </c>
      <c r="CF528" s="867">
        <f>(WWWW[[#This Row],['#_Water_Liters_supplied_by_Water boating or water trucking]]/90)/15</f>
        <v>0</v>
      </c>
      <c r="CG528" s="867">
        <f>WWWW[[#This Row],['#_Water_Liters_from_Constructed/Existing water distribution system from river or natural spring]]/90/15</f>
        <v>0</v>
      </c>
      <c r="CH528" s="473">
        <f>WWWW[[#This Row],['#_of water points in TLS/CFS /THF]]*500</f>
        <v>0</v>
      </c>
      <c r="CI52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2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28" s="866">
        <f>IF(WWWW[[#This Row],[Location Type 1]]="Village",WWWW[[#This Row],[Access to safe drinking water for Village]],WWWW[[#This Row],[Access to safe drinking water for Camp]])</f>
        <v>1</v>
      </c>
      <c r="CL528" s="864">
        <f>WWWW[[#This Row],[%Equitable and continuous access to sufficient quantity of safe drinking water]]*WWWW[[#This Row],[Total PoP ]]</f>
        <v>212</v>
      </c>
      <c r="CM528" s="866">
        <f>IF((WWWW[[#This Row],['#_Constructed/Existing protected/fenced ponds]]*250)/WWWW[[#This Row],[Total PoP ]]&gt;1,1,(WWWW[[#This Row],['#_Constructed/Existing protected/fenced ponds]]*250)/WWWW[[#This Row],[Total PoP ]])</f>
        <v>1</v>
      </c>
      <c r="CN528" s="864">
        <f>WWWW[[#This Row],[% Access to unimproved water points]]*WWWW[[#This Row],[Total PoP ]]</f>
        <v>212</v>
      </c>
      <c r="CO52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2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Q528" s="864">
        <f>WWWW[[#This Row],[HRP1]]/500</f>
        <v>0.42399999999999999</v>
      </c>
      <c r="CR528" s="869">
        <f>1-WWWW[[#This Row],[% Equitable and continuous access to sufficient quantity of domestic water]]</f>
        <v>0</v>
      </c>
      <c r="CS528" s="864">
        <f>WWWW[[#This Row],[%equitable and continuous access to sufficient quantity of safe drinking and domestic water''s GAP]]*WWWW[[#This Row],[Total PoP ]]</f>
        <v>0</v>
      </c>
      <c r="CT528" s="867">
        <f>IF(WWWW[[#This Row],[Total required water points]]-WWWW[[#This Row],['#Water points coverage]]&lt;0,0,WWWW[[#This Row],[Total required water points]]-WWWW[[#This Row],['#Water points coverage]])</f>
        <v>0.57600000000000007</v>
      </c>
      <c r="CU528" s="867">
        <f>ROUND(IF(WWWW[[#This Row],[Total PoP ]]&lt;500,1,WWWW[[#This Row],[Total PoP ]]/500),0)</f>
        <v>1</v>
      </c>
      <c r="CV528" s="867">
        <f>(WWWW[[#This Row],['#_Constructed latrines_by_WASHAgencies]]+WWWW[[#This Row],['#_Non Cluster partner latrines]])-WWWW[[#This Row],['#_Non-functional latrines]]</f>
        <v>14</v>
      </c>
      <c r="CW528" s="804">
        <f>WWWW[[#This Row],[HRP2]]/WWWW[[#This Row],[Total PoP ]]</f>
        <v>1</v>
      </c>
      <c r="CX52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212</v>
      </c>
      <c r="CY52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8" s="473">
        <f>IF(WWWW[[#This Row],['# of functional latrines in THF supported by WASH partners during the reporting period2]]="",0,WWWW[[#This Row],['# of functional latrines in THF supported by WASH partners during the reporting period2]]*50)</f>
        <v>0</v>
      </c>
      <c r="DB528" s="473">
        <f>WWWW[[#This Row],['# students access to functioning school latrines_HRP5]]+WWWW[[#This Row],['# People access to functioning latrines in THF_HRP5]]</f>
        <v>0</v>
      </c>
      <c r="DC528" s="867">
        <f>ROUND(IF(WWWW[[#This Row],[Location Type 1]]="camp",WWWW[[#This Row],[Total PoP ]]/20,IF(WWWW[[#This Row],[Location Type 1]]="Temporary Location",WWWW[[#This Row],[Total PoP ]]/50,(WWWW[[#This Row],[Total PoP ]]/6))),0)</f>
        <v>11</v>
      </c>
      <c r="DD528" s="867">
        <f>IF(WWWW[[#This Row],[Total required Latrines]]-(WWWW[[#This Row],['#_Constructed latrines_by_WASHAgencies]]+WWWW[[#This Row],['#_Non Cluster partner latrines]])&lt;0,0,WWWW[[#This Row],[Total required Latrines]]-(WWWW[[#This Row],['#_Constructed latrines_by_WASHAgencies]]+WWWW[[#This Row],['#_Non Cluster partner latrines]]))</f>
        <v>0</v>
      </c>
      <c r="DE528" s="869">
        <f>1-WWWW[[#This Row],[% people access to functioning Latrine]]</f>
        <v>0</v>
      </c>
      <c r="DF528" s="868">
        <f>IF(OR(WWWW[[#This Row],['#_Non-functional latrines]]="",WWWW[[#This Row],['#_Non-functional latrines]]=0),0,WWWW[[#This Row],['#_Non-functional latrines]]/(WWWW[[#This Row],['#_Constructed latrines_by_WASHAgencies]]+WWWW[[#This Row],['#_Non Cluster partner latrines]]))</f>
        <v>0</v>
      </c>
      <c r="DG528" s="864">
        <f>IF(500*(WWWW[[#This Row],['#_male hygiene promoters]]+WWWW[[#This Row],['#_female hygiene promoters]])&gt;WWWW[[#This Row],[Total PoP ]],WWWW[[#This Row],[Total PoP ]],500*(WWWW[[#This Row],['#_male hygiene promoters]]+WWWW[[#This Row],['#_female hygiene promoters]]))</f>
        <v>212</v>
      </c>
      <c r="DH52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8" s="867">
        <f>IF(WWWW[[#This Row],['# People with access to soap]]&gt;WWWW[[#This Row],['# People with access to Sanity Pads]],WWWW[[#This Row],['# People with access to soap]],WWWW[[#This Row],['# People with access to Sanity Pads]])</f>
        <v>0</v>
      </c>
      <c r="DK528" s="867">
        <f>IF(WWWW[[#This Row],['# people reached by regular dedicated hygiene promotion_5]]&gt;WWWW[[#This Row],['# People received regular supply of hygiene items_6]],WWWW[[#This Row],['# people reached by regular dedicated hygiene promotion_5]],WWWW[[#This Row],['# People received regular supply of hygiene items_6]])</f>
        <v>212</v>
      </c>
      <c r="DL528" s="869">
        <f>IF(WWWW[[#This Row],[HRP3]]/WWWW[[#This Row],[Total PoP ]]&gt;1,1,WWWW[[#This Row],[HRP3]]/WWWW[[#This Row],[Total PoP ]])</f>
        <v>1</v>
      </c>
      <c r="DM528" s="868">
        <f>1-WWWW[[#This Row],[Hygiene Coverage%]]</f>
        <v>0</v>
      </c>
      <c r="DN528" s="866">
        <f>WWWW[[#This Row],['# people reached by regular dedicated hygiene promotion_5]]/WWWW[[#This Row],[Total PoP ]]</f>
        <v>1</v>
      </c>
      <c r="DO52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8" s="867">
        <f>WWWW[[#This Row],['#_Constructed/Existing hand washing stations]]-WWWW[[#This Row],['#_Non-Functional_hand_washing_stations]]</f>
        <v>3</v>
      </c>
      <c r="DR528" s="864">
        <f>IF(WWWW[[#This Row],['# Functional hand washing stations during reporting period]]*20&gt;WWWW[[#This Row],[Total HH]],WWWW[[#This Row],[Total HH]],WWWW[[#This Row],['# Functional hand washing stations during reporting period]]*20)</f>
        <v>43</v>
      </c>
      <c r="DS528" s="864">
        <f>IF(WWWW[[#This Row],[Is sufficient soap available for TLS? (Yes/No)]]="yes",WWWW[[#This Row],['#_Constructed/Existing hand washing stations at TLS]],0)</f>
        <v>3</v>
      </c>
      <c r="DT528" s="479">
        <f>IF(WWWW[[#This Row],['# Functional hand washing stations during reporting period]]*100&gt;WWWW[[#This Row],[Total PoP ]],WWWW[[#This Row],[Total PoP ]],WWWW[[#This Row],['# Functional hand washing stations during reporting period]]*100)</f>
        <v>212</v>
      </c>
      <c r="DU528" s="479" t="str">
        <f>IF(OR(WWWW[[#This Row],['#_students at TLS_CFS]]="",WWWW[[#This Row],['#_students at TLS_CFS]]=0),"No","Yes")</f>
        <v>No</v>
      </c>
      <c r="DV52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8" s="862" t="str">
        <f>VLOOKUP(WWWW[[#This Row],[Site Name]],SiteDB6[[Site Name]:[CCCM Management]],6,FALSE)</f>
        <v>Yes</v>
      </c>
      <c r="DZ528" s="862" t="str">
        <f>VLOOKUP(WWWW[[#This Row],[Site Name]],SiteDB6[[Site Name]:[CCCM Focal Agency]],7,FALSE)</f>
        <v>KMSS-LSO</v>
      </c>
      <c r="EA528" s="862" t="str">
        <f>VLOOKUP(WWWW[[#This Row],[Site Name]],SiteDB6[[Site Name]:[Location Type 1]],9,FALSE)</f>
        <v>Camp</v>
      </c>
      <c r="EB528" s="862" t="str">
        <f>VLOOKUP(WWWW[[#This Row],[Site Name]],SiteDB6[[Site Name]:[Type of Accommodation]],10,FALSE)</f>
        <v>Camp</v>
      </c>
      <c r="EC528" s="862" t="str">
        <f>VLOOKUP(WWWW[[#This Row],[Site Name]],SiteDB6[[Site Name]:[Ethnic or GCA/NGCA]],11,FALSE)</f>
        <v>GCA</v>
      </c>
      <c r="ED528" s="862">
        <f>VLOOKUP(WWWW[[#This Row],[Site Name]],SiteDB6[[Site Name]:[Lat]],12,FALSE)</f>
        <v>23.828150000000001</v>
      </c>
      <c r="EE528" s="862">
        <f>VLOOKUP(WWWW[[#This Row],[Site Name]],SiteDB6[[Site Name]:[Long]],13,FALSE)</f>
        <v>97.670360000000002</v>
      </c>
      <c r="EF528" s="862" t="str">
        <f>VLOOKUP(WWWW[[#This Row],[Site Name]],SiteDB6[[Site Name]:[Pcode]],3,FALSE)</f>
        <v>MMR015CMP003</v>
      </c>
      <c r="EG528" s="865" t="str">
        <f t="shared" si="15"/>
        <v>Covered</v>
      </c>
      <c r="EH528" s="865" t="e">
        <f>VLOOKUP(WWWW[[#This Row],[Site Name]],Site_DB!$C$389:$D$1120,2,FALSE)</f>
        <v>#N/A</v>
      </c>
    </row>
    <row r="529" spans="1:138">
      <c r="A529" s="860" t="s">
        <v>3263</v>
      </c>
      <c r="B529" s="860" t="s">
        <v>312</v>
      </c>
      <c r="C529" s="861" t="s">
        <v>312</v>
      </c>
      <c r="D529" s="861"/>
      <c r="E529" s="861" t="s">
        <v>39</v>
      </c>
      <c r="F529" s="861" t="s">
        <v>198</v>
      </c>
      <c r="G529" s="721" t="str">
        <f>VLOOKUP(WWWW[[#This Row],[Site Name]],SiteDB6[[Site Name]:[Location Type]],8,FALSE)</f>
        <v>Camp</v>
      </c>
      <c r="H529" s="861" t="s">
        <v>1018</v>
      </c>
      <c r="I529" s="851">
        <v>190</v>
      </c>
      <c r="J529" s="851">
        <v>928</v>
      </c>
      <c r="K529" s="863"/>
      <c r="L529" s="859"/>
      <c r="M529" s="851"/>
      <c r="N529" s="851"/>
      <c r="O529" s="851"/>
      <c r="P529" s="851"/>
      <c r="Q529" s="864"/>
      <c r="R529" s="851"/>
      <c r="S529" s="851">
        <v>4</v>
      </c>
      <c r="T529" s="523"/>
      <c r="U529" s="851"/>
      <c r="V529" s="851"/>
      <c r="W529" s="851"/>
      <c r="X529" s="851"/>
      <c r="Y529" s="851"/>
      <c r="Z529" s="851"/>
      <c r="AA529" s="851"/>
      <c r="AB529" s="851"/>
      <c r="AC529" s="851"/>
      <c r="AD529" s="851"/>
      <c r="AE529" s="851"/>
      <c r="AF529" s="851"/>
      <c r="AG529" s="851"/>
      <c r="AH529" s="851"/>
      <c r="AI529" s="851"/>
      <c r="AJ529" s="851"/>
      <c r="AK529" s="851"/>
      <c r="AL529" s="851"/>
      <c r="AM529" s="851"/>
      <c r="AN529" s="851"/>
      <c r="AO529" s="865"/>
      <c r="AP529" s="851"/>
      <c r="AQ529" s="851"/>
      <c r="AR529" s="866"/>
      <c r="AS529" s="851"/>
      <c r="AT529" s="851"/>
      <c r="AU529" s="851"/>
      <c r="AV529" s="851"/>
      <c r="AW529" s="851"/>
      <c r="AX529" s="862"/>
      <c r="AY529" s="865"/>
      <c r="AZ529" s="851"/>
      <c r="BA529" s="851"/>
      <c r="BB529" s="851"/>
      <c r="BC529" s="523"/>
      <c r="BD529" s="523"/>
      <c r="BE529" s="862"/>
      <c r="BF529" s="851"/>
      <c r="BG529" s="851"/>
      <c r="BH529" s="851"/>
      <c r="BI529" s="851"/>
      <c r="BJ529" s="851"/>
      <c r="BK529" s="851"/>
      <c r="BL529" s="851"/>
      <c r="BM529" s="851"/>
      <c r="BN529" s="851"/>
      <c r="BO529" s="862"/>
      <c r="BP529" s="867"/>
      <c r="BQ529" s="866"/>
      <c r="BR529" s="862"/>
      <c r="BS529" s="472"/>
      <c r="BT529" s="472"/>
      <c r="BU529" s="474"/>
      <c r="BV529" s="472"/>
      <c r="BW529" s="523"/>
      <c r="BX529" s="523"/>
      <c r="BY529" s="523"/>
      <c r="BZ529" s="868" t="str">
        <f>IFERROR(WWWW[[#This Row],['#_Water sources passed]]/WWWW[[#This Row],['#_Water sources tested for fecal coliform ]],"no test")</f>
        <v>no test</v>
      </c>
      <c r="CA529" s="866" t="str">
        <f>IFERROR(WWWW[[#This Row],['#_Household passed]]/WWWW[[#This Row],['#_Household water samples tested for fecal coliform]],"no test")</f>
        <v>no test</v>
      </c>
      <c r="CB529" s="867" t="str">
        <f>IF(AND(WWWW[[#This Row],[% of water sources passed]]="no test",WWWW[[#This Row],[% Household passed]]="no test"),"No Test","Tested")</f>
        <v>No Test</v>
      </c>
      <c r="CC529" s="867">
        <f>WWWW[[#This Row],['#_Constructed/existing protected hand dug well]]-WWWW[[#This Row],['#_Non-functional protected hand dug well]]</f>
        <v>0</v>
      </c>
      <c r="CD529" s="867">
        <f>(WWWW[[#This Row],['#_Constructed/Existing tube wells/boreholes/handpumps_WASH_agency]]+WWWW[[#This Row],['#_Non-Cluster partner water tube-wells/boreholes/handpumps]])-WWWW[[#This Row],['#_Non-functional tube wells/boreholes/handpumps]]</f>
        <v>0</v>
      </c>
      <c r="CE529" s="867">
        <f>WWWW[[#This Row],['#_Constructed/Existingwater storage tank with gravity fed reticulation system]]-WWWW[[#This Row],['#_Non-functional storage tank gravity fed reticulation system]]</f>
        <v>0</v>
      </c>
      <c r="CF529" s="867">
        <f>(WWWW[[#This Row],['#_Water_Liters_supplied_by_Water boating or water trucking]]/90)/15</f>
        <v>0</v>
      </c>
      <c r="CG529" s="867">
        <f>WWWW[[#This Row],['#_Water_Liters_from_Constructed/Existing water distribution system from river or natural spring]]/90/15</f>
        <v>0</v>
      </c>
      <c r="CH529" s="473">
        <f>WWWW[[#This Row],['#_of water points in TLS/CFS /THF]]*500</f>
        <v>0</v>
      </c>
      <c r="CI52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2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29" s="866">
        <f>IF(WWWW[[#This Row],[Location Type 1]]="Village",WWWW[[#This Row],[Access to safe drinking water for Village]],WWWW[[#This Row],[Access to safe drinking water for Camp]])</f>
        <v>0</v>
      </c>
      <c r="CL529" s="864">
        <f>WWWW[[#This Row],[%Equitable and continuous access to sufficient quantity of safe drinking water]]*WWWW[[#This Row],[Total PoP ]]</f>
        <v>0</v>
      </c>
      <c r="CM529" s="866">
        <f>IF((WWWW[[#This Row],['#_Constructed/Existing protected/fenced ponds]]*250)/WWWW[[#This Row],[Total PoP ]]&gt;1,1,(WWWW[[#This Row],['#_Constructed/Existing protected/fenced ponds]]*250)/WWWW[[#This Row],[Total PoP ]])</f>
        <v>0</v>
      </c>
      <c r="CN529" s="864">
        <f>WWWW[[#This Row],[% Access to unimproved water points]]*WWWW[[#This Row],[Total PoP ]]</f>
        <v>0</v>
      </c>
      <c r="CO52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2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29" s="864">
        <f>WWWW[[#This Row],[HRP1]]/500</f>
        <v>0</v>
      </c>
      <c r="CR529" s="869">
        <f>1-WWWW[[#This Row],[% Equitable and continuous access to sufficient quantity of domestic water]]</f>
        <v>1</v>
      </c>
      <c r="CS529" s="864">
        <f>WWWW[[#This Row],[%equitable and continuous access to sufficient quantity of safe drinking and domestic water''s GAP]]*WWWW[[#This Row],[Total PoP ]]</f>
        <v>928</v>
      </c>
      <c r="CT529" s="867">
        <f>IF(WWWW[[#This Row],[Total required water points]]-WWWW[[#This Row],['#Water points coverage]]&lt;0,0,WWWW[[#This Row],[Total required water points]]-WWWW[[#This Row],['#Water points coverage]])</f>
        <v>2</v>
      </c>
      <c r="CU529" s="867">
        <f>ROUND(IF(WWWW[[#This Row],[Total PoP ]]&lt;500,1,WWWW[[#This Row],[Total PoP ]]/500),0)</f>
        <v>2</v>
      </c>
      <c r="CV529" s="867">
        <f>(WWWW[[#This Row],['#_Constructed latrines_by_WASHAgencies]]+WWWW[[#This Row],['#_Non Cluster partner latrines]])-WWWW[[#This Row],['#_Non-functional latrines]]</f>
        <v>0</v>
      </c>
      <c r="CW529" s="804">
        <f>WWWW[[#This Row],[HRP2]]/WWWW[[#This Row],[Total PoP ]]</f>
        <v>0</v>
      </c>
      <c r="CX52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2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2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29" s="473">
        <f>IF(WWWW[[#This Row],['# of functional latrines in THF supported by WASH partners during the reporting period2]]="",0,WWWW[[#This Row],['# of functional latrines in THF supported by WASH partners during the reporting period2]]*50)</f>
        <v>0</v>
      </c>
      <c r="DB529" s="473">
        <f>WWWW[[#This Row],['# students access to functioning school latrines_HRP5]]+WWWW[[#This Row],['# People access to functioning latrines in THF_HRP5]]</f>
        <v>0</v>
      </c>
      <c r="DC529" s="867">
        <f>ROUND(IF(WWWW[[#This Row],[Location Type 1]]="camp",WWWW[[#This Row],[Total PoP ]]/20,IF(WWWW[[#This Row],[Location Type 1]]="Temporary Location",WWWW[[#This Row],[Total PoP ]]/50,(WWWW[[#This Row],[Total PoP ]]/6))),0)</f>
        <v>46</v>
      </c>
      <c r="DD529" s="867">
        <f>IF(WWWW[[#This Row],[Total required Latrines]]-(WWWW[[#This Row],['#_Constructed latrines_by_WASHAgencies]]+WWWW[[#This Row],['#_Non Cluster partner latrines]])&lt;0,0,WWWW[[#This Row],[Total required Latrines]]-(WWWW[[#This Row],['#_Constructed latrines_by_WASHAgencies]]+WWWW[[#This Row],['#_Non Cluster partner latrines]]))</f>
        <v>46</v>
      </c>
      <c r="DE529" s="869">
        <f>1-WWWW[[#This Row],[% people access to functioning Latrine]]</f>
        <v>1</v>
      </c>
      <c r="DF529" s="868">
        <f>IF(OR(WWWW[[#This Row],['#_Non-functional latrines]]="",WWWW[[#This Row],['#_Non-functional latrines]]=0),0,WWWW[[#This Row],['#_Non-functional latrines]]/(WWWW[[#This Row],['#_Constructed latrines_by_WASHAgencies]]+WWWW[[#This Row],['#_Non Cluster partner latrines]]))</f>
        <v>0</v>
      </c>
      <c r="DG529" s="864">
        <f>IF(500*(WWWW[[#This Row],['#_male hygiene promoters]]+WWWW[[#This Row],['#_female hygiene promoters]])&gt;WWWW[[#This Row],[Total PoP ]],WWWW[[#This Row],[Total PoP ]],500*(WWWW[[#This Row],['#_male hygiene promoters]]+WWWW[[#This Row],['#_female hygiene promoters]]))</f>
        <v>0</v>
      </c>
      <c r="DH52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2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29" s="867">
        <f>IF(WWWW[[#This Row],['# People with access to soap]]&gt;WWWW[[#This Row],['# People with access to Sanity Pads]],WWWW[[#This Row],['# People with access to soap]],WWWW[[#This Row],['# People with access to Sanity Pads]])</f>
        <v>0</v>
      </c>
      <c r="DK52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29" s="869">
        <f>IF(WWWW[[#This Row],[HRP3]]/WWWW[[#This Row],[Total PoP ]]&gt;1,1,WWWW[[#This Row],[HRP3]]/WWWW[[#This Row],[Total PoP ]])</f>
        <v>0</v>
      </c>
      <c r="DM529" s="868">
        <f>1-WWWW[[#This Row],[Hygiene Coverage%]]</f>
        <v>1</v>
      </c>
      <c r="DN529" s="866">
        <f>WWWW[[#This Row],['# people reached by regular dedicated hygiene promotion_5]]/WWWW[[#This Row],[Total PoP ]]</f>
        <v>0</v>
      </c>
      <c r="DO52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2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29" s="867">
        <f>WWWW[[#This Row],['#_Constructed/Existing hand washing stations]]-WWWW[[#This Row],['#_Non-Functional_hand_washing_stations]]</f>
        <v>0</v>
      </c>
      <c r="DR529" s="864">
        <f>IF(WWWW[[#This Row],['# Functional hand washing stations during reporting period]]*20&gt;WWWW[[#This Row],[Total HH]],WWWW[[#This Row],[Total HH]],WWWW[[#This Row],['# Functional hand washing stations during reporting period]]*20)</f>
        <v>0</v>
      </c>
      <c r="DS529" s="864">
        <f>IF(WWWW[[#This Row],[Is sufficient soap available for TLS? (Yes/No)]]="yes",WWWW[[#This Row],['#_Constructed/Existing hand washing stations at TLS]],0)</f>
        <v>0</v>
      </c>
      <c r="DT529" s="479">
        <f>IF(WWWW[[#This Row],['# Functional hand washing stations during reporting period]]*100&gt;WWWW[[#This Row],[Total PoP ]],WWWW[[#This Row],[Total PoP ]],WWWW[[#This Row],['# Functional hand washing stations during reporting period]]*100)</f>
        <v>0</v>
      </c>
      <c r="DU529" s="479" t="str">
        <f>IF(OR(WWWW[[#This Row],['#_students at TLS_CFS]]="",WWWW[[#This Row],['#_students at TLS_CFS]]=0),"No","Yes")</f>
        <v>No</v>
      </c>
      <c r="DV52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2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2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29" s="862">
        <f>VLOOKUP(WWWW[[#This Row],[Site Name]],SiteDB6[[Site Name]:[CCCM Management]],6,FALSE)</f>
        <v>0</v>
      </c>
      <c r="DZ529" s="862" t="str">
        <f>VLOOKUP(WWWW[[#This Row],[Site Name]],SiteDB6[[Site Name]:[CCCM Focal Agency]],7,FALSE)</f>
        <v>uncovered</v>
      </c>
      <c r="EA529" s="862" t="str">
        <f>VLOOKUP(WWWW[[#This Row],[Site Name]],SiteDB6[[Site Name]:[Location Type 1]],9,FALSE)</f>
        <v>Camp</v>
      </c>
      <c r="EB529" s="862" t="str">
        <f>VLOOKUP(WWWW[[#This Row],[Site Name]],SiteDB6[[Site Name]:[Type of Accommodation]],10,FALSE)</f>
        <v>Host Families</v>
      </c>
      <c r="EC529" s="862" t="str">
        <f>VLOOKUP(WWWW[[#This Row],[Site Name]],SiteDB6[[Site Name]:[Ethnic or GCA/NGCA]],11,FALSE)</f>
        <v>GCA</v>
      </c>
      <c r="ED529" s="862">
        <f>VLOOKUP(WWWW[[#This Row],[Site Name]],SiteDB6[[Site Name]:[Lat]],12,FALSE)</f>
        <v>24.263786</v>
      </c>
      <c r="EE529" s="862">
        <f>VLOOKUP(WWWW[[#This Row],[Site Name]],SiteDB6[[Site Name]:[Long]],13,FALSE)</f>
        <v>97.228835000000004</v>
      </c>
      <c r="EF529" s="862" t="str">
        <f>VLOOKUP(WWWW[[#This Row],[Site Name]],SiteDB6[[Site Name]:[Pcode]],3,FALSE)</f>
        <v>MMR001CMP163</v>
      </c>
      <c r="EG529" s="865" t="str">
        <f t="shared" si="15"/>
        <v>Notcovered</v>
      </c>
      <c r="EH529" s="865" t="str">
        <f>VLOOKUP(WWWW[[#This Row],[Site Name]],Site_DB!$C$389:$D$1120,2,FALSE)</f>
        <v>cccm_2019OCT</v>
      </c>
    </row>
    <row r="530" spans="1:138">
      <c r="A530" s="860" t="s">
        <v>3263</v>
      </c>
      <c r="B530" s="860" t="s">
        <v>312</v>
      </c>
      <c r="C530" s="861" t="s">
        <v>312</v>
      </c>
      <c r="D530" s="861"/>
      <c r="E530" s="861" t="s">
        <v>39</v>
      </c>
      <c r="F530" s="861" t="s">
        <v>155</v>
      </c>
      <c r="G530" s="721" t="str">
        <f>VLOOKUP(WWWW[[#This Row],[Site Name]],SiteDB6[[Site Name]:[Location Type]],8,FALSE)</f>
        <v>Camp</v>
      </c>
      <c r="H530" s="861" t="s">
        <v>2004</v>
      </c>
      <c r="I530" s="851">
        <v>6</v>
      </c>
      <c r="J530" s="851">
        <v>32</v>
      </c>
      <c r="K530" s="863"/>
      <c r="L530" s="859"/>
      <c r="M530" s="851"/>
      <c r="N530" s="851"/>
      <c r="O530" s="851"/>
      <c r="P530" s="851"/>
      <c r="Q530" s="864"/>
      <c r="R530" s="851"/>
      <c r="S530" s="851"/>
      <c r="T530" s="523"/>
      <c r="U530" s="851"/>
      <c r="V530" s="851"/>
      <c r="W530" s="851"/>
      <c r="X530" s="851"/>
      <c r="Y530" s="851"/>
      <c r="Z530" s="851"/>
      <c r="AA530" s="851"/>
      <c r="AB530" s="851"/>
      <c r="AC530" s="851"/>
      <c r="AD530" s="851"/>
      <c r="AE530" s="851"/>
      <c r="AF530" s="851"/>
      <c r="AG530" s="851"/>
      <c r="AH530" s="851"/>
      <c r="AI530" s="851"/>
      <c r="AJ530" s="851"/>
      <c r="AK530" s="851"/>
      <c r="AL530" s="851"/>
      <c r="AM530" s="851"/>
      <c r="AN530" s="851"/>
      <c r="AO530" s="865"/>
      <c r="AP530" s="851"/>
      <c r="AQ530" s="851"/>
      <c r="AR530" s="866"/>
      <c r="AS530" s="851"/>
      <c r="AT530" s="851"/>
      <c r="AU530" s="851"/>
      <c r="AV530" s="851"/>
      <c r="AW530" s="851"/>
      <c r="AX530" s="862"/>
      <c r="AY530" s="865"/>
      <c r="AZ530" s="851"/>
      <c r="BA530" s="851"/>
      <c r="BB530" s="851"/>
      <c r="BC530" s="523"/>
      <c r="BD530" s="523"/>
      <c r="BE530" s="862"/>
      <c r="BF530" s="851"/>
      <c r="BG530" s="851"/>
      <c r="BH530" s="851"/>
      <c r="BI530" s="851"/>
      <c r="BJ530" s="851"/>
      <c r="BK530" s="851"/>
      <c r="BL530" s="851"/>
      <c r="BM530" s="851"/>
      <c r="BN530" s="851"/>
      <c r="BO530" s="862"/>
      <c r="BP530" s="867"/>
      <c r="BQ530" s="866"/>
      <c r="BR530" s="862"/>
      <c r="BS530" s="472"/>
      <c r="BT530" s="472"/>
      <c r="BU530" s="474"/>
      <c r="BV530" s="472"/>
      <c r="BW530" s="523"/>
      <c r="BX530" s="523"/>
      <c r="BY530" s="523"/>
      <c r="BZ530" s="868" t="str">
        <f>IFERROR(WWWW[[#This Row],['#_Water sources passed]]/WWWW[[#This Row],['#_Water sources tested for fecal coliform ]],"no test")</f>
        <v>no test</v>
      </c>
      <c r="CA530" s="866" t="str">
        <f>IFERROR(WWWW[[#This Row],['#_Household passed]]/WWWW[[#This Row],['#_Household water samples tested for fecal coliform]],"no test")</f>
        <v>no test</v>
      </c>
      <c r="CB530" s="867" t="str">
        <f>IF(AND(WWWW[[#This Row],[% of water sources passed]]="no test",WWWW[[#This Row],[% Household passed]]="no test"),"No Test","Tested")</f>
        <v>No Test</v>
      </c>
      <c r="CC530" s="867">
        <f>WWWW[[#This Row],['#_Constructed/existing protected hand dug well]]-WWWW[[#This Row],['#_Non-functional protected hand dug well]]</f>
        <v>0</v>
      </c>
      <c r="CD530" s="867">
        <f>(WWWW[[#This Row],['#_Constructed/Existing tube wells/boreholes/handpumps_WASH_agency]]+WWWW[[#This Row],['#_Non-Cluster partner water tube-wells/boreholes/handpumps]])-WWWW[[#This Row],['#_Non-functional tube wells/boreholes/handpumps]]</f>
        <v>0</v>
      </c>
      <c r="CE530" s="867">
        <f>WWWW[[#This Row],['#_Constructed/Existingwater storage tank with gravity fed reticulation system]]-WWWW[[#This Row],['#_Non-functional storage tank gravity fed reticulation system]]</f>
        <v>0</v>
      </c>
      <c r="CF530" s="867">
        <f>(WWWW[[#This Row],['#_Water_Liters_supplied_by_Water boating or water trucking]]/90)/15</f>
        <v>0</v>
      </c>
      <c r="CG530" s="867">
        <f>WWWW[[#This Row],['#_Water_Liters_from_Constructed/Existing water distribution system from river or natural spring]]/90/15</f>
        <v>0</v>
      </c>
      <c r="CH530" s="473">
        <f>WWWW[[#This Row],['#_of water points in TLS/CFS /THF]]*500</f>
        <v>0</v>
      </c>
      <c r="CI53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0" s="866">
        <f>IF(WWWW[[#This Row],[Location Type 1]]="Village",WWWW[[#This Row],[Access to safe drinking water for Village]],WWWW[[#This Row],[Access to safe drinking water for Camp]])</f>
        <v>0</v>
      </c>
      <c r="CL530" s="864">
        <f>WWWW[[#This Row],[%Equitable and continuous access to sufficient quantity of safe drinking water]]*WWWW[[#This Row],[Total PoP ]]</f>
        <v>0</v>
      </c>
      <c r="CM530" s="866">
        <f>IF((WWWW[[#This Row],['#_Constructed/Existing protected/fenced ponds]]*250)/WWWW[[#This Row],[Total PoP ]]&gt;1,1,(WWWW[[#This Row],['#_Constructed/Existing protected/fenced ponds]]*250)/WWWW[[#This Row],[Total PoP ]])</f>
        <v>0</v>
      </c>
      <c r="CN530" s="864">
        <f>WWWW[[#This Row],[% Access to unimproved water points]]*WWWW[[#This Row],[Total PoP ]]</f>
        <v>0</v>
      </c>
      <c r="CO53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0" s="864">
        <f>WWWW[[#This Row],[HRP1]]/500</f>
        <v>0</v>
      </c>
      <c r="CR530" s="869">
        <f>1-WWWW[[#This Row],[% Equitable and continuous access to sufficient quantity of domestic water]]</f>
        <v>1</v>
      </c>
      <c r="CS530" s="864">
        <f>WWWW[[#This Row],[%equitable and continuous access to sufficient quantity of safe drinking and domestic water''s GAP]]*WWWW[[#This Row],[Total PoP ]]</f>
        <v>32</v>
      </c>
      <c r="CT530" s="867">
        <f>IF(WWWW[[#This Row],[Total required water points]]-WWWW[[#This Row],['#Water points coverage]]&lt;0,0,WWWW[[#This Row],[Total required water points]]-WWWW[[#This Row],['#Water points coverage]])</f>
        <v>1</v>
      </c>
      <c r="CU530" s="867">
        <f>ROUND(IF(WWWW[[#This Row],[Total PoP ]]&lt;500,1,WWWW[[#This Row],[Total PoP ]]/500),0)</f>
        <v>1</v>
      </c>
      <c r="CV530" s="867">
        <f>(WWWW[[#This Row],['#_Constructed latrines_by_WASHAgencies]]+WWWW[[#This Row],['#_Non Cluster partner latrines]])-WWWW[[#This Row],['#_Non-functional latrines]]</f>
        <v>0</v>
      </c>
      <c r="CW530" s="804">
        <f>WWWW[[#This Row],[HRP2]]/WWWW[[#This Row],[Total PoP ]]</f>
        <v>0</v>
      </c>
      <c r="CX53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0" s="473">
        <f>IF(WWWW[[#This Row],['# of functional latrines in THF supported by WASH partners during the reporting period2]]="",0,WWWW[[#This Row],['# of functional latrines in THF supported by WASH partners during the reporting period2]]*50)</f>
        <v>0</v>
      </c>
      <c r="DB530" s="473">
        <f>WWWW[[#This Row],['# students access to functioning school latrines_HRP5]]+WWWW[[#This Row],['# People access to functioning latrines in THF_HRP5]]</f>
        <v>0</v>
      </c>
      <c r="DC530" s="867">
        <f>ROUND(IF(WWWW[[#This Row],[Location Type 1]]="camp",WWWW[[#This Row],[Total PoP ]]/20,IF(WWWW[[#This Row],[Location Type 1]]="Temporary Location",WWWW[[#This Row],[Total PoP ]]/50,(WWWW[[#This Row],[Total PoP ]]/6))),0)</f>
        <v>2</v>
      </c>
      <c r="DD530" s="867">
        <f>IF(WWWW[[#This Row],[Total required Latrines]]-(WWWW[[#This Row],['#_Constructed latrines_by_WASHAgencies]]+WWWW[[#This Row],['#_Non Cluster partner latrines]])&lt;0,0,WWWW[[#This Row],[Total required Latrines]]-(WWWW[[#This Row],['#_Constructed latrines_by_WASHAgencies]]+WWWW[[#This Row],['#_Non Cluster partner latrines]]))</f>
        <v>2</v>
      </c>
      <c r="DE530" s="869">
        <f>1-WWWW[[#This Row],[% people access to functioning Latrine]]</f>
        <v>1</v>
      </c>
      <c r="DF530" s="868">
        <f>IF(OR(WWWW[[#This Row],['#_Non-functional latrines]]="",WWWW[[#This Row],['#_Non-functional latrines]]=0),0,WWWW[[#This Row],['#_Non-functional latrines]]/(WWWW[[#This Row],['#_Constructed latrines_by_WASHAgencies]]+WWWW[[#This Row],['#_Non Cluster partner latrines]]))</f>
        <v>0</v>
      </c>
      <c r="DG530" s="864">
        <f>IF(500*(WWWW[[#This Row],['#_male hygiene promoters]]+WWWW[[#This Row],['#_female hygiene promoters]])&gt;WWWW[[#This Row],[Total PoP ]],WWWW[[#This Row],[Total PoP ]],500*(WWWW[[#This Row],['#_male hygiene promoters]]+WWWW[[#This Row],['#_female hygiene promoters]]))</f>
        <v>0</v>
      </c>
      <c r="DH53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0" s="867">
        <f>IF(WWWW[[#This Row],['# People with access to soap]]&gt;WWWW[[#This Row],['# People with access to Sanity Pads]],WWWW[[#This Row],['# People with access to soap]],WWWW[[#This Row],['# People with access to Sanity Pads]])</f>
        <v>0</v>
      </c>
      <c r="DK53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0" s="869">
        <f>IF(WWWW[[#This Row],[HRP3]]/WWWW[[#This Row],[Total PoP ]]&gt;1,1,WWWW[[#This Row],[HRP3]]/WWWW[[#This Row],[Total PoP ]])</f>
        <v>0</v>
      </c>
      <c r="DM530" s="868">
        <f>1-WWWW[[#This Row],[Hygiene Coverage%]]</f>
        <v>1</v>
      </c>
      <c r="DN530" s="866">
        <f>WWWW[[#This Row],['# people reached by regular dedicated hygiene promotion_5]]/WWWW[[#This Row],[Total PoP ]]</f>
        <v>0</v>
      </c>
      <c r="DO53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0" s="867">
        <f>WWWW[[#This Row],['#_Constructed/Existing hand washing stations]]-WWWW[[#This Row],['#_Non-Functional_hand_washing_stations]]</f>
        <v>0</v>
      </c>
      <c r="DR530" s="864">
        <f>IF(WWWW[[#This Row],['# Functional hand washing stations during reporting period]]*20&gt;WWWW[[#This Row],[Total HH]],WWWW[[#This Row],[Total HH]],WWWW[[#This Row],['# Functional hand washing stations during reporting period]]*20)</f>
        <v>0</v>
      </c>
      <c r="DS530" s="864">
        <f>IF(WWWW[[#This Row],[Is sufficient soap available for TLS? (Yes/No)]]="yes",WWWW[[#This Row],['#_Constructed/Existing hand washing stations at TLS]],0)</f>
        <v>0</v>
      </c>
      <c r="DT530" s="479">
        <f>IF(WWWW[[#This Row],['# Functional hand washing stations during reporting period]]*100&gt;WWWW[[#This Row],[Total PoP ]],WWWW[[#This Row],[Total PoP ]],WWWW[[#This Row],['# Functional hand washing stations during reporting period]]*100)</f>
        <v>0</v>
      </c>
      <c r="DU530" s="479" t="str">
        <f>IF(OR(WWWW[[#This Row],['#_students at TLS_CFS]]="",WWWW[[#This Row],['#_students at TLS_CFS]]=0),"No","Yes")</f>
        <v>No</v>
      </c>
      <c r="DV53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0" s="862">
        <f>VLOOKUP(WWWW[[#This Row],[Site Name]],SiteDB6[[Site Name]:[CCCM Management]],6,FALSE)</f>
        <v>0</v>
      </c>
      <c r="DZ530" s="862" t="str">
        <f>VLOOKUP(WWWW[[#This Row],[Site Name]],SiteDB6[[Site Name]:[CCCM Focal Agency]],7,FALSE)</f>
        <v>uncovered</v>
      </c>
      <c r="EA530" s="862" t="str">
        <f>VLOOKUP(WWWW[[#This Row],[Site Name]],SiteDB6[[Site Name]:[Location Type 1]],9,FALSE)</f>
        <v>Camp</v>
      </c>
      <c r="EB530" s="862" t="str">
        <f>VLOOKUP(WWWW[[#This Row],[Site Name]],SiteDB6[[Site Name]:[Type of Accommodation]],10,FALSE)</f>
        <v>Camp like setting</v>
      </c>
      <c r="EC530" s="862" t="str">
        <f>VLOOKUP(WWWW[[#This Row],[Site Name]],SiteDB6[[Site Name]:[Ethnic or GCA/NGCA]],11,FALSE)</f>
        <v>GCA</v>
      </c>
      <c r="ED530" s="862">
        <f>VLOOKUP(WWWW[[#This Row],[Site Name]],SiteDB6[[Site Name]:[Lat]],12,FALSE)</f>
        <v>0</v>
      </c>
      <c r="EE530" s="862">
        <f>VLOOKUP(WWWW[[#This Row],[Site Name]],SiteDB6[[Site Name]:[Long]],13,FALSE)</f>
        <v>0</v>
      </c>
      <c r="EF530" s="862" t="str">
        <f>VLOOKUP(WWWW[[#This Row],[Site Name]],SiteDB6[[Site Name]:[Pcode]],3,FALSE)</f>
        <v>MMR001CMP262</v>
      </c>
      <c r="EG530" s="865" t="str">
        <f t="shared" si="15"/>
        <v>Notcovered</v>
      </c>
      <c r="EH530" s="865" t="str">
        <f>VLOOKUP(WWWW[[#This Row],[Site Name]],Site_DB!$C$389:$D$1120,2,FALSE)</f>
        <v>cccm_2019OCT</v>
      </c>
    </row>
    <row r="531" spans="1:138">
      <c r="A531" s="860" t="s">
        <v>3263</v>
      </c>
      <c r="B531" s="860" t="s">
        <v>312</v>
      </c>
      <c r="C531" s="861" t="s">
        <v>312</v>
      </c>
      <c r="D531" s="861"/>
      <c r="E531" s="861" t="s">
        <v>39</v>
      </c>
      <c r="F531" s="861" t="s">
        <v>187</v>
      </c>
      <c r="G531" s="721" t="str">
        <f>VLOOKUP(WWWW[[#This Row],[Site Name]],SiteDB6[[Site Name]:[Location Type]],8,FALSE)</f>
        <v>Camp</v>
      </c>
      <c r="H531" s="861" t="s">
        <v>2852</v>
      </c>
      <c r="I531" s="851">
        <v>29</v>
      </c>
      <c r="J531" s="851">
        <v>140</v>
      </c>
      <c r="K531" s="863"/>
      <c r="L531" s="859"/>
      <c r="M531" s="851"/>
      <c r="N531" s="851"/>
      <c r="O531" s="851"/>
      <c r="P531" s="851"/>
      <c r="Q531" s="864"/>
      <c r="R531" s="851"/>
      <c r="S531" s="851">
        <v>4</v>
      </c>
      <c r="T531" s="523"/>
      <c r="U531" s="851"/>
      <c r="V531" s="851"/>
      <c r="W531" s="851"/>
      <c r="X531" s="851"/>
      <c r="Y531" s="851"/>
      <c r="Z531" s="851"/>
      <c r="AA531" s="851"/>
      <c r="AB531" s="851"/>
      <c r="AC531" s="851"/>
      <c r="AD531" s="851"/>
      <c r="AE531" s="851"/>
      <c r="AF531" s="851"/>
      <c r="AG531" s="851"/>
      <c r="AH531" s="851"/>
      <c r="AI531" s="851"/>
      <c r="AJ531" s="851"/>
      <c r="AK531" s="851"/>
      <c r="AL531" s="851"/>
      <c r="AM531" s="851"/>
      <c r="AN531" s="851"/>
      <c r="AO531" s="865"/>
      <c r="AP531" s="851"/>
      <c r="AQ531" s="851"/>
      <c r="AR531" s="866"/>
      <c r="AS531" s="851"/>
      <c r="AT531" s="851"/>
      <c r="AU531" s="851"/>
      <c r="AV531" s="851"/>
      <c r="AW531" s="851"/>
      <c r="AX531" s="862"/>
      <c r="AY531" s="865"/>
      <c r="AZ531" s="851"/>
      <c r="BA531" s="851"/>
      <c r="BB531" s="851"/>
      <c r="BC531" s="523"/>
      <c r="BD531" s="523"/>
      <c r="BE531" s="862"/>
      <c r="BF531" s="851"/>
      <c r="BG531" s="851"/>
      <c r="BH531" s="851"/>
      <c r="BI531" s="851"/>
      <c r="BJ531" s="851"/>
      <c r="BK531" s="851"/>
      <c r="BL531" s="851"/>
      <c r="BM531" s="851"/>
      <c r="BN531" s="851"/>
      <c r="BO531" s="862"/>
      <c r="BP531" s="867"/>
      <c r="BQ531" s="866"/>
      <c r="BR531" s="862"/>
      <c r="BS531" s="472"/>
      <c r="BT531" s="472"/>
      <c r="BU531" s="474"/>
      <c r="BV531" s="472"/>
      <c r="BW531" s="523"/>
      <c r="BX531" s="523"/>
      <c r="BY531" s="523"/>
      <c r="BZ531" s="868" t="str">
        <f>IFERROR(WWWW[[#This Row],['#_Water sources passed]]/WWWW[[#This Row],['#_Water sources tested for fecal coliform ]],"no test")</f>
        <v>no test</v>
      </c>
      <c r="CA531" s="866" t="str">
        <f>IFERROR(WWWW[[#This Row],['#_Household passed]]/WWWW[[#This Row],['#_Household water samples tested for fecal coliform]],"no test")</f>
        <v>no test</v>
      </c>
      <c r="CB531" s="867" t="str">
        <f>IF(AND(WWWW[[#This Row],[% of water sources passed]]="no test",WWWW[[#This Row],[% Household passed]]="no test"),"No Test","Tested")</f>
        <v>No Test</v>
      </c>
      <c r="CC531" s="867">
        <f>WWWW[[#This Row],['#_Constructed/existing protected hand dug well]]-WWWW[[#This Row],['#_Non-functional protected hand dug well]]</f>
        <v>0</v>
      </c>
      <c r="CD531" s="867">
        <f>(WWWW[[#This Row],['#_Constructed/Existing tube wells/boreholes/handpumps_WASH_agency]]+WWWW[[#This Row],['#_Non-Cluster partner water tube-wells/boreholes/handpumps]])-WWWW[[#This Row],['#_Non-functional tube wells/boreholes/handpumps]]</f>
        <v>0</v>
      </c>
      <c r="CE531" s="867">
        <f>WWWW[[#This Row],['#_Constructed/Existingwater storage tank with gravity fed reticulation system]]-WWWW[[#This Row],['#_Non-functional storage tank gravity fed reticulation system]]</f>
        <v>0</v>
      </c>
      <c r="CF531" s="867">
        <f>(WWWW[[#This Row],['#_Water_Liters_supplied_by_Water boating or water trucking]]/90)/15</f>
        <v>0</v>
      </c>
      <c r="CG531" s="867">
        <f>WWWW[[#This Row],['#_Water_Liters_from_Constructed/Existing water distribution system from river or natural spring]]/90/15</f>
        <v>0</v>
      </c>
      <c r="CH531" s="473">
        <f>WWWW[[#This Row],['#_of water points in TLS/CFS /THF]]*500</f>
        <v>0</v>
      </c>
      <c r="CI53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1" s="866">
        <f>IF(WWWW[[#This Row],[Location Type 1]]="Village",WWWW[[#This Row],[Access to safe drinking water for Village]],WWWW[[#This Row],[Access to safe drinking water for Camp]])</f>
        <v>0</v>
      </c>
      <c r="CL531" s="864">
        <f>WWWW[[#This Row],[%Equitable and continuous access to sufficient quantity of safe drinking water]]*WWWW[[#This Row],[Total PoP ]]</f>
        <v>0</v>
      </c>
      <c r="CM531" s="866">
        <f>IF((WWWW[[#This Row],['#_Constructed/Existing protected/fenced ponds]]*250)/WWWW[[#This Row],[Total PoP ]]&gt;1,1,(WWWW[[#This Row],['#_Constructed/Existing protected/fenced ponds]]*250)/WWWW[[#This Row],[Total PoP ]])</f>
        <v>0</v>
      </c>
      <c r="CN531" s="864">
        <f>WWWW[[#This Row],[% Access to unimproved water points]]*WWWW[[#This Row],[Total PoP ]]</f>
        <v>0</v>
      </c>
      <c r="CO53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1" s="864">
        <f>WWWW[[#This Row],[HRP1]]/500</f>
        <v>0</v>
      </c>
      <c r="CR531" s="869">
        <f>1-WWWW[[#This Row],[% Equitable and continuous access to sufficient quantity of domestic water]]</f>
        <v>1</v>
      </c>
      <c r="CS531" s="864">
        <f>WWWW[[#This Row],[%equitable and continuous access to sufficient quantity of safe drinking and domestic water''s GAP]]*WWWW[[#This Row],[Total PoP ]]</f>
        <v>140</v>
      </c>
      <c r="CT531" s="867">
        <f>IF(WWWW[[#This Row],[Total required water points]]-WWWW[[#This Row],['#Water points coverage]]&lt;0,0,WWWW[[#This Row],[Total required water points]]-WWWW[[#This Row],['#Water points coverage]])</f>
        <v>1</v>
      </c>
      <c r="CU531" s="867">
        <f>ROUND(IF(WWWW[[#This Row],[Total PoP ]]&lt;500,1,WWWW[[#This Row],[Total PoP ]]/500),0)</f>
        <v>1</v>
      </c>
      <c r="CV531" s="867">
        <f>(WWWW[[#This Row],['#_Constructed latrines_by_WASHAgencies]]+WWWW[[#This Row],['#_Non Cluster partner latrines]])-WWWW[[#This Row],['#_Non-functional latrines]]</f>
        <v>0</v>
      </c>
      <c r="CW531" s="804">
        <f>WWWW[[#This Row],[HRP2]]/WWWW[[#This Row],[Total PoP ]]</f>
        <v>0</v>
      </c>
      <c r="CX53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1" s="473">
        <f>IF(WWWW[[#This Row],['# of functional latrines in THF supported by WASH partners during the reporting period2]]="",0,WWWW[[#This Row],['# of functional latrines in THF supported by WASH partners during the reporting period2]]*50)</f>
        <v>0</v>
      </c>
      <c r="DB531" s="473">
        <f>WWWW[[#This Row],['# students access to functioning school latrines_HRP5]]+WWWW[[#This Row],['# People access to functioning latrines in THF_HRP5]]</f>
        <v>0</v>
      </c>
      <c r="DC531" s="867">
        <f>ROUND(IF(WWWW[[#This Row],[Location Type 1]]="camp",WWWW[[#This Row],[Total PoP ]]/20,IF(WWWW[[#This Row],[Location Type 1]]="Temporary Location",WWWW[[#This Row],[Total PoP ]]/50,(WWWW[[#This Row],[Total PoP ]]/6))),0)</f>
        <v>7</v>
      </c>
      <c r="DD531" s="867">
        <f>IF(WWWW[[#This Row],[Total required Latrines]]-(WWWW[[#This Row],['#_Constructed latrines_by_WASHAgencies]]+WWWW[[#This Row],['#_Non Cluster partner latrines]])&lt;0,0,WWWW[[#This Row],[Total required Latrines]]-(WWWW[[#This Row],['#_Constructed latrines_by_WASHAgencies]]+WWWW[[#This Row],['#_Non Cluster partner latrines]]))</f>
        <v>7</v>
      </c>
      <c r="DE531" s="869">
        <f>1-WWWW[[#This Row],[% people access to functioning Latrine]]</f>
        <v>1</v>
      </c>
      <c r="DF531" s="868">
        <f>IF(OR(WWWW[[#This Row],['#_Non-functional latrines]]="",WWWW[[#This Row],['#_Non-functional latrines]]=0),0,WWWW[[#This Row],['#_Non-functional latrines]]/(WWWW[[#This Row],['#_Constructed latrines_by_WASHAgencies]]+WWWW[[#This Row],['#_Non Cluster partner latrines]]))</f>
        <v>0</v>
      </c>
      <c r="DG531" s="864">
        <f>IF(500*(WWWW[[#This Row],['#_male hygiene promoters]]+WWWW[[#This Row],['#_female hygiene promoters]])&gt;WWWW[[#This Row],[Total PoP ]],WWWW[[#This Row],[Total PoP ]],500*(WWWW[[#This Row],['#_male hygiene promoters]]+WWWW[[#This Row],['#_female hygiene promoters]]))</f>
        <v>0</v>
      </c>
      <c r="DH53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1" s="867">
        <f>IF(WWWW[[#This Row],['# People with access to soap]]&gt;WWWW[[#This Row],['# People with access to Sanity Pads]],WWWW[[#This Row],['# People with access to soap]],WWWW[[#This Row],['# People with access to Sanity Pads]])</f>
        <v>0</v>
      </c>
      <c r="DK53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1" s="869">
        <f>IF(WWWW[[#This Row],[HRP3]]/WWWW[[#This Row],[Total PoP ]]&gt;1,1,WWWW[[#This Row],[HRP3]]/WWWW[[#This Row],[Total PoP ]])</f>
        <v>0</v>
      </c>
      <c r="DM531" s="868">
        <f>1-WWWW[[#This Row],[Hygiene Coverage%]]</f>
        <v>1</v>
      </c>
      <c r="DN531" s="866">
        <f>WWWW[[#This Row],['# people reached by regular dedicated hygiene promotion_5]]/WWWW[[#This Row],[Total PoP ]]</f>
        <v>0</v>
      </c>
      <c r="DO53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1" s="867">
        <f>WWWW[[#This Row],['#_Constructed/Existing hand washing stations]]-WWWW[[#This Row],['#_Non-Functional_hand_washing_stations]]</f>
        <v>0</v>
      </c>
      <c r="DR531" s="864">
        <f>IF(WWWW[[#This Row],['# Functional hand washing stations during reporting period]]*20&gt;WWWW[[#This Row],[Total HH]],WWWW[[#This Row],[Total HH]],WWWW[[#This Row],['# Functional hand washing stations during reporting period]]*20)</f>
        <v>0</v>
      </c>
      <c r="DS531" s="864">
        <f>IF(WWWW[[#This Row],[Is sufficient soap available for TLS? (Yes/No)]]="yes",WWWW[[#This Row],['#_Constructed/Existing hand washing stations at TLS]],0)</f>
        <v>0</v>
      </c>
      <c r="DT531" s="479">
        <f>IF(WWWW[[#This Row],['# Functional hand washing stations during reporting period]]*100&gt;WWWW[[#This Row],[Total PoP ]],WWWW[[#This Row],[Total PoP ]],WWWW[[#This Row],['# Functional hand washing stations during reporting period]]*100)</f>
        <v>0</v>
      </c>
      <c r="DU531" s="479" t="str">
        <f>IF(OR(WWWW[[#This Row],['#_students at TLS_CFS]]="",WWWW[[#This Row],['#_students at TLS_CFS]]=0),"No","Yes")</f>
        <v>No</v>
      </c>
      <c r="DV53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1" s="862">
        <f>VLOOKUP(WWWW[[#This Row],[Site Name]],SiteDB6[[Site Name]:[CCCM Management]],6,FALSE)</f>
        <v>0</v>
      </c>
      <c r="DZ531" s="862" t="str">
        <f>VLOOKUP(WWWW[[#This Row],[Site Name]],SiteDB6[[Site Name]:[CCCM Focal Agency]],7,FALSE)</f>
        <v>uncovered</v>
      </c>
      <c r="EA531" s="862" t="str">
        <f>VLOOKUP(WWWW[[#This Row],[Site Name]],SiteDB6[[Site Name]:[Location Type 1]],9,FALSE)</f>
        <v>Camp</v>
      </c>
      <c r="EB531" s="862" t="str">
        <f>VLOOKUP(WWWW[[#This Row],[Site Name]],SiteDB6[[Site Name]:[Type of Accommodation]],10,FALSE)</f>
        <v>Camp like setting</v>
      </c>
      <c r="EC531" s="862" t="str">
        <f>VLOOKUP(WWWW[[#This Row],[Site Name]],SiteDB6[[Site Name]:[Ethnic or GCA/NGCA]],11,FALSE)</f>
        <v>GCA</v>
      </c>
      <c r="ED531" s="862">
        <f>VLOOKUP(WWWW[[#This Row],[Site Name]],SiteDB6[[Site Name]:[Lat]],12,FALSE)</f>
        <v>26.299828999999999</v>
      </c>
      <c r="EE531" s="862">
        <f>VLOOKUP(WWWW[[#This Row],[Site Name]],SiteDB6[[Site Name]:[Long]],13,FALSE)</f>
        <v>97.487258999999995</v>
      </c>
      <c r="EF531" s="862" t="str">
        <f>VLOOKUP(WWWW[[#This Row],[Site Name]],SiteDB6[[Site Name]:[Pcode]],3,FALSE)</f>
        <v>MMR001CMP272</v>
      </c>
      <c r="EG531" s="865" t="str">
        <f t="shared" si="15"/>
        <v>Notcovered</v>
      </c>
      <c r="EH531" s="865" t="str">
        <f>VLOOKUP(WWWW[[#This Row],[Site Name]],Site_DB!$C$389:$D$1120,2,FALSE)</f>
        <v>cccm_2019OCT</v>
      </c>
    </row>
    <row r="532" spans="1:138">
      <c r="A532" s="860" t="s">
        <v>3263</v>
      </c>
      <c r="B532" s="860" t="s">
        <v>245</v>
      </c>
      <c r="C532" s="861" t="s">
        <v>245</v>
      </c>
      <c r="D532" s="861" t="s">
        <v>310</v>
      </c>
      <c r="E532" s="861" t="s">
        <v>39</v>
      </c>
      <c r="F532" s="861" t="s">
        <v>145</v>
      </c>
      <c r="G532" s="721" t="str">
        <f>VLOOKUP(WWWW[[#This Row],[Site Name]],SiteDB6[[Site Name]:[Location Type]],8,FALSE)</f>
        <v>Camp</v>
      </c>
      <c r="H532" s="861" t="s">
        <v>275</v>
      </c>
      <c r="I532" s="851">
        <v>36</v>
      </c>
      <c r="J532" s="851">
        <v>189</v>
      </c>
      <c r="K532" s="863">
        <v>43313</v>
      </c>
      <c r="L532" s="859">
        <v>44196</v>
      </c>
      <c r="M532" s="851"/>
      <c r="N532" s="851">
        <v>1</v>
      </c>
      <c r="O532" s="851"/>
      <c r="P532" s="851"/>
      <c r="Q532" s="864" t="s">
        <v>43</v>
      </c>
      <c r="R532" s="851">
        <v>2</v>
      </c>
      <c r="S532" s="851">
        <v>2</v>
      </c>
      <c r="T532" s="523">
        <v>2</v>
      </c>
      <c r="U532" s="851"/>
      <c r="V532" s="851"/>
      <c r="W532" s="851">
        <v>1</v>
      </c>
      <c r="X532" s="851">
        <v>1</v>
      </c>
      <c r="Y532" s="851"/>
      <c r="Z532" s="851"/>
      <c r="AA532" s="851">
        <v>0</v>
      </c>
      <c r="AB532" s="851"/>
      <c r="AC532" s="851"/>
      <c r="AD532" s="851">
        <v>0</v>
      </c>
      <c r="AE532" s="851">
        <v>0</v>
      </c>
      <c r="AF532" s="851">
        <v>0</v>
      </c>
      <c r="AG532" s="851">
        <v>0</v>
      </c>
      <c r="AH532" s="851">
        <v>0</v>
      </c>
      <c r="AI532" s="851"/>
      <c r="AJ532" s="851"/>
      <c r="AK532" s="851"/>
      <c r="AL532" s="851"/>
      <c r="AM532" s="851">
        <v>0</v>
      </c>
      <c r="AN532" s="851">
        <v>0</v>
      </c>
      <c r="AO532" s="865"/>
      <c r="AP532" s="851">
        <v>9</v>
      </c>
      <c r="AQ532" s="851">
        <v>1</v>
      </c>
      <c r="AR532" s="866"/>
      <c r="AS532" s="851"/>
      <c r="AT532" s="851"/>
      <c r="AU532" s="851"/>
      <c r="AV532" s="851"/>
      <c r="AW532" s="851">
        <v>0</v>
      </c>
      <c r="AX532" s="862" t="s">
        <v>43</v>
      </c>
      <c r="AY532" s="865" t="s">
        <v>140</v>
      </c>
      <c r="AZ532" s="851">
        <v>0</v>
      </c>
      <c r="BA532" s="851">
        <v>0</v>
      </c>
      <c r="BB532" s="851">
        <v>0</v>
      </c>
      <c r="BC532" s="523"/>
      <c r="BD532" s="523"/>
      <c r="BE532" s="862"/>
      <c r="BF532" s="851">
        <v>6</v>
      </c>
      <c r="BG532" s="851"/>
      <c r="BH532" s="851">
        <v>4</v>
      </c>
      <c r="BI532" s="851">
        <v>2</v>
      </c>
      <c r="BJ532" s="851"/>
      <c r="BK532" s="851">
        <v>0</v>
      </c>
      <c r="BL532" s="851">
        <v>0</v>
      </c>
      <c r="BM532" s="851"/>
      <c r="BN532" s="851"/>
      <c r="BO532" s="862" t="s">
        <v>139</v>
      </c>
      <c r="BP532" s="867"/>
      <c r="BQ532" s="866"/>
      <c r="BR532" s="862"/>
      <c r="BS532" s="472"/>
      <c r="BT532" s="472"/>
      <c r="BU532" s="474"/>
      <c r="BV532" s="472"/>
      <c r="BW532" s="523"/>
      <c r="BX532" s="523"/>
      <c r="BY532" s="523"/>
      <c r="BZ532" s="868" t="str">
        <f>IFERROR(WWWW[[#This Row],['#_Water sources passed]]/WWWW[[#This Row],['#_Water sources tested for fecal coliform ]],"no test")</f>
        <v>no test</v>
      </c>
      <c r="CA532" s="866" t="str">
        <f>IFERROR(WWWW[[#This Row],['#_Household passed]]/WWWW[[#This Row],['#_Household water samples tested for fecal coliform]],"no test")</f>
        <v>no test</v>
      </c>
      <c r="CB532" s="867" t="str">
        <f>IF(AND(WWWW[[#This Row],[% of water sources passed]]="no test",WWWW[[#This Row],[% Household passed]]="no test"),"No Test","Tested")</f>
        <v>No Test</v>
      </c>
      <c r="CC532" s="867">
        <f>WWWW[[#This Row],['#_Constructed/existing protected hand dug well]]-WWWW[[#This Row],['#_Non-functional protected hand dug well]]</f>
        <v>2</v>
      </c>
      <c r="CD532" s="867">
        <f>(WWWW[[#This Row],['#_Constructed/Existing tube wells/boreholes/handpumps_WASH_agency]]+WWWW[[#This Row],['#_Non-Cluster partner water tube-wells/boreholes/handpumps]])-WWWW[[#This Row],['#_Non-functional tube wells/boreholes/handpumps]]</f>
        <v>2</v>
      </c>
      <c r="CE532" s="867">
        <f>WWWW[[#This Row],['#_Constructed/Existingwater storage tank with gravity fed reticulation system]]-WWWW[[#This Row],['#_Non-functional storage tank gravity fed reticulation system]]</f>
        <v>0</v>
      </c>
      <c r="CF532" s="867">
        <f>(WWWW[[#This Row],['#_Water_Liters_supplied_by_Water boating or water trucking]]/90)/15</f>
        <v>0</v>
      </c>
      <c r="CG532" s="867">
        <f>WWWW[[#This Row],['#_Water_Liters_from_Constructed/Existing water distribution system from river or natural spring]]/90/15</f>
        <v>0</v>
      </c>
      <c r="CH532" s="473">
        <f>WWWW[[#This Row],['#_of water points in TLS/CFS /THF]]*500</f>
        <v>0</v>
      </c>
      <c r="CI53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3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32" s="866">
        <f>IF(WWWW[[#This Row],[Location Type 1]]="Village",WWWW[[#This Row],[Access to safe drinking water for Village]],WWWW[[#This Row],[Access to safe drinking water for Camp]])</f>
        <v>1</v>
      </c>
      <c r="CL532" s="864">
        <f>WWWW[[#This Row],[%Equitable and continuous access to sufficient quantity of safe drinking water]]*WWWW[[#This Row],[Total PoP ]]</f>
        <v>189</v>
      </c>
      <c r="CM532" s="866">
        <f>IF((WWWW[[#This Row],['#_Constructed/Existing protected/fenced ponds]]*250)/WWWW[[#This Row],[Total PoP ]]&gt;1,1,(WWWW[[#This Row],['#_Constructed/Existing protected/fenced ponds]]*250)/WWWW[[#This Row],[Total PoP ]])</f>
        <v>0</v>
      </c>
      <c r="CN532" s="864">
        <f>WWWW[[#This Row],[% Access to unimproved water points]]*WWWW[[#This Row],[Total PoP ]]</f>
        <v>0</v>
      </c>
      <c r="CO53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3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Q532" s="864">
        <f>WWWW[[#This Row],[HRP1]]/500</f>
        <v>0.378</v>
      </c>
      <c r="CR532" s="869">
        <f>1-WWWW[[#This Row],[% Equitable and continuous access to sufficient quantity of domestic water]]</f>
        <v>0</v>
      </c>
      <c r="CS532" s="864">
        <f>WWWW[[#This Row],[%equitable and continuous access to sufficient quantity of safe drinking and domestic water''s GAP]]*WWWW[[#This Row],[Total PoP ]]</f>
        <v>0</v>
      </c>
      <c r="CT532" s="867">
        <f>IF(WWWW[[#This Row],[Total required water points]]-WWWW[[#This Row],['#Water points coverage]]&lt;0,0,WWWW[[#This Row],[Total required water points]]-WWWW[[#This Row],['#Water points coverage]])</f>
        <v>0.622</v>
      </c>
      <c r="CU532" s="867">
        <f>ROUND(IF(WWWW[[#This Row],[Total PoP ]]&lt;500,1,WWWW[[#This Row],[Total PoP ]]/500),0)</f>
        <v>1</v>
      </c>
      <c r="CV532" s="867">
        <f>(WWWW[[#This Row],['#_Constructed latrines_by_WASHAgencies]]+WWWW[[#This Row],['#_Non Cluster partner latrines]])-WWWW[[#This Row],['#_Non-functional latrines]]</f>
        <v>10</v>
      </c>
      <c r="CW532" s="804">
        <f>WWWW[[#This Row],[HRP2]]/WWWW[[#This Row],[Total PoP ]]</f>
        <v>1</v>
      </c>
      <c r="CX53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189</v>
      </c>
      <c r="CY53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2" s="473">
        <f>IF(WWWW[[#This Row],['# of functional latrines in THF supported by WASH partners during the reporting period2]]="",0,WWWW[[#This Row],['# of functional latrines in THF supported by WASH partners during the reporting period2]]*50)</f>
        <v>0</v>
      </c>
      <c r="DB532" s="473">
        <f>WWWW[[#This Row],['# students access to functioning school latrines_HRP5]]+WWWW[[#This Row],['# People access to functioning latrines in THF_HRP5]]</f>
        <v>0</v>
      </c>
      <c r="DC532" s="867">
        <f>ROUND(IF(WWWW[[#This Row],[Location Type 1]]="camp",WWWW[[#This Row],[Total PoP ]]/20,IF(WWWW[[#This Row],[Location Type 1]]="Temporary Location",WWWW[[#This Row],[Total PoP ]]/50,(WWWW[[#This Row],[Total PoP ]]/6))),0)</f>
        <v>9</v>
      </c>
      <c r="DD532" s="867">
        <f>IF(WWWW[[#This Row],[Total required Latrines]]-(WWWW[[#This Row],['#_Constructed latrines_by_WASHAgencies]]+WWWW[[#This Row],['#_Non Cluster partner latrines]])&lt;0,0,WWWW[[#This Row],[Total required Latrines]]-(WWWW[[#This Row],['#_Constructed latrines_by_WASHAgencies]]+WWWW[[#This Row],['#_Non Cluster partner latrines]]))</f>
        <v>0</v>
      </c>
      <c r="DE532" s="869">
        <f>1-WWWW[[#This Row],[% people access to functioning Latrine]]</f>
        <v>0</v>
      </c>
      <c r="DF532" s="868">
        <f>IF(OR(WWWW[[#This Row],['#_Non-functional latrines]]="",WWWW[[#This Row],['#_Non-functional latrines]]=0),0,WWWW[[#This Row],['#_Non-functional latrines]]/(WWWW[[#This Row],['#_Constructed latrines_by_WASHAgencies]]+WWWW[[#This Row],['#_Non Cluster partner latrines]]))</f>
        <v>0</v>
      </c>
      <c r="DG532" s="864">
        <f>IF(500*(WWWW[[#This Row],['#_male hygiene promoters]]+WWWW[[#This Row],['#_female hygiene promoters]])&gt;WWWW[[#This Row],[Total PoP ]],WWWW[[#This Row],[Total PoP ]],500*(WWWW[[#This Row],['#_male hygiene promoters]]+WWWW[[#This Row],['#_female hygiene promoters]]))</f>
        <v>0</v>
      </c>
      <c r="DH53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2" s="867">
        <f>IF(WWWW[[#This Row],['# People with access to soap]]&gt;WWWW[[#This Row],['# People with access to Sanity Pads]],WWWW[[#This Row],['# People with access to soap]],WWWW[[#This Row],['# People with access to Sanity Pads]])</f>
        <v>0</v>
      </c>
      <c r="DK532"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2" s="869">
        <f>IF(WWWW[[#This Row],[HRP3]]/WWWW[[#This Row],[Total PoP ]]&gt;1,1,WWWW[[#This Row],[HRP3]]/WWWW[[#This Row],[Total PoP ]])</f>
        <v>0</v>
      </c>
      <c r="DM532" s="868">
        <f>1-WWWW[[#This Row],[Hygiene Coverage%]]</f>
        <v>1</v>
      </c>
      <c r="DN532" s="866">
        <f>WWWW[[#This Row],['# people reached by regular dedicated hygiene promotion_5]]/WWWW[[#This Row],[Total PoP ]]</f>
        <v>0</v>
      </c>
      <c r="DO53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2" s="867">
        <f>WWWW[[#This Row],['#_Constructed/Existing hand washing stations]]-WWWW[[#This Row],['#_Non-Functional_hand_washing_stations]]</f>
        <v>6</v>
      </c>
      <c r="DR532" s="864">
        <f>IF(WWWW[[#This Row],['# Functional hand washing stations during reporting period]]*20&gt;WWWW[[#This Row],[Total HH]],WWWW[[#This Row],[Total HH]],WWWW[[#This Row],['# Functional hand washing stations during reporting period]]*20)</f>
        <v>36</v>
      </c>
      <c r="DS532" s="864">
        <f>IF(WWWW[[#This Row],[Is sufficient soap available for TLS? (Yes/No)]]="yes",WWWW[[#This Row],['#_Constructed/Existing hand washing stations at TLS]],0)</f>
        <v>0</v>
      </c>
      <c r="DT532" s="479">
        <f>IF(WWWW[[#This Row],['# Functional hand washing stations during reporting period]]*100&gt;WWWW[[#This Row],[Total PoP ]],WWWW[[#This Row],[Total PoP ]],WWWW[[#This Row],['# Functional hand washing stations during reporting period]]*100)</f>
        <v>189</v>
      </c>
      <c r="DU532" s="479" t="str">
        <f>IF(OR(WWWW[[#This Row],['#_students at TLS_CFS]]="",WWWW[[#This Row],['#_students at TLS_CFS]]=0),"No","Yes")</f>
        <v>No</v>
      </c>
      <c r="DV53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2" s="862" t="str">
        <f>VLOOKUP(WWWW[[#This Row],[Site Name]],SiteDB6[[Site Name]:[CCCM Management]],6,FALSE)</f>
        <v>Yes</v>
      </c>
      <c r="DZ532" s="862" t="str">
        <f>VLOOKUP(WWWW[[#This Row],[Site Name]],SiteDB6[[Site Name]:[CCCM Focal Agency]],7,FALSE)</f>
        <v>Shalom</v>
      </c>
      <c r="EA532" s="862" t="str">
        <f>VLOOKUP(WWWW[[#This Row],[Site Name]],SiteDB6[[Site Name]:[Location Type 1]],9,FALSE)</f>
        <v>Camp</v>
      </c>
      <c r="EB532" s="862" t="str">
        <f>VLOOKUP(WWWW[[#This Row],[Site Name]],SiteDB6[[Site Name]:[Type of Accommodation]],10,FALSE)</f>
        <v>Camp</v>
      </c>
      <c r="EC532" s="862" t="str">
        <f>VLOOKUP(WWWW[[#This Row],[Site Name]],SiteDB6[[Site Name]:[Ethnic or GCA/NGCA]],11,FALSE)</f>
        <v>GCA</v>
      </c>
      <c r="ED532" s="862">
        <f>VLOOKUP(WWWW[[#This Row],[Site Name]],SiteDB6[[Site Name]:[Lat]],12,FALSE)</f>
        <v>25.345918166666699</v>
      </c>
      <c r="EE532" s="862">
        <f>VLOOKUP(WWWW[[#This Row],[Site Name]],SiteDB6[[Site Name]:[Long]],13,FALSE)</f>
        <v>97.437472666666693</v>
      </c>
      <c r="EF532" s="862" t="str">
        <f>VLOOKUP(WWWW[[#This Row],[Site Name]],SiteDB6[[Site Name]:[Pcode]],3,FALSE)</f>
        <v>MMR001CMP030</v>
      </c>
      <c r="EG532" s="865" t="str">
        <f t="shared" si="15"/>
        <v>Covered</v>
      </c>
      <c r="EH532" s="865" t="str">
        <f>VLOOKUP(WWWW[[#This Row],[Site Name]],Site_DB!$C$389:$D$1120,2,FALSE)</f>
        <v>cccm_2019OCT</v>
      </c>
    </row>
    <row r="533" spans="1:138">
      <c r="A533" s="860" t="s">
        <v>3263</v>
      </c>
      <c r="B533" s="860" t="s">
        <v>312</v>
      </c>
      <c r="C533" s="861" t="s">
        <v>312</v>
      </c>
      <c r="D533" s="861"/>
      <c r="E533" s="861" t="s">
        <v>39</v>
      </c>
      <c r="F533" s="861" t="s">
        <v>160</v>
      </c>
      <c r="G533" s="721" t="str">
        <f>VLOOKUP(WWWW[[#This Row],[Site Name]],SiteDB6[[Site Name]:[Location Type]],8,FALSE)</f>
        <v>Camp</v>
      </c>
      <c r="H533" s="861" t="s">
        <v>1043</v>
      </c>
      <c r="I533" s="851">
        <v>27</v>
      </c>
      <c r="J533" s="851">
        <v>121</v>
      </c>
      <c r="K533" s="863"/>
      <c r="L533" s="859"/>
      <c r="M533" s="851"/>
      <c r="N533" s="851"/>
      <c r="O533" s="851"/>
      <c r="P533" s="851"/>
      <c r="Q533" s="864"/>
      <c r="R533" s="851"/>
      <c r="S533" s="851"/>
      <c r="T533" s="523"/>
      <c r="U533" s="851"/>
      <c r="V533" s="851"/>
      <c r="W533" s="851"/>
      <c r="X533" s="851"/>
      <c r="Y533" s="851"/>
      <c r="Z533" s="851"/>
      <c r="AA533" s="851"/>
      <c r="AB533" s="851"/>
      <c r="AC533" s="851"/>
      <c r="AD533" s="851"/>
      <c r="AE533" s="851"/>
      <c r="AF533" s="851"/>
      <c r="AG533" s="851"/>
      <c r="AH533" s="851"/>
      <c r="AI533" s="851"/>
      <c r="AJ533" s="851"/>
      <c r="AK533" s="851"/>
      <c r="AL533" s="851"/>
      <c r="AM533" s="851"/>
      <c r="AN533" s="851"/>
      <c r="AO533" s="865"/>
      <c r="AP533" s="851"/>
      <c r="AQ533" s="851"/>
      <c r="AR533" s="866"/>
      <c r="AS533" s="851"/>
      <c r="AT533" s="851"/>
      <c r="AU533" s="851"/>
      <c r="AV533" s="851"/>
      <c r="AW533" s="851"/>
      <c r="AX533" s="862"/>
      <c r="AY533" s="865"/>
      <c r="AZ533" s="851"/>
      <c r="BA533" s="851"/>
      <c r="BB533" s="851"/>
      <c r="BC533" s="523"/>
      <c r="BD533" s="523"/>
      <c r="BE533" s="862"/>
      <c r="BF533" s="851"/>
      <c r="BG533" s="851"/>
      <c r="BH533" s="851"/>
      <c r="BI533" s="851"/>
      <c r="BJ533" s="851"/>
      <c r="BK533" s="851"/>
      <c r="BL533" s="851"/>
      <c r="BM533" s="851"/>
      <c r="BN533" s="851"/>
      <c r="BO533" s="862"/>
      <c r="BP533" s="867"/>
      <c r="BQ533" s="866"/>
      <c r="BR533" s="862"/>
      <c r="BS533" s="472"/>
      <c r="BT533" s="472"/>
      <c r="BU533" s="474"/>
      <c r="BV533" s="472"/>
      <c r="BW533" s="523"/>
      <c r="BX533" s="523"/>
      <c r="BY533" s="523"/>
      <c r="BZ533" s="868" t="str">
        <f>IFERROR(WWWW[[#This Row],['#_Water sources passed]]/WWWW[[#This Row],['#_Water sources tested for fecal coliform ]],"no test")</f>
        <v>no test</v>
      </c>
      <c r="CA533" s="866" t="str">
        <f>IFERROR(WWWW[[#This Row],['#_Household passed]]/WWWW[[#This Row],['#_Household water samples tested for fecal coliform]],"no test")</f>
        <v>no test</v>
      </c>
      <c r="CB533" s="867" t="str">
        <f>IF(AND(WWWW[[#This Row],[% of water sources passed]]="no test",WWWW[[#This Row],[% Household passed]]="no test"),"No Test","Tested")</f>
        <v>No Test</v>
      </c>
      <c r="CC533" s="867">
        <f>WWWW[[#This Row],['#_Constructed/existing protected hand dug well]]-WWWW[[#This Row],['#_Non-functional protected hand dug well]]</f>
        <v>0</v>
      </c>
      <c r="CD533" s="867">
        <f>(WWWW[[#This Row],['#_Constructed/Existing tube wells/boreholes/handpumps_WASH_agency]]+WWWW[[#This Row],['#_Non-Cluster partner water tube-wells/boreholes/handpumps]])-WWWW[[#This Row],['#_Non-functional tube wells/boreholes/handpumps]]</f>
        <v>0</v>
      </c>
      <c r="CE533" s="867">
        <f>WWWW[[#This Row],['#_Constructed/Existingwater storage tank with gravity fed reticulation system]]-WWWW[[#This Row],['#_Non-functional storage tank gravity fed reticulation system]]</f>
        <v>0</v>
      </c>
      <c r="CF533" s="867">
        <f>(WWWW[[#This Row],['#_Water_Liters_supplied_by_Water boating or water trucking]]/90)/15</f>
        <v>0</v>
      </c>
      <c r="CG533" s="867">
        <f>WWWW[[#This Row],['#_Water_Liters_from_Constructed/Existing water distribution system from river or natural spring]]/90/15</f>
        <v>0</v>
      </c>
      <c r="CH533" s="473">
        <f>WWWW[[#This Row],['#_of water points in TLS/CFS /THF]]*500</f>
        <v>0</v>
      </c>
      <c r="CI53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3" s="866">
        <f>IF(WWWW[[#This Row],[Location Type 1]]="Village",WWWW[[#This Row],[Access to safe drinking water for Village]],WWWW[[#This Row],[Access to safe drinking water for Camp]])</f>
        <v>0</v>
      </c>
      <c r="CL533" s="864">
        <f>WWWW[[#This Row],[%Equitable and continuous access to sufficient quantity of safe drinking water]]*WWWW[[#This Row],[Total PoP ]]</f>
        <v>0</v>
      </c>
      <c r="CM533" s="866">
        <f>IF((WWWW[[#This Row],['#_Constructed/Existing protected/fenced ponds]]*250)/WWWW[[#This Row],[Total PoP ]]&gt;1,1,(WWWW[[#This Row],['#_Constructed/Existing protected/fenced ponds]]*250)/WWWW[[#This Row],[Total PoP ]])</f>
        <v>0</v>
      </c>
      <c r="CN533" s="864">
        <f>WWWW[[#This Row],[% Access to unimproved water points]]*WWWW[[#This Row],[Total PoP ]]</f>
        <v>0</v>
      </c>
      <c r="CO53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3" s="864">
        <f>WWWW[[#This Row],[HRP1]]/500</f>
        <v>0</v>
      </c>
      <c r="CR533" s="869">
        <f>1-WWWW[[#This Row],[% Equitable and continuous access to sufficient quantity of domestic water]]</f>
        <v>1</v>
      </c>
      <c r="CS533" s="864">
        <f>WWWW[[#This Row],[%equitable and continuous access to sufficient quantity of safe drinking and domestic water''s GAP]]*WWWW[[#This Row],[Total PoP ]]</f>
        <v>121</v>
      </c>
      <c r="CT533" s="867">
        <f>IF(WWWW[[#This Row],[Total required water points]]-WWWW[[#This Row],['#Water points coverage]]&lt;0,0,WWWW[[#This Row],[Total required water points]]-WWWW[[#This Row],['#Water points coverage]])</f>
        <v>1</v>
      </c>
      <c r="CU533" s="867">
        <f>ROUND(IF(WWWW[[#This Row],[Total PoP ]]&lt;500,1,WWWW[[#This Row],[Total PoP ]]/500),0)</f>
        <v>1</v>
      </c>
      <c r="CV533" s="867">
        <f>(WWWW[[#This Row],['#_Constructed latrines_by_WASHAgencies]]+WWWW[[#This Row],['#_Non Cluster partner latrines]])-WWWW[[#This Row],['#_Non-functional latrines]]</f>
        <v>0</v>
      </c>
      <c r="CW533" s="804">
        <f>WWWW[[#This Row],[HRP2]]/WWWW[[#This Row],[Total PoP ]]</f>
        <v>0</v>
      </c>
      <c r="CX53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3" s="473">
        <f>IF(WWWW[[#This Row],['# of functional latrines in THF supported by WASH partners during the reporting period2]]="",0,WWWW[[#This Row],['# of functional latrines in THF supported by WASH partners during the reporting period2]]*50)</f>
        <v>0</v>
      </c>
      <c r="DB533" s="473">
        <f>WWWW[[#This Row],['# students access to functioning school latrines_HRP5]]+WWWW[[#This Row],['# People access to functioning latrines in THF_HRP5]]</f>
        <v>0</v>
      </c>
      <c r="DC533" s="867">
        <f>ROUND(IF(WWWW[[#This Row],[Location Type 1]]="camp",WWWW[[#This Row],[Total PoP ]]/20,IF(WWWW[[#This Row],[Location Type 1]]="Temporary Location",WWWW[[#This Row],[Total PoP ]]/50,(WWWW[[#This Row],[Total PoP ]]/6))),0)</f>
        <v>6</v>
      </c>
      <c r="DD533" s="867">
        <f>IF(WWWW[[#This Row],[Total required Latrines]]-(WWWW[[#This Row],['#_Constructed latrines_by_WASHAgencies]]+WWWW[[#This Row],['#_Non Cluster partner latrines]])&lt;0,0,WWWW[[#This Row],[Total required Latrines]]-(WWWW[[#This Row],['#_Constructed latrines_by_WASHAgencies]]+WWWW[[#This Row],['#_Non Cluster partner latrines]]))</f>
        <v>6</v>
      </c>
      <c r="DE533" s="869">
        <f>1-WWWW[[#This Row],[% people access to functioning Latrine]]</f>
        <v>1</v>
      </c>
      <c r="DF533" s="868">
        <f>IF(OR(WWWW[[#This Row],['#_Non-functional latrines]]="",WWWW[[#This Row],['#_Non-functional latrines]]=0),0,WWWW[[#This Row],['#_Non-functional latrines]]/(WWWW[[#This Row],['#_Constructed latrines_by_WASHAgencies]]+WWWW[[#This Row],['#_Non Cluster partner latrines]]))</f>
        <v>0</v>
      </c>
      <c r="DG533" s="864">
        <f>IF(500*(WWWW[[#This Row],['#_male hygiene promoters]]+WWWW[[#This Row],['#_female hygiene promoters]])&gt;WWWW[[#This Row],[Total PoP ]],WWWW[[#This Row],[Total PoP ]],500*(WWWW[[#This Row],['#_male hygiene promoters]]+WWWW[[#This Row],['#_female hygiene promoters]]))</f>
        <v>0</v>
      </c>
      <c r="DH53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3" s="867">
        <f>IF(WWWW[[#This Row],['# People with access to soap]]&gt;WWWW[[#This Row],['# People with access to Sanity Pads]],WWWW[[#This Row],['# People with access to soap]],WWWW[[#This Row],['# People with access to Sanity Pads]])</f>
        <v>0</v>
      </c>
      <c r="DK53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3" s="869">
        <f>IF(WWWW[[#This Row],[HRP3]]/WWWW[[#This Row],[Total PoP ]]&gt;1,1,WWWW[[#This Row],[HRP3]]/WWWW[[#This Row],[Total PoP ]])</f>
        <v>0</v>
      </c>
      <c r="DM533" s="868">
        <f>1-WWWW[[#This Row],[Hygiene Coverage%]]</f>
        <v>1</v>
      </c>
      <c r="DN533" s="866">
        <f>WWWW[[#This Row],['# people reached by regular dedicated hygiene promotion_5]]/WWWW[[#This Row],[Total PoP ]]</f>
        <v>0</v>
      </c>
      <c r="DO53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3" s="867">
        <f>WWWW[[#This Row],['#_Constructed/Existing hand washing stations]]-WWWW[[#This Row],['#_Non-Functional_hand_washing_stations]]</f>
        <v>0</v>
      </c>
      <c r="DR533" s="864">
        <f>IF(WWWW[[#This Row],['# Functional hand washing stations during reporting period]]*20&gt;WWWW[[#This Row],[Total HH]],WWWW[[#This Row],[Total HH]],WWWW[[#This Row],['# Functional hand washing stations during reporting period]]*20)</f>
        <v>0</v>
      </c>
      <c r="DS533" s="864">
        <f>IF(WWWW[[#This Row],[Is sufficient soap available for TLS? (Yes/No)]]="yes",WWWW[[#This Row],['#_Constructed/Existing hand washing stations at TLS]],0)</f>
        <v>0</v>
      </c>
      <c r="DT533" s="479">
        <f>IF(WWWW[[#This Row],['# Functional hand washing stations during reporting period]]*100&gt;WWWW[[#This Row],[Total PoP ]],WWWW[[#This Row],[Total PoP ]],WWWW[[#This Row],['# Functional hand washing stations during reporting period]]*100)</f>
        <v>0</v>
      </c>
      <c r="DU533" s="479" t="str">
        <f>IF(OR(WWWW[[#This Row],['#_students at TLS_CFS]]="",WWWW[[#This Row],['#_students at TLS_CFS]]=0),"No","Yes")</f>
        <v>No</v>
      </c>
      <c r="DV53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3" s="862">
        <f>VLOOKUP(WWWW[[#This Row],[Site Name]],SiteDB6[[Site Name]:[CCCM Management]],6,FALSE)</f>
        <v>0</v>
      </c>
      <c r="DZ533" s="862" t="str">
        <f>VLOOKUP(WWWW[[#This Row],[Site Name]],SiteDB6[[Site Name]:[CCCM Focal Agency]],7,FALSE)</f>
        <v>uncovered</v>
      </c>
      <c r="EA533" s="862" t="str">
        <f>VLOOKUP(WWWW[[#This Row],[Site Name]],SiteDB6[[Site Name]:[Location Type 1]],9,FALSE)</f>
        <v>Camp</v>
      </c>
      <c r="EB533" s="862" t="str">
        <f>VLOOKUP(WWWW[[#This Row],[Site Name]],SiteDB6[[Site Name]:[Type of Accommodation]],10,FALSE)</f>
        <v>Host Families</v>
      </c>
      <c r="EC533" s="862" t="str">
        <f>VLOOKUP(WWWW[[#This Row],[Site Name]],SiteDB6[[Site Name]:[Ethnic or GCA/NGCA]],11,FALSE)</f>
        <v>GCA</v>
      </c>
      <c r="ED533" s="862">
        <f>VLOOKUP(WWWW[[#This Row],[Site Name]],SiteDB6[[Site Name]:[Lat]],12,FALSE)</f>
        <v>24.996279999999999</v>
      </c>
      <c r="EE533" s="862">
        <f>VLOOKUP(WWWW[[#This Row],[Site Name]],SiteDB6[[Site Name]:[Long]],13,FALSE)</f>
        <v>96.52534</v>
      </c>
      <c r="EF533" s="862" t="str">
        <f>VLOOKUP(WWWW[[#This Row],[Site Name]],SiteDB6[[Site Name]:[Pcode]],3,FALSE)</f>
        <v>MMR001CMP232</v>
      </c>
      <c r="EG533" s="865" t="str">
        <f t="shared" si="15"/>
        <v>Notcovered</v>
      </c>
      <c r="EH533" s="865" t="str">
        <f>VLOOKUP(WWWW[[#This Row],[Site Name]],Site_DB!$C$389:$D$1120,2,FALSE)</f>
        <v>cccm_2019OCT</v>
      </c>
    </row>
    <row r="534" spans="1:138">
      <c r="A534" s="860" t="s">
        <v>3263</v>
      </c>
      <c r="B534" s="860" t="s">
        <v>312</v>
      </c>
      <c r="C534" s="861" t="s">
        <v>312</v>
      </c>
      <c r="D534" s="861"/>
      <c r="E534" s="861" t="s">
        <v>39</v>
      </c>
      <c r="F534" s="861" t="s">
        <v>208</v>
      </c>
      <c r="G534" s="721" t="str">
        <f>VLOOKUP(WWWW[[#This Row],[Site Name]],SiteDB6[[Site Name]:[Location Type]],8,FALSE)</f>
        <v>Camp</v>
      </c>
      <c r="H534" s="861" t="s">
        <v>3058</v>
      </c>
      <c r="I534" s="851"/>
      <c r="J534" s="851">
        <v>26</v>
      </c>
      <c r="K534" s="863"/>
      <c r="L534" s="859"/>
      <c r="M534" s="851"/>
      <c r="N534" s="851"/>
      <c r="O534" s="851"/>
      <c r="P534" s="851"/>
      <c r="Q534" s="864"/>
      <c r="R534" s="851"/>
      <c r="S534" s="851">
        <v>4</v>
      </c>
      <c r="T534" s="523"/>
      <c r="U534" s="851"/>
      <c r="V534" s="851"/>
      <c r="W534" s="851"/>
      <c r="X534" s="851"/>
      <c r="Y534" s="851"/>
      <c r="Z534" s="851"/>
      <c r="AA534" s="851"/>
      <c r="AB534" s="851"/>
      <c r="AC534" s="851"/>
      <c r="AD534" s="851"/>
      <c r="AE534" s="851"/>
      <c r="AF534" s="851"/>
      <c r="AG534" s="851"/>
      <c r="AH534" s="851"/>
      <c r="AI534" s="851"/>
      <c r="AJ534" s="851"/>
      <c r="AK534" s="851"/>
      <c r="AL534" s="851"/>
      <c r="AM534" s="851"/>
      <c r="AN534" s="851"/>
      <c r="AO534" s="865"/>
      <c r="AP534" s="851"/>
      <c r="AQ534" s="851"/>
      <c r="AR534" s="866"/>
      <c r="AS534" s="851"/>
      <c r="AT534" s="851"/>
      <c r="AU534" s="851"/>
      <c r="AV534" s="851"/>
      <c r="AW534" s="851"/>
      <c r="AX534" s="862"/>
      <c r="AY534" s="865"/>
      <c r="AZ534" s="851"/>
      <c r="BA534" s="851"/>
      <c r="BB534" s="851"/>
      <c r="BC534" s="523"/>
      <c r="BD534" s="523"/>
      <c r="BE534" s="862"/>
      <c r="BF534" s="851"/>
      <c r="BG534" s="851"/>
      <c r="BH534" s="851"/>
      <c r="BI534" s="851"/>
      <c r="BJ534" s="851"/>
      <c r="BK534" s="851"/>
      <c r="BL534" s="851"/>
      <c r="BM534" s="851"/>
      <c r="BN534" s="851"/>
      <c r="BO534" s="862"/>
      <c r="BP534" s="867"/>
      <c r="BQ534" s="866"/>
      <c r="BR534" s="862"/>
      <c r="BS534" s="472"/>
      <c r="BT534" s="472"/>
      <c r="BU534" s="474"/>
      <c r="BV534" s="472"/>
      <c r="BW534" s="523"/>
      <c r="BX534" s="523"/>
      <c r="BY534" s="523"/>
      <c r="BZ534" s="868" t="str">
        <f>IFERROR(WWWW[[#This Row],['#_Water sources passed]]/WWWW[[#This Row],['#_Water sources tested for fecal coliform ]],"no test")</f>
        <v>no test</v>
      </c>
      <c r="CA534" s="866" t="str">
        <f>IFERROR(WWWW[[#This Row],['#_Household passed]]/WWWW[[#This Row],['#_Household water samples tested for fecal coliform]],"no test")</f>
        <v>no test</v>
      </c>
      <c r="CB534" s="867" t="str">
        <f>IF(AND(WWWW[[#This Row],[% of water sources passed]]="no test",WWWW[[#This Row],[% Household passed]]="no test"),"No Test","Tested")</f>
        <v>No Test</v>
      </c>
      <c r="CC534" s="867">
        <f>WWWW[[#This Row],['#_Constructed/existing protected hand dug well]]-WWWW[[#This Row],['#_Non-functional protected hand dug well]]</f>
        <v>0</v>
      </c>
      <c r="CD534" s="867">
        <f>(WWWW[[#This Row],['#_Constructed/Existing tube wells/boreholes/handpumps_WASH_agency]]+WWWW[[#This Row],['#_Non-Cluster partner water tube-wells/boreholes/handpumps]])-WWWW[[#This Row],['#_Non-functional tube wells/boreholes/handpumps]]</f>
        <v>0</v>
      </c>
      <c r="CE534" s="867">
        <f>WWWW[[#This Row],['#_Constructed/Existingwater storage tank with gravity fed reticulation system]]-WWWW[[#This Row],['#_Non-functional storage tank gravity fed reticulation system]]</f>
        <v>0</v>
      </c>
      <c r="CF534" s="867">
        <f>(WWWW[[#This Row],['#_Water_Liters_supplied_by_Water boating or water trucking]]/90)/15</f>
        <v>0</v>
      </c>
      <c r="CG534" s="867">
        <f>WWWW[[#This Row],['#_Water_Liters_from_Constructed/Existing water distribution system from river or natural spring]]/90/15</f>
        <v>0</v>
      </c>
      <c r="CH534" s="473">
        <f>WWWW[[#This Row],['#_of water points in TLS/CFS /THF]]*500</f>
        <v>0</v>
      </c>
      <c r="CI53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4" s="866">
        <f>IF(WWWW[[#This Row],[Location Type 1]]="Village",WWWW[[#This Row],[Access to safe drinking water for Village]],WWWW[[#This Row],[Access to safe drinking water for Camp]])</f>
        <v>0</v>
      </c>
      <c r="CL534" s="864">
        <f>WWWW[[#This Row],[%Equitable and continuous access to sufficient quantity of safe drinking water]]*WWWW[[#This Row],[Total PoP ]]</f>
        <v>0</v>
      </c>
      <c r="CM534" s="866">
        <f>IF((WWWW[[#This Row],['#_Constructed/Existing protected/fenced ponds]]*250)/WWWW[[#This Row],[Total PoP ]]&gt;1,1,(WWWW[[#This Row],['#_Constructed/Existing protected/fenced ponds]]*250)/WWWW[[#This Row],[Total PoP ]])</f>
        <v>0</v>
      </c>
      <c r="CN534" s="864">
        <f>WWWW[[#This Row],[% Access to unimproved water points]]*WWWW[[#This Row],[Total PoP ]]</f>
        <v>0</v>
      </c>
      <c r="CO53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4" s="864">
        <f>WWWW[[#This Row],[HRP1]]/500</f>
        <v>0</v>
      </c>
      <c r="CR534" s="869">
        <f>1-WWWW[[#This Row],[% Equitable and continuous access to sufficient quantity of domestic water]]</f>
        <v>1</v>
      </c>
      <c r="CS534" s="864">
        <f>WWWW[[#This Row],[%equitable and continuous access to sufficient quantity of safe drinking and domestic water''s GAP]]*WWWW[[#This Row],[Total PoP ]]</f>
        <v>26</v>
      </c>
      <c r="CT534" s="867">
        <f>IF(WWWW[[#This Row],[Total required water points]]-WWWW[[#This Row],['#Water points coverage]]&lt;0,0,WWWW[[#This Row],[Total required water points]]-WWWW[[#This Row],['#Water points coverage]])</f>
        <v>1</v>
      </c>
      <c r="CU534" s="867">
        <f>ROUND(IF(WWWW[[#This Row],[Total PoP ]]&lt;500,1,WWWW[[#This Row],[Total PoP ]]/500),0)</f>
        <v>1</v>
      </c>
      <c r="CV534" s="867">
        <f>(WWWW[[#This Row],['#_Constructed latrines_by_WASHAgencies]]+WWWW[[#This Row],['#_Non Cluster partner latrines]])-WWWW[[#This Row],['#_Non-functional latrines]]</f>
        <v>0</v>
      </c>
      <c r="CW534" s="804">
        <f>WWWW[[#This Row],[HRP2]]/WWWW[[#This Row],[Total PoP ]]</f>
        <v>0</v>
      </c>
      <c r="CX53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4" s="473">
        <f>IF(WWWW[[#This Row],['# of functional latrines in THF supported by WASH partners during the reporting period2]]="",0,WWWW[[#This Row],['# of functional latrines in THF supported by WASH partners during the reporting period2]]*50)</f>
        <v>0</v>
      </c>
      <c r="DB534" s="473">
        <f>WWWW[[#This Row],['# students access to functioning school latrines_HRP5]]+WWWW[[#This Row],['# People access to functioning latrines in THF_HRP5]]</f>
        <v>0</v>
      </c>
      <c r="DC534" s="867">
        <f>ROUND(IF(WWWW[[#This Row],[Location Type 1]]="camp",WWWW[[#This Row],[Total PoP ]]/20,IF(WWWW[[#This Row],[Location Type 1]]="Temporary Location",WWWW[[#This Row],[Total PoP ]]/50,(WWWW[[#This Row],[Total PoP ]]/6))),0)</f>
        <v>1</v>
      </c>
      <c r="DD534" s="867">
        <f>IF(WWWW[[#This Row],[Total required Latrines]]-(WWWW[[#This Row],['#_Constructed latrines_by_WASHAgencies]]+WWWW[[#This Row],['#_Non Cluster partner latrines]])&lt;0,0,WWWW[[#This Row],[Total required Latrines]]-(WWWW[[#This Row],['#_Constructed latrines_by_WASHAgencies]]+WWWW[[#This Row],['#_Non Cluster partner latrines]]))</f>
        <v>1</v>
      </c>
      <c r="DE534" s="869">
        <f>1-WWWW[[#This Row],[% people access to functioning Latrine]]</f>
        <v>1</v>
      </c>
      <c r="DF534" s="868">
        <f>IF(OR(WWWW[[#This Row],['#_Non-functional latrines]]="",WWWW[[#This Row],['#_Non-functional latrines]]=0),0,WWWW[[#This Row],['#_Non-functional latrines]]/(WWWW[[#This Row],['#_Constructed latrines_by_WASHAgencies]]+WWWW[[#This Row],['#_Non Cluster partner latrines]]))</f>
        <v>0</v>
      </c>
      <c r="DG534" s="864">
        <f>IF(500*(WWWW[[#This Row],['#_male hygiene promoters]]+WWWW[[#This Row],['#_female hygiene promoters]])&gt;WWWW[[#This Row],[Total PoP ]],WWWW[[#This Row],[Total PoP ]],500*(WWWW[[#This Row],['#_male hygiene promoters]]+WWWW[[#This Row],['#_female hygiene promoters]]))</f>
        <v>0</v>
      </c>
      <c r="DH53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4" s="867">
        <f>IF(WWWW[[#This Row],['# People with access to soap]]&gt;WWWW[[#This Row],['# People with access to Sanity Pads]],WWWW[[#This Row],['# People with access to soap]],WWWW[[#This Row],['# People with access to Sanity Pads]])</f>
        <v>0</v>
      </c>
      <c r="DK534"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4" s="869">
        <f>IF(WWWW[[#This Row],[HRP3]]/WWWW[[#This Row],[Total PoP ]]&gt;1,1,WWWW[[#This Row],[HRP3]]/WWWW[[#This Row],[Total PoP ]])</f>
        <v>0</v>
      </c>
      <c r="DM534" s="868">
        <f>1-WWWW[[#This Row],[Hygiene Coverage%]]</f>
        <v>1</v>
      </c>
      <c r="DN534" s="866">
        <f>WWWW[[#This Row],['# people reached by regular dedicated hygiene promotion_5]]/WWWW[[#This Row],[Total PoP ]]</f>
        <v>0</v>
      </c>
      <c r="DO534" s="868"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534" s="866"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534" s="867">
        <f>WWWW[[#This Row],['#_Constructed/Existing hand washing stations]]-WWWW[[#This Row],['#_Non-Functional_hand_washing_stations]]</f>
        <v>0</v>
      </c>
      <c r="DR534" s="864">
        <f>IF(WWWW[[#This Row],['# Functional hand washing stations during reporting period]]*20&gt;WWWW[[#This Row],[Total HH]],WWWW[[#This Row],[Total HH]],WWWW[[#This Row],['# Functional hand washing stations during reporting period]]*20)</f>
        <v>0</v>
      </c>
      <c r="DS534" s="864">
        <f>IF(WWWW[[#This Row],[Is sufficient soap available for TLS? (Yes/No)]]="yes",WWWW[[#This Row],['#_Constructed/Existing hand washing stations at TLS]],0)</f>
        <v>0</v>
      </c>
      <c r="DT534" s="479">
        <f>IF(WWWW[[#This Row],['# Functional hand washing stations during reporting period]]*100&gt;WWWW[[#This Row],[Total PoP ]],WWWW[[#This Row],[Total PoP ]],WWWW[[#This Row],['# Functional hand washing stations during reporting period]]*100)</f>
        <v>0</v>
      </c>
      <c r="DU534" s="479" t="str">
        <f>IF(OR(WWWW[[#This Row],['#_students at TLS_CFS]]="",WWWW[[#This Row],['#_students at TLS_CFS]]=0),"No","Yes")</f>
        <v>No</v>
      </c>
      <c r="DV53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4" s="862">
        <f>VLOOKUP(WWWW[[#This Row],[Site Name]],SiteDB6[[Site Name]:[CCCM Management]],6,FALSE)</f>
        <v>0</v>
      </c>
      <c r="DZ534" s="862" t="str">
        <f>VLOOKUP(WWWW[[#This Row],[Site Name]],SiteDB6[[Site Name]:[CCCM Focal Agency]],7,FALSE)</f>
        <v>uncovered</v>
      </c>
      <c r="EA534" s="862" t="str">
        <f>VLOOKUP(WWWW[[#This Row],[Site Name]],SiteDB6[[Site Name]:[Location Type 1]],9,FALSE)</f>
        <v>Camp</v>
      </c>
      <c r="EB534" s="862" t="str">
        <f>VLOOKUP(WWWW[[#This Row],[Site Name]],SiteDB6[[Site Name]:[Type of Accommodation]],10,FALSE)</f>
        <v>Boarding School</v>
      </c>
      <c r="EC534" s="862" t="str">
        <f>VLOOKUP(WWWW[[#This Row],[Site Name]],SiteDB6[[Site Name]:[Ethnic or GCA/NGCA]],11,FALSE)</f>
        <v>GCA</v>
      </c>
      <c r="ED534" s="862">
        <f>VLOOKUP(WWWW[[#This Row],[Site Name]],SiteDB6[[Site Name]:[Lat]],12,FALSE)</f>
        <v>24.613662999999999</v>
      </c>
      <c r="EE534" s="862">
        <f>VLOOKUP(WWWW[[#This Row],[Site Name]],SiteDB6[[Site Name]:[Long]],13,FALSE)</f>
        <v>97.461727999999994</v>
      </c>
      <c r="EF534" s="862" t="str">
        <f>VLOOKUP(WWWW[[#This Row],[Site Name]],SiteDB6[[Site Name]:[Pcode]],3,FALSE)</f>
        <v>MMR001CMP274</v>
      </c>
      <c r="EG534" s="865" t="str">
        <f t="shared" si="15"/>
        <v>Notcovered</v>
      </c>
      <c r="EH534" s="865" t="str">
        <f>VLOOKUP(WWWW[[#This Row],[Site Name]],Site_DB!$C$389:$D$1120,2,FALSE)</f>
        <v>cccm_2019OCT</v>
      </c>
    </row>
    <row r="535" spans="1:138">
      <c r="A535" s="860" t="s">
        <v>3263</v>
      </c>
      <c r="B535" s="860" t="s">
        <v>312</v>
      </c>
      <c r="C535" s="861" t="s">
        <v>312</v>
      </c>
      <c r="D535" s="861"/>
      <c r="E535" s="861" t="s">
        <v>39</v>
      </c>
      <c r="F535" s="861" t="s">
        <v>176</v>
      </c>
      <c r="G535" s="721" t="str">
        <f>VLOOKUP(WWWW[[#This Row],[Site Name]],SiteDB6[[Site Name]:[Location Type]],8,FALSE)</f>
        <v>Camp</v>
      </c>
      <c r="H535" s="861" t="s">
        <v>1083</v>
      </c>
      <c r="I535" s="851">
        <v>10</v>
      </c>
      <c r="J535" s="851">
        <v>56</v>
      </c>
      <c r="K535" s="863"/>
      <c r="L535" s="859"/>
      <c r="M535" s="851"/>
      <c r="N535" s="851"/>
      <c r="O535" s="851"/>
      <c r="P535" s="851"/>
      <c r="Q535" s="864"/>
      <c r="R535" s="851"/>
      <c r="S535" s="851">
        <v>3</v>
      </c>
      <c r="T535" s="523"/>
      <c r="U535" s="851"/>
      <c r="V535" s="851"/>
      <c r="W535" s="851"/>
      <c r="X535" s="851"/>
      <c r="Y535" s="851"/>
      <c r="Z535" s="851"/>
      <c r="AA535" s="851"/>
      <c r="AB535" s="851"/>
      <c r="AC535" s="851"/>
      <c r="AD535" s="851"/>
      <c r="AE535" s="851"/>
      <c r="AF535" s="851"/>
      <c r="AG535" s="851"/>
      <c r="AH535" s="851"/>
      <c r="AI535" s="851"/>
      <c r="AJ535" s="851"/>
      <c r="AK535" s="851"/>
      <c r="AL535" s="851"/>
      <c r="AM535" s="851"/>
      <c r="AN535" s="851"/>
      <c r="AO535" s="865"/>
      <c r="AP535" s="851"/>
      <c r="AQ535" s="851"/>
      <c r="AR535" s="866"/>
      <c r="AS535" s="851"/>
      <c r="AT535" s="851"/>
      <c r="AU535" s="851"/>
      <c r="AV535" s="851"/>
      <c r="AW535" s="851"/>
      <c r="AX535" s="862"/>
      <c r="AY535" s="865"/>
      <c r="AZ535" s="851"/>
      <c r="BA535" s="851"/>
      <c r="BB535" s="851"/>
      <c r="BC535" s="523"/>
      <c r="BD535" s="523"/>
      <c r="BE535" s="862"/>
      <c r="BF535" s="851"/>
      <c r="BG535" s="851"/>
      <c r="BH535" s="851"/>
      <c r="BI535" s="851"/>
      <c r="BJ535" s="851"/>
      <c r="BK535" s="851"/>
      <c r="BL535" s="851"/>
      <c r="BM535" s="851"/>
      <c r="BN535" s="851"/>
      <c r="BO535" s="862"/>
      <c r="BP535" s="867"/>
      <c r="BQ535" s="866"/>
      <c r="BR535" s="862"/>
      <c r="BS535" s="472"/>
      <c r="BT535" s="472"/>
      <c r="BU535" s="474"/>
      <c r="BV535" s="472"/>
      <c r="BW535" s="523"/>
      <c r="BX535" s="523"/>
      <c r="BY535" s="523"/>
      <c r="BZ535" s="868" t="str">
        <f>IFERROR(WWWW[[#This Row],['#_Water sources passed]]/WWWW[[#This Row],['#_Water sources tested for fecal coliform ]],"no test")</f>
        <v>no test</v>
      </c>
      <c r="CA535" s="866" t="str">
        <f>IFERROR(WWWW[[#This Row],['#_Household passed]]/WWWW[[#This Row],['#_Household water samples tested for fecal coliform]],"no test")</f>
        <v>no test</v>
      </c>
      <c r="CB535" s="867" t="str">
        <f>IF(AND(WWWW[[#This Row],[% of water sources passed]]="no test",WWWW[[#This Row],[% Household passed]]="no test"),"No Test","Tested")</f>
        <v>No Test</v>
      </c>
      <c r="CC535" s="867">
        <f>WWWW[[#This Row],['#_Constructed/existing protected hand dug well]]-WWWW[[#This Row],['#_Non-functional protected hand dug well]]</f>
        <v>0</v>
      </c>
      <c r="CD535" s="867">
        <f>(WWWW[[#This Row],['#_Constructed/Existing tube wells/boreholes/handpumps_WASH_agency]]+WWWW[[#This Row],['#_Non-Cluster partner water tube-wells/boreholes/handpumps]])-WWWW[[#This Row],['#_Non-functional tube wells/boreholes/handpumps]]</f>
        <v>0</v>
      </c>
      <c r="CE535" s="867">
        <f>WWWW[[#This Row],['#_Constructed/Existingwater storage tank with gravity fed reticulation system]]-WWWW[[#This Row],['#_Non-functional storage tank gravity fed reticulation system]]</f>
        <v>0</v>
      </c>
      <c r="CF535" s="867">
        <f>(WWWW[[#This Row],['#_Water_Liters_supplied_by_Water boating or water trucking]]/90)/15</f>
        <v>0</v>
      </c>
      <c r="CG535" s="867">
        <f>WWWW[[#This Row],['#_Water_Liters_from_Constructed/Existing water distribution system from river or natural spring]]/90/15</f>
        <v>0</v>
      </c>
      <c r="CH535" s="473">
        <f>WWWW[[#This Row],['#_of water points in TLS/CFS /THF]]*500</f>
        <v>0</v>
      </c>
      <c r="CI53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5" s="866">
        <f>IF(WWWW[[#This Row],[Location Type 1]]="Village",WWWW[[#This Row],[Access to safe drinking water for Village]],WWWW[[#This Row],[Access to safe drinking water for Camp]])</f>
        <v>0</v>
      </c>
      <c r="CL535" s="864">
        <f>WWWW[[#This Row],[%Equitable and continuous access to sufficient quantity of safe drinking water]]*WWWW[[#This Row],[Total PoP ]]</f>
        <v>0</v>
      </c>
      <c r="CM535" s="866">
        <f>IF((WWWW[[#This Row],['#_Constructed/Existing protected/fenced ponds]]*250)/WWWW[[#This Row],[Total PoP ]]&gt;1,1,(WWWW[[#This Row],['#_Constructed/Existing protected/fenced ponds]]*250)/WWWW[[#This Row],[Total PoP ]])</f>
        <v>0</v>
      </c>
      <c r="CN535" s="864">
        <f>WWWW[[#This Row],[% Access to unimproved water points]]*WWWW[[#This Row],[Total PoP ]]</f>
        <v>0</v>
      </c>
      <c r="CO53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5" s="864">
        <f>WWWW[[#This Row],[HRP1]]/500</f>
        <v>0</v>
      </c>
      <c r="CR535" s="869">
        <f>1-WWWW[[#This Row],[% Equitable and continuous access to sufficient quantity of domestic water]]</f>
        <v>1</v>
      </c>
      <c r="CS535" s="864">
        <f>WWWW[[#This Row],[%equitable and continuous access to sufficient quantity of safe drinking and domestic water''s GAP]]*WWWW[[#This Row],[Total PoP ]]</f>
        <v>56</v>
      </c>
      <c r="CT535" s="867">
        <f>IF(WWWW[[#This Row],[Total required water points]]-WWWW[[#This Row],['#Water points coverage]]&lt;0,0,WWWW[[#This Row],[Total required water points]]-WWWW[[#This Row],['#Water points coverage]])</f>
        <v>1</v>
      </c>
      <c r="CU535" s="867">
        <f>ROUND(IF(WWWW[[#This Row],[Total PoP ]]&lt;500,1,WWWW[[#This Row],[Total PoP ]]/500),0)</f>
        <v>1</v>
      </c>
      <c r="CV535" s="867">
        <f>(WWWW[[#This Row],['#_Constructed latrines_by_WASHAgencies]]+WWWW[[#This Row],['#_Non Cluster partner latrines]])-WWWW[[#This Row],['#_Non-functional latrines]]</f>
        <v>0</v>
      </c>
      <c r="CW535" s="804">
        <f>WWWW[[#This Row],[HRP2]]/WWWW[[#This Row],[Total PoP ]]</f>
        <v>0</v>
      </c>
      <c r="CX53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5" s="473">
        <f>IF(WWWW[[#This Row],['# of functional latrines in THF supported by WASH partners during the reporting period2]]="",0,WWWW[[#This Row],['# of functional latrines in THF supported by WASH partners during the reporting period2]]*50)</f>
        <v>0</v>
      </c>
      <c r="DB535" s="473">
        <f>WWWW[[#This Row],['# students access to functioning school latrines_HRP5]]+WWWW[[#This Row],['# People access to functioning latrines in THF_HRP5]]</f>
        <v>0</v>
      </c>
      <c r="DC535" s="867">
        <f>ROUND(IF(WWWW[[#This Row],[Location Type 1]]="camp",WWWW[[#This Row],[Total PoP ]]/20,IF(WWWW[[#This Row],[Location Type 1]]="Temporary Location",WWWW[[#This Row],[Total PoP ]]/50,(WWWW[[#This Row],[Total PoP ]]/6))),0)</f>
        <v>3</v>
      </c>
      <c r="DD535" s="867">
        <f>IF(WWWW[[#This Row],[Total required Latrines]]-(WWWW[[#This Row],['#_Constructed latrines_by_WASHAgencies]]+WWWW[[#This Row],['#_Non Cluster partner latrines]])&lt;0,0,WWWW[[#This Row],[Total required Latrines]]-(WWWW[[#This Row],['#_Constructed latrines_by_WASHAgencies]]+WWWW[[#This Row],['#_Non Cluster partner latrines]]))</f>
        <v>3</v>
      </c>
      <c r="DE535" s="869">
        <f>1-WWWW[[#This Row],[% people access to functioning Latrine]]</f>
        <v>1</v>
      </c>
      <c r="DF535" s="868">
        <f>IF(OR(WWWW[[#This Row],['#_Non-functional latrines]]="",WWWW[[#This Row],['#_Non-functional latrines]]=0),0,WWWW[[#This Row],['#_Non-functional latrines]]/(WWWW[[#This Row],['#_Constructed latrines_by_WASHAgencies]]+WWWW[[#This Row],['#_Non Cluster partner latrines]]))</f>
        <v>0</v>
      </c>
      <c r="DG535" s="864">
        <f>IF(500*(WWWW[[#This Row],['#_male hygiene promoters]]+WWWW[[#This Row],['#_female hygiene promoters]])&gt;WWWW[[#This Row],[Total PoP ]],WWWW[[#This Row],[Total PoP ]],500*(WWWW[[#This Row],['#_male hygiene promoters]]+WWWW[[#This Row],['#_female hygiene promoters]]))</f>
        <v>0</v>
      </c>
      <c r="DH53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5" s="867">
        <f>IF(WWWW[[#This Row],['# People with access to soap]]&gt;WWWW[[#This Row],['# People with access to Sanity Pads]],WWWW[[#This Row],['# People with access to soap]],WWWW[[#This Row],['# People with access to Sanity Pads]])</f>
        <v>0</v>
      </c>
      <c r="DK53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5" s="869">
        <f>IF(WWWW[[#This Row],[HRP3]]/WWWW[[#This Row],[Total PoP ]]&gt;1,1,WWWW[[#This Row],[HRP3]]/WWWW[[#This Row],[Total PoP ]])</f>
        <v>0</v>
      </c>
      <c r="DM535" s="868">
        <f>1-WWWW[[#This Row],[Hygiene Coverage%]]</f>
        <v>1</v>
      </c>
      <c r="DN535" s="866">
        <f>WWWW[[#This Row],['# people reached by regular dedicated hygiene promotion_5]]/WWWW[[#This Row],[Total PoP ]]</f>
        <v>0</v>
      </c>
      <c r="DO53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5" s="867">
        <f>WWWW[[#This Row],['#_Constructed/Existing hand washing stations]]-WWWW[[#This Row],['#_Non-Functional_hand_washing_stations]]</f>
        <v>0</v>
      </c>
      <c r="DR535" s="864">
        <f>IF(WWWW[[#This Row],['# Functional hand washing stations during reporting period]]*20&gt;WWWW[[#This Row],[Total HH]],WWWW[[#This Row],[Total HH]],WWWW[[#This Row],['# Functional hand washing stations during reporting period]]*20)</f>
        <v>0</v>
      </c>
      <c r="DS535" s="864">
        <f>IF(WWWW[[#This Row],[Is sufficient soap available for TLS? (Yes/No)]]="yes",WWWW[[#This Row],['#_Constructed/Existing hand washing stations at TLS]],0)</f>
        <v>0</v>
      </c>
      <c r="DT535" s="479">
        <f>IF(WWWW[[#This Row],['# Functional hand washing stations during reporting period]]*100&gt;WWWW[[#This Row],[Total PoP ]],WWWW[[#This Row],[Total PoP ]],WWWW[[#This Row],['# Functional hand washing stations during reporting period]]*100)</f>
        <v>0</v>
      </c>
      <c r="DU535" s="479" t="str">
        <f>IF(OR(WWWW[[#This Row],['#_students at TLS_CFS]]="",WWWW[[#This Row],['#_students at TLS_CFS]]=0),"No","Yes")</f>
        <v>No</v>
      </c>
      <c r="DV53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5" s="862">
        <f>VLOOKUP(WWWW[[#This Row],[Site Name]],SiteDB6[[Site Name]:[CCCM Management]],6,FALSE)</f>
        <v>0</v>
      </c>
      <c r="DZ535" s="862" t="str">
        <f>VLOOKUP(WWWW[[#This Row],[Site Name]],SiteDB6[[Site Name]:[CCCM Focal Agency]],7,FALSE)</f>
        <v>uncovered</v>
      </c>
      <c r="EA535" s="862" t="str">
        <f>VLOOKUP(WWWW[[#This Row],[Site Name]],SiteDB6[[Site Name]:[Location Type 1]],9,FALSE)</f>
        <v>Camp</v>
      </c>
      <c r="EB535" s="862" t="str">
        <f>VLOOKUP(WWWW[[#This Row],[Site Name]],SiteDB6[[Site Name]:[Type of Accommodation]],10,FALSE)</f>
        <v>Host Families</v>
      </c>
      <c r="EC535" s="862" t="str">
        <f>VLOOKUP(WWWW[[#This Row],[Site Name]],SiteDB6[[Site Name]:[Ethnic or GCA/NGCA]],11,FALSE)</f>
        <v>GCA</v>
      </c>
      <c r="ED535" s="862">
        <f>VLOOKUP(WWWW[[#This Row],[Site Name]],SiteDB6[[Site Name]:[Lat]],12,FALSE)</f>
        <v>27.248964999999998</v>
      </c>
      <c r="EE535" s="862">
        <f>VLOOKUP(WWWW[[#This Row],[Site Name]],SiteDB6[[Site Name]:[Long]],13,FALSE)</f>
        <v>97.561105999999995</v>
      </c>
      <c r="EF535" s="862" t="str">
        <f>VLOOKUP(WWWW[[#This Row],[Site Name]],SiteDB6[[Site Name]:[Pcode]],3,FALSE)</f>
        <v>MMR001CMP227</v>
      </c>
      <c r="EG535" s="865" t="str">
        <f t="shared" si="15"/>
        <v>Notcovered</v>
      </c>
      <c r="EH535" s="865" t="str">
        <f>VLOOKUP(WWWW[[#This Row],[Site Name]],Site_DB!$C$389:$D$1120,2,FALSE)</f>
        <v>cccm_2019OCT</v>
      </c>
    </row>
    <row r="536" spans="1:138">
      <c r="A536" s="860" t="s">
        <v>3263</v>
      </c>
      <c r="B536" s="860" t="s">
        <v>312</v>
      </c>
      <c r="C536" s="861" t="s">
        <v>312</v>
      </c>
      <c r="D536" s="861"/>
      <c r="E536" s="861" t="s">
        <v>39</v>
      </c>
      <c r="F536" s="861" t="s">
        <v>208</v>
      </c>
      <c r="G536" s="721" t="str">
        <f>VLOOKUP(WWWW[[#This Row],[Site Name]],SiteDB6[[Site Name]:[Location Type]],8,FALSE)</f>
        <v>Camp</v>
      </c>
      <c r="H536" s="861" t="s">
        <v>1021</v>
      </c>
      <c r="I536" s="851">
        <v>3</v>
      </c>
      <c r="J536" s="851">
        <v>18</v>
      </c>
      <c r="K536" s="863"/>
      <c r="L536" s="859"/>
      <c r="M536" s="851"/>
      <c r="N536" s="851"/>
      <c r="O536" s="851"/>
      <c r="P536" s="851"/>
      <c r="Q536" s="864"/>
      <c r="R536" s="851"/>
      <c r="S536" s="851">
        <v>3</v>
      </c>
      <c r="T536" s="523"/>
      <c r="U536" s="851"/>
      <c r="V536" s="851"/>
      <c r="W536" s="851"/>
      <c r="X536" s="851"/>
      <c r="Y536" s="851"/>
      <c r="Z536" s="851"/>
      <c r="AA536" s="851"/>
      <c r="AB536" s="851"/>
      <c r="AC536" s="851"/>
      <c r="AD536" s="851"/>
      <c r="AE536" s="851"/>
      <c r="AF536" s="851"/>
      <c r="AG536" s="851"/>
      <c r="AH536" s="851"/>
      <c r="AI536" s="851"/>
      <c r="AJ536" s="851"/>
      <c r="AK536" s="851"/>
      <c r="AL536" s="851"/>
      <c r="AM536" s="851"/>
      <c r="AN536" s="851"/>
      <c r="AO536" s="865"/>
      <c r="AP536" s="851"/>
      <c r="AQ536" s="851"/>
      <c r="AR536" s="866"/>
      <c r="AS536" s="851"/>
      <c r="AT536" s="851"/>
      <c r="AU536" s="851"/>
      <c r="AV536" s="851"/>
      <c r="AW536" s="851"/>
      <c r="AX536" s="862"/>
      <c r="AY536" s="865"/>
      <c r="AZ536" s="851"/>
      <c r="BA536" s="851"/>
      <c r="BB536" s="851"/>
      <c r="BC536" s="523"/>
      <c r="BD536" s="523"/>
      <c r="BE536" s="862"/>
      <c r="BF536" s="851"/>
      <c r="BG536" s="851"/>
      <c r="BH536" s="851"/>
      <c r="BI536" s="851"/>
      <c r="BJ536" s="851"/>
      <c r="BK536" s="851"/>
      <c r="BL536" s="851"/>
      <c r="BM536" s="851"/>
      <c r="BN536" s="851"/>
      <c r="BO536" s="862"/>
      <c r="BP536" s="867"/>
      <c r="BQ536" s="866"/>
      <c r="BR536" s="862"/>
      <c r="BS536" s="472"/>
      <c r="BT536" s="472"/>
      <c r="BU536" s="474"/>
      <c r="BV536" s="472"/>
      <c r="BW536" s="523"/>
      <c r="BX536" s="523"/>
      <c r="BY536" s="523"/>
      <c r="BZ536" s="868" t="str">
        <f>IFERROR(WWWW[[#This Row],['#_Water sources passed]]/WWWW[[#This Row],['#_Water sources tested for fecal coliform ]],"no test")</f>
        <v>no test</v>
      </c>
      <c r="CA536" s="866" t="str">
        <f>IFERROR(WWWW[[#This Row],['#_Household passed]]/WWWW[[#This Row],['#_Household water samples tested for fecal coliform]],"no test")</f>
        <v>no test</v>
      </c>
      <c r="CB536" s="867" t="str">
        <f>IF(AND(WWWW[[#This Row],[% of water sources passed]]="no test",WWWW[[#This Row],[% Household passed]]="no test"),"No Test","Tested")</f>
        <v>No Test</v>
      </c>
      <c r="CC536" s="867">
        <f>WWWW[[#This Row],['#_Constructed/existing protected hand dug well]]-WWWW[[#This Row],['#_Non-functional protected hand dug well]]</f>
        <v>0</v>
      </c>
      <c r="CD536" s="867">
        <f>(WWWW[[#This Row],['#_Constructed/Existing tube wells/boreholes/handpumps_WASH_agency]]+WWWW[[#This Row],['#_Non-Cluster partner water tube-wells/boreholes/handpumps]])-WWWW[[#This Row],['#_Non-functional tube wells/boreholes/handpumps]]</f>
        <v>0</v>
      </c>
      <c r="CE536" s="867">
        <f>WWWW[[#This Row],['#_Constructed/Existingwater storage tank with gravity fed reticulation system]]-WWWW[[#This Row],['#_Non-functional storage tank gravity fed reticulation system]]</f>
        <v>0</v>
      </c>
      <c r="CF536" s="867">
        <f>(WWWW[[#This Row],['#_Water_Liters_supplied_by_Water boating or water trucking]]/90)/15</f>
        <v>0</v>
      </c>
      <c r="CG536" s="867">
        <f>WWWW[[#This Row],['#_Water_Liters_from_Constructed/Existing water distribution system from river or natural spring]]/90/15</f>
        <v>0</v>
      </c>
      <c r="CH536" s="473">
        <f>WWWW[[#This Row],['#_of water points in TLS/CFS /THF]]*500</f>
        <v>0</v>
      </c>
      <c r="CI53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6" s="866">
        <f>IF(WWWW[[#This Row],[Location Type 1]]="Village",WWWW[[#This Row],[Access to safe drinking water for Village]],WWWW[[#This Row],[Access to safe drinking water for Camp]])</f>
        <v>0</v>
      </c>
      <c r="CL536" s="864">
        <f>WWWW[[#This Row],[%Equitable and continuous access to sufficient quantity of safe drinking water]]*WWWW[[#This Row],[Total PoP ]]</f>
        <v>0</v>
      </c>
      <c r="CM536" s="866">
        <f>IF((WWWW[[#This Row],['#_Constructed/Existing protected/fenced ponds]]*250)/WWWW[[#This Row],[Total PoP ]]&gt;1,1,(WWWW[[#This Row],['#_Constructed/Existing protected/fenced ponds]]*250)/WWWW[[#This Row],[Total PoP ]])</f>
        <v>0</v>
      </c>
      <c r="CN536" s="864">
        <f>WWWW[[#This Row],[% Access to unimproved water points]]*WWWW[[#This Row],[Total PoP ]]</f>
        <v>0</v>
      </c>
      <c r="CO53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6" s="864">
        <f>WWWW[[#This Row],[HRP1]]/500</f>
        <v>0</v>
      </c>
      <c r="CR536" s="869">
        <f>1-WWWW[[#This Row],[% Equitable and continuous access to sufficient quantity of domestic water]]</f>
        <v>1</v>
      </c>
      <c r="CS536" s="864">
        <f>WWWW[[#This Row],[%equitable and continuous access to sufficient quantity of safe drinking and domestic water''s GAP]]*WWWW[[#This Row],[Total PoP ]]</f>
        <v>18</v>
      </c>
      <c r="CT536" s="867">
        <f>IF(WWWW[[#This Row],[Total required water points]]-WWWW[[#This Row],['#Water points coverage]]&lt;0,0,WWWW[[#This Row],[Total required water points]]-WWWW[[#This Row],['#Water points coverage]])</f>
        <v>1</v>
      </c>
      <c r="CU536" s="867">
        <f>ROUND(IF(WWWW[[#This Row],[Total PoP ]]&lt;500,1,WWWW[[#This Row],[Total PoP ]]/500),0)</f>
        <v>1</v>
      </c>
      <c r="CV536" s="867">
        <f>(WWWW[[#This Row],['#_Constructed latrines_by_WASHAgencies]]+WWWW[[#This Row],['#_Non Cluster partner latrines]])-WWWW[[#This Row],['#_Non-functional latrines]]</f>
        <v>0</v>
      </c>
      <c r="CW536" s="804">
        <f>WWWW[[#This Row],[HRP2]]/WWWW[[#This Row],[Total PoP ]]</f>
        <v>0</v>
      </c>
      <c r="CX53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6" s="473">
        <f>IF(WWWW[[#This Row],['# of functional latrines in THF supported by WASH partners during the reporting period2]]="",0,WWWW[[#This Row],['# of functional latrines in THF supported by WASH partners during the reporting period2]]*50)</f>
        <v>0</v>
      </c>
      <c r="DB536" s="473">
        <f>WWWW[[#This Row],['# students access to functioning school latrines_HRP5]]+WWWW[[#This Row],['# People access to functioning latrines in THF_HRP5]]</f>
        <v>0</v>
      </c>
      <c r="DC536" s="867">
        <f>ROUND(IF(WWWW[[#This Row],[Location Type 1]]="camp",WWWW[[#This Row],[Total PoP ]]/20,IF(WWWW[[#This Row],[Location Type 1]]="Temporary Location",WWWW[[#This Row],[Total PoP ]]/50,(WWWW[[#This Row],[Total PoP ]]/6))),0)</f>
        <v>1</v>
      </c>
      <c r="DD536" s="867">
        <f>IF(WWWW[[#This Row],[Total required Latrines]]-(WWWW[[#This Row],['#_Constructed latrines_by_WASHAgencies]]+WWWW[[#This Row],['#_Non Cluster partner latrines]])&lt;0,0,WWWW[[#This Row],[Total required Latrines]]-(WWWW[[#This Row],['#_Constructed latrines_by_WASHAgencies]]+WWWW[[#This Row],['#_Non Cluster partner latrines]]))</f>
        <v>1</v>
      </c>
      <c r="DE536" s="869">
        <f>1-WWWW[[#This Row],[% people access to functioning Latrine]]</f>
        <v>1</v>
      </c>
      <c r="DF536" s="868">
        <f>IF(OR(WWWW[[#This Row],['#_Non-functional latrines]]="",WWWW[[#This Row],['#_Non-functional latrines]]=0),0,WWWW[[#This Row],['#_Non-functional latrines]]/(WWWW[[#This Row],['#_Constructed latrines_by_WASHAgencies]]+WWWW[[#This Row],['#_Non Cluster partner latrines]]))</f>
        <v>0</v>
      </c>
      <c r="DG536" s="864">
        <f>IF(500*(WWWW[[#This Row],['#_male hygiene promoters]]+WWWW[[#This Row],['#_female hygiene promoters]])&gt;WWWW[[#This Row],[Total PoP ]],WWWW[[#This Row],[Total PoP ]],500*(WWWW[[#This Row],['#_male hygiene promoters]]+WWWW[[#This Row],['#_female hygiene promoters]]))</f>
        <v>0</v>
      </c>
      <c r="DH53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6" s="867">
        <f>IF(WWWW[[#This Row],['# People with access to soap]]&gt;WWWW[[#This Row],['# People with access to Sanity Pads]],WWWW[[#This Row],['# People with access to soap]],WWWW[[#This Row],['# People with access to Sanity Pads]])</f>
        <v>0</v>
      </c>
      <c r="DK536"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6" s="869">
        <f>IF(WWWW[[#This Row],[HRP3]]/WWWW[[#This Row],[Total PoP ]]&gt;1,1,WWWW[[#This Row],[HRP3]]/WWWW[[#This Row],[Total PoP ]])</f>
        <v>0</v>
      </c>
      <c r="DM536" s="868">
        <f>1-WWWW[[#This Row],[Hygiene Coverage%]]</f>
        <v>1</v>
      </c>
      <c r="DN536" s="866">
        <f>WWWW[[#This Row],['# people reached by regular dedicated hygiene promotion_5]]/WWWW[[#This Row],[Total PoP ]]</f>
        <v>0</v>
      </c>
      <c r="DO53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6" s="867">
        <f>WWWW[[#This Row],['#_Constructed/Existing hand washing stations]]-WWWW[[#This Row],['#_Non-Functional_hand_washing_stations]]</f>
        <v>0</v>
      </c>
      <c r="DR536" s="864">
        <f>IF(WWWW[[#This Row],['# Functional hand washing stations during reporting period]]*20&gt;WWWW[[#This Row],[Total HH]],WWWW[[#This Row],[Total HH]],WWWW[[#This Row],['# Functional hand washing stations during reporting period]]*20)</f>
        <v>0</v>
      </c>
      <c r="DS536" s="864">
        <f>IF(WWWW[[#This Row],[Is sufficient soap available for TLS? (Yes/No)]]="yes",WWWW[[#This Row],['#_Constructed/Existing hand washing stations at TLS]],0)</f>
        <v>0</v>
      </c>
      <c r="DT536" s="479">
        <f>IF(WWWW[[#This Row],['# Functional hand washing stations during reporting period]]*100&gt;WWWW[[#This Row],[Total PoP ]],WWWW[[#This Row],[Total PoP ]],WWWW[[#This Row],['# Functional hand washing stations during reporting period]]*100)</f>
        <v>0</v>
      </c>
      <c r="DU536" s="479" t="str">
        <f>IF(OR(WWWW[[#This Row],['#_students at TLS_CFS]]="",WWWW[[#This Row],['#_students at TLS_CFS]]=0),"No","Yes")</f>
        <v>No</v>
      </c>
      <c r="DV53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6" s="862">
        <f>VLOOKUP(WWWW[[#This Row],[Site Name]],SiteDB6[[Site Name]:[CCCM Management]],6,FALSE)</f>
        <v>0</v>
      </c>
      <c r="DZ536" s="862" t="str">
        <f>VLOOKUP(WWWW[[#This Row],[Site Name]],SiteDB6[[Site Name]:[CCCM Focal Agency]],7,FALSE)</f>
        <v>uncovered</v>
      </c>
      <c r="EA536" s="862" t="str">
        <f>VLOOKUP(WWWW[[#This Row],[Site Name]],SiteDB6[[Site Name]:[Location Type 1]],9,FALSE)</f>
        <v>Camp</v>
      </c>
      <c r="EB536" s="862" t="str">
        <f>VLOOKUP(WWWW[[#This Row],[Site Name]],SiteDB6[[Site Name]:[Type of Accommodation]],10,FALSE)</f>
        <v>Host Families</v>
      </c>
      <c r="EC536" s="862" t="str">
        <f>VLOOKUP(WWWW[[#This Row],[Site Name]],SiteDB6[[Site Name]:[Ethnic or GCA/NGCA]],11,FALSE)</f>
        <v>GCA</v>
      </c>
      <c r="ED536" s="862">
        <f>VLOOKUP(WWWW[[#This Row],[Site Name]],SiteDB6[[Site Name]:[Lat]],12,FALSE)</f>
        <v>24.377054000000001</v>
      </c>
      <c r="EE536" s="862">
        <f>VLOOKUP(WWWW[[#This Row],[Site Name]],SiteDB6[[Site Name]:[Long]],13,FALSE)</f>
        <v>97.343406999999999</v>
      </c>
      <c r="EF536" s="862" t="str">
        <f>VLOOKUP(WWWW[[#This Row],[Site Name]],SiteDB6[[Site Name]:[Pcode]],3,FALSE)</f>
        <v>MMR001CMP200</v>
      </c>
      <c r="EG536" s="865" t="str">
        <f t="shared" si="15"/>
        <v>Notcovered</v>
      </c>
      <c r="EH536" s="865" t="str">
        <f>VLOOKUP(WWWW[[#This Row],[Site Name]],Site_DB!$C$389:$D$1120,2,FALSE)</f>
        <v>cccm_2019OCT</v>
      </c>
    </row>
    <row r="537" spans="1:138">
      <c r="A537" s="860" t="s">
        <v>3263</v>
      </c>
      <c r="B537" s="860" t="s">
        <v>312</v>
      </c>
      <c r="C537" s="861" t="s">
        <v>312</v>
      </c>
      <c r="D537" s="861"/>
      <c r="E537" s="861" t="s">
        <v>39</v>
      </c>
      <c r="F537" s="861" t="s">
        <v>208</v>
      </c>
      <c r="G537" s="721" t="str">
        <f>VLOOKUP(WWWW[[#This Row],[Site Name]],SiteDB6[[Site Name]:[Location Type]],8,FALSE)</f>
        <v>Camp</v>
      </c>
      <c r="H537" s="861" t="s">
        <v>3063</v>
      </c>
      <c r="I537" s="851"/>
      <c r="J537" s="851">
        <v>31</v>
      </c>
      <c r="K537" s="863"/>
      <c r="L537" s="859"/>
      <c r="M537" s="851"/>
      <c r="N537" s="851"/>
      <c r="O537" s="851"/>
      <c r="P537" s="851"/>
      <c r="Q537" s="864"/>
      <c r="R537" s="851"/>
      <c r="S537" s="851"/>
      <c r="T537" s="523"/>
      <c r="U537" s="851"/>
      <c r="V537" s="851"/>
      <c r="W537" s="851"/>
      <c r="X537" s="851"/>
      <c r="Y537" s="851"/>
      <c r="Z537" s="851"/>
      <c r="AA537" s="851"/>
      <c r="AB537" s="851"/>
      <c r="AC537" s="851"/>
      <c r="AD537" s="851"/>
      <c r="AE537" s="851"/>
      <c r="AF537" s="851"/>
      <c r="AG537" s="851"/>
      <c r="AH537" s="851"/>
      <c r="AI537" s="851"/>
      <c r="AJ537" s="851"/>
      <c r="AK537" s="851"/>
      <c r="AL537" s="851"/>
      <c r="AM537" s="851"/>
      <c r="AN537" s="851"/>
      <c r="AO537" s="865"/>
      <c r="AP537" s="851"/>
      <c r="AQ537" s="851"/>
      <c r="AR537" s="866"/>
      <c r="AS537" s="851"/>
      <c r="AT537" s="851"/>
      <c r="AU537" s="851"/>
      <c r="AV537" s="851"/>
      <c r="AW537" s="851"/>
      <c r="AX537" s="862"/>
      <c r="AY537" s="865"/>
      <c r="AZ537" s="851"/>
      <c r="BA537" s="851"/>
      <c r="BB537" s="851"/>
      <c r="BC537" s="523"/>
      <c r="BD537" s="523"/>
      <c r="BE537" s="862"/>
      <c r="BF537" s="851"/>
      <c r="BG537" s="851"/>
      <c r="BH537" s="851"/>
      <c r="BI537" s="851"/>
      <c r="BJ537" s="851"/>
      <c r="BK537" s="851"/>
      <c r="BL537" s="851"/>
      <c r="BM537" s="851"/>
      <c r="BN537" s="851"/>
      <c r="BO537" s="862"/>
      <c r="BP537" s="867"/>
      <c r="BQ537" s="866"/>
      <c r="BR537" s="862"/>
      <c r="BS537" s="472"/>
      <c r="BT537" s="472"/>
      <c r="BU537" s="474"/>
      <c r="BV537" s="472"/>
      <c r="BW537" s="523"/>
      <c r="BX537" s="523"/>
      <c r="BY537" s="523"/>
      <c r="BZ537" s="868" t="str">
        <f>IFERROR(WWWW[[#This Row],['#_Water sources passed]]/WWWW[[#This Row],['#_Water sources tested for fecal coliform ]],"no test")</f>
        <v>no test</v>
      </c>
      <c r="CA537" s="866" t="str">
        <f>IFERROR(WWWW[[#This Row],['#_Household passed]]/WWWW[[#This Row],['#_Household water samples tested for fecal coliform]],"no test")</f>
        <v>no test</v>
      </c>
      <c r="CB537" s="867" t="str">
        <f>IF(AND(WWWW[[#This Row],[% of water sources passed]]="no test",WWWW[[#This Row],[% Household passed]]="no test"),"No Test","Tested")</f>
        <v>No Test</v>
      </c>
      <c r="CC537" s="867">
        <f>WWWW[[#This Row],['#_Constructed/existing protected hand dug well]]-WWWW[[#This Row],['#_Non-functional protected hand dug well]]</f>
        <v>0</v>
      </c>
      <c r="CD537" s="867">
        <f>(WWWW[[#This Row],['#_Constructed/Existing tube wells/boreholes/handpumps_WASH_agency]]+WWWW[[#This Row],['#_Non-Cluster partner water tube-wells/boreholes/handpumps]])-WWWW[[#This Row],['#_Non-functional tube wells/boreholes/handpumps]]</f>
        <v>0</v>
      </c>
      <c r="CE537" s="867">
        <f>WWWW[[#This Row],['#_Constructed/Existingwater storage tank with gravity fed reticulation system]]-WWWW[[#This Row],['#_Non-functional storage tank gravity fed reticulation system]]</f>
        <v>0</v>
      </c>
      <c r="CF537" s="867">
        <f>(WWWW[[#This Row],['#_Water_Liters_supplied_by_Water boating or water trucking]]/90)/15</f>
        <v>0</v>
      </c>
      <c r="CG537" s="867">
        <f>WWWW[[#This Row],['#_Water_Liters_from_Constructed/Existing water distribution system from river or natural spring]]/90/15</f>
        <v>0</v>
      </c>
      <c r="CH537" s="473">
        <f>WWWW[[#This Row],['#_of water points in TLS/CFS /THF]]*500</f>
        <v>0</v>
      </c>
      <c r="CI53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7" s="866">
        <f>IF(WWWW[[#This Row],[Location Type 1]]="Village",WWWW[[#This Row],[Access to safe drinking water for Village]],WWWW[[#This Row],[Access to safe drinking water for Camp]])</f>
        <v>0</v>
      </c>
      <c r="CL537" s="864">
        <f>WWWW[[#This Row],[%Equitable and continuous access to sufficient quantity of safe drinking water]]*WWWW[[#This Row],[Total PoP ]]</f>
        <v>0</v>
      </c>
      <c r="CM537" s="866">
        <f>IF((WWWW[[#This Row],['#_Constructed/Existing protected/fenced ponds]]*250)/WWWW[[#This Row],[Total PoP ]]&gt;1,1,(WWWW[[#This Row],['#_Constructed/Existing protected/fenced ponds]]*250)/WWWW[[#This Row],[Total PoP ]])</f>
        <v>0</v>
      </c>
      <c r="CN537" s="864">
        <f>WWWW[[#This Row],[% Access to unimproved water points]]*WWWW[[#This Row],[Total PoP ]]</f>
        <v>0</v>
      </c>
      <c r="CO53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7" s="864">
        <f>WWWW[[#This Row],[HRP1]]/500</f>
        <v>0</v>
      </c>
      <c r="CR537" s="869">
        <f>1-WWWW[[#This Row],[% Equitable and continuous access to sufficient quantity of domestic water]]</f>
        <v>1</v>
      </c>
      <c r="CS537" s="864">
        <f>WWWW[[#This Row],[%equitable and continuous access to sufficient quantity of safe drinking and domestic water''s GAP]]*WWWW[[#This Row],[Total PoP ]]</f>
        <v>31</v>
      </c>
      <c r="CT537" s="867">
        <f>IF(WWWW[[#This Row],[Total required water points]]-WWWW[[#This Row],['#Water points coverage]]&lt;0,0,WWWW[[#This Row],[Total required water points]]-WWWW[[#This Row],['#Water points coverage]])</f>
        <v>1</v>
      </c>
      <c r="CU537" s="867">
        <f>ROUND(IF(WWWW[[#This Row],[Total PoP ]]&lt;500,1,WWWW[[#This Row],[Total PoP ]]/500),0)</f>
        <v>1</v>
      </c>
      <c r="CV537" s="867">
        <f>(WWWW[[#This Row],['#_Constructed latrines_by_WASHAgencies]]+WWWW[[#This Row],['#_Non Cluster partner latrines]])-WWWW[[#This Row],['#_Non-functional latrines]]</f>
        <v>0</v>
      </c>
      <c r="CW537" s="804">
        <f>WWWW[[#This Row],[HRP2]]/WWWW[[#This Row],[Total PoP ]]</f>
        <v>0</v>
      </c>
      <c r="CX53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7" s="473">
        <f>IF(WWWW[[#This Row],['# of functional latrines in THF supported by WASH partners during the reporting period2]]="",0,WWWW[[#This Row],['# of functional latrines in THF supported by WASH partners during the reporting period2]]*50)</f>
        <v>0</v>
      </c>
      <c r="DB537" s="473">
        <f>WWWW[[#This Row],['# students access to functioning school latrines_HRP5]]+WWWW[[#This Row],['# People access to functioning latrines in THF_HRP5]]</f>
        <v>0</v>
      </c>
      <c r="DC537" s="867">
        <f>ROUND(IF(WWWW[[#This Row],[Location Type 1]]="camp",WWWW[[#This Row],[Total PoP ]]/20,IF(WWWW[[#This Row],[Location Type 1]]="Temporary Location",WWWW[[#This Row],[Total PoP ]]/50,(WWWW[[#This Row],[Total PoP ]]/6))),0)</f>
        <v>2</v>
      </c>
      <c r="DD537" s="867">
        <f>IF(WWWW[[#This Row],[Total required Latrines]]-(WWWW[[#This Row],['#_Constructed latrines_by_WASHAgencies]]+WWWW[[#This Row],['#_Non Cluster partner latrines]])&lt;0,0,WWWW[[#This Row],[Total required Latrines]]-(WWWW[[#This Row],['#_Constructed latrines_by_WASHAgencies]]+WWWW[[#This Row],['#_Non Cluster partner latrines]]))</f>
        <v>2</v>
      </c>
      <c r="DE537" s="869">
        <f>1-WWWW[[#This Row],[% people access to functioning Latrine]]</f>
        <v>1</v>
      </c>
      <c r="DF537" s="868">
        <f>IF(OR(WWWW[[#This Row],['#_Non-functional latrines]]="",WWWW[[#This Row],['#_Non-functional latrines]]=0),0,WWWW[[#This Row],['#_Non-functional latrines]]/(WWWW[[#This Row],['#_Constructed latrines_by_WASHAgencies]]+WWWW[[#This Row],['#_Non Cluster partner latrines]]))</f>
        <v>0</v>
      </c>
      <c r="DG537" s="864">
        <f>IF(500*(WWWW[[#This Row],['#_male hygiene promoters]]+WWWW[[#This Row],['#_female hygiene promoters]])&gt;WWWW[[#This Row],[Total PoP ]],WWWW[[#This Row],[Total PoP ]],500*(WWWW[[#This Row],['#_male hygiene promoters]]+WWWW[[#This Row],['#_female hygiene promoters]]))</f>
        <v>0</v>
      </c>
      <c r="DH53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7" s="867">
        <f>IF(WWWW[[#This Row],['# People with access to soap]]&gt;WWWW[[#This Row],['# People with access to Sanity Pads]],WWWW[[#This Row],['# People with access to soap]],WWWW[[#This Row],['# People with access to Sanity Pads]])</f>
        <v>0</v>
      </c>
      <c r="DK537"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7" s="869">
        <f>IF(WWWW[[#This Row],[HRP3]]/WWWW[[#This Row],[Total PoP ]]&gt;1,1,WWWW[[#This Row],[HRP3]]/WWWW[[#This Row],[Total PoP ]])</f>
        <v>0</v>
      </c>
      <c r="DM537" s="868">
        <f>1-WWWW[[#This Row],[Hygiene Coverage%]]</f>
        <v>1</v>
      </c>
      <c r="DN537" s="866">
        <f>WWWW[[#This Row],['# people reached by regular dedicated hygiene promotion_5]]/WWWW[[#This Row],[Total PoP ]]</f>
        <v>0</v>
      </c>
      <c r="DO537" s="868"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P537" s="866"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Q537" s="867">
        <f>WWWW[[#This Row],['#_Constructed/Existing hand washing stations]]-WWWW[[#This Row],['#_Non-Functional_hand_washing_stations]]</f>
        <v>0</v>
      </c>
      <c r="DR537" s="864">
        <f>IF(WWWW[[#This Row],['# Functional hand washing stations during reporting period]]*20&gt;WWWW[[#This Row],[Total HH]],WWWW[[#This Row],[Total HH]],WWWW[[#This Row],['# Functional hand washing stations during reporting period]]*20)</f>
        <v>0</v>
      </c>
      <c r="DS537" s="864">
        <f>IF(WWWW[[#This Row],[Is sufficient soap available for TLS? (Yes/No)]]="yes",WWWW[[#This Row],['#_Constructed/Existing hand washing stations at TLS]],0)</f>
        <v>0</v>
      </c>
      <c r="DT537" s="479">
        <f>IF(WWWW[[#This Row],['# Functional hand washing stations during reporting period]]*100&gt;WWWW[[#This Row],[Total PoP ]],WWWW[[#This Row],[Total PoP ]],WWWW[[#This Row],['# Functional hand washing stations during reporting period]]*100)</f>
        <v>0</v>
      </c>
      <c r="DU537" s="479" t="str">
        <f>IF(OR(WWWW[[#This Row],['#_students at TLS_CFS]]="",WWWW[[#This Row],['#_students at TLS_CFS]]=0),"No","Yes")</f>
        <v>No</v>
      </c>
      <c r="DV53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7" s="862">
        <f>VLOOKUP(WWWW[[#This Row],[Site Name]],SiteDB6[[Site Name]:[CCCM Management]],6,FALSE)</f>
        <v>0</v>
      </c>
      <c r="DZ537" s="862" t="str">
        <f>VLOOKUP(WWWW[[#This Row],[Site Name]],SiteDB6[[Site Name]:[CCCM Focal Agency]],7,FALSE)</f>
        <v>uncovered</v>
      </c>
      <c r="EA537" s="862" t="str">
        <f>VLOOKUP(WWWW[[#This Row],[Site Name]],SiteDB6[[Site Name]:[Location Type 1]],9,FALSE)</f>
        <v>Camp</v>
      </c>
      <c r="EB537" s="862" t="str">
        <f>VLOOKUP(WWWW[[#This Row],[Site Name]],SiteDB6[[Site Name]:[Type of Accommodation]],10,FALSE)</f>
        <v>Boarding School</v>
      </c>
      <c r="EC537" s="862" t="str">
        <f>VLOOKUP(WWWW[[#This Row],[Site Name]],SiteDB6[[Site Name]:[Ethnic or GCA/NGCA]],11,FALSE)</f>
        <v>GCA</v>
      </c>
      <c r="ED537" s="862">
        <f>VLOOKUP(WWWW[[#This Row],[Site Name]],SiteDB6[[Site Name]:[Lat]],12,FALSE)</f>
        <v>24.721878</v>
      </c>
      <c r="EE537" s="862">
        <f>VLOOKUP(WWWW[[#This Row],[Site Name]],SiteDB6[[Site Name]:[Long]],13,FALSE)</f>
        <v>97.721878000000004</v>
      </c>
      <c r="EF537" s="862" t="str">
        <f>VLOOKUP(WWWW[[#This Row],[Site Name]],SiteDB6[[Site Name]:[Pcode]],3,FALSE)</f>
        <v>MMR001CMP275</v>
      </c>
      <c r="EG537" s="865" t="str">
        <f t="shared" si="15"/>
        <v>Notcovered</v>
      </c>
      <c r="EH537" s="865" t="str">
        <f>VLOOKUP(WWWW[[#This Row],[Site Name]],Site_DB!$C$389:$D$1120,2,FALSE)</f>
        <v>cccm_2019OCT</v>
      </c>
    </row>
    <row r="538" spans="1:138">
      <c r="A538" s="860" t="s">
        <v>3263</v>
      </c>
      <c r="B538" s="860" t="s">
        <v>312</v>
      </c>
      <c r="C538" s="861" t="s">
        <v>312</v>
      </c>
      <c r="D538" s="861"/>
      <c r="E538" s="861" t="s">
        <v>39</v>
      </c>
      <c r="F538" s="861" t="s">
        <v>145</v>
      </c>
      <c r="G538" s="721" t="str">
        <f>VLOOKUP(WWWW[[#This Row],[Site Name]],SiteDB6[[Site Name]:[Location Type]],8,FALSE)</f>
        <v>Camp</v>
      </c>
      <c r="H538" s="861" t="s">
        <v>1059</v>
      </c>
      <c r="I538" s="851">
        <v>80</v>
      </c>
      <c r="J538" s="851">
        <v>449</v>
      </c>
      <c r="K538" s="863"/>
      <c r="L538" s="859"/>
      <c r="M538" s="851"/>
      <c r="N538" s="851"/>
      <c r="O538" s="851"/>
      <c r="P538" s="851"/>
      <c r="Q538" s="864"/>
      <c r="R538" s="851"/>
      <c r="S538" s="851">
        <v>2</v>
      </c>
      <c r="T538" s="523"/>
      <c r="U538" s="851"/>
      <c r="V538" s="851"/>
      <c r="W538" s="851"/>
      <c r="X538" s="851"/>
      <c r="Y538" s="851"/>
      <c r="Z538" s="851"/>
      <c r="AA538" s="851"/>
      <c r="AB538" s="851"/>
      <c r="AC538" s="851"/>
      <c r="AD538" s="851"/>
      <c r="AE538" s="851"/>
      <c r="AF538" s="851"/>
      <c r="AG538" s="851"/>
      <c r="AH538" s="851"/>
      <c r="AI538" s="851"/>
      <c r="AJ538" s="851"/>
      <c r="AK538" s="851"/>
      <c r="AL538" s="851"/>
      <c r="AM538" s="851"/>
      <c r="AN538" s="851"/>
      <c r="AO538" s="865"/>
      <c r="AP538" s="851"/>
      <c r="AQ538" s="851"/>
      <c r="AR538" s="866"/>
      <c r="AS538" s="851"/>
      <c r="AT538" s="851"/>
      <c r="AU538" s="851"/>
      <c r="AV538" s="851"/>
      <c r="AW538" s="851"/>
      <c r="AX538" s="862"/>
      <c r="AY538" s="865"/>
      <c r="AZ538" s="851"/>
      <c r="BA538" s="851"/>
      <c r="BB538" s="851"/>
      <c r="BC538" s="523"/>
      <c r="BD538" s="523"/>
      <c r="BE538" s="862"/>
      <c r="BF538" s="851"/>
      <c r="BG538" s="851"/>
      <c r="BH538" s="851"/>
      <c r="BI538" s="851"/>
      <c r="BJ538" s="851"/>
      <c r="BK538" s="851"/>
      <c r="BL538" s="851"/>
      <c r="BM538" s="851"/>
      <c r="BN538" s="851"/>
      <c r="BO538" s="862"/>
      <c r="BP538" s="867"/>
      <c r="BQ538" s="866"/>
      <c r="BR538" s="862"/>
      <c r="BS538" s="472"/>
      <c r="BT538" s="472"/>
      <c r="BU538" s="474"/>
      <c r="BV538" s="472"/>
      <c r="BW538" s="523"/>
      <c r="BX538" s="523"/>
      <c r="BY538" s="523"/>
      <c r="BZ538" s="868" t="str">
        <f>IFERROR(WWWW[[#This Row],['#_Water sources passed]]/WWWW[[#This Row],['#_Water sources tested for fecal coliform ]],"no test")</f>
        <v>no test</v>
      </c>
      <c r="CA538" s="866" t="str">
        <f>IFERROR(WWWW[[#This Row],['#_Household passed]]/WWWW[[#This Row],['#_Household water samples tested for fecal coliform]],"no test")</f>
        <v>no test</v>
      </c>
      <c r="CB538" s="867" t="str">
        <f>IF(AND(WWWW[[#This Row],[% of water sources passed]]="no test",WWWW[[#This Row],[% Household passed]]="no test"),"No Test","Tested")</f>
        <v>No Test</v>
      </c>
      <c r="CC538" s="867">
        <f>WWWW[[#This Row],['#_Constructed/existing protected hand dug well]]-WWWW[[#This Row],['#_Non-functional protected hand dug well]]</f>
        <v>0</v>
      </c>
      <c r="CD538" s="867">
        <f>(WWWW[[#This Row],['#_Constructed/Existing tube wells/boreholes/handpumps_WASH_agency]]+WWWW[[#This Row],['#_Non-Cluster partner water tube-wells/boreholes/handpumps]])-WWWW[[#This Row],['#_Non-functional tube wells/boreholes/handpumps]]</f>
        <v>0</v>
      </c>
      <c r="CE538" s="867">
        <f>WWWW[[#This Row],['#_Constructed/Existingwater storage tank with gravity fed reticulation system]]-WWWW[[#This Row],['#_Non-functional storage tank gravity fed reticulation system]]</f>
        <v>0</v>
      </c>
      <c r="CF538" s="867">
        <f>(WWWW[[#This Row],['#_Water_Liters_supplied_by_Water boating or water trucking]]/90)/15</f>
        <v>0</v>
      </c>
      <c r="CG538" s="867">
        <f>WWWW[[#This Row],['#_Water_Liters_from_Constructed/Existing water distribution system from river or natural spring]]/90/15</f>
        <v>0</v>
      </c>
      <c r="CH538" s="473">
        <f>WWWW[[#This Row],['#_of water points in TLS/CFS /THF]]*500</f>
        <v>0</v>
      </c>
      <c r="CI53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8" s="866">
        <f>IF(WWWW[[#This Row],[Location Type 1]]="Village",WWWW[[#This Row],[Access to safe drinking water for Village]],WWWW[[#This Row],[Access to safe drinking water for Camp]])</f>
        <v>0</v>
      </c>
      <c r="CL538" s="864">
        <f>WWWW[[#This Row],[%Equitable and continuous access to sufficient quantity of safe drinking water]]*WWWW[[#This Row],[Total PoP ]]</f>
        <v>0</v>
      </c>
      <c r="CM538" s="866">
        <f>IF((WWWW[[#This Row],['#_Constructed/Existing protected/fenced ponds]]*250)/WWWW[[#This Row],[Total PoP ]]&gt;1,1,(WWWW[[#This Row],['#_Constructed/Existing protected/fenced ponds]]*250)/WWWW[[#This Row],[Total PoP ]])</f>
        <v>0</v>
      </c>
      <c r="CN538" s="864">
        <f>WWWW[[#This Row],[% Access to unimproved water points]]*WWWW[[#This Row],[Total PoP ]]</f>
        <v>0</v>
      </c>
      <c r="CO53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8" s="864">
        <f>WWWW[[#This Row],[HRP1]]/500</f>
        <v>0</v>
      </c>
      <c r="CR538" s="869">
        <f>1-WWWW[[#This Row],[% Equitable and continuous access to sufficient quantity of domestic water]]</f>
        <v>1</v>
      </c>
      <c r="CS538" s="864">
        <f>WWWW[[#This Row],[%equitable and continuous access to sufficient quantity of safe drinking and domestic water''s GAP]]*WWWW[[#This Row],[Total PoP ]]</f>
        <v>449</v>
      </c>
      <c r="CT538" s="867">
        <f>IF(WWWW[[#This Row],[Total required water points]]-WWWW[[#This Row],['#Water points coverage]]&lt;0,0,WWWW[[#This Row],[Total required water points]]-WWWW[[#This Row],['#Water points coverage]])</f>
        <v>1</v>
      </c>
      <c r="CU538" s="867">
        <f>ROUND(IF(WWWW[[#This Row],[Total PoP ]]&lt;500,1,WWWW[[#This Row],[Total PoP ]]/500),0)</f>
        <v>1</v>
      </c>
      <c r="CV538" s="867">
        <f>(WWWW[[#This Row],['#_Constructed latrines_by_WASHAgencies]]+WWWW[[#This Row],['#_Non Cluster partner latrines]])-WWWW[[#This Row],['#_Non-functional latrines]]</f>
        <v>0</v>
      </c>
      <c r="CW538" s="804">
        <f>WWWW[[#This Row],[HRP2]]/WWWW[[#This Row],[Total PoP ]]</f>
        <v>0</v>
      </c>
      <c r="CX53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8" s="473">
        <f>IF(WWWW[[#This Row],['# of functional latrines in THF supported by WASH partners during the reporting period2]]="",0,WWWW[[#This Row],['# of functional latrines in THF supported by WASH partners during the reporting period2]]*50)</f>
        <v>0</v>
      </c>
      <c r="DB538" s="473">
        <f>WWWW[[#This Row],['# students access to functioning school latrines_HRP5]]+WWWW[[#This Row],['# People access to functioning latrines in THF_HRP5]]</f>
        <v>0</v>
      </c>
      <c r="DC538" s="867">
        <f>ROUND(IF(WWWW[[#This Row],[Location Type 1]]="camp",WWWW[[#This Row],[Total PoP ]]/20,IF(WWWW[[#This Row],[Location Type 1]]="Temporary Location",WWWW[[#This Row],[Total PoP ]]/50,(WWWW[[#This Row],[Total PoP ]]/6))),0)</f>
        <v>22</v>
      </c>
      <c r="DD538" s="867">
        <f>IF(WWWW[[#This Row],[Total required Latrines]]-(WWWW[[#This Row],['#_Constructed latrines_by_WASHAgencies]]+WWWW[[#This Row],['#_Non Cluster partner latrines]])&lt;0,0,WWWW[[#This Row],[Total required Latrines]]-(WWWW[[#This Row],['#_Constructed latrines_by_WASHAgencies]]+WWWW[[#This Row],['#_Non Cluster partner latrines]]))</f>
        <v>22</v>
      </c>
      <c r="DE538" s="869">
        <f>1-WWWW[[#This Row],[% people access to functioning Latrine]]</f>
        <v>1</v>
      </c>
      <c r="DF538" s="868">
        <f>IF(OR(WWWW[[#This Row],['#_Non-functional latrines]]="",WWWW[[#This Row],['#_Non-functional latrines]]=0),0,WWWW[[#This Row],['#_Non-functional latrines]]/(WWWW[[#This Row],['#_Constructed latrines_by_WASHAgencies]]+WWWW[[#This Row],['#_Non Cluster partner latrines]]))</f>
        <v>0</v>
      </c>
      <c r="DG538" s="864">
        <f>IF(500*(WWWW[[#This Row],['#_male hygiene promoters]]+WWWW[[#This Row],['#_female hygiene promoters]])&gt;WWWW[[#This Row],[Total PoP ]],WWWW[[#This Row],[Total PoP ]],500*(WWWW[[#This Row],['#_male hygiene promoters]]+WWWW[[#This Row],['#_female hygiene promoters]]))</f>
        <v>0</v>
      </c>
      <c r="DH53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8" s="867">
        <f>IF(WWWW[[#This Row],['# People with access to soap]]&gt;WWWW[[#This Row],['# People with access to Sanity Pads]],WWWW[[#This Row],['# People with access to soap]],WWWW[[#This Row],['# People with access to Sanity Pads]])</f>
        <v>0</v>
      </c>
      <c r="DK53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8" s="869">
        <f>IF(WWWW[[#This Row],[HRP3]]/WWWW[[#This Row],[Total PoP ]]&gt;1,1,WWWW[[#This Row],[HRP3]]/WWWW[[#This Row],[Total PoP ]])</f>
        <v>0</v>
      </c>
      <c r="DM538" s="868">
        <f>1-WWWW[[#This Row],[Hygiene Coverage%]]</f>
        <v>1</v>
      </c>
      <c r="DN538" s="866">
        <f>WWWW[[#This Row],['# people reached by regular dedicated hygiene promotion_5]]/WWWW[[#This Row],[Total PoP ]]</f>
        <v>0</v>
      </c>
      <c r="DO53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8" s="867">
        <f>WWWW[[#This Row],['#_Constructed/Existing hand washing stations]]-WWWW[[#This Row],['#_Non-Functional_hand_washing_stations]]</f>
        <v>0</v>
      </c>
      <c r="DR538" s="864">
        <f>IF(WWWW[[#This Row],['# Functional hand washing stations during reporting period]]*20&gt;WWWW[[#This Row],[Total HH]],WWWW[[#This Row],[Total HH]],WWWW[[#This Row],['# Functional hand washing stations during reporting period]]*20)</f>
        <v>0</v>
      </c>
      <c r="DS538" s="864">
        <f>IF(WWWW[[#This Row],[Is sufficient soap available for TLS? (Yes/No)]]="yes",WWWW[[#This Row],['#_Constructed/Existing hand washing stations at TLS]],0)</f>
        <v>0</v>
      </c>
      <c r="DT538" s="479">
        <f>IF(WWWW[[#This Row],['# Functional hand washing stations during reporting period]]*100&gt;WWWW[[#This Row],[Total PoP ]],WWWW[[#This Row],[Total PoP ]],WWWW[[#This Row],['# Functional hand washing stations during reporting period]]*100)</f>
        <v>0</v>
      </c>
      <c r="DU538" s="479" t="str">
        <f>IF(OR(WWWW[[#This Row],['#_students at TLS_CFS]]="",WWWW[[#This Row],['#_students at TLS_CFS]]=0),"No","Yes")</f>
        <v>No</v>
      </c>
      <c r="DV53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8" s="862">
        <f>VLOOKUP(WWWW[[#This Row],[Site Name]],SiteDB6[[Site Name]:[CCCM Management]],6,FALSE)</f>
        <v>0</v>
      </c>
      <c r="DZ538" s="862" t="str">
        <f>VLOOKUP(WWWW[[#This Row],[Site Name]],SiteDB6[[Site Name]:[CCCM Focal Agency]],7,FALSE)</f>
        <v>uncovered</v>
      </c>
      <c r="EA538" s="862" t="str">
        <f>VLOOKUP(WWWW[[#This Row],[Site Name]],SiteDB6[[Site Name]:[Location Type 1]],9,FALSE)</f>
        <v>Camp</v>
      </c>
      <c r="EB538" s="862" t="str">
        <f>VLOOKUP(WWWW[[#This Row],[Site Name]],SiteDB6[[Site Name]:[Type of Accommodation]],10,FALSE)</f>
        <v>Camp like setting</v>
      </c>
      <c r="EC538" s="862" t="str">
        <f>VLOOKUP(WWWW[[#This Row],[Site Name]],SiteDB6[[Site Name]:[Ethnic or GCA/NGCA]],11,FALSE)</f>
        <v>GCA</v>
      </c>
      <c r="ED538" s="862">
        <f>VLOOKUP(WWWW[[#This Row],[Site Name]],SiteDB6[[Site Name]:[Lat]],12,FALSE)</f>
        <v>25.391428000000001</v>
      </c>
      <c r="EE538" s="862">
        <f>VLOOKUP(WWWW[[#This Row],[Site Name]],SiteDB6[[Site Name]:[Long]],13,FALSE)</f>
        <v>97.898184999999998</v>
      </c>
      <c r="EF538" s="862" t="str">
        <f>VLOOKUP(WWWW[[#This Row],[Site Name]],SiteDB6[[Site Name]:[Pcode]],3,FALSE)</f>
        <v>MMR001CMP258</v>
      </c>
      <c r="EG538" s="865" t="str">
        <f t="shared" si="15"/>
        <v>Notcovered</v>
      </c>
      <c r="EH538" s="865" t="str">
        <f>VLOOKUP(WWWW[[#This Row],[Site Name]],Site_DB!$C$389:$D$1120,2,FALSE)</f>
        <v>cccm_2019OCT</v>
      </c>
    </row>
    <row r="539" spans="1:138">
      <c r="A539" s="860" t="s">
        <v>3263</v>
      </c>
      <c r="B539" s="860" t="s">
        <v>312</v>
      </c>
      <c r="C539" s="861" t="s">
        <v>312</v>
      </c>
      <c r="D539" s="861"/>
      <c r="E539" s="861" t="s">
        <v>711</v>
      </c>
      <c r="F539" s="861" t="s">
        <v>752</v>
      </c>
      <c r="G539" s="721" t="str">
        <f>VLOOKUP(WWWW[[#This Row],[Site Name]],SiteDB6[[Site Name]:[Location Type]],8,FALSE)</f>
        <v>Camp</v>
      </c>
      <c r="H539" s="861" t="s">
        <v>753</v>
      </c>
      <c r="I539" s="851">
        <v>37</v>
      </c>
      <c r="J539" s="851">
        <v>120</v>
      </c>
      <c r="K539" s="863"/>
      <c r="L539" s="859"/>
      <c r="M539" s="851"/>
      <c r="N539" s="851"/>
      <c r="O539" s="851"/>
      <c r="P539" s="851"/>
      <c r="Q539" s="864"/>
      <c r="R539" s="851"/>
      <c r="S539" s="851">
        <v>4</v>
      </c>
      <c r="T539" s="523"/>
      <c r="U539" s="851"/>
      <c r="V539" s="851"/>
      <c r="W539" s="851"/>
      <c r="X539" s="851"/>
      <c r="Y539" s="851"/>
      <c r="Z539" s="851"/>
      <c r="AA539" s="851"/>
      <c r="AB539" s="851"/>
      <c r="AC539" s="851"/>
      <c r="AD539" s="851"/>
      <c r="AE539" s="851"/>
      <c r="AF539" s="851"/>
      <c r="AG539" s="851"/>
      <c r="AH539" s="851"/>
      <c r="AI539" s="851"/>
      <c r="AJ539" s="851"/>
      <c r="AK539" s="851"/>
      <c r="AL539" s="851"/>
      <c r="AM539" s="851"/>
      <c r="AN539" s="851"/>
      <c r="AO539" s="865"/>
      <c r="AP539" s="851"/>
      <c r="AQ539" s="851"/>
      <c r="AR539" s="866"/>
      <c r="AS539" s="851"/>
      <c r="AT539" s="851"/>
      <c r="AU539" s="851"/>
      <c r="AV539" s="851"/>
      <c r="AW539" s="851"/>
      <c r="AX539" s="862"/>
      <c r="AY539" s="865"/>
      <c r="AZ539" s="851"/>
      <c r="BA539" s="851"/>
      <c r="BB539" s="851"/>
      <c r="BC539" s="523"/>
      <c r="BD539" s="523"/>
      <c r="BE539" s="862"/>
      <c r="BF539" s="851"/>
      <c r="BG539" s="851"/>
      <c r="BH539" s="851"/>
      <c r="BI539" s="851"/>
      <c r="BJ539" s="851"/>
      <c r="BK539" s="851"/>
      <c r="BL539" s="851"/>
      <c r="BM539" s="851"/>
      <c r="BN539" s="851"/>
      <c r="BO539" s="862"/>
      <c r="BP539" s="867"/>
      <c r="BQ539" s="866"/>
      <c r="BR539" s="862"/>
      <c r="BS539" s="472"/>
      <c r="BT539" s="472"/>
      <c r="BU539" s="474"/>
      <c r="BV539" s="472"/>
      <c r="BW539" s="523"/>
      <c r="BX539" s="523"/>
      <c r="BY539" s="523"/>
      <c r="BZ539" s="868" t="str">
        <f>IFERROR(WWWW[[#This Row],['#_Water sources passed]]/WWWW[[#This Row],['#_Water sources tested for fecal coliform ]],"no test")</f>
        <v>no test</v>
      </c>
      <c r="CA539" s="866" t="str">
        <f>IFERROR(WWWW[[#This Row],['#_Household passed]]/WWWW[[#This Row],['#_Household water samples tested for fecal coliform]],"no test")</f>
        <v>no test</v>
      </c>
      <c r="CB539" s="867" t="str">
        <f>IF(AND(WWWW[[#This Row],[% of water sources passed]]="no test",WWWW[[#This Row],[% Household passed]]="no test"),"No Test","Tested")</f>
        <v>No Test</v>
      </c>
      <c r="CC539" s="867">
        <f>WWWW[[#This Row],['#_Constructed/existing protected hand dug well]]-WWWW[[#This Row],['#_Non-functional protected hand dug well]]</f>
        <v>0</v>
      </c>
      <c r="CD539" s="867">
        <f>(WWWW[[#This Row],['#_Constructed/Existing tube wells/boreholes/handpumps_WASH_agency]]+WWWW[[#This Row],['#_Non-Cluster partner water tube-wells/boreholes/handpumps]])-WWWW[[#This Row],['#_Non-functional tube wells/boreholes/handpumps]]</f>
        <v>0</v>
      </c>
      <c r="CE539" s="867">
        <f>WWWW[[#This Row],['#_Constructed/Existingwater storage tank with gravity fed reticulation system]]-WWWW[[#This Row],['#_Non-functional storage tank gravity fed reticulation system]]</f>
        <v>0</v>
      </c>
      <c r="CF539" s="867">
        <f>(WWWW[[#This Row],['#_Water_Liters_supplied_by_Water boating or water trucking]]/90)/15</f>
        <v>0</v>
      </c>
      <c r="CG539" s="867">
        <f>WWWW[[#This Row],['#_Water_Liters_from_Constructed/Existing water distribution system from river or natural spring]]/90/15</f>
        <v>0</v>
      </c>
      <c r="CH539" s="473">
        <f>WWWW[[#This Row],['#_of water points in TLS/CFS /THF]]*500</f>
        <v>0</v>
      </c>
      <c r="CI53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3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39" s="866">
        <f>IF(WWWW[[#This Row],[Location Type 1]]="Village",WWWW[[#This Row],[Access to safe drinking water for Village]],WWWW[[#This Row],[Access to safe drinking water for Camp]])</f>
        <v>0</v>
      </c>
      <c r="CL539" s="864">
        <f>WWWW[[#This Row],[%Equitable and continuous access to sufficient quantity of safe drinking water]]*WWWW[[#This Row],[Total PoP ]]</f>
        <v>0</v>
      </c>
      <c r="CM539" s="866">
        <f>IF((WWWW[[#This Row],['#_Constructed/Existing protected/fenced ponds]]*250)/WWWW[[#This Row],[Total PoP ]]&gt;1,1,(WWWW[[#This Row],['#_Constructed/Existing protected/fenced ponds]]*250)/WWWW[[#This Row],[Total PoP ]])</f>
        <v>0</v>
      </c>
      <c r="CN539" s="864">
        <f>WWWW[[#This Row],[% Access to unimproved water points]]*WWWW[[#This Row],[Total PoP ]]</f>
        <v>0</v>
      </c>
      <c r="CO53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3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39" s="864">
        <f>WWWW[[#This Row],[HRP1]]/500</f>
        <v>0</v>
      </c>
      <c r="CR539" s="869">
        <f>1-WWWW[[#This Row],[% Equitable and continuous access to sufficient quantity of domestic water]]</f>
        <v>1</v>
      </c>
      <c r="CS539" s="864">
        <f>WWWW[[#This Row],[%equitable and continuous access to sufficient quantity of safe drinking and domestic water''s GAP]]*WWWW[[#This Row],[Total PoP ]]</f>
        <v>120</v>
      </c>
      <c r="CT539" s="867">
        <f>IF(WWWW[[#This Row],[Total required water points]]-WWWW[[#This Row],['#Water points coverage]]&lt;0,0,WWWW[[#This Row],[Total required water points]]-WWWW[[#This Row],['#Water points coverage]])</f>
        <v>1</v>
      </c>
      <c r="CU539" s="867">
        <f>ROUND(IF(WWWW[[#This Row],[Total PoP ]]&lt;500,1,WWWW[[#This Row],[Total PoP ]]/500),0)</f>
        <v>1</v>
      </c>
      <c r="CV539" s="867">
        <f>(WWWW[[#This Row],['#_Constructed latrines_by_WASHAgencies]]+WWWW[[#This Row],['#_Non Cluster partner latrines]])-WWWW[[#This Row],['#_Non-functional latrines]]</f>
        <v>0</v>
      </c>
      <c r="CW539" s="804">
        <f>WWWW[[#This Row],[HRP2]]/WWWW[[#This Row],[Total PoP ]]</f>
        <v>0</v>
      </c>
      <c r="CX53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3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3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39" s="473">
        <f>IF(WWWW[[#This Row],['# of functional latrines in THF supported by WASH partners during the reporting period2]]="",0,WWWW[[#This Row],['# of functional latrines in THF supported by WASH partners during the reporting period2]]*50)</f>
        <v>0</v>
      </c>
      <c r="DB539" s="473">
        <f>WWWW[[#This Row],['# students access to functioning school latrines_HRP5]]+WWWW[[#This Row],['# People access to functioning latrines in THF_HRP5]]</f>
        <v>0</v>
      </c>
      <c r="DC539" s="867">
        <f>ROUND(IF(WWWW[[#This Row],[Location Type 1]]="camp",WWWW[[#This Row],[Total PoP ]]/20,IF(WWWW[[#This Row],[Location Type 1]]="Temporary Location",WWWW[[#This Row],[Total PoP ]]/50,(WWWW[[#This Row],[Total PoP ]]/6))),0)</f>
        <v>6</v>
      </c>
      <c r="DD539" s="867">
        <f>IF(WWWW[[#This Row],[Total required Latrines]]-(WWWW[[#This Row],['#_Constructed latrines_by_WASHAgencies]]+WWWW[[#This Row],['#_Non Cluster partner latrines]])&lt;0,0,WWWW[[#This Row],[Total required Latrines]]-(WWWW[[#This Row],['#_Constructed latrines_by_WASHAgencies]]+WWWW[[#This Row],['#_Non Cluster partner latrines]]))</f>
        <v>6</v>
      </c>
      <c r="DE539" s="869">
        <f>1-WWWW[[#This Row],[% people access to functioning Latrine]]</f>
        <v>1</v>
      </c>
      <c r="DF539" s="868">
        <f>IF(OR(WWWW[[#This Row],['#_Non-functional latrines]]="",WWWW[[#This Row],['#_Non-functional latrines]]=0),0,WWWW[[#This Row],['#_Non-functional latrines]]/(WWWW[[#This Row],['#_Constructed latrines_by_WASHAgencies]]+WWWW[[#This Row],['#_Non Cluster partner latrines]]))</f>
        <v>0</v>
      </c>
      <c r="DG539" s="864">
        <f>IF(500*(WWWW[[#This Row],['#_male hygiene promoters]]+WWWW[[#This Row],['#_female hygiene promoters]])&gt;WWWW[[#This Row],[Total PoP ]],WWWW[[#This Row],[Total PoP ]],500*(WWWW[[#This Row],['#_male hygiene promoters]]+WWWW[[#This Row],['#_female hygiene promoters]]))</f>
        <v>0</v>
      </c>
      <c r="DH53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3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39" s="867">
        <f>IF(WWWW[[#This Row],['# People with access to soap]]&gt;WWWW[[#This Row],['# People with access to Sanity Pads]],WWWW[[#This Row],['# People with access to soap]],WWWW[[#This Row],['# People with access to Sanity Pads]])</f>
        <v>0</v>
      </c>
      <c r="DK53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39" s="869">
        <f>IF(WWWW[[#This Row],[HRP3]]/WWWW[[#This Row],[Total PoP ]]&gt;1,1,WWWW[[#This Row],[HRP3]]/WWWW[[#This Row],[Total PoP ]])</f>
        <v>0</v>
      </c>
      <c r="DM539" s="868">
        <f>1-WWWW[[#This Row],[Hygiene Coverage%]]</f>
        <v>1</v>
      </c>
      <c r="DN539" s="866">
        <f>WWWW[[#This Row],['# people reached by regular dedicated hygiene promotion_5]]/WWWW[[#This Row],[Total PoP ]]</f>
        <v>0</v>
      </c>
      <c r="DO53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3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39" s="867">
        <f>WWWW[[#This Row],['#_Constructed/Existing hand washing stations]]-WWWW[[#This Row],['#_Non-Functional_hand_washing_stations]]</f>
        <v>0</v>
      </c>
      <c r="DR539" s="864">
        <f>IF(WWWW[[#This Row],['# Functional hand washing stations during reporting period]]*20&gt;WWWW[[#This Row],[Total HH]],WWWW[[#This Row],[Total HH]],WWWW[[#This Row],['# Functional hand washing stations during reporting period]]*20)</f>
        <v>0</v>
      </c>
      <c r="DS539" s="864">
        <f>IF(WWWW[[#This Row],[Is sufficient soap available for TLS? (Yes/No)]]="yes",WWWW[[#This Row],['#_Constructed/Existing hand washing stations at TLS]],0)</f>
        <v>0</v>
      </c>
      <c r="DT539" s="479">
        <f>IF(WWWW[[#This Row],['# Functional hand washing stations during reporting period]]*100&gt;WWWW[[#This Row],[Total PoP ]],WWWW[[#This Row],[Total PoP ]],WWWW[[#This Row],['# Functional hand washing stations during reporting period]]*100)</f>
        <v>0</v>
      </c>
      <c r="DU539" s="479" t="str">
        <f>IF(OR(WWWW[[#This Row],['#_students at TLS_CFS]]="",WWWW[[#This Row],['#_students at TLS_CFS]]=0),"No","Yes")</f>
        <v>No</v>
      </c>
      <c r="DV53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3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3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39" s="862">
        <f>VLOOKUP(WWWW[[#This Row],[Site Name]],SiteDB6[[Site Name]:[CCCM Management]],6,FALSE)</f>
        <v>0</v>
      </c>
      <c r="DZ539" s="862" t="str">
        <f>VLOOKUP(WWWW[[#This Row],[Site Name]],SiteDB6[[Site Name]:[CCCM Focal Agency]],7,FALSE)</f>
        <v>uncovered</v>
      </c>
      <c r="EA539" s="862" t="str">
        <f>VLOOKUP(WWWW[[#This Row],[Site Name]],SiteDB6[[Site Name]:[Location Type 1]],9,FALSE)</f>
        <v>Camp</v>
      </c>
      <c r="EB539" s="862" t="str">
        <f>VLOOKUP(WWWW[[#This Row],[Site Name]],SiteDB6[[Site Name]:[Type of Accommodation]],10,FALSE)</f>
        <v>Camp like setting</v>
      </c>
      <c r="EC539" s="862" t="str">
        <f>VLOOKUP(WWWW[[#This Row],[Site Name]],SiteDB6[[Site Name]:[Ethnic or GCA/NGCA]],11,FALSE)</f>
        <v>GCA</v>
      </c>
      <c r="ED539" s="862">
        <f>VLOOKUP(WWWW[[#This Row],[Site Name]],SiteDB6[[Site Name]:[Lat]],12,FALSE)</f>
        <v>22.677008000000001</v>
      </c>
      <c r="EE539" s="862">
        <f>VLOOKUP(WWWW[[#This Row],[Site Name]],SiteDB6[[Site Name]:[Long]],13,FALSE)</f>
        <v>97.314762999999999</v>
      </c>
      <c r="EF539" s="862" t="str">
        <f>VLOOKUP(WWWW[[#This Row],[Site Name]],SiteDB6[[Site Name]:[Pcode]],3,FALSE)</f>
        <v>MMR015CMP244</v>
      </c>
      <c r="EG539" s="865" t="str">
        <f t="shared" si="15"/>
        <v>Notcovered</v>
      </c>
      <c r="EH539" s="865" t="str">
        <f>VLOOKUP(WWWW[[#This Row],[Site Name]],Site_DB!$C$389:$D$1120,2,FALSE)</f>
        <v>cccm_2019OCT</v>
      </c>
    </row>
    <row r="540" spans="1:138">
      <c r="A540" s="860" t="s">
        <v>3263</v>
      </c>
      <c r="B540" s="860" t="s">
        <v>312</v>
      </c>
      <c r="C540" s="861" t="s">
        <v>312</v>
      </c>
      <c r="D540" s="861"/>
      <c r="E540" s="861" t="s">
        <v>39</v>
      </c>
      <c r="F540" s="861" t="s">
        <v>40</v>
      </c>
      <c r="G540" s="721" t="str">
        <f>VLOOKUP(WWWW[[#This Row],[Site Name]],SiteDB6[[Site Name]:[Location Type]],8,FALSE)</f>
        <v>Camp</v>
      </c>
      <c r="H540" s="861" t="s">
        <v>1004</v>
      </c>
      <c r="I540" s="851">
        <v>80</v>
      </c>
      <c r="J540" s="851">
        <v>290</v>
      </c>
      <c r="K540" s="863"/>
      <c r="L540" s="859"/>
      <c r="M540" s="851"/>
      <c r="N540" s="851"/>
      <c r="O540" s="851"/>
      <c r="P540" s="851"/>
      <c r="Q540" s="864"/>
      <c r="R540" s="851"/>
      <c r="S540" s="851">
        <v>4</v>
      </c>
      <c r="T540" s="523"/>
      <c r="U540" s="851"/>
      <c r="V540" s="851"/>
      <c r="W540" s="851"/>
      <c r="X540" s="851"/>
      <c r="Y540" s="851"/>
      <c r="Z540" s="851"/>
      <c r="AA540" s="851"/>
      <c r="AB540" s="851"/>
      <c r="AC540" s="851"/>
      <c r="AD540" s="851"/>
      <c r="AE540" s="851"/>
      <c r="AF540" s="851"/>
      <c r="AG540" s="851"/>
      <c r="AH540" s="851"/>
      <c r="AI540" s="851"/>
      <c r="AJ540" s="851"/>
      <c r="AK540" s="851"/>
      <c r="AL540" s="851"/>
      <c r="AM540" s="851"/>
      <c r="AN540" s="851"/>
      <c r="AO540" s="865"/>
      <c r="AP540" s="851"/>
      <c r="AQ540" s="851"/>
      <c r="AR540" s="866"/>
      <c r="AS540" s="851"/>
      <c r="AT540" s="851"/>
      <c r="AU540" s="851"/>
      <c r="AV540" s="851"/>
      <c r="AW540" s="851"/>
      <c r="AX540" s="862"/>
      <c r="AY540" s="865"/>
      <c r="AZ540" s="851"/>
      <c r="BA540" s="851"/>
      <c r="BB540" s="851"/>
      <c r="BC540" s="523"/>
      <c r="BD540" s="523"/>
      <c r="BE540" s="862"/>
      <c r="BF540" s="851"/>
      <c r="BG540" s="851"/>
      <c r="BH540" s="851"/>
      <c r="BI540" s="851"/>
      <c r="BJ540" s="851"/>
      <c r="BK540" s="851"/>
      <c r="BL540" s="851"/>
      <c r="BM540" s="851"/>
      <c r="BN540" s="851"/>
      <c r="BO540" s="862"/>
      <c r="BP540" s="867"/>
      <c r="BQ540" s="866"/>
      <c r="BR540" s="862"/>
      <c r="BS540" s="472"/>
      <c r="BT540" s="472"/>
      <c r="BU540" s="474"/>
      <c r="BV540" s="472"/>
      <c r="BW540" s="523"/>
      <c r="BX540" s="523"/>
      <c r="BY540" s="523"/>
      <c r="BZ540" s="868" t="str">
        <f>IFERROR(WWWW[[#This Row],['#_Water sources passed]]/WWWW[[#This Row],['#_Water sources tested for fecal coliform ]],"no test")</f>
        <v>no test</v>
      </c>
      <c r="CA540" s="866" t="str">
        <f>IFERROR(WWWW[[#This Row],['#_Household passed]]/WWWW[[#This Row],['#_Household water samples tested for fecal coliform]],"no test")</f>
        <v>no test</v>
      </c>
      <c r="CB540" s="867" t="str">
        <f>IF(AND(WWWW[[#This Row],[% of water sources passed]]="no test",WWWW[[#This Row],[% Household passed]]="no test"),"No Test","Tested")</f>
        <v>No Test</v>
      </c>
      <c r="CC540" s="867">
        <f>WWWW[[#This Row],['#_Constructed/existing protected hand dug well]]-WWWW[[#This Row],['#_Non-functional protected hand dug well]]</f>
        <v>0</v>
      </c>
      <c r="CD540" s="867">
        <f>(WWWW[[#This Row],['#_Constructed/Existing tube wells/boreholes/handpumps_WASH_agency]]+WWWW[[#This Row],['#_Non-Cluster partner water tube-wells/boreholes/handpumps]])-WWWW[[#This Row],['#_Non-functional tube wells/boreholes/handpumps]]</f>
        <v>0</v>
      </c>
      <c r="CE540" s="867">
        <f>WWWW[[#This Row],['#_Constructed/Existingwater storage tank with gravity fed reticulation system]]-WWWW[[#This Row],['#_Non-functional storage tank gravity fed reticulation system]]</f>
        <v>0</v>
      </c>
      <c r="CF540" s="867">
        <f>(WWWW[[#This Row],['#_Water_Liters_supplied_by_Water boating or water trucking]]/90)/15</f>
        <v>0</v>
      </c>
      <c r="CG540" s="867">
        <f>WWWW[[#This Row],['#_Water_Liters_from_Constructed/Existing water distribution system from river or natural spring]]/90/15</f>
        <v>0</v>
      </c>
      <c r="CH540" s="473">
        <f>WWWW[[#This Row],['#_of water points in TLS/CFS /THF]]*500</f>
        <v>0</v>
      </c>
      <c r="CI54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0" s="866">
        <f>IF(WWWW[[#This Row],[Location Type 1]]="Village",WWWW[[#This Row],[Access to safe drinking water for Village]],WWWW[[#This Row],[Access to safe drinking water for Camp]])</f>
        <v>0</v>
      </c>
      <c r="CL540" s="864">
        <f>WWWW[[#This Row],[%Equitable and continuous access to sufficient quantity of safe drinking water]]*WWWW[[#This Row],[Total PoP ]]</f>
        <v>0</v>
      </c>
      <c r="CM540" s="866">
        <f>IF((WWWW[[#This Row],['#_Constructed/Existing protected/fenced ponds]]*250)/WWWW[[#This Row],[Total PoP ]]&gt;1,1,(WWWW[[#This Row],['#_Constructed/Existing protected/fenced ponds]]*250)/WWWW[[#This Row],[Total PoP ]])</f>
        <v>0</v>
      </c>
      <c r="CN540" s="864">
        <f>WWWW[[#This Row],[% Access to unimproved water points]]*WWWW[[#This Row],[Total PoP ]]</f>
        <v>0</v>
      </c>
      <c r="CO54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0" s="864">
        <f>WWWW[[#This Row],[HRP1]]/500</f>
        <v>0</v>
      </c>
      <c r="CR540" s="869">
        <f>1-WWWW[[#This Row],[% Equitable and continuous access to sufficient quantity of domestic water]]</f>
        <v>1</v>
      </c>
      <c r="CS540" s="864">
        <f>WWWW[[#This Row],[%equitable and continuous access to sufficient quantity of safe drinking and domestic water''s GAP]]*WWWW[[#This Row],[Total PoP ]]</f>
        <v>290</v>
      </c>
      <c r="CT540" s="867">
        <f>IF(WWWW[[#This Row],[Total required water points]]-WWWW[[#This Row],['#Water points coverage]]&lt;0,0,WWWW[[#This Row],[Total required water points]]-WWWW[[#This Row],['#Water points coverage]])</f>
        <v>1</v>
      </c>
      <c r="CU540" s="867">
        <f>ROUND(IF(WWWW[[#This Row],[Total PoP ]]&lt;500,1,WWWW[[#This Row],[Total PoP ]]/500),0)</f>
        <v>1</v>
      </c>
      <c r="CV540" s="867">
        <f>(WWWW[[#This Row],['#_Constructed latrines_by_WASHAgencies]]+WWWW[[#This Row],['#_Non Cluster partner latrines]])-WWWW[[#This Row],['#_Non-functional latrines]]</f>
        <v>0</v>
      </c>
      <c r="CW540" s="804">
        <f>WWWW[[#This Row],[HRP2]]/WWWW[[#This Row],[Total PoP ]]</f>
        <v>0</v>
      </c>
      <c r="CX54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0" s="473">
        <f>IF(WWWW[[#This Row],['# of functional latrines in THF supported by WASH partners during the reporting period2]]="",0,WWWW[[#This Row],['# of functional latrines in THF supported by WASH partners during the reporting period2]]*50)</f>
        <v>0</v>
      </c>
      <c r="DB540" s="473">
        <f>WWWW[[#This Row],['# students access to functioning school latrines_HRP5]]+WWWW[[#This Row],['# People access to functioning latrines in THF_HRP5]]</f>
        <v>0</v>
      </c>
      <c r="DC540" s="867">
        <f>ROUND(IF(WWWW[[#This Row],[Location Type 1]]="camp",WWWW[[#This Row],[Total PoP ]]/20,IF(WWWW[[#This Row],[Location Type 1]]="Temporary Location",WWWW[[#This Row],[Total PoP ]]/50,(WWWW[[#This Row],[Total PoP ]]/6))),0)</f>
        <v>15</v>
      </c>
      <c r="DD540" s="867">
        <f>IF(WWWW[[#This Row],[Total required Latrines]]-(WWWW[[#This Row],['#_Constructed latrines_by_WASHAgencies]]+WWWW[[#This Row],['#_Non Cluster partner latrines]])&lt;0,0,WWWW[[#This Row],[Total required Latrines]]-(WWWW[[#This Row],['#_Constructed latrines_by_WASHAgencies]]+WWWW[[#This Row],['#_Non Cluster partner latrines]]))</f>
        <v>15</v>
      </c>
      <c r="DE540" s="869">
        <f>1-WWWW[[#This Row],[% people access to functioning Latrine]]</f>
        <v>1</v>
      </c>
      <c r="DF540" s="868">
        <f>IF(OR(WWWW[[#This Row],['#_Non-functional latrines]]="",WWWW[[#This Row],['#_Non-functional latrines]]=0),0,WWWW[[#This Row],['#_Non-functional latrines]]/(WWWW[[#This Row],['#_Constructed latrines_by_WASHAgencies]]+WWWW[[#This Row],['#_Non Cluster partner latrines]]))</f>
        <v>0</v>
      </c>
      <c r="DG540" s="864">
        <f>IF(500*(WWWW[[#This Row],['#_male hygiene promoters]]+WWWW[[#This Row],['#_female hygiene promoters]])&gt;WWWW[[#This Row],[Total PoP ]],WWWW[[#This Row],[Total PoP ]],500*(WWWW[[#This Row],['#_male hygiene promoters]]+WWWW[[#This Row],['#_female hygiene promoters]]))</f>
        <v>0</v>
      </c>
      <c r="DH54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0" s="867">
        <f>IF(WWWW[[#This Row],['# People with access to soap]]&gt;WWWW[[#This Row],['# People with access to Sanity Pads]],WWWW[[#This Row],['# People with access to soap]],WWWW[[#This Row],['# People with access to Sanity Pads]])</f>
        <v>0</v>
      </c>
      <c r="DK54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0" s="869">
        <f>IF(WWWW[[#This Row],[HRP3]]/WWWW[[#This Row],[Total PoP ]]&gt;1,1,WWWW[[#This Row],[HRP3]]/WWWW[[#This Row],[Total PoP ]])</f>
        <v>0</v>
      </c>
      <c r="DM540" s="868">
        <f>1-WWWW[[#This Row],[Hygiene Coverage%]]</f>
        <v>1</v>
      </c>
      <c r="DN540" s="866">
        <f>WWWW[[#This Row],['# people reached by regular dedicated hygiene promotion_5]]/WWWW[[#This Row],[Total PoP ]]</f>
        <v>0</v>
      </c>
      <c r="DO54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0" s="867">
        <f>WWWW[[#This Row],['#_Constructed/Existing hand washing stations]]-WWWW[[#This Row],['#_Non-Functional_hand_washing_stations]]</f>
        <v>0</v>
      </c>
      <c r="DR540" s="864">
        <f>IF(WWWW[[#This Row],['# Functional hand washing stations during reporting period]]*20&gt;WWWW[[#This Row],[Total HH]],WWWW[[#This Row],[Total HH]],WWWW[[#This Row],['# Functional hand washing stations during reporting period]]*20)</f>
        <v>0</v>
      </c>
      <c r="DS540" s="864">
        <f>IF(WWWW[[#This Row],[Is sufficient soap available for TLS? (Yes/No)]]="yes",WWWW[[#This Row],['#_Constructed/Existing hand washing stations at TLS]],0)</f>
        <v>0</v>
      </c>
      <c r="DT540" s="479">
        <f>IF(WWWW[[#This Row],['# Functional hand washing stations during reporting period]]*100&gt;WWWW[[#This Row],[Total PoP ]],WWWW[[#This Row],[Total PoP ]],WWWW[[#This Row],['# Functional hand washing stations during reporting period]]*100)</f>
        <v>0</v>
      </c>
      <c r="DU540" s="479" t="str">
        <f>IF(OR(WWWW[[#This Row],['#_students at TLS_CFS]]="",WWWW[[#This Row],['#_students at TLS_CFS]]=0),"No","Yes")</f>
        <v>No</v>
      </c>
      <c r="DV54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0" s="862">
        <f>VLOOKUP(WWWW[[#This Row],[Site Name]],SiteDB6[[Site Name]:[CCCM Management]],6,FALSE)</f>
        <v>0</v>
      </c>
      <c r="DZ540" s="862" t="str">
        <f>VLOOKUP(WWWW[[#This Row],[Site Name]],SiteDB6[[Site Name]:[CCCM Focal Agency]],7,FALSE)</f>
        <v>uncovered</v>
      </c>
      <c r="EA540" s="862" t="str">
        <f>VLOOKUP(WWWW[[#This Row],[Site Name]],SiteDB6[[Site Name]:[Location Type 1]],9,FALSE)</f>
        <v>Camp</v>
      </c>
      <c r="EB540" s="862" t="str">
        <f>VLOOKUP(WWWW[[#This Row],[Site Name]],SiteDB6[[Site Name]:[Type of Accommodation]],10,FALSE)</f>
        <v>Host Families</v>
      </c>
      <c r="EC540" s="862" t="str">
        <f>VLOOKUP(WWWW[[#This Row],[Site Name]],SiteDB6[[Site Name]:[Ethnic or GCA/NGCA]],11,FALSE)</f>
        <v>GCA</v>
      </c>
      <c r="ED540" s="862">
        <f>VLOOKUP(WWWW[[#This Row],[Site Name]],SiteDB6[[Site Name]:[Lat]],12,FALSE)</f>
        <v>24.118618999999999</v>
      </c>
      <c r="EE540" s="862">
        <f>VLOOKUP(WWWW[[#This Row],[Site Name]],SiteDB6[[Site Name]:[Long]],13,FALSE)</f>
        <v>97.298055000000005</v>
      </c>
      <c r="EF540" s="862" t="str">
        <f>VLOOKUP(WWWW[[#This Row],[Site Name]],SiteDB6[[Site Name]:[Pcode]],3,FALSE)</f>
        <v>MMR001CMP196</v>
      </c>
      <c r="EG540" s="865" t="str">
        <f t="shared" ref="EG540:EG564" si="16">IF(C540="none","Notcovered","Covered")</f>
        <v>Notcovered</v>
      </c>
      <c r="EH540" s="865" t="str">
        <f>VLOOKUP(WWWW[[#This Row],[Site Name]],Site_DB!$C$389:$D$1120,2,FALSE)</f>
        <v>cccm_2019OCT</v>
      </c>
    </row>
    <row r="541" spans="1:138">
      <c r="A541" s="860" t="s">
        <v>3263</v>
      </c>
      <c r="B541" s="860" t="s">
        <v>245</v>
      </c>
      <c r="C541" s="861" t="s">
        <v>245</v>
      </c>
      <c r="D541" s="861" t="s">
        <v>310</v>
      </c>
      <c r="E541" s="861" t="s">
        <v>39</v>
      </c>
      <c r="F541" s="861" t="s">
        <v>151</v>
      </c>
      <c r="G541" s="721" t="str">
        <f>VLOOKUP(WWWW[[#This Row],[Site Name]],SiteDB6[[Site Name]:[Location Type]],8,FALSE)</f>
        <v>Camp</v>
      </c>
      <c r="H541" s="861" t="s">
        <v>256</v>
      </c>
      <c r="I541" s="851">
        <v>2</v>
      </c>
      <c r="J541" s="851">
        <v>14</v>
      </c>
      <c r="K541" s="863">
        <v>43313</v>
      </c>
      <c r="L541" s="859">
        <v>44196</v>
      </c>
      <c r="M541" s="851"/>
      <c r="N541" s="851">
        <v>0</v>
      </c>
      <c r="O541" s="851"/>
      <c r="P541" s="851"/>
      <c r="Q541" s="864"/>
      <c r="R541" s="851"/>
      <c r="S541" s="851"/>
      <c r="T541" s="523"/>
      <c r="U541" s="851"/>
      <c r="V541" s="851"/>
      <c r="W541" s="851">
        <v>0</v>
      </c>
      <c r="X541" s="851"/>
      <c r="Y541" s="851"/>
      <c r="Z541" s="851"/>
      <c r="AA541" s="851"/>
      <c r="AB541" s="851"/>
      <c r="AC541" s="851"/>
      <c r="AD541" s="851"/>
      <c r="AE541" s="851"/>
      <c r="AF541" s="851"/>
      <c r="AG541" s="851"/>
      <c r="AH541" s="851"/>
      <c r="AI541" s="851"/>
      <c r="AJ541" s="851"/>
      <c r="AK541" s="851"/>
      <c r="AL541" s="851"/>
      <c r="AM541" s="851"/>
      <c r="AN541" s="851"/>
      <c r="AO541" s="865"/>
      <c r="AP541" s="851">
        <v>0</v>
      </c>
      <c r="AQ541" s="851"/>
      <c r="AR541" s="866"/>
      <c r="AS541" s="851"/>
      <c r="AT541" s="851"/>
      <c r="AU541" s="851"/>
      <c r="AV541" s="851"/>
      <c r="AW541" s="851">
        <v>0</v>
      </c>
      <c r="AX541" s="862" t="s">
        <v>143</v>
      </c>
      <c r="AY541" s="865" t="s">
        <v>143</v>
      </c>
      <c r="AZ541" s="851"/>
      <c r="BA541" s="851"/>
      <c r="BB541" s="851"/>
      <c r="BC541" s="523"/>
      <c r="BD541" s="523"/>
      <c r="BE541" s="862"/>
      <c r="BF541" s="851"/>
      <c r="BG541" s="851"/>
      <c r="BH541" s="851">
        <v>0</v>
      </c>
      <c r="BI541" s="851"/>
      <c r="BJ541" s="851"/>
      <c r="BK541" s="851"/>
      <c r="BL541" s="851"/>
      <c r="BM541" s="851"/>
      <c r="BN541" s="851"/>
      <c r="BO541" s="862"/>
      <c r="BP541" s="867"/>
      <c r="BQ541" s="866"/>
      <c r="BR541" s="862"/>
      <c r="BS541" s="472"/>
      <c r="BT541" s="472"/>
      <c r="BU541" s="474"/>
      <c r="BV541" s="472"/>
      <c r="BW541" s="523"/>
      <c r="BX541" s="523"/>
      <c r="BY541" s="523"/>
      <c r="BZ541" s="868" t="str">
        <f>IFERROR(WWWW[[#This Row],['#_Water sources passed]]/WWWW[[#This Row],['#_Water sources tested for fecal coliform ]],"no test")</f>
        <v>no test</v>
      </c>
      <c r="CA541" s="866" t="str">
        <f>IFERROR(WWWW[[#This Row],['#_Household passed]]/WWWW[[#This Row],['#_Household water samples tested for fecal coliform]],"no test")</f>
        <v>no test</v>
      </c>
      <c r="CB541" s="867" t="str">
        <f>IF(AND(WWWW[[#This Row],[% of water sources passed]]="no test",WWWW[[#This Row],[% Household passed]]="no test"),"No Test","Tested")</f>
        <v>No Test</v>
      </c>
      <c r="CC541" s="867">
        <f>WWWW[[#This Row],['#_Constructed/existing protected hand dug well]]-WWWW[[#This Row],['#_Non-functional protected hand dug well]]</f>
        <v>0</v>
      </c>
      <c r="CD541" s="867">
        <f>(WWWW[[#This Row],['#_Constructed/Existing tube wells/boreholes/handpumps_WASH_agency]]+WWWW[[#This Row],['#_Non-Cluster partner water tube-wells/boreholes/handpumps]])-WWWW[[#This Row],['#_Non-functional tube wells/boreholes/handpumps]]</f>
        <v>0</v>
      </c>
      <c r="CE541" s="867">
        <f>WWWW[[#This Row],['#_Constructed/Existingwater storage tank with gravity fed reticulation system]]-WWWW[[#This Row],['#_Non-functional storage tank gravity fed reticulation system]]</f>
        <v>0</v>
      </c>
      <c r="CF541" s="867">
        <f>(WWWW[[#This Row],['#_Water_Liters_supplied_by_Water boating or water trucking]]/90)/15</f>
        <v>0</v>
      </c>
      <c r="CG541" s="867">
        <f>WWWW[[#This Row],['#_Water_Liters_from_Constructed/Existing water distribution system from river or natural spring]]/90/15</f>
        <v>0</v>
      </c>
      <c r="CH541" s="473">
        <f>WWWW[[#This Row],['#_of water points in TLS/CFS /THF]]*500</f>
        <v>0</v>
      </c>
      <c r="CI54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1" s="866">
        <f>IF(WWWW[[#This Row],[Location Type 1]]="Village",WWWW[[#This Row],[Access to safe drinking water for Village]],WWWW[[#This Row],[Access to safe drinking water for Camp]])</f>
        <v>0</v>
      </c>
      <c r="CL541" s="864">
        <f>WWWW[[#This Row],[%Equitable and continuous access to sufficient quantity of safe drinking water]]*WWWW[[#This Row],[Total PoP ]]</f>
        <v>0</v>
      </c>
      <c r="CM541" s="866">
        <f>IF((WWWW[[#This Row],['#_Constructed/Existing protected/fenced ponds]]*250)/WWWW[[#This Row],[Total PoP ]]&gt;1,1,(WWWW[[#This Row],['#_Constructed/Existing protected/fenced ponds]]*250)/WWWW[[#This Row],[Total PoP ]])</f>
        <v>0</v>
      </c>
      <c r="CN541" s="864">
        <f>WWWW[[#This Row],[% Access to unimproved water points]]*WWWW[[#This Row],[Total PoP ]]</f>
        <v>0</v>
      </c>
      <c r="CO54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1" s="864">
        <f>WWWW[[#This Row],[HRP1]]/500</f>
        <v>0</v>
      </c>
      <c r="CR541" s="869">
        <f>1-WWWW[[#This Row],[% Equitable and continuous access to sufficient quantity of domestic water]]</f>
        <v>1</v>
      </c>
      <c r="CS541" s="864">
        <f>WWWW[[#This Row],[%equitable and continuous access to sufficient quantity of safe drinking and domestic water''s GAP]]*WWWW[[#This Row],[Total PoP ]]</f>
        <v>14</v>
      </c>
      <c r="CT541" s="867">
        <f>IF(WWWW[[#This Row],[Total required water points]]-WWWW[[#This Row],['#Water points coverage]]&lt;0,0,WWWW[[#This Row],[Total required water points]]-WWWW[[#This Row],['#Water points coverage]])</f>
        <v>1</v>
      </c>
      <c r="CU541" s="867">
        <f>ROUND(IF(WWWW[[#This Row],[Total PoP ]]&lt;500,1,WWWW[[#This Row],[Total PoP ]]/500),0)</f>
        <v>1</v>
      </c>
      <c r="CV541" s="867">
        <f>(WWWW[[#This Row],['#_Constructed latrines_by_WASHAgencies]]+WWWW[[#This Row],['#_Non Cluster partner latrines]])-WWWW[[#This Row],['#_Non-functional latrines]]</f>
        <v>0</v>
      </c>
      <c r="CW541" s="804">
        <f>WWWW[[#This Row],[HRP2]]/WWWW[[#This Row],[Total PoP ]]</f>
        <v>0</v>
      </c>
      <c r="CX54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1" s="473">
        <f>IF(WWWW[[#This Row],['# of functional latrines in THF supported by WASH partners during the reporting period2]]="",0,WWWW[[#This Row],['# of functional latrines in THF supported by WASH partners during the reporting period2]]*50)</f>
        <v>0</v>
      </c>
      <c r="DB541" s="473">
        <f>WWWW[[#This Row],['# students access to functioning school latrines_HRP5]]+WWWW[[#This Row],['# People access to functioning latrines in THF_HRP5]]</f>
        <v>0</v>
      </c>
      <c r="DC541" s="867">
        <f>ROUND(IF(WWWW[[#This Row],[Location Type 1]]="camp",WWWW[[#This Row],[Total PoP ]]/20,IF(WWWW[[#This Row],[Location Type 1]]="Temporary Location",WWWW[[#This Row],[Total PoP ]]/50,(WWWW[[#This Row],[Total PoP ]]/6))),0)</f>
        <v>1</v>
      </c>
      <c r="DD541" s="867">
        <f>IF(WWWW[[#This Row],[Total required Latrines]]-(WWWW[[#This Row],['#_Constructed latrines_by_WASHAgencies]]+WWWW[[#This Row],['#_Non Cluster partner latrines]])&lt;0,0,WWWW[[#This Row],[Total required Latrines]]-(WWWW[[#This Row],['#_Constructed latrines_by_WASHAgencies]]+WWWW[[#This Row],['#_Non Cluster partner latrines]]))</f>
        <v>1</v>
      </c>
      <c r="DE541" s="869">
        <f>1-WWWW[[#This Row],[% people access to functioning Latrine]]</f>
        <v>1</v>
      </c>
      <c r="DF541" s="868">
        <f>IF(OR(WWWW[[#This Row],['#_Non-functional latrines]]="",WWWW[[#This Row],['#_Non-functional latrines]]=0),0,WWWW[[#This Row],['#_Non-functional latrines]]/(WWWW[[#This Row],['#_Constructed latrines_by_WASHAgencies]]+WWWW[[#This Row],['#_Non Cluster partner latrines]]))</f>
        <v>0</v>
      </c>
      <c r="DG541" s="864">
        <f>IF(500*(WWWW[[#This Row],['#_male hygiene promoters]]+WWWW[[#This Row],['#_female hygiene promoters]])&gt;WWWW[[#This Row],[Total PoP ]],WWWW[[#This Row],[Total PoP ]],500*(WWWW[[#This Row],['#_male hygiene promoters]]+WWWW[[#This Row],['#_female hygiene promoters]]))</f>
        <v>0</v>
      </c>
      <c r="DH54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1" s="867">
        <f>IF(WWWW[[#This Row],['# People with access to soap]]&gt;WWWW[[#This Row],['# People with access to Sanity Pads]],WWWW[[#This Row],['# People with access to soap]],WWWW[[#This Row],['# People with access to Sanity Pads]])</f>
        <v>0</v>
      </c>
      <c r="DK54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1" s="869">
        <f>IF(WWWW[[#This Row],[HRP3]]/WWWW[[#This Row],[Total PoP ]]&gt;1,1,WWWW[[#This Row],[HRP3]]/WWWW[[#This Row],[Total PoP ]])</f>
        <v>0</v>
      </c>
      <c r="DM541" s="868">
        <f>1-WWWW[[#This Row],[Hygiene Coverage%]]</f>
        <v>1</v>
      </c>
      <c r="DN541" s="866">
        <f>WWWW[[#This Row],['# people reached by regular dedicated hygiene promotion_5]]/WWWW[[#This Row],[Total PoP ]]</f>
        <v>0</v>
      </c>
      <c r="DO54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1" s="867">
        <f>WWWW[[#This Row],['#_Constructed/Existing hand washing stations]]-WWWW[[#This Row],['#_Non-Functional_hand_washing_stations]]</f>
        <v>0</v>
      </c>
      <c r="DR541" s="864">
        <f>IF(WWWW[[#This Row],['# Functional hand washing stations during reporting period]]*20&gt;WWWW[[#This Row],[Total HH]],WWWW[[#This Row],[Total HH]],WWWW[[#This Row],['# Functional hand washing stations during reporting period]]*20)</f>
        <v>0</v>
      </c>
      <c r="DS541" s="864">
        <f>IF(WWWW[[#This Row],[Is sufficient soap available for TLS? (Yes/No)]]="yes",WWWW[[#This Row],['#_Constructed/Existing hand washing stations at TLS]],0)</f>
        <v>0</v>
      </c>
      <c r="DT541" s="479">
        <f>IF(WWWW[[#This Row],['# Functional hand washing stations during reporting period]]*100&gt;WWWW[[#This Row],[Total PoP ]],WWWW[[#This Row],[Total PoP ]],WWWW[[#This Row],['# Functional hand washing stations during reporting period]]*100)</f>
        <v>0</v>
      </c>
      <c r="DU541" s="479" t="str">
        <f>IF(OR(WWWW[[#This Row],['#_students at TLS_CFS]]="",WWWW[[#This Row],['#_students at TLS_CFS]]=0),"No","Yes")</f>
        <v>No</v>
      </c>
      <c r="DV54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1" s="862" t="str">
        <f>VLOOKUP(WWWW[[#This Row],[Site Name]],SiteDB6[[Site Name]:[CCCM Management]],6,FALSE)</f>
        <v>Yes</v>
      </c>
      <c r="DZ541" s="862" t="str">
        <f>VLOOKUP(WWWW[[#This Row],[Site Name]],SiteDB6[[Site Name]:[CCCM Focal Agency]],7,FALSE)</f>
        <v>Shalom</v>
      </c>
      <c r="EA541" s="862" t="str">
        <f>VLOOKUP(WWWW[[#This Row],[Site Name]],SiteDB6[[Site Name]:[Location Type 1]],9,FALSE)</f>
        <v>Camp</v>
      </c>
      <c r="EB541" s="862" t="str">
        <f>VLOOKUP(WWWW[[#This Row],[Site Name]],SiteDB6[[Site Name]:[Type of Accommodation]],10,FALSE)</f>
        <v>Camp like setting</v>
      </c>
      <c r="EC541" s="862" t="str">
        <f>VLOOKUP(WWWW[[#This Row],[Site Name]],SiteDB6[[Site Name]:[Ethnic or GCA/NGCA]],11,FALSE)</f>
        <v>GCA</v>
      </c>
      <c r="ED541" s="862">
        <f>VLOOKUP(WWWW[[#This Row],[Site Name]],SiteDB6[[Site Name]:[Lat]],12,FALSE)</f>
        <v>25.615960999999999</v>
      </c>
      <c r="EE541" s="862">
        <f>VLOOKUP(WWWW[[#This Row],[Site Name]],SiteDB6[[Site Name]:[Long]],13,FALSE)</f>
        <v>96.316564</v>
      </c>
      <c r="EF541" s="862" t="str">
        <f>VLOOKUP(WWWW[[#This Row],[Site Name]],SiteDB6[[Site Name]:[Pcode]],3,FALSE)</f>
        <v>MMR001CMP191</v>
      </c>
      <c r="EG541" s="865" t="str">
        <f t="shared" si="16"/>
        <v>Covered</v>
      </c>
      <c r="EH541" s="865" t="str">
        <f>VLOOKUP(WWWW[[#This Row],[Site Name]],Site_DB!$C$389:$D$1120,2,FALSE)</f>
        <v>cccm_2019OCT</v>
      </c>
    </row>
    <row r="542" spans="1:138">
      <c r="A542" s="860" t="s">
        <v>3263</v>
      </c>
      <c r="B542" s="860" t="s">
        <v>312</v>
      </c>
      <c r="C542" s="861" t="s">
        <v>312</v>
      </c>
      <c r="D542" s="861"/>
      <c r="E542" s="861" t="s">
        <v>39</v>
      </c>
      <c r="F542" s="861" t="s">
        <v>160</v>
      </c>
      <c r="G542" s="721" t="str">
        <f>VLOOKUP(WWWW[[#This Row],[Site Name]],SiteDB6[[Site Name]:[Location Type]],8,FALSE)</f>
        <v>Camp</v>
      </c>
      <c r="H542" s="861" t="s">
        <v>1039</v>
      </c>
      <c r="I542" s="851">
        <v>14</v>
      </c>
      <c r="J542" s="851">
        <v>63</v>
      </c>
      <c r="K542" s="863"/>
      <c r="L542" s="859"/>
      <c r="M542" s="851"/>
      <c r="N542" s="851"/>
      <c r="O542" s="851"/>
      <c r="P542" s="851"/>
      <c r="Q542" s="864"/>
      <c r="R542" s="851"/>
      <c r="S542" s="851">
        <v>4</v>
      </c>
      <c r="T542" s="523"/>
      <c r="U542" s="851"/>
      <c r="V542" s="851"/>
      <c r="W542" s="851"/>
      <c r="X542" s="851"/>
      <c r="Y542" s="851"/>
      <c r="Z542" s="851"/>
      <c r="AA542" s="851"/>
      <c r="AB542" s="851"/>
      <c r="AC542" s="851"/>
      <c r="AD542" s="851"/>
      <c r="AE542" s="851"/>
      <c r="AF542" s="851"/>
      <c r="AG542" s="851"/>
      <c r="AH542" s="851"/>
      <c r="AI542" s="851"/>
      <c r="AJ542" s="851"/>
      <c r="AK542" s="851"/>
      <c r="AL542" s="851"/>
      <c r="AM542" s="851"/>
      <c r="AN542" s="851"/>
      <c r="AO542" s="865"/>
      <c r="AP542" s="851"/>
      <c r="AQ542" s="851"/>
      <c r="AR542" s="866"/>
      <c r="AS542" s="851"/>
      <c r="AT542" s="851"/>
      <c r="AU542" s="851"/>
      <c r="AV542" s="851"/>
      <c r="AW542" s="851"/>
      <c r="AX542" s="862"/>
      <c r="AY542" s="865"/>
      <c r="AZ542" s="851"/>
      <c r="BA542" s="851"/>
      <c r="BB542" s="851"/>
      <c r="BC542" s="523"/>
      <c r="BD542" s="523"/>
      <c r="BE542" s="862"/>
      <c r="BF542" s="851"/>
      <c r="BG542" s="851"/>
      <c r="BH542" s="851"/>
      <c r="BI542" s="851"/>
      <c r="BJ542" s="851"/>
      <c r="BK542" s="851"/>
      <c r="BL542" s="851"/>
      <c r="BM542" s="851"/>
      <c r="BN542" s="851"/>
      <c r="BO542" s="862"/>
      <c r="BP542" s="867"/>
      <c r="BQ542" s="866"/>
      <c r="BR542" s="862"/>
      <c r="BS542" s="472"/>
      <c r="BT542" s="472"/>
      <c r="BU542" s="474"/>
      <c r="BV542" s="472"/>
      <c r="BW542" s="523"/>
      <c r="BX542" s="523"/>
      <c r="BY542" s="523"/>
      <c r="BZ542" s="868" t="str">
        <f>IFERROR(WWWW[[#This Row],['#_Water sources passed]]/WWWW[[#This Row],['#_Water sources tested for fecal coliform ]],"no test")</f>
        <v>no test</v>
      </c>
      <c r="CA542" s="866" t="str">
        <f>IFERROR(WWWW[[#This Row],['#_Household passed]]/WWWW[[#This Row],['#_Household water samples tested for fecal coliform]],"no test")</f>
        <v>no test</v>
      </c>
      <c r="CB542" s="867" t="str">
        <f>IF(AND(WWWW[[#This Row],[% of water sources passed]]="no test",WWWW[[#This Row],[% Household passed]]="no test"),"No Test","Tested")</f>
        <v>No Test</v>
      </c>
      <c r="CC542" s="867">
        <f>WWWW[[#This Row],['#_Constructed/existing protected hand dug well]]-WWWW[[#This Row],['#_Non-functional protected hand dug well]]</f>
        <v>0</v>
      </c>
      <c r="CD542" s="867">
        <f>(WWWW[[#This Row],['#_Constructed/Existing tube wells/boreholes/handpumps_WASH_agency]]+WWWW[[#This Row],['#_Non-Cluster partner water tube-wells/boreholes/handpumps]])-WWWW[[#This Row],['#_Non-functional tube wells/boreholes/handpumps]]</f>
        <v>0</v>
      </c>
      <c r="CE542" s="867">
        <f>WWWW[[#This Row],['#_Constructed/Existingwater storage tank with gravity fed reticulation system]]-WWWW[[#This Row],['#_Non-functional storage tank gravity fed reticulation system]]</f>
        <v>0</v>
      </c>
      <c r="CF542" s="867">
        <f>(WWWW[[#This Row],['#_Water_Liters_supplied_by_Water boating or water trucking]]/90)/15</f>
        <v>0</v>
      </c>
      <c r="CG542" s="867">
        <f>WWWW[[#This Row],['#_Water_Liters_from_Constructed/Existing water distribution system from river or natural spring]]/90/15</f>
        <v>0</v>
      </c>
      <c r="CH542" s="473">
        <f>WWWW[[#This Row],['#_of water points in TLS/CFS /THF]]*500</f>
        <v>0</v>
      </c>
      <c r="CI54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2" s="866">
        <f>IF(WWWW[[#This Row],[Location Type 1]]="Village",WWWW[[#This Row],[Access to safe drinking water for Village]],WWWW[[#This Row],[Access to safe drinking water for Camp]])</f>
        <v>0</v>
      </c>
      <c r="CL542" s="864">
        <f>WWWW[[#This Row],[%Equitable and continuous access to sufficient quantity of safe drinking water]]*WWWW[[#This Row],[Total PoP ]]</f>
        <v>0</v>
      </c>
      <c r="CM542" s="866">
        <f>IF((WWWW[[#This Row],['#_Constructed/Existing protected/fenced ponds]]*250)/WWWW[[#This Row],[Total PoP ]]&gt;1,1,(WWWW[[#This Row],['#_Constructed/Existing protected/fenced ponds]]*250)/WWWW[[#This Row],[Total PoP ]])</f>
        <v>0</v>
      </c>
      <c r="CN542" s="864">
        <f>WWWW[[#This Row],[% Access to unimproved water points]]*WWWW[[#This Row],[Total PoP ]]</f>
        <v>0</v>
      </c>
      <c r="CO54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2" s="864">
        <f>WWWW[[#This Row],[HRP1]]/500</f>
        <v>0</v>
      </c>
      <c r="CR542" s="869">
        <f>1-WWWW[[#This Row],[% Equitable and continuous access to sufficient quantity of domestic water]]</f>
        <v>1</v>
      </c>
      <c r="CS542" s="864">
        <f>WWWW[[#This Row],[%equitable and continuous access to sufficient quantity of safe drinking and domestic water''s GAP]]*WWWW[[#This Row],[Total PoP ]]</f>
        <v>63</v>
      </c>
      <c r="CT542" s="867">
        <f>IF(WWWW[[#This Row],[Total required water points]]-WWWW[[#This Row],['#Water points coverage]]&lt;0,0,WWWW[[#This Row],[Total required water points]]-WWWW[[#This Row],['#Water points coverage]])</f>
        <v>1</v>
      </c>
      <c r="CU542" s="867">
        <f>ROUND(IF(WWWW[[#This Row],[Total PoP ]]&lt;500,1,WWWW[[#This Row],[Total PoP ]]/500),0)</f>
        <v>1</v>
      </c>
      <c r="CV542" s="867">
        <f>(WWWW[[#This Row],['#_Constructed latrines_by_WASHAgencies]]+WWWW[[#This Row],['#_Non Cluster partner latrines]])-WWWW[[#This Row],['#_Non-functional latrines]]</f>
        <v>0</v>
      </c>
      <c r="CW542" s="804">
        <f>WWWW[[#This Row],[HRP2]]/WWWW[[#This Row],[Total PoP ]]</f>
        <v>0</v>
      </c>
      <c r="CX54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2" s="473">
        <f>IF(WWWW[[#This Row],['# of functional latrines in THF supported by WASH partners during the reporting period2]]="",0,WWWW[[#This Row],['# of functional latrines in THF supported by WASH partners during the reporting period2]]*50)</f>
        <v>0</v>
      </c>
      <c r="DB542" s="473">
        <f>WWWW[[#This Row],['# students access to functioning school latrines_HRP5]]+WWWW[[#This Row],['# People access to functioning latrines in THF_HRP5]]</f>
        <v>0</v>
      </c>
      <c r="DC542" s="867">
        <f>ROUND(IF(WWWW[[#This Row],[Location Type 1]]="camp",WWWW[[#This Row],[Total PoP ]]/20,IF(WWWW[[#This Row],[Location Type 1]]="Temporary Location",WWWW[[#This Row],[Total PoP ]]/50,(WWWW[[#This Row],[Total PoP ]]/6))),0)</f>
        <v>3</v>
      </c>
      <c r="DD542" s="867">
        <f>IF(WWWW[[#This Row],[Total required Latrines]]-(WWWW[[#This Row],['#_Constructed latrines_by_WASHAgencies]]+WWWW[[#This Row],['#_Non Cluster partner latrines]])&lt;0,0,WWWW[[#This Row],[Total required Latrines]]-(WWWW[[#This Row],['#_Constructed latrines_by_WASHAgencies]]+WWWW[[#This Row],['#_Non Cluster partner latrines]]))</f>
        <v>3</v>
      </c>
      <c r="DE542" s="869">
        <f>1-WWWW[[#This Row],[% people access to functioning Latrine]]</f>
        <v>1</v>
      </c>
      <c r="DF542" s="868">
        <f>IF(OR(WWWW[[#This Row],['#_Non-functional latrines]]="",WWWW[[#This Row],['#_Non-functional latrines]]=0),0,WWWW[[#This Row],['#_Non-functional latrines]]/(WWWW[[#This Row],['#_Constructed latrines_by_WASHAgencies]]+WWWW[[#This Row],['#_Non Cluster partner latrines]]))</f>
        <v>0</v>
      </c>
      <c r="DG542" s="864">
        <f>IF(500*(WWWW[[#This Row],['#_male hygiene promoters]]+WWWW[[#This Row],['#_female hygiene promoters]])&gt;WWWW[[#This Row],[Total PoP ]],WWWW[[#This Row],[Total PoP ]],500*(WWWW[[#This Row],['#_male hygiene promoters]]+WWWW[[#This Row],['#_female hygiene promoters]]))</f>
        <v>0</v>
      </c>
      <c r="DH54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2" s="867">
        <f>IF(WWWW[[#This Row],['# People with access to soap]]&gt;WWWW[[#This Row],['# People with access to Sanity Pads]],WWWW[[#This Row],['# People with access to soap]],WWWW[[#This Row],['# People with access to Sanity Pads]])</f>
        <v>0</v>
      </c>
      <c r="DK542"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2" s="869">
        <f>IF(WWWW[[#This Row],[HRP3]]/WWWW[[#This Row],[Total PoP ]]&gt;1,1,WWWW[[#This Row],[HRP3]]/WWWW[[#This Row],[Total PoP ]])</f>
        <v>0</v>
      </c>
      <c r="DM542" s="868">
        <f>1-WWWW[[#This Row],[Hygiene Coverage%]]</f>
        <v>1</v>
      </c>
      <c r="DN542" s="866">
        <f>WWWW[[#This Row],['# people reached by regular dedicated hygiene promotion_5]]/WWWW[[#This Row],[Total PoP ]]</f>
        <v>0</v>
      </c>
      <c r="DO54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2" s="867">
        <f>WWWW[[#This Row],['#_Constructed/Existing hand washing stations]]-WWWW[[#This Row],['#_Non-Functional_hand_washing_stations]]</f>
        <v>0</v>
      </c>
      <c r="DR542" s="864">
        <f>IF(WWWW[[#This Row],['# Functional hand washing stations during reporting period]]*20&gt;WWWW[[#This Row],[Total HH]],WWWW[[#This Row],[Total HH]],WWWW[[#This Row],['# Functional hand washing stations during reporting period]]*20)</f>
        <v>0</v>
      </c>
      <c r="DS542" s="864">
        <f>IF(WWWW[[#This Row],[Is sufficient soap available for TLS? (Yes/No)]]="yes",WWWW[[#This Row],['#_Constructed/Existing hand washing stations at TLS]],0)</f>
        <v>0</v>
      </c>
      <c r="DT542" s="479">
        <f>IF(WWWW[[#This Row],['# Functional hand washing stations during reporting period]]*100&gt;WWWW[[#This Row],[Total PoP ]],WWWW[[#This Row],[Total PoP ]],WWWW[[#This Row],['# Functional hand washing stations during reporting period]]*100)</f>
        <v>0</v>
      </c>
      <c r="DU542" s="479" t="str">
        <f>IF(OR(WWWW[[#This Row],['#_students at TLS_CFS]]="",WWWW[[#This Row],['#_students at TLS_CFS]]=0),"No","Yes")</f>
        <v>No</v>
      </c>
      <c r="DV54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2" s="862">
        <f>VLOOKUP(WWWW[[#This Row],[Site Name]],SiteDB6[[Site Name]:[CCCM Management]],6,FALSE)</f>
        <v>0</v>
      </c>
      <c r="DZ542" s="862" t="str">
        <f>VLOOKUP(WWWW[[#This Row],[Site Name]],SiteDB6[[Site Name]:[CCCM Focal Agency]],7,FALSE)</f>
        <v>uncovered</v>
      </c>
      <c r="EA542" s="862" t="str">
        <f>VLOOKUP(WWWW[[#This Row],[Site Name]],SiteDB6[[Site Name]:[Location Type 1]],9,FALSE)</f>
        <v>Camp</v>
      </c>
      <c r="EB542" s="862" t="str">
        <f>VLOOKUP(WWWW[[#This Row],[Site Name]],SiteDB6[[Site Name]:[Type of Accommodation]],10,FALSE)</f>
        <v>Host Families</v>
      </c>
      <c r="EC542" s="862" t="str">
        <f>VLOOKUP(WWWW[[#This Row],[Site Name]],SiteDB6[[Site Name]:[Ethnic or GCA/NGCA]],11,FALSE)</f>
        <v>GCA</v>
      </c>
      <c r="ED542" s="862">
        <f>VLOOKUP(WWWW[[#This Row],[Site Name]],SiteDB6[[Site Name]:[Lat]],12,FALSE)</f>
        <v>24.764959999999999</v>
      </c>
      <c r="EE542" s="862">
        <f>VLOOKUP(WWWW[[#This Row],[Site Name]],SiteDB6[[Site Name]:[Long]],13,FALSE)</f>
        <v>96.366919999999993</v>
      </c>
      <c r="EF542" s="862" t="str">
        <f>VLOOKUP(WWWW[[#This Row],[Site Name]],SiteDB6[[Site Name]:[Pcode]],3,FALSE)</f>
        <v>MMR001CMP233</v>
      </c>
      <c r="EG542" s="865" t="str">
        <f t="shared" si="16"/>
        <v>Notcovered</v>
      </c>
      <c r="EH542" s="865" t="str">
        <f>VLOOKUP(WWWW[[#This Row],[Site Name]],Site_DB!$C$389:$D$1120,2,FALSE)</f>
        <v>cccm_2019OCT</v>
      </c>
    </row>
    <row r="543" spans="1:138">
      <c r="A543" s="860" t="s">
        <v>3263</v>
      </c>
      <c r="B543" s="860" t="s">
        <v>312</v>
      </c>
      <c r="C543" s="861" t="s">
        <v>312</v>
      </c>
      <c r="D543" s="861"/>
      <c r="E543" s="861" t="s">
        <v>39</v>
      </c>
      <c r="F543" s="861" t="s">
        <v>208</v>
      </c>
      <c r="G543" s="721" t="str">
        <f>VLOOKUP(WWWW[[#This Row],[Site Name]],SiteDB6[[Site Name]:[Location Type]],8,FALSE)</f>
        <v>Camp</v>
      </c>
      <c r="H543" s="861" t="s">
        <v>1013</v>
      </c>
      <c r="I543" s="851">
        <v>223</v>
      </c>
      <c r="J543" s="851">
        <v>1067</v>
      </c>
      <c r="K543" s="863"/>
      <c r="L543" s="859"/>
      <c r="M543" s="851"/>
      <c r="N543" s="851"/>
      <c r="O543" s="851"/>
      <c r="P543" s="851"/>
      <c r="Q543" s="864"/>
      <c r="R543" s="851"/>
      <c r="S543" s="851">
        <v>4</v>
      </c>
      <c r="T543" s="523"/>
      <c r="U543" s="851"/>
      <c r="V543" s="851"/>
      <c r="W543" s="851"/>
      <c r="X543" s="851"/>
      <c r="Y543" s="851"/>
      <c r="Z543" s="851"/>
      <c r="AA543" s="851"/>
      <c r="AB543" s="851"/>
      <c r="AC543" s="851"/>
      <c r="AD543" s="851"/>
      <c r="AE543" s="851"/>
      <c r="AF543" s="851"/>
      <c r="AG543" s="851"/>
      <c r="AH543" s="851"/>
      <c r="AI543" s="851"/>
      <c r="AJ543" s="851"/>
      <c r="AK543" s="851"/>
      <c r="AL543" s="851"/>
      <c r="AM543" s="851"/>
      <c r="AN543" s="851"/>
      <c r="AO543" s="865"/>
      <c r="AP543" s="851"/>
      <c r="AQ543" s="851"/>
      <c r="AR543" s="866"/>
      <c r="AS543" s="851"/>
      <c r="AT543" s="851"/>
      <c r="AU543" s="851"/>
      <c r="AV543" s="851"/>
      <c r="AW543" s="851"/>
      <c r="AX543" s="862"/>
      <c r="AY543" s="865"/>
      <c r="AZ543" s="851"/>
      <c r="BA543" s="851"/>
      <c r="BB543" s="851"/>
      <c r="BC543" s="523"/>
      <c r="BD543" s="523"/>
      <c r="BE543" s="862"/>
      <c r="BF543" s="851"/>
      <c r="BG543" s="851"/>
      <c r="BH543" s="851"/>
      <c r="BI543" s="851"/>
      <c r="BJ543" s="851"/>
      <c r="BK543" s="851"/>
      <c r="BL543" s="851"/>
      <c r="BM543" s="851"/>
      <c r="BN543" s="851"/>
      <c r="BO543" s="862"/>
      <c r="BP543" s="867"/>
      <c r="BQ543" s="866"/>
      <c r="BR543" s="862"/>
      <c r="BS543" s="472"/>
      <c r="BT543" s="472"/>
      <c r="BU543" s="474"/>
      <c r="BV543" s="472"/>
      <c r="BW543" s="523"/>
      <c r="BX543" s="523"/>
      <c r="BY543" s="523"/>
      <c r="BZ543" s="868" t="str">
        <f>IFERROR(WWWW[[#This Row],['#_Water sources passed]]/WWWW[[#This Row],['#_Water sources tested for fecal coliform ]],"no test")</f>
        <v>no test</v>
      </c>
      <c r="CA543" s="866" t="str">
        <f>IFERROR(WWWW[[#This Row],['#_Household passed]]/WWWW[[#This Row],['#_Household water samples tested for fecal coliform]],"no test")</f>
        <v>no test</v>
      </c>
      <c r="CB543" s="867" t="str">
        <f>IF(AND(WWWW[[#This Row],[% of water sources passed]]="no test",WWWW[[#This Row],[% Household passed]]="no test"),"No Test","Tested")</f>
        <v>No Test</v>
      </c>
      <c r="CC543" s="867">
        <f>WWWW[[#This Row],['#_Constructed/existing protected hand dug well]]-WWWW[[#This Row],['#_Non-functional protected hand dug well]]</f>
        <v>0</v>
      </c>
      <c r="CD543" s="867">
        <f>(WWWW[[#This Row],['#_Constructed/Existing tube wells/boreholes/handpumps_WASH_agency]]+WWWW[[#This Row],['#_Non-Cluster partner water tube-wells/boreholes/handpumps]])-WWWW[[#This Row],['#_Non-functional tube wells/boreholes/handpumps]]</f>
        <v>0</v>
      </c>
      <c r="CE543" s="867">
        <f>WWWW[[#This Row],['#_Constructed/Existingwater storage tank with gravity fed reticulation system]]-WWWW[[#This Row],['#_Non-functional storage tank gravity fed reticulation system]]</f>
        <v>0</v>
      </c>
      <c r="CF543" s="867">
        <f>(WWWW[[#This Row],['#_Water_Liters_supplied_by_Water boating or water trucking]]/90)/15</f>
        <v>0</v>
      </c>
      <c r="CG543" s="867">
        <f>WWWW[[#This Row],['#_Water_Liters_from_Constructed/Existing water distribution system from river or natural spring]]/90/15</f>
        <v>0</v>
      </c>
      <c r="CH543" s="473">
        <f>WWWW[[#This Row],['#_of water points in TLS/CFS /THF]]*500</f>
        <v>0</v>
      </c>
      <c r="CI54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3" s="866">
        <f>IF(WWWW[[#This Row],[Location Type 1]]="Village",WWWW[[#This Row],[Access to safe drinking water for Village]],WWWW[[#This Row],[Access to safe drinking water for Camp]])</f>
        <v>0</v>
      </c>
      <c r="CL543" s="864">
        <f>WWWW[[#This Row],[%Equitable and continuous access to sufficient quantity of safe drinking water]]*WWWW[[#This Row],[Total PoP ]]</f>
        <v>0</v>
      </c>
      <c r="CM543" s="866">
        <f>IF((WWWW[[#This Row],['#_Constructed/Existing protected/fenced ponds]]*250)/WWWW[[#This Row],[Total PoP ]]&gt;1,1,(WWWW[[#This Row],['#_Constructed/Existing protected/fenced ponds]]*250)/WWWW[[#This Row],[Total PoP ]])</f>
        <v>0</v>
      </c>
      <c r="CN543" s="864">
        <f>WWWW[[#This Row],[% Access to unimproved water points]]*WWWW[[#This Row],[Total PoP ]]</f>
        <v>0</v>
      </c>
      <c r="CO54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3" s="864">
        <f>WWWW[[#This Row],[HRP1]]/500</f>
        <v>0</v>
      </c>
      <c r="CR543" s="869">
        <f>1-WWWW[[#This Row],[% Equitable and continuous access to sufficient quantity of domestic water]]</f>
        <v>1</v>
      </c>
      <c r="CS543" s="864">
        <f>WWWW[[#This Row],[%equitable and continuous access to sufficient quantity of safe drinking and domestic water''s GAP]]*WWWW[[#This Row],[Total PoP ]]</f>
        <v>1067</v>
      </c>
      <c r="CT543" s="867">
        <f>IF(WWWW[[#This Row],[Total required water points]]-WWWW[[#This Row],['#Water points coverage]]&lt;0,0,WWWW[[#This Row],[Total required water points]]-WWWW[[#This Row],['#Water points coverage]])</f>
        <v>2</v>
      </c>
      <c r="CU543" s="867">
        <f>ROUND(IF(WWWW[[#This Row],[Total PoP ]]&lt;500,1,WWWW[[#This Row],[Total PoP ]]/500),0)</f>
        <v>2</v>
      </c>
      <c r="CV543" s="867">
        <f>(WWWW[[#This Row],['#_Constructed latrines_by_WASHAgencies]]+WWWW[[#This Row],['#_Non Cluster partner latrines]])-WWWW[[#This Row],['#_Non-functional latrines]]</f>
        <v>0</v>
      </c>
      <c r="CW543" s="804">
        <f>WWWW[[#This Row],[HRP2]]/WWWW[[#This Row],[Total PoP ]]</f>
        <v>0</v>
      </c>
      <c r="CX54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3" s="473">
        <f>IF(WWWW[[#This Row],['# of functional latrines in THF supported by WASH partners during the reporting period2]]="",0,WWWW[[#This Row],['# of functional latrines in THF supported by WASH partners during the reporting period2]]*50)</f>
        <v>0</v>
      </c>
      <c r="DB543" s="473">
        <f>WWWW[[#This Row],['# students access to functioning school latrines_HRP5]]+WWWW[[#This Row],['# People access to functioning latrines in THF_HRP5]]</f>
        <v>0</v>
      </c>
      <c r="DC543" s="867">
        <f>ROUND(IF(WWWW[[#This Row],[Location Type 1]]="camp",WWWW[[#This Row],[Total PoP ]]/20,IF(WWWW[[#This Row],[Location Type 1]]="Temporary Location",WWWW[[#This Row],[Total PoP ]]/50,(WWWW[[#This Row],[Total PoP ]]/6))),0)</f>
        <v>53</v>
      </c>
      <c r="DD543" s="867">
        <f>IF(WWWW[[#This Row],[Total required Latrines]]-(WWWW[[#This Row],['#_Constructed latrines_by_WASHAgencies]]+WWWW[[#This Row],['#_Non Cluster partner latrines]])&lt;0,0,WWWW[[#This Row],[Total required Latrines]]-(WWWW[[#This Row],['#_Constructed latrines_by_WASHAgencies]]+WWWW[[#This Row],['#_Non Cluster partner latrines]]))</f>
        <v>53</v>
      </c>
      <c r="DE543" s="869">
        <f>1-WWWW[[#This Row],[% people access to functioning Latrine]]</f>
        <v>1</v>
      </c>
      <c r="DF543" s="868">
        <f>IF(OR(WWWW[[#This Row],['#_Non-functional latrines]]="",WWWW[[#This Row],['#_Non-functional latrines]]=0),0,WWWW[[#This Row],['#_Non-functional latrines]]/(WWWW[[#This Row],['#_Constructed latrines_by_WASHAgencies]]+WWWW[[#This Row],['#_Non Cluster partner latrines]]))</f>
        <v>0</v>
      </c>
      <c r="DG543" s="864">
        <f>IF(500*(WWWW[[#This Row],['#_male hygiene promoters]]+WWWW[[#This Row],['#_female hygiene promoters]])&gt;WWWW[[#This Row],[Total PoP ]],WWWW[[#This Row],[Total PoP ]],500*(WWWW[[#This Row],['#_male hygiene promoters]]+WWWW[[#This Row],['#_female hygiene promoters]]))</f>
        <v>0</v>
      </c>
      <c r="DH54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3" s="867">
        <f>IF(WWWW[[#This Row],['# People with access to soap]]&gt;WWWW[[#This Row],['# People with access to Sanity Pads]],WWWW[[#This Row],['# People with access to soap]],WWWW[[#This Row],['# People with access to Sanity Pads]])</f>
        <v>0</v>
      </c>
      <c r="DK54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3" s="869">
        <f>IF(WWWW[[#This Row],[HRP3]]/WWWW[[#This Row],[Total PoP ]]&gt;1,1,WWWW[[#This Row],[HRP3]]/WWWW[[#This Row],[Total PoP ]])</f>
        <v>0</v>
      </c>
      <c r="DM543" s="868">
        <f>1-WWWW[[#This Row],[Hygiene Coverage%]]</f>
        <v>1</v>
      </c>
      <c r="DN543" s="866">
        <f>WWWW[[#This Row],['# people reached by regular dedicated hygiene promotion_5]]/WWWW[[#This Row],[Total PoP ]]</f>
        <v>0</v>
      </c>
      <c r="DO54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3" s="867">
        <f>WWWW[[#This Row],['#_Constructed/Existing hand washing stations]]-WWWW[[#This Row],['#_Non-Functional_hand_washing_stations]]</f>
        <v>0</v>
      </c>
      <c r="DR543" s="864">
        <f>IF(WWWW[[#This Row],['# Functional hand washing stations during reporting period]]*20&gt;WWWW[[#This Row],[Total HH]],WWWW[[#This Row],[Total HH]],WWWW[[#This Row],['# Functional hand washing stations during reporting period]]*20)</f>
        <v>0</v>
      </c>
      <c r="DS543" s="864">
        <f>IF(WWWW[[#This Row],[Is sufficient soap available for TLS? (Yes/No)]]="yes",WWWW[[#This Row],['#_Constructed/Existing hand washing stations at TLS]],0)</f>
        <v>0</v>
      </c>
      <c r="DT543" s="479">
        <f>IF(WWWW[[#This Row],['# Functional hand washing stations during reporting period]]*100&gt;WWWW[[#This Row],[Total PoP ]],WWWW[[#This Row],[Total PoP ]],WWWW[[#This Row],['# Functional hand washing stations during reporting period]]*100)</f>
        <v>0</v>
      </c>
      <c r="DU543" s="479" t="str">
        <f>IF(OR(WWWW[[#This Row],['#_students at TLS_CFS]]="",WWWW[[#This Row],['#_students at TLS_CFS]]=0),"No","Yes")</f>
        <v>No</v>
      </c>
      <c r="DV54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3" s="862">
        <f>VLOOKUP(WWWW[[#This Row],[Site Name]],SiteDB6[[Site Name]:[CCCM Management]],6,FALSE)</f>
        <v>0</v>
      </c>
      <c r="DZ543" s="862" t="str">
        <f>VLOOKUP(WWWW[[#This Row],[Site Name]],SiteDB6[[Site Name]:[CCCM Focal Agency]],7,FALSE)</f>
        <v>uncovered</v>
      </c>
      <c r="EA543" s="862" t="str">
        <f>VLOOKUP(WWWW[[#This Row],[Site Name]],SiteDB6[[Site Name]:[Location Type 1]],9,FALSE)</f>
        <v>Camp</v>
      </c>
      <c r="EB543" s="862" t="str">
        <f>VLOOKUP(WWWW[[#This Row],[Site Name]],SiteDB6[[Site Name]:[Type of Accommodation]],10,FALSE)</f>
        <v>Host Families</v>
      </c>
      <c r="EC543" s="862" t="str">
        <f>VLOOKUP(WWWW[[#This Row],[Site Name]],SiteDB6[[Site Name]:[Ethnic or GCA/NGCA]],11,FALSE)</f>
        <v>GCA</v>
      </c>
      <c r="ED543" s="862">
        <f>VLOOKUP(WWWW[[#This Row],[Site Name]],SiteDB6[[Site Name]:[Lat]],12,FALSE)</f>
        <v>24.251232000000002</v>
      </c>
      <c r="EE543" s="862">
        <f>VLOOKUP(WWWW[[#This Row],[Site Name]],SiteDB6[[Site Name]:[Long]],13,FALSE)</f>
        <v>97.348405</v>
      </c>
      <c r="EF543" s="862" t="str">
        <f>VLOOKUP(WWWW[[#This Row],[Site Name]],SiteDB6[[Site Name]:[Pcode]],3,FALSE)</f>
        <v>MMR001CMP197</v>
      </c>
      <c r="EG543" s="865" t="str">
        <f t="shared" si="16"/>
        <v>Notcovered</v>
      </c>
      <c r="EH543" s="865" t="str">
        <f>VLOOKUP(WWWW[[#This Row],[Site Name]],Site_DB!$C$389:$D$1120,2,FALSE)</f>
        <v>cccm_2019OCT</v>
      </c>
    </row>
    <row r="544" spans="1:138">
      <c r="A544" s="860" t="s">
        <v>3263</v>
      </c>
      <c r="B544" s="860" t="s">
        <v>245</v>
      </c>
      <c r="C544" s="861" t="s">
        <v>245</v>
      </c>
      <c r="D544" s="861" t="s">
        <v>310</v>
      </c>
      <c r="E544" s="861" t="s">
        <v>39</v>
      </c>
      <c r="F544" s="861" t="s">
        <v>151</v>
      </c>
      <c r="G544" s="721" t="str">
        <f>VLOOKUP(WWWW[[#This Row],[Site Name]],SiteDB6[[Site Name]:[Location Type]],8,FALSE)</f>
        <v>Camp</v>
      </c>
      <c r="H544" s="861" t="s">
        <v>257</v>
      </c>
      <c r="I544" s="851">
        <v>107</v>
      </c>
      <c r="J544" s="851">
        <v>519</v>
      </c>
      <c r="K544" s="863">
        <v>43313</v>
      </c>
      <c r="L544" s="859">
        <v>44196</v>
      </c>
      <c r="M544" s="851"/>
      <c r="N544" s="851">
        <v>1</v>
      </c>
      <c r="O544" s="851"/>
      <c r="P544" s="851"/>
      <c r="Q544" s="864" t="s">
        <v>43</v>
      </c>
      <c r="R544" s="851">
        <v>4</v>
      </c>
      <c r="S544" s="851">
        <v>1</v>
      </c>
      <c r="T544" s="523">
        <v>0</v>
      </c>
      <c r="U544" s="851"/>
      <c r="V544" s="851"/>
      <c r="W544" s="851">
        <v>0</v>
      </c>
      <c r="X544" s="851">
        <v>0</v>
      </c>
      <c r="Y544" s="851"/>
      <c r="Z544" s="851"/>
      <c r="AA544" s="851">
        <v>1</v>
      </c>
      <c r="AB544" s="851"/>
      <c r="AC544" s="851"/>
      <c r="AD544" s="851">
        <v>0</v>
      </c>
      <c r="AE544" s="851">
        <v>4</v>
      </c>
      <c r="AF544" s="851"/>
      <c r="AG544" s="851">
        <v>0</v>
      </c>
      <c r="AH544" s="851">
        <v>1</v>
      </c>
      <c r="AI544" s="851"/>
      <c r="AJ544" s="851"/>
      <c r="AK544" s="851"/>
      <c r="AL544" s="851"/>
      <c r="AM544" s="851">
        <v>0</v>
      </c>
      <c r="AN544" s="851">
        <v>0</v>
      </c>
      <c r="AO544" s="865"/>
      <c r="AP544" s="851">
        <v>32</v>
      </c>
      <c r="AQ544" s="851">
        <v>0</v>
      </c>
      <c r="AR544" s="866" t="s">
        <v>245</v>
      </c>
      <c r="AS544" s="851"/>
      <c r="AT544" s="851"/>
      <c r="AU544" s="851"/>
      <c r="AV544" s="851"/>
      <c r="AW544" s="851">
        <v>0</v>
      </c>
      <c r="AX544" s="862" t="s">
        <v>43</v>
      </c>
      <c r="AY544" s="865" t="s">
        <v>140</v>
      </c>
      <c r="AZ544" s="851">
        <v>2</v>
      </c>
      <c r="BA544" s="851">
        <v>0</v>
      </c>
      <c r="BB544" s="851">
        <v>2</v>
      </c>
      <c r="BC544" s="523"/>
      <c r="BD544" s="523"/>
      <c r="BE544" s="862"/>
      <c r="BF544" s="851">
        <v>5</v>
      </c>
      <c r="BG544" s="851"/>
      <c r="BH544" s="851">
        <v>0</v>
      </c>
      <c r="BI544" s="851">
        <v>5</v>
      </c>
      <c r="BJ544" s="851"/>
      <c r="BK544" s="851">
        <v>4</v>
      </c>
      <c r="BL544" s="851">
        <v>4</v>
      </c>
      <c r="BM544" s="851"/>
      <c r="BN544" s="851"/>
      <c r="BO544" s="862"/>
      <c r="BP544" s="867"/>
      <c r="BQ544" s="866"/>
      <c r="BR544" s="862"/>
      <c r="BS544" s="472"/>
      <c r="BT544" s="472"/>
      <c r="BU544" s="474"/>
      <c r="BV544" s="472"/>
      <c r="BW544" s="523"/>
      <c r="BX544" s="523"/>
      <c r="BY544" s="523"/>
      <c r="BZ544" s="868" t="str">
        <f>IFERROR(WWWW[[#This Row],['#_Water sources passed]]/WWWW[[#This Row],['#_Water sources tested for fecal coliform ]],"no test")</f>
        <v>no test</v>
      </c>
      <c r="CA544" s="866" t="str">
        <f>IFERROR(WWWW[[#This Row],['#_Household passed]]/WWWW[[#This Row],['#_Household water samples tested for fecal coliform]],"no test")</f>
        <v>no test</v>
      </c>
      <c r="CB544" s="867" t="str">
        <f>IF(AND(WWWW[[#This Row],[% of water sources passed]]="no test",WWWW[[#This Row],[% Household passed]]="no test"),"No Test","Tested")</f>
        <v>No Test</v>
      </c>
      <c r="CC544" s="867">
        <f>WWWW[[#This Row],['#_Constructed/existing protected hand dug well]]-WWWW[[#This Row],['#_Non-functional protected hand dug well]]</f>
        <v>0</v>
      </c>
      <c r="CD544" s="867">
        <f>(WWWW[[#This Row],['#_Constructed/Existing tube wells/boreholes/handpumps_WASH_agency]]+WWWW[[#This Row],['#_Non-Cluster partner water tube-wells/boreholes/handpumps]])-WWWW[[#This Row],['#_Non-functional tube wells/boreholes/handpumps]]</f>
        <v>0</v>
      </c>
      <c r="CE544" s="867">
        <f>WWWW[[#This Row],['#_Constructed/Existingwater storage tank with gravity fed reticulation system]]-WWWW[[#This Row],['#_Non-functional storage tank gravity fed reticulation system]]</f>
        <v>1</v>
      </c>
      <c r="CF544" s="867">
        <f>(WWWW[[#This Row],['#_Water_Liters_supplied_by_Water boating or water trucking]]/90)/15</f>
        <v>0</v>
      </c>
      <c r="CG544" s="867">
        <f>WWWW[[#This Row],['#_Water_Liters_from_Constructed/Existing water distribution system from river or natural spring]]/90/15</f>
        <v>0</v>
      </c>
      <c r="CH544" s="473">
        <f>WWWW[[#This Row],['#_of water points in TLS/CFS /THF]]*500</f>
        <v>0</v>
      </c>
      <c r="CI54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0.12845215157353887</v>
      </c>
      <c r="CJ54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0.12845215157353887</v>
      </c>
      <c r="CK544" s="866">
        <f>IF(WWWW[[#This Row],[Location Type 1]]="Village",WWWW[[#This Row],[Access to safe drinking water for Village]],WWWW[[#This Row],[Access to safe drinking water for Camp]])</f>
        <v>0.12845215157353887</v>
      </c>
      <c r="CL544" s="864">
        <f>WWWW[[#This Row],[%Equitable and continuous access to sufficient quantity of safe drinking water]]*WWWW[[#This Row],[Total PoP ]]</f>
        <v>66.666666666666671</v>
      </c>
      <c r="CM544" s="866">
        <f>IF((WWWW[[#This Row],['#_Constructed/Existing protected/fenced ponds]]*250)/WWWW[[#This Row],[Total PoP ]]&gt;1,1,(WWWW[[#This Row],['#_Constructed/Existing protected/fenced ponds]]*250)/WWWW[[#This Row],[Total PoP ]])</f>
        <v>1</v>
      </c>
      <c r="CN544" s="864">
        <f>WWWW[[#This Row],[% Access to unimproved water points]]*WWWW[[#This Row],[Total PoP ]]</f>
        <v>519</v>
      </c>
      <c r="CO54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4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Q544" s="864">
        <f>WWWW[[#This Row],[HRP1]]/500</f>
        <v>1.038</v>
      </c>
      <c r="CR544" s="869">
        <f>1-WWWW[[#This Row],[% Equitable and continuous access to sufficient quantity of domestic water]]</f>
        <v>0</v>
      </c>
      <c r="CS544" s="864">
        <f>WWWW[[#This Row],[%equitable and continuous access to sufficient quantity of safe drinking and domestic water''s GAP]]*WWWW[[#This Row],[Total PoP ]]</f>
        <v>0</v>
      </c>
      <c r="CT544" s="867">
        <f>IF(WWWW[[#This Row],[Total required water points]]-WWWW[[#This Row],['#Water points coverage]]&lt;0,0,WWWW[[#This Row],[Total required water points]]-WWWW[[#This Row],['#Water points coverage]])</f>
        <v>0</v>
      </c>
      <c r="CU544" s="867">
        <f>ROUND(IF(WWWW[[#This Row],[Total PoP ]]&lt;500,1,WWWW[[#This Row],[Total PoP ]]/500),0)</f>
        <v>1</v>
      </c>
      <c r="CV544" s="867">
        <f>(WWWW[[#This Row],['#_Constructed latrines_by_WASHAgencies]]+WWWW[[#This Row],['#_Non Cluster partner latrines]])-WWWW[[#This Row],['#_Non-functional latrines]]</f>
        <v>32</v>
      </c>
      <c r="CW544" s="804">
        <f>WWWW[[#This Row],[HRP2]]/WWWW[[#This Row],[Total PoP ]]</f>
        <v>1</v>
      </c>
      <c r="CX54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519</v>
      </c>
      <c r="CY54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4" s="473">
        <f>IF(WWWW[[#This Row],['# of functional latrines in THF supported by WASH partners during the reporting period2]]="",0,WWWW[[#This Row],['# of functional latrines in THF supported by WASH partners during the reporting period2]]*50)</f>
        <v>0</v>
      </c>
      <c r="DB544" s="473">
        <f>WWWW[[#This Row],['# students access to functioning school latrines_HRP5]]+WWWW[[#This Row],['# People access to functioning latrines in THF_HRP5]]</f>
        <v>0</v>
      </c>
      <c r="DC544" s="867">
        <f>ROUND(IF(WWWW[[#This Row],[Location Type 1]]="camp",WWWW[[#This Row],[Total PoP ]]/20,IF(WWWW[[#This Row],[Location Type 1]]="Temporary Location",WWWW[[#This Row],[Total PoP ]]/50,(WWWW[[#This Row],[Total PoP ]]/6))),0)</f>
        <v>26</v>
      </c>
      <c r="DD544" s="867">
        <f>IF(WWWW[[#This Row],[Total required Latrines]]-(WWWW[[#This Row],['#_Constructed latrines_by_WASHAgencies]]+WWWW[[#This Row],['#_Non Cluster partner latrines]])&lt;0,0,WWWW[[#This Row],[Total required Latrines]]-(WWWW[[#This Row],['#_Constructed latrines_by_WASHAgencies]]+WWWW[[#This Row],['#_Non Cluster partner latrines]]))</f>
        <v>0</v>
      </c>
      <c r="DE544" s="869">
        <f>1-WWWW[[#This Row],[% people access to functioning Latrine]]</f>
        <v>0</v>
      </c>
      <c r="DF544" s="868">
        <f>IF(OR(WWWW[[#This Row],['#_Non-functional latrines]]="",WWWW[[#This Row],['#_Non-functional latrines]]=0),0,WWWW[[#This Row],['#_Non-functional latrines]]/(WWWW[[#This Row],['#_Constructed latrines_by_WASHAgencies]]+WWWW[[#This Row],['#_Non Cluster partner latrines]]))</f>
        <v>0</v>
      </c>
      <c r="DG544" s="864">
        <f>IF(500*(WWWW[[#This Row],['#_male hygiene promoters]]+WWWW[[#This Row],['#_female hygiene promoters]])&gt;WWWW[[#This Row],[Total PoP ]],WWWW[[#This Row],[Total PoP ]],500*(WWWW[[#This Row],['#_male hygiene promoters]]+WWWW[[#This Row],['#_female hygiene promoters]]))</f>
        <v>519</v>
      </c>
      <c r="DH54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4" s="867">
        <f>IF(WWWW[[#This Row],['# People with access to soap]]&gt;WWWW[[#This Row],['# People with access to Sanity Pads]],WWWW[[#This Row],['# People with access to soap]],WWWW[[#This Row],['# People with access to Sanity Pads]])</f>
        <v>0</v>
      </c>
      <c r="DK544" s="867">
        <f>IF(WWWW[[#This Row],['# people reached by regular dedicated hygiene promotion_5]]&gt;WWWW[[#This Row],['# People received regular supply of hygiene items_6]],WWWW[[#This Row],['# people reached by regular dedicated hygiene promotion_5]],WWWW[[#This Row],['# People received regular supply of hygiene items_6]])</f>
        <v>519</v>
      </c>
      <c r="DL544" s="869">
        <f>IF(WWWW[[#This Row],[HRP3]]/WWWW[[#This Row],[Total PoP ]]&gt;1,1,WWWW[[#This Row],[HRP3]]/WWWW[[#This Row],[Total PoP ]])</f>
        <v>1</v>
      </c>
      <c r="DM544" s="868">
        <f>1-WWWW[[#This Row],[Hygiene Coverage%]]</f>
        <v>0</v>
      </c>
      <c r="DN544" s="866">
        <f>WWWW[[#This Row],['# people reached by regular dedicated hygiene promotion_5]]/WWWW[[#This Row],[Total PoP ]]</f>
        <v>1</v>
      </c>
      <c r="DO54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4" s="867">
        <f>WWWW[[#This Row],['#_Constructed/Existing hand washing stations]]-WWWW[[#This Row],['#_Non-Functional_hand_washing_stations]]</f>
        <v>5</v>
      </c>
      <c r="DR544" s="864">
        <f>IF(WWWW[[#This Row],['# Functional hand washing stations during reporting period]]*20&gt;WWWW[[#This Row],[Total HH]],WWWW[[#This Row],[Total HH]],WWWW[[#This Row],['# Functional hand washing stations during reporting period]]*20)</f>
        <v>100</v>
      </c>
      <c r="DS544" s="864">
        <f>IF(WWWW[[#This Row],[Is sufficient soap available for TLS? (Yes/No)]]="yes",WWWW[[#This Row],['#_Constructed/Existing hand washing stations at TLS]],0)</f>
        <v>0</v>
      </c>
      <c r="DT544" s="479">
        <f>IF(WWWW[[#This Row],['# Functional hand washing stations during reporting period]]*100&gt;WWWW[[#This Row],[Total PoP ]],WWWW[[#This Row],[Total PoP ]],WWWW[[#This Row],['# Functional hand washing stations during reporting period]]*100)</f>
        <v>500</v>
      </c>
      <c r="DU544" s="479" t="str">
        <f>IF(OR(WWWW[[#This Row],['#_students at TLS_CFS]]="",WWWW[[#This Row],['#_students at TLS_CFS]]=0),"No","Yes")</f>
        <v>No</v>
      </c>
      <c r="DV54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4" s="862" t="str">
        <f>VLOOKUP(WWWW[[#This Row],[Site Name]],SiteDB6[[Site Name]:[CCCM Management]],6,FALSE)</f>
        <v>Yes</v>
      </c>
      <c r="DZ544" s="862" t="str">
        <f>VLOOKUP(WWWW[[#This Row],[Site Name]],SiteDB6[[Site Name]:[CCCM Focal Agency]],7,FALSE)</f>
        <v>KBC-MYT</v>
      </c>
      <c r="EA544" s="862" t="str">
        <f>VLOOKUP(WWWW[[#This Row],[Site Name]],SiteDB6[[Site Name]:[Location Type 1]],9,FALSE)</f>
        <v>Camp</v>
      </c>
      <c r="EB544" s="862" t="str">
        <f>VLOOKUP(WWWW[[#This Row],[Site Name]],SiteDB6[[Site Name]:[Type of Accommodation]],10,FALSE)</f>
        <v>Camp</v>
      </c>
      <c r="EC544" s="862" t="str">
        <f>VLOOKUP(WWWW[[#This Row],[Site Name]],SiteDB6[[Site Name]:[Ethnic or GCA/NGCA]],11,FALSE)</f>
        <v>GCA</v>
      </c>
      <c r="ED544" s="862">
        <f>VLOOKUP(WWWW[[#This Row],[Site Name]],SiteDB6[[Site Name]:[Lat]],12,FALSE)</f>
        <v>25.611160000000002</v>
      </c>
      <c r="EE544" s="862">
        <f>VLOOKUP(WWWW[[#This Row],[Site Name]],SiteDB6[[Site Name]:[Long]],13,FALSE)</f>
        <v>96.312790000000007</v>
      </c>
      <c r="EF544" s="862" t="str">
        <f>VLOOKUP(WWWW[[#This Row],[Site Name]],SiteDB6[[Site Name]:[Pcode]],3,FALSE)</f>
        <v>MMR001CMP229</v>
      </c>
      <c r="EG544" s="865" t="str">
        <f t="shared" si="16"/>
        <v>Covered</v>
      </c>
      <c r="EH544" s="865" t="str">
        <f>VLOOKUP(WWWW[[#This Row],[Site Name]],Site_DB!$C$389:$D$1120,2,FALSE)</f>
        <v>cccm_2019OCT</v>
      </c>
    </row>
    <row r="545" spans="1:138">
      <c r="A545" s="860" t="s">
        <v>3263</v>
      </c>
      <c r="B545" s="860" t="s">
        <v>312</v>
      </c>
      <c r="C545" s="861" t="s">
        <v>312</v>
      </c>
      <c r="D545" s="861"/>
      <c r="E545" s="861" t="s">
        <v>39</v>
      </c>
      <c r="F545" s="861" t="s">
        <v>208</v>
      </c>
      <c r="G545" s="721" t="str">
        <f>VLOOKUP(WWWW[[#This Row],[Site Name]],SiteDB6[[Site Name]:[Location Type]],8,FALSE)</f>
        <v>Camp</v>
      </c>
      <c r="H545" s="861" t="s">
        <v>1023</v>
      </c>
      <c r="I545" s="851">
        <v>47</v>
      </c>
      <c r="J545" s="851">
        <v>153</v>
      </c>
      <c r="K545" s="863"/>
      <c r="L545" s="859"/>
      <c r="M545" s="851"/>
      <c r="N545" s="851"/>
      <c r="O545" s="851"/>
      <c r="P545" s="851"/>
      <c r="Q545" s="864"/>
      <c r="R545" s="851"/>
      <c r="S545" s="851">
        <v>1</v>
      </c>
      <c r="T545" s="523"/>
      <c r="U545" s="851"/>
      <c r="V545" s="851"/>
      <c r="W545" s="851"/>
      <c r="X545" s="851"/>
      <c r="Y545" s="851"/>
      <c r="Z545" s="851"/>
      <c r="AA545" s="851"/>
      <c r="AB545" s="851"/>
      <c r="AC545" s="851"/>
      <c r="AD545" s="851"/>
      <c r="AE545" s="851"/>
      <c r="AF545" s="851"/>
      <c r="AG545" s="851"/>
      <c r="AH545" s="851"/>
      <c r="AI545" s="851"/>
      <c r="AJ545" s="851"/>
      <c r="AK545" s="851"/>
      <c r="AL545" s="851"/>
      <c r="AM545" s="851"/>
      <c r="AN545" s="851"/>
      <c r="AO545" s="865"/>
      <c r="AP545" s="851"/>
      <c r="AQ545" s="851"/>
      <c r="AR545" s="866"/>
      <c r="AS545" s="851"/>
      <c r="AT545" s="851"/>
      <c r="AU545" s="851"/>
      <c r="AV545" s="851"/>
      <c r="AW545" s="851"/>
      <c r="AX545" s="862"/>
      <c r="AY545" s="865"/>
      <c r="AZ545" s="851"/>
      <c r="BA545" s="851"/>
      <c r="BB545" s="851"/>
      <c r="BC545" s="523"/>
      <c r="BD545" s="523"/>
      <c r="BE545" s="862"/>
      <c r="BF545" s="851"/>
      <c r="BG545" s="851"/>
      <c r="BH545" s="851"/>
      <c r="BI545" s="851"/>
      <c r="BJ545" s="851"/>
      <c r="BK545" s="851"/>
      <c r="BL545" s="851"/>
      <c r="BM545" s="851"/>
      <c r="BN545" s="851"/>
      <c r="BO545" s="862"/>
      <c r="BP545" s="867"/>
      <c r="BQ545" s="866"/>
      <c r="BR545" s="862"/>
      <c r="BS545" s="472"/>
      <c r="BT545" s="472"/>
      <c r="BU545" s="474"/>
      <c r="BV545" s="472"/>
      <c r="BW545" s="523"/>
      <c r="BX545" s="523"/>
      <c r="BY545" s="523"/>
      <c r="BZ545" s="868" t="str">
        <f>IFERROR(WWWW[[#This Row],['#_Water sources passed]]/WWWW[[#This Row],['#_Water sources tested for fecal coliform ]],"no test")</f>
        <v>no test</v>
      </c>
      <c r="CA545" s="866" t="str">
        <f>IFERROR(WWWW[[#This Row],['#_Household passed]]/WWWW[[#This Row],['#_Household water samples tested for fecal coliform]],"no test")</f>
        <v>no test</v>
      </c>
      <c r="CB545" s="867" t="str">
        <f>IF(AND(WWWW[[#This Row],[% of water sources passed]]="no test",WWWW[[#This Row],[% Household passed]]="no test"),"No Test","Tested")</f>
        <v>No Test</v>
      </c>
      <c r="CC545" s="867">
        <f>WWWW[[#This Row],['#_Constructed/existing protected hand dug well]]-WWWW[[#This Row],['#_Non-functional protected hand dug well]]</f>
        <v>0</v>
      </c>
      <c r="CD545" s="867">
        <f>(WWWW[[#This Row],['#_Constructed/Existing tube wells/boreholes/handpumps_WASH_agency]]+WWWW[[#This Row],['#_Non-Cluster partner water tube-wells/boreholes/handpumps]])-WWWW[[#This Row],['#_Non-functional tube wells/boreholes/handpumps]]</f>
        <v>0</v>
      </c>
      <c r="CE545" s="867">
        <f>WWWW[[#This Row],['#_Constructed/Existingwater storage tank with gravity fed reticulation system]]-WWWW[[#This Row],['#_Non-functional storage tank gravity fed reticulation system]]</f>
        <v>0</v>
      </c>
      <c r="CF545" s="867">
        <f>(WWWW[[#This Row],['#_Water_Liters_supplied_by_Water boating or water trucking]]/90)/15</f>
        <v>0</v>
      </c>
      <c r="CG545" s="867">
        <f>WWWW[[#This Row],['#_Water_Liters_from_Constructed/Existing water distribution system from river or natural spring]]/90/15</f>
        <v>0</v>
      </c>
      <c r="CH545" s="473">
        <f>WWWW[[#This Row],['#_of water points in TLS/CFS /THF]]*500</f>
        <v>0</v>
      </c>
      <c r="CI54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4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45" s="866">
        <f>IF(WWWW[[#This Row],[Location Type 1]]="Village",WWWW[[#This Row],[Access to safe drinking water for Village]],WWWW[[#This Row],[Access to safe drinking water for Camp]])</f>
        <v>0</v>
      </c>
      <c r="CL545" s="864">
        <f>WWWW[[#This Row],[%Equitable and continuous access to sufficient quantity of safe drinking water]]*WWWW[[#This Row],[Total PoP ]]</f>
        <v>0</v>
      </c>
      <c r="CM545" s="866">
        <f>IF((WWWW[[#This Row],['#_Constructed/Existing protected/fenced ponds]]*250)/WWWW[[#This Row],[Total PoP ]]&gt;1,1,(WWWW[[#This Row],['#_Constructed/Existing protected/fenced ponds]]*250)/WWWW[[#This Row],[Total PoP ]])</f>
        <v>0</v>
      </c>
      <c r="CN545" s="864">
        <f>WWWW[[#This Row],[% Access to unimproved water points]]*WWWW[[#This Row],[Total PoP ]]</f>
        <v>0</v>
      </c>
      <c r="CO54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4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45" s="864">
        <f>WWWW[[#This Row],[HRP1]]/500</f>
        <v>0</v>
      </c>
      <c r="CR545" s="869">
        <f>1-WWWW[[#This Row],[% Equitable and continuous access to sufficient quantity of domestic water]]</f>
        <v>1</v>
      </c>
      <c r="CS545" s="864">
        <f>WWWW[[#This Row],[%equitable and continuous access to sufficient quantity of safe drinking and domestic water''s GAP]]*WWWW[[#This Row],[Total PoP ]]</f>
        <v>153</v>
      </c>
      <c r="CT545" s="867">
        <f>IF(WWWW[[#This Row],[Total required water points]]-WWWW[[#This Row],['#Water points coverage]]&lt;0,0,WWWW[[#This Row],[Total required water points]]-WWWW[[#This Row],['#Water points coverage]])</f>
        <v>1</v>
      </c>
      <c r="CU545" s="867">
        <f>ROUND(IF(WWWW[[#This Row],[Total PoP ]]&lt;500,1,WWWW[[#This Row],[Total PoP ]]/500),0)</f>
        <v>1</v>
      </c>
      <c r="CV545" s="867">
        <f>(WWWW[[#This Row],['#_Constructed latrines_by_WASHAgencies]]+WWWW[[#This Row],['#_Non Cluster partner latrines]])-WWWW[[#This Row],['#_Non-functional latrines]]</f>
        <v>0</v>
      </c>
      <c r="CW545" s="804">
        <f>WWWW[[#This Row],[HRP2]]/WWWW[[#This Row],[Total PoP ]]</f>
        <v>0</v>
      </c>
      <c r="CX54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4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5" s="473">
        <f>IF(WWWW[[#This Row],['# of functional latrines in THF supported by WASH partners during the reporting period2]]="",0,WWWW[[#This Row],['# of functional latrines in THF supported by WASH partners during the reporting period2]]*50)</f>
        <v>0</v>
      </c>
      <c r="DB545" s="473">
        <f>WWWW[[#This Row],['# students access to functioning school latrines_HRP5]]+WWWW[[#This Row],['# People access to functioning latrines in THF_HRP5]]</f>
        <v>0</v>
      </c>
      <c r="DC545" s="867">
        <f>ROUND(IF(WWWW[[#This Row],[Location Type 1]]="camp",WWWW[[#This Row],[Total PoP ]]/20,IF(WWWW[[#This Row],[Location Type 1]]="Temporary Location",WWWW[[#This Row],[Total PoP ]]/50,(WWWW[[#This Row],[Total PoP ]]/6))),0)</f>
        <v>8</v>
      </c>
      <c r="DD545" s="867">
        <f>IF(WWWW[[#This Row],[Total required Latrines]]-(WWWW[[#This Row],['#_Constructed latrines_by_WASHAgencies]]+WWWW[[#This Row],['#_Non Cluster partner latrines]])&lt;0,0,WWWW[[#This Row],[Total required Latrines]]-(WWWW[[#This Row],['#_Constructed latrines_by_WASHAgencies]]+WWWW[[#This Row],['#_Non Cluster partner latrines]]))</f>
        <v>8</v>
      </c>
      <c r="DE545" s="869">
        <f>1-WWWW[[#This Row],[% people access to functioning Latrine]]</f>
        <v>1</v>
      </c>
      <c r="DF545" s="868">
        <f>IF(OR(WWWW[[#This Row],['#_Non-functional latrines]]="",WWWW[[#This Row],['#_Non-functional latrines]]=0),0,WWWW[[#This Row],['#_Non-functional latrines]]/(WWWW[[#This Row],['#_Constructed latrines_by_WASHAgencies]]+WWWW[[#This Row],['#_Non Cluster partner latrines]]))</f>
        <v>0</v>
      </c>
      <c r="DG545" s="864">
        <f>IF(500*(WWWW[[#This Row],['#_male hygiene promoters]]+WWWW[[#This Row],['#_female hygiene promoters]])&gt;WWWW[[#This Row],[Total PoP ]],WWWW[[#This Row],[Total PoP ]],500*(WWWW[[#This Row],['#_male hygiene promoters]]+WWWW[[#This Row],['#_female hygiene promoters]]))</f>
        <v>0</v>
      </c>
      <c r="DH54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5" s="867">
        <f>IF(WWWW[[#This Row],['# People with access to soap]]&gt;WWWW[[#This Row],['# People with access to Sanity Pads]],WWWW[[#This Row],['# People with access to soap]],WWWW[[#This Row],['# People with access to Sanity Pads]])</f>
        <v>0</v>
      </c>
      <c r="DK54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45" s="869">
        <f>IF(WWWW[[#This Row],[HRP3]]/WWWW[[#This Row],[Total PoP ]]&gt;1,1,WWWW[[#This Row],[HRP3]]/WWWW[[#This Row],[Total PoP ]])</f>
        <v>0</v>
      </c>
      <c r="DM545" s="868">
        <f>1-WWWW[[#This Row],[Hygiene Coverage%]]</f>
        <v>1</v>
      </c>
      <c r="DN545" s="866">
        <f>WWWW[[#This Row],['# people reached by regular dedicated hygiene promotion_5]]/WWWW[[#This Row],[Total PoP ]]</f>
        <v>0</v>
      </c>
      <c r="DO54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5" s="867">
        <f>WWWW[[#This Row],['#_Constructed/Existing hand washing stations]]-WWWW[[#This Row],['#_Non-Functional_hand_washing_stations]]</f>
        <v>0</v>
      </c>
      <c r="DR545" s="864">
        <f>IF(WWWW[[#This Row],['# Functional hand washing stations during reporting period]]*20&gt;WWWW[[#This Row],[Total HH]],WWWW[[#This Row],[Total HH]],WWWW[[#This Row],['# Functional hand washing stations during reporting period]]*20)</f>
        <v>0</v>
      </c>
      <c r="DS545" s="864">
        <f>IF(WWWW[[#This Row],[Is sufficient soap available for TLS? (Yes/No)]]="yes",WWWW[[#This Row],['#_Constructed/Existing hand washing stations at TLS]],0)</f>
        <v>0</v>
      </c>
      <c r="DT545" s="479">
        <f>IF(WWWW[[#This Row],['# Functional hand washing stations during reporting period]]*100&gt;WWWW[[#This Row],[Total PoP ]],WWWW[[#This Row],[Total PoP ]],WWWW[[#This Row],['# Functional hand washing stations during reporting period]]*100)</f>
        <v>0</v>
      </c>
      <c r="DU545" s="479" t="str">
        <f>IF(OR(WWWW[[#This Row],['#_students at TLS_CFS]]="",WWWW[[#This Row],['#_students at TLS_CFS]]=0),"No","Yes")</f>
        <v>No</v>
      </c>
      <c r="DV54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5" s="862">
        <f>VLOOKUP(WWWW[[#This Row],[Site Name]],SiteDB6[[Site Name]:[CCCM Management]],6,FALSE)</f>
        <v>0</v>
      </c>
      <c r="DZ545" s="862" t="str">
        <f>VLOOKUP(WWWW[[#This Row],[Site Name]],SiteDB6[[Site Name]:[CCCM Focal Agency]],7,FALSE)</f>
        <v>uncovered</v>
      </c>
      <c r="EA545" s="862" t="str">
        <f>VLOOKUP(WWWW[[#This Row],[Site Name]],SiteDB6[[Site Name]:[Location Type 1]],9,FALSE)</f>
        <v>Camp</v>
      </c>
      <c r="EB545" s="862" t="str">
        <f>VLOOKUP(WWWW[[#This Row],[Site Name]],SiteDB6[[Site Name]:[Type of Accommodation]],10,FALSE)</f>
        <v>Host Families</v>
      </c>
      <c r="EC545" s="862" t="str">
        <f>VLOOKUP(WWWW[[#This Row],[Site Name]],SiteDB6[[Site Name]:[Ethnic or GCA/NGCA]],11,FALSE)</f>
        <v>GCA</v>
      </c>
      <c r="ED545" s="862">
        <f>VLOOKUP(WWWW[[#This Row],[Site Name]],SiteDB6[[Site Name]:[Lat]],12,FALSE)</f>
        <v>24.404876999999999</v>
      </c>
      <c r="EE545" s="862">
        <f>VLOOKUP(WWWW[[#This Row],[Site Name]],SiteDB6[[Site Name]:[Long]],13,FALSE)</f>
        <v>97.407787999999996</v>
      </c>
      <c r="EF545" s="862" t="str">
        <f>VLOOKUP(WWWW[[#This Row],[Site Name]],SiteDB6[[Site Name]:[Pcode]],3,FALSE)</f>
        <v>MMR001CMP061</v>
      </c>
      <c r="EG545" s="865" t="str">
        <f t="shared" si="16"/>
        <v>Notcovered</v>
      </c>
      <c r="EH545" s="865" t="str">
        <f>VLOOKUP(WWWW[[#This Row],[Site Name]],Site_DB!$C$389:$D$1120,2,FALSE)</f>
        <v>cccm_2019OCT</v>
      </c>
    </row>
    <row r="546" spans="1:138">
      <c r="A546" s="860" t="s">
        <v>3263</v>
      </c>
      <c r="B546" s="860" t="s">
        <v>144</v>
      </c>
      <c r="C546" s="861" t="s">
        <v>144</v>
      </c>
      <c r="D546" s="861" t="s">
        <v>3280</v>
      </c>
      <c r="E546" s="861" t="s">
        <v>39</v>
      </c>
      <c r="F546" s="861" t="s">
        <v>145</v>
      </c>
      <c r="G546" s="721" t="str">
        <f>VLOOKUP(WWWW[[#This Row],[Site Name]],SiteDB6[[Site Name]:[Location Type]],8,FALSE)</f>
        <v>Camp</v>
      </c>
      <c r="H546" s="861" t="s">
        <v>146</v>
      </c>
      <c r="I546" s="851">
        <v>391</v>
      </c>
      <c r="J546" s="851">
        <v>1775</v>
      </c>
      <c r="K546" s="863">
        <v>43475</v>
      </c>
      <c r="L546" s="859" t="s">
        <v>3281</v>
      </c>
      <c r="M546" s="851"/>
      <c r="N546" s="851"/>
      <c r="O546" s="851"/>
      <c r="P546" s="851"/>
      <c r="Q546" s="864" t="s">
        <v>43</v>
      </c>
      <c r="R546" s="851"/>
      <c r="S546" s="851">
        <v>2</v>
      </c>
      <c r="T546" s="523">
        <v>0</v>
      </c>
      <c r="U546" s="851"/>
      <c r="V546" s="851"/>
      <c r="W546" s="851">
        <v>0</v>
      </c>
      <c r="X546" s="851"/>
      <c r="Y546" s="851"/>
      <c r="Z546" s="851"/>
      <c r="AA546" s="851">
        <v>4</v>
      </c>
      <c r="AB546" s="851"/>
      <c r="AC546" s="851"/>
      <c r="AD546" s="851"/>
      <c r="AE546" s="851"/>
      <c r="AF546" s="851"/>
      <c r="AG546" s="851"/>
      <c r="AH546" s="851">
        <v>0</v>
      </c>
      <c r="AI546" s="851"/>
      <c r="AJ546" s="851"/>
      <c r="AK546" s="851"/>
      <c r="AL546" s="851"/>
      <c r="AM546" s="851"/>
      <c r="AN546" s="851"/>
      <c r="AO546" s="865"/>
      <c r="AP546" s="851">
        <v>391</v>
      </c>
      <c r="AQ546" s="851"/>
      <c r="AR546" s="866"/>
      <c r="AS546" s="851"/>
      <c r="AT546" s="851"/>
      <c r="AU546" s="851"/>
      <c r="AV546" s="851"/>
      <c r="AW546" s="851">
        <v>413</v>
      </c>
      <c r="AX546" s="862" t="s">
        <v>43</v>
      </c>
      <c r="AY546" s="865" t="s">
        <v>140</v>
      </c>
      <c r="AZ546" s="851"/>
      <c r="BA546" s="851"/>
      <c r="BB546" s="851"/>
      <c r="BC546" s="523"/>
      <c r="BD546" s="523"/>
      <c r="BE546" s="862"/>
      <c r="BF546" s="851">
        <v>413</v>
      </c>
      <c r="BG546" s="851"/>
      <c r="BH546" s="851"/>
      <c r="BI546" s="851">
        <v>9</v>
      </c>
      <c r="BJ546" s="851"/>
      <c r="BK546" s="851"/>
      <c r="BL546" s="851">
        <v>5</v>
      </c>
      <c r="BM546" s="851"/>
      <c r="BN546" s="851"/>
      <c r="BO546" s="862"/>
      <c r="BP546" s="867"/>
      <c r="BQ546" s="866"/>
      <c r="BR546" s="862"/>
      <c r="BS546" s="472"/>
      <c r="BT546" s="472"/>
      <c r="BU546" s="474"/>
      <c r="BV546" s="472"/>
      <c r="BW546" s="523"/>
      <c r="BX546" s="523"/>
      <c r="BY546" s="523"/>
      <c r="BZ546" s="868" t="str">
        <f>IFERROR(WWWW[[#This Row],['#_Water sources passed]]/WWWW[[#This Row],['#_Water sources tested for fecal coliform ]],"no test")</f>
        <v>no test</v>
      </c>
      <c r="CA546" s="866" t="str">
        <f>IFERROR(WWWW[[#This Row],['#_Household passed]]/WWWW[[#This Row],['#_Household water samples tested for fecal coliform]],"no test")</f>
        <v>no test</v>
      </c>
      <c r="CB546" s="867" t="str">
        <f>IF(AND(WWWW[[#This Row],[% of water sources passed]]="no test",WWWW[[#This Row],[% Household passed]]="no test"),"No Test","Tested")</f>
        <v>No Test</v>
      </c>
      <c r="CC546" s="867">
        <f>WWWW[[#This Row],['#_Constructed/existing protected hand dug well]]-WWWW[[#This Row],['#_Non-functional protected hand dug well]]</f>
        <v>0</v>
      </c>
      <c r="CD546" s="867">
        <f>(WWWW[[#This Row],['#_Constructed/Existing tube wells/boreholes/handpumps_WASH_agency]]+WWWW[[#This Row],['#_Non-Cluster partner water tube-wells/boreholes/handpumps]])-WWWW[[#This Row],['#_Non-functional tube wells/boreholes/handpumps]]</f>
        <v>0</v>
      </c>
      <c r="CE546" s="867">
        <f>WWWW[[#This Row],['#_Constructed/Existingwater storage tank with gravity fed reticulation system]]-WWWW[[#This Row],['#_Non-functional storage tank gravity fed reticulation system]]</f>
        <v>4</v>
      </c>
      <c r="CF546" s="867">
        <f>(WWWW[[#This Row],['#_Water_Liters_supplied_by_Water boating or water trucking]]/90)/15</f>
        <v>0</v>
      </c>
      <c r="CG546" s="867">
        <f>WWWW[[#This Row],['#_Water_Liters_from_Constructed/Existing water distribution system from river or natural spring]]/90/15</f>
        <v>0</v>
      </c>
      <c r="CH546" s="473">
        <f>WWWW[[#This Row],['#_of water points in TLS/CFS /THF]]*500</f>
        <v>0</v>
      </c>
      <c r="CI54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0.15023474178403756</v>
      </c>
      <c r="CJ54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0.15023474178403756</v>
      </c>
      <c r="CK546" s="866">
        <f>IF(WWWW[[#This Row],[Location Type 1]]="Village",WWWW[[#This Row],[Access to safe drinking water for Village]],WWWW[[#This Row],[Access to safe drinking water for Camp]])</f>
        <v>0.15023474178403756</v>
      </c>
      <c r="CL546" s="864">
        <f>WWWW[[#This Row],[%Equitable and continuous access to sufficient quantity of safe drinking water]]*WWWW[[#This Row],[Total PoP ]]</f>
        <v>266.66666666666669</v>
      </c>
      <c r="CM546" s="866">
        <f>IF((WWWW[[#This Row],['#_Constructed/Existing protected/fenced ponds]]*250)/WWWW[[#This Row],[Total PoP ]]&gt;1,1,(WWWW[[#This Row],['#_Constructed/Existing protected/fenced ponds]]*250)/WWWW[[#This Row],[Total PoP ]])</f>
        <v>0</v>
      </c>
      <c r="CN546" s="864">
        <f>WWWW[[#This Row],[% Access to unimproved water points]]*WWWW[[#This Row],[Total PoP ]]</f>
        <v>0</v>
      </c>
      <c r="CO54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P54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Q546" s="864">
        <f>WWWW[[#This Row],[HRP1]]/500</f>
        <v>0.53333333333333333</v>
      </c>
      <c r="CR546" s="869">
        <f>1-WWWW[[#This Row],[% Equitable and continuous access to sufficient quantity of domestic water]]</f>
        <v>0.84976525821596249</v>
      </c>
      <c r="CS546" s="864">
        <f>WWWW[[#This Row],[%equitable and continuous access to sufficient quantity of safe drinking and domestic water''s GAP]]*WWWW[[#This Row],[Total PoP ]]</f>
        <v>1508.3333333333335</v>
      </c>
      <c r="CT546" s="867">
        <f>IF(WWWW[[#This Row],[Total required water points]]-WWWW[[#This Row],['#Water points coverage]]&lt;0,0,WWWW[[#This Row],[Total required water points]]-WWWW[[#This Row],['#Water points coverage]])</f>
        <v>3.4666666666666668</v>
      </c>
      <c r="CU546" s="867">
        <f>ROUND(IF(WWWW[[#This Row],[Total PoP ]]&lt;500,1,WWWW[[#This Row],[Total PoP ]]/500),0)</f>
        <v>4</v>
      </c>
      <c r="CV546" s="867">
        <f>(WWWW[[#This Row],['#_Constructed latrines_by_WASHAgencies]]+WWWW[[#This Row],['#_Non Cluster partner latrines]])-WWWW[[#This Row],['#_Non-functional latrines]]</f>
        <v>391</v>
      </c>
      <c r="CW546" s="804">
        <f>WWWW[[#This Row],[HRP2]]/WWWW[[#This Row],[Total PoP ]]</f>
        <v>1</v>
      </c>
      <c r="CX54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1775</v>
      </c>
      <c r="CY54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6" s="473">
        <f>IF(WWWW[[#This Row],['# of functional latrines in THF supported by WASH partners during the reporting period2]]="",0,WWWW[[#This Row],['# of functional latrines in THF supported by WASH partners during the reporting period2]]*50)</f>
        <v>0</v>
      </c>
      <c r="DB546" s="473">
        <f>WWWW[[#This Row],['# students access to functioning school latrines_HRP5]]+WWWW[[#This Row],['# People access to functioning latrines in THF_HRP5]]</f>
        <v>0</v>
      </c>
      <c r="DC546" s="867">
        <f>ROUND(IF(WWWW[[#This Row],[Location Type 1]]="camp",WWWW[[#This Row],[Total PoP ]]/20,IF(WWWW[[#This Row],[Location Type 1]]="Temporary Location",WWWW[[#This Row],[Total PoP ]]/50,(WWWW[[#This Row],[Total PoP ]]/6))),0)</f>
        <v>89</v>
      </c>
      <c r="DD546" s="867">
        <f>IF(WWWW[[#This Row],[Total required Latrines]]-(WWWW[[#This Row],['#_Constructed latrines_by_WASHAgencies]]+WWWW[[#This Row],['#_Non Cluster partner latrines]])&lt;0,0,WWWW[[#This Row],[Total required Latrines]]-(WWWW[[#This Row],['#_Constructed latrines_by_WASHAgencies]]+WWWW[[#This Row],['#_Non Cluster partner latrines]]))</f>
        <v>0</v>
      </c>
      <c r="DE546" s="869">
        <f>1-WWWW[[#This Row],[% people access to functioning Latrine]]</f>
        <v>0</v>
      </c>
      <c r="DF546" s="868">
        <f>IF(OR(WWWW[[#This Row],['#_Non-functional latrines]]="",WWWW[[#This Row],['#_Non-functional latrines]]=0),0,WWWW[[#This Row],['#_Non-functional latrines]]/(WWWW[[#This Row],['#_Constructed latrines_by_WASHAgencies]]+WWWW[[#This Row],['#_Non Cluster partner latrines]]))</f>
        <v>0</v>
      </c>
      <c r="DG546" s="864">
        <f>IF(500*(WWWW[[#This Row],['#_male hygiene promoters]]+WWWW[[#This Row],['#_female hygiene promoters]])&gt;WWWW[[#This Row],[Total PoP ]],WWWW[[#This Row],[Total PoP ]],500*(WWWW[[#This Row],['#_male hygiene promoters]]+WWWW[[#This Row],['#_female hygiene promoters]]))</f>
        <v>1775</v>
      </c>
      <c r="DH54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6" s="867">
        <f>IF(WWWW[[#This Row],['# People with access to soap]]&gt;WWWW[[#This Row],['# People with access to Sanity Pads]],WWWW[[#This Row],['# People with access to soap]],WWWW[[#This Row],['# People with access to Sanity Pads]])</f>
        <v>0</v>
      </c>
      <c r="DK546" s="867">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DL546" s="869">
        <f>IF(WWWW[[#This Row],[HRP3]]/WWWW[[#This Row],[Total PoP ]]&gt;1,1,WWWW[[#This Row],[HRP3]]/WWWW[[#This Row],[Total PoP ]])</f>
        <v>1</v>
      </c>
      <c r="DM546" s="868">
        <f>1-WWWW[[#This Row],[Hygiene Coverage%]]</f>
        <v>0</v>
      </c>
      <c r="DN546" s="866">
        <f>WWWW[[#This Row],['# people reached by regular dedicated hygiene promotion_5]]/WWWW[[#This Row],[Total PoP ]]</f>
        <v>1</v>
      </c>
      <c r="DO54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6" s="867">
        <f>WWWW[[#This Row],['#_Constructed/Existing hand washing stations]]-WWWW[[#This Row],['#_Non-Functional_hand_washing_stations]]</f>
        <v>413</v>
      </c>
      <c r="DR546" s="864">
        <f>IF(WWWW[[#This Row],['# Functional hand washing stations during reporting period]]*20&gt;WWWW[[#This Row],[Total HH]],WWWW[[#This Row],[Total HH]],WWWW[[#This Row],['# Functional hand washing stations during reporting period]]*20)</f>
        <v>391</v>
      </c>
      <c r="DS546" s="864">
        <f>IF(WWWW[[#This Row],[Is sufficient soap available for TLS? (Yes/No)]]="yes",WWWW[[#This Row],['#_Constructed/Existing hand washing stations at TLS]],0)</f>
        <v>0</v>
      </c>
      <c r="DT546" s="479">
        <f>IF(WWWW[[#This Row],['# Functional hand washing stations during reporting period]]*100&gt;WWWW[[#This Row],[Total PoP ]],WWWW[[#This Row],[Total PoP ]],WWWW[[#This Row],['# Functional hand washing stations during reporting period]]*100)</f>
        <v>1775</v>
      </c>
      <c r="DU546" s="479" t="str">
        <f>IF(OR(WWWW[[#This Row],['#_students at TLS_CFS]]="",WWWW[[#This Row],['#_students at TLS_CFS]]=0),"No","Yes")</f>
        <v>No</v>
      </c>
      <c r="DV54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6" s="862" t="str">
        <f>VLOOKUP(WWWW[[#This Row],[Site Name]],SiteDB6[[Site Name]:[CCCM Management]],6,FALSE)</f>
        <v>Yes</v>
      </c>
      <c r="DZ546" s="862" t="str">
        <f>VLOOKUP(WWWW[[#This Row],[Site Name]],SiteDB6[[Site Name]:[CCCM Focal Agency]],7,FALSE)</f>
        <v>KBC-MYT</v>
      </c>
      <c r="EA546" s="862" t="str">
        <f>VLOOKUP(WWWW[[#This Row],[Site Name]],SiteDB6[[Site Name]:[Location Type 1]],9,FALSE)</f>
        <v>Camp</v>
      </c>
      <c r="EB546" s="862" t="str">
        <f>VLOOKUP(WWWW[[#This Row],[Site Name]],SiteDB6[[Site Name]:[Type of Accommodation]],10,FALSE)</f>
        <v>Camp</v>
      </c>
      <c r="EC546" s="862" t="str">
        <f>VLOOKUP(WWWW[[#This Row],[Site Name]],SiteDB6[[Site Name]:[Ethnic or GCA/NGCA]],11,FALSE)</f>
        <v>NGCA</v>
      </c>
      <c r="ED546" s="862">
        <f>VLOOKUP(WWWW[[#This Row],[Site Name]],SiteDB6[[Site Name]:[Lat]],12,FALSE)</f>
        <v>0</v>
      </c>
      <c r="EE546" s="862">
        <f>VLOOKUP(WWWW[[#This Row],[Site Name]],SiteDB6[[Site Name]:[Long]],13,FALSE)</f>
        <v>0</v>
      </c>
      <c r="EF546" s="862" t="str">
        <f>VLOOKUP(WWWW[[#This Row],[Site Name]],SiteDB6[[Site Name]:[Pcode]],3,FALSE)</f>
        <v>MMR001CMP249</v>
      </c>
      <c r="EG546" s="865" t="str">
        <f t="shared" si="16"/>
        <v>Covered</v>
      </c>
      <c r="EH546" s="865" t="str">
        <f>VLOOKUP(WWWW[[#This Row],[Site Name]],Site_DB!$C$389:$D$1120,2,FALSE)</f>
        <v>cccm_2019OCT</v>
      </c>
    </row>
    <row r="547" spans="1:138">
      <c r="A547" s="860" t="s">
        <v>3263</v>
      </c>
      <c r="B547" s="860" t="s">
        <v>245</v>
      </c>
      <c r="C547" s="861" t="s">
        <v>245</v>
      </c>
      <c r="D547" s="861" t="s">
        <v>310</v>
      </c>
      <c r="E547" s="861" t="s">
        <v>39</v>
      </c>
      <c r="F547" s="861" t="s">
        <v>162</v>
      </c>
      <c r="G547" s="721" t="str">
        <f>VLOOKUP(WWWW[[#This Row],[Site Name]],SiteDB6[[Site Name]:[Location Type]],8,FALSE)</f>
        <v>Camp</v>
      </c>
      <c r="H547" s="861" t="s">
        <v>269</v>
      </c>
      <c r="I547" s="851">
        <v>54</v>
      </c>
      <c r="J547" s="851">
        <v>253</v>
      </c>
      <c r="K547" s="863">
        <v>43313</v>
      </c>
      <c r="L547" s="859">
        <v>44196</v>
      </c>
      <c r="M547" s="851"/>
      <c r="N547" s="851">
        <v>1</v>
      </c>
      <c r="O547" s="851"/>
      <c r="P547" s="851"/>
      <c r="Q547" s="864" t="s">
        <v>43</v>
      </c>
      <c r="R547" s="851">
        <v>2</v>
      </c>
      <c r="S547" s="851">
        <v>3</v>
      </c>
      <c r="T547" s="523">
        <v>1</v>
      </c>
      <c r="U547" s="851"/>
      <c r="V547" s="851"/>
      <c r="W547" s="851">
        <v>4</v>
      </c>
      <c r="X547" s="851">
        <v>0</v>
      </c>
      <c r="Y547" s="851"/>
      <c r="Z547" s="851"/>
      <c r="AA547" s="851"/>
      <c r="AB547" s="851"/>
      <c r="AC547" s="851"/>
      <c r="AD547" s="851"/>
      <c r="AE547" s="851"/>
      <c r="AF547" s="851"/>
      <c r="AG547" s="851"/>
      <c r="AH547" s="851"/>
      <c r="AI547" s="851"/>
      <c r="AJ547" s="851"/>
      <c r="AK547" s="851"/>
      <c r="AL547" s="851"/>
      <c r="AM547" s="851"/>
      <c r="AN547" s="851"/>
      <c r="AO547" s="865"/>
      <c r="AP547" s="851">
        <v>19</v>
      </c>
      <c r="AQ547" s="851">
        <v>0</v>
      </c>
      <c r="AR547" s="866"/>
      <c r="AS547" s="851"/>
      <c r="AT547" s="851"/>
      <c r="AU547" s="851">
        <v>6</v>
      </c>
      <c r="AV547" s="851"/>
      <c r="AW547" s="851"/>
      <c r="AX547" s="862" t="s">
        <v>43</v>
      </c>
      <c r="AY547" s="865" t="s">
        <v>140</v>
      </c>
      <c r="AZ547" s="851"/>
      <c r="BA547" s="851">
        <v>1</v>
      </c>
      <c r="BB547" s="851"/>
      <c r="BC547" s="523"/>
      <c r="BD547" s="523"/>
      <c r="BE547" s="862"/>
      <c r="BF547" s="851">
        <v>7</v>
      </c>
      <c r="BG547" s="851"/>
      <c r="BH547" s="851"/>
      <c r="BI547" s="851">
        <v>4</v>
      </c>
      <c r="BJ547" s="851"/>
      <c r="BK547" s="851">
        <v>2</v>
      </c>
      <c r="BL547" s="851">
        <v>3</v>
      </c>
      <c r="BM547" s="851"/>
      <c r="BN547" s="851"/>
      <c r="BO547" s="862"/>
      <c r="BP547" s="867"/>
      <c r="BQ547" s="866"/>
      <c r="BR547" s="862"/>
      <c r="BS547" s="472"/>
      <c r="BT547" s="472"/>
      <c r="BU547" s="474"/>
      <c r="BV547" s="472"/>
      <c r="BW547" s="523"/>
      <c r="BX547" s="523"/>
      <c r="BY547" s="523"/>
      <c r="BZ547" s="868" t="str">
        <f>IFERROR(WWWW[[#This Row],['#_Water sources passed]]/WWWW[[#This Row],['#_Water sources tested for fecal coliform ]],"no test")</f>
        <v>no test</v>
      </c>
      <c r="CA547" s="866" t="str">
        <f>IFERROR(WWWW[[#This Row],['#_Household passed]]/WWWW[[#This Row],['#_Household water samples tested for fecal coliform]],"no test")</f>
        <v>no test</v>
      </c>
      <c r="CB547" s="867" t="str">
        <f>IF(AND(WWWW[[#This Row],[% of water sources passed]]="no test",WWWW[[#This Row],[% Household passed]]="no test"),"No Test","Tested")</f>
        <v>No Test</v>
      </c>
      <c r="CC547" s="867">
        <f>WWWW[[#This Row],['#_Constructed/existing protected hand dug well]]-WWWW[[#This Row],['#_Non-functional protected hand dug well]]</f>
        <v>1</v>
      </c>
      <c r="CD547" s="867">
        <f>(WWWW[[#This Row],['#_Constructed/Existing tube wells/boreholes/handpumps_WASH_agency]]+WWWW[[#This Row],['#_Non-Cluster partner water tube-wells/boreholes/handpumps]])-WWWW[[#This Row],['#_Non-functional tube wells/boreholes/handpumps]]</f>
        <v>4</v>
      </c>
      <c r="CE547" s="867">
        <f>WWWW[[#This Row],['#_Constructed/Existingwater storage tank with gravity fed reticulation system]]-WWWW[[#This Row],['#_Non-functional storage tank gravity fed reticulation system]]</f>
        <v>0</v>
      </c>
      <c r="CF547" s="867">
        <f>(WWWW[[#This Row],['#_Water_Liters_supplied_by_Water boating or water trucking]]/90)/15</f>
        <v>0</v>
      </c>
      <c r="CG547" s="867">
        <f>WWWW[[#This Row],['#_Water_Liters_from_Constructed/Existing water distribution system from river or natural spring]]/90/15</f>
        <v>0</v>
      </c>
      <c r="CH547" s="473">
        <f>WWWW[[#This Row],['#_of water points in TLS/CFS /THF]]*500</f>
        <v>0</v>
      </c>
      <c r="CI54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4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47" s="866">
        <f>IF(WWWW[[#This Row],[Location Type 1]]="Village",WWWW[[#This Row],[Access to safe drinking water for Village]],WWWW[[#This Row],[Access to safe drinking water for Camp]])</f>
        <v>1</v>
      </c>
      <c r="CL547" s="864">
        <f>WWWW[[#This Row],[%Equitable and continuous access to sufficient quantity of safe drinking water]]*WWWW[[#This Row],[Total PoP ]]</f>
        <v>253</v>
      </c>
      <c r="CM547" s="866">
        <f>IF((WWWW[[#This Row],['#_Constructed/Existing protected/fenced ponds]]*250)/WWWW[[#This Row],[Total PoP ]]&gt;1,1,(WWWW[[#This Row],['#_Constructed/Existing protected/fenced ponds]]*250)/WWWW[[#This Row],[Total PoP ]])</f>
        <v>0</v>
      </c>
      <c r="CN547" s="864">
        <f>WWWW[[#This Row],[% Access to unimproved water points]]*WWWW[[#This Row],[Total PoP ]]</f>
        <v>0</v>
      </c>
      <c r="CO54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4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Q547" s="864">
        <f>WWWW[[#This Row],[HRP1]]/500</f>
        <v>0.50600000000000001</v>
      </c>
      <c r="CR547" s="869">
        <f>1-WWWW[[#This Row],[% Equitable and continuous access to sufficient quantity of domestic water]]</f>
        <v>0</v>
      </c>
      <c r="CS547" s="864">
        <f>WWWW[[#This Row],[%equitable and continuous access to sufficient quantity of safe drinking and domestic water''s GAP]]*WWWW[[#This Row],[Total PoP ]]</f>
        <v>0</v>
      </c>
      <c r="CT547" s="867">
        <f>IF(WWWW[[#This Row],[Total required water points]]-WWWW[[#This Row],['#Water points coverage]]&lt;0,0,WWWW[[#This Row],[Total required water points]]-WWWW[[#This Row],['#Water points coverage]])</f>
        <v>0.49399999999999999</v>
      </c>
      <c r="CU547" s="867">
        <f>ROUND(IF(WWWW[[#This Row],[Total PoP ]]&lt;500,1,WWWW[[#This Row],[Total PoP ]]/500),0)</f>
        <v>1</v>
      </c>
      <c r="CV547" s="867">
        <f>(WWWW[[#This Row],['#_Constructed latrines_by_WASHAgencies]]+WWWW[[#This Row],['#_Non Cluster partner latrines]])-WWWW[[#This Row],['#_Non-functional latrines]]</f>
        <v>19</v>
      </c>
      <c r="CW547" s="804">
        <f>WWWW[[#This Row],[HRP2]]/WWWW[[#This Row],[Total PoP ]]</f>
        <v>1</v>
      </c>
      <c r="CX54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253</v>
      </c>
      <c r="CY54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54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7" s="473">
        <f>IF(WWWW[[#This Row],['# of functional latrines in THF supported by WASH partners during the reporting period2]]="",0,WWWW[[#This Row],['# of functional latrines in THF supported by WASH partners during the reporting period2]]*50)</f>
        <v>0</v>
      </c>
      <c r="DB547" s="473">
        <f>WWWW[[#This Row],['# students access to functioning school latrines_HRP5]]+WWWW[[#This Row],['# People access to functioning latrines in THF_HRP5]]</f>
        <v>0</v>
      </c>
      <c r="DC547" s="867">
        <f>ROUND(IF(WWWW[[#This Row],[Location Type 1]]="camp",WWWW[[#This Row],[Total PoP ]]/20,IF(WWWW[[#This Row],[Location Type 1]]="Temporary Location",WWWW[[#This Row],[Total PoP ]]/50,(WWWW[[#This Row],[Total PoP ]]/6))),0)</f>
        <v>13</v>
      </c>
      <c r="DD547" s="867">
        <f>IF(WWWW[[#This Row],[Total required Latrines]]-(WWWW[[#This Row],['#_Constructed latrines_by_WASHAgencies]]+WWWW[[#This Row],['#_Non Cluster partner latrines]])&lt;0,0,WWWW[[#This Row],[Total required Latrines]]-(WWWW[[#This Row],['#_Constructed latrines_by_WASHAgencies]]+WWWW[[#This Row],['#_Non Cluster partner latrines]]))</f>
        <v>0</v>
      </c>
      <c r="DE547" s="869">
        <f>1-WWWW[[#This Row],[% people access to functioning Latrine]]</f>
        <v>0</v>
      </c>
      <c r="DF547" s="868">
        <f>IF(OR(WWWW[[#This Row],['#_Non-functional latrines]]="",WWWW[[#This Row],['#_Non-functional latrines]]=0),0,WWWW[[#This Row],['#_Non-functional latrines]]/(WWWW[[#This Row],['#_Constructed latrines_by_WASHAgencies]]+WWWW[[#This Row],['#_Non Cluster partner latrines]]))</f>
        <v>0</v>
      </c>
      <c r="DG547" s="864">
        <f>IF(500*(WWWW[[#This Row],['#_male hygiene promoters]]+WWWW[[#This Row],['#_female hygiene promoters]])&gt;WWWW[[#This Row],[Total PoP ]],WWWW[[#This Row],[Total PoP ]],500*(WWWW[[#This Row],['#_male hygiene promoters]]+WWWW[[#This Row],['#_female hygiene promoters]]))</f>
        <v>253</v>
      </c>
      <c r="DH54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7" s="867">
        <f>IF(WWWW[[#This Row],['# People with access to soap]]&gt;WWWW[[#This Row],['# People with access to Sanity Pads]],WWWW[[#This Row],['# People with access to soap]],WWWW[[#This Row],['# People with access to Sanity Pads]])</f>
        <v>0</v>
      </c>
      <c r="DK547" s="867">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L547" s="869">
        <f>IF(WWWW[[#This Row],[HRP3]]/WWWW[[#This Row],[Total PoP ]]&gt;1,1,WWWW[[#This Row],[HRP3]]/WWWW[[#This Row],[Total PoP ]])</f>
        <v>1</v>
      </c>
      <c r="DM547" s="868">
        <f>1-WWWW[[#This Row],[Hygiene Coverage%]]</f>
        <v>0</v>
      </c>
      <c r="DN547" s="866">
        <f>WWWW[[#This Row],['# people reached by regular dedicated hygiene promotion_5]]/WWWW[[#This Row],[Total PoP ]]</f>
        <v>1</v>
      </c>
      <c r="DO54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7" s="867">
        <f>WWWW[[#This Row],['#_Constructed/Existing hand washing stations]]-WWWW[[#This Row],['#_Non-Functional_hand_washing_stations]]</f>
        <v>7</v>
      </c>
      <c r="DR547" s="864">
        <f>IF(WWWW[[#This Row],['# Functional hand washing stations during reporting period]]*20&gt;WWWW[[#This Row],[Total HH]],WWWW[[#This Row],[Total HH]],WWWW[[#This Row],['# Functional hand washing stations during reporting period]]*20)</f>
        <v>54</v>
      </c>
      <c r="DS547" s="864">
        <f>IF(WWWW[[#This Row],[Is sufficient soap available for TLS? (Yes/No)]]="yes",WWWW[[#This Row],['#_Constructed/Existing hand washing stations at TLS]],0)</f>
        <v>0</v>
      </c>
      <c r="DT547" s="479">
        <f>IF(WWWW[[#This Row],['# Functional hand washing stations during reporting period]]*100&gt;WWWW[[#This Row],[Total PoP ]],WWWW[[#This Row],[Total PoP ]],WWWW[[#This Row],['# Functional hand washing stations during reporting period]]*100)</f>
        <v>253</v>
      </c>
      <c r="DU547" s="479" t="str">
        <f>IF(OR(WWWW[[#This Row],['#_students at TLS_CFS]]="",WWWW[[#This Row],['#_students at TLS_CFS]]=0),"No","Yes")</f>
        <v>No</v>
      </c>
      <c r="DV54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7" s="862" t="str">
        <f>VLOOKUP(WWWW[[#This Row],[Site Name]],SiteDB6[[Site Name]:[CCCM Management]],6,FALSE)</f>
        <v>Yes</v>
      </c>
      <c r="DZ547" s="862" t="str">
        <f>VLOOKUP(WWWW[[#This Row],[Site Name]],SiteDB6[[Site Name]:[CCCM Focal Agency]],7,FALSE)</f>
        <v>Shalom</v>
      </c>
      <c r="EA547" s="862" t="str">
        <f>VLOOKUP(WWWW[[#This Row],[Site Name]],SiteDB6[[Site Name]:[Location Type 1]],9,FALSE)</f>
        <v>Camp</v>
      </c>
      <c r="EB547" s="862" t="str">
        <f>VLOOKUP(WWWW[[#This Row],[Site Name]],SiteDB6[[Site Name]:[Type of Accommodation]],10,FALSE)</f>
        <v>Camp</v>
      </c>
      <c r="EC547" s="862" t="str">
        <f>VLOOKUP(WWWW[[#This Row],[Site Name]],SiteDB6[[Site Name]:[Ethnic or GCA/NGCA]],11,FALSE)</f>
        <v>GCA</v>
      </c>
      <c r="ED547" s="862">
        <f>VLOOKUP(WWWW[[#This Row],[Site Name]],SiteDB6[[Site Name]:[Lat]],12,FALSE)</f>
        <v>25.423209</v>
      </c>
      <c r="EE547" s="862">
        <f>VLOOKUP(WWWW[[#This Row],[Site Name]],SiteDB6[[Site Name]:[Long]],13,FALSE)</f>
        <v>97.379987</v>
      </c>
      <c r="EF547" s="862" t="str">
        <f>VLOOKUP(WWWW[[#This Row],[Site Name]],SiteDB6[[Site Name]:[Pcode]],3,FALSE)</f>
        <v>MMR001CMP023</v>
      </c>
      <c r="EG547" s="865" t="str">
        <f t="shared" si="16"/>
        <v>Covered</v>
      </c>
      <c r="EH547" s="865" t="str">
        <f>VLOOKUP(WWWW[[#This Row],[Site Name]],Site_DB!$C$389:$D$1120,2,FALSE)</f>
        <v>cccm_2019OCT</v>
      </c>
    </row>
    <row r="548" spans="1:138">
      <c r="A548" s="860" t="s">
        <v>3263</v>
      </c>
      <c r="B548" s="860" t="s">
        <v>38</v>
      </c>
      <c r="C548" s="861" t="s">
        <v>38</v>
      </c>
      <c r="D548" s="861" t="s">
        <v>3372</v>
      </c>
      <c r="E548" s="861" t="s">
        <v>39</v>
      </c>
      <c r="F548" s="861" t="s">
        <v>151</v>
      </c>
      <c r="G548" s="721" t="str">
        <f>VLOOKUP(WWWW[[#This Row],[Site Name]],SiteDB6[[Site Name]:[Location Type]],8,FALSE)</f>
        <v>Camp_not registered</v>
      </c>
      <c r="H548" s="861" t="s">
        <v>2071</v>
      </c>
      <c r="I548" s="851">
        <v>72</v>
      </c>
      <c r="J548" s="851">
        <v>329</v>
      </c>
      <c r="K548" s="863" t="s">
        <v>3619</v>
      </c>
      <c r="L548" s="859" t="s">
        <v>3620</v>
      </c>
      <c r="M548" s="851"/>
      <c r="N548" s="851"/>
      <c r="O548" s="851"/>
      <c r="P548" s="851"/>
      <c r="Q548" s="864" t="s">
        <v>43</v>
      </c>
      <c r="R548" s="851"/>
      <c r="S548" s="851"/>
      <c r="T548" s="523">
        <v>2</v>
      </c>
      <c r="U548" s="851"/>
      <c r="V548" s="851"/>
      <c r="W548" s="851"/>
      <c r="X548" s="851"/>
      <c r="Y548" s="851"/>
      <c r="Z548" s="851"/>
      <c r="AA548" s="851">
        <v>1</v>
      </c>
      <c r="AB548" s="851"/>
      <c r="AC548" s="851"/>
      <c r="AD548" s="851"/>
      <c r="AE548" s="851"/>
      <c r="AF548" s="851"/>
      <c r="AG548" s="851"/>
      <c r="AH548" s="851"/>
      <c r="AI548" s="851"/>
      <c r="AJ548" s="851"/>
      <c r="AK548" s="851"/>
      <c r="AL548" s="851"/>
      <c r="AM548" s="851"/>
      <c r="AN548" s="851"/>
      <c r="AO548" s="865"/>
      <c r="AP548" s="851">
        <v>12</v>
      </c>
      <c r="AQ548" s="851"/>
      <c r="AR548" s="866"/>
      <c r="AS548" s="851"/>
      <c r="AT548" s="851"/>
      <c r="AU548" s="851"/>
      <c r="AV548" s="851"/>
      <c r="AW548" s="851"/>
      <c r="AX548" s="862" t="s">
        <v>43</v>
      </c>
      <c r="AY548" s="865" t="s">
        <v>140</v>
      </c>
      <c r="AZ548" s="851">
        <v>3</v>
      </c>
      <c r="BA548" s="851"/>
      <c r="BB548" s="851"/>
      <c r="BC548" s="523"/>
      <c r="BD548" s="523"/>
      <c r="BE548" s="862"/>
      <c r="BF548" s="851"/>
      <c r="BG548" s="851"/>
      <c r="BH548" s="851"/>
      <c r="BI548" s="851">
        <v>2</v>
      </c>
      <c r="BJ548" s="851"/>
      <c r="BK548" s="851">
        <v>1</v>
      </c>
      <c r="BL548" s="851"/>
      <c r="BM548" s="851"/>
      <c r="BN548" s="851"/>
      <c r="BO548" s="862"/>
      <c r="BP548" s="867"/>
      <c r="BQ548" s="866"/>
      <c r="BR548" s="862"/>
      <c r="BS548" s="472"/>
      <c r="BT548" s="472"/>
      <c r="BU548" s="474"/>
      <c r="BV548" s="472"/>
      <c r="BW548" s="523"/>
      <c r="BX548" s="523"/>
      <c r="BY548" s="523"/>
      <c r="BZ548" s="868" t="str">
        <f>IFERROR(WWWW[[#This Row],['#_Water sources passed]]/WWWW[[#This Row],['#_Water sources tested for fecal coliform ]],"no test")</f>
        <v>no test</v>
      </c>
      <c r="CA548" s="866" t="str">
        <f>IFERROR(WWWW[[#This Row],['#_Household passed]]/WWWW[[#This Row],['#_Household water samples tested for fecal coliform]],"no test")</f>
        <v>no test</v>
      </c>
      <c r="CB548" s="867" t="str">
        <f>IF(AND(WWWW[[#This Row],[% of water sources passed]]="no test",WWWW[[#This Row],[% Household passed]]="no test"),"No Test","Tested")</f>
        <v>No Test</v>
      </c>
      <c r="CC548" s="867">
        <f>WWWW[[#This Row],['#_Constructed/existing protected hand dug well]]-WWWW[[#This Row],['#_Non-functional protected hand dug well]]</f>
        <v>2</v>
      </c>
      <c r="CD548" s="867">
        <f>(WWWW[[#This Row],['#_Constructed/Existing tube wells/boreholes/handpumps_WASH_agency]]+WWWW[[#This Row],['#_Non-Cluster partner water tube-wells/boreholes/handpumps]])-WWWW[[#This Row],['#_Non-functional tube wells/boreholes/handpumps]]</f>
        <v>0</v>
      </c>
      <c r="CE548" s="867">
        <f>WWWW[[#This Row],['#_Constructed/Existingwater storage tank with gravity fed reticulation system]]-WWWW[[#This Row],['#_Non-functional storage tank gravity fed reticulation system]]</f>
        <v>1</v>
      </c>
      <c r="CF548" s="867">
        <f>(WWWW[[#This Row],['#_Water_Liters_supplied_by_Water boating or water trucking]]/90)/15</f>
        <v>0</v>
      </c>
      <c r="CG548" s="867">
        <f>WWWW[[#This Row],['#_Water_Liters_from_Constructed/Existing water distribution system from river or natural spring]]/90/15</f>
        <v>0</v>
      </c>
      <c r="CH548" s="473">
        <f>WWWW[[#This Row],['#_of water points in TLS/CFS /THF]]*500</f>
        <v>0</v>
      </c>
      <c r="CI54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4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48" s="866">
        <f>IF(WWWW[[#This Row],[Location Type 1]]="Village",WWWW[[#This Row],[Access to safe drinking water for Village]],WWWW[[#This Row],[Access to safe drinking water for Camp]])</f>
        <v>1</v>
      </c>
      <c r="CL548" s="864">
        <f>WWWW[[#This Row],[%Equitable and continuous access to sufficient quantity of safe drinking water]]*WWWW[[#This Row],[Total PoP ]]</f>
        <v>329</v>
      </c>
      <c r="CM548" s="866">
        <f>IF((WWWW[[#This Row],['#_Constructed/Existing protected/fenced ponds]]*250)/WWWW[[#This Row],[Total PoP ]]&gt;1,1,(WWWW[[#This Row],['#_Constructed/Existing protected/fenced ponds]]*250)/WWWW[[#This Row],[Total PoP ]])</f>
        <v>0</v>
      </c>
      <c r="CN548" s="864">
        <f>WWWW[[#This Row],[% Access to unimproved water points]]*WWWW[[#This Row],[Total PoP ]]</f>
        <v>0</v>
      </c>
      <c r="CO54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4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Q548" s="864">
        <f>WWWW[[#This Row],[HRP1]]/500</f>
        <v>0.65800000000000003</v>
      </c>
      <c r="CR548" s="869">
        <f>1-WWWW[[#This Row],[% Equitable and continuous access to sufficient quantity of domestic water]]</f>
        <v>0</v>
      </c>
      <c r="CS548" s="864">
        <f>WWWW[[#This Row],[%equitable and continuous access to sufficient quantity of safe drinking and domestic water''s GAP]]*WWWW[[#This Row],[Total PoP ]]</f>
        <v>0</v>
      </c>
      <c r="CT548" s="867">
        <f>IF(WWWW[[#This Row],[Total required water points]]-WWWW[[#This Row],['#Water points coverage]]&lt;0,0,WWWW[[#This Row],[Total required water points]]-WWWW[[#This Row],['#Water points coverage]])</f>
        <v>0.34199999999999997</v>
      </c>
      <c r="CU548" s="867">
        <f>ROUND(IF(WWWW[[#This Row],[Total PoP ]]&lt;500,1,WWWW[[#This Row],[Total PoP ]]/500),0)</f>
        <v>1</v>
      </c>
      <c r="CV548" s="867">
        <f>(WWWW[[#This Row],['#_Constructed latrines_by_WASHAgencies]]+WWWW[[#This Row],['#_Non Cluster partner latrines]])-WWWW[[#This Row],['#_Non-functional latrines]]</f>
        <v>12</v>
      </c>
      <c r="CW548" s="804">
        <f>WWWW[[#This Row],[HRP2]]/WWWW[[#This Row],[Total PoP ]]</f>
        <v>0.91185410334346506</v>
      </c>
      <c r="CX54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CY54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8" s="473">
        <f>IF(WWWW[[#This Row],['# of functional latrines in THF supported by WASH partners during the reporting period2]]="",0,WWWW[[#This Row],['# of functional latrines in THF supported by WASH partners during the reporting period2]]*50)</f>
        <v>0</v>
      </c>
      <c r="DB548" s="473">
        <f>WWWW[[#This Row],['# students access to functioning school latrines_HRP5]]+WWWW[[#This Row],['# People access to functioning latrines in THF_HRP5]]</f>
        <v>0</v>
      </c>
      <c r="DC548" s="867">
        <f>ROUND(IF(WWWW[[#This Row],[Location Type 1]]="camp",WWWW[[#This Row],[Total PoP ]]/20,IF(WWWW[[#This Row],[Location Type 1]]="Temporary Location",WWWW[[#This Row],[Total PoP ]]/50,(WWWW[[#This Row],[Total PoP ]]/6))),0)</f>
        <v>16</v>
      </c>
      <c r="DD548" s="867">
        <f>IF(WWWW[[#This Row],[Total required Latrines]]-(WWWW[[#This Row],['#_Constructed latrines_by_WASHAgencies]]+WWWW[[#This Row],['#_Non Cluster partner latrines]])&lt;0,0,WWWW[[#This Row],[Total required Latrines]]-(WWWW[[#This Row],['#_Constructed latrines_by_WASHAgencies]]+WWWW[[#This Row],['#_Non Cluster partner latrines]]))</f>
        <v>4</v>
      </c>
      <c r="DE548" s="869">
        <f>1-WWWW[[#This Row],[% people access to functioning Latrine]]</f>
        <v>8.8145896656534939E-2</v>
      </c>
      <c r="DF548" s="868">
        <f>IF(OR(WWWW[[#This Row],['#_Non-functional latrines]]="",WWWW[[#This Row],['#_Non-functional latrines]]=0),0,WWWW[[#This Row],['#_Non-functional latrines]]/(WWWW[[#This Row],['#_Constructed latrines_by_WASHAgencies]]+WWWW[[#This Row],['#_Non Cluster partner latrines]]))</f>
        <v>0</v>
      </c>
      <c r="DG548" s="864">
        <f>IF(500*(WWWW[[#This Row],['#_male hygiene promoters]]+WWWW[[#This Row],['#_female hygiene promoters]])&gt;WWWW[[#This Row],[Total PoP ]],WWWW[[#This Row],[Total PoP ]],500*(WWWW[[#This Row],['#_male hygiene promoters]]+WWWW[[#This Row],['#_female hygiene promoters]]))</f>
        <v>329</v>
      </c>
      <c r="DH54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4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8" s="867">
        <f>IF(WWWW[[#This Row],['# People with access to soap]]&gt;WWWW[[#This Row],['# People with access to Sanity Pads]],WWWW[[#This Row],['# People with access to soap]],WWWW[[#This Row],['# People with access to Sanity Pads]])</f>
        <v>0</v>
      </c>
      <c r="DK548" s="867">
        <f>IF(WWWW[[#This Row],['# people reached by regular dedicated hygiene promotion_5]]&gt;WWWW[[#This Row],['# People received regular supply of hygiene items_6]],WWWW[[#This Row],['# people reached by regular dedicated hygiene promotion_5]],WWWW[[#This Row],['# People received regular supply of hygiene items_6]])</f>
        <v>329</v>
      </c>
      <c r="DL548" s="869">
        <f>IF(WWWW[[#This Row],[HRP3]]/WWWW[[#This Row],[Total PoP ]]&gt;1,1,WWWW[[#This Row],[HRP3]]/WWWW[[#This Row],[Total PoP ]])</f>
        <v>1</v>
      </c>
      <c r="DM548" s="868">
        <f>1-WWWW[[#This Row],[Hygiene Coverage%]]</f>
        <v>0</v>
      </c>
      <c r="DN548" s="866">
        <f>WWWW[[#This Row],['# people reached by regular dedicated hygiene promotion_5]]/WWWW[[#This Row],[Total PoP ]]</f>
        <v>1</v>
      </c>
      <c r="DO54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4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8" s="867">
        <f>WWWW[[#This Row],['#_Constructed/Existing hand washing stations]]-WWWW[[#This Row],['#_Non-Functional_hand_washing_stations]]</f>
        <v>0</v>
      </c>
      <c r="DR548" s="864">
        <f>IF(WWWW[[#This Row],['# Functional hand washing stations during reporting period]]*20&gt;WWWW[[#This Row],[Total HH]],WWWW[[#This Row],[Total HH]],WWWW[[#This Row],['# Functional hand washing stations during reporting period]]*20)</f>
        <v>0</v>
      </c>
      <c r="DS548" s="864">
        <f>IF(WWWW[[#This Row],[Is sufficient soap available for TLS? (Yes/No)]]="yes",WWWW[[#This Row],['#_Constructed/Existing hand washing stations at TLS]],0)</f>
        <v>0</v>
      </c>
      <c r="DT548" s="479">
        <f>IF(WWWW[[#This Row],['# Functional hand washing stations during reporting period]]*100&gt;WWWW[[#This Row],[Total PoP ]],WWWW[[#This Row],[Total PoP ]],WWWW[[#This Row],['# Functional hand washing stations during reporting period]]*100)</f>
        <v>0</v>
      </c>
      <c r="DU548" s="479" t="str">
        <f>IF(OR(WWWW[[#This Row],['#_students at TLS_CFS]]="",WWWW[[#This Row],['#_students at TLS_CFS]]=0),"No","Yes")</f>
        <v>No</v>
      </c>
      <c r="DV54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4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8" s="862">
        <f>VLOOKUP(WWWW[[#This Row],[Site Name]],SiteDB6[[Site Name]:[CCCM Management]],6,FALSE)</f>
        <v>0</v>
      </c>
      <c r="DZ548" s="862">
        <f>VLOOKUP(WWWW[[#This Row],[Site Name]],SiteDB6[[Site Name]:[CCCM Focal Agency]],7,FALSE)</f>
        <v>0</v>
      </c>
      <c r="EA548" s="862" t="str">
        <f>VLOOKUP(WWWW[[#This Row],[Site Name]],SiteDB6[[Site Name]:[Location Type 1]],9,FALSE)</f>
        <v>Camp</v>
      </c>
      <c r="EB548" s="862" t="str">
        <f>VLOOKUP(WWWW[[#This Row],[Site Name]],SiteDB6[[Site Name]:[Type of Accommodation]],10,FALSE)</f>
        <v>Camp like setting</v>
      </c>
      <c r="EC548" s="862" t="str">
        <f>VLOOKUP(WWWW[[#This Row],[Site Name]],SiteDB6[[Site Name]:[Ethnic or GCA/NGCA]],11,FALSE)</f>
        <v>GCA</v>
      </c>
      <c r="ED548" s="862">
        <f>VLOOKUP(WWWW[[#This Row],[Site Name]],SiteDB6[[Site Name]:[Lat]],12,FALSE)</f>
        <v>0</v>
      </c>
      <c r="EE548" s="862">
        <f>VLOOKUP(WWWW[[#This Row],[Site Name]],SiteDB6[[Site Name]:[Long]],13,FALSE)</f>
        <v>0</v>
      </c>
      <c r="EF548" s="862">
        <f>VLOOKUP(WWWW[[#This Row],[Site Name]],SiteDB6[[Site Name]:[Pcode]],3,FALSE)</f>
        <v>0</v>
      </c>
      <c r="EG548" s="865" t="str">
        <f t="shared" si="16"/>
        <v>Covered</v>
      </c>
      <c r="EH548" s="865">
        <f>VLOOKUP(WWWW[[#This Row],[Site Name]],Site_DB!$C$389:$D$1120,2,FALSE)</f>
        <v>0</v>
      </c>
    </row>
    <row r="549" spans="1:138">
      <c r="A549" s="860" t="s">
        <v>3263</v>
      </c>
      <c r="B549" s="860" t="s">
        <v>38</v>
      </c>
      <c r="C549" s="861" t="s">
        <v>38</v>
      </c>
      <c r="D549" s="861" t="s">
        <v>244</v>
      </c>
      <c r="E549" s="861" t="s">
        <v>39</v>
      </c>
      <c r="F549" s="861" t="s">
        <v>1148</v>
      </c>
      <c r="G549" s="721" t="str">
        <f>VLOOKUP(WWWW[[#This Row],[Site Name]],SiteDB6[[Site Name]:[Location Type]],8,FALSE)</f>
        <v>Camp</v>
      </c>
      <c r="H549" s="861" t="s">
        <v>2296</v>
      </c>
      <c r="I549" s="851">
        <v>155</v>
      </c>
      <c r="J549" s="851">
        <v>775</v>
      </c>
      <c r="K549" s="863">
        <v>43810</v>
      </c>
      <c r="L549" s="859">
        <v>44175</v>
      </c>
      <c r="M549" s="851"/>
      <c r="N549" s="851">
        <v>1</v>
      </c>
      <c r="O549" s="851"/>
      <c r="P549" s="851"/>
      <c r="Q549" s="864" t="s">
        <v>43</v>
      </c>
      <c r="R549" s="851">
        <v>1</v>
      </c>
      <c r="S549" s="851">
        <v>3</v>
      </c>
      <c r="T549" s="523"/>
      <c r="U549" s="851"/>
      <c r="V549" s="851"/>
      <c r="W549" s="851">
        <v>1</v>
      </c>
      <c r="X549" s="851"/>
      <c r="Y549" s="851"/>
      <c r="Z549" s="851">
        <v>1</v>
      </c>
      <c r="AA549" s="851">
        <v>1</v>
      </c>
      <c r="AB549" s="851"/>
      <c r="AC549" s="851"/>
      <c r="AD549" s="851"/>
      <c r="AE549" s="851"/>
      <c r="AF549" s="851"/>
      <c r="AG549" s="851"/>
      <c r="AH549" s="851"/>
      <c r="AI549" s="918">
        <v>8</v>
      </c>
      <c r="AJ549" s="918">
        <v>3</v>
      </c>
      <c r="AK549" s="918">
        <v>5</v>
      </c>
      <c r="AL549" s="918">
        <v>2</v>
      </c>
      <c r="AM549" s="851"/>
      <c r="AN549" s="851"/>
      <c r="AO549" s="865"/>
      <c r="AP549" s="851">
        <v>16</v>
      </c>
      <c r="AQ549" s="851"/>
      <c r="AR549" s="866"/>
      <c r="AS549" s="851"/>
      <c r="AT549" s="851"/>
      <c r="AU549" s="851"/>
      <c r="AV549" s="851"/>
      <c r="AW549" s="851"/>
      <c r="AX549" s="862" t="s">
        <v>43</v>
      </c>
      <c r="AY549" s="865" t="s">
        <v>140</v>
      </c>
      <c r="AZ549" s="851">
        <v>2</v>
      </c>
      <c r="BA549" s="851"/>
      <c r="BB549" s="851"/>
      <c r="BC549" s="523"/>
      <c r="BD549" s="523"/>
      <c r="BE549" s="862"/>
      <c r="BF549" s="851"/>
      <c r="BG549" s="851"/>
      <c r="BH549" s="851"/>
      <c r="BI549" s="851">
        <v>7</v>
      </c>
      <c r="BJ549" s="851"/>
      <c r="BK549" s="851"/>
      <c r="BL549" s="851"/>
      <c r="BM549" s="851">
        <v>6</v>
      </c>
      <c r="BN549" s="851"/>
      <c r="BO549" s="862" t="s">
        <v>139</v>
      </c>
      <c r="BP549" s="867"/>
      <c r="BQ549" s="866"/>
      <c r="BR549" s="862"/>
      <c r="BS549" s="919">
        <v>0.4</v>
      </c>
      <c r="BT549" s="919">
        <v>0.4</v>
      </c>
      <c r="BU549" s="920">
        <v>15</v>
      </c>
      <c r="BV549" s="919">
        <v>0.15</v>
      </c>
      <c r="BW549" s="523"/>
      <c r="BX549" s="523"/>
      <c r="BY549" s="523"/>
      <c r="BZ549" s="868">
        <f>IFERROR(WWWW[[#This Row],['#_Water sources passed]]/WWWW[[#This Row],['#_Water sources tested for fecal coliform ]],"no test")</f>
        <v>0.375</v>
      </c>
      <c r="CA549" s="866">
        <f>IFERROR(WWWW[[#This Row],['#_Household passed]]/WWWW[[#This Row],['#_Household water samples tested for fecal coliform]],"no test")</f>
        <v>0.4</v>
      </c>
      <c r="CB549" s="867" t="str">
        <f>IF(AND(WWWW[[#This Row],[% of water sources passed]]="no test",WWWW[[#This Row],[% Household passed]]="no test"),"No Test","Tested")</f>
        <v>Tested</v>
      </c>
      <c r="CC549" s="867">
        <f>WWWW[[#This Row],['#_Constructed/existing protected hand dug well]]-WWWW[[#This Row],['#_Non-functional protected hand dug well]]</f>
        <v>0</v>
      </c>
      <c r="CD549" s="867">
        <f>(WWWW[[#This Row],['#_Constructed/Existing tube wells/boreholes/handpumps_WASH_agency]]+WWWW[[#This Row],['#_Non-Cluster partner water tube-wells/boreholes/handpumps]])-WWWW[[#This Row],['#_Non-functional tube wells/boreholes/handpumps]]</f>
        <v>1</v>
      </c>
      <c r="CE549" s="867">
        <f>WWWW[[#This Row],['#_Constructed/Existingwater storage tank with gravity fed reticulation system]]-WWWW[[#This Row],['#_Non-functional storage tank gravity fed reticulation system]]</f>
        <v>1</v>
      </c>
      <c r="CF549" s="867">
        <f>(WWWW[[#This Row],['#_Water_Liters_supplied_by_Water boating or water trucking]]/90)/15</f>
        <v>0</v>
      </c>
      <c r="CG549" s="867">
        <f>WWWW[[#This Row],['#_Water_Liters_from_Constructed/Existing water distribution system from river or natural spring]]/90/15</f>
        <v>0</v>
      </c>
      <c r="CH549" s="473">
        <f>WWWW[[#This Row],['#_of water points in TLS/CFS /THF]]*500</f>
        <v>0</v>
      </c>
      <c r="CI54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0.73118279569892464</v>
      </c>
      <c r="CJ54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0.40860215053763443</v>
      </c>
      <c r="CK549" s="866">
        <f>IF(WWWW[[#This Row],[Location Type 1]]="Village",WWWW[[#This Row],[Access to safe drinking water for Village]],WWWW[[#This Row],[Access to safe drinking water for Camp]])</f>
        <v>0.73118279569892464</v>
      </c>
      <c r="CL549" s="864">
        <f>WWWW[[#This Row],[%Equitable and continuous access to sufficient quantity of safe drinking water]]*WWWW[[#This Row],[Total PoP ]]</f>
        <v>566.66666666666663</v>
      </c>
      <c r="CM549" s="866">
        <f>IF((WWWW[[#This Row],['#_Constructed/Existing protected/fenced ponds]]*250)/WWWW[[#This Row],[Total PoP ]]&gt;1,1,(WWWW[[#This Row],['#_Constructed/Existing protected/fenced ponds]]*250)/WWWW[[#This Row],[Total PoP ]])</f>
        <v>0</v>
      </c>
      <c r="CN549" s="864">
        <f>WWWW[[#This Row],[% Access to unimproved water points]]*WWWW[[#This Row],[Total PoP ]]</f>
        <v>0</v>
      </c>
      <c r="CO54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0.73118279569892464</v>
      </c>
      <c r="CP54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566.66666666666663</v>
      </c>
      <c r="CQ549" s="864">
        <f>WWWW[[#This Row],[HRP1]]/500</f>
        <v>1.1333333333333333</v>
      </c>
      <c r="CR549" s="869">
        <f>1-WWWW[[#This Row],[% Equitable and continuous access to sufficient quantity of domestic water]]</f>
        <v>0.26881720430107536</v>
      </c>
      <c r="CS549" s="864">
        <f>WWWW[[#This Row],[%equitable and continuous access to sufficient quantity of safe drinking and domestic water''s GAP]]*WWWW[[#This Row],[Total PoP ]]</f>
        <v>208.3333333333334</v>
      </c>
      <c r="CT549" s="867">
        <f>IF(WWWW[[#This Row],[Total required water points]]-WWWW[[#This Row],['#Water points coverage]]&lt;0,0,WWWW[[#This Row],[Total required water points]]-WWWW[[#This Row],['#Water points coverage]])</f>
        <v>0.8666666666666667</v>
      </c>
      <c r="CU549" s="867">
        <f>ROUND(IF(WWWW[[#This Row],[Total PoP ]]&lt;500,1,WWWW[[#This Row],[Total PoP ]]/500),0)</f>
        <v>2</v>
      </c>
      <c r="CV549" s="867">
        <f>(WWWW[[#This Row],['#_Constructed latrines_by_WASHAgencies]]+WWWW[[#This Row],['#_Non Cluster partner latrines]])-WWWW[[#This Row],['#_Non-functional latrines]]</f>
        <v>16</v>
      </c>
      <c r="CW549" s="804">
        <f>WWWW[[#This Row],[HRP2]]/WWWW[[#This Row],[Total PoP ]]</f>
        <v>0.46451612903225808</v>
      </c>
      <c r="CX54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CY54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4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49" s="473">
        <f>IF(WWWW[[#This Row],['# of functional latrines in THF supported by WASH partners during the reporting period2]]="",0,WWWW[[#This Row],['# of functional latrines in THF supported by WASH partners during the reporting period2]]*50)</f>
        <v>0</v>
      </c>
      <c r="DB549" s="473">
        <f>WWWW[[#This Row],['# students access to functioning school latrines_HRP5]]+WWWW[[#This Row],['# People access to functioning latrines in THF_HRP5]]</f>
        <v>0</v>
      </c>
      <c r="DC549" s="867">
        <f>ROUND(IF(WWWW[[#This Row],[Location Type 1]]="camp",WWWW[[#This Row],[Total PoP ]]/20,IF(WWWW[[#This Row],[Location Type 1]]="Temporary Location",WWWW[[#This Row],[Total PoP ]]/50,(WWWW[[#This Row],[Total PoP ]]/6))),0)</f>
        <v>39</v>
      </c>
      <c r="DD549" s="867">
        <f>IF(WWWW[[#This Row],[Total required Latrines]]-(WWWW[[#This Row],['#_Constructed latrines_by_WASHAgencies]]+WWWW[[#This Row],['#_Non Cluster partner latrines]])&lt;0,0,WWWW[[#This Row],[Total required Latrines]]-(WWWW[[#This Row],['#_Constructed latrines_by_WASHAgencies]]+WWWW[[#This Row],['#_Non Cluster partner latrines]]))</f>
        <v>23</v>
      </c>
      <c r="DE549" s="869">
        <f>1-WWWW[[#This Row],[% people access to functioning Latrine]]</f>
        <v>0.53548387096774186</v>
      </c>
      <c r="DF549" s="868">
        <f>IF(OR(WWWW[[#This Row],['#_Non-functional latrines]]="",WWWW[[#This Row],['#_Non-functional latrines]]=0),0,WWWW[[#This Row],['#_Non-functional latrines]]/(WWWW[[#This Row],['#_Constructed latrines_by_WASHAgencies]]+WWWW[[#This Row],['#_Non Cluster partner latrines]]))</f>
        <v>0</v>
      </c>
      <c r="DG549" s="864">
        <f>IF(500*(WWWW[[#This Row],['#_male hygiene promoters]]+WWWW[[#This Row],['#_female hygiene promoters]])&gt;WWWW[[#This Row],[Total PoP ]],WWWW[[#This Row],[Total PoP ]],500*(WWWW[[#This Row],['#_male hygiene promoters]]+WWWW[[#This Row],['#_female hygiene promoters]]))</f>
        <v>0</v>
      </c>
      <c r="DH54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54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49" s="867">
        <f>IF(WWWW[[#This Row],['# People with access to soap]]&gt;WWWW[[#This Row],['# People with access to Sanity Pads]],WWWW[[#This Row],['# People with access to soap]],WWWW[[#This Row],['# People with access to Sanity Pads]])</f>
        <v>30</v>
      </c>
      <c r="DK549" s="867">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549" s="869">
        <f>IF(WWWW[[#This Row],[HRP3]]/WWWW[[#This Row],[Total PoP ]]&gt;1,1,WWWW[[#This Row],[HRP3]]/WWWW[[#This Row],[Total PoP ]])</f>
        <v>3.870967741935484E-2</v>
      </c>
      <c r="DM549" s="868">
        <f>1-WWWW[[#This Row],[Hygiene Coverage%]]</f>
        <v>0.96129032258064517</v>
      </c>
      <c r="DN549" s="866">
        <f>WWWW[[#This Row],['# people reached by regular dedicated hygiene promotion_5]]/WWWW[[#This Row],[Total PoP ]]</f>
        <v>0</v>
      </c>
      <c r="DO54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0.15483870967741936</v>
      </c>
      <c r="DP54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49" s="867">
        <f>WWWW[[#This Row],['#_Constructed/Existing hand washing stations]]-WWWW[[#This Row],['#_Non-Functional_hand_washing_stations]]</f>
        <v>0</v>
      </c>
      <c r="DR549" s="864">
        <f>IF(WWWW[[#This Row],['# Functional hand washing stations during reporting period]]*20&gt;WWWW[[#This Row],[Total HH]],WWWW[[#This Row],[Total HH]],WWWW[[#This Row],['# Functional hand washing stations during reporting period]]*20)</f>
        <v>0</v>
      </c>
      <c r="DS549" s="864">
        <f>IF(WWWW[[#This Row],[Is sufficient soap available for TLS? (Yes/No)]]="yes",WWWW[[#This Row],['#_Constructed/Existing hand washing stations at TLS]],0)</f>
        <v>0</v>
      </c>
      <c r="DT549" s="479">
        <f>IF(WWWW[[#This Row],['# Functional hand washing stations during reporting period]]*100&gt;WWWW[[#This Row],[Total PoP ]],WWWW[[#This Row],[Total PoP ]],WWWW[[#This Row],['# Functional hand washing stations during reporting period]]*100)</f>
        <v>0</v>
      </c>
      <c r="DU549" s="479" t="str">
        <f>IF(OR(WWWW[[#This Row],['#_students at TLS_CFS]]="",WWWW[[#This Row],['#_students at TLS_CFS]]=0),"No","Yes")</f>
        <v>No</v>
      </c>
      <c r="DV549" s="804">
        <f>IF(WWWW[[#This Row],['#_of_affected_people_surveyed_who_report_feeling_informed_about_the_different_WASH_services_available_to_them]]="","",WWWW[[#This Row],['#_of_affected_people_surveyed_who_report_feeling_informed_about_the_different_WASH_services_available_to_them]]/WWWW[[#This Row],[Total PoP ]])</f>
        <v>1.935483870967742E-2</v>
      </c>
      <c r="DW54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4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49" s="862" t="str">
        <f>VLOOKUP(WWWW[[#This Row],[Site Name]],SiteDB6[[Site Name]:[CCCM Management]],6,FALSE)</f>
        <v>Yes</v>
      </c>
      <c r="DZ549" s="862" t="str">
        <f>VLOOKUP(WWWW[[#This Row],[Site Name]],SiteDB6[[Site Name]:[CCCM Focal Agency]],7,FALSE)</f>
        <v>KMSS-MYT</v>
      </c>
      <c r="EA549" s="862" t="str">
        <f>VLOOKUP(WWWW[[#This Row],[Site Name]],SiteDB6[[Site Name]:[Location Type 1]],9,FALSE)</f>
        <v>Camp</v>
      </c>
      <c r="EB549" s="862" t="str">
        <f>VLOOKUP(WWWW[[#This Row],[Site Name]],SiteDB6[[Site Name]:[Type of Accommodation]],10,FALSE)</f>
        <v>Camp</v>
      </c>
      <c r="EC549" s="862" t="str">
        <f>VLOOKUP(WWWW[[#This Row],[Site Name]],SiteDB6[[Site Name]:[Ethnic or GCA/NGCA]],11,FALSE)</f>
        <v>GCA</v>
      </c>
      <c r="ED549" s="862">
        <f>VLOOKUP(WWWW[[#This Row],[Site Name]],SiteDB6[[Site Name]:[Lat]],12,FALSE)</f>
        <v>26.350176000000001</v>
      </c>
      <c r="EE549" s="862">
        <f>VLOOKUP(WWWW[[#This Row],[Site Name]],SiteDB6[[Site Name]:[Long]],13,FALSE)</f>
        <v>96.711387999999999</v>
      </c>
      <c r="EF549" s="862" t="str">
        <f>VLOOKUP(WWWW[[#This Row],[Site Name]],SiteDB6[[Site Name]:[Pcode]],3,FALSE)</f>
        <v>MMR001CMP251</v>
      </c>
      <c r="EG549" s="865" t="str">
        <f t="shared" si="16"/>
        <v>Covered</v>
      </c>
      <c r="EH549" s="865" t="str">
        <f>VLOOKUP(WWWW[[#This Row],[Site Name]],Site_DB!$C$389:$D$1120,2,FALSE)</f>
        <v>cccm_2019OCT</v>
      </c>
    </row>
    <row r="550" spans="1:138">
      <c r="A550" s="860" t="s">
        <v>3263</v>
      </c>
      <c r="B550" s="860" t="s">
        <v>312</v>
      </c>
      <c r="C550" s="861" t="s">
        <v>312</v>
      </c>
      <c r="D550" s="861"/>
      <c r="E550" s="861" t="s">
        <v>39</v>
      </c>
      <c r="F550" s="861" t="s">
        <v>187</v>
      </c>
      <c r="G550" s="721" t="str">
        <f>VLOOKUP(WWWW[[#This Row],[Site Name]],SiteDB6[[Site Name]:[Location Type]],8,FALSE)</f>
        <v>Camp</v>
      </c>
      <c r="H550" s="861" t="s">
        <v>187</v>
      </c>
      <c r="I550" s="851">
        <v>5</v>
      </c>
      <c r="J550" s="851">
        <v>32</v>
      </c>
      <c r="K550" s="863"/>
      <c r="L550" s="859"/>
      <c r="M550" s="851"/>
      <c r="N550" s="851">
        <v>1</v>
      </c>
      <c r="O550" s="851"/>
      <c r="P550" s="851"/>
      <c r="Q550" s="864" t="s">
        <v>43</v>
      </c>
      <c r="R550" s="851">
        <v>1</v>
      </c>
      <c r="S550" s="851">
        <v>3</v>
      </c>
      <c r="T550" s="523"/>
      <c r="U550" s="851"/>
      <c r="V550" s="851"/>
      <c r="W550" s="851"/>
      <c r="X550" s="851"/>
      <c r="Y550" s="851"/>
      <c r="Z550" s="851"/>
      <c r="AA550" s="851"/>
      <c r="AB550" s="851"/>
      <c r="AC550" s="851"/>
      <c r="AD550" s="851"/>
      <c r="AE550" s="851"/>
      <c r="AF550" s="851"/>
      <c r="AG550" s="851"/>
      <c r="AH550" s="851"/>
      <c r="AI550" s="851"/>
      <c r="AJ550" s="851"/>
      <c r="AK550" s="851"/>
      <c r="AL550" s="851"/>
      <c r="AM550" s="851"/>
      <c r="AN550" s="851"/>
      <c r="AO550" s="865"/>
      <c r="AP550" s="851"/>
      <c r="AQ550" s="851"/>
      <c r="AR550" s="866"/>
      <c r="AS550" s="851"/>
      <c r="AT550" s="851"/>
      <c r="AU550" s="851"/>
      <c r="AV550" s="851"/>
      <c r="AW550" s="851"/>
      <c r="AX550" s="862"/>
      <c r="AY550" s="865"/>
      <c r="AZ550" s="851"/>
      <c r="BA550" s="851"/>
      <c r="BB550" s="851"/>
      <c r="BC550" s="523"/>
      <c r="BD550" s="523"/>
      <c r="BE550" s="862"/>
      <c r="BF550" s="851"/>
      <c r="BG550" s="851"/>
      <c r="BH550" s="851"/>
      <c r="BI550" s="851"/>
      <c r="BJ550" s="851"/>
      <c r="BK550" s="851"/>
      <c r="BL550" s="851"/>
      <c r="BM550" s="851"/>
      <c r="BN550" s="851"/>
      <c r="BO550" s="862"/>
      <c r="BP550" s="867"/>
      <c r="BQ550" s="866"/>
      <c r="BR550" s="862"/>
      <c r="BS550" s="472"/>
      <c r="BT550" s="472"/>
      <c r="BU550" s="474"/>
      <c r="BV550" s="472"/>
      <c r="BW550" s="523"/>
      <c r="BX550" s="523"/>
      <c r="BY550" s="523"/>
      <c r="BZ550" s="868" t="str">
        <f>IFERROR(WWWW[[#This Row],['#_Water sources passed]]/WWWW[[#This Row],['#_Water sources tested for fecal coliform ]],"no test")</f>
        <v>no test</v>
      </c>
      <c r="CA550" s="866" t="str">
        <f>IFERROR(WWWW[[#This Row],['#_Household passed]]/WWWW[[#This Row],['#_Household water samples tested for fecal coliform]],"no test")</f>
        <v>no test</v>
      </c>
      <c r="CB550" s="867" t="str">
        <f>IF(AND(WWWW[[#This Row],[% of water sources passed]]="no test",WWWW[[#This Row],[% Household passed]]="no test"),"No Test","Tested")</f>
        <v>No Test</v>
      </c>
      <c r="CC550" s="867">
        <f>WWWW[[#This Row],['#_Constructed/existing protected hand dug well]]-WWWW[[#This Row],['#_Non-functional protected hand dug well]]</f>
        <v>0</v>
      </c>
      <c r="CD550" s="867">
        <f>(WWWW[[#This Row],['#_Constructed/Existing tube wells/boreholes/handpumps_WASH_agency]]+WWWW[[#This Row],['#_Non-Cluster partner water tube-wells/boreholes/handpumps]])-WWWW[[#This Row],['#_Non-functional tube wells/boreholes/handpumps]]</f>
        <v>0</v>
      </c>
      <c r="CE550" s="867">
        <f>WWWW[[#This Row],['#_Constructed/Existingwater storage tank with gravity fed reticulation system]]-WWWW[[#This Row],['#_Non-functional storage tank gravity fed reticulation system]]</f>
        <v>0</v>
      </c>
      <c r="CF550" s="867">
        <f>(WWWW[[#This Row],['#_Water_Liters_supplied_by_Water boating or water trucking]]/90)/15</f>
        <v>0</v>
      </c>
      <c r="CG550" s="867">
        <f>WWWW[[#This Row],['#_Water_Liters_from_Constructed/Existing water distribution system from river or natural spring]]/90/15</f>
        <v>0</v>
      </c>
      <c r="CH550" s="473">
        <f>WWWW[[#This Row],['#_of water points in TLS/CFS /THF]]*500</f>
        <v>0</v>
      </c>
      <c r="CI55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5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50" s="866">
        <f>IF(WWWW[[#This Row],[Location Type 1]]="Village",WWWW[[#This Row],[Access to safe drinking water for Village]],WWWW[[#This Row],[Access to safe drinking water for Camp]])</f>
        <v>0</v>
      </c>
      <c r="CL550" s="864">
        <f>WWWW[[#This Row],[%Equitable and continuous access to sufficient quantity of safe drinking water]]*WWWW[[#This Row],[Total PoP ]]</f>
        <v>0</v>
      </c>
      <c r="CM550" s="866">
        <f>IF((WWWW[[#This Row],['#_Constructed/Existing protected/fenced ponds]]*250)/WWWW[[#This Row],[Total PoP ]]&gt;1,1,(WWWW[[#This Row],['#_Constructed/Existing protected/fenced ponds]]*250)/WWWW[[#This Row],[Total PoP ]])</f>
        <v>0</v>
      </c>
      <c r="CN550" s="864">
        <f>WWWW[[#This Row],[% Access to unimproved water points]]*WWWW[[#This Row],[Total PoP ]]</f>
        <v>0</v>
      </c>
      <c r="CO55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5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50" s="864">
        <f>WWWW[[#This Row],[HRP1]]/500</f>
        <v>0</v>
      </c>
      <c r="CR550" s="869">
        <f>1-WWWW[[#This Row],[% Equitable and continuous access to sufficient quantity of domestic water]]</f>
        <v>1</v>
      </c>
      <c r="CS550" s="864">
        <f>WWWW[[#This Row],[%equitable and continuous access to sufficient quantity of safe drinking and domestic water''s GAP]]*WWWW[[#This Row],[Total PoP ]]</f>
        <v>32</v>
      </c>
      <c r="CT550" s="867">
        <f>IF(WWWW[[#This Row],[Total required water points]]-WWWW[[#This Row],['#Water points coverage]]&lt;0,0,WWWW[[#This Row],[Total required water points]]-WWWW[[#This Row],['#Water points coverage]])</f>
        <v>1</v>
      </c>
      <c r="CU550" s="867">
        <f>ROUND(IF(WWWW[[#This Row],[Total PoP ]]&lt;500,1,WWWW[[#This Row],[Total PoP ]]/500),0)</f>
        <v>1</v>
      </c>
      <c r="CV550" s="867">
        <f>(WWWW[[#This Row],['#_Constructed latrines_by_WASHAgencies]]+WWWW[[#This Row],['#_Non Cluster partner latrines]])-WWWW[[#This Row],['#_Non-functional latrines]]</f>
        <v>0</v>
      </c>
      <c r="CW550" s="804">
        <f>WWWW[[#This Row],[HRP2]]/WWWW[[#This Row],[Total PoP ]]</f>
        <v>0</v>
      </c>
      <c r="CX55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5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0" s="473">
        <f>IF(WWWW[[#This Row],['# of functional latrines in THF supported by WASH partners during the reporting period2]]="",0,WWWW[[#This Row],['# of functional latrines in THF supported by WASH partners during the reporting period2]]*50)</f>
        <v>0</v>
      </c>
      <c r="DB550" s="473">
        <f>WWWW[[#This Row],['# students access to functioning school latrines_HRP5]]+WWWW[[#This Row],['# People access to functioning latrines in THF_HRP5]]</f>
        <v>0</v>
      </c>
      <c r="DC550" s="867">
        <f>ROUND(IF(WWWW[[#This Row],[Location Type 1]]="camp",WWWW[[#This Row],[Total PoP ]]/20,IF(WWWW[[#This Row],[Location Type 1]]="Temporary Location",WWWW[[#This Row],[Total PoP ]]/50,(WWWW[[#This Row],[Total PoP ]]/6))),0)</f>
        <v>2</v>
      </c>
      <c r="DD550" s="867">
        <f>IF(WWWW[[#This Row],[Total required Latrines]]-(WWWW[[#This Row],['#_Constructed latrines_by_WASHAgencies]]+WWWW[[#This Row],['#_Non Cluster partner latrines]])&lt;0,0,WWWW[[#This Row],[Total required Latrines]]-(WWWW[[#This Row],['#_Constructed latrines_by_WASHAgencies]]+WWWW[[#This Row],['#_Non Cluster partner latrines]]))</f>
        <v>2</v>
      </c>
      <c r="DE550" s="869">
        <f>1-WWWW[[#This Row],[% people access to functioning Latrine]]</f>
        <v>1</v>
      </c>
      <c r="DF550" s="868">
        <f>IF(OR(WWWW[[#This Row],['#_Non-functional latrines]]="",WWWW[[#This Row],['#_Non-functional latrines]]=0),0,WWWW[[#This Row],['#_Non-functional latrines]]/(WWWW[[#This Row],['#_Constructed latrines_by_WASHAgencies]]+WWWW[[#This Row],['#_Non Cluster partner latrines]]))</f>
        <v>0</v>
      </c>
      <c r="DG550" s="864">
        <f>IF(500*(WWWW[[#This Row],['#_male hygiene promoters]]+WWWW[[#This Row],['#_female hygiene promoters]])&gt;WWWW[[#This Row],[Total PoP ]],WWWW[[#This Row],[Total PoP ]],500*(WWWW[[#This Row],['#_male hygiene promoters]]+WWWW[[#This Row],['#_female hygiene promoters]]))</f>
        <v>0</v>
      </c>
      <c r="DH55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0" s="867">
        <f>IF(WWWW[[#This Row],['# People with access to soap]]&gt;WWWW[[#This Row],['# People with access to Sanity Pads]],WWWW[[#This Row],['# People with access to soap]],WWWW[[#This Row],['# People with access to Sanity Pads]])</f>
        <v>0</v>
      </c>
      <c r="DK55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50" s="869">
        <f>IF(WWWW[[#This Row],[HRP3]]/WWWW[[#This Row],[Total PoP ]]&gt;1,1,WWWW[[#This Row],[HRP3]]/WWWW[[#This Row],[Total PoP ]])</f>
        <v>0</v>
      </c>
      <c r="DM550" s="868">
        <f>1-WWWW[[#This Row],[Hygiene Coverage%]]</f>
        <v>1</v>
      </c>
      <c r="DN550" s="866">
        <f>WWWW[[#This Row],['# people reached by regular dedicated hygiene promotion_5]]/WWWW[[#This Row],[Total PoP ]]</f>
        <v>0</v>
      </c>
      <c r="DO55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0" s="867">
        <f>WWWW[[#This Row],['#_Constructed/Existing hand washing stations]]-WWWW[[#This Row],['#_Non-Functional_hand_washing_stations]]</f>
        <v>0</v>
      </c>
      <c r="DR550" s="864">
        <f>IF(WWWW[[#This Row],['# Functional hand washing stations during reporting period]]*20&gt;WWWW[[#This Row],[Total HH]],WWWW[[#This Row],[Total HH]],WWWW[[#This Row],['# Functional hand washing stations during reporting period]]*20)</f>
        <v>0</v>
      </c>
      <c r="DS550" s="864">
        <f>IF(WWWW[[#This Row],[Is sufficient soap available for TLS? (Yes/No)]]="yes",WWWW[[#This Row],['#_Constructed/Existing hand washing stations at TLS]],0)</f>
        <v>0</v>
      </c>
      <c r="DT550" s="479">
        <f>IF(WWWW[[#This Row],['# Functional hand washing stations during reporting period]]*100&gt;WWWW[[#This Row],[Total PoP ]],WWWW[[#This Row],[Total PoP ]],WWWW[[#This Row],['# Functional hand washing stations during reporting period]]*100)</f>
        <v>0</v>
      </c>
      <c r="DU550" s="479" t="str">
        <f>IF(OR(WWWW[[#This Row],['#_students at TLS_CFS]]="",WWWW[[#This Row],['#_students at TLS_CFS]]=0),"No","Yes")</f>
        <v>No</v>
      </c>
      <c r="DV55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0" s="862">
        <f>VLOOKUP(WWWW[[#This Row],[Site Name]],SiteDB6[[Site Name]:[CCCM Management]],6,FALSE)</f>
        <v>0</v>
      </c>
      <c r="DZ550" s="862" t="str">
        <f>VLOOKUP(WWWW[[#This Row],[Site Name]],SiteDB6[[Site Name]:[CCCM Focal Agency]],7,FALSE)</f>
        <v>uncovered</v>
      </c>
      <c r="EA550" s="862" t="str">
        <f>VLOOKUP(WWWW[[#This Row],[Site Name]],SiteDB6[[Site Name]:[Location Type 1]],9,FALSE)</f>
        <v>Camp</v>
      </c>
      <c r="EB550" s="862" t="str">
        <f>VLOOKUP(WWWW[[#This Row],[Site Name]],SiteDB6[[Site Name]:[Type of Accommodation]],10,FALSE)</f>
        <v>Camp like setting</v>
      </c>
      <c r="EC550" s="862" t="str">
        <f>VLOOKUP(WWWW[[#This Row],[Site Name]],SiteDB6[[Site Name]:[Ethnic or GCA/NGCA]],11,FALSE)</f>
        <v>GCA</v>
      </c>
      <c r="ED550" s="862">
        <f>VLOOKUP(WWWW[[#This Row],[Site Name]],SiteDB6[[Site Name]:[Lat]],12,FALSE)</f>
        <v>26.541930000000001</v>
      </c>
      <c r="EE550" s="862">
        <f>VLOOKUP(WWWW[[#This Row],[Site Name]],SiteDB6[[Site Name]:[Long]],13,FALSE)</f>
        <v>97.568836000000005</v>
      </c>
      <c r="EF550" s="862" t="str">
        <f>VLOOKUP(WWWW[[#This Row],[Site Name]],SiteDB6[[Site Name]:[Pcode]],3,FALSE)</f>
        <v>MMR001CMP206</v>
      </c>
      <c r="EG550" s="865" t="str">
        <f t="shared" si="16"/>
        <v>Notcovered</v>
      </c>
      <c r="EH550" s="865" t="str">
        <f>VLOOKUP(WWWW[[#This Row],[Site Name]],Site_DB!$C$389:$D$1120,2,FALSE)</f>
        <v>cccm_2019OCT</v>
      </c>
    </row>
    <row r="551" spans="1:138">
      <c r="A551" s="860" t="s">
        <v>3263</v>
      </c>
      <c r="B551" s="860" t="s">
        <v>38</v>
      </c>
      <c r="C551" s="861" t="s">
        <v>38</v>
      </c>
      <c r="D551" s="861" t="s">
        <v>244</v>
      </c>
      <c r="E551" s="861" t="s">
        <v>39</v>
      </c>
      <c r="F551" s="861" t="s">
        <v>1148</v>
      </c>
      <c r="G551" s="721" t="str">
        <f>VLOOKUP(WWWW[[#This Row],[Site Name]],SiteDB6[[Site Name]:[Location Type]],8,FALSE)</f>
        <v>Camp</v>
      </c>
      <c r="H551" s="861" t="s">
        <v>1150</v>
      </c>
      <c r="I551" s="851">
        <v>35</v>
      </c>
      <c r="J551" s="851">
        <v>175</v>
      </c>
      <c r="K551" s="863">
        <v>43810</v>
      </c>
      <c r="L551" s="859">
        <v>44175</v>
      </c>
      <c r="M551" s="851"/>
      <c r="N551" s="851">
        <v>1</v>
      </c>
      <c r="O551" s="851"/>
      <c r="P551" s="851"/>
      <c r="Q551" s="864" t="s">
        <v>43</v>
      </c>
      <c r="R551" s="851">
        <v>2</v>
      </c>
      <c r="S551" s="851">
        <v>1</v>
      </c>
      <c r="T551" s="523"/>
      <c r="U551" s="851"/>
      <c r="V551" s="851"/>
      <c r="W551" s="851">
        <v>1</v>
      </c>
      <c r="X551" s="851"/>
      <c r="Y551" s="851"/>
      <c r="Z551" s="851"/>
      <c r="AA551" s="851">
        <v>1</v>
      </c>
      <c r="AB551" s="851"/>
      <c r="AC551" s="851"/>
      <c r="AD551" s="851"/>
      <c r="AE551" s="851"/>
      <c r="AF551" s="851"/>
      <c r="AG551" s="851"/>
      <c r="AH551" s="851"/>
      <c r="AI551" s="918">
        <v>1</v>
      </c>
      <c r="AJ551" s="918"/>
      <c r="AK551" s="918">
        <v>2</v>
      </c>
      <c r="AL551" s="918">
        <v>1</v>
      </c>
      <c r="AM551" s="851"/>
      <c r="AN551" s="851"/>
      <c r="AO551" s="865"/>
      <c r="AP551" s="851">
        <v>4</v>
      </c>
      <c r="AQ551" s="851"/>
      <c r="AR551" s="866"/>
      <c r="AS551" s="851"/>
      <c r="AT551" s="851"/>
      <c r="AU551" s="851"/>
      <c r="AV551" s="851"/>
      <c r="AW551" s="851"/>
      <c r="AX551" s="862" t="s">
        <v>43</v>
      </c>
      <c r="AY551" s="865" t="s">
        <v>139</v>
      </c>
      <c r="AZ551" s="851"/>
      <c r="BA551" s="851"/>
      <c r="BB551" s="851"/>
      <c r="BC551" s="523"/>
      <c r="BD551" s="523"/>
      <c r="BE551" s="862"/>
      <c r="BF551" s="851"/>
      <c r="BG551" s="851"/>
      <c r="BH551" s="851">
        <v>2</v>
      </c>
      <c r="BI551" s="851">
        <v>2</v>
      </c>
      <c r="BJ551" s="851"/>
      <c r="BK551" s="851"/>
      <c r="BL551" s="851"/>
      <c r="BM551" s="851">
        <v>6</v>
      </c>
      <c r="BN551" s="851"/>
      <c r="BO551" s="862" t="s">
        <v>139</v>
      </c>
      <c r="BP551" s="867"/>
      <c r="BQ551" s="866"/>
      <c r="BR551" s="862"/>
      <c r="BS551" s="919">
        <v>0.4</v>
      </c>
      <c r="BT551" s="919">
        <v>0.3</v>
      </c>
      <c r="BU551" s="920">
        <v>30</v>
      </c>
      <c r="BV551" s="919">
        <v>0.1</v>
      </c>
      <c r="BW551" s="523"/>
      <c r="BX551" s="523"/>
      <c r="BY551" s="523"/>
      <c r="BZ551" s="868">
        <f>IFERROR(WWWW[[#This Row],['#_Water sources passed]]/WWWW[[#This Row],['#_Water sources tested for fecal coliform ]],"no test")</f>
        <v>0</v>
      </c>
      <c r="CA551" s="866">
        <f>IFERROR(WWWW[[#This Row],['#_Household passed]]/WWWW[[#This Row],['#_Household water samples tested for fecal coliform]],"no test")</f>
        <v>0.5</v>
      </c>
      <c r="CB551" s="867" t="str">
        <f>IF(AND(WWWW[[#This Row],[% of water sources passed]]="no test",WWWW[[#This Row],[% Household passed]]="no test"),"No Test","Tested")</f>
        <v>Tested</v>
      </c>
      <c r="CC551" s="867">
        <f>WWWW[[#This Row],['#_Constructed/existing protected hand dug well]]-WWWW[[#This Row],['#_Non-functional protected hand dug well]]</f>
        <v>0</v>
      </c>
      <c r="CD551" s="867">
        <f>(WWWW[[#This Row],['#_Constructed/Existing tube wells/boreholes/handpumps_WASH_agency]]+WWWW[[#This Row],['#_Non-Cluster partner water tube-wells/boreholes/handpumps]])-WWWW[[#This Row],['#_Non-functional tube wells/boreholes/handpumps]]</f>
        <v>1</v>
      </c>
      <c r="CE551" s="867">
        <f>WWWW[[#This Row],['#_Constructed/Existingwater storage tank with gravity fed reticulation system]]-WWWW[[#This Row],['#_Non-functional storage tank gravity fed reticulation system]]</f>
        <v>1</v>
      </c>
      <c r="CF551" s="867">
        <f>(WWWW[[#This Row],['#_Water_Liters_supplied_by_Water boating or water trucking]]/90)/15</f>
        <v>0</v>
      </c>
      <c r="CG551" s="867">
        <f>WWWW[[#This Row],['#_Water_Liters_from_Constructed/Existing water distribution system from river or natural spring]]/90/15</f>
        <v>0</v>
      </c>
      <c r="CH551" s="473">
        <f>WWWW[[#This Row],['#_of water points in TLS/CFS /THF]]*500</f>
        <v>0</v>
      </c>
      <c r="CI55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5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51" s="866">
        <f>IF(WWWW[[#This Row],[Location Type 1]]="Village",WWWW[[#This Row],[Access to safe drinking water for Village]],WWWW[[#This Row],[Access to safe drinking water for Camp]])</f>
        <v>1</v>
      </c>
      <c r="CL551" s="864">
        <f>WWWW[[#This Row],[%Equitable and continuous access to sufficient quantity of safe drinking water]]*WWWW[[#This Row],[Total PoP ]]</f>
        <v>175</v>
      </c>
      <c r="CM551" s="866">
        <f>IF((WWWW[[#This Row],['#_Constructed/Existing protected/fenced ponds]]*250)/WWWW[[#This Row],[Total PoP ]]&gt;1,1,(WWWW[[#This Row],['#_Constructed/Existing protected/fenced ponds]]*250)/WWWW[[#This Row],[Total PoP ]])</f>
        <v>0</v>
      </c>
      <c r="CN551" s="864">
        <f>WWWW[[#This Row],[% Access to unimproved water points]]*WWWW[[#This Row],[Total PoP ]]</f>
        <v>0</v>
      </c>
      <c r="CO55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5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Q551" s="864">
        <f>WWWW[[#This Row],[HRP1]]/500</f>
        <v>0.35</v>
      </c>
      <c r="CR551" s="869">
        <f>1-WWWW[[#This Row],[% Equitable and continuous access to sufficient quantity of domestic water]]</f>
        <v>0</v>
      </c>
      <c r="CS551" s="864">
        <f>WWWW[[#This Row],[%equitable and continuous access to sufficient quantity of safe drinking and domestic water''s GAP]]*WWWW[[#This Row],[Total PoP ]]</f>
        <v>0</v>
      </c>
      <c r="CT551" s="867">
        <f>IF(WWWW[[#This Row],[Total required water points]]-WWWW[[#This Row],['#Water points coverage]]&lt;0,0,WWWW[[#This Row],[Total required water points]]-WWWW[[#This Row],['#Water points coverage]])</f>
        <v>0.65</v>
      </c>
      <c r="CU551" s="867">
        <f>ROUND(IF(WWWW[[#This Row],[Total PoP ]]&lt;500,1,WWWW[[#This Row],[Total PoP ]]/500),0)</f>
        <v>1</v>
      </c>
      <c r="CV551" s="867">
        <f>(WWWW[[#This Row],['#_Constructed latrines_by_WASHAgencies]]+WWWW[[#This Row],['#_Non Cluster partner latrines]])-WWWW[[#This Row],['#_Non-functional latrines]]</f>
        <v>4</v>
      </c>
      <c r="CW551" s="804">
        <f>WWWW[[#This Row],[HRP2]]/WWWW[[#This Row],[Total PoP ]]</f>
        <v>0.45714285714285713</v>
      </c>
      <c r="CX55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55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1" s="473">
        <f>IF(WWWW[[#This Row],['# of functional latrines in THF supported by WASH partners during the reporting period2]]="",0,WWWW[[#This Row],['# of functional latrines in THF supported by WASH partners during the reporting period2]]*50)</f>
        <v>0</v>
      </c>
      <c r="DB551" s="473">
        <f>WWWW[[#This Row],['# students access to functioning school latrines_HRP5]]+WWWW[[#This Row],['# People access to functioning latrines in THF_HRP5]]</f>
        <v>0</v>
      </c>
      <c r="DC551" s="867">
        <f>ROUND(IF(WWWW[[#This Row],[Location Type 1]]="camp",WWWW[[#This Row],[Total PoP ]]/20,IF(WWWW[[#This Row],[Location Type 1]]="Temporary Location",WWWW[[#This Row],[Total PoP ]]/50,(WWWW[[#This Row],[Total PoP ]]/6))),0)</f>
        <v>9</v>
      </c>
      <c r="DD551" s="867">
        <f>IF(WWWW[[#This Row],[Total required Latrines]]-(WWWW[[#This Row],['#_Constructed latrines_by_WASHAgencies]]+WWWW[[#This Row],['#_Non Cluster partner latrines]])&lt;0,0,WWWW[[#This Row],[Total required Latrines]]-(WWWW[[#This Row],['#_Constructed latrines_by_WASHAgencies]]+WWWW[[#This Row],['#_Non Cluster partner latrines]]))</f>
        <v>5</v>
      </c>
      <c r="DE551" s="869">
        <f>1-WWWW[[#This Row],[% people access to functioning Latrine]]</f>
        <v>0.54285714285714293</v>
      </c>
      <c r="DF551" s="868">
        <f>IF(OR(WWWW[[#This Row],['#_Non-functional latrines]]="",WWWW[[#This Row],['#_Non-functional latrines]]=0),0,WWWW[[#This Row],['#_Non-functional latrines]]/(WWWW[[#This Row],['#_Constructed latrines_by_WASHAgencies]]+WWWW[[#This Row],['#_Non Cluster partner latrines]]))</f>
        <v>0</v>
      </c>
      <c r="DG551" s="864">
        <f>IF(500*(WWWW[[#This Row],['#_male hygiene promoters]]+WWWW[[#This Row],['#_female hygiene promoters]])&gt;WWWW[[#This Row],[Total PoP ]],WWWW[[#This Row],[Total PoP ]],500*(WWWW[[#This Row],['#_male hygiene promoters]]+WWWW[[#This Row],['#_female hygiene promoters]]))</f>
        <v>0</v>
      </c>
      <c r="DH55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I55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1" s="867">
        <f>IF(WWWW[[#This Row],['# People with access to soap]]&gt;WWWW[[#This Row],['# People with access to Sanity Pads]],WWWW[[#This Row],['# People with access to soap]],WWWW[[#This Row],['# People with access to Sanity Pads]])</f>
        <v>30</v>
      </c>
      <c r="DK551" s="867">
        <f>IF(WWWW[[#This Row],['# people reached by regular dedicated hygiene promotion_5]]&gt;WWWW[[#This Row],['# People received regular supply of hygiene items_6]],WWWW[[#This Row],['# people reached by regular dedicated hygiene promotion_5]],WWWW[[#This Row],['# People received regular supply of hygiene items_6]])</f>
        <v>30</v>
      </c>
      <c r="DL551" s="869">
        <f>IF(WWWW[[#This Row],[HRP3]]/WWWW[[#This Row],[Total PoP ]]&gt;1,1,WWWW[[#This Row],[HRP3]]/WWWW[[#This Row],[Total PoP ]])</f>
        <v>0.17142857142857143</v>
      </c>
      <c r="DM551" s="868">
        <f>1-WWWW[[#This Row],[Hygiene Coverage%]]</f>
        <v>0.82857142857142851</v>
      </c>
      <c r="DN551" s="866">
        <f>WWWW[[#This Row],['# people reached by regular dedicated hygiene promotion_5]]/WWWW[[#This Row],[Total PoP ]]</f>
        <v>0</v>
      </c>
      <c r="DO55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0.68571428571428572</v>
      </c>
      <c r="DP55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1" s="867">
        <f>WWWW[[#This Row],['#_Constructed/Existing hand washing stations]]-WWWW[[#This Row],['#_Non-Functional_hand_washing_stations]]</f>
        <v>0</v>
      </c>
      <c r="DR551" s="864">
        <f>IF(WWWW[[#This Row],['# Functional hand washing stations during reporting period]]*20&gt;WWWW[[#This Row],[Total HH]],WWWW[[#This Row],[Total HH]],WWWW[[#This Row],['# Functional hand washing stations during reporting period]]*20)</f>
        <v>0</v>
      </c>
      <c r="DS551" s="864">
        <f>IF(WWWW[[#This Row],[Is sufficient soap available for TLS? (Yes/No)]]="yes",WWWW[[#This Row],['#_Constructed/Existing hand washing stations at TLS]],0)</f>
        <v>0</v>
      </c>
      <c r="DT551" s="479">
        <f>IF(WWWW[[#This Row],['# Functional hand washing stations during reporting period]]*100&gt;WWWW[[#This Row],[Total PoP ]],WWWW[[#This Row],[Total PoP ]],WWWW[[#This Row],['# Functional hand washing stations during reporting period]]*100)</f>
        <v>0</v>
      </c>
      <c r="DU551" s="479" t="str">
        <f>IF(OR(WWWW[[#This Row],['#_students at TLS_CFS]]="",WWWW[[#This Row],['#_students at TLS_CFS]]=0),"No","Yes")</f>
        <v>No</v>
      </c>
      <c r="DV551" s="804">
        <f>IF(WWWW[[#This Row],['#_of_affected_people_surveyed_who_report_feeling_informed_about_the_different_WASH_services_available_to_them]]="","",WWWW[[#This Row],['#_of_affected_people_surveyed_who_report_feeling_informed_about_the_different_WASH_services_available_to_them]]/WWWW[[#This Row],[Total PoP ]])</f>
        <v>0.17142857142857143</v>
      </c>
      <c r="DW55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1" s="862" t="str">
        <f>VLOOKUP(WWWW[[#This Row],[Site Name]],SiteDB6[[Site Name]:[CCCM Management]],6,FALSE)</f>
        <v>Yes</v>
      </c>
      <c r="DZ551" s="862" t="str">
        <f>VLOOKUP(WWWW[[#This Row],[Site Name]],SiteDB6[[Site Name]:[CCCM Focal Agency]],7,FALSE)</f>
        <v>KMSS-MYT</v>
      </c>
      <c r="EA551" s="862" t="str">
        <f>VLOOKUP(WWWW[[#This Row],[Site Name]],SiteDB6[[Site Name]:[Location Type 1]],9,FALSE)</f>
        <v>Camp</v>
      </c>
      <c r="EB551" s="862" t="str">
        <f>VLOOKUP(WWWW[[#This Row],[Site Name]],SiteDB6[[Site Name]:[Type of Accommodation]],10,FALSE)</f>
        <v>Camp</v>
      </c>
      <c r="EC551" s="862" t="str">
        <f>VLOOKUP(WWWW[[#This Row],[Site Name]],SiteDB6[[Site Name]:[Ethnic or GCA/NGCA]],11,FALSE)</f>
        <v>GCA</v>
      </c>
      <c r="ED551" s="862">
        <f>VLOOKUP(WWWW[[#This Row],[Site Name]],SiteDB6[[Site Name]:[Lat]],12,FALSE)</f>
        <v>26.351690999999999</v>
      </c>
      <c r="EE551" s="862">
        <f>VLOOKUP(WWWW[[#This Row],[Site Name]],SiteDB6[[Site Name]:[Long]],13,FALSE)</f>
        <v>96.690871999999999</v>
      </c>
      <c r="EF551" s="862" t="str">
        <f>VLOOKUP(WWWW[[#This Row],[Site Name]],SiteDB6[[Site Name]:[Pcode]],3,FALSE)</f>
        <v>MMR001CMP254</v>
      </c>
      <c r="EG551" s="865" t="str">
        <f t="shared" si="16"/>
        <v>Covered</v>
      </c>
      <c r="EH551" s="865" t="str">
        <f>VLOOKUP(WWWW[[#This Row],[Site Name]],Site_DB!$C$389:$D$1120,2,FALSE)</f>
        <v>cccm_2019OCT</v>
      </c>
    </row>
    <row r="552" spans="1:138">
      <c r="A552" s="860" t="s">
        <v>3263</v>
      </c>
      <c r="B552" s="860" t="s">
        <v>312</v>
      </c>
      <c r="C552" s="861" t="s">
        <v>312</v>
      </c>
      <c r="D552" s="861"/>
      <c r="E552" s="861" t="s">
        <v>39</v>
      </c>
      <c r="F552" s="861" t="s">
        <v>1148</v>
      </c>
      <c r="G552" s="721" t="str">
        <f>VLOOKUP(WWWW[[#This Row],[Site Name]],SiteDB6[[Site Name]:[Location Type]],8,FALSE)</f>
        <v>Camp</v>
      </c>
      <c r="H552" s="861" t="s">
        <v>2177</v>
      </c>
      <c r="I552" s="851">
        <v>127</v>
      </c>
      <c r="J552" s="851">
        <v>450</v>
      </c>
      <c r="K552" s="863"/>
      <c r="L552" s="859"/>
      <c r="M552" s="851"/>
      <c r="N552" s="851"/>
      <c r="O552" s="851"/>
      <c r="P552" s="851"/>
      <c r="Q552" s="864"/>
      <c r="R552" s="851"/>
      <c r="S552" s="851"/>
      <c r="T552" s="523"/>
      <c r="U552" s="851"/>
      <c r="V552" s="851"/>
      <c r="W552" s="851"/>
      <c r="X552" s="851"/>
      <c r="Y552" s="851"/>
      <c r="Z552" s="851"/>
      <c r="AA552" s="851"/>
      <c r="AB552" s="851"/>
      <c r="AC552" s="851"/>
      <c r="AD552" s="851"/>
      <c r="AE552" s="851"/>
      <c r="AF552" s="851"/>
      <c r="AG552" s="851"/>
      <c r="AH552" s="851"/>
      <c r="AI552" s="851"/>
      <c r="AJ552" s="851"/>
      <c r="AK552" s="851"/>
      <c r="AL552" s="851"/>
      <c r="AM552" s="851"/>
      <c r="AN552" s="851"/>
      <c r="AO552" s="865"/>
      <c r="AP552" s="851"/>
      <c r="AQ552" s="851"/>
      <c r="AR552" s="866"/>
      <c r="AS552" s="851"/>
      <c r="AT552" s="851"/>
      <c r="AU552" s="851"/>
      <c r="AV552" s="851"/>
      <c r="AW552" s="851"/>
      <c r="AX552" s="862"/>
      <c r="AY552" s="865"/>
      <c r="AZ552" s="851"/>
      <c r="BA552" s="851"/>
      <c r="BB552" s="851"/>
      <c r="BC552" s="523"/>
      <c r="BD552" s="523"/>
      <c r="BE552" s="862"/>
      <c r="BF552" s="851"/>
      <c r="BG552" s="851"/>
      <c r="BH552" s="851"/>
      <c r="BI552" s="851"/>
      <c r="BJ552" s="851"/>
      <c r="BK552" s="851"/>
      <c r="BL552" s="851"/>
      <c r="BM552" s="851"/>
      <c r="BN552" s="851"/>
      <c r="BO552" s="862"/>
      <c r="BP552" s="867"/>
      <c r="BQ552" s="866"/>
      <c r="BR552" s="862"/>
      <c r="BS552" s="472"/>
      <c r="BT552" s="472"/>
      <c r="BU552" s="474"/>
      <c r="BV552" s="472"/>
      <c r="BW552" s="523"/>
      <c r="BX552" s="523"/>
      <c r="BY552" s="523"/>
      <c r="BZ552" s="868" t="str">
        <f>IFERROR(WWWW[[#This Row],['#_Water sources passed]]/WWWW[[#This Row],['#_Water sources tested for fecal coliform ]],"no test")</f>
        <v>no test</v>
      </c>
      <c r="CA552" s="866" t="str">
        <f>IFERROR(WWWW[[#This Row],['#_Household passed]]/WWWW[[#This Row],['#_Household water samples tested for fecal coliform]],"no test")</f>
        <v>no test</v>
      </c>
      <c r="CB552" s="867" t="str">
        <f>IF(AND(WWWW[[#This Row],[% of water sources passed]]="no test",WWWW[[#This Row],[% Household passed]]="no test"),"No Test","Tested")</f>
        <v>No Test</v>
      </c>
      <c r="CC552" s="867">
        <f>WWWW[[#This Row],['#_Constructed/existing protected hand dug well]]-WWWW[[#This Row],['#_Non-functional protected hand dug well]]</f>
        <v>0</v>
      </c>
      <c r="CD552" s="867">
        <f>(WWWW[[#This Row],['#_Constructed/Existing tube wells/boreholes/handpumps_WASH_agency]]+WWWW[[#This Row],['#_Non-Cluster partner water tube-wells/boreholes/handpumps]])-WWWW[[#This Row],['#_Non-functional tube wells/boreholes/handpumps]]</f>
        <v>0</v>
      </c>
      <c r="CE552" s="867">
        <f>WWWW[[#This Row],['#_Constructed/Existingwater storage tank with gravity fed reticulation system]]-WWWW[[#This Row],['#_Non-functional storage tank gravity fed reticulation system]]</f>
        <v>0</v>
      </c>
      <c r="CF552" s="867">
        <f>(WWWW[[#This Row],['#_Water_Liters_supplied_by_Water boating or water trucking]]/90)/15</f>
        <v>0</v>
      </c>
      <c r="CG552" s="867">
        <f>WWWW[[#This Row],['#_Water_Liters_from_Constructed/Existing water distribution system from river or natural spring]]/90/15</f>
        <v>0</v>
      </c>
      <c r="CH552" s="473">
        <f>WWWW[[#This Row],['#_of water points in TLS/CFS /THF]]*500</f>
        <v>0</v>
      </c>
      <c r="CI55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5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52" s="866">
        <f>IF(WWWW[[#This Row],[Location Type 1]]="Village",WWWW[[#This Row],[Access to safe drinking water for Village]],WWWW[[#This Row],[Access to safe drinking water for Camp]])</f>
        <v>0</v>
      </c>
      <c r="CL552" s="864">
        <f>WWWW[[#This Row],[%Equitable and continuous access to sufficient quantity of safe drinking water]]*WWWW[[#This Row],[Total PoP ]]</f>
        <v>0</v>
      </c>
      <c r="CM552" s="866">
        <f>IF((WWWW[[#This Row],['#_Constructed/Existing protected/fenced ponds]]*250)/WWWW[[#This Row],[Total PoP ]]&gt;1,1,(WWWW[[#This Row],['#_Constructed/Existing protected/fenced ponds]]*250)/WWWW[[#This Row],[Total PoP ]])</f>
        <v>0</v>
      </c>
      <c r="CN552" s="864">
        <f>WWWW[[#This Row],[% Access to unimproved water points]]*WWWW[[#This Row],[Total PoP ]]</f>
        <v>0</v>
      </c>
      <c r="CO55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5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52" s="864">
        <f>WWWW[[#This Row],[HRP1]]/500</f>
        <v>0</v>
      </c>
      <c r="CR552" s="869">
        <f>1-WWWW[[#This Row],[% Equitable and continuous access to sufficient quantity of domestic water]]</f>
        <v>1</v>
      </c>
      <c r="CS552" s="864">
        <f>WWWW[[#This Row],[%equitable and continuous access to sufficient quantity of safe drinking and domestic water''s GAP]]*WWWW[[#This Row],[Total PoP ]]</f>
        <v>450</v>
      </c>
      <c r="CT552" s="867">
        <f>IF(WWWW[[#This Row],[Total required water points]]-WWWW[[#This Row],['#Water points coverage]]&lt;0,0,WWWW[[#This Row],[Total required water points]]-WWWW[[#This Row],['#Water points coverage]])</f>
        <v>1</v>
      </c>
      <c r="CU552" s="867">
        <f>ROUND(IF(WWWW[[#This Row],[Total PoP ]]&lt;500,1,WWWW[[#This Row],[Total PoP ]]/500),0)</f>
        <v>1</v>
      </c>
      <c r="CV552" s="867">
        <f>(WWWW[[#This Row],['#_Constructed latrines_by_WASHAgencies]]+WWWW[[#This Row],['#_Non Cluster partner latrines]])-WWWW[[#This Row],['#_Non-functional latrines]]</f>
        <v>0</v>
      </c>
      <c r="CW552" s="804">
        <f>WWWW[[#This Row],[HRP2]]/WWWW[[#This Row],[Total PoP ]]</f>
        <v>0</v>
      </c>
      <c r="CX55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5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2" s="473">
        <f>IF(WWWW[[#This Row],['# of functional latrines in THF supported by WASH partners during the reporting period2]]="",0,WWWW[[#This Row],['# of functional latrines in THF supported by WASH partners during the reporting period2]]*50)</f>
        <v>0</v>
      </c>
      <c r="DB552" s="473">
        <f>WWWW[[#This Row],['# students access to functioning school latrines_HRP5]]+WWWW[[#This Row],['# People access to functioning latrines in THF_HRP5]]</f>
        <v>0</v>
      </c>
      <c r="DC552" s="867">
        <f>ROUND(IF(WWWW[[#This Row],[Location Type 1]]="camp",WWWW[[#This Row],[Total PoP ]]/20,IF(WWWW[[#This Row],[Location Type 1]]="Temporary Location",WWWW[[#This Row],[Total PoP ]]/50,(WWWW[[#This Row],[Total PoP ]]/6))),0)</f>
        <v>23</v>
      </c>
      <c r="DD552" s="867">
        <f>IF(WWWW[[#This Row],[Total required Latrines]]-(WWWW[[#This Row],['#_Constructed latrines_by_WASHAgencies]]+WWWW[[#This Row],['#_Non Cluster partner latrines]])&lt;0,0,WWWW[[#This Row],[Total required Latrines]]-(WWWW[[#This Row],['#_Constructed latrines_by_WASHAgencies]]+WWWW[[#This Row],['#_Non Cluster partner latrines]]))</f>
        <v>23</v>
      </c>
      <c r="DE552" s="869">
        <f>1-WWWW[[#This Row],[% people access to functioning Latrine]]</f>
        <v>1</v>
      </c>
      <c r="DF552" s="868">
        <f>IF(OR(WWWW[[#This Row],['#_Non-functional latrines]]="",WWWW[[#This Row],['#_Non-functional latrines]]=0),0,WWWW[[#This Row],['#_Non-functional latrines]]/(WWWW[[#This Row],['#_Constructed latrines_by_WASHAgencies]]+WWWW[[#This Row],['#_Non Cluster partner latrines]]))</f>
        <v>0</v>
      </c>
      <c r="DG552" s="864">
        <f>IF(500*(WWWW[[#This Row],['#_male hygiene promoters]]+WWWW[[#This Row],['#_female hygiene promoters]])&gt;WWWW[[#This Row],[Total PoP ]],WWWW[[#This Row],[Total PoP ]],500*(WWWW[[#This Row],['#_male hygiene promoters]]+WWWW[[#This Row],['#_female hygiene promoters]]))</f>
        <v>0</v>
      </c>
      <c r="DH55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2" s="867">
        <f>IF(WWWW[[#This Row],['# People with access to soap]]&gt;WWWW[[#This Row],['# People with access to Sanity Pads]],WWWW[[#This Row],['# People with access to soap]],WWWW[[#This Row],['# People with access to Sanity Pads]])</f>
        <v>0</v>
      </c>
      <c r="DK552"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52" s="869">
        <f>IF(WWWW[[#This Row],[HRP3]]/WWWW[[#This Row],[Total PoP ]]&gt;1,1,WWWW[[#This Row],[HRP3]]/WWWW[[#This Row],[Total PoP ]])</f>
        <v>0</v>
      </c>
      <c r="DM552" s="868">
        <f>1-WWWW[[#This Row],[Hygiene Coverage%]]</f>
        <v>1</v>
      </c>
      <c r="DN552" s="866">
        <f>WWWW[[#This Row],['# people reached by regular dedicated hygiene promotion_5]]/WWWW[[#This Row],[Total PoP ]]</f>
        <v>0</v>
      </c>
      <c r="DO55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2" s="867">
        <f>WWWW[[#This Row],['#_Constructed/Existing hand washing stations]]-WWWW[[#This Row],['#_Non-Functional_hand_washing_stations]]</f>
        <v>0</v>
      </c>
      <c r="DR552" s="864">
        <f>IF(WWWW[[#This Row],['# Functional hand washing stations during reporting period]]*20&gt;WWWW[[#This Row],[Total HH]],WWWW[[#This Row],[Total HH]],WWWW[[#This Row],['# Functional hand washing stations during reporting period]]*20)</f>
        <v>0</v>
      </c>
      <c r="DS552" s="864">
        <f>IF(WWWW[[#This Row],[Is sufficient soap available for TLS? (Yes/No)]]="yes",WWWW[[#This Row],['#_Constructed/Existing hand washing stations at TLS]],0)</f>
        <v>0</v>
      </c>
      <c r="DT552" s="479">
        <f>IF(WWWW[[#This Row],['# Functional hand washing stations during reporting period]]*100&gt;WWWW[[#This Row],[Total PoP ]],WWWW[[#This Row],[Total PoP ]],WWWW[[#This Row],['# Functional hand washing stations during reporting period]]*100)</f>
        <v>0</v>
      </c>
      <c r="DU552" s="479" t="str">
        <f>IF(OR(WWWW[[#This Row],['#_students at TLS_CFS]]="",WWWW[[#This Row],['#_students at TLS_CFS]]=0),"No","Yes")</f>
        <v>No</v>
      </c>
      <c r="DV55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2" s="862" t="str">
        <f>VLOOKUP(WWWW[[#This Row],[Site Name]],SiteDB6[[Site Name]:[CCCM Management]],6,FALSE)</f>
        <v>Yes</v>
      </c>
      <c r="DZ552" s="862" t="str">
        <f>VLOOKUP(WWWW[[#This Row],[Site Name]],SiteDB6[[Site Name]:[CCCM Focal Agency]],7,FALSE)</f>
        <v>KBC-MYT</v>
      </c>
      <c r="EA552" s="862" t="str">
        <f>VLOOKUP(WWWW[[#This Row],[Site Name]],SiteDB6[[Site Name]:[Location Type 1]],9,FALSE)</f>
        <v>Camp</v>
      </c>
      <c r="EB552" s="862" t="str">
        <f>VLOOKUP(WWWW[[#This Row],[Site Name]],SiteDB6[[Site Name]:[Type of Accommodation]],10,FALSE)</f>
        <v>Camp</v>
      </c>
      <c r="EC552" s="862" t="str">
        <f>VLOOKUP(WWWW[[#This Row],[Site Name]],SiteDB6[[Site Name]:[Ethnic or GCA/NGCA]],11,FALSE)</f>
        <v>GCA</v>
      </c>
      <c r="ED552" s="862">
        <f>VLOOKUP(WWWW[[#This Row],[Site Name]],SiteDB6[[Site Name]:[Lat]],12,FALSE)</f>
        <v>0</v>
      </c>
      <c r="EE552" s="862">
        <f>VLOOKUP(WWWW[[#This Row],[Site Name]],SiteDB6[[Site Name]:[Long]],13,FALSE)</f>
        <v>0</v>
      </c>
      <c r="EF552" s="862" t="str">
        <f>VLOOKUP(WWWW[[#This Row],[Site Name]],SiteDB6[[Site Name]:[Pcode]],3,FALSE)</f>
        <v>MMR001CMP253</v>
      </c>
      <c r="EG552" s="865" t="str">
        <f t="shared" si="16"/>
        <v>Notcovered</v>
      </c>
      <c r="EH552" s="865" t="str">
        <f>VLOOKUP(WWWW[[#This Row],[Site Name]],Site_DB!$C$389:$D$1120,2,FALSE)</f>
        <v>cccm_2019OCT</v>
      </c>
    </row>
    <row r="553" spans="1:138">
      <c r="A553" s="860" t="s">
        <v>3263</v>
      </c>
      <c r="B553" s="860" t="s">
        <v>312</v>
      </c>
      <c r="C553" s="861" t="s">
        <v>312</v>
      </c>
      <c r="D553" s="861"/>
      <c r="E553" s="861" t="s">
        <v>39</v>
      </c>
      <c r="F553" s="861" t="s">
        <v>176</v>
      </c>
      <c r="G553" s="721" t="str">
        <f>VLOOKUP(WWWW[[#This Row],[Site Name]],SiteDB6[[Site Name]:[Location Type]],8,FALSE)</f>
        <v>Camp</v>
      </c>
      <c r="H553" s="861" t="s">
        <v>1089</v>
      </c>
      <c r="I553" s="851">
        <v>14</v>
      </c>
      <c r="J553" s="851">
        <v>75</v>
      </c>
      <c r="K553" s="863"/>
      <c r="L553" s="859"/>
      <c r="M553" s="851"/>
      <c r="N553" s="851"/>
      <c r="O553" s="851"/>
      <c r="P553" s="851"/>
      <c r="Q553" s="864"/>
      <c r="R553" s="851"/>
      <c r="S553" s="851">
        <v>5</v>
      </c>
      <c r="T553" s="523"/>
      <c r="U553" s="851"/>
      <c r="V553" s="851"/>
      <c r="W553" s="851"/>
      <c r="X553" s="851"/>
      <c r="Y553" s="851"/>
      <c r="Z553" s="851"/>
      <c r="AA553" s="851"/>
      <c r="AB553" s="851"/>
      <c r="AC553" s="851"/>
      <c r="AD553" s="851"/>
      <c r="AE553" s="851"/>
      <c r="AF553" s="851"/>
      <c r="AG553" s="851"/>
      <c r="AH553" s="851"/>
      <c r="AI553" s="851"/>
      <c r="AJ553" s="851"/>
      <c r="AK553" s="851"/>
      <c r="AL553" s="851"/>
      <c r="AM553" s="851"/>
      <c r="AN553" s="851"/>
      <c r="AO553" s="865"/>
      <c r="AP553" s="851"/>
      <c r="AQ553" s="851"/>
      <c r="AR553" s="866"/>
      <c r="AS553" s="851"/>
      <c r="AT553" s="851"/>
      <c r="AU553" s="851"/>
      <c r="AV553" s="851"/>
      <c r="AW553" s="851"/>
      <c r="AX553" s="862"/>
      <c r="AY553" s="865"/>
      <c r="AZ553" s="851"/>
      <c r="BA553" s="851"/>
      <c r="BB553" s="851"/>
      <c r="BC553" s="523"/>
      <c r="BD553" s="523"/>
      <c r="BE553" s="862"/>
      <c r="BF553" s="851"/>
      <c r="BG553" s="851"/>
      <c r="BH553" s="851"/>
      <c r="BI553" s="851"/>
      <c r="BJ553" s="851"/>
      <c r="BK553" s="851"/>
      <c r="BL553" s="851"/>
      <c r="BM553" s="851"/>
      <c r="BN553" s="851"/>
      <c r="BO553" s="862"/>
      <c r="BP553" s="867"/>
      <c r="BQ553" s="866"/>
      <c r="BR553" s="862"/>
      <c r="BS553" s="472"/>
      <c r="BT553" s="472"/>
      <c r="BU553" s="474"/>
      <c r="BV553" s="472"/>
      <c r="BW553" s="523"/>
      <c r="BX553" s="523"/>
      <c r="BY553" s="523"/>
      <c r="BZ553" s="868" t="str">
        <f>IFERROR(WWWW[[#This Row],['#_Water sources passed]]/WWWW[[#This Row],['#_Water sources tested for fecal coliform ]],"no test")</f>
        <v>no test</v>
      </c>
      <c r="CA553" s="866" t="str">
        <f>IFERROR(WWWW[[#This Row],['#_Household passed]]/WWWW[[#This Row],['#_Household water samples tested for fecal coliform]],"no test")</f>
        <v>no test</v>
      </c>
      <c r="CB553" s="867" t="str">
        <f>IF(AND(WWWW[[#This Row],[% of water sources passed]]="no test",WWWW[[#This Row],[% Household passed]]="no test"),"No Test","Tested")</f>
        <v>No Test</v>
      </c>
      <c r="CC553" s="867">
        <f>WWWW[[#This Row],['#_Constructed/existing protected hand dug well]]-WWWW[[#This Row],['#_Non-functional protected hand dug well]]</f>
        <v>0</v>
      </c>
      <c r="CD553" s="867">
        <f>(WWWW[[#This Row],['#_Constructed/Existing tube wells/boreholes/handpumps_WASH_agency]]+WWWW[[#This Row],['#_Non-Cluster partner water tube-wells/boreholes/handpumps]])-WWWW[[#This Row],['#_Non-functional tube wells/boreholes/handpumps]]</f>
        <v>0</v>
      </c>
      <c r="CE553" s="867">
        <f>WWWW[[#This Row],['#_Constructed/Existingwater storage tank with gravity fed reticulation system]]-WWWW[[#This Row],['#_Non-functional storage tank gravity fed reticulation system]]</f>
        <v>0</v>
      </c>
      <c r="CF553" s="867">
        <f>(WWWW[[#This Row],['#_Water_Liters_supplied_by_Water boating or water trucking]]/90)/15</f>
        <v>0</v>
      </c>
      <c r="CG553" s="867">
        <f>WWWW[[#This Row],['#_Water_Liters_from_Constructed/Existing water distribution system from river or natural spring]]/90/15</f>
        <v>0</v>
      </c>
      <c r="CH553" s="473">
        <f>WWWW[[#This Row],['#_of water points in TLS/CFS /THF]]*500</f>
        <v>0</v>
      </c>
      <c r="CI55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5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53" s="866">
        <f>IF(WWWW[[#This Row],[Location Type 1]]="Village",WWWW[[#This Row],[Access to safe drinking water for Village]],WWWW[[#This Row],[Access to safe drinking water for Camp]])</f>
        <v>0</v>
      </c>
      <c r="CL553" s="864">
        <f>WWWW[[#This Row],[%Equitable and continuous access to sufficient quantity of safe drinking water]]*WWWW[[#This Row],[Total PoP ]]</f>
        <v>0</v>
      </c>
      <c r="CM553" s="866">
        <f>IF((WWWW[[#This Row],['#_Constructed/Existing protected/fenced ponds]]*250)/WWWW[[#This Row],[Total PoP ]]&gt;1,1,(WWWW[[#This Row],['#_Constructed/Existing protected/fenced ponds]]*250)/WWWW[[#This Row],[Total PoP ]])</f>
        <v>0</v>
      </c>
      <c r="CN553" s="864">
        <f>WWWW[[#This Row],[% Access to unimproved water points]]*WWWW[[#This Row],[Total PoP ]]</f>
        <v>0</v>
      </c>
      <c r="CO55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5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53" s="864">
        <f>WWWW[[#This Row],[HRP1]]/500</f>
        <v>0</v>
      </c>
      <c r="CR553" s="869">
        <f>1-WWWW[[#This Row],[% Equitable and continuous access to sufficient quantity of domestic water]]</f>
        <v>1</v>
      </c>
      <c r="CS553" s="864">
        <f>WWWW[[#This Row],[%equitable and continuous access to sufficient quantity of safe drinking and domestic water''s GAP]]*WWWW[[#This Row],[Total PoP ]]</f>
        <v>75</v>
      </c>
      <c r="CT553" s="867">
        <f>IF(WWWW[[#This Row],[Total required water points]]-WWWW[[#This Row],['#Water points coverage]]&lt;0,0,WWWW[[#This Row],[Total required water points]]-WWWW[[#This Row],['#Water points coverage]])</f>
        <v>1</v>
      </c>
      <c r="CU553" s="867">
        <f>ROUND(IF(WWWW[[#This Row],[Total PoP ]]&lt;500,1,WWWW[[#This Row],[Total PoP ]]/500),0)</f>
        <v>1</v>
      </c>
      <c r="CV553" s="867">
        <f>(WWWW[[#This Row],['#_Constructed latrines_by_WASHAgencies]]+WWWW[[#This Row],['#_Non Cluster partner latrines]])-WWWW[[#This Row],['#_Non-functional latrines]]</f>
        <v>0</v>
      </c>
      <c r="CW553" s="804">
        <f>WWWW[[#This Row],[HRP2]]/WWWW[[#This Row],[Total PoP ]]</f>
        <v>0</v>
      </c>
      <c r="CX55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5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3" s="473">
        <f>IF(WWWW[[#This Row],['# of functional latrines in THF supported by WASH partners during the reporting period2]]="",0,WWWW[[#This Row],['# of functional latrines in THF supported by WASH partners during the reporting period2]]*50)</f>
        <v>0</v>
      </c>
      <c r="DB553" s="473">
        <f>WWWW[[#This Row],['# students access to functioning school latrines_HRP5]]+WWWW[[#This Row],['# People access to functioning latrines in THF_HRP5]]</f>
        <v>0</v>
      </c>
      <c r="DC553" s="867">
        <f>ROUND(IF(WWWW[[#This Row],[Location Type 1]]="camp",WWWW[[#This Row],[Total PoP ]]/20,IF(WWWW[[#This Row],[Location Type 1]]="Temporary Location",WWWW[[#This Row],[Total PoP ]]/50,(WWWW[[#This Row],[Total PoP ]]/6))),0)</f>
        <v>4</v>
      </c>
      <c r="DD553" s="867">
        <f>IF(WWWW[[#This Row],[Total required Latrines]]-(WWWW[[#This Row],['#_Constructed latrines_by_WASHAgencies]]+WWWW[[#This Row],['#_Non Cluster partner latrines]])&lt;0,0,WWWW[[#This Row],[Total required Latrines]]-(WWWW[[#This Row],['#_Constructed latrines_by_WASHAgencies]]+WWWW[[#This Row],['#_Non Cluster partner latrines]]))</f>
        <v>4</v>
      </c>
      <c r="DE553" s="869">
        <f>1-WWWW[[#This Row],[% people access to functioning Latrine]]</f>
        <v>1</v>
      </c>
      <c r="DF553" s="868">
        <f>IF(OR(WWWW[[#This Row],['#_Non-functional latrines]]="",WWWW[[#This Row],['#_Non-functional latrines]]=0),0,WWWW[[#This Row],['#_Non-functional latrines]]/(WWWW[[#This Row],['#_Constructed latrines_by_WASHAgencies]]+WWWW[[#This Row],['#_Non Cluster partner latrines]]))</f>
        <v>0</v>
      </c>
      <c r="DG553" s="864">
        <f>IF(500*(WWWW[[#This Row],['#_male hygiene promoters]]+WWWW[[#This Row],['#_female hygiene promoters]])&gt;WWWW[[#This Row],[Total PoP ]],WWWW[[#This Row],[Total PoP ]],500*(WWWW[[#This Row],['#_male hygiene promoters]]+WWWW[[#This Row],['#_female hygiene promoters]]))</f>
        <v>0</v>
      </c>
      <c r="DH55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3" s="867">
        <f>IF(WWWW[[#This Row],['# People with access to soap]]&gt;WWWW[[#This Row],['# People with access to Sanity Pads]],WWWW[[#This Row],['# People with access to soap]],WWWW[[#This Row],['# People with access to Sanity Pads]])</f>
        <v>0</v>
      </c>
      <c r="DK55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53" s="869">
        <f>IF(WWWW[[#This Row],[HRP3]]/WWWW[[#This Row],[Total PoP ]]&gt;1,1,WWWW[[#This Row],[HRP3]]/WWWW[[#This Row],[Total PoP ]])</f>
        <v>0</v>
      </c>
      <c r="DM553" s="868">
        <f>1-WWWW[[#This Row],[Hygiene Coverage%]]</f>
        <v>1</v>
      </c>
      <c r="DN553" s="866">
        <f>WWWW[[#This Row],['# people reached by regular dedicated hygiene promotion_5]]/WWWW[[#This Row],[Total PoP ]]</f>
        <v>0</v>
      </c>
      <c r="DO55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3" s="867">
        <f>WWWW[[#This Row],['#_Constructed/Existing hand washing stations]]-WWWW[[#This Row],['#_Non-Functional_hand_washing_stations]]</f>
        <v>0</v>
      </c>
      <c r="DR553" s="864">
        <f>IF(WWWW[[#This Row],['# Functional hand washing stations during reporting period]]*20&gt;WWWW[[#This Row],[Total HH]],WWWW[[#This Row],[Total HH]],WWWW[[#This Row],['# Functional hand washing stations during reporting period]]*20)</f>
        <v>0</v>
      </c>
      <c r="DS553" s="864">
        <f>IF(WWWW[[#This Row],[Is sufficient soap available for TLS? (Yes/No)]]="yes",WWWW[[#This Row],['#_Constructed/Existing hand washing stations at TLS]],0)</f>
        <v>0</v>
      </c>
      <c r="DT553" s="479">
        <f>IF(WWWW[[#This Row],['# Functional hand washing stations during reporting period]]*100&gt;WWWW[[#This Row],[Total PoP ]],WWWW[[#This Row],[Total PoP ]],WWWW[[#This Row],['# Functional hand washing stations during reporting period]]*100)</f>
        <v>0</v>
      </c>
      <c r="DU553" s="479" t="str">
        <f>IF(OR(WWWW[[#This Row],['#_students at TLS_CFS]]="",WWWW[[#This Row],['#_students at TLS_CFS]]=0),"No","Yes")</f>
        <v>No</v>
      </c>
      <c r="DV55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3" s="862">
        <f>VLOOKUP(WWWW[[#This Row],[Site Name]],SiteDB6[[Site Name]:[CCCM Management]],6,FALSE)</f>
        <v>0</v>
      </c>
      <c r="DZ553" s="862" t="str">
        <f>VLOOKUP(WWWW[[#This Row],[Site Name]],SiteDB6[[Site Name]:[CCCM Focal Agency]],7,FALSE)</f>
        <v>uncovered</v>
      </c>
      <c r="EA553" s="862" t="str">
        <f>VLOOKUP(WWWW[[#This Row],[Site Name]],SiteDB6[[Site Name]:[Location Type 1]],9,FALSE)</f>
        <v>Camp</v>
      </c>
      <c r="EB553" s="862" t="str">
        <f>VLOOKUP(WWWW[[#This Row],[Site Name]],SiteDB6[[Site Name]:[Type of Accommodation]],10,FALSE)</f>
        <v>Host Families</v>
      </c>
      <c r="EC553" s="862" t="str">
        <f>VLOOKUP(WWWW[[#This Row],[Site Name]],SiteDB6[[Site Name]:[Ethnic or GCA/NGCA]],11,FALSE)</f>
        <v>GCA</v>
      </c>
      <c r="ED553" s="862">
        <f>VLOOKUP(WWWW[[#This Row],[Site Name]],SiteDB6[[Site Name]:[Lat]],12,FALSE)</f>
        <v>27.311699999999998</v>
      </c>
      <c r="EE553" s="862">
        <f>VLOOKUP(WWWW[[#This Row],[Site Name]],SiteDB6[[Site Name]:[Long]],13,FALSE)</f>
        <v>97.415289999999999</v>
      </c>
      <c r="EF553" s="862" t="str">
        <f>VLOOKUP(WWWW[[#This Row],[Site Name]],SiteDB6[[Site Name]:[Pcode]],3,FALSE)</f>
        <v>MMR001CMP075</v>
      </c>
      <c r="EG553" s="865" t="str">
        <f t="shared" si="16"/>
        <v>Notcovered</v>
      </c>
      <c r="EH553" s="865" t="str">
        <f>VLOOKUP(WWWW[[#This Row],[Site Name]],Site_DB!$C$389:$D$1120,2,FALSE)</f>
        <v>cccm_2019OCT</v>
      </c>
    </row>
    <row r="554" spans="1:138">
      <c r="A554" s="860" t="s">
        <v>3263</v>
      </c>
      <c r="B554" s="860" t="s">
        <v>38</v>
      </c>
      <c r="C554" s="861" t="s">
        <v>38</v>
      </c>
      <c r="D554" s="861" t="s">
        <v>3372</v>
      </c>
      <c r="E554" s="861" t="s">
        <v>39</v>
      </c>
      <c r="F554" s="861" t="s">
        <v>151</v>
      </c>
      <c r="G554" s="721" t="str">
        <f>VLOOKUP(WWWW[[#This Row],[Site Name]],SiteDB6[[Site Name]:[Location Type]],8,FALSE)</f>
        <v>Camp</v>
      </c>
      <c r="H554" s="861" t="s">
        <v>234</v>
      </c>
      <c r="I554" s="851">
        <v>50</v>
      </c>
      <c r="J554" s="851">
        <v>218</v>
      </c>
      <c r="K554" s="863" t="s">
        <v>3619</v>
      </c>
      <c r="L554" s="859" t="s">
        <v>3620</v>
      </c>
      <c r="M554" s="851"/>
      <c r="N554" s="851"/>
      <c r="O554" s="851"/>
      <c r="P554" s="851"/>
      <c r="Q554" s="864" t="s">
        <v>43</v>
      </c>
      <c r="R554" s="851"/>
      <c r="S554" s="851"/>
      <c r="T554" s="523">
        <v>1</v>
      </c>
      <c r="U554" s="851"/>
      <c r="V554" s="851"/>
      <c r="W554" s="851"/>
      <c r="X554" s="851"/>
      <c r="Y554" s="851"/>
      <c r="Z554" s="851"/>
      <c r="AA554" s="851"/>
      <c r="AB554" s="851"/>
      <c r="AC554" s="851"/>
      <c r="AD554" s="851"/>
      <c r="AE554" s="851"/>
      <c r="AF554" s="851"/>
      <c r="AG554" s="851"/>
      <c r="AH554" s="851"/>
      <c r="AI554" s="851"/>
      <c r="AJ554" s="851"/>
      <c r="AK554" s="851"/>
      <c r="AL554" s="851"/>
      <c r="AM554" s="851"/>
      <c r="AN554" s="851"/>
      <c r="AO554" s="865"/>
      <c r="AP554" s="851">
        <v>16</v>
      </c>
      <c r="AQ554" s="851"/>
      <c r="AR554" s="866"/>
      <c r="AS554" s="851"/>
      <c r="AT554" s="851"/>
      <c r="AU554" s="851"/>
      <c r="AV554" s="851"/>
      <c r="AW554" s="851"/>
      <c r="AX554" s="862" t="s">
        <v>43</v>
      </c>
      <c r="AY554" s="865" t="s">
        <v>140</v>
      </c>
      <c r="AZ554" s="851">
        <v>1</v>
      </c>
      <c r="BA554" s="851"/>
      <c r="BB554" s="851"/>
      <c r="BC554" s="523"/>
      <c r="BD554" s="523"/>
      <c r="BE554" s="862"/>
      <c r="BF554" s="851"/>
      <c r="BG554" s="851"/>
      <c r="BH554" s="851"/>
      <c r="BI554" s="851">
        <v>2</v>
      </c>
      <c r="BJ554" s="851"/>
      <c r="BK554" s="851">
        <v>2</v>
      </c>
      <c r="BL554" s="851"/>
      <c r="BM554" s="851"/>
      <c r="BN554" s="851"/>
      <c r="BO554" s="862"/>
      <c r="BP554" s="867"/>
      <c r="BQ554" s="866"/>
      <c r="BR554" s="862"/>
      <c r="BS554" s="472"/>
      <c r="BT554" s="472"/>
      <c r="BU554" s="474"/>
      <c r="BV554" s="472"/>
      <c r="BW554" s="523"/>
      <c r="BX554" s="523"/>
      <c r="BY554" s="523"/>
      <c r="BZ554" s="868" t="str">
        <f>IFERROR(WWWW[[#This Row],['#_Water sources passed]]/WWWW[[#This Row],['#_Water sources tested for fecal coliform ]],"no test")</f>
        <v>no test</v>
      </c>
      <c r="CA554" s="866" t="str">
        <f>IFERROR(WWWW[[#This Row],['#_Household passed]]/WWWW[[#This Row],['#_Household water samples tested for fecal coliform]],"no test")</f>
        <v>no test</v>
      </c>
      <c r="CB554" s="867" t="str">
        <f>IF(AND(WWWW[[#This Row],[% of water sources passed]]="no test",WWWW[[#This Row],[% Household passed]]="no test"),"No Test","Tested")</f>
        <v>No Test</v>
      </c>
      <c r="CC554" s="867">
        <f>WWWW[[#This Row],['#_Constructed/existing protected hand dug well]]-WWWW[[#This Row],['#_Non-functional protected hand dug well]]</f>
        <v>1</v>
      </c>
      <c r="CD554" s="867">
        <f>(WWWW[[#This Row],['#_Constructed/Existing tube wells/boreholes/handpumps_WASH_agency]]+WWWW[[#This Row],['#_Non-Cluster partner water tube-wells/boreholes/handpumps]])-WWWW[[#This Row],['#_Non-functional tube wells/boreholes/handpumps]]</f>
        <v>0</v>
      </c>
      <c r="CE554" s="867">
        <f>WWWW[[#This Row],['#_Constructed/Existingwater storage tank with gravity fed reticulation system]]-WWWW[[#This Row],['#_Non-functional storage tank gravity fed reticulation system]]</f>
        <v>0</v>
      </c>
      <c r="CF554" s="867">
        <f>(WWWW[[#This Row],['#_Water_Liters_supplied_by_Water boating or water trucking]]/90)/15</f>
        <v>0</v>
      </c>
      <c r="CG554" s="867">
        <f>WWWW[[#This Row],['#_Water_Liters_from_Constructed/Existing water distribution system from river or natural spring]]/90/15</f>
        <v>0</v>
      </c>
      <c r="CH554" s="473">
        <f>WWWW[[#This Row],['#_of water points in TLS/CFS /THF]]*500</f>
        <v>0</v>
      </c>
      <c r="CI55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5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54" s="866">
        <f>IF(WWWW[[#This Row],[Location Type 1]]="Village",WWWW[[#This Row],[Access to safe drinking water for Village]],WWWW[[#This Row],[Access to safe drinking water for Camp]])</f>
        <v>1</v>
      </c>
      <c r="CL554" s="864">
        <f>WWWW[[#This Row],[%Equitable and continuous access to sufficient quantity of safe drinking water]]*WWWW[[#This Row],[Total PoP ]]</f>
        <v>218</v>
      </c>
      <c r="CM554" s="866">
        <f>IF((WWWW[[#This Row],['#_Constructed/Existing protected/fenced ponds]]*250)/WWWW[[#This Row],[Total PoP ]]&gt;1,1,(WWWW[[#This Row],['#_Constructed/Existing protected/fenced ponds]]*250)/WWWW[[#This Row],[Total PoP ]])</f>
        <v>0</v>
      </c>
      <c r="CN554" s="864">
        <f>WWWW[[#This Row],[% Access to unimproved water points]]*WWWW[[#This Row],[Total PoP ]]</f>
        <v>0</v>
      </c>
      <c r="CO55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5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Q554" s="864">
        <f>WWWW[[#This Row],[HRP1]]/500</f>
        <v>0.436</v>
      </c>
      <c r="CR554" s="869">
        <f>1-WWWW[[#This Row],[% Equitable and continuous access to sufficient quantity of domestic water]]</f>
        <v>0</v>
      </c>
      <c r="CS554" s="864">
        <f>WWWW[[#This Row],[%equitable and continuous access to sufficient quantity of safe drinking and domestic water''s GAP]]*WWWW[[#This Row],[Total PoP ]]</f>
        <v>0</v>
      </c>
      <c r="CT554" s="867">
        <f>IF(WWWW[[#This Row],[Total required water points]]-WWWW[[#This Row],['#Water points coverage]]&lt;0,0,WWWW[[#This Row],[Total required water points]]-WWWW[[#This Row],['#Water points coverage]])</f>
        <v>0.56400000000000006</v>
      </c>
      <c r="CU554" s="867">
        <f>ROUND(IF(WWWW[[#This Row],[Total PoP ]]&lt;500,1,WWWW[[#This Row],[Total PoP ]]/500),0)</f>
        <v>1</v>
      </c>
      <c r="CV554" s="867">
        <f>(WWWW[[#This Row],['#_Constructed latrines_by_WASHAgencies]]+WWWW[[#This Row],['#_Non Cluster partner latrines]])-WWWW[[#This Row],['#_Non-functional latrines]]</f>
        <v>16</v>
      </c>
      <c r="CW554" s="804">
        <f>WWWW[[#This Row],[HRP2]]/WWWW[[#This Row],[Total PoP ]]</f>
        <v>1</v>
      </c>
      <c r="CX55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CY55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4" s="473">
        <f>IF(WWWW[[#This Row],['# of functional latrines in THF supported by WASH partners during the reporting period2]]="",0,WWWW[[#This Row],['# of functional latrines in THF supported by WASH partners during the reporting period2]]*50)</f>
        <v>0</v>
      </c>
      <c r="DB554" s="473">
        <f>WWWW[[#This Row],['# students access to functioning school latrines_HRP5]]+WWWW[[#This Row],['# People access to functioning latrines in THF_HRP5]]</f>
        <v>0</v>
      </c>
      <c r="DC554" s="867">
        <f>ROUND(IF(WWWW[[#This Row],[Location Type 1]]="camp",WWWW[[#This Row],[Total PoP ]]/20,IF(WWWW[[#This Row],[Location Type 1]]="Temporary Location",WWWW[[#This Row],[Total PoP ]]/50,(WWWW[[#This Row],[Total PoP ]]/6))),0)</f>
        <v>11</v>
      </c>
      <c r="DD554" s="867">
        <f>IF(WWWW[[#This Row],[Total required Latrines]]-(WWWW[[#This Row],['#_Constructed latrines_by_WASHAgencies]]+WWWW[[#This Row],['#_Non Cluster partner latrines]])&lt;0,0,WWWW[[#This Row],[Total required Latrines]]-(WWWW[[#This Row],['#_Constructed latrines_by_WASHAgencies]]+WWWW[[#This Row],['#_Non Cluster partner latrines]]))</f>
        <v>0</v>
      </c>
      <c r="DE554" s="869">
        <f>1-WWWW[[#This Row],[% people access to functioning Latrine]]</f>
        <v>0</v>
      </c>
      <c r="DF554" s="868">
        <f>IF(OR(WWWW[[#This Row],['#_Non-functional latrines]]="",WWWW[[#This Row],['#_Non-functional latrines]]=0),0,WWWW[[#This Row],['#_Non-functional latrines]]/(WWWW[[#This Row],['#_Constructed latrines_by_WASHAgencies]]+WWWW[[#This Row],['#_Non Cluster partner latrines]]))</f>
        <v>0</v>
      </c>
      <c r="DG554" s="864">
        <f>IF(500*(WWWW[[#This Row],['#_male hygiene promoters]]+WWWW[[#This Row],['#_female hygiene promoters]])&gt;WWWW[[#This Row],[Total PoP ]],WWWW[[#This Row],[Total PoP ]],500*(WWWW[[#This Row],['#_male hygiene promoters]]+WWWW[[#This Row],['#_female hygiene promoters]]))</f>
        <v>218</v>
      </c>
      <c r="DH55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4" s="867">
        <f>IF(WWWW[[#This Row],['# People with access to soap]]&gt;WWWW[[#This Row],['# People with access to Sanity Pads]],WWWW[[#This Row],['# People with access to soap]],WWWW[[#This Row],['# People with access to Sanity Pads]])</f>
        <v>0</v>
      </c>
      <c r="DK554" s="867">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L554" s="869">
        <f>IF(WWWW[[#This Row],[HRP3]]/WWWW[[#This Row],[Total PoP ]]&gt;1,1,WWWW[[#This Row],[HRP3]]/WWWW[[#This Row],[Total PoP ]])</f>
        <v>1</v>
      </c>
      <c r="DM554" s="868">
        <f>1-WWWW[[#This Row],[Hygiene Coverage%]]</f>
        <v>0</v>
      </c>
      <c r="DN554" s="866">
        <f>WWWW[[#This Row],['# people reached by regular dedicated hygiene promotion_5]]/WWWW[[#This Row],[Total PoP ]]</f>
        <v>1</v>
      </c>
      <c r="DO55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4" s="867">
        <f>WWWW[[#This Row],['#_Constructed/Existing hand washing stations]]-WWWW[[#This Row],['#_Non-Functional_hand_washing_stations]]</f>
        <v>0</v>
      </c>
      <c r="DR554" s="864">
        <f>IF(WWWW[[#This Row],['# Functional hand washing stations during reporting period]]*20&gt;WWWW[[#This Row],[Total HH]],WWWW[[#This Row],[Total HH]],WWWW[[#This Row],['# Functional hand washing stations during reporting period]]*20)</f>
        <v>0</v>
      </c>
      <c r="DS554" s="864">
        <f>IF(WWWW[[#This Row],[Is sufficient soap available for TLS? (Yes/No)]]="yes",WWWW[[#This Row],['#_Constructed/Existing hand washing stations at TLS]],0)</f>
        <v>0</v>
      </c>
      <c r="DT554" s="479">
        <f>IF(WWWW[[#This Row],['# Functional hand washing stations during reporting period]]*100&gt;WWWW[[#This Row],[Total PoP ]],WWWW[[#This Row],[Total PoP ]],WWWW[[#This Row],['# Functional hand washing stations during reporting period]]*100)</f>
        <v>0</v>
      </c>
      <c r="DU554" s="479" t="str">
        <f>IF(OR(WWWW[[#This Row],['#_students at TLS_CFS]]="",WWWW[[#This Row],['#_students at TLS_CFS]]=0),"No","Yes")</f>
        <v>No</v>
      </c>
      <c r="DV55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4" s="862" t="str">
        <f>VLOOKUP(WWWW[[#This Row],[Site Name]],SiteDB6[[Site Name]:[CCCM Management]],6,FALSE)</f>
        <v>Yes</v>
      </c>
      <c r="DZ554" s="862" t="str">
        <f>VLOOKUP(WWWW[[#This Row],[Site Name]],SiteDB6[[Site Name]:[CCCM Focal Agency]],7,FALSE)</f>
        <v>KMSS-MYT</v>
      </c>
      <c r="EA554" s="862" t="str">
        <f>VLOOKUP(WWWW[[#This Row],[Site Name]],SiteDB6[[Site Name]:[Location Type 1]],9,FALSE)</f>
        <v>Camp</v>
      </c>
      <c r="EB554" s="862" t="str">
        <f>VLOOKUP(WWWW[[#This Row],[Site Name]],SiteDB6[[Site Name]:[Type of Accommodation]],10,FALSE)</f>
        <v>Camp</v>
      </c>
      <c r="EC554" s="862" t="str">
        <f>VLOOKUP(WWWW[[#This Row],[Site Name]],SiteDB6[[Site Name]:[Ethnic or GCA/NGCA]],11,FALSE)</f>
        <v>GCA</v>
      </c>
      <c r="ED554" s="862">
        <f>VLOOKUP(WWWW[[#This Row],[Site Name]],SiteDB6[[Site Name]:[Lat]],12,FALSE)</f>
        <v>25.613894999999999</v>
      </c>
      <c r="EE554" s="862">
        <f>VLOOKUP(WWWW[[#This Row],[Site Name]],SiteDB6[[Site Name]:[Long]],13,FALSE)</f>
        <v>96.341352999999998</v>
      </c>
      <c r="EF554" s="862" t="str">
        <f>VLOOKUP(WWWW[[#This Row],[Site Name]],SiteDB6[[Site Name]:[Pcode]],3,FALSE)</f>
        <v>MMR001CMP103</v>
      </c>
      <c r="EG554" s="865" t="str">
        <f t="shared" si="16"/>
        <v>Covered</v>
      </c>
      <c r="EH554" s="865" t="str">
        <f>VLOOKUP(WWWW[[#This Row],[Site Name]],Site_DB!$C$389:$D$1120,2,FALSE)</f>
        <v>cccm_2019OCT</v>
      </c>
    </row>
    <row r="555" spans="1:138">
      <c r="A555" s="860" t="s">
        <v>3263</v>
      </c>
      <c r="B555" s="860" t="s">
        <v>245</v>
      </c>
      <c r="C555" s="861" t="s">
        <v>245</v>
      </c>
      <c r="D555" s="861" t="s">
        <v>310</v>
      </c>
      <c r="E555" s="861" t="s">
        <v>39</v>
      </c>
      <c r="F555" s="861" t="s">
        <v>151</v>
      </c>
      <c r="G555" s="721" t="str">
        <f>VLOOKUP(WWWW[[#This Row],[Site Name]],SiteDB6[[Site Name]:[Location Type]],8,FALSE)</f>
        <v>Camp</v>
      </c>
      <c r="H555" s="861" t="s">
        <v>246</v>
      </c>
      <c r="I555" s="851">
        <v>123</v>
      </c>
      <c r="J555" s="851">
        <v>672</v>
      </c>
      <c r="K555" s="863">
        <v>43313</v>
      </c>
      <c r="L555" s="859">
        <v>44196</v>
      </c>
      <c r="M555" s="851"/>
      <c r="N555" s="851">
        <v>2</v>
      </c>
      <c r="O555" s="851"/>
      <c r="P555" s="851"/>
      <c r="Q555" s="864" t="s">
        <v>43</v>
      </c>
      <c r="R555" s="851">
        <v>1</v>
      </c>
      <c r="S555" s="851">
        <v>2</v>
      </c>
      <c r="T555" s="523">
        <v>0</v>
      </c>
      <c r="U555" s="851"/>
      <c r="V555" s="851"/>
      <c r="W555" s="851">
        <v>0</v>
      </c>
      <c r="X555" s="851">
        <v>0</v>
      </c>
      <c r="Y555" s="851"/>
      <c r="Z555" s="851"/>
      <c r="AA555" s="851">
        <v>1</v>
      </c>
      <c r="AB555" s="851"/>
      <c r="AC555" s="851"/>
      <c r="AD555" s="851">
        <v>0</v>
      </c>
      <c r="AE555" s="851">
        <v>1</v>
      </c>
      <c r="AF555" s="851"/>
      <c r="AG555" s="851">
        <v>0</v>
      </c>
      <c r="AH555" s="851">
        <v>0</v>
      </c>
      <c r="AI555" s="851"/>
      <c r="AJ555" s="851"/>
      <c r="AK555" s="851"/>
      <c r="AL555" s="851"/>
      <c r="AM555" s="851">
        <v>0</v>
      </c>
      <c r="AN555" s="851">
        <v>0</v>
      </c>
      <c r="AO555" s="865"/>
      <c r="AP555" s="851">
        <v>23</v>
      </c>
      <c r="AQ555" s="851">
        <v>13</v>
      </c>
      <c r="AR555" s="866" t="s">
        <v>1244</v>
      </c>
      <c r="AS555" s="851"/>
      <c r="AT555" s="851"/>
      <c r="AU555" s="851"/>
      <c r="AV555" s="851"/>
      <c r="AW555" s="851">
        <v>0</v>
      </c>
      <c r="AX555" s="862" t="s">
        <v>43</v>
      </c>
      <c r="AY555" s="865" t="s">
        <v>140</v>
      </c>
      <c r="AZ555" s="851">
        <v>0</v>
      </c>
      <c r="BA555" s="851">
        <v>0</v>
      </c>
      <c r="BB555" s="851">
        <v>0</v>
      </c>
      <c r="BC555" s="523"/>
      <c r="BD555" s="523"/>
      <c r="BE555" s="862"/>
      <c r="BF555" s="851">
        <v>4</v>
      </c>
      <c r="BG555" s="851"/>
      <c r="BH555" s="851">
        <v>0</v>
      </c>
      <c r="BI555" s="851">
        <v>4</v>
      </c>
      <c r="BJ555" s="851"/>
      <c r="BK555" s="851">
        <v>1</v>
      </c>
      <c r="BL555" s="851">
        <v>2</v>
      </c>
      <c r="BM555" s="851"/>
      <c r="BN555" s="851"/>
      <c r="BO555" s="862"/>
      <c r="BP555" s="867"/>
      <c r="BQ555" s="866"/>
      <c r="BR555" s="862"/>
      <c r="BS555" s="472"/>
      <c r="BT555" s="472"/>
      <c r="BU555" s="474"/>
      <c r="BV555" s="472"/>
      <c r="BW555" s="523"/>
      <c r="BX555" s="523"/>
      <c r="BY555" s="523"/>
      <c r="BZ555" s="868" t="str">
        <f>IFERROR(WWWW[[#This Row],['#_Water sources passed]]/WWWW[[#This Row],['#_Water sources tested for fecal coliform ]],"no test")</f>
        <v>no test</v>
      </c>
      <c r="CA555" s="866" t="str">
        <f>IFERROR(WWWW[[#This Row],['#_Household passed]]/WWWW[[#This Row],['#_Household water samples tested for fecal coliform]],"no test")</f>
        <v>no test</v>
      </c>
      <c r="CB555" s="867" t="str">
        <f>IF(AND(WWWW[[#This Row],[% of water sources passed]]="no test",WWWW[[#This Row],[% Household passed]]="no test"),"No Test","Tested")</f>
        <v>No Test</v>
      </c>
      <c r="CC555" s="867">
        <f>WWWW[[#This Row],['#_Constructed/existing protected hand dug well]]-WWWW[[#This Row],['#_Non-functional protected hand dug well]]</f>
        <v>0</v>
      </c>
      <c r="CD555" s="867">
        <f>(WWWW[[#This Row],['#_Constructed/Existing tube wells/boreholes/handpumps_WASH_agency]]+WWWW[[#This Row],['#_Non-Cluster partner water tube-wells/boreholes/handpumps]])-WWWW[[#This Row],['#_Non-functional tube wells/boreholes/handpumps]]</f>
        <v>0</v>
      </c>
      <c r="CE555" s="867">
        <f>WWWW[[#This Row],['#_Constructed/Existingwater storage tank with gravity fed reticulation system]]-WWWW[[#This Row],['#_Non-functional storage tank gravity fed reticulation system]]</f>
        <v>1</v>
      </c>
      <c r="CF555" s="867">
        <f>(WWWW[[#This Row],['#_Water_Liters_supplied_by_Water boating or water trucking]]/90)/15</f>
        <v>0</v>
      </c>
      <c r="CG555" s="867">
        <f>WWWW[[#This Row],['#_Water_Liters_from_Constructed/Existing water distribution system from river or natural spring]]/90/15</f>
        <v>0</v>
      </c>
      <c r="CH555" s="473">
        <f>WWWW[[#This Row],['#_of water points in TLS/CFS /THF]]*500</f>
        <v>0</v>
      </c>
      <c r="CI55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9.9206349206349215E-2</v>
      </c>
      <c r="CJ55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9.9206349206349215E-2</v>
      </c>
      <c r="CK555" s="866">
        <f>IF(WWWW[[#This Row],[Location Type 1]]="Village",WWWW[[#This Row],[Access to safe drinking water for Village]],WWWW[[#This Row],[Access to safe drinking water for Camp]])</f>
        <v>9.9206349206349215E-2</v>
      </c>
      <c r="CL555" s="864">
        <f>WWWW[[#This Row],[%Equitable and continuous access to sufficient quantity of safe drinking water]]*WWWW[[#This Row],[Total PoP ]]</f>
        <v>66.666666666666671</v>
      </c>
      <c r="CM555" s="866">
        <f>IF((WWWW[[#This Row],['#_Constructed/Existing protected/fenced ponds]]*250)/WWWW[[#This Row],[Total PoP ]]&gt;1,1,(WWWW[[#This Row],['#_Constructed/Existing protected/fenced ponds]]*250)/WWWW[[#This Row],[Total PoP ]])</f>
        <v>0.37202380952380953</v>
      </c>
      <c r="CN555" s="864">
        <f>WWWW[[#This Row],[% Access to unimproved water points]]*WWWW[[#This Row],[Total PoP ]]</f>
        <v>250</v>
      </c>
      <c r="CO55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0.47123015873015872</v>
      </c>
      <c r="CP55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Q555" s="864">
        <f>WWWW[[#This Row],[HRP1]]/500</f>
        <v>0.63333333333333341</v>
      </c>
      <c r="CR555" s="869">
        <f>1-WWWW[[#This Row],[% Equitable and continuous access to sufficient quantity of domestic water]]</f>
        <v>0.52876984126984128</v>
      </c>
      <c r="CS555" s="864">
        <f>WWWW[[#This Row],[%equitable and continuous access to sufficient quantity of safe drinking and domestic water''s GAP]]*WWWW[[#This Row],[Total PoP ]]</f>
        <v>355.33333333333331</v>
      </c>
      <c r="CT555" s="867">
        <f>IF(WWWW[[#This Row],[Total required water points]]-WWWW[[#This Row],['#Water points coverage]]&lt;0,0,WWWW[[#This Row],[Total required water points]]-WWWW[[#This Row],['#Water points coverage]])</f>
        <v>0.36666666666666659</v>
      </c>
      <c r="CU555" s="867">
        <f>ROUND(IF(WWWW[[#This Row],[Total PoP ]]&lt;500,1,WWWW[[#This Row],[Total PoP ]]/500),0)</f>
        <v>1</v>
      </c>
      <c r="CV555" s="867">
        <f>(WWWW[[#This Row],['#_Constructed latrines_by_WASHAgencies]]+WWWW[[#This Row],['#_Non Cluster partner latrines]])-WWWW[[#This Row],['#_Non-functional latrines]]</f>
        <v>36</v>
      </c>
      <c r="CW555" s="804">
        <f>WWWW[[#This Row],[HRP2]]/WWWW[[#This Row],[Total PoP ]]</f>
        <v>1</v>
      </c>
      <c r="CX55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672</v>
      </c>
      <c r="CY55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5" s="473">
        <f>IF(WWWW[[#This Row],['# of functional latrines in THF supported by WASH partners during the reporting period2]]="",0,WWWW[[#This Row],['# of functional latrines in THF supported by WASH partners during the reporting period2]]*50)</f>
        <v>0</v>
      </c>
      <c r="DB555" s="473">
        <f>WWWW[[#This Row],['# students access to functioning school latrines_HRP5]]+WWWW[[#This Row],['# People access to functioning latrines in THF_HRP5]]</f>
        <v>0</v>
      </c>
      <c r="DC555" s="867">
        <f>ROUND(IF(WWWW[[#This Row],[Location Type 1]]="camp",WWWW[[#This Row],[Total PoP ]]/20,IF(WWWW[[#This Row],[Location Type 1]]="Temporary Location",WWWW[[#This Row],[Total PoP ]]/50,(WWWW[[#This Row],[Total PoP ]]/6))),0)</f>
        <v>34</v>
      </c>
      <c r="DD555" s="867">
        <f>IF(WWWW[[#This Row],[Total required Latrines]]-(WWWW[[#This Row],['#_Constructed latrines_by_WASHAgencies]]+WWWW[[#This Row],['#_Non Cluster partner latrines]])&lt;0,0,WWWW[[#This Row],[Total required Latrines]]-(WWWW[[#This Row],['#_Constructed latrines_by_WASHAgencies]]+WWWW[[#This Row],['#_Non Cluster partner latrines]]))</f>
        <v>0</v>
      </c>
      <c r="DE555" s="869">
        <f>1-WWWW[[#This Row],[% people access to functioning Latrine]]</f>
        <v>0</v>
      </c>
      <c r="DF555" s="868">
        <f>IF(OR(WWWW[[#This Row],['#_Non-functional latrines]]="",WWWW[[#This Row],['#_Non-functional latrines]]=0),0,WWWW[[#This Row],['#_Non-functional latrines]]/(WWWW[[#This Row],['#_Constructed latrines_by_WASHAgencies]]+WWWW[[#This Row],['#_Non Cluster partner latrines]]))</f>
        <v>0</v>
      </c>
      <c r="DG555" s="864">
        <f>IF(500*(WWWW[[#This Row],['#_male hygiene promoters]]+WWWW[[#This Row],['#_female hygiene promoters]])&gt;WWWW[[#This Row],[Total PoP ]],WWWW[[#This Row],[Total PoP ]],500*(WWWW[[#This Row],['#_male hygiene promoters]]+WWWW[[#This Row],['#_female hygiene promoters]]))</f>
        <v>672</v>
      </c>
      <c r="DH55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5" s="867">
        <f>IF(WWWW[[#This Row],['# People with access to soap]]&gt;WWWW[[#This Row],['# People with access to Sanity Pads]],WWWW[[#This Row],['# People with access to soap]],WWWW[[#This Row],['# People with access to Sanity Pads]])</f>
        <v>0</v>
      </c>
      <c r="DK555" s="867">
        <f>IF(WWWW[[#This Row],['# people reached by regular dedicated hygiene promotion_5]]&gt;WWWW[[#This Row],['# People received regular supply of hygiene items_6]],WWWW[[#This Row],['# people reached by regular dedicated hygiene promotion_5]],WWWW[[#This Row],['# People received regular supply of hygiene items_6]])</f>
        <v>672</v>
      </c>
      <c r="DL555" s="869">
        <f>IF(WWWW[[#This Row],[HRP3]]/WWWW[[#This Row],[Total PoP ]]&gt;1,1,WWWW[[#This Row],[HRP3]]/WWWW[[#This Row],[Total PoP ]])</f>
        <v>1</v>
      </c>
      <c r="DM555" s="868">
        <f>1-WWWW[[#This Row],[Hygiene Coverage%]]</f>
        <v>0</v>
      </c>
      <c r="DN555" s="866">
        <f>WWWW[[#This Row],['# people reached by regular dedicated hygiene promotion_5]]/WWWW[[#This Row],[Total PoP ]]</f>
        <v>1</v>
      </c>
      <c r="DO55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5" s="867">
        <f>WWWW[[#This Row],['#_Constructed/Existing hand washing stations]]-WWWW[[#This Row],['#_Non-Functional_hand_washing_stations]]</f>
        <v>4</v>
      </c>
      <c r="DR555" s="864">
        <f>IF(WWWW[[#This Row],['# Functional hand washing stations during reporting period]]*20&gt;WWWW[[#This Row],[Total HH]],WWWW[[#This Row],[Total HH]],WWWW[[#This Row],['# Functional hand washing stations during reporting period]]*20)</f>
        <v>80</v>
      </c>
      <c r="DS555" s="864">
        <f>IF(WWWW[[#This Row],[Is sufficient soap available for TLS? (Yes/No)]]="yes",WWWW[[#This Row],['#_Constructed/Existing hand washing stations at TLS]],0)</f>
        <v>0</v>
      </c>
      <c r="DT555" s="479">
        <f>IF(WWWW[[#This Row],['# Functional hand washing stations during reporting period]]*100&gt;WWWW[[#This Row],[Total PoP ]],WWWW[[#This Row],[Total PoP ]],WWWW[[#This Row],['# Functional hand washing stations during reporting period]]*100)</f>
        <v>400</v>
      </c>
      <c r="DU555" s="479" t="str">
        <f>IF(OR(WWWW[[#This Row],['#_students at TLS_CFS]]="",WWWW[[#This Row],['#_students at TLS_CFS]]=0),"No","Yes")</f>
        <v>No</v>
      </c>
      <c r="DV55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5" s="862" t="str">
        <f>VLOOKUP(WWWW[[#This Row],[Site Name]],SiteDB6[[Site Name]:[CCCM Management]],6,FALSE)</f>
        <v>Yes</v>
      </c>
      <c r="DZ555" s="862" t="str">
        <f>VLOOKUP(WWWW[[#This Row],[Site Name]],SiteDB6[[Site Name]:[CCCM Focal Agency]],7,FALSE)</f>
        <v>KBC-MYT</v>
      </c>
      <c r="EA555" s="862" t="str">
        <f>VLOOKUP(WWWW[[#This Row],[Site Name]],SiteDB6[[Site Name]:[Location Type 1]],9,FALSE)</f>
        <v>Camp</v>
      </c>
      <c r="EB555" s="862" t="str">
        <f>VLOOKUP(WWWW[[#This Row],[Site Name]],SiteDB6[[Site Name]:[Type of Accommodation]],10,FALSE)</f>
        <v>camp</v>
      </c>
      <c r="EC555" s="862" t="str">
        <f>VLOOKUP(WWWW[[#This Row],[Site Name]],SiteDB6[[Site Name]:[Ethnic or GCA/NGCA]],11,FALSE)</f>
        <v>GCA</v>
      </c>
      <c r="ED555" s="862">
        <f>VLOOKUP(WWWW[[#This Row],[Site Name]],SiteDB6[[Site Name]:[Lat]],12,FALSE)</f>
        <v>0</v>
      </c>
      <c r="EE555" s="862">
        <f>VLOOKUP(WWWW[[#This Row],[Site Name]],SiteDB6[[Site Name]:[Long]],13,FALSE)</f>
        <v>0</v>
      </c>
      <c r="EF555" s="862" t="str">
        <f>VLOOKUP(WWWW[[#This Row],[Site Name]],SiteDB6[[Site Name]:[Pcode]],3,FALSE)</f>
        <v>MMR001CMP250</v>
      </c>
      <c r="EG555" s="865" t="str">
        <f t="shared" si="16"/>
        <v>Covered</v>
      </c>
      <c r="EH555" s="865" t="str">
        <f>VLOOKUP(WWWW[[#This Row],[Site Name]],Site_DB!$C$389:$D$1120,2,FALSE)</f>
        <v>cccm_2019OCT</v>
      </c>
    </row>
    <row r="556" spans="1:138">
      <c r="A556" s="860" t="s">
        <v>3263</v>
      </c>
      <c r="B556" s="860" t="s">
        <v>245</v>
      </c>
      <c r="C556" s="861" t="s">
        <v>245</v>
      </c>
      <c r="D556" s="861" t="s">
        <v>310</v>
      </c>
      <c r="E556" s="861" t="s">
        <v>39</v>
      </c>
      <c r="F556" s="861" t="s">
        <v>151</v>
      </c>
      <c r="G556" s="721" t="str">
        <f>VLOOKUP(WWWW[[#This Row],[Site Name]],SiteDB6[[Site Name]:[Location Type]],8,FALSE)</f>
        <v>Camp</v>
      </c>
      <c r="H556" s="861" t="s">
        <v>258</v>
      </c>
      <c r="I556" s="851">
        <v>18</v>
      </c>
      <c r="J556" s="851">
        <v>103</v>
      </c>
      <c r="K556" s="863">
        <v>43313</v>
      </c>
      <c r="L556" s="859">
        <v>44196</v>
      </c>
      <c r="M556" s="851"/>
      <c r="N556" s="851">
        <v>1</v>
      </c>
      <c r="O556" s="851"/>
      <c r="P556" s="851"/>
      <c r="Q556" s="864" t="s">
        <v>43</v>
      </c>
      <c r="R556" s="851">
        <v>1</v>
      </c>
      <c r="S556" s="851">
        <v>2</v>
      </c>
      <c r="T556" s="523">
        <v>0</v>
      </c>
      <c r="U556" s="851"/>
      <c r="V556" s="851"/>
      <c r="W556" s="851">
        <v>0</v>
      </c>
      <c r="X556" s="851">
        <v>0</v>
      </c>
      <c r="Y556" s="851"/>
      <c r="Z556" s="851"/>
      <c r="AA556" s="851">
        <v>2</v>
      </c>
      <c r="AB556" s="851"/>
      <c r="AC556" s="851"/>
      <c r="AD556" s="851">
        <v>0</v>
      </c>
      <c r="AE556" s="851">
        <v>2</v>
      </c>
      <c r="AF556" s="851"/>
      <c r="AG556" s="851">
        <v>1</v>
      </c>
      <c r="AH556" s="851">
        <v>0</v>
      </c>
      <c r="AI556" s="851"/>
      <c r="AJ556" s="851"/>
      <c r="AK556" s="851"/>
      <c r="AL556" s="851"/>
      <c r="AM556" s="851">
        <v>0</v>
      </c>
      <c r="AN556" s="851">
        <v>0</v>
      </c>
      <c r="AO556" s="865"/>
      <c r="AP556" s="851">
        <v>4</v>
      </c>
      <c r="AQ556" s="851">
        <v>0</v>
      </c>
      <c r="AR556" s="866" t="s">
        <v>245</v>
      </c>
      <c r="AS556" s="851"/>
      <c r="AT556" s="851"/>
      <c r="AU556" s="851"/>
      <c r="AV556" s="851"/>
      <c r="AW556" s="851">
        <v>0</v>
      </c>
      <c r="AX556" s="862" t="s">
        <v>43</v>
      </c>
      <c r="AY556" s="865" t="s">
        <v>140</v>
      </c>
      <c r="AZ556" s="851">
        <v>0</v>
      </c>
      <c r="BA556" s="851">
        <v>0</v>
      </c>
      <c r="BB556" s="851">
        <v>0</v>
      </c>
      <c r="BC556" s="523"/>
      <c r="BD556" s="523"/>
      <c r="BE556" s="862"/>
      <c r="BF556" s="851">
        <v>2</v>
      </c>
      <c r="BG556" s="851"/>
      <c r="BH556" s="851">
        <v>0</v>
      </c>
      <c r="BI556" s="851">
        <v>2</v>
      </c>
      <c r="BJ556" s="851"/>
      <c r="BK556" s="851">
        <v>1</v>
      </c>
      <c r="BL556" s="851">
        <v>2</v>
      </c>
      <c r="BM556" s="851"/>
      <c r="BN556" s="851"/>
      <c r="BO556" s="862"/>
      <c r="BP556" s="867"/>
      <c r="BQ556" s="866"/>
      <c r="BR556" s="862"/>
      <c r="BS556" s="472"/>
      <c r="BT556" s="472"/>
      <c r="BU556" s="474"/>
      <c r="BV556" s="472"/>
      <c r="BW556" s="523"/>
      <c r="BX556" s="523"/>
      <c r="BY556" s="523"/>
      <c r="BZ556" s="868" t="str">
        <f>IFERROR(WWWW[[#This Row],['#_Water sources passed]]/WWWW[[#This Row],['#_Water sources tested for fecal coliform ]],"no test")</f>
        <v>no test</v>
      </c>
      <c r="CA556" s="866" t="str">
        <f>IFERROR(WWWW[[#This Row],['#_Household passed]]/WWWW[[#This Row],['#_Household water samples tested for fecal coliform]],"no test")</f>
        <v>no test</v>
      </c>
      <c r="CB556" s="867" t="str">
        <f>IF(AND(WWWW[[#This Row],[% of water sources passed]]="no test",WWWW[[#This Row],[% Household passed]]="no test"),"No Test","Tested")</f>
        <v>No Test</v>
      </c>
      <c r="CC556" s="867">
        <f>WWWW[[#This Row],['#_Constructed/existing protected hand dug well]]-WWWW[[#This Row],['#_Non-functional protected hand dug well]]</f>
        <v>0</v>
      </c>
      <c r="CD556" s="867">
        <f>(WWWW[[#This Row],['#_Constructed/Existing tube wells/boreholes/handpumps_WASH_agency]]+WWWW[[#This Row],['#_Non-Cluster partner water tube-wells/boreholes/handpumps]])-WWWW[[#This Row],['#_Non-functional tube wells/boreholes/handpumps]]</f>
        <v>0</v>
      </c>
      <c r="CE556" s="867">
        <f>WWWW[[#This Row],['#_Constructed/Existingwater storage tank with gravity fed reticulation system]]-WWWW[[#This Row],['#_Non-functional storage tank gravity fed reticulation system]]</f>
        <v>2</v>
      </c>
      <c r="CF556" s="867">
        <f>(WWWW[[#This Row],['#_Water_Liters_supplied_by_Water boating or water trucking]]/90)/15</f>
        <v>0</v>
      </c>
      <c r="CG556" s="867">
        <f>WWWW[[#This Row],['#_Water_Liters_from_Constructed/Existing water distribution system from river or natural spring]]/90/15</f>
        <v>0</v>
      </c>
      <c r="CH556" s="473">
        <f>WWWW[[#This Row],['#_of water points in TLS/CFS /THF]]*500</f>
        <v>0</v>
      </c>
      <c r="CI55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5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56" s="866">
        <f>IF(WWWW[[#This Row],[Location Type 1]]="Village",WWWW[[#This Row],[Access to safe drinking water for Village]],WWWW[[#This Row],[Access to safe drinking water for Camp]])</f>
        <v>1</v>
      </c>
      <c r="CL556" s="864">
        <f>WWWW[[#This Row],[%Equitable and continuous access to sufficient quantity of safe drinking water]]*WWWW[[#This Row],[Total PoP ]]</f>
        <v>103</v>
      </c>
      <c r="CM556" s="866">
        <f>IF((WWWW[[#This Row],['#_Constructed/Existing protected/fenced ponds]]*250)/WWWW[[#This Row],[Total PoP ]]&gt;1,1,(WWWW[[#This Row],['#_Constructed/Existing protected/fenced ponds]]*250)/WWWW[[#This Row],[Total PoP ]])</f>
        <v>1</v>
      </c>
      <c r="CN556" s="864">
        <f>WWWW[[#This Row],[% Access to unimproved water points]]*WWWW[[#This Row],[Total PoP ]]</f>
        <v>103</v>
      </c>
      <c r="CO55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5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556" s="864">
        <f>WWWW[[#This Row],[HRP1]]/500</f>
        <v>0.20599999999999999</v>
      </c>
      <c r="CR556" s="869">
        <f>1-WWWW[[#This Row],[% Equitable and continuous access to sufficient quantity of domestic water]]</f>
        <v>0</v>
      </c>
      <c r="CS556" s="864">
        <f>WWWW[[#This Row],[%equitable and continuous access to sufficient quantity of safe drinking and domestic water''s GAP]]*WWWW[[#This Row],[Total PoP ]]</f>
        <v>0</v>
      </c>
      <c r="CT556" s="867">
        <f>IF(WWWW[[#This Row],[Total required water points]]-WWWW[[#This Row],['#Water points coverage]]&lt;0,0,WWWW[[#This Row],[Total required water points]]-WWWW[[#This Row],['#Water points coverage]])</f>
        <v>0.79400000000000004</v>
      </c>
      <c r="CU556" s="867">
        <f>ROUND(IF(WWWW[[#This Row],[Total PoP ]]&lt;500,1,WWWW[[#This Row],[Total PoP ]]/500),0)</f>
        <v>1</v>
      </c>
      <c r="CV556" s="867">
        <f>(WWWW[[#This Row],['#_Constructed latrines_by_WASHAgencies]]+WWWW[[#This Row],['#_Non Cluster partner latrines]])-WWWW[[#This Row],['#_Non-functional latrines]]</f>
        <v>4</v>
      </c>
      <c r="CW556" s="804">
        <f>WWWW[[#This Row],[HRP2]]/WWWW[[#This Row],[Total PoP ]]</f>
        <v>0.77669902912621358</v>
      </c>
      <c r="CX55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55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6" s="473">
        <f>IF(WWWW[[#This Row],['# of functional latrines in THF supported by WASH partners during the reporting period2]]="",0,WWWW[[#This Row],['# of functional latrines in THF supported by WASH partners during the reporting period2]]*50)</f>
        <v>0</v>
      </c>
      <c r="DB556" s="473">
        <f>WWWW[[#This Row],['# students access to functioning school latrines_HRP5]]+WWWW[[#This Row],['# People access to functioning latrines in THF_HRP5]]</f>
        <v>0</v>
      </c>
      <c r="DC556" s="867">
        <f>ROUND(IF(WWWW[[#This Row],[Location Type 1]]="camp",WWWW[[#This Row],[Total PoP ]]/20,IF(WWWW[[#This Row],[Location Type 1]]="Temporary Location",WWWW[[#This Row],[Total PoP ]]/50,(WWWW[[#This Row],[Total PoP ]]/6))),0)</f>
        <v>5</v>
      </c>
      <c r="DD556" s="867">
        <f>IF(WWWW[[#This Row],[Total required Latrines]]-(WWWW[[#This Row],['#_Constructed latrines_by_WASHAgencies]]+WWWW[[#This Row],['#_Non Cluster partner latrines]])&lt;0,0,WWWW[[#This Row],[Total required Latrines]]-(WWWW[[#This Row],['#_Constructed latrines_by_WASHAgencies]]+WWWW[[#This Row],['#_Non Cluster partner latrines]]))</f>
        <v>1</v>
      </c>
      <c r="DE556" s="869">
        <f>1-WWWW[[#This Row],[% people access to functioning Latrine]]</f>
        <v>0.22330097087378642</v>
      </c>
      <c r="DF556" s="868">
        <f>IF(OR(WWWW[[#This Row],['#_Non-functional latrines]]="",WWWW[[#This Row],['#_Non-functional latrines]]=0),0,WWWW[[#This Row],['#_Non-functional latrines]]/(WWWW[[#This Row],['#_Constructed latrines_by_WASHAgencies]]+WWWW[[#This Row],['#_Non Cluster partner latrines]]))</f>
        <v>0</v>
      </c>
      <c r="DG556" s="864">
        <f>IF(500*(WWWW[[#This Row],['#_male hygiene promoters]]+WWWW[[#This Row],['#_female hygiene promoters]])&gt;WWWW[[#This Row],[Total PoP ]],WWWW[[#This Row],[Total PoP ]],500*(WWWW[[#This Row],['#_male hygiene promoters]]+WWWW[[#This Row],['#_female hygiene promoters]]))</f>
        <v>103</v>
      </c>
      <c r="DH55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6" s="867">
        <f>IF(WWWW[[#This Row],['# People with access to soap]]&gt;WWWW[[#This Row],['# People with access to Sanity Pads]],WWWW[[#This Row],['# People with access to soap]],WWWW[[#This Row],['# People with access to Sanity Pads]])</f>
        <v>0</v>
      </c>
      <c r="DK556" s="867">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556" s="869">
        <f>IF(WWWW[[#This Row],[HRP3]]/WWWW[[#This Row],[Total PoP ]]&gt;1,1,WWWW[[#This Row],[HRP3]]/WWWW[[#This Row],[Total PoP ]])</f>
        <v>1</v>
      </c>
      <c r="DM556" s="868">
        <f>1-WWWW[[#This Row],[Hygiene Coverage%]]</f>
        <v>0</v>
      </c>
      <c r="DN556" s="866">
        <f>WWWW[[#This Row],['# people reached by regular dedicated hygiene promotion_5]]/WWWW[[#This Row],[Total PoP ]]</f>
        <v>1</v>
      </c>
      <c r="DO55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6" s="867">
        <f>WWWW[[#This Row],['#_Constructed/Existing hand washing stations]]-WWWW[[#This Row],['#_Non-Functional_hand_washing_stations]]</f>
        <v>2</v>
      </c>
      <c r="DR556" s="864">
        <f>IF(WWWW[[#This Row],['# Functional hand washing stations during reporting period]]*20&gt;WWWW[[#This Row],[Total HH]],WWWW[[#This Row],[Total HH]],WWWW[[#This Row],['# Functional hand washing stations during reporting period]]*20)</f>
        <v>18</v>
      </c>
      <c r="DS556" s="864">
        <f>IF(WWWW[[#This Row],[Is sufficient soap available for TLS? (Yes/No)]]="yes",WWWW[[#This Row],['#_Constructed/Existing hand washing stations at TLS]],0)</f>
        <v>0</v>
      </c>
      <c r="DT556" s="479">
        <f>IF(WWWW[[#This Row],['# Functional hand washing stations during reporting period]]*100&gt;WWWW[[#This Row],[Total PoP ]],WWWW[[#This Row],[Total PoP ]],WWWW[[#This Row],['# Functional hand washing stations during reporting period]]*100)</f>
        <v>103</v>
      </c>
      <c r="DU556" s="479" t="str">
        <f>IF(OR(WWWW[[#This Row],['#_students at TLS_CFS]]="",WWWW[[#This Row],['#_students at TLS_CFS]]=0),"No","Yes")</f>
        <v>No</v>
      </c>
      <c r="DV55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6" s="862" t="str">
        <f>VLOOKUP(WWWW[[#This Row],[Site Name]],SiteDB6[[Site Name]:[CCCM Management]],6,FALSE)</f>
        <v>Yes</v>
      </c>
      <c r="DZ556" s="862" t="str">
        <f>VLOOKUP(WWWW[[#This Row],[Site Name]],SiteDB6[[Site Name]:[CCCM Focal Agency]],7,FALSE)</f>
        <v>Shalom</v>
      </c>
      <c r="EA556" s="862" t="str">
        <f>VLOOKUP(WWWW[[#This Row],[Site Name]],SiteDB6[[Site Name]:[Location Type 1]],9,FALSE)</f>
        <v>Camp</v>
      </c>
      <c r="EB556" s="862" t="str">
        <f>VLOOKUP(WWWW[[#This Row],[Site Name]],SiteDB6[[Site Name]:[Type of Accommodation]],10,FALSE)</f>
        <v>Camp</v>
      </c>
      <c r="EC556" s="862" t="str">
        <f>VLOOKUP(WWWW[[#This Row],[Site Name]],SiteDB6[[Site Name]:[Ethnic or GCA/NGCA]],11,FALSE)</f>
        <v>GCA</v>
      </c>
      <c r="ED556" s="862">
        <f>VLOOKUP(WWWW[[#This Row],[Site Name]],SiteDB6[[Site Name]:[Lat]],12,FALSE)</f>
        <v>25.566510000000001</v>
      </c>
      <c r="EE556" s="862">
        <f>VLOOKUP(WWWW[[#This Row],[Site Name]],SiteDB6[[Site Name]:[Long]],13,FALSE)</f>
        <v>96.269199999999998</v>
      </c>
      <c r="EF556" s="862" t="str">
        <f>VLOOKUP(WWWW[[#This Row],[Site Name]],SiteDB6[[Site Name]:[Pcode]],3,FALSE)</f>
        <v>MMR001CMP181</v>
      </c>
      <c r="EG556" s="865" t="str">
        <f t="shared" si="16"/>
        <v>Covered</v>
      </c>
      <c r="EH556" s="865" t="str">
        <f>VLOOKUP(WWWW[[#This Row],[Site Name]],Site_DB!$C$389:$D$1120,2,FALSE)</f>
        <v>cccm_2019OCT</v>
      </c>
    </row>
    <row r="557" spans="1:138">
      <c r="A557" s="860" t="s">
        <v>3263</v>
      </c>
      <c r="B557" s="860" t="s">
        <v>245</v>
      </c>
      <c r="C557" s="861" t="s">
        <v>245</v>
      </c>
      <c r="D557" s="861" t="s">
        <v>310</v>
      </c>
      <c r="E557" s="861" t="s">
        <v>39</v>
      </c>
      <c r="F557" s="861" t="s">
        <v>151</v>
      </c>
      <c r="G557" s="721" t="str">
        <f>VLOOKUP(WWWW[[#This Row],[Site Name]],SiteDB6[[Site Name]:[Location Type]],8,FALSE)</f>
        <v>Camp</v>
      </c>
      <c r="H557" s="861" t="s">
        <v>259</v>
      </c>
      <c r="I557" s="851">
        <v>12</v>
      </c>
      <c r="J557" s="851">
        <v>60</v>
      </c>
      <c r="K557" s="863">
        <v>43313</v>
      </c>
      <c r="L557" s="859">
        <v>44196</v>
      </c>
      <c r="M557" s="851"/>
      <c r="N557" s="851">
        <v>1</v>
      </c>
      <c r="O557" s="851"/>
      <c r="P557" s="851"/>
      <c r="Q557" s="864" t="s">
        <v>43</v>
      </c>
      <c r="R557" s="851">
        <v>3</v>
      </c>
      <c r="S557" s="851">
        <v>4</v>
      </c>
      <c r="T557" s="523">
        <v>0</v>
      </c>
      <c r="U557" s="851"/>
      <c r="V557" s="851"/>
      <c r="W557" s="851">
        <v>0</v>
      </c>
      <c r="X557" s="851">
        <v>0</v>
      </c>
      <c r="Y557" s="851"/>
      <c r="Z557" s="851"/>
      <c r="AA557" s="851">
        <v>0</v>
      </c>
      <c r="AB557" s="851"/>
      <c r="AC557" s="851"/>
      <c r="AD557" s="851">
        <v>0</v>
      </c>
      <c r="AE557" s="851">
        <v>0</v>
      </c>
      <c r="AF557" s="851"/>
      <c r="AG557" s="851">
        <v>0</v>
      </c>
      <c r="AH557" s="851">
        <v>1</v>
      </c>
      <c r="AI557" s="851"/>
      <c r="AJ557" s="851"/>
      <c r="AK557" s="851"/>
      <c r="AL557" s="851"/>
      <c r="AM557" s="851">
        <v>0</v>
      </c>
      <c r="AN557" s="851">
        <v>0</v>
      </c>
      <c r="AO557" s="865"/>
      <c r="AP557" s="851">
        <v>2</v>
      </c>
      <c r="AQ557" s="851">
        <v>0</v>
      </c>
      <c r="AR557" s="866" t="s">
        <v>245</v>
      </c>
      <c r="AS557" s="851"/>
      <c r="AT557" s="851"/>
      <c r="AU557" s="851"/>
      <c r="AV557" s="851"/>
      <c r="AW557" s="851">
        <v>0</v>
      </c>
      <c r="AX557" s="862" t="s">
        <v>43</v>
      </c>
      <c r="AY557" s="865" t="s">
        <v>139</v>
      </c>
      <c r="AZ557" s="851">
        <v>0</v>
      </c>
      <c r="BA557" s="851">
        <v>0</v>
      </c>
      <c r="BB557" s="851">
        <v>0</v>
      </c>
      <c r="BC557" s="523"/>
      <c r="BD557" s="523"/>
      <c r="BE557" s="862"/>
      <c r="BF557" s="851">
        <v>1</v>
      </c>
      <c r="BG557" s="851"/>
      <c r="BH557" s="851">
        <v>0</v>
      </c>
      <c r="BI557" s="851">
        <v>2</v>
      </c>
      <c r="BJ557" s="851"/>
      <c r="BK557" s="851">
        <v>3</v>
      </c>
      <c r="BL557" s="851">
        <v>4</v>
      </c>
      <c r="BM557" s="851"/>
      <c r="BN557" s="851"/>
      <c r="BO557" s="862"/>
      <c r="BP557" s="867"/>
      <c r="BQ557" s="866"/>
      <c r="BR557" s="862"/>
      <c r="BS557" s="472"/>
      <c r="BT557" s="472"/>
      <c r="BU557" s="474"/>
      <c r="BV557" s="472"/>
      <c r="BW557" s="523"/>
      <c r="BX557" s="523"/>
      <c r="BY557" s="523"/>
      <c r="BZ557" s="868" t="str">
        <f>IFERROR(WWWW[[#This Row],['#_Water sources passed]]/WWWW[[#This Row],['#_Water sources tested for fecal coliform ]],"no test")</f>
        <v>no test</v>
      </c>
      <c r="CA557" s="866" t="str">
        <f>IFERROR(WWWW[[#This Row],['#_Household passed]]/WWWW[[#This Row],['#_Household water samples tested for fecal coliform]],"no test")</f>
        <v>no test</v>
      </c>
      <c r="CB557" s="867" t="str">
        <f>IF(AND(WWWW[[#This Row],[% of water sources passed]]="no test",WWWW[[#This Row],[% Household passed]]="no test"),"No Test","Tested")</f>
        <v>No Test</v>
      </c>
      <c r="CC557" s="867">
        <f>WWWW[[#This Row],['#_Constructed/existing protected hand dug well]]-WWWW[[#This Row],['#_Non-functional protected hand dug well]]</f>
        <v>0</v>
      </c>
      <c r="CD557" s="867">
        <f>(WWWW[[#This Row],['#_Constructed/Existing tube wells/boreholes/handpumps_WASH_agency]]+WWWW[[#This Row],['#_Non-Cluster partner water tube-wells/boreholes/handpumps]])-WWWW[[#This Row],['#_Non-functional tube wells/boreholes/handpumps]]</f>
        <v>0</v>
      </c>
      <c r="CE557" s="867">
        <f>WWWW[[#This Row],['#_Constructed/Existingwater storage tank with gravity fed reticulation system]]-WWWW[[#This Row],['#_Non-functional storage tank gravity fed reticulation system]]</f>
        <v>0</v>
      </c>
      <c r="CF557" s="867">
        <f>(WWWW[[#This Row],['#_Water_Liters_supplied_by_Water boating or water trucking]]/90)/15</f>
        <v>0</v>
      </c>
      <c r="CG557" s="867">
        <f>WWWW[[#This Row],['#_Water_Liters_from_Constructed/Existing water distribution system from river or natural spring]]/90/15</f>
        <v>0</v>
      </c>
      <c r="CH557" s="473">
        <f>WWWW[[#This Row],['#_of water points in TLS/CFS /THF]]*500</f>
        <v>0</v>
      </c>
      <c r="CI55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5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57" s="866">
        <f>IF(WWWW[[#This Row],[Location Type 1]]="Village",WWWW[[#This Row],[Access to safe drinking water for Village]],WWWW[[#This Row],[Access to safe drinking water for Camp]])</f>
        <v>0</v>
      </c>
      <c r="CL557" s="864">
        <f>WWWW[[#This Row],[%Equitable and continuous access to sufficient quantity of safe drinking water]]*WWWW[[#This Row],[Total PoP ]]</f>
        <v>0</v>
      </c>
      <c r="CM557" s="866">
        <f>IF((WWWW[[#This Row],['#_Constructed/Existing protected/fenced ponds]]*250)/WWWW[[#This Row],[Total PoP ]]&gt;1,1,(WWWW[[#This Row],['#_Constructed/Existing protected/fenced ponds]]*250)/WWWW[[#This Row],[Total PoP ]])</f>
        <v>0</v>
      </c>
      <c r="CN557" s="864">
        <f>WWWW[[#This Row],[% Access to unimproved water points]]*WWWW[[#This Row],[Total PoP ]]</f>
        <v>0</v>
      </c>
      <c r="CO55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5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57" s="864">
        <f>WWWW[[#This Row],[HRP1]]/500</f>
        <v>0</v>
      </c>
      <c r="CR557" s="869">
        <f>1-WWWW[[#This Row],[% Equitable and continuous access to sufficient quantity of domestic water]]</f>
        <v>1</v>
      </c>
      <c r="CS557" s="864">
        <f>WWWW[[#This Row],[%equitable and continuous access to sufficient quantity of safe drinking and domestic water''s GAP]]*WWWW[[#This Row],[Total PoP ]]</f>
        <v>60</v>
      </c>
      <c r="CT557" s="867">
        <f>IF(WWWW[[#This Row],[Total required water points]]-WWWW[[#This Row],['#Water points coverage]]&lt;0,0,WWWW[[#This Row],[Total required water points]]-WWWW[[#This Row],['#Water points coverage]])</f>
        <v>1</v>
      </c>
      <c r="CU557" s="867">
        <f>ROUND(IF(WWWW[[#This Row],[Total PoP ]]&lt;500,1,WWWW[[#This Row],[Total PoP ]]/500),0)</f>
        <v>1</v>
      </c>
      <c r="CV557" s="867">
        <f>(WWWW[[#This Row],['#_Constructed latrines_by_WASHAgencies]]+WWWW[[#This Row],['#_Non Cluster partner latrines]])-WWWW[[#This Row],['#_Non-functional latrines]]</f>
        <v>2</v>
      </c>
      <c r="CW557" s="804">
        <f>WWWW[[#This Row],[HRP2]]/WWWW[[#This Row],[Total PoP ]]</f>
        <v>0.66666666666666663</v>
      </c>
      <c r="CX55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CY55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7" s="473">
        <f>IF(WWWW[[#This Row],['# of functional latrines in THF supported by WASH partners during the reporting period2]]="",0,WWWW[[#This Row],['# of functional latrines in THF supported by WASH partners during the reporting period2]]*50)</f>
        <v>0</v>
      </c>
      <c r="DB557" s="473">
        <f>WWWW[[#This Row],['# students access to functioning school latrines_HRP5]]+WWWW[[#This Row],['# People access to functioning latrines in THF_HRP5]]</f>
        <v>0</v>
      </c>
      <c r="DC557" s="867">
        <f>ROUND(IF(WWWW[[#This Row],[Location Type 1]]="camp",WWWW[[#This Row],[Total PoP ]]/20,IF(WWWW[[#This Row],[Location Type 1]]="Temporary Location",WWWW[[#This Row],[Total PoP ]]/50,(WWWW[[#This Row],[Total PoP ]]/6))),0)</f>
        <v>3</v>
      </c>
      <c r="DD557" s="867">
        <f>IF(WWWW[[#This Row],[Total required Latrines]]-(WWWW[[#This Row],['#_Constructed latrines_by_WASHAgencies]]+WWWW[[#This Row],['#_Non Cluster partner latrines]])&lt;0,0,WWWW[[#This Row],[Total required Latrines]]-(WWWW[[#This Row],['#_Constructed latrines_by_WASHAgencies]]+WWWW[[#This Row],['#_Non Cluster partner latrines]]))</f>
        <v>1</v>
      </c>
      <c r="DE557" s="869">
        <f>1-WWWW[[#This Row],[% people access to functioning Latrine]]</f>
        <v>0.33333333333333337</v>
      </c>
      <c r="DF557" s="868">
        <f>IF(OR(WWWW[[#This Row],['#_Non-functional latrines]]="",WWWW[[#This Row],['#_Non-functional latrines]]=0),0,WWWW[[#This Row],['#_Non-functional latrines]]/(WWWW[[#This Row],['#_Constructed latrines_by_WASHAgencies]]+WWWW[[#This Row],['#_Non Cluster partner latrines]]))</f>
        <v>0</v>
      </c>
      <c r="DG557" s="864">
        <f>IF(500*(WWWW[[#This Row],['#_male hygiene promoters]]+WWWW[[#This Row],['#_female hygiene promoters]])&gt;WWWW[[#This Row],[Total PoP ]],WWWW[[#This Row],[Total PoP ]],500*(WWWW[[#This Row],['#_male hygiene promoters]]+WWWW[[#This Row],['#_female hygiene promoters]]))</f>
        <v>60</v>
      </c>
      <c r="DH55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7" s="867">
        <f>IF(WWWW[[#This Row],['# People with access to soap]]&gt;WWWW[[#This Row],['# People with access to Sanity Pads]],WWWW[[#This Row],['# People with access to soap]],WWWW[[#This Row],['# People with access to Sanity Pads]])</f>
        <v>0</v>
      </c>
      <c r="DK557" s="867">
        <f>IF(WWWW[[#This Row],['# people reached by regular dedicated hygiene promotion_5]]&gt;WWWW[[#This Row],['# People received regular supply of hygiene items_6]],WWWW[[#This Row],['# people reached by regular dedicated hygiene promotion_5]],WWWW[[#This Row],['# People received regular supply of hygiene items_6]])</f>
        <v>60</v>
      </c>
      <c r="DL557" s="869">
        <f>IF(WWWW[[#This Row],[HRP3]]/WWWW[[#This Row],[Total PoP ]]&gt;1,1,WWWW[[#This Row],[HRP3]]/WWWW[[#This Row],[Total PoP ]])</f>
        <v>1</v>
      </c>
      <c r="DM557" s="868">
        <f>1-WWWW[[#This Row],[Hygiene Coverage%]]</f>
        <v>0</v>
      </c>
      <c r="DN557" s="866">
        <f>WWWW[[#This Row],['# people reached by regular dedicated hygiene promotion_5]]/WWWW[[#This Row],[Total PoP ]]</f>
        <v>1</v>
      </c>
      <c r="DO55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7" s="867">
        <f>WWWW[[#This Row],['#_Constructed/Existing hand washing stations]]-WWWW[[#This Row],['#_Non-Functional_hand_washing_stations]]</f>
        <v>1</v>
      </c>
      <c r="DR557" s="864">
        <f>IF(WWWW[[#This Row],['# Functional hand washing stations during reporting period]]*20&gt;WWWW[[#This Row],[Total HH]],WWWW[[#This Row],[Total HH]],WWWW[[#This Row],['# Functional hand washing stations during reporting period]]*20)</f>
        <v>12</v>
      </c>
      <c r="DS557" s="864">
        <f>IF(WWWW[[#This Row],[Is sufficient soap available for TLS? (Yes/No)]]="yes",WWWW[[#This Row],['#_Constructed/Existing hand washing stations at TLS]],0)</f>
        <v>0</v>
      </c>
      <c r="DT557" s="479">
        <f>IF(WWWW[[#This Row],['# Functional hand washing stations during reporting period]]*100&gt;WWWW[[#This Row],[Total PoP ]],WWWW[[#This Row],[Total PoP ]],WWWW[[#This Row],['# Functional hand washing stations during reporting period]]*100)</f>
        <v>60</v>
      </c>
      <c r="DU557" s="479" t="str">
        <f>IF(OR(WWWW[[#This Row],['#_students at TLS_CFS]]="",WWWW[[#This Row],['#_students at TLS_CFS]]=0),"No","Yes")</f>
        <v>No</v>
      </c>
      <c r="DV55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7" s="862" t="str">
        <f>VLOOKUP(WWWW[[#This Row],[Site Name]],SiteDB6[[Site Name]:[CCCM Management]],6,FALSE)</f>
        <v>Yes</v>
      </c>
      <c r="DZ557" s="862" t="str">
        <f>VLOOKUP(WWWW[[#This Row],[Site Name]],SiteDB6[[Site Name]:[CCCM Focal Agency]],7,FALSE)</f>
        <v>Shalom</v>
      </c>
      <c r="EA557" s="862" t="str">
        <f>VLOOKUP(WWWW[[#This Row],[Site Name]],SiteDB6[[Site Name]:[Location Type 1]],9,FALSE)</f>
        <v>Camp</v>
      </c>
      <c r="EB557" s="862" t="str">
        <f>VLOOKUP(WWWW[[#This Row],[Site Name]],SiteDB6[[Site Name]:[Type of Accommodation]],10,FALSE)</f>
        <v>Camp</v>
      </c>
      <c r="EC557" s="862" t="str">
        <f>VLOOKUP(WWWW[[#This Row],[Site Name]],SiteDB6[[Site Name]:[Ethnic or GCA/NGCA]],11,FALSE)</f>
        <v>GCA</v>
      </c>
      <c r="ED557" s="862">
        <f>VLOOKUP(WWWW[[#This Row],[Site Name]],SiteDB6[[Site Name]:[Lat]],12,FALSE)</f>
        <v>25.61842</v>
      </c>
      <c r="EE557" s="862">
        <f>VLOOKUP(WWWW[[#This Row],[Site Name]],SiteDB6[[Site Name]:[Long]],13,FALSE)</f>
        <v>96.316400000000002</v>
      </c>
      <c r="EF557" s="862" t="str">
        <f>VLOOKUP(WWWW[[#This Row],[Site Name]],SiteDB6[[Site Name]:[Pcode]],3,FALSE)</f>
        <v>MMR001CMP167</v>
      </c>
      <c r="EG557" s="865" t="str">
        <f t="shared" si="16"/>
        <v>Covered</v>
      </c>
      <c r="EH557" s="865" t="str">
        <f>VLOOKUP(WWWW[[#This Row],[Site Name]],Site_DB!$C$389:$D$1120,2,FALSE)</f>
        <v>cccm_2019OCT</v>
      </c>
    </row>
    <row r="558" spans="1:138">
      <c r="A558" s="860" t="s">
        <v>3263</v>
      </c>
      <c r="B558" s="860" t="s">
        <v>38</v>
      </c>
      <c r="C558" s="861" t="s">
        <v>38</v>
      </c>
      <c r="D558" s="861" t="s">
        <v>3372</v>
      </c>
      <c r="E558" s="861" t="s">
        <v>39</v>
      </c>
      <c r="F558" s="861" t="s">
        <v>149</v>
      </c>
      <c r="G558" s="721" t="str">
        <f>VLOOKUP(WWWW[[#This Row],[Site Name]],SiteDB6[[Site Name]:[Location Type]],8,FALSE)</f>
        <v>Camp</v>
      </c>
      <c r="H558" s="861" t="s">
        <v>228</v>
      </c>
      <c r="I558" s="851">
        <v>57</v>
      </c>
      <c r="J558" s="851">
        <v>264</v>
      </c>
      <c r="K558" s="863" t="s">
        <v>3619</v>
      </c>
      <c r="L558" s="859" t="s">
        <v>3620</v>
      </c>
      <c r="M558" s="851"/>
      <c r="N558" s="851"/>
      <c r="O558" s="851"/>
      <c r="P558" s="851"/>
      <c r="Q558" s="864" t="s">
        <v>43</v>
      </c>
      <c r="R558" s="851"/>
      <c r="S558" s="851"/>
      <c r="T558" s="523"/>
      <c r="U558" s="851"/>
      <c r="V558" s="851"/>
      <c r="W558" s="851"/>
      <c r="X558" s="851"/>
      <c r="Y558" s="851"/>
      <c r="Z558" s="851"/>
      <c r="AA558" s="851">
        <v>1</v>
      </c>
      <c r="AB558" s="851"/>
      <c r="AC558" s="851"/>
      <c r="AD558" s="851"/>
      <c r="AE558" s="851"/>
      <c r="AF558" s="851"/>
      <c r="AG558" s="851"/>
      <c r="AH558" s="851"/>
      <c r="AI558" s="851"/>
      <c r="AJ558" s="851"/>
      <c r="AK558" s="851"/>
      <c r="AL558" s="851"/>
      <c r="AM558" s="851"/>
      <c r="AN558" s="851"/>
      <c r="AO558" s="865"/>
      <c r="AP558" s="851">
        <v>28</v>
      </c>
      <c r="AQ558" s="851"/>
      <c r="AR558" s="866"/>
      <c r="AS558" s="851"/>
      <c r="AT558" s="851"/>
      <c r="AU558" s="851"/>
      <c r="AV558" s="851"/>
      <c r="AW558" s="851"/>
      <c r="AX558" s="862" t="s">
        <v>43</v>
      </c>
      <c r="AY558" s="865" t="s">
        <v>140</v>
      </c>
      <c r="AZ558" s="851">
        <v>2</v>
      </c>
      <c r="BA558" s="851"/>
      <c r="BB558" s="851"/>
      <c r="BC558" s="523"/>
      <c r="BD558" s="523"/>
      <c r="BE558" s="862"/>
      <c r="BF558" s="851"/>
      <c r="BG558" s="851"/>
      <c r="BH558" s="851"/>
      <c r="BI558" s="851">
        <v>2</v>
      </c>
      <c r="BJ558" s="851"/>
      <c r="BK558" s="851"/>
      <c r="BL558" s="851"/>
      <c r="BM558" s="851"/>
      <c r="BN558" s="851"/>
      <c r="BO558" s="862"/>
      <c r="BP558" s="867"/>
      <c r="BQ558" s="866"/>
      <c r="BR558" s="862"/>
      <c r="BS558" s="472"/>
      <c r="BT558" s="472"/>
      <c r="BU558" s="474"/>
      <c r="BV558" s="472"/>
      <c r="BW558" s="523"/>
      <c r="BX558" s="523"/>
      <c r="BY558" s="523"/>
      <c r="BZ558" s="868" t="str">
        <f>IFERROR(WWWW[[#This Row],['#_Water sources passed]]/WWWW[[#This Row],['#_Water sources tested for fecal coliform ]],"no test")</f>
        <v>no test</v>
      </c>
      <c r="CA558" s="866" t="str">
        <f>IFERROR(WWWW[[#This Row],['#_Household passed]]/WWWW[[#This Row],['#_Household water samples tested for fecal coliform]],"no test")</f>
        <v>no test</v>
      </c>
      <c r="CB558" s="867" t="str">
        <f>IF(AND(WWWW[[#This Row],[% of water sources passed]]="no test",WWWW[[#This Row],[% Household passed]]="no test"),"No Test","Tested")</f>
        <v>No Test</v>
      </c>
      <c r="CC558" s="867">
        <f>WWWW[[#This Row],['#_Constructed/existing protected hand dug well]]-WWWW[[#This Row],['#_Non-functional protected hand dug well]]</f>
        <v>0</v>
      </c>
      <c r="CD558" s="867">
        <f>(WWWW[[#This Row],['#_Constructed/Existing tube wells/boreholes/handpumps_WASH_agency]]+WWWW[[#This Row],['#_Non-Cluster partner water tube-wells/boreholes/handpumps]])-WWWW[[#This Row],['#_Non-functional tube wells/boreholes/handpumps]]</f>
        <v>0</v>
      </c>
      <c r="CE558" s="867">
        <f>WWWW[[#This Row],['#_Constructed/Existingwater storage tank with gravity fed reticulation system]]-WWWW[[#This Row],['#_Non-functional storage tank gravity fed reticulation system]]</f>
        <v>1</v>
      </c>
      <c r="CF558" s="867">
        <f>(WWWW[[#This Row],['#_Water_Liters_supplied_by_Water boating or water trucking]]/90)/15</f>
        <v>0</v>
      </c>
      <c r="CG558" s="867">
        <f>WWWW[[#This Row],['#_Water_Liters_from_Constructed/Existing water distribution system from river or natural spring]]/90/15</f>
        <v>0</v>
      </c>
      <c r="CH558" s="473">
        <f>WWWW[[#This Row],['#_of water points in TLS/CFS /THF]]*500</f>
        <v>0</v>
      </c>
      <c r="CI55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0.25252525252525254</v>
      </c>
      <c r="CJ55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0.25252525252525254</v>
      </c>
      <c r="CK558" s="866">
        <f>IF(WWWW[[#This Row],[Location Type 1]]="Village",WWWW[[#This Row],[Access to safe drinking water for Village]],WWWW[[#This Row],[Access to safe drinking water for Camp]])</f>
        <v>0.25252525252525254</v>
      </c>
      <c r="CL558" s="864">
        <f>WWWW[[#This Row],[%Equitable and continuous access to sufficient quantity of safe drinking water]]*WWWW[[#This Row],[Total PoP ]]</f>
        <v>66.666666666666671</v>
      </c>
      <c r="CM558" s="866">
        <f>IF((WWWW[[#This Row],['#_Constructed/Existing protected/fenced ponds]]*250)/WWWW[[#This Row],[Total PoP ]]&gt;1,1,(WWWW[[#This Row],['#_Constructed/Existing protected/fenced ponds]]*250)/WWWW[[#This Row],[Total PoP ]])</f>
        <v>0</v>
      </c>
      <c r="CN558" s="864">
        <f>WWWW[[#This Row],[% Access to unimproved water points]]*WWWW[[#This Row],[Total PoP ]]</f>
        <v>0</v>
      </c>
      <c r="CO55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P55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58" s="864">
        <f>WWWW[[#This Row],[HRP1]]/500</f>
        <v>0.13333333333333333</v>
      </c>
      <c r="CR558" s="869">
        <f>1-WWWW[[#This Row],[% Equitable and continuous access to sufficient quantity of domestic water]]</f>
        <v>0.7474747474747474</v>
      </c>
      <c r="CS558" s="864">
        <f>WWWW[[#This Row],[%equitable and continuous access to sufficient quantity of safe drinking and domestic water''s GAP]]*WWWW[[#This Row],[Total PoP ]]</f>
        <v>197.33333333333331</v>
      </c>
      <c r="CT558" s="867">
        <f>IF(WWWW[[#This Row],[Total required water points]]-WWWW[[#This Row],['#Water points coverage]]&lt;0,0,WWWW[[#This Row],[Total required water points]]-WWWW[[#This Row],['#Water points coverage]])</f>
        <v>0.8666666666666667</v>
      </c>
      <c r="CU558" s="867">
        <f>ROUND(IF(WWWW[[#This Row],[Total PoP ]]&lt;500,1,WWWW[[#This Row],[Total PoP ]]/500),0)</f>
        <v>1</v>
      </c>
      <c r="CV558" s="867">
        <f>(WWWW[[#This Row],['#_Constructed latrines_by_WASHAgencies]]+WWWW[[#This Row],['#_Non Cluster partner latrines]])-WWWW[[#This Row],['#_Non-functional latrines]]</f>
        <v>28</v>
      </c>
      <c r="CW558" s="804">
        <f>WWWW[[#This Row],[HRP2]]/WWWW[[#This Row],[Total PoP ]]</f>
        <v>1</v>
      </c>
      <c r="CX55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CY55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8" s="473">
        <f>IF(WWWW[[#This Row],['# of functional latrines in THF supported by WASH partners during the reporting period2]]="",0,WWWW[[#This Row],['# of functional latrines in THF supported by WASH partners during the reporting period2]]*50)</f>
        <v>0</v>
      </c>
      <c r="DB558" s="473">
        <f>WWWW[[#This Row],['# students access to functioning school latrines_HRP5]]+WWWW[[#This Row],['# People access to functioning latrines in THF_HRP5]]</f>
        <v>0</v>
      </c>
      <c r="DC558" s="867">
        <f>ROUND(IF(WWWW[[#This Row],[Location Type 1]]="camp",WWWW[[#This Row],[Total PoP ]]/20,IF(WWWW[[#This Row],[Location Type 1]]="Temporary Location",WWWW[[#This Row],[Total PoP ]]/50,(WWWW[[#This Row],[Total PoP ]]/6))),0)</f>
        <v>13</v>
      </c>
      <c r="DD558" s="867">
        <f>IF(WWWW[[#This Row],[Total required Latrines]]-(WWWW[[#This Row],['#_Constructed latrines_by_WASHAgencies]]+WWWW[[#This Row],['#_Non Cluster partner latrines]])&lt;0,0,WWWW[[#This Row],[Total required Latrines]]-(WWWW[[#This Row],['#_Constructed latrines_by_WASHAgencies]]+WWWW[[#This Row],['#_Non Cluster partner latrines]]))</f>
        <v>0</v>
      </c>
      <c r="DE558" s="869">
        <f>1-WWWW[[#This Row],[% people access to functioning Latrine]]</f>
        <v>0</v>
      </c>
      <c r="DF558" s="868">
        <f>IF(OR(WWWW[[#This Row],['#_Non-functional latrines]]="",WWWW[[#This Row],['#_Non-functional latrines]]=0),0,WWWW[[#This Row],['#_Non-functional latrines]]/(WWWW[[#This Row],['#_Constructed latrines_by_WASHAgencies]]+WWWW[[#This Row],['#_Non Cluster partner latrines]]))</f>
        <v>0</v>
      </c>
      <c r="DG558" s="864">
        <f>IF(500*(WWWW[[#This Row],['#_male hygiene promoters]]+WWWW[[#This Row],['#_female hygiene promoters]])&gt;WWWW[[#This Row],[Total PoP ]],WWWW[[#This Row],[Total PoP ]],500*(WWWW[[#This Row],['#_male hygiene promoters]]+WWWW[[#This Row],['#_female hygiene promoters]]))</f>
        <v>0</v>
      </c>
      <c r="DH55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8" s="867">
        <f>IF(WWWW[[#This Row],['# People with access to soap]]&gt;WWWW[[#This Row],['# People with access to Sanity Pads]],WWWW[[#This Row],['# People with access to soap]],WWWW[[#This Row],['# People with access to Sanity Pads]])</f>
        <v>0</v>
      </c>
      <c r="DK55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58" s="869">
        <f>IF(WWWW[[#This Row],[HRP3]]/WWWW[[#This Row],[Total PoP ]]&gt;1,1,WWWW[[#This Row],[HRP3]]/WWWW[[#This Row],[Total PoP ]])</f>
        <v>0</v>
      </c>
      <c r="DM558" s="868">
        <f>1-WWWW[[#This Row],[Hygiene Coverage%]]</f>
        <v>1</v>
      </c>
      <c r="DN558" s="866">
        <f>WWWW[[#This Row],['# people reached by regular dedicated hygiene promotion_5]]/WWWW[[#This Row],[Total PoP ]]</f>
        <v>0</v>
      </c>
      <c r="DO55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8" s="867">
        <f>WWWW[[#This Row],['#_Constructed/Existing hand washing stations]]-WWWW[[#This Row],['#_Non-Functional_hand_washing_stations]]</f>
        <v>0</v>
      </c>
      <c r="DR558" s="864">
        <f>IF(WWWW[[#This Row],['# Functional hand washing stations during reporting period]]*20&gt;WWWW[[#This Row],[Total HH]],WWWW[[#This Row],[Total HH]],WWWW[[#This Row],['# Functional hand washing stations during reporting period]]*20)</f>
        <v>0</v>
      </c>
      <c r="DS558" s="864">
        <f>IF(WWWW[[#This Row],[Is sufficient soap available for TLS? (Yes/No)]]="yes",WWWW[[#This Row],['#_Constructed/Existing hand washing stations at TLS]],0)</f>
        <v>0</v>
      </c>
      <c r="DT558" s="479">
        <f>IF(WWWW[[#This Row],['# Functional hand washing stations during reporting period]]*100&gt;WWWW[[#This Row],[Total PoP ]],WWWW[[#This Row],[Total PoP ]],WWWW[[#This Row],['# Functional hand washing stations during reporting period]]*100)</f>
        <v>0</v>
      </c>
      <c r="DU558" s="479" t="str">
        <f>IF(OR(WWWW[[#This Row],['#_students at TLS_CFS]]="",WWWW[[#This Row],['#_students at TLS_CFS]]=0),"No","Yes")</f>
        <v>No</v>
      </c>
      <c r="DV55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8" s="862" t="str">
        <f>VLOOKUP(WWWW[[#This Row],[Site Name]],SiteDB6[[Site Name]:[CCCM Management]],6,FALSE)</f>
        <v>Yes</v>
      </c>
      <c r="DZ558" s="862" t="str">
        <f>VLOOKUP(WWWW[[#This Row],[Site Name]],SiteDB6[[Site Name]:[CCCM Focal Agency]],7,FALSE)</f>
        <v>KMSS-MYT</v>
      </c>
      <c r="EA558" s="862" t="str">
        <f>VLOOKUP(WWWW[[#This Row],[Site Name]],SiteDB6[[Site Name]:[Location Type 1]],9,FALSE)</f>
        <v>Camp</v>
      </c>
      <c r="EB558" s="862" t="str">
        <f>VLOOKUP(WWWW[[#This Row],[Site Name]],SiteDB6[[Site Name]:[Type of Accommodation]],10,FALSE)</f>
        <v>Camp</v>
      </c>
      <c r="EC558" s="862" t="str">
        <f>VLOOKUP(WWWW[[#This Row],[Site Name]],SiteDB6[[Site Name]:[Ethnic or GCA/NGCA]],11,FALSE)</f>
        <v>GCA</v>
      </c>
      <c r="ED558" s="862">
        <f>VLOOKUP(WWWW[[#This Row],[Site Name]],SiteDB6[[Site Name]:[Lat]],12,FALSE)</f>
        <v>25.60867</v>
      </c>
      <c r="EE558" s="862">
        <f>VLOOKUP(WWWW[[#This Row],[Site Name]],SiteDB6[[Site Name]:[Long]],13,FALSE)</f>
        <v>98.377780000000001</v>
      </c>
      <c r="EF558" s="862" t="str">
        <f>VLOOKUP(WWWW[[#This Row],[Site Name]],SiteDB6[[Site Name]:[Pcode]],3,FALSE)</f>
        <v>MMR001CMP210</v>
      </c>
      <c r="EG558" s="865" t="str">
        <f t="shared" si="16"/>
        <v>Covered</v>
      </c>
      <c r="EH558" s="865" t="str">
        <f>VLOOKUP(WWWW[[#This Row],[Site Name]],Site_DB!$C$389:$D$1120,2,FALSE)</f>
        <v>cccm_2019OCT</v>
      </c>
    </row>
    <row r="559" spans="1:138">
      <c r="A559" s="860" t="s">
        <v>3263</v>
      </c>
      <c r="B559" s="860" t="s">
        <v>245</v>
      </c>
      <c r="C559" s="861" t="s">
        <v>245</v>
      </c>
      <c r="D559" s="861" t="s">
        <v>310</v>
      </c>
      <c r="E559" s="861" t="s">
        <v>39</v>
      </c>
      <c r="F559" s="861" t="s">
        <v>149</v>
      </c>
      <c r="G559" s="721" t="str">
        <f>VLOOKUP(WWWW[[#This Row],[Site Name]],SiteDB6[[Site Name]:[Location Type]],8,FALSE)</f>
        <v>Camp</v>
      </c>
      <c r="H559" s="861" t="s">
        <v>248</v>
      </c>
      <c r="I559" s="851">
        <v>162</v>
      </c>
      <c r="J559" s="851">
        <v>830</v>
      </c>
      <c r="K559" s="863">
        <v>43313</v>
      </c>
      <c r="L559" s="859">
        <v>44196</v>
      </c>
      <c r="M559" s="851"/>
      <c r="N559" s="851">
        <v>1</v>
      </c>
      <c r="O559" s="851"/>
      <c r="P559" s="851"/>
      <c r="Q559" s="864" t="s">
        <v>43</v>
      </c>
      <c r="R559" s="851">
        <v>2</v>
      </c>
      <c r="S559" s="851">
        <v>3</v>
      </c>
      <c r="T559" s="523">
        <v>0</v>
      </c>
      <c r="U559" s="851"/>
      <c r="V559" s="851"/>
      <c r="W559" s="851">
        <v>0</v>
      </c>
      <c r="X559" s="851"/>
      <c r="Y559" s="851"/>
      <c r="Z559" s="851"/>
      <c r="AA559" s="851">
        <v>1</v>
      </c>
      <c r="AB559" s="851"/>
      <c r="AC559" s="851"/>
      <c r="AD559" s="851"/>
      <c r="AE559" s="851"/>
      <c r="AF559" s="851"/>
      <c r="AG559" s="851"/>
      <c r="AH559" s="851">
        <v>1</v>
      </c>
      <c r="AI559" s="851"/>
      <c r="AJ559" s="851"/>
      <c r="AK559" s="851"/>
      <c r="AL559" s="851"/>
      <c r="AM559" s="851"/>
      <c r="AN559" s="851"/>
      <c r="AO559" s="865"/>
      <c r="AP559" s="851">
        <v>38</v>
      </c>
      <c r="AQ559" s="851">
        <v>12</v>
      </c>
      <c r="AR559" s="866" t="s">
        <v>1244</v>
      </c>
      <c r="AS559" s="851"/>
      <c r="AT559" s="851"/>
      <c r="AU559" s="851"/>
      <c r="AV559" s="851"/>
      <c r="AW559" s="851">
        <v>0</v>
      </c>
      <c r="AX559" s="862" t="s">
        <v>139</v>
      </c>
      <c r="AY559" s="865" t="s">
        <v>1195</v>
      </c>
      <c r="AZ559" s="851">
        <v>0</v>
      </c>
      <c r="BA559" s="851">
        <v>0</v>
      </c>
      <c r="BB559" s="851">
        <v>0</v>
      </c>
      <c r="BC559" s="523"/>
      <c r="BD559" s="523"/>
      <c r="BE559" s="862"/>
      <c r="BF559" s="851">
        <v>14</v>
      </c>
      <c r="BG559" s="851"/>
      <c r="BH559" s="851">
        <v>0</v>
      </c>
      <c r="BI559" s="851">
        <v>9</v>
      </c>
      <c r="BJ559" s="851"/>
      <c r="BK559" s="851">
        <v>2</v>
      </c>
      <c r="BL559" s="851">
        <v>3</v>
      </c>
      <c r="BM559" s="851"/>
      <c r="BN559" s="851"/>
      <c r="BO559" s="862" t="s">
        <v>139</v>
      </c>
      <c r="BP559" s="867"/>
      <c r="BQ559" s="866"/>
      <c r="BR559" s="862"/>
      <c r="BS559" s="472"/>
      <c r="BT559" s="472"/>
      <c r="BU559" s="474"/>
      <c r="BV559" s="472"/>
      <c r="BW559" s="523"/>
      <c r="BX559" s="523"/>
      <c r="BY559" s="523"/>
      <c r="BZ559" s="868" t="str">
        <f>IFERROR(WWWW[[#This Row],['#_Water sources passed]]/WWWW[[#This Row],['#_Water sources tested for fecal coliform ]],"no test")</f>
        <v>no test</v>
      </c>
      <c r="CA559" s="866" t="str">
        <f>IFERROR(WWWW[[#This Row],['#_Household passed]]/WWWW[[#This Row],['#_Household water samples tested for fecal coliform]],"no test")</f>
        <v>no test</v>
      </c>
      <c r="CB559" s="867" t="str">
        <f>IF(AND(WWWW[[#This Row],[% of water sources passed]]="no test",WWWW[[#This Row],[% Household passed]]="no test"),"No Test","Tested")</f>
        <v>No Test</v>
      </c>
      <c r="CC559" s="867">
        <f>WWWW[[#This Row],['#_Constructed/existing protected hand dug well]]-WWWW[[#This Row],['#_Non-functional protected hand dug well]]</f>
        <v>0</v>
      </c>
      <c r="CD559" s="867">
        <f>(WWWW[[#This Row],['#_Constructed/Existing tube wells/boreholes/handpumps_WASH_agency]]+WWWW[[#This Row],['#_Non-Cluster partner water tube-wells/boreholes/handpumps]])-WWWW[[#This Row],['#_Non-functional tube wells/boreholes/handpumps]]</f>
        <v>0</v>
      </c>
      <c r="CE559" s="867">
        <f>WWWW[[#This Row],['#_Constructed/Existingwater storage tank with gravity fed reticulation system]]-WWWW[[#This Row],['#_Non-functional storage tank gravity fed reticulation system]]</f>
        <v>1</v>
      </c>
      <c r="CF559" s="867">
        <f>(WWWW[[#This Row],['#_Water_Liters_supplied_by_Water boating or water trucking]]/90)/15</f>
        <v>0</v>
      </c>
      <c r="CG559" s="867">
        <f>WWWW[[#This Row],['#_Water_Liters_from_Constructed/Existing water distribution system from river or natural spring]]/90/15</f>
        <v>0</v>
      </c>
      <c r="CH559" s="473">
        <f>WWWW[[#This Row],['#_of water points in TLS/CFS /THF]]*500</f>
        <v>0</v>
      </c>
      <c r="CI55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8.0321285140562249E-2</v>
      </c>
      <c r="CJ55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8.0321285140562249E-2</v>
      </c>
      <c r="CK559" s="866">
        <f>IF(WWWW[[#This Row],[Location Type 1]]="Village",WWWW[[#This Row],[Access to safe drinking water for Village]],WWWW[[#This Row],[Access to safe drinking water for Camp]])</f>
        <v>8.0321285140562249E-2</v>
      </c>
      <c r="CL559" s="864">
        <f>WWWW[[#This Row],[%Equitable and continuous access to sufficient quantity of safe drinking water]]*WWWW[[#This Row],[Total PoP ]]</f>
        <v>66.666666666666671</v>
      </c>
      <c r="CM559" s="866">
        <f>IF((WWWW[[#This Row],['#_Constructed/Existing protected/fenced ponds]]*250)/WWWW[[#This Row],[Total PoP ]]&gt;1,1,(WWWW[[#This Row],['#_Constructed/Existing protected/fenced ponds]]*250)/WWWW[[#This Row],[Total PoP ]])</f>
        <v>0</v>
      </c>
      <c r="CN559" s="864">
        <f>WWWW[[#This Row],[% Access to unimproved water points]]*WWWW[[#This Row],[Total PoP ]]</f>
        <v>0</v>
      </c>
      <c r="CO55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P55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59" s="864">
        <f>WWWW[[#This Row],[HRP1]]/500</f>
        <v>0.13333333333333333</v>
      </c>
      <c r="CR559" s="869">
        <f>1-WWWW[[#This Row],[% Equitable and continuous access to sufficient quantity of domestic water]]</f>
        <v>0.91967871485943775</v>
      </c>
      <c r="CS559" s="864">
        <f>WWWW[[#This Row],[%equitable and continuous access to sufficient quantity of safe drinking and domestic water''s GAP]]*WWWW[[#This Row],[Total PoP ]]</f>
        <v>763.33333333333337</v>
      </c>
      <c r="CT559" s="867">
        <f>IF(WWWW[[#This Row],[Total required water points]]-WWWW[[#This Row],['#Water points coverage]]&lt;0,0,WWWW[[#This Row],[Total required water points]]-WWWW[[#This Row],['#Water points coverage]])</f>
        <v>1.8666666666666667</v>
      </c>
      <c r="CU559" s="867">
        <f>ROUND(IF(WWWW[[#This Row],[Total PoP ]]&lt;500,1,WWWW[[#This Row],[Total PoP ]]/500),0)</f>
        <v>2</v>
      </c>
      <c r="CV559" s="867">
        <f>(WWWW[[#This Row],['#_Constructed latrines_by_WASHAgencies]]+WWWW[[#This Row],['#_Non Cluster partner latrines]])-WWWW[[#This Row],['#_Non-functional latrines]]</f>
        <v>50</v>
      </c>
      <c r="CW559" s="804">
        <f>WWWW[[#This Row],[HRP2]]/WWWW[[#This Row],[Total PoP ]]</f>
        <v>1</v>
      </c>
      <c r="CX55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830</v>
      </c>
      <c r="CY55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5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59" s="473">
        <f>IF(WWWW[[#This Row],['# of functional latrines in THF supported by WASH partners during the reporting period2]]="",0,WWWW[[#This Row],['# of functional latrines in THF supported by WASH partners during the reporting period2]]*50)</f>
        <v>0</v>
      </c>
      <c r="DB559" s="473">
        <f>WWWW[[#This Row],['# students access to functioning school latrines_HRP5]]+WWWW[[#This Row],['# People access to functioning latrines in THF_HRP5]]</f>
        <v>0</v>
      </c>
      <c r="DC559" s="867">
        <f>ROUND(IF(WWWW[[#This Row],[Location Type 1]]="camp",WWWW[[#This Row],[Total PoP ]]/20,IF(WWWW[[#This Row],[Location Type 1]]="Temporary Location",WWWW[[#This Row],[Total PoP ]]/50,(WWWW[[#This Row],[Total PoP ]]/6))),0)</f>
        <v>42</v>
      </c>
      <c r="DD559" s="867">
        <f>IF(WWWW[[#This Row],[Total required Latrines]]-(WWWW[[#This Row],['#_Constructed latrines_by_WASHAgencies]]+WWWW[[#This Row],['#_Non Cluster partner latrines]])&lt;0,0,WWWW[[#This Row],[Total required Latrines]]-(WWWW[[#This Row],['#_Constructed latrines_by_WASHAgencies]]+WWWW[[#This Row],['#_Non Cluster partner latrines]]))</f>
        <v>0</v>
      </c>
      <c r="DE559" s="869">
        <f>1-WWWW[[#This Row],[% people access to functioning Latrine]]</f>
        <v>0</v>
      </c>
      <c r="DF559" s="868">
        <f>IF(OR(WWWW[[#This Row],['#_Non-functional latrines]]="",WWWW[[#This Row],['#_Non-functional latrines]]=0),0,WWWW[[#This Row],['#_Non-functional latrines]]/(WWWW[[#This Row],['#_Constructed latrines_by_WASHAgencies]]+WWWW[[#This Row],['#_Non Cluster partner latrines]]))</f>
        <v>0</v>
      </c>
      <c r="DG559" s="864">
        <f>IF(500*(WWWW[[#This Row],['#_male hygiene promoters]]+WWWW[[#This Row],['#_female hygiene promoters]])&gt;WWWW[[#This Row],[Total PoP ]],WWWW[[#This Row],[Total PoP ]],500*(WWWW[[#This Row],['#_male hygiene promoters]]+WWWW[[#This Row],['#_female hygiene promoters]]))</f>
        <v>830</v>
      </c>
      <c r="DH55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5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59" s="867">
        <f>IF(WWWW[[#This Row],['# People with access to soap]]&gt;WWWW[[#This Row],['# People with access to Sanity Pads]],WWWW[[#This Row],['# People with access to soap]],WWWW[[#This Row],['# People with access to Sanity Pads]])</f>
        <v>0</v>
      </c>
      <c r="DK559" s="867">
        <f>IF(WWWW[[#This Row],['# people reached by regular dedicated hygiene promotion_5]]&gt;WWWW[[#This Row],['# People received regular supply of hygiene items_6]],WWWW[[#This Row],['# people reached by regular dedicated hygiene promotion_5]],WWWW[[#This Row],['# People received regular supply of hygiene items_6]])</f>
        <v>830</v>
      </c>
      <c r="DL559" s="869">
        <f>IF(WWWW[[#This Row],[HRP3]]/WWWW[[#This Row],[Total PoP ]]&gt;1,1,WWWW[[#This Row],[HRP3]]/WWWW[[#This Row],[Total PoP ]])</f>
        <v>1</v>
      </c>
      <c r="DM559" s="868">
        <f>1-WWWW[[#This Row],[Hygiene Coverage%]]</f>
        <v>0</v>
      </c>
      <c r="DN559" s="866">
        <f>WWWW[[#This Row],['# people reached by regular dedicated hygiene promotion_5]]/WWWW[[#This Row],[Total PoP ]]</f>
        <v>1</v>
      </c>
      <c r="DO55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5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59" s="867">
        <f>WWWW[[#This Row],['#_Constructed/Existing hand washing stations]]-WWWW[[#This Row],['#_Non-Functional_hand_washing_stations]]</f>
        <v>14</v>
      </c>
      <c r="DR559" s="864">
        <f>IF(WWWW[[#This Row],['# Functional hand washing stations during reporting period]]*20&gt;WWWW[[#This Row],[Total HH]],WWWW[[#This Row],[Total HH]],WWWW[[#This Row],['# Functional hand washing stations during reporting period]]*20)</f>
        <v>162</v>
      </c>
      <c r="DS559" s="864">
        <f>IF(WWWW[[#This Row],[Is sufficient soap available for TLS? (Yes/No)]]="yes",WWWW[[#This Row],['#_Constructed/Existing hand washing stations at TLS]],0)</f>
        <v>0</v>
      </c>
      <c r="DT559" s="479">
        <f>IF(WWWW[[#This Row],['# Functional hand washing stations during reporting period]]*100&gt;WWWW[[#This Row],[Total PoP ]],WWWW[[#This Row],[Total PoP ]],WWWW[[#This Row],['# Functional hand washing stations during reporting period]]*100)</f>
        <v>830</v>
      </c>
      <c r="DU559" s="479" t="str">
        <f>IF(OR(WWWW[[#This Row],['#_students at TLS_CFS]]="",WWWW[[#This Row],['#_students at TLS_CFS]]=0),"No","Yes")</f>
        <v>No</v>
      </c>
      <c r="DV55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5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5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59" s="862" t="str">
        <f>VLOOKUP(WWWW[[#This Row],[Site Name]],SiteDB6[[Site Name]:[CCCM Management]],6,FALSE)</f>
        <v>Yes</v>
      </c>
      <c r="DZ559" s="862" t="str">
        <f>VLOOKUP(WWWW[[#This Row],[Site Name]],SiteDB6[[Site Name]:[CCCM Focal Agency]],7,FALSE)</f>
        <v>Shalom</v>
      </c>
      <c r="EA559" s="862" t="str">
        <f>VLOOKUP(WWWW[[#This Row],[Site Name]],SiteDB6[[Site Name]:[Location Type 1]],9,FALSE)</f>
        <v>Camp</v>
      </c>
      <c r="EB559" s="862" t="str">
        <f>VLOOKUP(WWWW[[#This Row],[Site Name]],SiteDB6[[Site Name]:[Type of Accommodation]],10,FALSE)</f>
        <v>Camp</v>
      </c>
      <c r="EC559" s="862" t="str">
        <f>VLOOKUP(WWWW[[#This Row],[Site Name]],SiteDB6[[Site Name]:[Ethnic or GCA/NGCA]],11,FALSE)</f>
        <v>GCA</v>
      </c>
      <c r="ED559" s="862">
        <f>VLOOKUP(WWWW[[#This Row],[Site Name]],SiteDB6[[Site Name]:[Lat]],12,FALSE)</f>
        <v>25.889410000000002</v>
      </c>
      <c r="EE559" s="862">
        <f>VLOOKUP(WWWW[[#This Row],[Site Name]],SiteDB6[[Site Name]:[Long]],13,FALSE)</f>
        <v>98.131550000000004</v>
      </c>
      <c r="EF559" s="862" t="str">
        <f>VLOOKUP(WWWW[[#This Row],[Site Name]],SiteDB6[[Site Name]:[Pcode]],3,FALSE)</f>
        <v>MMR001CMP042</v>
      </c>
      <c r="EG559" s="865" t="str">
        <f t="shared" si="16"/>
        <v>Covered</v>
      </c>
      <c r="EH559" s="865" t="str">
        <f>VLOOKUP(WWWW[[#This Row],[Site Name]],Site_DB!$C$389:$D$1120,2,FALSE)</f>
        <v>cccm_2019OCT</v>
      </c>
    </row>
    <row r="560" spans="1:138">
      <c r="A560" s="860" t="s">
        <v>3263</v>
      </c>
      <c r="B560" s="860" t="s">
        <v>312</v>
      </c>
      <c r="C560" s="861" t="s">
        <v>312</v>
      </c>
      <c r="D560" s="861"/>
      <c r="E560" s="861" t="s">
        <v>39</v>
      </c>
      <c r="F560" s="861" t="s">
        <v>151</v>
      </c>
      <c r="G560" s="721" t="str">
        <f>VLOOKUP(WWWW[[#This Row],[Site Name]],SiteDB6[[Site Name]:[Location Type]],8,FALSE)</f>
        <v>Camp</v>
      </c>
      <c r="H560" s="861" t="s">
        <v>260</v>
      </c>
      <c r="I560" s="851">
        <v>3</v>
      </c>
      <c r="J560" s="851">
        <v>15</v>
      </c>
      <c r="K560" s="863"/>
      <c r="L560" s="859"/>
      <c r="M560" s="851"/>
      <c r="N560" s="851">
        <v>0</v>
      </c>
      <c r="O560" s="851"/>
      <c r="P560" s="851"/>
      <c r="Q560" s="864" t="s">
        <v>43</v>
      </c>
      <c r="R560" s="851"/>
      <c r="S560" s="851">
        <v>5</v>
      </c>
      <c r="T560" s="523">
        <v>1</v>
      </c>
      <c r="U560" s="851"/>
      <c r="V560" s="851"/>
      <c r="W560" s="851">
        <v>1</v>
      </c>
      <c r="X560" s="851"/>
      <c r="Y560" s="851"/>
      <c r="Z560" s="851"/>
      <c r="AA560" s="851">
        <v>0</v>
      </c>
      <c r="AB560" s="851"/>
      <c r="AC560" s="851"/>
      <c r="AD560" s="851"/>
      <c r="AE560" s="851"/>
      <c r="AF560" s="851"/>
      <c r="AG560" s="851"/>
      <c r="AH560" s="851">
        <v>1</v>
      </c>
      <c r="AI560" s="851"/>
      <c r="AJ560" s="851"/>
      <c r="AK560" s="851"/>
      <c r="AL560" s="851"/>
      <c r="AM560" s="851"/>
      <c r="AN560" s="851"/>
      <c r="AO560" s="865"/>
      <c r="AP560" s="851">
        <v>0</v>
      </c>
      <c r="AQ560" s="851"/>
      <c r="AR560" s="866"/>
      <c r="AS560" s="851"/>
      <c r="AT560" s="851"/>
      <c r="AU560" s="851"/>
      <c r="AV560" s="851"/>
      <c r="AW560" s="851">
        <v>0</v>
      </c>
      <c r="AX560" s="862" t="s">
        <v>43</v>
      </c>
      <c r="AY560" s="865" t="s">
        <v>1195</v>
      </c>
      <c r="AZ560" s="851"/>
      <c r="BA560" s="851"/>
      <c r="BB560" s="851"/>
      <c r="BC560" s="523"/>
      <c r="BD560" s="523"/>
      <c r="BE560" s="862"/>
      <c r="BF560" s="851"/>
      <c r="BG560" s="851"/>
      <c r="BH560" s="851">
        <v>0</v>
      </c>
      <c r="BI560" s="851"/>
      <c r="BJ560" s="851"/>
      <c r="BK560" s="851"/>
      <c r="BL560" s="851"/>
      <c r="BM560" s="851"/>
      <c r="BN560" s="851"/>
      <c r="BO560" s="862"/>
      <c r="BP560" s="867"/>
      <c r="BQ560" s="866"/>
      <c r="BR560" s="862"/>
      <c r="BS560" s="472"/>
      <c r="BT560" s="472"/>
      <c r="BU560" s="474"/>
      <c r="BV560" s="472"/>
      <c r="BW560" s="523"/>
      <c r="BX560" s="523"/>
      <c r="BY560" s="523"/>
      <c r="BZ560" s="868" t="str">
        <f>IFERROR(WWWW[[#This Row],['#_Water sources passed]]/WWWW[[#This Row],['#_Water sources tested for fecal coliform ]],"no test")</f>
        <v>no test</v>
      </c>
      <c r="CA560" s="866" t="str">
        <f>IFERROR(WWWW[[#This Row],['#_Household passed]]/WWWW[[#This Row],['#_Household water samples tested for fecal coliform]],"no test")</f>
        <v>no test</v>
      </c>
      <c r="CB560" s="867" t="str">
        <f>IF(AND(WWWW[[#This Row],[% of water sources passed]]="no test",WWWW[[#This Row],[% Household passed]]="no test"),"No Test","Tested")</f>
        <v>No Test</v>
      </c>
      <c r="CC560" s="867">
        <f>WWWW[[#This Row],['#_Constructed/existing protected hand dug well]]-WWWW[[#This Row],['#_Non-functional protected hand dug well]]</f>
        <v>1</v>
      </c>
      <c r="CD560" s="867">
        <f>(WWWW[[#This Row],['#_Constructed/Existing tube wells/boreholes/handpumps_WASH_agency]]+WWWW[[#This Row],['#_Non-Cluster partner water tube-wells/boreholes/handpumps]])-WWWW[[#This Row],['#_Non-functional tube wells/boreholes/handpumps]]</f>
        <v>1</v>
      </c>
      <c r="CE560" s="867">
        <f>WWWW[[#This Row],['#_Constructed/Existingwater storage tank with gravity fed reticulation system]]-WWWW[[#This Row],['#_Non-functional storage tank gravity fed reticulation system]]</f>
        <v>0</v>
      </c>
      <c r="CF560" s="867">
        <f>(WWWW[[#This Row],['#_Water_Liters_supplied_by_Water boating or water trucking]]/90)/15</f>
        <v>0</v>
      </c>
      <c r="CG560" s="867">
        <f>WWWW[[#This Row],['#_Water_Liters_from_Constructed/Existing water distribution system from river or natural spring]]/90/15</f>
        <v>0</v>
      </c>
      <c r="CH560" s="473">
        <f>WWWW[[#This Row],['#_of water points in TLS/CFS /THF]]*500</f>
        <v>0</v>
      </c>
      <c r="CI56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0" s="866">
        <f>IF(WWWW[[#This Row],[Location Type 1]]="Village",WWWW[[#This Row],[Access to safe drinking water for Village]],WWWW[[#This Row],[Access to safe drinking water for Camp]])</f>
        <v>1</v>
      </c>
      <c r="CL560" s="864">
        <f>WWWW[[#This Row],[%Equitable and continuous access to sufficient quantity of safe drinking water]]*WWWW[[#This Row],[Total PoP ]]</f>
        <v>15</v>
      </c>
      <c r="CM560" s="866">
        <f>IF((WWWW[[#This Row],['#_Constructed/Existing protected/fenced ponds]]*250)/WWWW[[#This Row],[Total PoP ]]&gt;1,1,(WWWW[[#This Row],['#_Constructed/Existing protected/fenced ponds]]*250)/WWWW[[#This Row],[Total PoP ]])</f>
        <v>0</v>
      </c>
      <c r="CN560" s="864">
        <f>WWWW[[#This Row],[% Access to unimproved water points]]*WWWW[[#This Row],[Total PoP ]]</f>
        <v>0</v>
      </c>
      <c r="CO56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Q560" s="864">
        <f>WWWW[[#This Row],[HRP1]]/500</f>
        <v>0.03</v>
      </c>
      <c r="CR560" s="869">
        <f>1-WWWW[[#This Row],[% Equitable and continuous access to sufficient quantity of domestic water]]</f>
        <v>0</v>
      </c>
      <c r="CS560" s="864">
        <f>WWWW[[#This Row],[%equitable and continuous access to sufficient quantity of safe drinking and domestic water''s GAP]]*WWWW[[#This Row],[Total PoP ]]</f>
        <v>0</v>
      </c>
      <c r="CT560" s="867">
        <f>IF(WWWW[[#This Row],[Total required water points]]-WWWW[[#This Row],['#Water points coverage]]&lt;0,0,WWWW[[#This Row],[Total required water points]]-WWWW[[#This Row],['#Water points coverage]])</f>
        <v>0.97</v>
      </c>
      <c r="CU560" s="867">
        <f>ROUND(IF(WWWW[[#This Row],[Total PoP ]]&lt;500,1,WWWW[[#This Row],[Total PoP ]]/500),0)</f>
        <v>1</v>
      </c>
      <c r="CV560" s="867">
        <f>(WWWW[[#This Row],['#_Constructed latrines_by_WASHAgencies]]+WWWW[[#This Row],['#_Non Cluster partner latrines]])-WWWW[[#This Row],['#_Non-functional latrines]]</f>
        <v>0</v>
      </c>
      <c r="CW560" s="804">
        <f>WWWW[[#This Row],[HRP2]]/WWWW[[#This Row],[Total PoP ]]</f>
        <v>0</v>
      </c>
      <c r="CX56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6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0" s="473">
        <f>IF(WWWW[[#This Row],['# of functional latrines in THF supported by WASH partners during the reporting period2]]="",0,WWWW[[#This Row],['# of functional latrines in THF supported by WASH partners during the reporting period2]]*50)</f>
        <v>0</v>
      </c>
      <c r="DB560" s="473">
        <f>WWWW[[#This Row],['# students access to functioning school latrines_HRP5]]+WWWW[[#This Row],['# People access to functioning latrines in THF_HRP5]]</f>
        <v>0</v>
      </c>
      <c r="DC560" s="867">
        <f>ROUND(IF(WWWW[[#This Row],[Location Type 1]]="camp",WWWW[[#This Row],[Total PoP ]]/20,IF(WWWW[[#This Row],[Location Type 1]]="Temporary Location",WWWW[[#This Row],[Total PoP ]]/50,(WWWW[[#This Row],[Total PoP ]]/6))),0)</f>
        <v>1</v>
      </c>
      <c r="DD560" s="867">
        <f>IF(WWWW[[#This Row],[Total required Latrines]]-(WWWW[[#This Row],['#_Constructed latrines_by_WASHAgencies]]+WWWW[[#This Row],['#_Non Cluster partner latrines]])&lt;0,0,WWWW[[#This Row],[Total required Latrines]]-(WWWW[[#This Row],['#_Constructed latrines_by_WASHAgencies]]+WWWW[[#This Row],['#_Non Cluster partner latrines]]))</f>
        <v>1</v>
      </c>
      <c r="DE560" s="869">
        <f>1-WWWW[[#This Row],[% people access to functioning Latrine]]</f>
        <v>1</v>
      </c>
      <c r="DF560" s="868">
        <f>IF(OR(WWWW[[#This Row],['#_Non-functional latrines]]="",WWWW[[#This Row],['#_Non-functional latrines]]=0),0,WWWW[[#This Row],['#_Non-functional latrines]]/(WWWW[[#This Row],['#_Constructed latrines_by_WASHAgencies]]+WWWW[[#This Row],['#_Non Cluster partner latrines]]))</f>
        <v>0</v>
      </c>
      <c r="DG560" s="864">
        <f>IF(500*(WWWW[[#This Row],['#_male hygiene promoters]]+WWWW[[#This Row],['#_female hygiene promoters]])&gt;WWWW[[#This Row],[Total PoP ]],WWWW[[#This Row],[Total PoP ]],500*(WWWW[[#This Row],['#_male hygiene promoters]]+WWWW[[#This Row],['#_female hygiene promoters]]))</f>
        <v>0</v>
      </c>
      <c r="DH56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0" s="867">
        <f>IF(WWWW[[#This Row],['# People with access to soap]]&gt;WWWW[[#This Row],['# People with access to Sanity Pads]],WWWW[[#This Row],['# People with access to soap]],WWWW[[#This Row],['# People with access to Sanity Pads]])</f>
        <v>0</v>
      </c>
      <c r="DK56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60" s="869">
        <f>IF(WWWW[[#This Row],[HRP3]]/WWWW[[#This Row],[Total PoP ]]&gt;1,1,WWWW[[#This Row],[HRP3]]/WWWW[[#This Row],[Total PoP ]])</f>
        <v>0</v>
      </c>
      <c r="DM560" s="868">
        <f>1-WWWW[[#This Row],[Hygiene Coverage%]]</f>
        <v>1</v>
      </c>
      <c r="DN560" s="866">
        <f>WWWW[[#This Row],['# people reached by regular dedicated hygiene promotion_5]]/WWWW[[#This Row],[Total PoP ]]</f>
        <v>0</v>
      </c>
      <c r="DO56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0" s="867">
        <f>WWWW[[#This Row],['#_Constructed/Existing hand washing stations]]-WWWW[[#This Row],['#_Non-Functional_hand_washing_stations]]</f>
        <v>0</v>
      </c>
      <c r="DR560" s="864">
        <f>IF(WWWW[[#This Row],['# Functional hand washing stations during reporting period]]*20&gt;WWWW[[#This Row],[Total HH]],WWWW[[#This Row],[Total HH]],WWWW[[#This Row],['# Functional hand washing stations during reporting period]]*20)</f>
        <v>0</v>
      </c>
      <c r="DS560" s="864">
        <f>IF(WWWW[[#This Row],[Is sufficient soap available for TLS? (Yes/No)]]="yes",WWWW[[#This Row],['#_Constructed/Existing hand washing stations at TLS]],0)</f>
        <v>0</v>
      </c>
      <c r="DT560" s="479">
        <f>IF(WWWW[[#This Row],['# Functional hand washing stations during reporting period]]*100&gt;WWWW[[#This Row],[Total PoP ]],WWWW[[#This Row],[Total PoP ]],WWWW[[#This Row],['# Functional hand washing stations during reporting period]]*100)</f>
        <v>0</v>
      </c>
      <c r="DU560" s="479" t="str">
        <f>IF(OR(WWWW[[#This Row],['#_students at TLS_CFS]]="",WWWW[[#This Row],['#_students at TLS_CFS]]=0),"No","Yes")</f>
        <v>No</v>
      </c>
      <c r="DV56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0" s="862" t="str">
        <f>VLOOKUP(WWWW[[#This Row],[Site Name]],SiteDB6[[Site Name]:[CCCM Management]],6,FALSE)</f>
        <v>Yes</v>
      </c>
      <c r="DZ560" s="862" t="str">
        <f>VLOOKUP(WWWW[[#This Row],[Site Name]],SiteDB6[[Site Name]:[CCCM Focal Agency]],7,FALSE)</f>
        <v>Shalom</v>
      </c>
      <c r="EA560" s="862" t="str">
        <f>VLOOKUP(WWWW[[#This Row],[Site Name]],SiteDB6[[Site Name]:[Location Type 1]],9,FALSE)</f>
        <v>Camp</v>
      </c>
      <c r="EB560" s="862" t="str">
        <f>VLOOKUP(WWWW[[#This Row],[Site Name]],SiteDB6[[Site Name]:[Type of Accommodation]],10,FALSE)</f>
        <v>Camp like setting</v>
      </c>
      <c r="EC560" s="862" t="str">
        <f>VLOOKUP(WWWW[[#This Row],[Site Name]],SiteDB6[[Site Name]:[Ethnic or GCA/NGCA]],11,FALSE)</f>
        <v>GCA</v>
      </c>
      <c r="ED560" s="862">
        <f>VLOOKUP(WWWW[[#This Row],[Site Name]],SiteDB6[[Site Name]:[Lat]],12,FALSE)</f>
        <v>25.6145</v>
      </c>
      <c r="EE560" s="862">
        <f>VLOOKUP(WWWW[[#This Row],[Site Name]],SiteDB6[[Site Name]:[Long]],13,FALSE)</f>
        <v>96.319829999999996</v>
      </c>
      <c r="EF560" s="862" t="str">
        <f>VLOOKUP(WWWW[[#This Row],[Site Name]],SiteDB6[[Site Name]:[Pcode]],3,FALSE)</f>
        <v>MMR001CMP091</v>
      </c>
      <c r="EG560" s="865" t="str">
        <f t="shared" si="16"/>
        <v>Notcovered</v>
      </c>
      <c r="EH560" s="865" t="str">
        <f>VLOOKUP(WWWW[[#This Row],[Site Name]],Site_DB!$C$389:$D$1120,2,FALSE)</f>
        <v>cccm_2019OCT</v>
      </c>
    </row>
    <row r="561" spans="1:138">
      <c r="A561" s="860" t="s">
        <v>3263</v>
      </c>
      <c r="B561" s="860" t="s">
        <v>144</v>
      </c>
      <c r="C561" s="861" t="s">
        <v>144</v>
      </c>
      <c r="D561" s="861"/>
      <c r="E561" s="861" t="s">
        <v>39</v>
      </c>
      <c r="F561" s="861" t="s">
        <v>145</v>
      </c>
      <c r="G561" s="721" t="str">
        <f>VLOOKUP(WWWW[[#This Row],[Site Name]],SiteDB6[[Site Name]:[Location Type]],8,FALSE)</f>
        <v>Camp</v>
      </c>
      <c r="H561" s="861" t="s">
        <v>185</v>
      </c>
      <c r="I561" s="851">
        <v>179</v>
      </c>
      <c r="J561" s="851">
        <v>958</v>
      </c>
      <c r="K561" s="863"/>
      <c r="L561" s="859"/>
      <c r="M561" s="851"/>
      <c r="N561" s="851"/>
      <c r="O561" s="851"/>
      <c r="P561" s="851"/>
      <c r="Q561" s="864" t="s">
        <v>43</v>
      </c>
      <c r="R561" s="851"/>
      <c r="S561" s="851"/>
      <c r="T561" s="523">
        <v>0</v>
      </c>
      <c r="U561" s="851"/>
      <c r="V561" s="851"/>
      <c r="W561" s="851">
        <v>0</v>
      </c>
      <c r="X561" s="851"/>
      <c r="Y561" s="851"/>
      <c r="Z561" s="851"/>
      <c r="AA561" s="851">
        <v>1</v>
      </c>
      <c r="AB561" s="851"/>
      <c r="AC561" s="851"/>
      <c r="AD561" s="851"/>
      <c r="AE561" s="851"/>
      <c r="AF561" s="851"/>
      <c r="AG561" s="851"/>
      <c r="AH561" s="851">
        <v>0</v>
      </c>
      <c r="AI561" s="851"/>
      <c r="AJ561" s="851"/>
      <c r="AK561" s="851"/>
      <c r="AL561" s="851"/>
      <c r="AM561" s="851"/>
      <c r="AN561" s="851"/>
      <c r="AO561" s="865"/>
      <c r="AP561" s="851">
        <v>158</v>
      </c>
      <c r="AQ561" s="851"/>
      <c r="AR561" s="866"/>
      <c r="AS561" s="851"/>
      <c r="AT561" s="851"/>
      <c r="AU561" s="851"/>
      <c r="AV561" s="851"/>
      <c r="AW561" s="851">
        <v>158</v>
      </c>
      <c r="AX561" s="862" t="s">
        <v>43</v>
      </c>
      <c r="AY561" s="865" t="s">
        <v>140</v>
      </c>
      <c r="AZ561" s="851"/>
      <c r="BA561" s="851"/>
      <c r="BB561" s="851"/>
      <c r="BC561" s="523"/>
      <c r="BD561" s="523"/>
      <c r="BE561" s="862"/>
      <c r="BF561" s="851">
        <v>158</v>
      </c>
      <c r="BG561" s="851"/>
      <c r="BH561" s="851"/>
      <c r="BI561" s="851">
        <v>4</v>
      </c>
      <c r="BJ561" s="851"/>
      <c r="BK561" s="851"/>
      <c r="BL561" s="851"/>
      <c r="BM561" s="851"/>
      <c r="BN561" s="851"/>
      <c r="BO561" s="862"/>
      <c r="BP561" s="867"/>
      <c r="BQ561" s="866"/>
      <c r="BR561" s="862"/>
      <c r="BS561" s="472"/>
      <c r="BT561" s="472"/>
      <c r="BU561" s="474"/>
      <c r="BV561" s="472"/>
      <c r="BW561" s="523"/>
      <c r="BX561" s="523"/>
      <c r="BY561" s="523"/>
      <c r="BZ561" s="868" t="str">
        <f>IFERROR(WWWW[[#This Row],['#_Water sources passed]]/WWWW[[#This Row],['#_Water sources tested for fecal coliform ]],"no test")</f>
        <v>no test</v>
      </c>
      <c r="CA561" s="866" t="str">
        <f>IFERROR(WWWW[[#This Row],['#_Household passed]]/WWWW[[#This Row],['#_Household water samples tested for fecal coliform]],"no test")</f>
        <v>no test</v>
      </c>
      <c r="CB561" s="867" t="str">
        <f>IF(AND(WWWW[[#This Row],[% of water sources passed]]="no test",WWWW[[#This Row],[% Household passed]]="no test"),"No Test","Tested")</f>
        <v>No Test</v>
      </c>
      <c r="CC561" s="867">
        <f>WWWW[[#This Row],['#_Constructed/existing protected hand dug well]]-WWWW[[#This Row],['#_Non-functional protected hand dug well]]</f>
        <v>0</v>
      </c>
      <c r="CD561" s="867">
        <f>(WWWW[[#This Row],['#_Constructed/Existing tube wells/boreholes/handpumps_WASH_agency]]+WWWW[[#This Row],['#_Non-Cluster partner water tube-wells/boreholes/handpumps]])-WWWW[[#This Row],['#_Non-functional tube wells/boreholes/handpumps]]</f>
        <v>0</v>
      </c>
      <c r="CE561" s="867">
        <f>WWWW[[#This Row],['#_Constructed/Existingwater storage tank with gravity fed reticulation system]]-WWWW[[#This Row],['#_Non-functional storage tank gravity fed reticulation system]]</f>
        <v>1</v>
      </c>
      <c r="CF561" s="867">
        <f>(WWWW[[#This Row],['#_Water_Liters_supplied_by_Water boating or water trucking]]/90)/15</f>
        <v>0</v>
      </c>
      <c r="CG561" s="867">
        <f>WWWW[[#This Row],['#_Water_Liters_from_Constructed/Existing water distribution system from river or natural spring]]/90/15</f>
        <v>0</v>
      </c>
      <c r="CH561" s="473">
        <f>WWWW[[#This Row],['#_of water points in TLS/CFS /THF]]*500</f>
        <v>0</v>
      </c>
      <c r="CI56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6.9589422407794019E-2</v>
      </c>
      <c r="CJ56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6.9589422407794019E-2</v>
      </c>
      <c r="CK561" s="866">
        <f>IF(WWWW[[#This Row],[Location Type 1]]="Village",WWWW[[#This Row],[Access to safe drinking water for Village]],WWWW[[#This Row],[Access to safe drinking water for Camp]])</f>
        <v>6.9589422407794019E-2</v>
      </c>
      <c r="CL561" s="864">
        <f>WWWW[[#This Row],[%Equitable and continuous access to sufficient quantity of safe drinking water]]*WWWW[[#This Row],[Total PoP ]]</f>
        <v>66.666666666666671</v>
      </c>
      <c r="CM561" s="866">
        <f>IF((WWWW[[#This Row],['#_Constructed/Existing protected/fenced ponds]]*250)/WWWW[[#This Row],[Total PoP ]]&gt;1,1,(WWWW[[#This Row],['#_Constructed/Existing protected/fenced ponds]]*250)/WWWW[[#This Row],[Total PoP ]])</f>
        <v>0</v>
      </c>
      <c r="CN561" s="864">
        <f>WWWW[[#This Row],[% Access to unimproved water points]]*WWWW[[#This Row],[Total PoP ]]</f>
        <v>0</v>
      </c>
      <c r="CO56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6.9589422407794019E-2</v>
      </c>
      <c r="CP56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61" s="864">
        <f>WWWW[[#This Row],[HRP1]]/500</f>
        <v>0.13333333333333333</v>
      </c>
      <c r="CR561" s="869">
        <f>1-WWWW[[#This Row],[% Equitable and continuous access to sufficient quantity of domestic water]]</f>
        <v>0.93041057759220602</v>
      </c>
      <c r="CS561" s="864">
        <f>WWWW[[#This Row],[%equitable and continuous access to sufficient quantity of safe drinking and domestic water''s GAP]]*WWWW[[#This Row],[Total PoP ]]</f>
        <v>891.33333333333337</v>
      </c>
      <c r="CT561" s="867">
        <f>IF(WWWW[[#This Row],[Total required water points]]-WWWW[[#This Row],['#Water points coverage]]&lt;0,0,WWWW[[#This Row],[Total required water points]]-WWWW[[#This Row],['#Water points coverage]])</f>
        <v>1.8666666666666667</v>
      </c>
      <c r="CU561" s="867">
        <f>ROUND(IF(WWWW[[#This Row],[Total PoP ]]&lt;500,1,WWWW[[#This Row],[Total PoP ]]/500),0)</f>
        <v>2</v>
      </c>
      <c r="CV561" s="867">
        <f>(WWWW[[#This Row],['#_Constructed latrines_by_WASHAgencies]]+WWWW[[#This Row],['#_Non Cluster partner latrines]])-WWWW[[#This Row],['#_Non-functional latrines]]</f>
        <v>158</v>
      </c>
      <c r="CW561" s="804">
        <f>WWWW[[#This Row],[HRP2]]/WWWW[[#This Row],[Total PoP ]]</f>
        <v>1</v>
      </c>
      <c r="CX56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CY56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1" s="473">
        <f>IF(WWWW[[#This Row],['# of functional latrines in THF supported by WASH partners during the reporting period2]]="",0,WWWW[[#This Row],['# of functional latrines in THF supported by WASH partners during the reporting period2]]*50)</f>
        <v>0</v>
      </c>
      <c r="DB561" s="473">
        <f>WWWW[[#This Row],['# students access to functioning school latrines_HRP5]]+WWWW[[#This Row],['# People access to functioning latrines in THF_HRP5]]</f>
        <v>0</v>
      </c>
      <c r="DC561" s="867">
        <f>ROUND(IF(WWWW[[#This Row],[Location Type 1]]="camp",WWWW[[#This Row],[Total PoP ]]/20,IF(WWWW[[#This Row],[Location Type 1]]="Temporary Location",WWWW[[#This Row],[Total PoP ]]/50,(WWWW[[#This Row],[Total PoP ]]/6))),0)</f>
        <v>48</v>
      </c>
      <c r="DD561" s="867">
        <f>IF(WWWW[[#This Row],[Total required Latrines]]-(WWWW[[#This Row],['#_Constructed latrines_by_WASHAgencies]]+WWWW[[#This Row],['#_Non Cluster partner latrines]])&lt;0,0,WWWW[[#This Row],[Total required Latrines]]-(WWWW[[#This Row],['#_Constructed latrines_by_WASHAgencies]]+WWWW[[#This Row],['#_Non Cluster partner latrines]]))</f>
        <v>0</v>
      </c>
      <c r="DE561" s="869">
        <f>1-WWWW[[#This Row],[% people access to functioning Latrine]]</f>
        <v>0</v>
      </c>
      <c r="DF561" s="868">
        <f>IF(OR(WWWW[[#This Row],['#_Non-functional latrines]]="",WWWW[[#This Row],['#_Non-functional latrines]]=0),0,WWWW[[#This Row],['#_Non-functional latrines]]/(WWWW[[#This Row],['#_Constructed latrines_by_WASHAgencies]]+WWWW[[#This Row],['#_Non Cluster partner latrines]]))</f>
        <v>0</v>
      </c>
      <c r="DG561" s="864">
        <f>IF(500*(WWWW[[#This Row],['#_male hygiene promoters]]+WWWW[[#This Row],['#_female hygiene promoters]])&gt;WWWW[[#This Row],[Total PoP ]],WWWW[[#This Row],[Total PoP ]],500*(WWWW[[#This Row],['#_male hygiene promoters]]+WWWW[[#This Row],['#_female hygiene promoters]]))</f>
        <v>0</v>
      </c>
      <c r="DH56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1" s="867">
        <f>IF(WWWW[[#This Row],['# People with access to soap]]&gt;WWWW[[#This Row],['# People with access to Sanity Pads]],WWWW[[#This Row],['# People with access to soap]],WWWW[[#This Row],['# People with access to Sanity Pads]])</f>
        <v>0</v>
      </c>
      <c r="DK56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61" s="869">
        <f>IF(WWWW[[#This Row],[HRP3]]/WWWW[[#This Row],[Total PoP ]]&gt;1,1,WWWW[[#This Row],[HRP3]]/WWWW[[#This Row],[Total PoP ]])</f>
        <v>0</v>
      </c>
      <c r="DM561" s="868">
        <f>1-WWWW[[#This Row],[Hygiene Coverage%]]</f>
        <v>1</v>
      </c>
      <c r="DN561" s="866">
        <f>WWWW[[#This Row],['# people reached by regular dedicated hygiene promotion_5]]/WWWW[[#This Row],[Total PoP ]]</f>
        <v>0</v>
      </c>
      <c r="DO56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1" s="867">
        <f>WWWW[[#This Row],['#_Constructed/Existing hand washing stations]]-WWWW[[#This Row],['#_Non-Functional_hand_washing_stations]]</f>
        <v>158</v>
      </c>
      <c r="DR561" s="864">
        <f>IF(WWWW[[#This Row],['# Functional hand washing stations during reporting period]]*20&gt;WWWW[[#This Row],[Total HH]],WWWW[[#This Row],[Total HH]],WWWW[[#This Row],['# Functional hand washing stations during reporting period]]*20)</f>
        <v>179</v>
      </c>
      <c r="DS561" s="864">
        <f>IF(WWWW[[#This Row],[Is sufficient soap available for TLS? (Yes/No)]]="yes",WWWW[[#This Row],['#_Constructed/Existing hand washing stations at TLS]],0)</f>
        <v>0</v>
      </c>
      <c r="DT561" s="479">
        <f>IF(WWWW[[#This Row],['# Functional hand washing stations during reporting period]]*100&gt;WWWW[[#This Row],[Total PoP ]],WWWW[[#This Row],[Total PoP ]],WWWW[[#This Row],['# Functional hand washing stations during reporting period]]*100)</f>
        <v>958</v>
      </c>
      <c r="DU561" s="479" t="str">
        <f>IF(OR(WWWW[[#This Row],['#_students at TLS_CFS]]="",WWWW[[#This Row],['#_students at TLS_CFS]]=0),"No","Yes")</f>
        <v>No</v>
      </c>
      <c r="DV56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1" s="862" t="str">
        <f>VLOOKUP(WWWW[[#This Row],[Site Name]],SiteDB6[[Site Name]:[CCCM Management]],6,FALSE)</f>
        <v>Yes</v>
      </c>
      <c r="DZ561" s="862" t="str">
        <f>VLOOKUP(WWWW[[#This Row],[Site Name]],SiteDB6[[Site Name]:[CCCM Focal Agency]],7,FALSE)</f>
        <v>KBC-MYT</v>
      </c>
      <c r="EA561" s="862" t="str">
        <f>VLOOKUP(WWWW[[#This Row],[Site Name]],SiteDB6[[Site Name]:[Location Type 1]],9,FALSE)</f>
        <v>Camp</v>
      </c>
      <c r="EB561" s="862" t="str">
        <f>VLOOKUP(WWWW[[#This Row],[Site Name]],SiteDB6[[Site Name]:[Type of Accommodation]],10,FALSE)</f>
        <v>Camp</v>
      </c>
      <c r="EC561" s="862" t="str">
        <f>VLOOKUP(WWWW[[#This Row],[Site Name]],SiteDB6[[Site Name]:[Ethnic or GCA/NGCA]],11,FALSE)</f>
        <v>GCA</v>
      </c>
      <c r="ED561" s="862">
        <f>VLOOKUP(WWWW[[#This Row],[Site Name]],SiteDB6[[Site Name]:[Lat]],12,FALSE)</f>
        <v>25.418084</v>
      </c>
      <c r="EE561" s="862">
        <f>VLOOKUP(WWWW[[#This Row],[Site Name]],SiteDB6[[Site Name]:[Long]],13,FALSE)</f>
        <v>98.025662999999994</v>
      </c>
      <c r="EF561" s="862" t="str">
        <f>VLOOKUP(WWWW[[#This Row],[Site Name]],SiteDB6[[Site Name]:[Pcode]],3,FALSE)</f>
        <v>MMR001CMP041</v>
      </c>
      <c r="EG561" s="865" t="str">
        <f t="shared" si="16"/>
        <v>Covered</v>
      </c>
      <c r="EH561" s="865" t="str">
        <f>VLOOKUP(WWWW[[#This Row],[Site Name]],Site_DB!$C$389:$D$1120,2,FALSE)</f>
        <v>cccm_2019OCT</v>
      </c>
    </row>
    <row r="562" spans="1:138">
      <c r="A562" s="860" t="s">
        <v>3263</v>
      </c>
      <c r="B562" s="860" t="s">
        <v>312</v>
      </c>
      <c r="C562" s="861" t="s">
        <v>312</v>
      </c>
      <c r="D562" s="861"/>
      <c r="E562" s="861" t="s">
        <v>39</v>
      </c>
      <c r="F562" s="861" t="s">
        <v>151</v>
      </c>
      <c r="G562" s="721" t="str">
        <f>VLOOKUP(WWWW[[#This Row],[Site Name]],SiteDB6[[Site Name]:[Location Type]],8,FALSE)</f>
        <v>Camp</v>
      </c>
      <c r="H562" s="861" t="s">
        <v>193</v>
      </c>
      <c r="I562" s="851">
        <v>10</v>
      </c>
      <c r="J562" s="851">
        <v>18</v>
      </c>
      <c r="K562" s="863"/>
      <c r="L562" s="859"/>
      <c r="M562" s="851"/>
      <c r="N562" s="851"/>
      <c r="O562" s="851"/>
      <c r="P562" s="851"/>
      <c r="Q562" s="864"/>
      <c r="R562" s="851"/>
      <c r="S562" s="851">
        <v>4</v>
      </c>
      <c r="T562" s="523"/>
      <c r="U562" s="851"/>
      <c r="V562" s="851"/>
      <c r="W562" s="851"/>
      <c r="X562" s="851"/>
      <c r="Y562" s="851"/>
      <c r="Z562" s="851"/>
      <c r="AA562" s="851"/>
      <c r="AB562" s="851"/>
      <c r="AC562" s="851"/>
      <c r="AD562" s="851"/>
      <c r="AE562" s="851"/>
      <c r="AF562" s="851"/>
      <c r="AG562" s="851"/>
      <c r="AH562" s="851"/>
      <c r="AI562" s="851"/>
      <c r="AJ562" s="851"/>
      <c r="AK562" s="851"/>
      <c r="AL562" s="851"/>
      <c r="AM562" s="851"/>
      <c r="AN562" s="851"/>
      <c r="AO562" s="865"/>
      <c r="AP562" s="851"/>
      <c r="AQ562" s="851"/>
      <c r="AR562" s="866"/>
      <c r="AS562" s="851"/>
      <c r="AT562" s="851"/>
      <c r="AU562" s="851"/>
      <c r="AV562" s="851"/>
      <c r="AW562" s="851"/>
      <c r="AX562" s="862"/>
      <c r="AY562" s="865"/>
      <c r="AZ562" s="851"/>
      <c r="BA562" s="851"/>
      <c r="BB562" s="851"/>
      <c r="BC562" s="523"/>
      <c r="BD562" s="523"/>
      <c r="BE562" s="862"/>
      <c r="BF562" s="851"/>
      <c r="BG562" s="851"/>
      <c r="BH562" s="851"/>
      <c r="BI562" s="851"/>
      <c r="BJ562" s="851"/>
      <c r="BK562" s="851"/>
      <c r="BL562" s="851"/>
      <c r="BM562" s="851"/>
      <c r="BN562" s="851"/>
      <c r="BO562" s="862"/>
      <c r="BP562" s="867"/>
      <c r="BQ562" s="866"/>
      <c r="BR562" s="862"/>
      <c r="BS562" s="472"/>
      <c r="BT562" s="472"/>
      <c r="BU562" s="474"/>
      <c r="BV562" s="472"/>
      <c r="BW562" s="523"/>
      <c r="BX562" s="523"/>
      <c r="BY562" s="523"/>
      <c r="BZ562" s="868" t="str">
        <f>IFERROR(WWWW[[#This Row],['#_Water sources passed]]/WWWW[[#This Row],['#_Water sources tested for fecal coliform ]],"no test")</f>
        <v>no test</v>
      </c>
      <c r="CA562" s="866" t="str">
        <f>IFERROR(WWWW[[#This Row],['#_Household passed]]/WWWW[[#This Row],['#_Household water samples tested for fecal coliform]],"no test")</f>
        <v>no test</v>
      </c>
      <c r="CB562" s="867" t="str">
        <f>IF(AND(WWWW[[#This Row],[% of water sources passed]]="no test",WWWW[[#This Row],[% Household passed]]="no test"),"No Test","Tested")</f>
        <v>No Test</v>
      </c>
      <c r="CC562" s="867">
        <f>WWWW[[#This Row],['#_Constructed/existing protected hand dug well]]-WWWW[[#This Row],['#_Non-functional protected hand dug well]]</f>
        <v>0</v>
      </c>
      <c r="CD562" s="867">
        <f>(WWWW[[#This Row],['#_Constructed/Existing tube wells/boreholes/handpumps_WASH_agency]]+WWWW[[#This Row],['#_Non-Cluster partner water tube-wells/boreholes/handpumps]])-WWWW[[#This Row],['#_Non-functional tube wells/boreholes/handpumps]]</f>
        <v>0</v>
      </c>
      <c r="CE562" s="867">
        <f>WWWW[[#This Row],['#_Constructed/Existingwater storage tank with gravity fed reticulation system]]-WWWW[[#This Row],['#_Non-functional storage tank gravity fed reticulation system]]</f>
        <v>0</v>
      </c>
      <c r="CF562" s="867">
        <f>(WWWW[[#This Row],['#_Water_Liters_supplied_by_Water boating or water trucking]]/90)/15</f>
        <v>0</v>
      </c>
      <c r="CG562" s="867">
        <f>WWWW[[#This Row],['#_Water_Liters_from_Constructed/Existing water distribution system from river or natural spring]]/90/15</f>
        <v>0</v>
      </c>
      <c r="CH562" s="473">
        <f>WWWW[[#This Row],['#_of water points in TLS/CFS /THF]]*500</f>
        <v>0</v>
      </c>
      <c r="CI56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6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62" s="866">
        <f>IF(WWWW[[#This Row],[Location Type 1]]="Village",WWWW[[#This Row],[Access to safe drinking water for Village]],WWWW[[#This Row],[Access to safe drinking water for Camp]])</f>
        <v>0</v>
      </c>
      <c r="CL562" s="864">
        <f>WWWW[[#This Row],[%Equitable and continuous access to sufficient quantity of safe drinking water]]*WWWW[[#This Row],[Total PoP ]]</f>
        <v>0</v>
      </c>
      <c r="CM562" s="866">
        <f>IF((WWWW[[#This Row],['#_Constructed/Existing protected/fenced ponds]]*250)/WWWW[[#This Row],[Total PoP ]]&gt;1,1,(WWWW[[#This Row],['#_Constructed/Existing protected/fenced ponds]]*250)/WWWW[[#This Row],[Total PoP ]])</f>
        <v>0</v>
      </c>
      <c r="CN562" s="864">
        <f>WWWW[[#This Row],[% Access to unimproved water points]]*WWWW[[#This Row],[Total PoP ]]</f>
        <v>0</v>
      </c>
      <c r="CO56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6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62" s="864">
        <f>WWWW[[#This Row],[HRP1]]/500</f>
        <v>0</v>
      </c>
      <c r="CR562" s="869">
        <f>1-WWWW[[#This Row],[% Equitable and continuous access to sufficient quantity of domestic water]]</f>
        <v>1</v>
      </c>
      <c r="CS562" s="864">
        <f>WWWW[[#This Row],[%equitable and continuous access to sufficient quantity of safe drinking and domestic water''s GAP]]*WWWW[[#This Row],[Total PoP ]]</f>
        <v>18</v>
      </c>
      <c r="CT562" s="867">
        <f>IF(WWWW[[#This Row],[Total required water points]]-WWWW[[#This Row],['#Water points coverage]]&lt;0,0,WWWW[[#This Row],[Total required water points]]-WWWW[[#This Row],['#Water points coverage]])</f>
        <v>1</v>
      </c>
      <c r="CU562" s="867">
        <f>ROUND(IF(WWWW[[#This Row],[Total PoP ]]&lt;500,1,WWWW[[#This Row],[Total PoP ]]/500),0)</f>
        <v>1</v>
      </c>
      <c r="CV562" s="867">
        <f>(WWWW[[#This Row],['#_Constructed latrines_by_WASHAgencies]]+WWWW[[#This Row],['#_Non Cluster partner latrines]])-WWWW[[#This Row],['#_Non-functional latrines]]</f>
        <v>0</v>
      </c>
      <c r="CW562" s="804">
        <f>WWWW[[#This Row],[HRP2]]/WWWW[[#This Row],[Total PoP ]]</f>
        <v>0</v>
      </c>
      <c r="CX56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6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2" s="473">
        <f>IF(WWWW[[#This Row],['# of functional latrines in THF supported by WASH partners during the reporting period2]]="",0,WWWW[[#This Row],['# of functional latrines in THF supported by WASH partners during the reporting period2]]*50)</f>
        <v>0</v>
      </c>
      <c r="DB562" s="473">
        <f>WWWW[[#This Row],['# students access to functioning school latrines_HRP5]]+WWWW[[#This Row],['# People access to functioning latrines in THF_HRP5]]</f>
        <v>0</v>
      </c>
      <c r="DC562" s="867">
        <f>ROUND(IF(WWWW[[#This Row],[Location Type 1]]="camp",WWWW[[#This Row],[Total PoP ]]/20,IF(WWWW[[#This Row],[Location Type 1]]="Temporary Location",WWWW[[#This Row],[Total PoP ]]/50,(WWWW[[#This Row],[Total PoP ]]/6))),0)</f>
        <v>1</v>
      </c>
      <c r="DD562" s="867">
        <f>IF(WWWW[[#This Row],[Total required Latrines]]-(WWWW[[#This Row],['#_Constructed latrines_by_WASHAgencies]]+WWWW[[#This Row],['#_Non Cluster partner latrines]])&lt;0,0,WWWW[[#This Row],[Total required Latrines]]-(WWWW[[#This Row],['#_Constructed latrines_by_WASHAgencies]]+WWWW[[#This Row],['#_Non Cluster partner latrines]]))</f>
        <v>1</v>
      </c>
      <c r="DE562" s="869">
        <f>1-WWWW[[#This Row],[% people access to functioning Latrine]]</f>
        <v>1</v>
      </c>
      <c r="DF562" s="868">
        <f>IF(OR(WWWW[[#This Row],['#_Non-functional latrines]]="",WWWW[[#This Row],['#_Non-functional latrines]]=0),0,WWWW[[#This Row],['#_Non-functional latrines]]/(WWWW[[#This Row],['#_Constructed latrines_by_WASHAgencies]]+WWWW[[#This Row],['#_Non Cluster partner latrines]]))</f>
        <v>0</v>
      </c>
      <c r="DG562" s="864">
        <f>IF(500*(WWWW[[#This Row],['#_male hygiene promoters]]+WWWW[[#This Row],['#_female hygiene promoters]])&gt;WWWW[[#This Row],[Total PoP ]],WWWW[[#This Row],[Total PoP ]],500*(WWWW[[#This Row],['#_male hygiene promoters]]+WWWW[[#This Row],['#_female hygiene promoters]]))</f>
        <v>0</v>
      </c>
      <c r="DH56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2" s="867">
        <f>IF(WWWW[[#This Row],['# People with access to soap]]&gt;WWWW[[#This Row],['# People with access to Sanity Pads]],WWWW[[#This Row],['# People with access to soap]],WWWW[[#This Row],['# People with access to Sanity Pads]])</f>
        <v>0</v>
      </c>
      <c r="DK562"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62" s="869">
        <f>IF(WWWW[[#This Row],[HRP3]]/WWWW[[#This Row],[Total PoP ]]&gt;1,1,WWWW[[#This Row],[HRP3]]/WWWW[[#This Row],[Total PoP ]])</f>
        <v>0</v>
      </c>
      <c r="DM562" s="868">
        <f>1-WWWW[[#This Row],[Hygiene Coverage%]]</f>
        <v>1</v>
      </c>
      <c r="DN562" s="866">
        <f>WWWW[[#This Row],['# people reached by regular dedicated hygiene promotion_5]]/WWWW[[#This Row],[Total PoP ]]</f>
        <v>0</v>
      </c>
      <c r="DO56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2" s="867">
        <f>WWWW[[#This Row],['#_Constructed/Existing hand washing stations]]-WWWW[[#This Row],['#_Non-Functional_hand_washing_stations]]</f>
        <v>0</v>
      </c>
      <c r="DR562" s="864">
        <f>IF(WWWW[[#This Row],['# Functional hand washing stations during reporting period]]*20&gt;WWWW[[#This Row],[Total HH]],WWWW[[#This Row],[Total HH]],WWWW[[#This Row],['# Functional hand washing stations during reporting period]]*20)</f>
        <v>0</v>
      </c>
      <c r="DS562" s="864">
        <f>IF(WWWW[[#This Row],[Is sufficient soap available for TLS? (Yes/No)]]="yes",WWWW[[#This Row],['#_Constructed/Existing hand washing stations at TLS]],0)</f>
        <v>0</v>
      </c>
      <c r="DT562" s="479">
        <f>IF(WWWW[[#This Row],['# Functional hand washing stations during reporting period]]*100&gt;WWWW[[#This Row],[Total PoP ]],WWWW[[#This Row],[Total PoP ]],WWWW[[#This Row],['# Functional hand washing stations during reporting period]]*100)</f>
        <v>0</v>
      </c>
      <c r="DU562" s="479" t="str">
        <f>IF(OR(WWWW[[#This Row],['#_students at TLS_CFS]]="",WWWW[[#This Row],['#_students at TLS_CFS]]=0),"No","Yes")</f>
        <v>No</v>
      </c>
      <c r="DV56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2" s="862" t="str">
        <f>VLOOKUP(WWWW[[#This Row],[Site Name]],SiteDB6[[Site Name]:[CCCM Management]],6,FALSE)</f>
        <v>Yes</v>
      </c>
      <c r="DZ562" s="862" t="str">
        <f>VLOOKUP(WWWW[[#This Row],[Site Name]],SiteDB6[[Site Name]:[CCCM Focal Agency]],7,FALSE)</f>
        <v>KMSS-MYT</v>
      </c>
      <c r="EA562" s="862" t="str">
        <f>VLOOKUP(WWWW[[#This Row],[Site Name]],SiteDB6[[Site Name]:[Location Type 1]],9,FALSE)</f>
        <v>Camp</v>
      </c>
      <c r="EB562" s="862" t="str">
        <f>VLOOKUP(WWWW[[#This Row],[Site Name]],SiteDB6[[Site Name]:[Type of Accommodation]],10,FALSE)</f>
        <v>Camp</v>
      </c>
      <c r="EC562" s="862" t="str">
        <f>VLOOKUP(WWWW[[#This Row],[Site Name]],SiteDB6[[Site Name]:[Ethnic or GCA/NGCA]],11,FALSE)</f>
        <v>GCA</v>
      </c>
      <c r="ED562" s="862">
        <f>VLOOKUP(WWWW[[#This Row],[Site Name]],SiteDB6[[Site Name]:[Lat]],12,FALSE)</f>
        <v>25.920006000000001</v>
      </c>
      <c r="EE562" s="862">
        <f>VLOOKUP(WWWW[[#This Row],[Site Name]],SiteDB6[[Site Name]:[Long]],13,FALSE)</f>
        <v>96.662092000000001</v>
      </c>
      <c r="EF562" s="862" t="str">
        <f>VLOOKUP(WWWW[[#This Row],[Site Name]],SiteDB6[[Site Name]:[Pcode]],3,FALSE)</f>
        <v>MMR001CMP247</v>
      </c>
      <c r="EG562" s="865" t="str">
        <f t="shared" si="16"/>
        <v>Notcovered</v>
      </c>
      <c r="EH562" s="865" t="str">
        <f>VLOOKUP(WWWW[[#This Row],[Site Name]],Site_DB!$C$389:$D$1120,2,FALSE)</f>
        <v>cccm_2019OCT</v>
      </c>
    </row>
    <row r="563" spans="1:138">
      <c r="A563" s="860" t="s">
        <v>3263</v>
      </c>
      <c r="B563" s="860" t="s">
        <v>245</v>
      </c>
      <c r="C563" s="861" t="s">
        <v>245</v>
      </c>
      <c r="D563" s="861" t="s">
        <v>310</v>
      </c>
      <c r="E563" s="861" t="s">
        <v>39</v>
      </c>
      <c r="F563" s="861" t="s">
        <v>151</v>
      </c>
      <c r="G563" s="721" t="str">
        <f>VLOOKUP(WWWW[[#This Row],[Site Name]],SiteDB6[[Site Name]:[Location Type]],8,FALSE)</f>
        <v>Camp</v>
      </c>
      <c r="H563" s="861" t="s">
        <v>261</v>
      </c>
      <c r="I563" s="851">
        <v>11</v>
      </c>
      <c r="J563" s="851">
        <v>42</v>
      </c>
      <c r="K563" s="863">
        <v>43313</v>
      </c>
      <c r="L563" s="859">
        <v>44196</v>
      </c>
      <c r="M563" s="851"/>
      <c r="N563" s="851">
        <v>1</v>
      </c>
      <c r="O563" s="851"/>
      <c r="P563" s="851"/>
      <c r="Q563" s="864" t="s">
        <v>43</v>
      </c>
      <c r="R563" s="851">
        <v>4</v>
      </c>
      <c r="S563" s="851">
        <v>2</v>
      </c>
      <c r="T563" s="523">
        <v>1</v>
      </c>
      <c r="U563" s="851"/>
      <c r="V563" s="851"/>
      <c r="W563" s="851">
        <v>0</v>
      </c>
      <c r="X563" s="851">
        <v>0</v>
      </c>
      <c r="Y563" s="851"/>
      <c r="Z563" s="851"/>
      <c r="AA563" s="851">
        <v>2</v>
      </c>
      <c r="AB563" s="851"/>
      <c r="AC563" s="851"/>
      <c r="AD563" s="851">
        <v>0</v>
      </c>
      <c r="AE563" s="851">
        <v>0</v>
      </c>
      <c r="AF563" s="851"/>
      <c r="AG563" s="851">
        <v>0</v>
      </c>
      <c r="AH563" s="851">
        <v>1</v>
      </c>
      <c r="AI563" s="851"/>
      <c r="AJ563" s="851"/>
      <c r="AK563" s="851"/>
      <c r="AL563" s="851"/>
      <c r="AM563" s="851">
        <v>0</v>
      </c>
      <c r="AN563" s="851">
        <v>0</v>
      </c>
      <c r="AO563" s="865"/>
      <c r="AP563" s="851">
        <v>3</v>
      </c>
      <c r="AQ563" s="851">
        <v>0</v>
      </c>
      <c r="AR563" s="866" t="s">
        <v>245</v>
      </c>
      <c r="AS563" s="851"/>
      <c r="AT563" s="851"/>
      <c r="AU563" s="851"/>
      <c r="AV563" s="851"/>
      <c r="AW563" s="851">
        <v>0</v>
      </c>
      <c r="AX563" s="862" t="s">
        <v>43</v>
      </c>
      <c r="AY563" s="865" t="s">
        <v>139</v>
      </c>
      <c r="AZ563" s="851">
        <v>0</v>
      </c>
      <c r="BA563" s="851">
        <v>0</v>
      </c>
      <c r="BB563" s="851">
        <v>0</v>
      </c>
      <c r="BC563" s="523"/>
      <c r="BD563" s="523"/>
      <c r="BE563" s="862"/>
      <c r="BF563" s="851">
        <v>0</v>
      </c>
      <c r="BG563" s="851"/>
      <c r="BH563" s="851">
        <v>0</v>
      </c>
      <c r="BI563" s="851">
        <v>2</v>
      </c>
      <c r="BJ563" s="851"/>
      <c r="BK563" s="851">
        <v>4</v>
      </c>
      <c r="BL563" s="851">
        <v>2</v>
      </c>
      <c r="BM563" s="851"/>
      <c r="BN563" s="851"/>
      <c r="BO563" s="862"/>
      <c r="BP563" s="867"/>
      <c r="BQ563" s="866"/>
      <c r="BR563" s="862"/>
      <c r="BS563" s="472"/>
      <c r="BT563" s="472"/>
      <c r="BU563" s="474"/>
      <c r="BV563" s="472"/>
      <c r="BW563" s="523"/>
      <c r="BX563" s="523"/>
      <c r="BY563" s="523"/>
      <c r="BZ563" s="868" t="str">
        <f>IFERROR(WWWW[[#This Row],['#_Water sources passed]]/WWWW[[#This Row],['#_Water sources tested for fecal coliform ]],"no test")</f>
        <v>no test</v>
      </c>
      <c r="CA563" s="866" t="str">
        <f>IFERROR(WWWW[[#This Row],['#_Household passed]]/WWWW[[#This Row],['#_Household water samples tested for fecal coliform]],"no test")</f>
        <v>no test</v>
      </c>
      <c r="CB563" s="867" t="str">
        <f>IF(AND(WWWW[[#This Row],[% of water sources passed]]="no test",WWWW[[#This Row],[% Household passed]]="no test"),"No Test","Tested")</f>
        <v>No Test</v>
      </c>
      <c r="CC563" s="867">
        <f>WWWW[[#This Row],['#_Constructed/existing protected hand dug well]]-WWWW[[#This Row],['#_Non-functional protected hand dug well]]</f>
        <v>1</v>
      </c>
      <c r="CD563" s="867">
        <f>(WWWW[[#This Row],['#_Constructed/Existing tube wells/boreholes/handpumps_WASH_agency]]+WWWW[[#This Row],['#_Non-Cluster partner water tube-wells/boreholes/handpumps]])-WWWW[[#This Row],['#_Non-functional tube wells/boreholes/handpumps]]</f>
        <v>0</v>
      </c>
      <c r="CE563" s="867">
        <f>WWWW[[#This Row],['#_Constructed/Existingwater storage tank with gravity fed reticulation system]]-WWWW[[#This Row],['#_Non-functional storage tank gravity fed reticulation system]]</f>
        <v>2</v>
      </c>
      <c r="CF563" s="867">
        <f>(WWWW[[#This Row],['#_Water_Liters_supplied_by_Water boating or water trucking]]/90)/15</f>
        <v>0</v>
      </c>
      <c r="CG563" s="867">
        <f>WWWW[[#This Row],['#_Water_Liters_from_Constructed/Existing water distribution system from river or natural spring]]/90/15</f>
        <v>0</v>
      </c>
      <c r="CH563" s="473">
        <f>WWWW[[#This Row],['#_of water points in TLS/CFS /THF]]*500</f>
        <v>0</v>
      </c>
      <c r="CI56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3" s="866">
        <f>IF(WWWW[[#This Row],[Location Type 1]]="Village",WWWW[[#This Row],[Access to safe drinking water for Village]],WWWW[[#This Row],[Access to safe drinking water for Camp]])</f>
        <v>1</v>
      </c>
      <c r="CL563" s="864">
        <f>WWWW[[#This Row],[%Equitable and continuous access to sufficient quantity of safe drinking water]]*WWWW[[#This Row],[Total PoP ]]</f>
        <v>42</v>
      </c>
      <c r="CM563" s="866">
        <f>IF((WWWW[[#This Row],['#_Constructed/Existing protected/fenced ponds]]*250)/WWWW[[#This Row],[Total PoP ]]&gt;1,1,(WWWW[[#This Row],['#_Constructed/Existing protected/fenced ponds]]*250)/WWWW[[#This Row],[Total PoP ]])</f>
        <v>0</v>
      </c>
      <c r="CN563" s="864">
        <f>WWWW[[#This Row],[% Access to unimproved water points]]*WWWW[[#This Row],[Total PoP ]]</f>
        <v>0</v>
      </c>
      <c r="CO56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Q563" s="864">
        <f>WWWW[[#This Row],[HRP1]]/500</f>
        <v>8.4000000000000005E-2</v>
      </c>
      <c r="CR563" s="869">
        <f>1-WWWW[[#This Row],[% Equitable and continuous access to sufficient quantity of domestic water]]</f>
        <v>0</v>
      </c>
      <c r="CS563" s="864">
        <f>WWWW[[#This Row],[%equitable and continuous access to sufficient quantity of safe drinking and domestic water''s GAP]]*WWWW[[#This Row],[Total PoP ]]</f>
        <v>0</v>
      </c>
      <c r="CT563" s="867">
        <f>IF(WWWW[[#This Row],[Total required water points]]-WWWW[[#This Row],['#Water points coverage]]&lt;0,0,WWWW[[#This Row],[Total required water points]]-WWWW[[#This Row],['#Water points coverage]])</f>
        <v>0.91600000000000004</v>
      </c>
      <c r="CU563" s="867">
        <f>ROUND(IF(WWWW[[#This Row],[Total PoP ]]&lt;500,1,WWWW[[#This Row],[Total PoP ]]/500),0)</f>
        <v>1</v>
      </c>
      <c r="CV563" s="867">
        <f>(WWWW[[#This Row],['#_Constructed latrines_by_WASHAgencies]]+WWWW[[#This Row],['#_Non Cluster partner latrines]])-WWWW[[#This Row],['#_Non-functional latrines]]</f>
        <v>3</v>
      </c>
      <c r="CW563" s="804">
        <f>WWWW[[#This Row],[HRP2]]/WWWW[[#This Row],[Total PoP ]]</f>
        <v>1</v>
      </c>
      <c r="CX56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v>
      </c>
      <c r="CY56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3" s="473">
        <f>IF(WWWW[[#This Row],['# of functional latrines in THF supported by WASH partners during the reporting period2]]="",0,WWWW[[#This Row],['# of functional latrines in THF supported by WASH partners during the reporting period2]]*50)</f>
        <v>0</v>
      </c>
      <c r="DB563" s="473">
        <f>WWWW[[#This Row],['# students access to functioning school latrines_HRP5]]+WWWW[[#This Row],['# People access to functioning latrines in THF_HRP5]]</f>
        <v>0</v>
      </c>
      <c r="DC563" s="867">
        <f>ROUND(IF(WWWW[[#This Row],[Location Type 1]]="camp",WWWW[[#This Row],[Total PoP ]]/20,IF(WWWW[[#This Row],[Location Type 1]]="Temporary Location",WWWW[[#This Row],[Total PoP ]]/50,(WWWW[[#This Row],[Total PoP ]]/6))),0)</f>
        <v>2</v>
      </c>
      <c r="DD563" s="867">
        <f>IF(WWWW[[#This Row],[Total required Latrines]]-(WWWW[[#This Row],['#_Constructed latrines_by_WASHAgencies]]+WWWW[[#This Row],['#_Non Cluster partner latrines]])&lt;0,0,WWWW[[#This Row],[Total required Latrines]]-(WWWW[[#This Row],['#_Constructed latrines_by_WASHAgencies]]+WWWW[[#This Row],['#_Non Cluster partner latrines]]))</f>
        <v>0</v>
      </c>
      <c r="DE563" s="869">
        <f>1-WWWW[[#This Row],[% people access to functioning Latrine]]</f>
        <v>0</v>
      </c>
      <c r="DF563" s="868">
        <f>IF(OR(WWWW[[#This Row],['#_Non-functional latrines]]="",WWWW[[#This Row],['#_Non-functional latrines]]=0),0,WWWW[[#This Row],['#_Non-functional latrines]]/(WWWW[[#This Row],['#_Constructed latrines_by_WASHAgencies]]+WWWW[[#This Row],['#_Non Cluster partner latrines]]))</f>
        <v>0</v>
      </c>
      <c r="DG563" s="864">
        <f>IF(500*(WWWW[[#This Row],['#_male hygiene promoters]]+WWWW[[#This Row],['#_female hygiene promoters]])&gt;WWWW[[#This Row],[Total PoP ]],WWWW[[#This Row],[Total PoP ]],500*(WWWW[[#This Row],['#_male hygiene promoters]]+WWWW[[#This Row],['#_female hygiene promoters]]))</f>
        <v>42</v>
      </c>
      <c r="DH56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3" s="867">
        <f>IF(WWWW[[#This Row],['# People with access to soap]]&gt;WWWW[[#This Row],['# People with access to Sanity Pads]],WWWW[[#This Row],['# People with access to soap]],WWWW[[#This Row],['# People with access to Sanity Pads]])</f>
        <v>0</v>
      </c>
      <c r="DK563" s="867">
        <f>IF(WWWW[[#This Row],['# people reached by regular dedicated hygiene promotion_5]]&gt;WWWW[[#This Row],['# People received regular supply of hygiene items_6]],WWWW[[#This Row],['# people reached by regular dedicated hygiene promotion_5]],WWWW[[#This Row],['# People received regular supply of hygiene items_6]])</f>
        <v>42</v>
      </c>
      <c r="DL563" s="869">
        <f>IF(WWWW[[#This Row],[HRP3]]/WWWW[[#This Row],[Total PoP ]]&gt;1,1,WWWW[[#This Row],[HRP3]]/WWWW[[#This Row],[Total PoP ]])</f>
        <v>1</v>
      </c>
      <c r="DM563" s="868">
        <f>1-WWWW[[#This Row],[Hygiene Coverage%]]</f>
        <v>0</v>
      </c>
      <c r="DN563" s="866">
        <f>WWWW[[#This Row],['# people reached by regular dedicated hygiene promotion_5]]/WWWW[[#This Row],[Total PoP ]]</f>
        <v>1</v>
      </c>
      <c r="DO56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3" s="867">
        <f>WWWW[[#This Row],['#_Constructed/Existing hand washing stations]]-WWWW[[#This Row],['#_Non-Functional_hand_washing_stations]]</f>
        <v>0</v>
      </c>
      <c r="DR563" s="864">
        <f>IF(WWWW[[#This Row],['# Functional hand washing stations during reporting period]]*20&gt;WWWW[[#This Row],[Total HH]],WWWW[[#This Row],[Total HH]],WWWW[[#This Row],['# Functional hand washing stations during reporting period]]*20)</f>
        <v>0</v>
      </c>
      <c r="DS563" s="864">
        <f>IF(WWWW[[#This Row],[Is sufficient soap available for TLS? (Yes/No)]]="yes",WWWW[[#This Row],['#_Constructed/Existing hand washing stations at TLS]],0)</f>
        <v>0</v>
      </c>
      <c r="DT563" s="479">
        <f>IF(WWWW[[#This Row],['# Functional hand washing stations during reporting period]]*100&gt;WWWW[[#This Row],[Total PoP ]],WWWW[[#This Row],[Total PoP ]],WWWW[[#This Row],['# Functional hand washing stations during reporting period]]*100)</f>
        <v>0</v>
      </c>
      <c r="DU563" s="479" t="str">
        <f>IF(OR(WWWW[[#This Row],['#_students at TLS_CFS]]="",WWWW[[#This Row],['#_students at TLS_CFS]]=0),"No","Yes")</f>
        <v>No</v>
      </c>
      <c r="DV56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3" s="862" t="str">
        <f>VLOOKUP(WWWW[[#This Row],[Site Name]],SiteDB6[[Site Name]:[CCCM Management]],6,FALSE)</f>
        <v>Yes</v>
      </c>
      <c r="DZ563" s="862" t="str">
        <f>VLOOKUP(WWWW[[#This Row],[Site Name]],SiteDB6[[Site Name]:[CCCM Focal Agency]],7,FALSE)</f>
        <v>Shalom</v>
      </c>
      <c r="EA563" s="862" t="str">
        <f>VLOOKUP(WWWW[[#This Row],[Site Name]],SiteDB6[[Site Name]:[Location Type 1]],9,FALSE)</f>
        <v>Camp</v>
      </c>
      <c r="EB563" s="862" t="str">
        <f>VLOOKUP(WWWW[[#This Row],[Site Name]],SiteDB6[[Site Name]:[Type of Accommodation]],10,FALSE)</f>
        <v>Camp like setting</v>
      </c>
      <c r="EC563" s="862" t="str">
        <f>VLOOKUP(WWWW[[#This Row],[Site Name]],SiteDB6[[Site Name]:[Ethnic or GCA/NGCA]],11,FALSE)</f>
        <v>GCA</v>
      </c>
      <c r="ED563" s="862">
        <f>VLOOKUP(WWWW[[#This Row],[Site Name]],SiteDB6[[Site Name]:[Lat]],12,FALSE)</f>
        <v>25.617998</v>
      </c>
      <c r="EE563" s="862">
        <f>VLOOKUP(WWWW[[#This Row],[Site Name]],SiteDB6[[Site Name]:[Long]],13,FALSE)</f>
        <v>96.339590000000001</v>
      </c>
      <c r="EF563" s="862" t="str">
        <f>VLOOKUP(WWWW[[#This Row],[Site Name]],SiteDB6[[Site Name]:[Pcode]],3,FALSE)</f>
        <v>MMR001CMP192</v>
      </c>
      <c r="EG563" s="865" t="str">
        <f t="shared" si="16"/>
        <v>Covered</v>
      </c>
      <c r="EH563" s="865" t="str">
        <f>VLOOKUP(WWWW[[#This Row],[Site Name]],Site_DB!$C$389:$D$1120,2,FALSE)</f>
        <v>cccm_2019OCT</v>
      </c>
    </row>
    <row r="564" spans="1:138">
      <c r="A564" s="860" t="s">
        <v>3263</v>
      </c>
      <c r="B564" s="860" t="s">
        <v>38</v>
      </c>
      <c r="C564" s="861" t="s">
        <v>38</v>
      </c>
      <c r="D564" s="861" t="s">
        <v>3372</v>
      </c>
      <c r="E564" s="861" t="s">
        <v>39</v>
      </c>
      <c r="F564" s="861" t="s">
        <v>149</v>
      </c>
      <c r="G564" s="721" t="str">
        <f>VLOOKUP(WWWW[[#This Row],[Site Name]],SiteDB6[[Site Name]:[Location Type]],8,FALSE)</f>
        <v>Camp</v>
      </c>
      <c r="H564" s="861" t="s">
        <v>230</v>
      </c>
      <c r="I564" s="851">
        <v>31</v>
      </c>
      <c r="J564" s="851">
        <v>173</v>
      </c>
      <c r="K564" s="863" t="s">
        <v>3619</v>
      </c>
      <c r="L564" s="859" t="s">
        <v>3620</v>
      </c>
      <c r="M564" s="851"/>
      <c r="N564" s="851"/>
      <c r="O564" s="851"/>
      <c r="P564" s="851"/>
      <c r="Q564" s="864" t="s">
        <v>43</v>
      </c>
      <c r="R564" s="851"/>
      <c r="S564" s="851"/>
      <c r="T564" s="523"/>
      <c r="U564" s="851"/>
      <c r="V564" s="851"/>
      <c r="W564" s="851"/>
      <c r="X564" s="851"/>
      <c r="Y564" s="851"/>
      <c r="Z564" s="851"/>
      <c r="AA564" s="851"/>
      <c r="AB564" s="851"/>
      <c r="AC564" s="851"/>
      <c r="AD564" s="851"/>
      <c r="AE564" s="851"/>
      <c r="AF564" s="851"/>
      <c r="AG564" s="851"/>
      <c r="AH564" s="851"/>
      <c r="AI564" s="851"/>
      <c r="AJ564" s="851"/>
      <c r="AK564" s="851"/>
      <c r="AL564" s="851"/>
      <c r="AM564" s="851"/>
      <c r="AN564" s="851"/>
      <c r="AO564" s="865"/>
      <c r="AP564" s="851">
        <v>10</v>
      </c>
      <c r="AQ564" s="851"/>
      <c r="AR564" s="866"/>
      <c r="AS564" s="851"/>
      <c r="AT564" s="851"/>
      <c r="AU564" s="851"/>
      <c r="AV564" s="851"/>
      <c r="AW564" s="851"/>
      <c r="AX564" s="862" t="s">
        <v>43</v>
      </c>
      <c r="AY564" s="865" t="s">
        <v>140</v>
      </c>
      <c r="AZ564" s="851">
        <v>2</v>
      </c>
      <c r="BA564" s="851"/>
      <c r="BB564" s="851"/>
      <c r="BC564" s="523"/>
      <c r="BD564" s="523"/>
      <c r="BE564" s="862"/>
      <c r="BF564" s="851"/>
      <c r="BG564" s="851"/>
      <c r="BH564" s="851"/>
      <c r="BI564" s="851"/>
      <c r="BJ564" s="851"/>
      <c r="BK564" s="851">
        <v>1</v>
      </c>
      <c r="BL564" s="851"/>
      <c r="BM564" s="851"/>
      <c r="BN564" s="851"/>
      <c r="BO564" s="862"/>
      <c r="BP564" s="867"/>
      <c r="BQ564" s="866"/>
      <c r="BR564" s="862"/>
      <c r="BS564" s="472"/>
      <c r="BT564" s="472"/>
      <c r="BU564" s="474"/>
      <c r="BV564" s="472"/>
      <c r="BW564" s="523"/>
      <c r="BX564" s="523"/>
      <c r="BY564" s="523"/>
      <c r="BZ564" s="868" t="str">
        <f>IFERROR(WWWW[[#This Row],['#_Water sources passed]]/WWWW[[#This Row],['#_Water sources tested for fecal coliform ]],"no test")</f>
        <v>no test</v>
      </c>
      <c r="CA564" s="866" t="str">
        <f>IFERROR(WWWW[[#This Row],['#_Household passed]]/WWWW[[#This Row],['#_Household water samples tested for fecal coliform]],"no test")</f>
        <v>no test</v>
      </c>
      <c r="CB564" s="867" t="str">
        <f>IF(AND(WWWW[[#This Row],[% of water sources passed]]="no test",WWWW[[#This Row],[% Household passed]]="no test"),"No Test","Tested")</f>
        <v>No Test</v>
      </c>
      <c r="CC564" s="867">
        <f>WWWW[[#This Row],['#_Constructed/existing protected hand dug well]]-WWWW[[#This Row],['#_Non-functional protected hand dug well]]</f>
        <v>0</v>
      </c>
      <c r="CD564" s="867">
        <f>(WWWW[[#This Row],['#_Constructed/Existing tube wells/boreholes/handpumps_WASH_agency]]+WWWW[[#This Row],['#_Non-Cluster partner water tube-wells/boreholes/handpumps]])-WWWW[[#This Row],['#_Non-functional tube wells/boreholes/handpumps]]</f>
        <v>0</v>
      </c>
      <c r="CE564" s="867">
        <f>WWWW[[#This Row],['#_Constructed/Existingwater storage tank with gravity fed reticulation system]]-WWWW[[#This Row],['#_Non-functional storage tank gravity fed reticulation system]]</f>
        <v>0</v>
      </c>
      <c r="CF564" s="867">
        <f>(WWWW[[#This Row],['#_Water_Liters_supplied_by_Water boating or water trucking]]/90)/15</f>
        <v>0</v>
      </c>
      <c r="CG564" s="867">
        <f>WWWW[[#This Row],['#_Water_Liters_from_Constructed/Existing water distribution system from river or natural spring]]/90/15</f>
        <v>0</v>
      </c>
      <c r="CH564" s="473">
        <f>WWWW[[#This Row],['#_of water points in TLS/CFS /THF]]*500</f>
        <v>0</v>
      </c>
      <c r="CI56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6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64" s="866">
        <f>IF(WWWW[[#This Row],[Location Type 1]]="Village",WWWW[[#This Row],[Access to safe drinking water for Village]],WWWW[[#This Row],[Access to safe drinking water for Camp]])</f>
        <v>0</v>
      </c>
      <c r="CL564" s="864">
        <f>WWWW[[#This Row],[%Equitable and continuous access to sufficient quantity of safe drinking water]]*WWWW[[#This Row],[Total PoP ]]</f>
        <v>0</v>
      </c>
      <c r="CM564" s="866">
        <f>IF((WWWW[[#This Row],['#_Constructed/Existing protected/fenced ponds]]*250)/WWWW[[#This Row],[Total PoP ]]&gt;1,1,(WWWW[[#This Row],['#_Constructed/Existing protected/fenced ponds]]*250)/WWWW[[#This Row],[Total PoP ]])</f>
        <v>0</v>
      </c>
      <c r="CN564" s="864">
        <f>WWWW[[#This Row],[% Access to unimproved water points]]*WWWW[[#This Row],[Total PoP ]]</f>
        <v>0</v>
      </c>
      <c r="CO56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6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64" s="864">
        <f>WWWW[[#This Row],[HRP1]]/500</f>
        <v>0</v>
      </c>
      <c r="CR564" s="869">
        <f>1-WWWW[[#This Row],[% Equitable and continuous access to sufficient quantity of domestic water]]</f>
        <v>1</v>
      </c>
      <c r="CS564" s="864">
        <f>WWWW[[#This Row],[%equitable and continuous access to sufficient quantity of safe drinking and domestic water''s GAP]]*WWWW[[#This Row],[Total PoP ]]</f>
        <v>173</v>
      </c>
      <c r="CT564" s="867">
        <f>IF(WWWW[[#This Row],[Total required water points]]-WWWW[[#This Row],['#Water points coverage]]&lt;0,0,WWWW[[#This Row],[Total required water points]]-WWWW[[#This Row],['#Water points coverage]])</f>
        <v>1</v>
      </c>
      <c r="CU564" s="867">
        <f>ROUND(IF(WWWW[[#This Row],[Total PoP ]]&lt;500,1,WWWW[[#This Row],[Total PoP ]]/500),0)</f>
        <v>1</v>
      </c>
      <c r="CV564" s="867">
        <f>(WWWW[[#This Row],['#_Constructed latrines_by_WASHAgencies]]+WWWW[[#This Row],['#_Non Cluster partner latrines]])-WWWW[[#This Row],['#_Non-functional latrines]]</f>
        <v>10</v>
      </c>
      <c r="CW564" s="804">
        <f>WWWW[[#This Row],[HRP2]]/WWWW[[#This Row],[Total PoP ]]</f>
        <v>1</v>
      </c>
      <c r="CX56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v>
      </c>
      <c r="CY56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4" s="473">
        <f>IF(WWWW[[#This Row],['# of functional latrines in THF supported by WASH partners during the reporting period2]]="",0,WWWW[[#This Row],['# of functional latrines in THF supported by WASH partners during the reporting period2]]*50)</f>
        <v>0</v>
      </c>
      <c r="DB564" s="473">
        <f>WWWW[[#This Row],['# students access to functioning school latrines_HRP5]]+WWWW[[#This Row],['# People access to functioning latrines in THF_HRP5]]</f>
        <v>0</v>
      </c>
      <c r="DC564" s="867">
        <f>ROUND(IF(WWWW[[#This Row],[Location Type 1]]="camp",WWWW[[#This Row],[Total PoP ]]/20,IF(WWWW[[#This Row],[Location Type 1]]="Temporary Location",WWWW[[#This Row],[Total PoP ]]/50,(WWWW[[#This Row],[Total PoP ]]/6))),0)</f>
        <v>9</v>
      </c>
      <c r="DD564" s="867">
        <f>IF(WWWW[[#This Row],[Total required Latrines]]-(WWWW[[#This Row],['#_Constructed latrines_by_WASHAgencies]]+WWWW[[#This Row],['#_Non Cluster partner latrines]])&lt;0,0,WWWW[[#This Row],[Total required Latrines]]-(WWWW[[#This Row],['#_Constructed latrines_by_WASHAgencies]]+WWWW[[#This Row],['#_Non Cluster partner latrines]]))</f>
        <v>0</v>
      </c>
      <c r="DE564" s="869">
        <f>1-WWWW[[#This Row],[% people access to functioning Latrine]]</f>
        <v>0</v>
      </c>
      <c r="DF564" s="868">
        <f>IF(OR(WWWW[[#This Row],['#_Non-functional latrines]]="",WWWW[[#This Row],['#_Non-functional latrines]]=0),0,WWWW[[#This Row],['#_Non-functional latrines]]/(WWWW[[#This Row],['#_Constructed latrines_by_WASHAgencies]]+WWWW[[#This Row],['#_Non Cluster partner latrines]]))</f>
        <v>0</v>
      </c>
      <c r="DG564" s="864">
        <f>IF(500*(WWWW[[#This Row],['#_male hygiene promoters]]+WWWW[[#This Row],['#_female hygiene promoters]])&gt;WWWW[[#This Row],[Total PoP ]],WWWW[[#This Row],[Total PoP ]],500*(WWWW[[#This Row],['#_male hygiene promoters]]+WWWW[[#This Row],['#_female hygiene promoters]]))</f>
        <v>173</v>
      </c>
      <c r="DH56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4" s="867">
        <f>IF(WWWW[[#This Row],['# People with access to soap]]&gt;WWWW[[#This Row],['# People with access to Sanity Pads]],WWWW[[#This Row],['# People with access to soap]],WWWW[[#This Row],['# People with access to Sanity Pads]])</f>
        <v>0</v>
      </c>
      <c r="DK564" s="867">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L564" s="869">
        <f>IF(WWWW[[#This Row],[HRP3]]/WWWW[[#This Row],[Total PoP ]]&gt;1,1,WWWW[[#This Row],[HRP3]]/WWWW[[#This Row],[Total PoP ]])</f>
        <v>1</v>
      </c>
      <c r="DM564" s="868">
        <f>1-WWWW[[#This Row],[Hygiene Coverage%]]</f>
        <v>0</v>
      </c>
      <c r="DN564" s="866">
        <f>WWWW[[#This Row],['# people reached by regular dedicated hygiene promotion_5]]/WWWW[[#This Row],[Total PoP ]]</f>
        <v>1</v>
      </c>
      <c r="DO56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4" s="867">
        <f>WWWW[[#This Row],['#_Constructed/Existing hand washing stations]]-WWWW[[#This Row],['#_Non-Functional_hand_washing_stations]]</f>
        <v>0</v>
      </c>
      <c r="DR564" s="864">
        <f>IF(WWWW[[#This Row],['# Functional hand washing stations during reporting period]]*20&gt;WWWW[[#This Row],[Total HH]],WWWW[[#This Row],[Total HH]],WWWW[[#This Row],['# Functional hand washing stations during reporting period]]*20)</f>
        <v>0</v>
      </c>
      <c r="DS564" s="864">
        <f>IF(WWWW[[#This Row],[Is sufficient soap available for TLS? (Yes/No)]]="yes",WWWW[[#This Row],['#_Constructed/Existing hand washing stations at TLS]],0)</f>
        <v>0</v>
      </c>
      <c r="DT564" s="479">
        <f>IF(WWWW[[#This Row],['# Functional hand washing stations during reporting period]]*100&gt;WWWW[[#This Row],[Total PoP ]],WWWW[[#This Row],[Total PoP ]],WWWW[[#This Row],['# Functional hand washing stations during reporting period]]*100)</f>
        <v>0</v>
      </c>
      <c r="DU564" s="479" t="str">
        <f>IF(OR(WWWW[[#This Row],['#_students at TLS_CFS]]="",WWWW[[#This Row],['#_students at TLS_CFS]]=0),"No","Yes")</f>
        <v>No</v>
      </c>
      <c r="DV56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4" s="862" t="str">
        <f>VLOOKUP(WWWW[[#This Row],[Site Name]],SiteDB6[[Site Name]:[CCCM Management]],6,FALSE)</f>
        <v>Yes</v>
      </c>
      <c r="DZ564" s="862" t="str">
        <f>VLOOKUP(WWWW[[#This Row],[Site Name]],SiteDB6[[Site Name]:[CCCM Focal Agency]],7,FALSE)</f>
        <v>KMSS-MYT</v>
      </c>
      <c r="EA564" s="862" t="str">
        <f>VLOOKUP(WWWW[[#This Row],[Site Name]],SiteDB6[[Site Name]:[Location Type 1]],9,FALSE)</f>
        <v>Camp</v>
      </c>
      <c r="EB564" s="862" t="str">
        <f>VLOOKUP(WWWW[[#This Row],[Site Name]],SiteDB6[[Site Name]:[Type of Accommodation]],10,FALSE)</f>
        <v>Camp</v>
      </c>
      <c r="EC564" s="862" t="str">
        <f>VLOOKUP(WWWW[[#This Row],[Site Name]],SiteDB6[[Site Name]:[Ethnic or GCA/NGCA]],11,FALSE)</f>
        <v>GCA</v>
      </c>
      <c r="ED564" s="862">
        <f>VLOOKUP(WWWW[[#This Row],[Site Name]],SiteDB6[[Site Name]:[Lat]],12,FALSE)</f>
        <v>25.645959999999999</v>
      </c>
      <c r="EE564" s="862">
        <f>VLOOKUP(WWWW[[#This Row],[Site Name]],SiteDB6[[Site Name]:[Long]],13,FALSE)</f>
        <v>98.356260000000006</v>
      </c>
      <c r="EF564" s="862" t="str">
        <f>VLOOKUP(WWWW[[#This Row],[Site Name]],SiteDB6[[Site Name]:[Pcode]],3,FALSE)</f>
        <v>MMR001CMP225</v>
      </c>
      <c r="EG564" s="865" t="str">
        <f t="shared" si="16"/>
        <v>Covered</v>
      </c>
      <c r="EH564" s="865" t="str">
        <f>VLOOKUP(WWWW[[#This Row],[Site Name]],Site_DB!$C$389:$D$1120,2,FALSE)</f>
        <v>cccm_2019OCT</v>
      </c>
    </row>
    <row r="565" spans="1:138">
      <c r="A565" s="860" t="s">
        <v>3263</v>
      </c>
      <c r="B565" s="860" t="s">
        <v>245</v>
      </c>
      <c r="C565" s="861" t="s">
        <v>245</v>
      </c>
      <c r="D565" s="861" t="s">
        <v>310</v>
      </c>
      <c r="E565" s="861" t="s">
        <v>39</v>
      </c>
      <c r="F565" s="861" t="s">
        <v>149</v>
      </c>
      <c r="G565" s="721" t="str">
        <f>VLOOKUP(WWWW[[#This Row],[Site Name]],SiteDB6[[Site Name]:[Location Type]],8,FALSE)</f>
        <v>Camp</v>
      </c>
      <c r="H565" s="861" t="s">
        <v>250</v>
      </c>
      <c r="I565" s="851">
        <v>202</v>
      </c>
      <c r="J565" s="851">
        <v>895</v>
      </c>
      <c r="K565" s="863">
        <v>43313</v>
      </c>
      <c r="L565" s="859">
        <v>44196</v>
      </c>
      <c r="M565" s="851"/>
      <c r="N565" s="851">
        <v>1</v>
      </c>
      <c r="O565" s="851"/>
      <c r="P565" s="851"/>
      <c r="Q565" s="864" t="s">
        <v>43</v>
      </c>
      <c r="R565" s="851">
        <v>4</v>
      </c>
      <c r="S565" s="851">
        <v>2</v>
      </c>
      <c r="T565" s="523">
        <v>0</v>
      </c>
      <c r="U565" s="851"/>
      <c r="V565" s="851"/>
      <c r="W565" s="851">
        <v>0</v>
      </c>
      <c r="X565" s="851"/>
      <c r="Y565" s="851"/>
      <c r="Z565" s="851"/>
      <c r="AA565" s="851">
        <v>1</v>
      </c>
      <c r="AB565" s="851"/>
      <c r="AC565" s="851"/>
      <c r="AD565" s="851"/>
      <c r="AE565" s="851"/>
      <c r="AF565" s="851"/>
      <c r="AG565" s="851"/>
      <c r="AH565" s="851">
        <v>1</v>
      </c>
      <c r="AI565" s="851"/>
      <c r="AJ565" s="851"/>
      <c r="AK565" s="851"/>
      <c r="AL565" s="851"/>
      <c r="AM565" s="851"/>
      <c r="AN565" s="851"/>
      <c r="AO565" s="865"/>
      <c r="AP565" s="851">
        <v>56</v>
      </c>
      <c r="AQ565" s="851">
        <v>14</v>
      </c>
      <c r="AR565" s="866" t="s">
        <v>2914</v>
      </c>
      <c r="AS565" s="851"/>
      <c r="AT565" s="851"/>
      <c r="AU565" s="851"/>
      <c r="AV565" s="851"/>
      <c r="AW565" s="851">
        <v>0</v>
      </c>
      <c r="AX565" s="862" t="s">
        <v>139</v>
      </c>
      <c r="AY565" s="865" t="s">
        <v>1195</v>
      </c>
      <c r="AZ565" s="851">
        <v>0</v>
      </c>
      <c r="BA565" s="851">
        <v>0</v>
      </c>
      <c r="BB565" s="851">
        <v>0</v>
      </c>
      <c r="BC565" s="523"/>
      <c r="BD565" s="523"/>
      <c r="BE565" s="862"/>
      <c r="BF565" s="851">
        <v>14</v>
      </c>
      <c r="BG565" s="851"/>
      <c r="BH565" s="851">
        <v>0</v>
      </c>
      <c r="BI565" s="851">
        <v>17</v>
      </c>
      <c r="BJ565" s="851"/>
      <c r="BK565" s="851">
        <v>4</v>
      </c>
      <c r="BL565" s="851">
        <v>2</v>
      </c>
      <c r="BM565" s="851"/>
      <c r="BN565" s="851"/>
      <c r="BO565" s="862" t="s">
        <v>139</v>
      </c>
      <c r="BP565" s="867"/>
      <c r="BQ565" s="866"/>
      <c r="BR565" s="862"/>
      <c r="BS565" s="472"/>
      <c r="BT565" s="472"/>
      <c r="BU565" s="474"/>
      <c r="BV565" s="472"/>
      <c r="BW565" s="523"/>
      <c r="BX565" s="523"/>
      <c r="BY565" s="523"/>
      <c r="BZ565" s="868" t="str">
        <f>IFERROR(WWWW[[#This Row],['#_Water sources passed]]/WWWW[[#This Row],['#_Water sources tested for fecal coliform ]],"no test")</f>
        <v>no test</v>
      </c>
      <c r="CA565" s="866" t="str">
        <f>IFERROR(WWWW[[#This Row],['#_Household passed]]/WWWW[[#This Row],['#_Household water samples tested for fecal coliform]],"no test")</f>
        <v>no test</v>
      </c>
      <c r="CB565" s="867" t="str">
        <f>IF(AND(WWWW[[#This Row],[% of water sources passed]]="no test",WWWW[[#This Row],[% Household passed]]="no test"),"No Test","Tested")</f>
        <v>No Test</v>
      </c>
      <c r="CC565" s="867">
        <f>WWWW[[#This Row],['#_Constructed/existing protected hand dug well]]-WWWW[[#This Row],['#_Non-functional protected hand dug well]]</f>
        <v>0</v>
      </c>
      <c r="CD565" s="867">
        <f>(WWWW[[#This Row],['#_Constructed/Existing tube wells/boreholes/handpumps_WASH_agency]]+WWWW[[#This Row],['#_Non-Cluster partner water tube-wells/boreholes/handpumps]])-WWWW[[#This Row],['#_Non-functional tube wells/boreholes/handpumps]]</f>
        <v>0</v>
      </c>
      <c r="CE565" s="867">
        <f>WWWW[[#This Row],['#_Constructed/Existingwater storage tank with gravity fed reticulation system]]-WWWW[[#This Row],['#_Non-functional storage tank gravity fed reticulation system]]</f>
        <v>1</v>
      </c>
      <c r="CF565" s="867">
        <f>(WWWW[[#This Row],['#_Water_Liters_supplied_by_Water boating or water trucking]]/90)/15</f>
        <v>0</v>
      </c>
      <c r="CG565" s="867">
        <f>WWWW[[#This Row],['#_Water_Liters_from_Constructed/Existing water distribution system from river or natural spring]]/90/15</f>
        <v>0</v>
      </c>
      <c r="CH565" s="473">
        <f>WWWW[[#This Row],['#_of water points in TLS/CFS /THF]]*500</f>
        <v>0</v>
      </c>
      <c r="CI56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7.4487895716946001E-2</v>
      </c>
      <c r="CJ56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7.4487895716946001E-2</v>
      </c>
      <c r="CK565" s="866">
        <f>IF(WWWW[[#This Row],[Location Type 1]]="Village",WWWW[[#This Row],[Access to safe drinking water for Village]],WWWW[[#This Row],[Access to safe drinking water for Camp]])</f>
        <v>7.4487895716946001E-2</v>
      </c>
      <c r="CL565" s="864">
        <f>WWWW[[#This Row],[%Equitable and continuous access to sufficient quantity of safe drinking water]]*WWWW[[#This Row],[Total PoP ]]</f>
        <v>66.666666666666671</v>
      </c>
      <c r="CM565" s="866">
        <f>IF((WWWW[[#This Row],['#_Constructed/Existing protected/fenced ponds]]*250)/WWWW[[#This Row],[Total PoP ]]&gt;1,1,(WWWW[[#This Row],['#_Constructed/Existing protected/fenced ponds]]*250)/WWWW[[#This Row],[Total PoP ]])</f>
        <v>0</v>
      </c>
      <c r="CN565" s="864">
        <f>WWWW[[#This Row],[% Access to unimproved water points]]*WWWW[[#This Row],[Total PoP ]]</f>
        <v>0</v>
      </c>
      <c r="CO56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7.4487895716946001E-2</v>
      </c>
      <c r="CP56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65" s="864">
        <f>WWWW[[#This Row],[HRP1]]/500</f>
        <v>0.13333333333333333</v>
      </c>
      <c r="CR565" s="869">
        <f>1-WWWW[[#This Row],[% Equitable and continuous access to sufficient quantity of domestic water]]</f>
        <v>0.92551210428305397</v>
      </c>
      <c r="CS565" s="864">
        <f>WWWW[[#This Row],[%equitable and continuous access to sufficient quantity of safe drinking and domestic water''s GAP]]*WWWW[[#This Row],[Total PoP ]]</f>
        <v>828.33333333333326</v>
      </c>
      <c r="CT565" s="867">
        <f>IF(WWWW[[#This Row],[Total required water points]]-WWWW[[#This Row],['#Water points coverage]]&lt;0,0,WWWW[[#This Row],[Total required water points]]-WWWW[[#This Row],['#Water points coverage]])</f>
        <v>1.8666666666666667</v>
      </c>
      <c r="CU565" s="867">
        <f>ROUND(IF(WWWW[[#This Row],[Total PoP ]]&lt;500,1,WWWW[[#This Row],[Total PoP ]]/500),0)</f>
        <v>2</v>
      </c>
      <c r="CV565" s="867">
        <f>(WWWW[[#This Row],['#_Constructed latrines_by_WASHAgencies]]+WWWW[[#This Row],['#_Non Cluster partner latrines]])-WWWW[[#This Row],['#_Non-functional latrines]]</f>
        <v>70</v>
      </c>
      <c r="CW565" s="804">
        <f>WWWW[[#This Row],[HRP2]]/WWWW[[#This Row],[Total PoP ]]</f>
        <v>1</v>
      </c>
      <c r="CX56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CY56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5" s="473">
        <f>IF(WWWW[[#This Row],['# of functional latrines in THF supported by WASH partners during the reporting period2]]="",0,WWWW[[#This Row],['# of functional latrines in THF supported by WASH partners during the reporting period2]]*50)</f>
        <v>0</v>
      </c>
      <c r="DB565" s="473">
        <f>WWWW[[#This Row],['# students access to functioning school latrines_HRP5]]+WWWW[[#This Row],['# People access to functioning latrines in THF_HRP5]]</f>
        <v>0</v>
      </c>
      <c r="DC565" s="867">
        <f>ROUND(IF(WWWW[[#This Row],[Location Type 1]]="camp",WWWW[[#This Row],[Total PoP ]]/20,IF(WWWW[[#This Row],[Location Type 1]]="Temporary Location",WWWW[[#This Row],[Total PoP ]]/50,(WWWW[[#This Row],[Total PoP ]]/6))),0)</f>
        <v>45</v>
      </c>
      <c r="DD565" s="867">
        <f>IF(WWWW[[#This Row],[Total required Latrines]]-(WWWW[[#This Row],['#_Constructed latrines_by_WASHAgencies]]+WWWW[[#This Row],['#_Non Cluster partner latrines]])&lt;0,0,WWWW[[#This Row],[Total required Latrines]]-(WWWW[[#This Row],['#_Constructed latrines_by_WASHAgencies]]+WWWW[[#This Row],['#_Non Cluster partner latrines]]))</f>
        <v>0</v>
      </c>
      <c r="DE565" s="869">
        <f>1-WWWW[[#This Row],[% people access to functioning Latrine]]</f>
        <v>0</v>
      </c>
      <c r="DF565" s="868">
        <f>IF(OR(WWWW[[#This Row],['#_Non-functional latrines]]="",WWWW[[#This Row],['#_Non-functional latrines]]=0),0,WWWW[[#This Row],['#_Non-functional latrines]]/(WWWW[[#This Row],['#_Constructed latrines_by_WASHAgencies]]+WWWW[[#This Row],['#_Non Cluster partner latrines]]))</f>
        <v>0</v>
      </c>
      <c r="DG565" s="864">
        <f>IF(500*(WWWW[[#This Row],['#_male hygiene promoters]]+WWWW[[#This Row],['#_female hygiene promoters]])&gt;WWWW[[#This Row],[Total PoP ]],WWWW[[#This Row],[Total PoP ]],500*(WWWW[[#This Row],['#_male hygiene promoters]]+WWWW[[#This Row],['#_female hygiene promoters]]))</f>
        <v>895</v>
      </c>
      <c r="DH56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5" s="867">
        <f>IF(WWWW[[#This Row],['# People with access to soap]]&gt;WWWW[[#This Row],['# People with access to Sanity Pads]],WWWW[[#This Row],['# People with access to soap]],WWWW[[#This Row],['# People with access to Sanity Pads]])</f>
        <v>0</v>
      </c>
      <c r="DK565" s="867">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L565" s="869">
        <f>IF(WWWW[[#This Row],[HRP3]]/WWWW[[#This Row],[Total PoP ]]&gt;1,1,WWWW[[#This Row],[HRP3]]/WWWW[[#This Row],[Total PoP ]])</f>
        <v>1</v>
      </c>
      <c r="DM565" s="868">
        <f>1-WWWW[[#This Row],[Hygiene Coverage%]]</f>
        <v>0</v>
      </c>
      <c r="DN565" s="866">
        <f>WWWW[[#This Row],['# people reached by regular dedicated hygiene promotion_5]]/WWWW[[#This Row],[Total PoP ]]</f>
        <v>1</v>
      </c>
      <c r="DO56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5" s="867">
        <f>WWWW[[#This Row],['#_Constructed/Existing hand washing stations]]-WWWW[[#This Row],['#_Non-Functional_hand_washing_stations]]</f>
        <v>14</v>
      </c>
      <c r="DR565" s="864">
        <f>IF(WWWW[[#This Row],['# Functional hand washing stations during reporting period]]*20&gt;WWWW[[#This Row],[Total HH]],WWWW[[#This Row],[Total HH]],WWWW[[#This Row],['# Functional hand washing stations during reporting period]]*20)</f>
        <v>202</v>
      </c>
      <c r="DS565" s="864">
        <f>IF(WWWW[[#This Row],[Is sufficient soap available for TLS? (Yes/No)]]="yes",WWWW[[#This Row],['#_Constructed/Existing hand washing stations at TLS]],0)</f>
        <v>0</v>
      </c>
      <c r="DT565" s="479">
        <f>IF(WWWW[[#This Row],['# Functional hand washing stations during reporting period]]*100&gt;WWWW[[#This Row],[Total PoP ]],WWWW[[#This Row],[Total PoP ]],WWWW[[#This Row],['# Functional hand washing stations during reporting period]]*100)</f>
        <v>895</v>
      </c>
      <c r="DU565" s="479" t="str">
        <f>IF(OR(WWWW[[#This Row],['#_students at TLS_CFS]]="",WWWW[[#This Row],['#_students at TLS_CFS]]=0),"No","Yes")</f>
        <v>No</v>
      </c>
      <c r="DV56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5" s="862" t="str">
        <f>VLOOKUP(WWWW[[#This Row],[Site Name]],SiteDB6[[Site Name]:[CCCM Management]],6,FALSE)</f>
        <v>Yes</v>
      </c>
      <c r="DZ565" s="862" t="str">
        <f>VLOOKUP(WWWW[[#This Row],[Site Name]],SiteDB6[[Site Name]:[CCCM Focal Agency]],7,FALSE)</f>
        <v>Shalom</v>
      </c>
      <c r="EA565" s="862" t="str">
        <f>VLOOKUP(WWWW[[#This Row],[Site Name]],SiteDB6[[Site Name]:[Location Type 1]],9,FALSE)</f>
        <v>Camp</v>
      </c>
      <c r="EB565" s="862" t="str">
        <f>VLOOKUP(WWWW[[#This Row],[Site Name]],SiteDB6[[Site Name]:[Type of Accommodation]],10,FALSE)</f>
        <v>Camp</v>
      </c>
      <c r="EC565" s="862" t="str">
        <f>VLOOKUP(WWWW[[#This Row],[Site Name]],SiteDB6[[Site Name]:[Ethnic or GCA/NGCA]],11,FALSE)</f>
        <v>GCA</v>
      </c>
      <c r="ED565" s="862">
        <f>VLOOKUP(WWWW[[#This Row],[Site Name]],SiteDB6[[Site Name]:[Lat]],12,FALSE)</f>
        <v>25.887339999999998</v>
      </c>
      <c r="EE565" s="862">
        <f>VLOOKUP(WWWW[[#This Row],[Site Name]],SiteDB6[[Site Name]:[Long]],13,FALSE)</f>
        <v>98.129990000000006</v>
      </c>
      <c r="EF565" s="862" t="str">
        <f>VLOOKUP(WWWW[[#This Row],[Site Name]],SiteDB6[[Site Name]:[Pcode]],3,FALSE)</f>
        <v>MMR001CMP195</v>
      </c>
      <c r="EG565" s="865" t="str">
        <f t="shared" ref="EG565:EG600" si="17">IF(C565="none","Notcovered","Covered")</f>
        <v>Covered</v>
      </c>
      <c r="EH565" s="865" t="str">
        <f>VLOOKUP(WWWW[[#This Row],[Site Name]],Site_DB!$C$389:$D$1120,2,FALSE)</f>
        <v>cccm_2019OCT</v>
      </c>
    </row>
    <row r="566" spans="1:138">
      <c r="A566" s="860" t="s">
        <v>3263</v>
      </c>
      <c r="B566" s="860" t="s">
        <v>245</v>
      </c>
      <c r="C566" s="861" t="s">
        <v>245</v>
      </c>
      <c r="D566" s="861" t="s">
        <v>310</v>
      </c>
      <c r="E566" s="861" t="s">
        <v>39</v>
      </c>
      <c r="F566" s="861" t="s">
        <v>151</v>
      </c>
      <c r="G566" s="721" t="str">
        <f>VLOOKUP(WWWW[[#This Row],[Site Name]],SiteDB6[[Site Name]:[Location Type]],8,FALSE)</f>
        <v>Camp</v>
      </c>
      <c r="H566" s="861" t="s">
        <v>262</v>
      </c>
      <c r="I566" s="851">
        <v>10</v>
      </c>
      <c r="J566" s="851">
        <v>38</v>
      </c>
      <c r="K566" s="863">
        <v>43313</v>
      </c>
      <c r="L566" s="859">
        <v>44196</v>
      </c>
      <c r="M566" s="851"/>
      <c r="N566" s="851">
        <v>1</v>
      </c>
      <c r="O566" s="851"/>
      <c r="P566" s="851"/>
      <c r="Q566" s="864" t="s">
        <v>43</v>
      </c>
      <c r="R566" s="851">
        <v>2</v>
      </c>
      <c r="S566" s="851">
        <v>2</v>
      </c>
      <c r="T566" s="523">
        <v>1</v>
      </c>
      <c r="U566" s="851"/>
      <c r="V566" s="851"/>
      <c r="W566" s="851">
        <v>0</v>
      </c>
      <c r="X566" s="851">
        <v>0</v>
      </c>
      <c r="Y566" s="851"/>
      <c r="Z566" s="851"/>
      <c r="AA566" s="851">
        <v>2</v>
      </c>
      <c r="AB566" s="851"/>
      <c r="AC566" s="851"/>
      <c r="AD566" s="851">
        <v>0</v>
      </c>
      <c r="AE566" s="851">
        <v>1</v>
      </c>
      <c r="AF566" s="851"/>
      <c r="AG566" s="851">
        <v>0</v>
      </c>
      <c r="AH566" s="851">
        <v>1</v>
      </c>
      <c r="AI566" s="851"/>
      <c r="AJ566" s="851"/>
      <c r="AK566" s="851"/>
      <c r="AL566" s="851"/>
      <c r="AM566" s="851">
        <v>0</v>
      </c>
      <c r="AN566" s="851">
        <v>0</v>
      </c>
      <c r="AO566" s="865"/>
      <c r="AP566" s="851">
        <v>4</v>
      </c>
      <c r="AQ566" s="851">
        <v>0</v>
      </c>
      <c r="AR566" s="866" t="s">
        <v>245</v>
      </c>
      <c r="AS566" s="851"/>
      <c r="AT566" s="851"/>
      <c r="AU566" s="851"/>
      <c r="AV566" s="851"/>
      <c r="AW566" s="851">
        <v>0</v>
      </c>
      <c r="AX566" s="862" t="s">
        <v>43</v>
      </c>
      <c r="AY566" s="865" t="s">
        <v>140</v>
      </c>
      <c r="AZ566" s="851">
        <v>0</v>
      </c>
      <c r="BA566" s="851">
        <v>0</v>
      </c>
      <c r="BB566" s="851">
        <v>0</v>
      </c>
      <c r="BC566" s="523"/>
      <c r="BD566" s="523"/>
      <c r="BE566" s="862"/>
      <c r="BF566" s="851">
        <v>1</v>
      </c>
      <c r="BG566" s="851"/>
      <c r="BH566" s="851">
        <v>0</v>
      </c>
      <c r="BI566" s="851">
        <v>2</v>
      </c>
      <c r="BJ566" s="851"/>
      <c r="BK566" s="851">
        <v>2</v>
      </c>
      <c r="BL566" s="851">
        <v>2</v>
      </c>
      <c r="BM566" s="851"/>
      <c r="BN566" s="851"/>
      <c r="BO566" s="862"/>
      <c r="BP566" s="867"/>
      <c r="BQ566" s="866"/>
      <c r="BR566" s="862"/>
      <c r="BS566" s="472"/>
      <c r="BT566" s="472"/>
      <c r="BU566" s="474"/>
      <c r="BV566" s="472"/>
      <c r="BW566" s="523"/>
      <c r="BX566" s="523"/>
      <c r="BY566" s="523"/>
      <c r="BZ566" s="868" t="str">
        <f>IFERROR(WWWW[[#This Row],['#_Water sources passed]]/WWWW[[#This Row],['#_Water sources tested for fecal coliform ]],"no test")</f>
        <v>no test</v>
      </c>
      <c r="CA566" s="866" t="str">
        <f>IFERROR(WWWW[[#This Row],['#_Household passed]]/WWWW[[#This Row],['#_Household water samples tested for fecal coliform]],"no test")</f>
        <v>no test</v>
      </c>
      <c r="CB566" s="867" t="str">
        <f>IF(AND(WWWW[[#This Row],[% of water sources passed]]="no test",WWWW[[#This Row],[% Household passed]]="no test"),"No Test","Tested")</f>
        <v>No Test</v>
      </c>
      <c r="CC566" s="867">
        <f>WWWW[[#This Row],['#_Constructed/existing protected hand dug well]]-WWWW[[#This Row],['#_Non-functional protected hand dug well]]</f>
        <v>1</v>
      </c>
      <c r="CD566" s="867">
        <f>(WWWW[[#This Row],['#_Constructed/Existing tube wells/boreholes/handpumps_WASH_agency]]+WWWW[[#This Row],['#_Non-Cluster partner water tube-wells/boreholes/handpumps]])-WWWW[[#This Row],['#_Non-functional tube wells/boreholes/handpumps]]</f>
        <v>0</v>
      </c>
      <c r="CE566" s="867">
        <f>WWWW[[#This Row],['#_Constructed/Existingwater storage tank with gravity fed reticulation system]]-WWWW[[#This Row],['#_Non-functional storage tank gravity fed reticulation system]]</f>
        <v>2</v>
      </c>
      <c r="CF566" s="867">
        <f>(WWWW[[#This Row],['#_Water_Liters_supplied_by_Water boating or water trucking]]/90)/15</f>
        <v>0</v>
      </c>
      <c r="CG566" s="867">
        <f>WWWW[[#This Row],['#_Water_Liters_from_Constructed/Existing water distribution system from river or natural spring]]/90/15</f>
        <v>0</v>
      </c>
      <c r="CH566" s="473">
        <f>WWWW[[#This Row],['#_of water points in TLS/CFS /THF]]*500</f>
        <v>0</v>
      </c>
      <c r="CI56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6" s="866">
        <f>IF(WWWW[[#This Row],[Location Type 1]]="Village",WWWW[[#This Row],[Access to safe drinking water for Village]],WWWW[[#This Row],[Access to safe drinking water for Camp]])</f>
        <v>1</v>
      </c>
      <c r="CL566" s="864">
        <f>WWWW[[#This Row],[%Equitable and continuous access to sufficient quantity of safe drinking water]]*WWWW[[#This Row],[Total PoP ]]</f>
        <v>38</v>
      </c>
      <c r="CM566" s="866">
        <f>IF((WWWW[[#This Row],['#_Constructed/Existing protected/fenced ponds]]*250)/WWWW[[#This Row],[Total PoP ]]&gt;1,1,(WWWW[[#This Row],['#_Constructed/Existing protected/fenced ponds]]*250)/WWWW[[#This Row],[Total PoP ]])</f>
        <v>1</v>
      </c>
      <c r="CN566" s="864">
        <f>WWWW[[#This Row],[% Access to unimproved water points]]*WWWW[[#This Row],[Total PoP ]]</f>
        <v>38</v>
      </c>
      <c r="CO56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Q566" s="864">
        <f>WWWW[[#This Row],[HRP1]]/500</f>
        <v>7.5999999999999998E-2</v>
      </c>
      <c r="CR566" s="869">
        <f>1-WWWW[[#This Row],[% Equitable and continuous access to sufficient quantity of domestic water]]</f>
        <v>0</v>
      </c>
      <c r="CS566" s="864">
        <f>WWWW[[#This Row],[%equitable and continuous access to sufficient quantity of safe drinking and domestic water''s GAP]]*WWWW[[#This Row],[Total PoP ]]</f>
        <v>0</v>
      </c>
      <c r="CT566" s="867">
        <f>IF(WWWW[[#This Row],[Total required water points]]-WWWW[[#This Row],['#Water points coverage]]&lt;0,0,WWWW[[#This Row],[Total required water points]]-WWWW[[#This Row],['#Water points coverage]])</f>
        <v>0.92400000000000004</v>
      </c>
      <c r="CU566" s="867">
        <f>ROUND(IF(WWWW[[#This Row],[Total PoP ]]&lt;500,1,WWWW[[#This Row],[Total PoP ]]/500),0)</f>
        <v>1</v>
      </c>
      <c r="CV566" s="867">
        <f>(WWWW[[#This Row],['#_Constructed latrines_by_WASHAgencies]]+WWWW[[#This Row],['#_Non Cluster partner latrines]])-WWWW[[#This Row],['#_Non-functional latrines]]</f>
        <v>4</v>
      </c>
      <c r="CW566" s="804">
        <f>WWWW[[#This Row],[HRP2]]/WWWW[[#This Row],[Total PoP ]]</f>
        <v>1</v>
      </c>
      <c r="CX56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v>
      </c>
      <c r="CY56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6" s="473">
        <f>IF(WWWW[[#This Row],['# of functional latrines in THF supported by WASH partners during the reporting period2]]="",0,WWWW[[#This Row],['# of functional latrines in THF supported by WASH partners during the reporting period2]]*50)</f>
        <v>0</v>
      </c>
      <c r="DB566" s="473">
        <f>WWWW[[#This Row],['# students access to functioning school latrines_HRP5]]+WWWW[[#This Row],['# People access to functioning latrines in THF_HRP5]]</f>
        <v>0</v>
      </c>
      <c r="DC566" s="867">
        <f>ROUND(IF(WWWW[[#This Row],[Location Type 1]]="camp",WWWW[[#This Row],[Total PoP ]]/20,IF(WWWW[[#This Row],[Location Type 1]]="Temporary Location",WWWW[[#This Row],[Total PoP ]]/50,(WWWW[[#This Row],[Total PoP ]]/6))),0)</f>
        <v>2</v>
      </c>
      <c r="DD566" s="867">
        <f>IF(WWWW[[#This Row],[Total required Latrines]]-(WWWW[[#This Row],['#_Constructed latrines_by_WASHAgencies]]+WWWW[[#This Row],['#_Non Cluster partner latrines]])&lt;0,0,WWWW[[#This Row],[Total required Latrines]]-(WWWW[[#This Row],['#_Constructed latrines_by_WASHAgencies]]+WWWW[[#This Row],['#_Non Cluster partner latrines]]))</f>
        <v>0</v>
      </c>
      <c r="DE566" s="869">
        <f>1-WWWW[[#This Row],[% people access to functioning Latrine]]</f>
        <v>0</v>
      </c>
      <c r="DF566" s="868">
        <f>IF(OR(WWWW[[#This Row],['#_Non-functional latrines]]="",WWWW[[#This Row],['#_Non-functional latrines]]=0),0,WWWW[[#This Row],['#_Non-functional latrines]]/(WWWW[[#This Row],['#_Constructed latrines_by_WASHAgencies]]+WWWW[[#This Row],['#_Non Cluster partner latrines]]))</f>
        <v>0</v>
      </c>
      <c r="DG566" s="864">
        <f>IF(500*(WWWW[[#This Row],['#_male hygiene promoters]]+WWWW[[#This Row],['#_female hygiene promoters]])&gt;WWWW[[#This Row],[Total PoP ]],WWWW[[#This Row],[Total PoP ]],500*(WWWW[[#This Row],['#_male hygiene promoters]]+WWWW[[#This Row],['#_female hygiene promoters]]))</f>
        <v>38</v>
      </c>
      <c r="DH56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6" s="867">
        <f>IF(WWWW[[#This Row],['# People with access to soap]]&gt;WWWW[[#This Row],['# People with access to Sanity Pads]],WWWW[[#This Row],['# People with access to soap]],WWWW[[#This Row],['# People with access to Sanity Pads]])</f>
        <v>0</v>
      </c>
      <c r="DK566" s="867">
        <f>IF(WWWW[[#This Row],['# people reached by regular dedicated hygiene promotion_5]]&gt;WWWW[[#This Row],['# People received regular supply of hygiene items_6]],WWWW[[#This Row],['# people reached by regular dedicated hygiene promotion_5]],WWWW[[#This Row],['# People received regular supply of hygiene items_6]])</f>
        <v>38</v>
      </c>
      <c r="DL566" s="869">
        <f>IF(WWWW[[#This Row],[HRP3]]/WWWW[[#This Row],[Total PoP ]]&gt;1,1,WWWW[[#This Row],[HRP3]]/WWWW[[#This Row],[Total PoP ]])</f>
        <v>1</v>
      </c>
      <c r="DM566" s="868">
        <f>1-WWWW[[#This Row],[Hygiene Coverage%]]</f>
        <v>0</v>
      </c>
      <c r="DN566" s="866">
        <f>WWWW[[#This Row],['# people reached by regular dedicated hygiene promotion_5]]/WWWW[[#This Row],[Total PoP ]]</f>
        <v>1</v>
      </c>
      <c r="DO56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6" s="867">
        <f>WWWW[[#This Row],['#_Constructed/Existing hand washing stations]]-WWWW[[#This Row],['#_Non-Functional_hand_washing_stations]]</f>
        <v>1</v>
      </c>
      <c r="DR566" s="864">
        <f>IF(WWWW[[#This Row],['# Functional hand washing stations during reporting period]]*20&gt;WWWW[[#This Row],[Total HH]],WWWW[[#This Row],[Total HH]],WWWW[[#This Row],['# Functional hand washing stations during reporting period]]*20)</f>
        <v>10</v>
      </c>
      <c r="DS566" s="864">
        <f>IF(WWWW[[#This Row],[Is sufficient soap available for TLS? (Yes/No)]]="yes",WWWW[[#This Row],['#_Constructed/Existing hand washing stations at TLS]],0)</f>
        <v>0</v>
      </c>
      <c r="DT566" s="479">
        <f>IF(WWWW[[#This Row],['# Functional hand washing stations during reporting period]]*100&gt;WWWW[[#This Row],[Total PoP ]],WWWW[[#This Row],[Total PoP ]],WWWW[[#This Row],['# Functional hand washing stations during reporting period]]*100)</f>
        <v>38</v>
      </c>
      <c r="DU566" s="479" t="str">
        <f>IF(OR(WWWW[[#This Row],['#_students at TLS_CFS]]="",WWWW[[#This Row],['#_students at TLS_CFS]]=0),"No","Yes")</f>
        <v>No</v>
      </c>
      <c r="DV56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6" s="862" t="str">
        <f>VLOOKUP(WWWW[[#This Row],[Site Name]],SiteDB6[[Site Name]:[CCCM Management]],6,FALSE)</f>
        <v>Yes</v>
      </c>
      <c r="DZ566" s="862" t="str">
        <f>VLOOKUP(WWWW[[#This Row],[Site Name]],SiteDB6[[Site Name]:[CCCM Focal Agency]],7,FALSE)</f>
        <v>Shalom</v>
      </c>
      <c r="EA566" s="862" t="str">
        <f>VLOOKUP(WWWW[[#This Row],[Site Name]],SiteDB6[[Site Name]:[Location Type 1]],9,FALSE)</f>
        <v>Camp</v>
      </c>
      <c r="EB566" s="862" t="str">
        <f>VLOOKUP(WWWW[[#This Row],[Site Name]],SiteDB6[[Site Name]:[Type of Accommodation]],10,FALSE)</f>
        <v>Camp like setting</v>
      </c>
      <c r="EC566" s="862" t="str">
        <f>VLOOKUP(WWWW[[#This Row],[Site Name]],SiteDB6[[Site Name]:[Ethnic or GCA/NGCA]],11,FALSE)</f>
        <v>GCA</v>
      </c>
      <c r="ED566" s="862">
        <f>VLOOKUP(WWWW[[#This Row],[Site Name]],SiteDB6[[Site Name]:[Lat]],12,FALSE)</f>
        <v>25.56551</v>
      </c>
      <c r="EE566" s="862">
        <f>VLOOKUP(WWWW[[#This Row],[Site Name]],SiteDB6[[Site Name]:[Long]],13,FALSE)</f>
        <v>96.279200000000003</v>
      </c>
      <c r="EF566" s="862" t="str">
        <f>VLOOKUP(WWWW[[#This Row],[Site Name]],SiteDB6[[Site Name]:[Pcode]],3,FALSE)</f>
        <v>MMR001CMP182</v>
      </c>
      <c r="EG566" s="865" t="str">
        <f t="shared" si="17"/>
        <v>Covered</v>
      </c>
      <c r="EH566" s="865" t="str">
        <f>VLOOKUP(WWWW[[#This Row],[Site Name]],Site_DB!$C$389:$D$1120,2,FALSE)</f>
        <v>cccm_2019OCT</v>
      </c>
    </row>
    <row r="567" spans="1:138">
      <c r="A567" s="860" t="s">
        <v>3263</v>
      </c>
      <c r="B567" s="860" t="s">
        <v>144</v>
      </c>
      <c r="C567" s="861" t="s">
        <v>144</v>
      </c>
      <c r="D567" s="861" t="s">
        <v>3277</v>
      </c>
      <c r="E567" s="861" t="s">
        <v>39</v>
      </c>
      <c r="F567" s="861" t="s">
        <v>151</v>
      </c>
      <c r="G567" s="721" t="str">
        <f>VLOOKUP(WWWW[[#This Row],[Site Name]],SiteDB6[[Site Name]:[Location Type]],8,FALSE)</f>
        <v>Camp</v>
      </c>
      <c r="H567" s="861" t="s">
        <v>191</v>
      </c>
      <c r="I567" s="851">
        <v>28</v>
      </c>
      <c r="J567" s="851">
        <v>103</v>
      </c>
      <c r="K567" s="863" t="s">
        <v>3278</v>
      </c>
      <c r="L567" s="859" t="s">
        <v>3279</v>
      </c>
      <c r="M567" s="851"/>
      <c r="N567" s="851"/>
      <c r="O567" s="851"/>
      <c r="P567" s="851"/>
      <c r="Q567" s="864" t="s">
        <v>43</v>
      </c>
      <c r="R567" s="851"/>
      <c r="S567" s="851">
        <v>4</v>
      </c>
      <c r="T567" s="523">
        <v>1</v>
      </c>
      <c r="U567" s="851"/>
      <c r="V567" s="851"/>
      <c r="W567" s="851">
        <v>1</v>
      </c>
      <c r="X567" s="851"/>
      <c r="Y567" s="851"/>
      <c r="Z567" s="851"/>
      <c r="AA567" s="851"/>
      <c r="AB567" s="851"/>
      <c r="AC567" s="851"/>
      <c r="AD567" s="851"/>
      <c r="AE567" s="851"/>
      <c r="AF567" s="851"/>
      <c r="AG567" s="851"/>
      <c r="AH567" s="851">
        <v>0</v>
      </c>
      <c r="AI567" s="851"/>
      <c r="AJ567" s="851"/>
      <c r="AK567" s="851"/>
      <c r="AL567" s="851"/>
      <c r="AM567" s="851"/>
      <c r="AN567" s="851"/>
      <c r="AO567" s="865"/>
      <c r="AP567" s="851">
        <v>8</v>
      </c>
      <c r="AQ567" s="851"/>
      <c r="AR567" s="866"/>
      <c r="AS567" s="851"/>
      <c r="AT567" s="851"/>
      <c r="AU567" s="851"/>
      <c r="AV567" s="851"/>
      <c r="AW567" s="851">
        <v>8</v>
      </c>
      <c r="AX567" s="862" t="s">
        <v>43</v>
      </c>
      <c r="AY567" s="865" t="s">
        <v>1195</v>
      </c>
      <c r="AZ567" s="851"/>
      <c r="BA567" s="851"/>
      <c r="BB567" s="851"/>
      <c r="BC567" s="523"/>
      <c r="BD567" s="523"/>
      <c r="BE567" s="862"/>
      <c r="BF567" s="851">
        <v>2</v>
      </c>
      <c r="BG567" s="851"/>
      <c r="BH567" s="851"/>
      <c r="BI567" s="851">
        <v>2</v>
      </c>
      <c r="BJ567" s="851"/>
      <c r="BK567" s="851"/>
      <c r="BL567" s="851">
        <v>1</v>
      </c>
      <c r="BM567" s="851"/>
      <c r="BN567" s="851"/>
      <c r="BO567" s="862"/>
      <c r="BP567" s="867"/>
      <c r="BQ567" s="866"/>
      <c r="BR567" s="862"/>
      <c r="BS567" s="472"/>
      <c r="BT567" s="472"/>
      <c r="BU567" s="474"/>
      <c r="BV567" s="472"/>
      <c r="BW567" s="523"/>
      <c r="BX567" s="523"/>
      <c r="BY567" s="523"/>
      <c r="BZ567" s="868" t="str">
        <f>IFERROR(WWWW[[#This Row],['#_Water sources passed]]/WWWW[[#This Row],['#_Water sources tested for fecal coliform ]],"no test")</f>
        <v>no test</v>
      </c>
      <c r="CA567" s="866" t="str">
        <f>IFERROR(WWWW[[#This Row],['#_Household passed]]/WWWW[[#This Row],['#_Household water samples tested for fecal coliform]],"no test")</f>
        <v>no test</v>
      </c>
      <c r="CB567" s="867" t="str">
        <f>IF(AND(WWWW[[#This Row],[% of water sources passed]]="no test",WWWW[[#This Row],[% Household passed]]="no test"),"No Test","Tested")</f>
        <v>No Test</v>
      </c>
      <c r="CC567" s="867">
        <f>WWWW[[#This Row],['#_Constructed/existing protected hand dug well]]-WWWW[[#This Row],['#_Non-functional protected hand dug well]]</f>
        <v>1</v>
      </c>
      <c r="CD567" s="867">
        <f>(WWWW[[#This Row],['#_Constructed/Existing tube wells/boreholes/handpumps_WASH_agency]]+WWWW[[#This Row],['#_Non-Cluster partner water tube-wells/boreholes/handpumps]])-WWWW[[#This Row],['#_Non-functional tube wells/boreholes/handpumps]]</f>
        <v>1</v>
      </c>
      <c r="CE567" s="867">
        <f>WWWW[[#This Row],['#_Constructed/Existingwater storage tank with gravity fed reticulation system]]-WWWW[[#This Row],['#_Non-functional storage tank gravity fed reticulation system]]</f>
        <v>0</v>
      </c>
      <c r="CF567" s="867">
        <f>(WWWW[[#This Row],['#_Water_Liters_supplied_by_Water boating or water trucking]]/90)/15</f>
        <v>0</v>
      </c>
      <c r="CG567" s="867">
        <f>WWWW[[#This Row],['#_Water_Liters_from_Constructed/Existing water distribution system from river or natural spring]]/90/15</f>
        <v>0</v>
      </c>
      <c r="CH567" s="473">
        <f>WWWW[[#This Row],['#_of water points in TLS/CFS /THF]]*500</f>
        <v>0</v>
      </c>
      <c r="CI56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7" s="866">
        <f>IF(WWWW[[#This Row],[Location Type 1]]="Village",WWWW[[#This Row],[Access to safe drinking water for Village]],WWWW[[#This Row],[Access to safe drinking water for Camp]])</f>
        <v>1</v>
      </c>
      <c r="CL567" s="864">
        <f>WWWW[[#This Row],[%Equitable and continuous access to sufficient quantity of safe drinking water]]*WWWW[[#This Row],[Total PoP ]]</f>
        <v>103</v>
      </c>
      <c r="CM567" s="866">
        <f>IF((WWWW[[#This Row],['#_Constructed/Existing protected/fenced ponds]]*250)/WWWW[[#This Row],[Total PoP ]]&gt;1,1,(WWWW[[#This Row],['#_Constructed/Existing protected/fenced ponds]]*250)/WWWW[[#This Row],[Total PoP ]])</f>
        <v>0</v>
      </c>
      <c r="CN567" s="864">
        <f>WWWW[[#This Row],[% Access to unimproved water points]]*WWWW[[#This Row],[Total PoP ]]</f>
        <v>0</v>
      </c>
      <c r="CO56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Q567" s="864">
        <f>WWWW[[#This Row],[HRP1]]/500</f>
        <v>0.20599999999999999</v>
      </c>
      <c r="CR567" s="869">
        <f>1-WWWW[[#This Row],[% Equitable and continuous access to sufficient quantity of domestic water]]</f>
        <v>0</v>
      </c>
      <c r="CS567" s="864">
        <f>WWWW[[#This Row],[%equitable and continuous access to sufficient quantity of safe drinking and domestic water''s GAP]]*WWWW[[#This Row],[Total PoP ]]</f>
        <v>0</v>
      </c>
      <c r="CT567" s="867">
        <f>IF(WWWW[[#This Row],[Total required water points]]-WWWW[[#This Row],['#Water points coverage]]&lt;0,0,WWWW[[#This Row],[Total required water points]]-WWWW[[#This Row],['#Water points coverage]])</f>
        <v>0.79400000000000004</v>
      </c>
      <c r="CU567" s="867">
        <f>ROUND(IF(WWWW[[#This Row],[Total PoP ]]&lt;500,1,WWWW[[#This Row],[Total PoP ]]/500),0)</f>
        <v>1</v>
      </c>
      <c r="CV567" s="867">
        <f>(WWWW[[#This Row],['#_Constructed latrines_by_WASHAgencies]]+WWWW[[#This Row],['#_Non Cluster partner latrines]])-WWWW[[#This Row],['#_Non-functional latrines]]</f>
        <v>8</v>
      </c>
      <c r="CW567" s="804">
        <f>WWWW[[#This Row],[HRP2]]/WWWW[[#This Row],[Total PoP ]]</f>
        <v>1</v>
      </c>
      <c r="CX56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CY56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7" s="473">
        <f>IF(WWWW[[#This Row],['# of functional latrines in THF supported by WASH partners during the reporting period2]]="",0,WWWW[[#This Row],['# of functional latrines in THF supported by WASH partners during the reporting period2]]*50)</f>
        <v>0</v>
      </c>
      <c r="DB567" s="473">
        <f>WWWW[[#This Row],['# students access to functioning school latrines_HRP5]]+WWWW[[#This Row],['# People access to functioning latrines in THF_HRP5]]</f>
        <v>0</v>
      </c>
      <c r="DC567" s="867">
        <f>ROUND(IF(WWWW[[#This Row],[Location Type 1]]="camp",WWWW[[#This Row],[Total PoP ]]/20,IF(WWWW[[#This Row],[Location Type 1]]="Temporary Location",WWWW[[#This Row],[Total PoP ]]/50,(WWWW[[#This Row],[Total PoP ]]/6))),0)</f>
        <v>5</v>
      </c>
      <c r="DD567" s="867">
        <f>IF(WWWW[[#This Row],[Total required Latrines]]-(WWWW[[#This Row],['#_Constructed latrines_by_WASHAgencies]]+WWWW[[#This Row],['#_Non Cluster partner latrines]])&lt;0,0,WWWW[[#This Row],[Total required Latrines]]-(WWWW[[#This Row],['#_Constructed latrines_by_WASHAgencies]]+WWWW[[#This Row],['#_Non Cluster partner latrines]]))</f>
        <v>0</v>
      </c>
      <c r="DE567" s="869">
        <f>1-WWWW[[#This Row],[% people access to functioning Latrine]]</f>
        <v>0</v>
      </c>
      <c r="DF567" s="868">
        <f>IF(OR(WWWW[[#This Row],['#_Non-functional latrines]]="",WWWW[[#This Row],['#_Non-functional latrines]]=0),0,WWWW[[#This Row],['#_Non-functional latrines]]/(WWWW[[#This Row],['#_Constructed latrines_by_WASHAgencies]]+WWWW[[#This Row],['#_Non Cluster partner latrines]]))</f>
        <v>0</v>
      </c>
      <c r="DG567" s="864">
        <f>IF(500*(WWWW[[#This Row],['#_male hygiene promoters]]+WWWW[[#This Row],['#_female hygiene promoters]])&gt;WWWW[[#This Row],[Total PoP ]],WWWW[[#This Row],[Total PoP ]],500*(WWWW[[#This Row],['#_male hygiene promoters]]+WWWW[[#This Row],['#_female hygiene promoters]]))</f>
        <v>103</v>
      </c>
      <c r="DH56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7" s="867">
        <f>IF(WWWW[[#This Row],['# People with access to soap]]&gt;WWWW[[#This Row],['# People with access to Sanity Pads]],WWWW[[#This Row],['# People with access to soap]],WWWW[[#This Row],['# People with access to Sanity Pads]])</f>
        <v>0</v>
      </c>
      <c r="DK567" s="867">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L567" s="869">
        <f>IF(WWWW[[#This Row],[HRP3]]/WWWW[[#This Row],[Total PoP ]]&gt;1,1,WWWW[[#This Row],[HRP3]]/WWWW[[#This Row],[Total PoP ]])</f>
        <v>1</v>
      </c>
      <c r="DM567" s="868">
        <f>1-WWWW[[#This Row],[Hygiene Coverage%]]</f>
        <v>0</v>
      </c>
      <c r="DN567" s="866">
        <f>WWWW[[#This Row],['# people reached by regular dedicated hygiene promotion_5]]/WWWW[[#This Row],[Total PoP ]]</f>
        <v>1</v>
      </c>
      <c r="DO56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7" s="867">
        <f>WWWW[[#This Row],['#_Constructed/Existing hand washing stations]]-WWWW[[#This Row],['#_Non-Functional_hand_washing_stations]]</f>
        <v>2</v>
      </c>
      <c r="DR567" s="864">
        <f>IF(WWWW[[#This Row],['# Functional hand washing stations during reporting period]]*20&gt;WWWW[[#This Row],[Total HH]],WWWW[[#This Row],[Total HH]],WWWW[[#This Row],['# Functional hand washing stations during reporting period]]*20)</f>
        <v>28</v>
      </c>
      <c r="DS567" s="864">
        <f>IF(WWWW[[#This Row],[Is sufficient soap available for TLS? (Yes/No)]]="yes",WWWW[[#This Row],['#_Constructed/Existing hand washing stations at TLS]],0)</f>
        <v>0</v>
      </c>
      <c r="DT567" s="479">
        <f>IF(WWWW[[#This Row],['# Functional hand washing stations during reporting period]]*100&gt;WWWW[[#This Row],[Total PoP ]],WWWW[[#This Row],[Total PoP ]],WWWW[[#This Row],['# Functional hand washing stations during reporting period]]*100)</f>
        <v>103</v>
      </c>
      <c r="DU567" s="479" t="str">
        <f>IF(OR(WWWW[[#This Row],['#_students at TLS_CFS]]="",WWWW[[#This Row],['#_students at TLS_CFS]]=0),"No","Yes")</f>
        <v>No</v>
      </c>
      <c r="DV56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7" s="862" t="str">
        <f>VLOOKUP(WWWW[[#This Row],[Site Name]],SiteDB6[[Site Name]:[CCCM Management]],6,FALSE)</f>
        <v>Yes</v>
      </c>
      <c r="DZ567" s="862" t="str">
        <f>VLOOKUP(WWWW[[#This Row],[Site Name]],SiteDB6[[Site Name]:[CCCM Focal Agency]],7,FALSE)</f>
        <v>KBC-MYT</v>
      </c>
      <c r="EA567" s="862" t="str">
        <f>VLOOKUP(WWWW[[#This Row],[Site Name]],SiteDB6[[Site Name]:[Location Type 1]],9,FALSE)</f>
        <v>Camp</v>
      </c>
      <c r="EB567" s="862" t="str">
        <f>VLOOKUP(WWWW[[#This Row],[Site Name]],SiteDB6[[Site Name]:[Type of Accommodation]],10,FALSE)</f>
        <v>Camp</v>
      </c>
      <c r="EC567" s="862" t="str">
        <f>VLOOKUP(WWWW[[#This Row],[Site Name]],SiteDB6[[Site Name]:[Ethnic or GCA/NGCA]],11,FALSE)</f>
        <v>GCA</v>
      </c>
      <c r="ED567" s="862">
        <f>VLOOKUP(WWWW[[#This Row],[Site Name]],SiteDB6[[Site Name]:[Lat]],12,FALSE)</f>
        <v>25.920006000000001</v>
      </c>
      <c r="EE567" s="862">
        <f>VLOOKUP(WWWW[[#This Row],[Site Name]],SiteDB6[[Site Name]:[Long]],13,FALSE)</f>
        <v>96.662092000000001</v>
      </c>
      <c r="EF567" s="862" t="str">
        <f>VLOOKUP(WWWW[[#This Row],[Site Name]],SiteDB6[[Site Name]:[Pcode]],3,FALSE)</f>
        <v>MMR001CMP244</v>
      </c>
      <c r="EG567" s="865" t="str">
        <f t="shared" si="17"/>
        <v>Covered</v>
      </c>
      <c r="EH567" s="865" t="str">
        <f>VLOOKUP(WWWW[[#This Row],[Site Name]],Site_DB!$C$389:$D$1120,2,FALSE)</f>
        <v>cccm_2019OCT</v>
      </c>
    </row>
    <row r="568" spans="1:138">
      <c r="A568" s="860" t="s">
        <v>3263</v>
      </c>
      <c r="B568" s="860" t="s">
        <v>245</v>
      </c>
      <c r="C568" s="861" t="s">
        <v>245</v>
      </c>
      <c r="D568" s="861" t="s">
        <v>310</v>
      </c>
      <c r="E568" s="861" t="s">
        <v>39</v>
      </c>
      <c r="F568" s="861" t="s">
        <v>145</v>
      </c>
      <c r="G568" s="721" t="str">
        <f>VLOOKUP(WWWW[[#This Row],[Site Name]],SiteDB6[[Site Name]:[Location Type]],8,FALSE)</f>
        <v>Camp</v>
      </c>
      <c r="H568" s="861" t="s">
        <v>277</v>
      </c>
      <c r="I568" s="851">
        <v>45</v>
      </c>
      <c r="J568" s="851">
        <v>186</v>
      </c>
      <c r="K568" s="863">
        <v>43313</v>
      </c>
      <c r="L568" s="859">
        <v>44196</v>
      </c>
      <c r="M568" s="851"/>
      <c r="N568" s="851">
        <v>1</v>
      </c>
      <c r="O568" s="851"/>
      <c r="P568" s="851"/>
      <c r="Q568" s="864" t="s">
        <v>43</v>
      </c>
      <c r="R568" s="851">
        <v>0</v>
      </c>
      <c r="S568" s="851">
        <v>5</v>
      </c>
      <c r="T568" s="523">
        <v>1</v>
      </c>
      <c r="U568" s="851"/>
      <c r="V568" s="851"/>
      <c r="W568" s="851">
        <v>0</v>
      </c>
      <c r="X568" s="851"/>
      <c r="Y568" s="851"/>
      <c r="Z568" s="851"/>
      <c r="AA568" s="851">
        <v>0</v>
      </c>
      <c r="AB568" s="851"/>
      <c r="AC568" s="851"/>
      <c r="AD568" s="851">
        <v>0</v>
      </c>
      <c r="AE568" s="851">
        <v>0</v>
      </c>
      <c r="AF568" s="851">
        <v>0</v>
      </c>
      <c r="AG568" s="851">
        <v>0</v>
      </c>
      <c r="AH568" s="851">
        <v>0</v>
      </c>
      <c r="AI568" s="851"/>
      <c r="AJ568" s="851"/>
      <c r="AK568" s="851"/>
      <c r="AL568" s="851"/>
      <c r="AM568" s="851">
        <v>0</v>
      </c>
      <c r="AN568" s="851">
        <v>0</v>
      </c>
      <c r="AO568" s="865"/>
      <c r="AP568" s="851">
        <v>7</v>
      </c>
      <c r="AQ568" s="851"/>
      <c r="AR568" s="866"/>
      <c r="AS568" s="851"/>
      <c r="AT568" s="851"/>
      <c r="AU568" s="851"/>
      <c r="AV568" s="851"/>
      <c r="AW568" s="851">
        <v>0</v>
      </c>
      <c r="AX568" s="862" t="s">
        <v>43</v>
      </c>
      <c r="AY568" s="865" t="s">
        <v>140</v>
      </c>
      <c r="AZ568" s="851">
        <v>0</v>
      </c>
      <c r="BA568" s="851">
        <v>0</v>
      </c>
      <c r="BB568" s="851">
        <v>0</v>
      </c>
      <c r="BC568" s="523"/>
      <c r="BD568" s="523"/>
      <c r="BE568" s="862"/>
      <c r="BF568" s="851">
        <v>4</v>
      </c>
      <c r="BG568" s="851"/>
      <c r="BH568" s="851">
        <v>0</v>
      </c>
      <c r="BI568" s="851">
        <v>2</v>
      </c>
      <c r="BJ568" s="851"/>
      <c r="BK568" s="851">
        <v>0</v>
      </c>
      <c r="BL568" s="851">
        <v>0</v>
      </c>
      <c r="BM568" s="851"/>
      <c r="BN568" s="851"/>
      <c r="BO568" s="862" t="s">
        <v>139</v>
      </c>
      <c r="BP568" s="867"/>
      <c r="BQ568" s="866"/>
      <c r="BR568" s="862"/>
      <c r="BS568" s="472"/>
      <c r="BT568" s="472"/>
      <c r="BU568" s="474"/>
      <c r="BV568" s="472"/>
      <c r="BW568" s="523"/>
      <c r="BX568" s="523"/>
      <c r="BY568" s="523"/>
      <c r="BZ568" s="868" t="str">
        <f>IFERROR(WWWW[[#This Row],['#_Water sources passed]]/WWWW[[#This Row],['#_Water sources tested for fecal coliform ]],"no test")</f>
        <v>no test</v>
      </c>
      <c r="CA568" s="866" t="str">
        <f>IFERROR(WWWW[[#This Row],['#_Household passed]]/WWWW[[#This Row],['#_Household water samples tested for fecal coliform]],"no test")</f>
        <v>no test</v>
      </c>
      <c r="CB568" s="867" t="str">
        <f>IF(AND(WWWW[[#This Row],[% of water sources passed]]="no test",WWWW[[#This Row],[% Household passed]]="no test"),"No Test","Tested")</f>
        <v>No Test</v>
      </c>
      <c r="CC568" s="867">
        <f>WWWW[[#This Row],['#_Constructed/existing protected hand dug well]]-WWWW[[#This Row],['#_Non-functional protected hand dug well]]</f>
        <v>1</v>
      </c>
      <c r="CD568" s="867">
        <f>(WWWW[[#This Row],['#_Constructed/Existing tube wells/boreholes/handpumps_WASH_agency]]+WWWW[[#This Row],['#_Non-Cluster partner water tube-wells/boreholes/handpumps]])-WWWW[[#This Row],['#_Non-functional tube wells/boreholes/handpumps]]</f>
        <v>0</v>
      </c>
      <c r="CE568" s="867">
        <f>WWWW[[#This Row],['#_Constructed/Existingwater storage tank with gravity fed reticulation system]]-WWWW[[#This Row],['#_Non-functional storage tank gravity fed reticulation system]]</f>
        <v>0</v>
      </c>
      <c r="CF568" s="867">
        <f>(WWWW[[#This Row],['#_Water_Liters_supplied_by_Water boating or water trucking]]/90)/15</f>
        <v>0</v>
      </c>
      <c r="CG568" s="867">
        <f>WWWW[[#This Row],['#_Water_Liters_from_Constructed/Existing water distribution system from river or natural spring]]/90/15</f>
        <v>0</v>
      </c>
      <c r="CH568" s="473">
        <f>WWWW[[#This Row],['#_of water points in TLS/CFS /THF]]*500</f>
        <v>0</v>
      </c>
      <c r="CI56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8" s="866">
        <f>IF(WWWW[[#This Row],[Location Type 1]]="Village",WWWW[[#This Row],[Access to safe drinking water for Village]],WWWW[[#This Row],[Access to safe drinking water for Camp]])</f>
        <v>1</v>
      </c>
      <c r="CL568" s="864">
        <f>WWWW[[#This Row],[%Equitable and continuous access to sufficient quantity of safe drinking water]]*WWWW[[#This Row],[Total PoP ]]</f>
        <v>186</v>
      </c>
      <c r="CM568" s="866">
        <f>IF((WWWW[[#This Row],['#_Constructed/Existing protected/fenced ponds]]*250)/WWWW[[#This Row],[Total PoP ]]&gt;1,1,(WWWW[[#This Row],['#_Constructed/Existing protected/fenced ponds]]*250)/WWWW[[#This Row],[Total PoP ]])</f>
        <v>0</v>
      </c>
      <c r="CN568" s="864">
        <f>WWWW[[#This Row],[% Access to unimproved water points]]*WWWW[[#This Row],[Total PoP ]]</f>
        <v>0</v>
      </c>
      <c r="CO56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Q568" s="864">
        <f>WWWW[[#This Row],[HRP1]]/500</f>
        <v>0.372</v>
      </c>
      <c r="CR568" s="869">
        <f>1-WWWW[[#This Row],[% Equitable and continuous access to sufficient quantity of domestic water]]</f>
        <v>0</v>
      </c>
      <c r="CS568" s="864">
        <f>WWWW[[#This Row],[%equitable and continuous access to sufficient quantity of safe drinking and domestic water''s GAP]]*WWWW[[#This Row],[Total PoP ]]</f>
        <v>0</v>
      </c>
      <c r="CT568" s="867">
        <f>IF(WWWW[[#This Row],[Total required water points]]-WWWW[[#This Row],['#Water points coverage]]&lt;0,0,WWWW[[#This Row],[Total required water points]]-WWWW[[#This Row],['#Water points coverage]])</f>
        <v>0.628</v>
      </c>
      <c r="CU568" s="867">
        <f>ROUND(IF(WWWW[[#This Row],[Total PoP ]]&lt;500,1,WWWW[[#This Row],[Total PoP ]]/500),0)</f>
        <v>1</v>
      </c>
      <c r="CV568" s="867">
        <f>(WWWW[[#This Row],['#_Constructed latrines_by_WASHAgencies]]+WWWW[[#This Row],['#_Non Cluster partner latrines]])-WWWW[[#This Row],['#_Non-functional latrines]]</f>
        <v>7</v>
      </c>
      <c r="CW568" s="804">
        <f>WWWW[[#This Row],[HRP2]]/WWWW[[#This Row],[Total PoP ]]</f>
        <v>0.75268817204301075</v>
      </c>
      <c r="CX56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56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8" s="473">
        <f>IF(WWWW[[#This Row],['# of functional latrines in THF supported by WASH partners during the reporting period2]]="",0,WWWW[[#This Row],['# of functional latrines in THF supported by WASH partners during the reporting period2]]*50)</f>
        <v>0</v>
      </c>
      <c r="DB568" s="473">
        <f>WWWW[[#This Row],['# students access to functioning school latrines_HRP5]]+WWWW[[#This Row],['# People access to functioning latrines in THF_HRP5]]</f>
        <v>0</v>
      </c>
      <c r="DC568" s="867">
        <f>ROUND(IF(WWWW[[#This Row],[Location Type 1]]="camp",WWWW[[#This Row],[Total PoP ]]/20,IF(WWWW[[#This Row],[Location Type 1]]="Temporary Location",WWWW[[#This Row],[Total PoP ]]/50,(WWWW[[#This Row],[Total PoP ]]/6))),0)</f>
        <v>9</v>
      </c>
      <c r="DD568" s="867">
        <f>IF(WWWW[[#This Row],[Total required Latrines]]-(WWWW[[#This Row],['#_Constructed latrines_by_WASHAgencies]]+WWWW[[#This Row],['#_Non Cluster partner latrines]])&lt;0,0,WWWW[[#This Row],[Total required Latrines]]-(WWWW[[#This Row],['#_Constructed latrines_by_WASHAgencies]]+WWWW[[#This Row],['#_Non Cluster partner latrines]]))</f>
        <v>2</v>
      </c>
      <c r="DE568" s="869">
        <f>1-WWWW[[#This Row],[% people access to functioning Latrine]]</f>
        <v>0.24731182795698925</v>
      </c>
      <c r="DF568" s="868">
        <f>IF(OR(WWWW[[#This Row],['#_Non-functional latrines]]="",WWWW[[#This Row],['#_Non-functional latrines]]=0),0,WWWW[[#This Row],['#_Non-functional latrines]]/(WWWW[[#This Row],['#_Constructed latrines_by_WASHAgencies]]+WWWW[[#This Row],['#_Non Cluster partner latrines]]))</f>
        <v>0</v>
      </c>
      <c r="DG568" s="864">
        <f>IF(500*(WWWW[[#This Row],['#_male hygiene promoters]]+WWWW[[#This Row],['#_female hygiene promoters]])&gt;WWWW[[#This Row],[Total PoP ]],WWWW[[#This Row],[Total PoP ]],500*(WWWW[[#This Row],['#_male hygiene promoters]]+WWWW[[#This Row],['#_female hygiene promoters]]))</f>
        <v>0</v>
      </c>
      <c r="DH56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8" s="867">
        <f>IF(WWWW[[#This Row],['# People with access to soap]]&gt;WWWW[[#This Row],['# People with access to Sanity Pads]],WWWW[[#This Row],['# People with access to soap]],WWWW[[#This Row],['# People with access to Sanity Pads]])</f>
        <v>0</v>
      </c>
      <c r="DK56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68" s="869">
        <f>IF(WWWW[[#This Row],[HRP3]]/WWWW[[#This Row],[Total PoP ]]&gt;1,1,WWWW[[#This Row],[HRP3]]/WWWW[[#This Row],[Total PoP ]])</f>
        <v>0</v>
      </c>
      <c r="DM568" s="868">
        <f>1-WWWW[[#This Row],[Hygiene Coverage%]]</f>
        <v>1</v>
      </c>
      <c r="DN568" s="866">
        <f>WWWW[[#This Row],['# people reached by regular dedicated hygiene promotion_5]]/WWWW[[#This Row],[Total PoP ]]</f>
        <v>0</v>
      </c>
      <c r="DO56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8" s="867">
        <f>WWWW[[#This Row],['#_Constructed/Existing hand washing stations]]-WWWW[[#This Row],['#_Non-Functional_hand_washing_stations]]</f>
        <v>4</v>
      </c>
      <c r="DR568" s="864">
        <f>IF(WWWW[[#This Row],['# Functional hand washing stations during reporting period]]*20&gt;WWWW[[#This Row],[Total HH]],WWWW[[#This Row],[Total HH]],WWWW[[#This Row],['# Functional hand washing stations during reporting period]]*20)</f>
        <v>45</v>
      </c>
      <c r="DS568" s="864">
        <f>IF(WWWW[[#This Row],[Is sufficient soap available for TLS? (Yes/No)]]="yes",WWWW[[#This Row],['#_Constructed/Existing hand washing stations at TLS]],0)</f>
        <v>0</v>
      </c>
      <c r="DT568" s="479">
        <f>IF(WWWW[[#This Row],['# Functional hand washing stations during reporting period]]*100&gt;WWWW[[#This Row],[Total PoP ]],WWWW[[#This Row],[Total PoP ]],WWWW[[#This Row],['# Functional hand washing stations during reporting period]]*100)</f>
        <v>186</v>
      </c>
      <c r="DU568" s="479" t="str">
        <f>IF(OR(WWWW[[#This Row],['#_students at TLS_CFS]]="",WWWW[[#This Row],['#_students at TLS_CFS]]=0),"No","Yes")</f>
        <v>No</v>
      </c>
      <c r="DV56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8" s="862" t="str">
        <f>VLOOKUP(WWWW[[#This Row],[Site Name]],SiteDB6[[Site Name]:[CCCM Management]],6,FALSE)</f>
        <v>Yes</v>
      </c>
      <c r="DZ568" s="862" t="str">
        <f>VLOOKUP(WWWW[[#This Row],[Site Name]],SiteDB6[[Site Name]:[CCCM Focal Agency]],7,FALSE)</f>
        <v>Shalom</v>
      </c>
      <c r="EA568" s="862" t="str">
        <f>VLOOKUP(WWWW[[#This Row],[Site Name]],SiteDB6[[Site Name]:[Location Type 1]],9,FALSE)</f>
        <v>Camp</v>
      </c>
      <c r="EB568" s="862" t="str">
        <f>VLOOKUP(WWWW[[#This Row],[Site Name]],SiteDB6[[Site Name]:[Type of Accommodation]],10,FALSE)</f>
        <v>Camp</v>
      </c>
      <c r="EC568" s="862" t="str">
        <f>VLOOKUP(WWWW[[#This Row],[Site Name]],SiteDB6[[Site Name]:[Ethnic or GCA/NGCA]],11,FALSE)</f>
        <v>GCA</v>
      </c>
      <c r="ED568" s="862">
        <f>VLOOKUP(WWWW[[#This Row],[Site Name]],SiteDB6[[Site Name]:[Lat]],12,FALSE)</f>
        <v>25.333683333333301</v>
      </c>
      <c r="EE568" s="862">
        <f>VLOOKUP(WWWW[[#This Row],[Site Name]],SiteDB6[[Site Name]:[Long]],13,FALSE)</f>
        <v>97.428251153846105</v>
      </c>
      <c r="EF568" s="862" t="str">
        <f>VLOOKUP(WWWW[[#This Row],[Site Name]],SiteDB6[[Site Name]:[Pcode]],3,FALSE)</f>
        <v>MMR001CMP037</v>
      </c>
      <c r="EG568" s="865" t="str">
        <f t="shared" si="17"/>
        <v>Covered</v>
      </c>
      <c r="EH568" s="865" t="str">
        <f>VLOOKUP(WWWW[[#This Row],[Site Name]],Site_DB!$C$389:$D$1120,2,FALSE)</f>
        <v>cccm_2019OCT</v>
      </c>
    </row>
    <row r="569" spans="1:138">
      <c r="A569" s="860" t="s">
        <v>3263</v>
      </c>
      <c r="B569" s="860" t="s">
        <v>245</v>
      </c>
      <c r="C569" s="861" t="s">
        <v>245</v>
      </c>
      <c r="D569" s="861" t="s">
        <v>310</v>
      </c>
      <c r="E569" s="861" t="s">
        <v>39</v>
      </c>
      <c r="F569" s="861" t="s">
        <v>162</v>
      </c>
      <c r="G569" s="721" t="str">
        <f>VLOOKUP(WWWW[[#This Row],[Site Name]],SiteDB6[[Site Name]:[Location Type]],8,FALSE)</f>
        <v>Camp</v>
      </c>
      <c r="H569" s="861" t="s">
        <v>270</v>
      </c>
      <c r="I569" s="851">
        <v>16</v>
      </c>
      <c r="J569" s="851">
        <v>77</v>
      </c>
      <c r="K569" s="863">
        <v>43313</v>
      </c>
      <c r="L569" s="859">
        <v>44196</v>
      </c>
      <c r="M569" s="851"/>
      <c r="N569" s="851">
        <v>1</v>
      </c>
      <c r="O569" s="851"/>
      <c r="P569" s="851"/>
      <c r="Q569" s="864" t="s">
        <v>43</v>
      </c>
      <c r="R569" s="851">
        <v>0</v>
      </c>
      <c r="S569" s="851">
        <v>3</v>
      </c>
      <c r="T569" s="523">
        <v>1</v>
      </c>
      <c r="U569" s="851"/>
      <c r="V569" s="851"/>
      <c r="W569" s="851">
        <v>2</v>
      </c>
      <c r="X569" s="851">
        <v>1</v>
      </c>
      <c r="Y569" s="851"/>
      <c r="Z569" s="851"/>
      <c r="AA569" s="851"/>
      <c r="AB569" s="851"/>
      <c r="AC569" s="851"/>
      <c r="AD569" s="851"/>
      <c r="AE569" s="851"/>
      <c r="AF569" s="851"/>
      <c r="AG569" s="851"/>
      <c r="AH569" s="851">
        <v>0</v>
      </c>
      <c r="AI569" s="851"/>
      <c r="AJ569" s="851"/>
      <c r="AK569" s="851"/>
      <c r="AL569" s="851"/>
      <c r="AM569" s="851"/>
      <c r="AN569" s="851"/>
      <c r="AO569" s="865"/>
      <c r="AP569" s="851">
        <v>7</v>
      </c>
      <c r="AQ569" s="851">
        <v>4</v>
      </c>
      <c r="AR569" s="866" t="s">
        <v>2915</v>
      </c>
      <c r="AS569" s="851"/>
      <c r="AT569" s="851"/>
      <c r="AU569" s="851"/>
      <c r="AV569" s="851"/>
      <c r="AW569" s="851"/>
      <c r="AX569" s="862" t="s">
        <v>43</v>
      </c>
      <c r="AY569" s="865" t="s">
        <v>1195</v>
      </c>
      <c r="AZ569" s="851"/>
      <c r="BA569" s="851"/>
      <c r="BB569" s="851"/>
      <c r="BC569" s="523"/>
      <c r="BD569" s="523"/>
      <c r="BE569" s="862"/>
      <c r="BF569" s="851">
        <v>4</v>
      </c>
      <c r="BG569" s="851"/>
      <c r="BH569" s="851">
        <v>0</v>
      </c>
      <c r="BI569" s="851">
        <v>2</v>
      </c>
      <c r="BJ569" s="851"/>
      <c r="BK569" s="851">
        <v>0</v>
      </c>
      <c r="BL569" s="851">
        <v>0</v>
      </c>
      <c r="BM569" s="851"/>
      <c r="BN569" s="851"/>
      <c r="BO569" s="862"/>
      <c r="BP569" s="867"/>
      <c r="BQ569" s="866"/>
      <c r="BR569" s="862"/>
      <c r="BS569" s="472"/>
      <c r="BT569" s="472"/>
      <c r="BU569" s="474"/>
      <c r="BV569" s="472"/>
      <c r="BW569" s="523"/>
      <c r="BX569" s="523"/>
      <c r="BY569" s="523"/>
      <c r="BZ569" s="868" t="str">
        <f>IFERROR(WWWW[[#This Row],['#_Water sources passed]]/WWWW[[#This Row],['#_Water sources tested for fecal coliform ]],"no test")</f>
        <v>no test</v>
      </c>
      <c r="CA569" s="866" t="str">
        <f>IFERROR(WWWW[[#This Row],['#_Household passed]]/WWWW[[#This Row],['#_Household water samples tested for fecal coliform]],"no test")</f>
        <v>no test</v>
      </c>
      <c r="CB569" s="867" t="str">
        <f>IF(AND(WWWW[[#This Row],[% of water sources passed]]="no test",WWWW[[#This Row],[% Household passed]]="no test"),"No Test","Tested")</f>
        <v>No Test</v>
      </c>
      <c r="CC569" s="867">
        <f>WWWW[[#This Row],['#_Constructed/existing protected hand dug well]]-WWWW[[#This Row],['#_Non-functional protected hand dug well]]</f>
        <v>1</v>
      </c>
      <c r="CD569" s="867">
        <f>(WWWW[[#This Row],['#_Constructed/Existing tube wells/boreholes/handpumps_WASH_agency]]+WWWW[[#This Row],['#_Non-Cluster partner water tube-wells/boreholes/handpumps]])-WWWW[[#This Row],['#_Non-functional tube wells/boreholes/handpumps]]</f>
        <v>3</v>
      </c>
      <c r="CE569" s="867">
        <f>WWWW[[#This Row],['#_Constructed/Existingwater storage tank with gravity fed reticulation system]]-WWWW[[#This Row],['#_Non-functional storage tank gravity fed reticulation system]]</f>
        <v>0</v>
      </c>
      <c r="CF569" s="867">
        <f>(WWWW[[#This Row],['#_Water_Liters_supplied_by_Water boating or water trucking]]/90)/15</f>
        <v>0</v>
      </c>
      <c r="CG569" s="867">
        <f>WWWW[[#This Row],['#_Water_Liters_from_Constructed/Existing water distribution system from river or natural spring]]/90/15</f>
        <v>0</v>
      </c>
      <c r="CH569" s="473">
        <f>WWWW[[#This Row],['#_of water points in TLS/CFS /THF]]*500</f>
        <v>0</v>
      </c>
      <c r="CI56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6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69" s="866">
        <f>IF(WWWW[[#This Row],[Location Type 1]]="Village",WWWW[[#This Row],[Access to safe drinking water for Village]],WWWW[[#This Row],[Access to safe drinking water for Camp]])</f>
        <v>1</v>
      </c>
      <c r="CL569" s="864">
        <f>WWWW[[#This Row],[%Equitable and continuous access to sufficient quantity of safe drinking water]]*WWWW[[#This Row],[Total PoP ]]</f>
        <v>77</v>
      </c>
      <c r="CM569" s="866">
        <f>IF((WWWW[[#This Row],['#_Constructed/Existing protected/fenced ponds]]*250)/WWWW[[#This Row],[Total PoP ]]&gt;1,1,(WWWW[[#This Row],['#_Constructed/Existing protected/fenced ponds]]*250)/WWWW[[#This Row],[Total PoP ]])</f>
        <v>0</v>
      </c>
      <c r="CN569" s="864">
        <f>WWWW[[#This Row],[% Access to unimproved water points]]*WWWW[[#This Row],[Total PoP ]]</f>
        <v>0</v>
      </c>
      <c r="CO56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6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Q569" s="864">
        <f>WWWW[[#This Row],[HRP1]]/500</f>
        <v>0.154</v>
      </c>
      <c r="CR569" s="869">
        <f>1-WWWW[[#This Row],[% Equitable and continuous access to sufficient quantity of domestic water]]</f>
        <v>0</v>
      </c>
      <c r="CS569" s="864">
        <f>WWWW[[#This Row],[%equitable and continuous access to sufficient quantity of safe drinking and domestic water''s GAP]]*WWWW[[#This Row],[Total PoP ]]</f>
        <v>0</v>
      </c>
      <c r="CT569" s="867">
        <f>IF(WWWW[[#This Row],[Total required water points]]-WWWW[[#This Row],['#Water points coverage]]&lt;0,0,WWWW[[#This Row],[Total required water points]]-WWWW[[#This Row],['#Water points coverage]])</f>
        <v>0.84599999999999997</v>
      </c>
      <c r="CU569" s="867">
        <f>ROUND(IF(WWWW[[#This Row],[Total PoP ]]&lt;500,1,WWWW[[#This Row],[Total PoP ]]/500),0)</f>
        <v>1</v>
      </c>
      <c r="CV569" s="867">
        <f>(WWWW[[#This Row],['#_Constructed latrines_by_WASHAgencies]]+WWWW[[#This Row],['#_Non Cluster partner latrines]])-WWWW[[#This Row],['#_Non-functional latrines]]</f>
        <v>11</v>
      </c>
      <c r="CW569" s="804">
        <f>WWWW[[#This Row],[HRP2]]/WWWW[[#This Row],[Total PoP ]]</f>
        <v>1</v>
      </c>
      <c r="CX56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CY56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6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69" s="473">
        <f>IF(WWWW[[#This Row],['# of functional latrines in THF supported by WASH partners during the reporting period2]]="",0,WWWW[[#This Row],['# of functional latrines in THF supported by WASH partners during the reporting period2]]*50)</f>
        <v>0</v>
      </c>
      <c r="DB569" s="473">
        <f>WWWW[[#This Row],['# students access to functioning school latrines_HRP5]]+WWWW[[#This Row],['# People access to functioning latrines in THF_HRP5]]</f>
        <v>0</v>
      </c>
      <c r="DC569" s="867">
        <f>ROUND(IF(WWWW[[#This Row],[Location Type 1]]="camp",WWWW[[#This Row],[Total PoP ]]/20,IF(WWWW[[#This Row],[Location Type 1]]="Temporary Location",WWWW[[#This Row],[Total PoP ]]/50,(WWWW[[#This Row],[Total PoP ]]/6))),0)</f>
        <v>4</v>
      </c>
      <c r="DD569" s="867">
        <f>IF(WWWW[[#This Row],[Total required Latrines]]-(WWWW[[#This Row],['#_Constructed latrines_by_WASHAgencies]]+WWWW[[#This Row],['#_Non Cluster partner latrines]])&lt;0,0,WWWW[[#This Row],[Total required Latrines]]-(WWWW[[#This Row],['#_Constructed latrines_by_WASHAgencies]]+WWWW[[#This Row],['#_Non Cluster partner latrines]]))</f>
        <v>0</v>
      </c>
      <c r="DE569" s="869">
        <f>1-WWWW[[#This Row],[% people access to functioning Latrine]]</f>
        <v>0</v>
      </c>
      <c r="DF569" s="868">
        <f>IF(OR(WWWW[[#This Row],['#_Non-functional latrines]]="",WWWW[[#This Row],['#_Non-functional latrines]]=0),0,WWWW[[#This Row],['#_Non-functional latrines]]/(WWWW[[#This Row],['#_Constructed latrines_by_WASHAgencies]]+WWWW[[#This Row],['#_Non Cluster partner latrines]]))</f>
        <v>0</v>
      </c>
      <c r="DG569" s="864">
        <f>IF(500*(WWWW[[#This Row],['#_male hygiene promoters]]+WWWW[[#This Row],['#_female hygiene promoters]])&gt;WWWW[[#This Row],[Total PoP ]],WWWW[[#This Row],[Total PoP ]],500*(WWWW[[#This Row],['#_male hygiene promoters]]+WWWW[[#This Row],['#_female hygiene promoters]]))</f>
        <v>0</v>
      </c>
      <c r="DH56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6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69" s="867">
        <f>IF(WWWW[[#This Row],['# People with access to soap]]&gt;WWWW[[#This Row],['# People with access to Sanity Pads]],WWWW[[#This Row],['# People with access to soap]],WWWW[[#This Row],['# People with access to Sanity Pads]])</f>
        <v>0</v>
      </c>
      <c r="DK569"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69" s="869">
        <f>IF(WWWW[[#This Row],[HRP3]]/WWWW[[#This Row],[Total PoP ]]&gt;1,1,WWWW[[#This Row],[HRP3]]/WWWW[[#This Row],[Total PoP ]])</f>
        <v>0</v>
      </c>
      <c r="DM569" s="868">
        <f>1-WWWW[[#This Row],[Hygiene Coverage%]]</f>
        <v>1</v>
      </c>
      <c r="DN569" s="866">
        <f>WWWW[[#This Row],['# people reached by regular dedicated hygiene promotion_5]]/WWWW[[#This Row],[Total PoP ]]</f>
        <v>0</v>
      </c>
      <c r="DO56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6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69" s="867">
        <f>WWWW[[#This Row],['#_Constructed/Existing hand washing stations]]-WWWW[[#This Row],['#_Non-Functional_hand_washing_stations]]</f>
        <v>4</v>
      </c>
      <c r="DR569" s="864">
        <f>IF(WWWW[[#This Row],['# Functional hand washing stations during reporting period]]*20&gt;WWWW[[#This Row],[Total HH]],WWWW[[#This Row],[Total HH]],WWWW[[#This Row],['# Functional hand washing stations during reporting period]]*20)</f>
        <v>16</v>
      </c>
      <c r="DS569" s="864">
        <f>IF(WWWW[[#This Row],[Is sufficient soap available for TLS? (Yes/No)]]="yes",WWWW[[#This Row],['#_Constructed/Existing hand washing stations at TLS]],0)</f>
        <v>0</v>
      </c>
      <c r="DT569" s="479">
        <f>IF(WWWW[[#This Row],['# Functional hand washing stations during reporting period]]*100&gt;WWWW[[#This Row],[Total PoP ]],WWWW[[#This Row],[Total PoP ]],WWWW[[#This Row],['# Functional hand washing stations during reporting period]]*100)</f>
        <v>77</v>
      </c>
      <c r="DU569" s="479" t="str">
        <f>IF(OR(WWWW[[#This Row],['#_students at TLS_CFS]]="",WWWW[[#This Row],['#_students at TLS_CFS]]=0),"No","Yes")</f>
        <v>No</v>
      </c>
      <c r="DV56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6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6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69" s="862" t="str">
        <f>VLOOKUP(WWWW[[#This Row],[Site Name]],SiteDB6[[Site Name]:[CCCM Management]],6,FALSE)</f>
        <v>Yes</v>
      </c>
      <c r="DZ569" s="862" t="str">
        <f>VLOOKUP(WWWW[[#This Row],[Site Name]],SiteDB6[[Site Name]:[CCCM Focal Agency]],7,FALSE)</f>
        <v>Shalom</v>
      </c>
      <c r="EA569" s="862" t="str">
        <f>VLOOKUP(WWWW[[#This Row],[Site Name]],SiteDB6[[Site Name]:[Location Type 1]],9,FALSE)</f>
        <v>Camp</v>
      </c>
      <c r="EB569" s="862" t="str">
        <f>VLOOKUP(WWWW[[#This Row],[Site Name]],SiteDB6[[Site Name]:[Type of Accommodation]],10,FALSE)</f>
        <v>Camp</v>
      </c>
      <c r="EC569" s="862" t="str">
        <f>VLOOKUP(WWWW[[#This Row],[Site Name]],SiteDB6[[Site Name]:[Ethnic or GCA/NGCA]],11,FALSE)</f>
        <v>GCA</v>
      </c>
      <c r="ED569" s="862">
        <f>VLOOKUP(WWWW[[#This Row],[Site Name]],SiteDB6[[Site Name]:[Lat]],12,FALSE)</f>
        <v>25.417733999999999</v>
      </c>
      <c r="EE569" s="862">
        <f>VLOOKUP(WWWW[[#This Row],[Site Name]],SiteDB6[[Site Name]:[Long]],13,FALSE)</f>
        <v>97.389778000000007</v>
      </c>
      <c r="EF569" s="862" t="str">
        <f>VLOOKUP(WWWW[[#This Row],[Site Name]],SiteDB6[[Site Name]:[Pcode]],3,FALSE)</f>
        <v>MMR001CMP004</v>
      </c>
      <c r="EG569" s="865" t="str">
        <f t="shared" si="17"/>
        <v>Covered</v>
      </c>
      <c r="EH569" s="865" t="str">
        <f>VLOOKUP(WWWW[[#This Row],[Site Name]],Site_DB!$C$389:$D$1120,2,FALSE)</f>
        <v>cccm_2019OCT</v>
      </c>
    </row>
    <row r="570" spans="1:138">
      <c r="A570" s="860" t="s">
        <v>3263</v>
      </c>
      <c r="B570" s="860" t="s">
        <v>144</v>
      </c>
      <c r="C570" s="861" t="s">
        <v>144</v>
      </c>
      <c r="D570" s="861" t="s">
        <v>3277</v>
      </c>
      <c r="E570" s="861" t="s">
        <v>39</v>
      </c>
      <c r="F570" s="861" t="s">
        <v>162</v>
      </c>
      <c r="G570" s="721" t="str">
        <f>VLOOKUP(WWWW[[#This Row],[Site Name]],SiteDB6[[Site Name]:[Location Type]],8,FALSE)</f>
        <v>Camp</v>
      </c>
      <c r="H570" s="861" t="s">
        <v>174</v>
      </c>
      <c r="I570" s="851">
        <v>30</v>
      </c>
      <c r="J570" s="851">
        <v>165</v>
      </c>
      <c r="K570" s="863" t="s">
        <v>3278</v>
      </c>
      <c r="L570" s="859" t="s">
        <v>3279</v>
      </c>
      <c r="M570" s="851"/>
      <c r="N570" s="851"/>
      <c r="O570" s="851"/>
      <c r="P570" s="851"/>
      <c r="Q570" s="864" t="s">
        <v>43</v>
      </c>
      <c r="R570" s="851"/>
      <c r="S570" s="851">
        <v>5</v>
      </c>
      <c r="T570" s="523">
        <v>0</v>
      </c>
      <c r="U570" s="851"/>
      <c r="V570" s="851"/>
      <c r="W570" s="851">
        <v>2</v>
      </c>
      <c r="X570" s="851"/>
      <c r="Y570" s="851"/>
      <c r="Z570" s="851"/>
      <c r="AA570" s="851"/>
      <c r="AB570" s="851"/>
      <c r="AC570" s="851"/>
      <c r="AD570" s="851"/>
      <c r="AE570" s="851"/>
      <c r="AF570" s="851"/>
      <c r="AG570" s="851"/>
      <c r="AH570" s="851">
        <v>3</v>
      </c>
      <c r="AI570" s="851"/>
      <c r="AJ570" s="851"/>
      <c r="AK570" s="851"/>
      <c r="AL570" s="851"/>
      <c r="AM570" s="851"/>
      <c r="AN570" s="851"/>
      <c r="AO570" s="865"/>
      <c r="AP570" s="851">
        <v>5</v>
      </c>
      <c r="AQ570" s="851"/>
      <c r="AR570" s="866"/>
      <c r="AS570" s="851"/>
      <c r="AT570" s="851"/>
      <c r="AU570" s="851"/>
      <c r="AV570" s="851"/>
      <c r="AW570" s="851">
        <v>5</v>
      </c>
      <c r="AX570" s="862" t="s">
        <v>43</v>
      </c>
      <c r="AY570" s="865" t="s">
        <v>140</v>
      </c>
      <c r="AZ570" s="851"/>
      <c r="BA570" s="851"/>
      <c r="BB570" s="851"/>
      <c r="BC570" s="523"/>
      <c r="BD570" s="523"/>
      <c r="BE570" s="862"/>
      <c r="BF570" s="851">
        <v>2</v>
      </c>
      <c r="BG570" s="851"/>
      <c r="BH570" s="851"/>
      <c r="BI570" s="851">
        <v>2</v>
      </c>
      <c r="BJ570" s="851"/>
      <c r="BK570" s="851"/>
      <c r="BL570" s="851">
        <v>1</v>
      </c>
      <c r="BM570" s="851"/>
      <c r="BN570" s="851"/>
      <c r="BO570" s="862"/>
      <c r="BP570" s="867"/>
      <c r="BQ570" s="866"/>
      <c r="BR570" s="862"/>
      <c r="BS570" s="472"/>
      <c r="BT570" s="472"/>
      <c r="BU570" s="474"/>
      <c r="BV570" s="472"/>
      <c r="BW570" s="523"/>
      <c r="BX570" s="523"/>
      <c r="BY570" s="523"/>
      <c r="BZ570" s="868" t="str">
        <f>IFERROR(WWWW[[#This Row],['#_Water sources passed]]/WWWW[[#This Row],['#_Water sources tested for fecal coliform ]],"no test")</f>
        <v>no test</v>
      </c>
      <c r="CA570" s="866" t="str">
        <f>IFERROR(WWWW[[#This Row],['#_Household passed]]/WWWW[[#This Row],['#_Household water samples tested for fecal coliform]],"no test")</f>
        <v>no test</v>
      </c>
      <c r="CB570" s="867" t="str">
        <f>IF(AND(WWWW[[#This Row],[% of water sources passed]]="no test",WWWW[[#This Row],[% Household passed]]="no test"),"No Test","Tested")</f>
        <v>No Test</v>
      </c>
      <c r="CC570" s="867">
        <f>WWWW[[#This Row],['#_Constructed/existing protected hand dug well]]-WWWW[[#This Row],['#_Non-functional protected hand dug well]]</f>
        <v>0</v>
      </c>
      <c r="CD570" s="867">
        <f>(WWWW[[#This Row],['#_Constructed/Existing tube wells/boreholes/handpumps_WASH_agency]]+WWWW[[#This Row],['#_Non-Cluster partner water tube-wells/boreholes/handpumps]])-WWWW[[#This Row],['#_Non-functional tube wells/boreholes/handpumps]]</f>
        <v>2</v>
      </c>
      <c r="CE570" s="867">
        <f>WWWW[[#This Row],['#_Constructed/Existingwater storage tank with gravity fed reticulation system]]-WWWW[[#This Row],['#_Non-functional storage tank gravity fed reticulation system]]</f>
        <v>0</v>
      </c>
      <c r="CF570" s="867">
        <f>(WWWW[[#This Row],['#_Water_Liters_supplied_by_Water boating or water trucking]]/90)/15</f>
        <v>0</v>
      </c>
      <c r="CG570" s="867">
        <f>WWWW[[#This Row],['#_Water_Liters_from_Constructed/Existing water distribution system from river or natural spring]]/90/15</f>
        <v>0</v>
      </c>
      <c r="CH570" s="473">
        <f>WWWW[[#This Row],['#_of water points in TLS/CFS /THF]]*500</f>
        <v>0</v>
      </c>
      <c r="CI57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70" s="866">
        <f>IF(WWWW[[#This Row],[Location Type 1]]="Village",WWWW[[#This Row],[Access to safe drinking water for Village]],WWWW[[#This Row],[Access to safe drinking water for Camp]])</f>
        <v>1</v>
      </c>
      <c r="CL570" s="864">
        <f>WWWW[[#This Row],[%Equitable and continuous access to sufficient quantity of safe drinking water]]*WWWW[[#This Row],[Total PoP ]]</f>
        <v>165</v>
      </c>
      <c r="CM570" s="866">
        <f>IF((WWWW[[#This Row],['#_Constructed/Existing protected/fenced ponds]]*250)/WWWW[[#This Row],[Total PoP ]]&gt;1,1,(WWWW[[#This Row],['#_Constructed/Existing protected/fenced ponds]]*250)/WWWW[[#This Row],[Total PoP ]])</f>
        <v>0</v>
      </c>
      <c r="CN570" s="864">
        <f>WWWW[[#This Row],[% Access to unimproved water points]]*WWWW[[#This Row],[Total PoP ]]</f>
        <v>0</v>
      </c>
      <c r="CO57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Q570" s="864">
        <f>WWWW[[#This Row],[HRP1]]/500</f>
        <v>0.33</v>
      </c>
      <c r="CR570" s="869">
        <f>1-WWWW[[#This Row],[% Equitable and continuous access to sufficient quantity of domestic water]]</f>
        <v>0</v>
      </c>
      <c r="CS570" s="864">
        <f>WWWW[[#This Row],[%equitable and continuous access to sufficient quantity of safe drinking and domestic water''s GAP]]*WWWW[[#This Row],[Total PoP ]]</f>
        <v>0</v>
      </c>
      <c r="CT570" s="867">
        <f>IF(WWWW[[#This Row],[Total required water points]]-WWWW[[#This Row],['#Water points coverage]]&lt;0,0,WWWW[[#This Row],[Total required water points]]-WWWW[[#This Row],['#Water points coverage]])</f>
        <v>0.66999999999999993</v>
      </c>
      <c r="CU570" s="867">
        <f>ROUND(IF(WWWW[[#This Row],[Total PoP ]]&lt;500,1,WWWW[[#This Row],[Total PoP ]]/500),0)</f>
        <v>1</v>
      </c>
      <c r="CV570" s="867">
        <f>(WWWW[[#This Row],['#_Constructed latrines_by_WASHAgencies]]+WWWW[[#This Row],['#_Non Cluster partner latrines]])-WWWW[[#This Row],['#_Non-functional latrines]]</f>
        <v>5</v>
      </c>
      <c r="CW570" s="804">
        <f>WWWW[[#This Row],[HRP2]]/WWWW[[#This Row],[Total PoP ]]</f>
        <v>0.60606060606060608</v>
      </c>
      <c r="CX57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57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0" s="473">
        <f>IF(WWWW[[#This Row],['# of functional latrines in THF supported by WASH partners during the reporting period2]]="",0,WWWW[[#This Row],['# of functional latrines in THF supported by WASH partners during the reporting period2]]*50)</f>
        <v>0</v>
      </c>
      <c r="DB570" s="473">
        <f>WWWW[[#This Row],['# students access to functioning school latrines_HRP5]]+WWWW[[#This Row],['# People access to functioning latrines in THF_HRP5]]</f>
        <v>0</v>
      </c>
      <c r="DC570" s="867">
        <f>ROUND(IF(WWWW[[#This Row],[Location Type 1]]="camp",WWWW[[#This Row],[Total PoP ]]/20,IF(WWWW[[#This Row],[Location Type 1]]="Temporary Location",WWWW[[#This Row],[Total PoP ]]/50,(WWWW[[#This Row],[Total PoP ]]/6))),0)</f>
        <v>8</v>
      </c>
      <c r="DD570" s="867">
        <f>IF(WWWW[[#This Row],[Total required Latrines]]-(WWWW[[#This Row],['#_Constructed latrines_by_WASHAgencies]]+WWWW[[#This Row],['#_Non Cluster partner latrines]])&lt;0,0,WWWW[[#This Row],[Total required Latrines]]-(WWWW[[#This Row],['#_Constructed latrines_by_WASHAgencies]]+WWWW[[#This Row],['#_Non Cluster partner latrines]]))</f>
        <v>3</v>
      </c>
      <c r="DE570" s="869">
        <f>1-WWWW[[#This Row],[% people access to functioning Latrine]]</f>
        <v>0.39393939393939392</v>
      </c>
      <c r="DF570" s="868">
        <f>IF(OR(WWWW[[#This Row],['#_Non-functional latrines]]="",WWWW[[#This Row],['#_Non-functional latrines]]=0),0,WWWW[[#This Row],['#_Non-functional latrines]]/(WWWW[[#This Row],['#_Constructed latrines_by_WASHAgencies]]+WWWW[[#This Row],['#_Non Cluster partner latrines]]))</f>
        <v>0</v>
      </c>
      <c r="DG570" s="864">
        <f>IF(500*(WWWW[[#This Row],['#_male hygiene promoters]]+WWWW[[#This Row],['#_female hygiene promoters]])&gt;WWWW[[#This Row],[Total PoP ]],WWWW[[#This Row],[Total PoP ]],500*(WWWW[[#This Row],['#_male hygiene promoters]]+WWWW[[#This Row],['#_female hygiene promoters]]))</f>
        <v>165</v>
      </c>
      <c r="DH57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0" s="867">
        <f>IF(WWWW[[#This Row],['# People with access to soap]]&gt;WWWW[[#This Row],['# People with access to Sanity Pads]],WWWW[[#This Row],['# People with access to soap]],WWWW[[#This Row],['# People with access to Sanity Pads]])</f>
        <v>0</v>
      </c>
      <c r="DK570" s="867">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L570" s="869">
        <f>IF(WWWW[[#This Row],[HRP3]]/WWWW[[#This Row],[Total PoP ]]&gt;1,1,WWWW[[#This Row],[HRP3]]/WWWW[[#This Row],[Total PoP ]])</f>
        <v>1</v>
      </c>
      <c r="DM570" s="868">
        <f>1-WWWW[[#This Row],[Hygiene Coverage%]]</f>
        <v>0</v>
      </c>
      <c r="DN570" s="866">
        <f>WWWW[[#This Row],['# people reached by regular dedicated hygiene promotion_5]]/WWWW[[#This Row],[Total PoP ]]</f>
        <v>1</v>
      </c>
      <c r="DO57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0" s="867">
        <f>WWWW[[#This Row],['#_Constructed/Existing hand washing stations]]-WWWW[[#This Row],['#_Non-Functional_hand_washing_stations]]</f>
        <v>2</v>
      </c>
      <c r="DR570" s="864">
        <f>IF(WWWW[[#This Row],['# Functional hand washing stations during reporting period]]*20&gt;WWWW[[#This Row],[Total HH]],WWWW[[#This Row],[Total HH]],WWWW[[#This Row],['# Functional hand washing stations during reporting period]]*20)</f>
        <v>30</v>
      </c>
      <c r="DS570" s="864">
        <f>IF(WWWW[[#This Row],[Is sufficient soap available for TLS? (Yes/No)]]="yes",WWWW[[#This Row],['#_Constructed/Existing hand washing stations at TLS]],0)</f>
        <v>0</v>
      </c>
      <c r="DT570" s="479">
        <f>IF(WWWW[[#This Row],['# Functional hand washing stations during reporting period]]*100&gt;WWWW[[#This Row],[Total PoP ]],WWWW[[#This Row],[Total PoP ]],WWWW[[#This Row],['# Functional hand washing stations during reporting period]]*100)</f>
        <v>165</v>
      </c>
      <c r="DU570" s="479" t="str">
        <f>IF(OR(WWWW[[#This Row],['#_students at TLS_CFS]]="",WWWW[[#This Row],['#_students at TLS_CFS]]=0),"No","Yes")</f>
        <v>No</v>
      </c>
      <c r="DV57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0" s="862" t="str">
        <f>VLOOKUP(WWWW[[#This Row],[Site Name]],SiteDB6[[Site Name]:[CCCM Management]],6,FALSE)</f>
        <v>Yes</v>
      </c>
      <c r="DZ570" s="862" t="str">
        <f>VLOOKUP(WWWW[[#This Row],[Site Name]],SiteDB6[[Site Name]:[CCCM Focal Agency]],7,FALSE)</f>
        <v>KBC-MYT</v>
      </c>
      <c r="EA570" s="862" t="str">
        <f>VLOOKUP(WWWW[[#This Row],[Site Name]],SiteDB6[[Site Name]:[Location Type 1]],9,FALSE)</f>
        <v>Camp</v>
      </c>
      <c r="EB570" s="862" t="str">
        <f>VLOOKUP(WWWW[[#This Row],[Site Name]],SiteDB6[[Site Name]:[Type of Accommodation]],10,FALSE)</f>
        <v>Camp</v>
      </c>
      <c r="EC570" s="862" t="str">
        <f>VLOOKUP(WWWW[[#This Row],[Site Name]],SiteDB6[[Site Name]:[Ethnic or GCA/NGCA]],11,FALSE)</f>
        <v>GCA</v>
      </c>
      <c r="ED570" s="862">
        <f>VLOOKUP(WWWW[[#This Row],[Site Name]],SiteDB6[[Site Name]:[Lat]],12,FALSE)</f>
        <v>25.404752999999999</v>
      </c>
      <c r="EE570" s="862">
        <f>VLOOKUP(WWWW[[#This Row],[Site Name]],SiteDB6[[Site Name]:[Long]],13,FALSE)</f>
        <v>97.377662999999998</v>
      </c>
      <c r="EF570" s="862" t="str">
        <f>VLOOKUP(WWWW[[#This Row],[Site Name]],SiteDB6[[Site Name]:[Pcode]],3,FALSE)</f>
        <v>MMR001CMP003</v>
      </c>
      <c r="EG570" s="865" t="str">
        <f t="shared" si="17"/>
        <v>Covered</v>
      </c>
      <c r="EH570" s="865" t="str">
        <f>VLOOKUP(WWWW[[#This Row],[Site Name]],Site_DB!$C$389:$D$1120,2,FALSE)</f>
        <v>cccm_2019OCT</v>
      </c>
    </row>
    <row r="571" spans="1:138">
      <c r="A571" s="860" t="s">
        <v>3263</v>
      </c>
      <c r="B571" s="860" t="s">
        <v>312</v>
      </c>
      <c r="C571" s="861" t="s">
        <v>312</v>
      </c>
      <c r="D571" s="861"/>
      <c r="E571" s="861" t="s">
        <v>39</v>
      </c>
      <c r="F571" s="861" t="s">
        <v>151</v>
      </c>
      <c r="G571" s="721" t="str">
        <f>VLOOKUP(WWWW[[#This Row],[Site Name]],SiteDB6[[Site Name]:[Location Type]],8,FALSE)</f>
        <v>Camp</v>
      </c>
      <c r="H571" s="861" t="s">
        <v>192</v>
      </c>
      <c r="I571" s="851">
        <v>4</v>
      </c>
      <c r="J571" s="851">
        <v>11</v>
      </c>
      <c r="K571" s="863"/>
      <c r="L571" s="859"/>
      <c r="M571" s="851"/>
      <c r="N571" s="851"/>
      <c r="O571" s="851"/>
      <c r="P571" s="851"/>
      <c r="Q571" s="864"/>
      <c r="R571" s="851"/>
      <c r="S571" s="851"/>
      <c r="T571" s="523"/>
      <c r="U571" s="851"/>
      <c r="V571" s="851"/>
      <c r="W571" s="851"/>
      <c r="X571" s="851"/>
      <c r="Y571" s="851"/>
      <c r="Z571" s="851"/>
      <c r="AA571" s="851"/>
      <c r="AB571" s="851"/>
      <c r="AC571" s="851"/>
      <c r="AD571" s="851"/>
      <c r="AE571" s="851"/>
      <c r="AF571" s="851"/>
      <c r="AG571" s="851"/>
      <c r="AH571" s="851"/>
      <c r="AI571" s="851"/>
      <c r="AJ571" s="851"/>
      <c r="AK571" s="851"/>
      <c r="AL571" s="851"/>
      <c r="AM571" s="851"/>
      <c r="AN571" s="851"/>
      <c r="AO571" s="865"/>
      <c r="AP571" s="851"/>
      <c r="AQ571" s="851"/>
      <c r="AR571" s="866"/>
      <c r="AS571" s="851"/>
      <c r="AT571" s="851"/>
      <c r="AU571" s="851"/>
      <c r="AV571" s="851"/>
      <c r="AW571" s="851"/>
      <c r="AX571" s="862"/>
      <c r="AY571" s="865"/>
      <c r="AZ571" s="851"/>
      <c r="BA571" s="851"/>
      <c r="BB571" s="851"/>
      <c r="BC571" s="523"/>
      <c r="BD571" s="523"/>
      <c r="BE571" s="862"/>
      <c r="BF571" s="851"/>
      <c r="BG571" s="851"/>
      <c r="BH571" s="851"/>
      <c r="BI571" s="851"/>
      <c r="BJ571" s="851"/>
      <c r="BK571" s="851"/>
      <c r="BL571" s="851"/>
      <c r="BM571" s="851"/>
      <c r="BN571" s="851"/>
      <c r="BO571" s="862"/>
      <c r="BP571" s="867"/>
      <c r="BQ571" s="866"/>
      <c r="BR571" s="862"/>
      <c r="BS571" s="472"/>
      <c r="BT571" s="472"/>
      <c r="BU571" s="474"/>
      <c r="BV571" s="472"/>
      <c r="BW571" s="523"/>
      <c r="BX571" s="523"/>
      <c r="BY571" s="523"/>
      <c r="BZ571" s="868" t="str">
        <f>IFERROR(WWWW[[#This Row],['#_Water sources passed]]/WWWW[[#This Row],['#_Water sources tested for fecal coliform ]],"no test")</f>
        <v>no test</v>
      </c>
      <c r="CA571" s="866" t="str">
        <f>IFERROR(WWWW[[#This Row],['#_Household passed]]/WWWW[[#This Row],['#_Household water samples tested for fecal coliform]],"no test")</f>
        <v>no test</v>
      </c>
      <c r="CB571" s="867" t="str">
        <f>IF(AND(WWWW[[#This Row],[% of water sources passed]]="no test",WWWW[[#This Row],[% Household passed]]="no test"),"No Test","Tested")</f>
        <v>No Test</v>
      </c>
      <c r="CC571" s="867">
        <f>WWWW[[#This Row],['#_Constructed/existing protected hand dug well]]-WWWW[[#This Row],['#_Non-functional protected hand dug well]]</f>
        <v>0</v>
      </c>
      <c r="CD571" s="867">
        <f>(WWWW[[#This Row],['#_Constructed/Existing tube wells/boreholes/handpumps_WASH_agency]]+WWWW[[#This Row],['#_Non-Cluster partner water tube-wells/boreholes/handpumps]])-WWWW[[#This Row],['#_Non-functional tube wells/boreholes/handpumps]]</f>
        <v>0</v>
      </c>
      <c r="CE571" s="867">
        <f>WWWW[[#This Row],['#_Constructed/Existingwater storage tank with gravity fed reticulation system]]-WWWW[[#This Row],['#_Non-functional storage tank gravity fed reticulation system]]</f>
        <v>0</v>
      </c>
      <c r="CF571" s="867">
        <f>(WWWW[[#This Row],['#_Water_Liters_supplied_by_Water boating or water trucking]]/90)/15</f>
        <v>0</v>
      </c>
      <c r="CG571" s="867">
        <f>WWWW[[#This Row],['#_Water_Liters_from_Constructed/Existing water distribution system from river or natural spring]]/90/15</f>
        <v>0</v>
      </c>
      <c r="CH571" s="473">
        <f>WWWW[[#This Row],['#_of water points in TLS/CFS /THF]]*500</f>
        <v>0</v>
      </c>
      <c r="CI57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7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71" s="866">
        <f>IF(WWWW[[#This Row],[Location Type 1]]="Village",WWWW[[#This Row],[Access to safe drinking water for Village]],WWWW[[#This Row],[Access to safe drinking water for Camp]])</f>
        <v>0</v>
      </c>
      <c r="CL571" s="864">
        <f>WWWW[[#This Row],[%Equitable and continuous access to sufficient quantity of safe drinking water]]*WWWW[[#This Row],[Total PoP ]]</f>
        <v>0</v>
      </c>
      <c r="CM571" s="866">
        <f>IF((WWWW[[#This Row],['#_Constructed/Existing protected/fenced ponds]]*250)/WWWW[[#This Row],[Total PoP ]]&gt;1,1,(WWWW[[#This Row],['#_Constructed/Existing protected/fenced ponds]]*250)/WWWW[[#This Row],[Total PoP ]])</f>
        <v>0</v>
      </c>
      <c r="CN571" s="864">
        <f>WWWW[[#This Row],[% Access to unimproved water points]]*WWWW[[#This Row],[Total PoP ]]</f>
        <v>0</v>
      </c>
      <c r="CO57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7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71" s="864">
        <f>WWWW[[#This Row],[HRP1]]/500</f>
        <v>0</v>
      </c>
      <c r="CR571" s="869">
        <f>1-WWWW[[#This Row],[% Equitable and continuous access to sufficient quantity of domestic water]]</f>
        <v>1</v>
      </c>
      <c r="CS571" s="864">
        <f>WWWW[[#This Row],[%equitable and continuous access to sufficient quantity of safe drinking and domestic water''s GAP]]*WWWW[[#This Row],[Total PoP ]]</f>
        <v>11</v>
      </c>
      <c r="CT571" s="867">
        <f>IF(WWWW[[#This Row],[Total required water points]]-WWWW[[#This Row],['#Water points coverage]]&lt;0,0,WWWW[[#This Row],[Total required water points]]-WWWW[[#This Row],['#Water points coverage]])</f>
        <v>1</v>
      </c>
      <c r="CU571" s="867">
        <f>ROUND(IF(WWWW[[#This Row],[Total PoP ]]&lt;500,1,WWWW[[#This Row],[Total PoP ]]/500),0)</f>
        <v>1</v>
      </c>
      <c r="CV571" s="867">
        <f>(WWWW[[#This Row],['#_Constructed latrines_by_WASHAgencies]]+WWWW[[#This Row],['#_Non Cluster partner latrines]])-WWWW[[#This Row],['#_Non-functional latrines]]</f>
        <v>0</v>
      </c>
      <c r="CW571" s="804">
        <f>WWWW[[#This Row],[HRP2]]/WWWW[[#This Row],[Total PoP ]]</f>
        <v>0</v>
      </c>
      <c r="CX57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7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1" s="473">
        <f>IF(WWWW[[#This Row],['# of functional latrines in THF supported by WASH partners during the reporting period2]]="",0,WWWW[[#This Row],['# of functional latrines in THF supported by WASH partners during the reporting period2]]*50)</f>
        <v>0</v>
      </c>
      <c r="DB571" s="473">
        <f>WWWW[[#This Row],['# students access to functioning school latrines_HRP5]]+WWWW[[#This Row],['# People access to functioning latrines in THF_HRP5]]</f>
        <v>0</v>
      </c>
      <c r="DC571" s="867">
        <f>ROUND(IF(WWWW[[#This Row],[Location Type 1]]="camp",WWWW[[#This Row],[Total PoP ]]/20,IF(WWWW[[#This Row],[Location Type 1]]="Temporary Location",WWWW[[#This Row],[Total PoP ]]/50,(WWWW[[#This Row],[Total PoP ]]/6))),0)</f>
        <v>1</v>
      </c>
      <c r="DD571" s="867">
        <f>IF(WWWW[[#This Row],[Total required Latrines]]-(WWWW[[#This Row],['#_Constructed latrines_by_WASHAgencies]]+WWWW[[#This Row],['#_Non Cluster partner latrines]])&lt;0,0,WWWW[[#This Row],[Total required Latrines]]-(WWWW[[#This Row],['#_Constructed latrines_by_WASHAgencies]]+WWWW[[#This Row],['#_Non Cluster partner latrines]]))</f>
        <v>1</v>
      </c>
      <c r="DE571" s="869">
        <f>1-WWWW[[#This Row],[% people access to functioning Latrine]]</f>
        <v>1</v>
      </c>
      <c r="DF571" s="868">
        <f>IF(OR(WWWW[[#This Row],['#_Non-functional latrines]]="",WWWW[[#This Row],['#_Non-functional latrines]]=0),0,WWWW[[#This Row],['#_Non-functional latrines]]/(WWWW[[#This Row],['#_Constructed latrines_by_WASHAgencies]]+WWWW[[#This Row],['#_Non Cluster partner latrines]]))</f>
        <v>0</v>
      </c>
      <c r="DG571" s="864">
        <f>IF(500*(WWWW[[#This Row],['#_male hygiene promoters]]+WWWW[[#This Row],['#_female hygiene promoters]])&gt;WWWW[[#This Row],[Total PoP ]],WWWW[[#This Row],[Total PoP ]],500*(WWWW[[#This Row],['#_male hygiene promoters]]+WWWW[[#This Row],['#_female hygiene promoters]]))</f>
        <v>0</v>
      </c>
      <c r="DH57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1" s="867">
        <f>IF(WWWW[[#This Row],['# People with access to soap]]&gt;WWWW[[#This Row],['# People with access to Sanity Pads]],WWWW[[#This Row],['# People with access to soap]],WWWW[[#This Row],['# People with access to Sanity Pads]])</f>
        <v>0</v>
      </c>
      <c r="DK571"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71" s="869">
        <f>IF(WWWW[[#This Row],[HRP3]]/WWWW[[#This Row],[Total PoP ]]&gt;1,1,WWWW[[#This Row],[HRP3]]/WWWW[[#This Row],[Total PoP ]])</f>
        <v>0</v>
      </c>
      <c r="DM571" s="868">
        <f>1-WWWW[[#This Row],[Hygiene Coverage%]]</f>
        <v>1</v>
      </c>
      <c r="DN571" s="866">
        <f>WWWW[[#This Row],['# people reached by regular dedicated hygiene promotion_5]]/WWWW[[#This Row],[Total PoP ]]</f>
        <v>0</v>
      </c>
      <c r="DO57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1" s="867">
        <f>WWWW[[#This Row],['#_Constructed/Existing hand washing stations]]-WWWW[[#This Row],['#_Non-Functional_hand_washing_stations]]</f>
        <v>0</v>
      </c>
      <c r="DR571" s="864">
        <f>IF(WWWW[[#This Row],['# Functional hand washing stations during reporting period]]*20&gt;WWWW[[#This Row],[Total HH]],WWWW[[#This Row],[Total HH]],WWWW[[#This Row],['# Functional hand washing stations during reporting period]]*20)</f>
        <v>0</v>
      </c>
      <c r="DS571" s="864">
        <f>IF(WWWW[[#This Row],[Is sufficient soap available for TLS? (Yes/No)]]="yes",WWWW[[#This Row],['#_Constructed/Existing hand washing stations at TLS]],0)</f>
        <v>0</v>
      </c>
      <c r="DT571" s="479">
        <f>IF(WWWW[[#This Row],['# Functional hand washing stations during reporting period]]*100&gt;WWWW[[#This Row],[Total PoP ]],WWWW[[#This Row],[Total PoP ]],WWWW[[#This Row],['# Functional hand washing stations during reporting period]]*100)</f>
        <v>0</v>
      </c>
      <c r="DU571" s="479" t="str">
        <f>IF(OR(WWWW[[#This Row],['#_students at TLS_CFS]]="",WWWW[[#This Row],['#_students at TLS_CFS]]=0),"No","Yes")</f>
        <v>No</v>
      </c>
      <c r="DV57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1" s="862" t="str">
        <f>VLOOKUP(WWWW[[#This Row],[Site Name]],SiteDB6[[Site Name]:[CCCM Management]],6,FALSE)</f>
        <v>Yes</v>
      </c>
      <c r="DZ571" s="862" t="str">
        <f>VLOOKUP(WWWW[[#This Row],[Site Name]],SiteDB6[[Site Name]:[CCCM Focal Agency]],7,FALSE)</f>
        <v>uncovered</v>
      </c>
      <c r="EA571" s="862" t="str">
        <f>VLOOKUP(WWWW[[#This Row],[Site Name]],SiteDB6[[Site Name]:[Location Type 1]],9,FALSE)</f>
        <v>Camp</v>
      </c>
      <c r="EB571" s="862" t="str">
        <f>VLOOKUP(WWWW[[#This Row],[Site Name]],SiteDB6[[Site Name]:[Type of Accommodation]],10,FALSE)</f>
        <v>Camp like setting</v>
      </c>
      <c r="EC571" s="862" t="str">
        <f>VLOOKUP(WWWW[[#This Row],[Site Name]],SiteDB6[[Site Name]:[Ethnic or GCA/NGCA]],11,FALSE)</f>
        <v>GCA</v>
      </c>
      <c r="ED571" s="862">
        <f>VLOOKUP(WWWW[[#This Row],[Site Name]],SiteDB6[[Site Name]:[Lat]],12,FALSE)</f>
        <v>25.920006000000001</v>
      </c>
      <c r="EE571" s="862">
        <f>VLOOKUP(WWWW[[#This Row],[Site Name]],SiteDB6[[Site Name]:[Long]],13,FALSE)</f>
        <v>96.662092000000001</v>
      </c>
      <c r="EF571" s="862" t="str">
        <f>VLOOKUP(WWWW[[#This Row],[Site Name]],SiteDB6[[Site Name]:[Pcode]],3,FALSE)</f>
        <v>MMR001CMP246</v>
      </c>
      <c r="EG571" s="865" t="str">
        <f t="shared" si="17"/>
        <v>Notcovered</v>
      </c>
      <c r="EH571" s="865" t="str">
        <f>VLOOKUP(WWWW[[#This Row],[Site Name]],Site_DB!$C$389:$D$1120,2,FALSE)</f>
        <v>cccm_2019OCT</v>
      </c>
    </row>
    <row r="572" spans="1:138">
      <c r="A572" s="860" t="s">
        <v>3263</v>
      </c>
      <c r="B572" s="860" t="s">
        <v>144</v>
      </c>
      <c r="C572" s="861" t="s">
        <v>144</v>
      </c>
      <c r="D572" s="861" t="s">
        <v>3277</v>
      </c>
      <c r="E572" s="861" t="s">
        <v>39</v>
      </c>
      <c r="F572" s="861" t="s">
        <v>145</v>
      </c>
      <c r="G572" s="721" t="str">
        <f>VLOOKUP(WWWW[[#This Row],[Site Name]],SiteDB6[[Site Name]:[Location Type]],8,FALSE)</f>
        <v>Camp</v>
      </c>
      <c r="H572" s="861" t="s">
        <v>2173</v>
      </c>
      <c r="I572" s="851">
        <v>79</v>
      </c>
      <c r="J572" s="851">
        <v>356</v>
      </c>
      <c r="K572" s="863" t="s">
        <v>3278</v>
      </c>
      <c r="L572" s="859" t="s">
        <v>3279</v>
      </c>
      <c r="M572" s="851"/>
      <c r="N572" s="851"/>
      <c r="O572" s="851"/>
      <c r="P572" s="851"/>
      <c r="Q572" s="864" t="s">
        <v>43</v>
      </c>
      <c r="R572" s="851"/>
      <c r="S572" s="851">
        <v>5</v>
      </c>
      <c r="T572" s="523">
        <v>0</v>
      </c>
      <c r="U572" s="851"/>
      <c r="V572" s="851"/>
      <c r="W572" s="851">
        <v>1</v>
      </c>
      <c r="X572" s="851"/>
      <c r="Y572" s="851"/>
      <c r="Z572" s="851"/>
      <c r="AA572" s="851"/>
      <c r="AB572" s="851"/>
      <c r="AC572" s="851"/>
      <c r="AD572" s="851"/>
      <c r="AE572" s="851"/>
      <c r="AF572" s="851"/>
      <c r="AG572" s="851"/>
      <c r="AH572" s="851">
        <v>3</v>
      </c>
      <c r="AI572" s="851"/>
      <c r="AJ572" s="851"/>
      <c r="AK572" s="851"/>
      <c r="AL572" s="851"/>
      <c r="AM572" s="851"/>
      <c r="AN572" s="851"/>
      <c r="AO572" s="865"/>
      <c r="AP572" s="851">
        <v>8</v>
      </c>
      <c r="AQ572" s="851"/>
      <c r="AR572" s="866"/>
      <c r="AS572" s="851"/>
      <c r="AT572" s="851"/>
      <c r="AU572" s="851"/>
      <c r="AV572" s="851"/>
      <c r="AW572" s="851">
        <v>6</v>
      </c>
      <c r="AX572" s="862" t="s">
        <v>43</v>
      </c>
      <c r="AY572" s="865" t="s">
        <v>140</v>
      </c>
      <c r="AZ572" s="851"/>
      <c r="BA572" s="851"/>
      <c r="BB572" s="851"/>
      <c r="BC572" s="523"/>
      <c r="BD572" s="523"/>
      <c r="BE572" s="862"/>
      <c r="BF572" s="851">
        <v>4</v>
      </c>
      <c r="BG572" s="851"/>
      <c r="BH572" s="851"/>
      <c r="BI572" s="851">
        <v>0</v>
      </c>
      <c r="BJ572" s="851"/>
      <c r="BK572" s="851"/>
      <c r="BL572" s="851">
        <v>1</v>
      </c>
      <c r="BM572" s="851"/>
      <c r="BN572" s="851"/>
      <c r="BO572" s="862"/>
      <c r="BP572" s="867"/>
      <c r="BQ572" s="866"/>
      <c r="BR572" s="862"/>
      <c r="BS572" s="472"/>
      <c r="BT572" s="472"/>
      <c r="BU572" s="474"/>
      <c r="BV572" s="472"/>
      <c r="BW572" s="523"/>
      <c r="BX572" s="523"/>
      <c r="BY572" s="523"/>
      <c r="BZ572" s="868" t="str">
        <f>IFERROR(WWWW[[#This Row],['#_Water sources passed]]/WWWW[[#This Row],['#_Water sources tested for fecal coliform ]],"no test")</f>
        <v>no test</v>
      </c>
      <c r="CA572" s="866" t="str">
        <f>IFERROR(WWWW[[#This Row],['#_Household passed]]/WWWW[[#This Row],['#_Household water samples tested for fecal coliform]],"no test")</f>
        <v>no test</v>
      </c>
      <c r="CB572" s="867" t="str">
        <f>IF(AND(WWWW[[#This Row],[% of water sources passed]]="no test",WWWW[[#This Row],[% Household passed]]="no test"),"No Test","Tested")</f>
        <v>No Test</v>
      </c>
      <c r="CC572" s="867">
        <f>WWWW[[#This Row],['#_Constructed/existing protected hand dug well]]-WWWW[[#This Row],['#_Non-functional protected hand dug well]]</f>
        <v>0</v>
      </c>
      <c r="CD572" s="867">
        <f>(WWWW[[#This Row],['#_Constructed/Existing tube wells/boreholes/handpumps_WASH_agency]]+WWWW[[#This Row],['#_Non-Cluster partner water tube-wells/boreholes/handpumps]])-WWWW[[#This Row],['#_Non-functional tube wells/boreholes/handpumps]]</f>
        <v>1</v>
      </c>
      <c r="CE572" s="867">
        <f>WWWW[[#This Row],['#_Constructed/Existingwater storage tank with gravity fed reticulation system]]-WWWW[[#This Row],['#_Non-functional storage tank gravity fed reticulation system]]</f>
        <v>0</v>
      </c>
      <c r="CF572" s="867">
        <f>(WWWW[[#This Row],['#_Water_Liters_supplied_by_Water boating or water trucking]]/90)/15</f>
        <v>0</v>
      </c>
      <c r="CG572" s="867">
        <f>WWWW[[#This Row],['#_Water_Liters_from_Constructed/Existing water distribution system from river or natural spring]]/90/15</f>
        <v>0</v>
      </c>
      <c r="CH572" s="473">
        <f>WWWW[[#This Row],['#_of water points in TLS/CFS /THF]]*500</f>
        <v>0</v>
      </c>
      <c r="CI57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0.702247191011236</v>
      </c>
      <c r="CK572" s="866">
        <f>IF(WWWW[[#This Row],[Location Type 1]]="Village",WWWW[[#This Row],[Access to safe drinking water for Village]],WWWW[[#This Row],[Access to safe drinking water for Camp]])</f>
        <v>1</v>
      </c>
      <c r="CL572" s="864">
        <f>WWWW[[#This Row],[%Equitable and continuous access to sufficient quantity of safe drinking water]]*WWWW[[#This Row],[Total PoP ]]</f>
        <v>356</v>
      </c>
      <c r="CM572" s="866">
        <f>IF((WWWW[[#This Row],['#_Constructed/Existing protected/fenced ponds]]*250)/WWWW[[#This Row],[Total PoP ]]&gt;1,1,(WWWW[[#This Row],['#_Constructed/Existing protected/fenced ponds]]*250)/WWWW[[#This Row],[Total PoP ]])</f>
        <v>0</v>
      </c>
      <c r="CN572" s="864">
        <f>WWWW[[#This Row],[% Access to unimproved water points]]*WWWW[[#This Row],[Total PoP ]]</f>
        <v>0</v>
      </c>
      <c r="CO57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Q572" s="864">
        <f>WWWW[[#This Row],[HRP1]]/500</f>
        <v>0.71199999999999997</v>
      </c>
      <c r="CR572" s="869">
        <f>1-WWWW[[#This Row],[% Equitable and continuous access to sufficient quantity of domestic water]]</f>
        <v>0</v>
      </c>
      <c r="CS572" s="864">
        <f>WWWW[[#This Row],[%equitable and continuous access to sufficient quantity of safe drinking and domestic water''s GAP]]*WWWW[[#This Row],[Total PoP ]]</f>
        <v>0</v>
      </c>
      <c r="CT572" s="867">
        <f>IF(WWWW[[#This Row],[Total required water points]]-WWWW[[#This Row],['#Water points coverage]]&lt;0,0,WWWW[[#This Row],[Total required water points]]-WWWW[[#This Row],['#Water points coverage]])</f>
        <v>0.28800000000000003</v>
      </c>
      <c r="CU572" s="867">
        <f>ROUND(IF(WWWW[[#This Row],[Total PoP ]]&lt;500,1,WWWW[[#This Row],[Total PoP ]]/500),0)</f>
        <v>1</v>
      </c>
      <c r="CV572" s="867">
        <f>(WWWW[[#This Row],['#_Constructed latrines_by_WASHAgencies]]+WWWW[[#This Row],['#_Non Cluster partner latrines]])-WWWW[[#This Row],['#_Non-functional latrines]]</f>
        <v>8</v>
      </c>
      <c r="CW572" s="804">
        <f>WWWW[[#This Row],[HRP2]]/WWWW[[#This Row],[Total PoP ]]</f>
        <v>0.449438202247191</v>
      </c>
      <c r="CX57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CY57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2" s="473">
        <f>IF(WWWW[[#This Row],['# of functional latrines in THF supported by WASH partners during the reporting period2]]="",0,WWWW[[#This Row],['# of functional latrines in THF supported by WASH partners during the reporting period2]]*50)</f>
        <v>0</v>
      </c>
      <c r="DB572" s="473">
        <f>WWWW[[#This Row],['# students access to functioning school latrines_HRP5]]+WWWW[[#This Row],['# People access to functioning latrines in THF_HRP5]]</f>
        <v>0</v>
      </c>
      <c r="DC572" s="867">
        <f>ROUND(IF(WWWW[[#This Row],[Location Type 1]]="camp",WWWW[[#This Row],[Total PoP ]]/20,IF(WWWW[[#This Row],[Location Type 1]]="Temporary Location",WWWW[[#This Row],[Total PoP ]]/50,(WWWW[[#This Row],[Total PoP ]]/6))),0)</f>
        <v>18</v>
      </c>
      <c r="DD572" s="867">
        <f>IF(WWWW[[#This Row],[Total required Latrines]]-(WWWW[[#This Row],['#_Constructed latrines_by_WASHAgencies]]+WWWW[[#This Row],['#_Non Cluster partner latrines]])&lt;0,0,WWWW[[#This Row],[Total required Latrines]]-(WWWW[[#This Row],['#_Constructed latrines_by_WASHAgencies]]+WWWW[[#This Row],['#_Non Cluster partner latrines]]))</f>
        <v>10</v>
      </c>
      <c r="DE572" s="869">
        <f>1-WWWW[[#This Row],[% people access to functioning Latrine]]</f>
        <v>0.550561797752809</v>
      </c>
      <c r="DF572" s="868">
        <f>IF(OR(WWWW[[#This Row],['#_Non-functional latrines]]="",WWWW[[#This Row],['#_Non-functional latrines]]=0),0,WWWW[[#This Row],['#_Non-functional latrines]]/(WWWW[[#This Row],['#_Constructed latrines_by_WASHAgencies]]+WWWW[[#This Row],['#_Non Cluster partner latrines]]))</f>
        <v>0</v>
      </c>
      <c r="DG572" s="864">
        <f>IF(500*(WWWW[[#This Row],['#_male hygiene promoters]]+WWWW[[#This Row],['#_female hygiene promoters]])&gt;WWWW[[#This Row],[Total PoP ]],WWWW[[#This Row],[Total PoP ]],500*(WWWW[[#This Row],['#_male hygiene promoters]]+WWWW[[#This Row],['#_female hygiene promoters]]))</f>
        <v>356</v>
      </c>
      <c r="DH57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2" s="867">
        <f>IF(WWWW[[#This Row],['# People with access to soap]]&gt;WWWW[[#This Row],['# People with access to Sanity Pads]],WWWW[[#This Row],['# People with access to soap]],WWWW[[#This Row],['# People with access to Sanity Pads]])</f>
        <v>0</v>
      </c>
      <c r="DK572" s="867">
        <f>IF(WWWW[[#This Row],['# people reached by regular dedicated hygiene promotion_5]]&gt;WWWW[[#This Row],['# People received regular supply of hygiene items_6]],WWWW[[#This Row],['# people reached by regular dedicated hygiene promotion_5]],WWWW[[#This Row],['# People received regular supply of hygiene items_6]])</f>
        <v>356</v>
      </c>
      <c r="DL572" s="869">
        <f>IF(WWWW[[#This Row],[HRP3]]/WWWW[[#This Row],[Total PoP ]]&gt;1,1,WWWW[[#This Row],[HRP3]]/WWWW[[#This Row],[Total PoP ]])</f>
        <v>1</v>
      </c>
      <c r="DM572" s="868">
        <f>1-WWWW[[#This Row],[Hygiene Coverage%]]</f>
        <v>0</v>
      </c>
      <c r="DN572" s="866">
        <f>WWWW[[#This Row],['# people reached by regular dedicated hygiene promotion_5]]/WWWW[[#This Row],[Total PoP ]]</f>
        <v>1</v>
      </c>
      <c r="DO57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2" s="867">
        <f>WWWW[[#This Row],['#_Constructed/Existing hand washing stations]]-WWWW[[#This Row],['#_Non-Functional_hand_washing_stations]]</f>
        <v>4</v>
      </c>
      <c r="DR572" s="864">
        <f>IF(WWWW[[#This Row],['# Functional hand washing stations during reporting period]]*20&gt;WWWW[[#This Row],[Total HH]],WWWW[[#This Row],[Total HH]],WWWW[[#This Row],['# Functional hand washing stations during reporting period]]*20)</f>
        <v>79</v>
      </c>
      <c r="DS572" s="864">
        <f>IF(WWWW[[#This Row],[Is sufficient soap available for TLS? (Yes/No)]]="yes",WWWW[[#This Row],['#_Constructed/Existing hand washing stations at TLS]],0)</f>
        <v>0</v>
      </c>
      <c r="DT572" s="479">
        <f>IF(WWWW[[#This Row],['# Functional hand washing stations during reporting period]]*100&gt;WWWW[[#This Row],[Total PoP ]],WWWW[[#This Row],[Total PoP ]],WWWW[[#This Row],['# Functional hand washing stations during reporting period]]*100)</f>
        <v>356</v>
      </c>
      <c r="DU572" s="479" t="str">
        <f>IF(OR(WWWW[[#This Row],['#_students at TLS_CFS]]="",WWWW[[#This Row],['#_students at TLS_CFS]]=0),"No","Yes")</f>
        <v>No</v>
      </c>
      <c r="DV57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2" s="862" t="str">
        <f>VLOOKUP(WWWW[[#This Row],[Site Name]],SiteDB6[[Site Name]:[CCCM Management]],6,FALSE)</f>
        <v>Yes</v>
      </c>
      <c r="DZ572" s="862" t="str">
        <f>VLOOKUP(WWWW[[#This Row],[Site Name]],SiteDB6[[Site Name]:[CCCM Focal Agency]],7,FALSE)</f>
        <v>KBC-MYT</v>
      </c>
      <c r="EA572" s="862" t="str">
        <f>VLOOKUP(WWWW[[#This Row],[Site Name]],SiteDB6[[Site Name]:[Location Type 1]],9,FALSE)</f>
        <v>Camp</v>
      </c>
      <c r="EB572" s="862" t="str">
        <f>VLOOKUP(WWWW[[#This Row],[Site Name]],SiteDB6[[Site Name]:[Type of Accommodation]],10,FALSE)</f>
        <v>Camp</v>
      </c>
      <c r="EC572" s="862" t="str">
        <f>VLOOKUP(WWWW[[#This Row],[Site Name]],SiteDB6[[Site Name]:[Ethnic or GCA/NGCA]],11,FALSE)</f>
        <v>GCA</v>
      </c>
      <c r="ED572" s="862">
        <f>VLOOKUP(WWWW[[#This Row],[Site Name]],SiteDB6[[Site Name]:[Lat]],12,FALSE)</f>
        <v>0</v>
      </c>
      <c r="EE572" s="862">
        <f>VLOOKUP(WWWW[[#This Row],[Site Name]],SiteDB6[[Site Name]:[Long]],13,FALSE)</f>
        <v>0</v>
      </c>
      <c r="EF572" s="862" t="str">
        <f>VLOOKUP(WWWW[[#This Row],[Site Name]],SiteDB6[[Site Name]:[Pcode]],3,FALSE)</f>
        <v>MMR001CMP269</v>
      </c>
      <c r="EG572" s="865" t="str">
        <f t="shared" si="17"/>
        <v>Covered</v>
      </c>
      <c r="EH572" s="865" t="str">
        <f>VLOOKUP(WWWW[[#This Row],[Site Name]],Site_DB!$C$389:$D$1120,2,FALSE)</f>
        <v>cccm_2019OCT</v>
      </c>
    </row>
    <row r="573" spans="1:138">
      <c r="A573" s="860" t="s">
        <v>3263</v>
      </c>
      <c r="B573" s="860" t="s">
        <v>245</v>
      </c>
      <c r="C573" s="861" t="s">
        <v>245</v>
      </c>
      <c r="D573" s="861" t="s">
        <v>310</v>
      </c>
      <c r="E573" s="861" t="s">
        <v>39</v>
      </c>
      <c r="F573" s="861" t="s">
        <v>145</v>
      </c>
      <c r="G573" s="721" t="str">
        <f>VLOOKUP(WWWW[[#This Row],[Site Name]],SiteDB6[[Site Name]:[Location Type]],8,FALSE)</f>
        <v>Camp</v>
      </c>
      <c r="H573" s="861" t="s">
        <v>278</v>
      </c>
      <c r="I573" s="851">
        <v>66</v>
      </c>
      <c r="J573" s="851">
        <v>263</v>
      </c>
      <c r="K573" s="863">
        <v>43313</v>
      </c>
      <c r="L573" s="859">
        <v>44196</v>
      </c>
      <c r="M573" s="851"/>
      <c r="N573" s="851">
        <v>1</v>
      </c>
      <c r="O573" s="851"/>
      <c r="P573" s="851"/>
      <c r="Q573" s="864" t="s">
        <v>43</v>
      </c>
      <c r="R573" s="851">
        <v>3</v>
      </c>
      <c r="S573" s="851">
        <v>2</v>
      </c>
      <c r="T573" s="523">
        <v>3</v>
      </c>
      <c r="U573" s="851"/>
      <c r="V573" s="851"/>
      <c r="W573" s="851">
        <v>1</v>
      </c>
      <c r="X573" s="851"/>
      <c r="Y573" s="851"/>
      <c r="Z573" s="851"/>
      <c r="AA573" s="851">
        <v>0</v>
      </c>
      <c r="AB573" s="851"/>
      <c r="AC573" s="851"/>
      <c r="AD573" s="851">
        <v>0</v>
      </c>
      <c r="AE573" s="851">
        <v>0</v>
      </c>
      <c r="AF573" s="851">
        <v>0</v>
      </c>
      <c r="AG573" s="851">
        <v>0</v>
      </c>
      <c r="AH573" s="851">
        <v>0</v>
      </c>
      <c r="AI573" s="851"/>
      <c r="AJ573" s="851"/>
      <c r="AK573" s="851"/>
      <c r="AL573" s="851"/>
      <c r="AM573" s="851">
        <v>0</v>
      </c>
      <c r="AN573" s="851">
        <v>0</v>
      </c>
      <c r="AO573" s="865"/>
      <c r="AP573" s="851">
        <v>10</v>
      </c>
      <c r="AQ573" s="851"/>
      <c r="AR573" s="866"/>
      <c r="AS573" s="851"/>
      <c r="AT573" s="851"/>
      <c r="AU573" s="851"/>
      <c r="AV573" s="851"/>
      <c r="AW573" s="851">
        <v>0</v>
      </c>
      <c r="AX573" s="862" t="s">
        <v>43</v>
      </c>
      <c r="AY573" s="865" t="s">
        <v>140</v>
      </c>
      <c r="AZ573" s="851">
        <v>0</v>
      </c>
      <c r="BA573" s="851">
        <v>0</v>
      </c>
      <c r="BB573" s="851">
        <v>0</v>
      </c>
      <c r="BC573" s="523"/>
      <c r="BD573" s="523"/>
      <c r="BE573" s="862"/>
      <c r="BF573" s="851">
        <v>6</v>
      </c>
      <c r="BG573" s="851"/>
      <c r="BH573" s="851">
        <v>0</v>
      </c>
      <c r="BI573" s="851">
        <v>4</v>
      </c>
      <c r="BJ573" s="851"/>
      <c r="BK573" s="851">
        <v>0</v>
      </c>
      <c r="BL573" s="851">
        <v>0</v>
      </c>
      <c r="BM573" s="851"/>
      <c r="BN573" s="851"/>
      <c r="BO573" s="862" t="s">
        <v>139</v>
      </c>
      <c r="BP573" s="867"/>
      <c r="BQ573" s="866"/>
      <c r="BR573" s="862"/>
      <c r="BS573" s="472"/>
      <c r="BT573" s="472"/>
      <c r="BU573" s="474"/>
      <c r="BV573" s="472"/>
      <c r="BW573" s="523"/>
      <c r="BX573" s="523"/>
      <c r="BY573" s="523"/>
      <c r="BZ573" s="868" t="str">
        <f>IFERROR(WWWW[[#This Row],['#_Water sources passed]]/WWWW[[#This Row],['#_Water sources tested for fecal coliform ]],"no test")</f>
        <v>no test</v>
      </c>
      <c r="CA573" s="866" t="str">
        <f>IFERROR(WWWW[[#This Row],['#_Household passed]]/WWWW[[#This Row],['#_Household water samples tested for fecal coliform]],"no test")</f>
        <v>no test</v>
      </c>
      <c r="CB573" s="867" t="str">
        <f>IF(AND(WWWW[[#This Row],[% of water sources passed]]="no test",WWWW[[#This Row],[% Household passed]]="no test"),"No Test","Tested")</f>
        <v>No Test</v>
      </c>
      <c r="CC573" s="867">
        <f>WWWW[[#This Row],['#_Constructed/existing protected hand dug well]]-WWWW[[#This Row],['#_Non-functional protected hand dug well]]</f>
        <v>3</v>
      </c>
      <c r="CD573" s="867">
        <f>(WWWW[[#This Row],['#_Constructed/Existing tube wells/boreholes/handpumps_WASH_agency]]+WWWW[[#This Row],['#_Non-Cluster partner water tube-wells/boreholes/handpumps]])-WWWW[[#This Row],['#_Non-functional tube wells/boreholes/handpumps]]</f>
        <v>1</v>
      </c>
      <c r="CE573" s="867">
        <f>WWWW[[#This Row],['#_Constructed/Existingwater storage tank with gravity fed reticulation system]]-WWWW[[#This Row],['#_Non-functional storage tank gravity fed reticulation system]]</f>
        <v>0</v>
      </c>
      <c r="CF573" s="867">
        <f>(WWWW[[#This Row],['#_Water_Liters_supplied_by_Water boating or water trucking]]/90)/15</f>
        <v>0</v>
      </c>
      <c r="CG573" s="867">
        <f>WWWW[[#This Row],['#_Water_Liters_from_Constructed/Existing water distribution system from river or natural spring]]/90/15</f>
        <v>0</v>
      </c>
      <c r="CH573" s="473">
        <f>WWWW[[#This Row],['#_of water points in TLS/CFS /THF]]*500</f>
        <v>0</v>
      </c>
      <c r="CI57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73" s="866">
        <f>IF(WWWW[[#This Row],[Location Type 1]]="Village",WWWW[[#This Row],[Access to safe drinking water for Village]],WWWW[[#This Row],[Access to safe drinking water for Camp]])</f>
        <v>1</v>
      </c>
      <c r="CL573" s="864">
        <f>WWWW[[#This Row],[%Equitable and continuous access to sufficient quantity of safe drinking water]]*WWWW[[#This Row],[Total PoP ]]</f>
        <v>263</v>
      </c>
      <c r="CM573" s="866">
        <f>IF((WWWW[[#This Row],['#_Constructed/Existing protected/fenced ponds]]*250)/WWWW[[#This Row],[Total PoP ]]&gt;1,1,(WWWW[[#This Row],['#_Constructed/Existing protected/fenced ponds]]*250)/WWWW[[#This Row],[Total PoP ]])</f>
        <v>0</v>
      </c>
      <c r="CN573" s="864">
        <f>WWWW[[#This Row],[% Access to unimproved water points]]*WWWW[[#This Row],[Total PoP ]]</f>
        <v>0</v>
      </c>
      <c r="CO57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Q573" s="864">
        <f>WWWW[[#This Row],[HRP1]]/500</f>
        <v>0.52600000000000002</v>
      </c>
      <c r="CR573" s="869">
        <f>1-WWWW[[#This Row],[% Equitable and continuous access to sufficient quantity of domestic water]]</f>
        <v>0</v>
      </c>
      <c r="CS573" s="864">
        <f>WWWW[[#This Row],[%equitable and continuous access to sufficient quantity of safe drinking and domestic water''s GAP]]*WWWW[[#This Row],[Total PoP ]]</f>
        <v>0</v>
      </c>
      <c r="CT573" s="867">
        <f>IF(WWWW[[#This Row],[Total required water points]]-WWWW[[#This Row],['#Water points coverage]]&lt;0,0,WWWW[[#This Row],[Total required water points]]-WWWW[[#This Row],['#Water points coverage]])</f>
        <v>0.47399999999999998</v>
      </c>
      <c r="CU573" s="867">
        <f>ROUND(IF(WWWW[[#This Row],[Total PoP ]]&lt;500,1,WWWW[[#This Row],[Total PoP ]]/500),0)</f>
        <v>1</v>
      </c>
      <c r="CV573" s="867">
        <f>(WWWW[[#This Row],['#_Constructed latrines_by_WASHAgencies]]+WWWW[[#This Row],['#_Non Cluster partner latrines]])-WWWW[[#This Row],['#_Non-functional latrines]]</f>
        <v>10</v>
      </c>
      <c r="CW573" s="804">
        <f>WWWW[[#This Row],[HRP2]]/WWWW[[#This Row],[Total PoP ]]</f>
        <v>0.76045627376425851</v>
      </c>
      <c r="CX57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CY57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3" s="473">
        <f>IF(WWWW[[#This Row],['# of functional latrines in THF supported by WASH partners during the reporting period2]]="",0,WWWW[[#This Row],['# of functional latrines in THF supported by WASH partners during the reporting period2]]*50)</f>
        <v>0</v>
      </c>
      <c r="DB573" s="473">
        <f>WWWW[[#This Row],['# students access to functioning school latrines_HRP5]]+WWWW[[#This Row],['# People access to functioning latrines in THF_HRP5]]</f>
        <v>0</v>
      </c>
      <c r="DC573" s="867">
        <f>ROUND(IF(WWWW[[#This Row],[Location Type 1]]="camp",WWWW[[#This Row],[Total PoP ]]/20,IF(WWWW[[#This Row],[Location Type 1]]="Temporary Location",WWWW[[#This Row],[Total PoP ]]/50,(WWWW[[#This Row],[Total PoP ]]/6))),0)</f>
        <v>13</v>
      </c>
      <c r="DD573" s="867">
        <f>IF(WWWW[[#This Row],[Total required Latrines]]-(WWWW[[#This Row],['#_Constructed latrines_by_WASHAgencies]]+WWWW[[#This Row],['#_Non Cluster partner latrines]])&lt;0,0,WWWW[[#This Row],[Total required Latrines]]-(WWWW[[#This Row],['#_Constructed latrines_by_WASHAgencies]]+WWWW[[#This Row],['#_Non Cluster partner latrines]]))</f>
        <v>3</v>
      </c>
      <c r="DE573" s="869">
        <f>1-WWWW[[#This Row],[% people access to functioning Latrine]]</f>
        <v>0.23954372623574149</v>
      </c>
      <c r="DF573" s="868">
        <f>IF(OR(WWWW[[#This Row],['#_Non-functional latrines]]="",WWWW[[#This Row],['#_Non-functional latrines]]=0),0,WWWW[[#This Row],['#_Non-functional latrines]]/(WWWW[[#This Row],['#_Constructed latrines_by_WASHAgencies]]+WWWW[[#This Row],['#_Non Cluster partner latrines]]))</f>
        <v>0</v>
      </c>
      <c r="DG573" s="864">
        <f>IF(500*(WWWW[[#This Row],['#_male hygiene promoters]]+WWWW[[#This Row],['#_female hygiene promoters]])&gt;WWWW[[#This Row],[Total PoP ]],WWWW[[#This Row],[Total PoP ]],500*(WWWW[[#This Row],['#_male hygiene promoters]]+WWWW[[#This Row],['#_female hygiene promoters]]))</f>
        <v>0</v>
      </c>
      <c r="DH57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3" s="867">
        <f>IF(WWWW[[#This Row],['# People with access to soap]]&gt;WWWW[[#This Row],['# People with access to Sanity Pads]],WWWW[[#This Row],['# People with access to soap]],WWWW[[#This Row],['# People with access to Sanity Pads]])</f>
        <v>0</v>
      </c>
      <c r="DK57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73" s="869">
        <f>IF(WWWW[[#This Row],[HRP3]]/WWWW[[#This Row],[Total PoP ]]&gt;1,1,WWWW[[#This Row],[HRP3]]/WWWW[[#This Row],[Total PoP ]])</f>
        <v>0</v>
      </c>
      <c r="DM573" s="868">
        <f>1-WWWW[[#This Row],[Hygiene Coverage%]]</f>
        <v>1</v>
      </c>
      <c r="DN573" s="866">
        <f>WWWW[[#This Row],['# people reached by regular dedicated hygiene promotion_5]]/WWWW[[#This Row],[Total PoP ]]</f>
        <v>0</v>
      </c>
      <c r="DO57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3" s="867">
        <f>WWWW[[#This Row],['#_Constructed/Existing hand washing stations]]-WWWW[[#This Row],['#_Non-Functional_hand_washing_stations]]</f>
        <v>6</v>
      </c>
      <c r="DR573" s="864">
        <f>IF(WWWW[[#This Row],['# Functional hand washing stations during reporting period]]*20&gt;WWWW[[#This Row],[Total HH]],WWWW[[#This Row],[Total HH]],WWWW[[#This Row],['# Functional hand washing stations during reporting period]]*20)</f>
        <v>66</v>
      </c>
      <c r="DS573" s="864">
        <f>IF(WWWW[[#This Row],[Is sufficient soap available for TLS? (Yes/No)]]="yes",WWWW[[#This Row],['#_Constructed/Existing hand washing stations at TLS]],0)</f>
        <v>0</v>
      </c>
      <c r="DT573" s="479">
        <f>IF(WWWW[[#This Row],['# Functional hand washing stations during reporting period]]*100&gt;WWWW[[#This Row],[Total PoP ]],WWWW[[#This Row],[Total PoP ]],WWWW[[#This Row],['# Functional hand washing stations during reporting period]]*100)</f>
        <v>263</v>
      </c>
      <c r="DU573" s="479" t="str">
        <f>IF(OR(WWWW[[#This Row],['#_students at TLS_CFS]]="",WWWW[[#This Row],['#_students at TLS_CFS]]=0),"No","Yes")</f>
        <v>No</v>
      </c>
      <c r="DV57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3" s="862" t="str">
        <f>VLOOKUP(WWWW[[#This Row],[Site Name]],SiteDB6[[Site Name]:[CCCM Management]],6,FALSE)</f>
        <v>Yes</v>
      </c>
      <c r="DZ573" s="862" t="str">
        <f>VLOOKUP(WWWW[[#This Row],[Site Name]],SiteDB6[[Site Name]:[CCCM Focal Agency]],7,FALSE)</f>
        <v>Shalom</v>
      </c>
      <c r="EA573" s="862" t="str">
        <f>VLOOKUP(WWWW[[#This Row],[Site Name]],SiteDB6[[Site Name]:[Location Type 1]],9,FALSE)</f>
        <v>Camp</v>
      </c>
      <c r="EB573" s="862" t="str">
        <f>VLOOKUP(WWWW[[#This Row],[Site Name]],SiteDB6[[Site Name]:[Type of Accommodation]],10,FALSE)</f>
        <v>Camp</v>
      </c>
      <c r="EC573" s="862" t="str">
        <f>VLOOKUP(WWWW[[#This Row],[Site Name]],SiteDB6[[Site Name]:[Ethnic or GCA/NGCA]],11,FALSE)</f>
        <v>GCA</v>
      </c>
      <c r="ED573" s="862">
        <f>VLOOKUP(WWWW[[#This Row],[Site Name]],SiteDB6[[Site Name]:[Lat]],12,FALSE)</f>
        <v>25.351250396825399</v>
      </c>
      <c r="EE573" s="862">
        <f>VLOOKUP(WWWW[[#This Row],[Site Name]],SiteDB6[[Site Name]:[Long]],13,FALSE)</f>
        <v>97.444283730158702</v>
      </c>
      <c r="EF573" s="862" t="str">
        <f>VLOOKUP(WWWW[[#This Row],[Site Name]],SiteDB6[[Site Name]:[Pcode]],3,FALSE)</f>
        <v>MMR001CMP038</v>
      </c>
      <c r="EG573" s="865" t="str">
        <f t="shared" si="17"/>
        <v>Covered</v>
      </c>
      <c r="EH573" s="865" t="str">
        <f>VLOOKUP(WWWW[[#This Row],[Site Name]],Site_DB!$C$389:$D$1120,2,FALSE)</f>
        <v>cccm_2019OCT</v>
      </c>
    </row>
    <row r="574" spans="1:138">
      <c r="A574" s="860" t="s">
        <v>3263</v>
      </c>
      <c r="B574" s="860" t="s">
        <v>195</v>
      </c>
      <c r="C574" s="861" t="s">
        <v>195</v>
      </c>
      <c r="D574" s="861" t="s">
        <v>3367</v>
      </c>
      <c r="E574" s="861" t="s">
        <v>39</v>
      </c>
      <c r="F574" s="861" t="s">
        <v>145</v>
      </c>
      <c r="G574" s="721" t="str">
        <f>VLOOKUP(WWWW[[#This Row],[Site Name]],SiteDB6[[Site Name]:[Location Type]],8,FALSE)</f>
        <v>Camp</v>
      </c>
      <c r="H574" s="861" t="s">
        <v>224</v>
      </c>
      <c r="I574" s="851">
        <v>1230</v>
      </c>
      <c r="J574" s="851">
        <v>6501</v>
      </c>
      <c r="K574" s="863" t="s">
        <v>3609</v>
      </c>
      <c r="L574" s="859" t="s">
        <v>3610</v>
      </c>
      <c r="M574" s="851"/>
      <c r="N574" s="851"/>
      <c r="O574" s="851"/>
      <c r="P574" s="851"/>
      <c r="Q574" s="864" t="s">
        <v>43</v>
      </c>
      <c r="R574" s="851">
        <v>3</v>
      </c>
      <c r="S574" s="851">
        <v>2</v>
      </c>
      <c r="T574" s="523"/>
      <c r="U574" s="851"/>
      <c r="V574" s="851"/>
      <c r="W574" s="851"/>
      <c r="X574" s="851"/>
      <c r="Y574" s="851"/>
      <c r="Z574" s="851"/>
      <c r="AA574" s="851">
        <v>3</v>
      </c>
      <c r="AB574" s="851"/>
      <c r="AC574" s="851"/>
      <c r="AD574" s="851"/>
      <c r="AE574" s="851"/>
      <c r="AF574" s="851">
        <v>533440</v>
      </c>
      <c r="AG574" s="851"/>
      <c r="AH574" s="851"/>
      <c r="AI574" s="851"/>
      <c r="AJ574" s="851"/>
      <c r="AK574" s="851"/>
      <c r="AL574" s="851"/>
      <c r="AM574" s="851"/>
      <c r="AN574" s="851">
        <v>3</v>
      </c>
      <c r="AO574" s="865"/>
      <c r="AP574" s="851">
        <v>231</v>
      </c>
      <c r="AQ574" s="851"/>
      <c r="AR574" s="866"/>
      <c r="AS574" s="851"/>
      <c r="AT574" s="851"/>
      <c r="AU574" s="851"/>
      <c r="AV574" s="851"/>
      <c r="AW574" s="851"/>
      <c r="AX574" s="862" t="s">
        <v>43</v>
      </c>
      <c r="AY574" s="865" t="s">
        <v>140</v>
      </c>
      <c r="AZ574" s="851">
        <v>4</v>
      </c>
      <c r="BA574" s="851">
        <v>2</v>
      </c>
      <c r="BB574" s="851">
        <v>8</v>
      </c>
      <c r="BC574" s="523"/>
      <c r="BD574" s="523"/>
      <c r="BE574" s="862"/>
      <c r="BF574" s="851">
        <v>50</v>
      </c>
      <c r="BG574" s="851"/>
      <c r="BH574" s="851"/>
      <c r="BI574" s="851">
        <v>22</v>
      </c>
      <c r="BJ574" s="851"/>
      <c r="BK574" s="851"/>
      <c r="BL574" s="851">
        <v>6</v>
      </c>
      <c r="BM574" s="851">
        <v>1230</v>
      </c>
      <c r="BN574" s="851"/>
      <c r="BO574" s="862" t="s">
        <v>139</v>
      </c>
      <c r="BP574" s="867"/>
      <c r="BQ574" s="866"/>
      <c r="BR574" s="806" t="s">
        <v>3645</v>
      </c>
      <c r="BS574" s="472"/>
      <c r="BT574" s="472"/>
      <c r="BU574" s="474"/>
      <c r="BV574" s="472"/>
      <c r="BW574" s="523"/>
      <c r="BX574" s="523"/>
      <c r="BY574" s="523"/>
      <c r="BZ574" s="868" t="str">
        <f>IFERROR(WWWW[[#This Row],['#_Water sources passed]]/WWWW[[#This Row],['#_Water sources tested for fecal coliform ]],"no test")</f>
        <v>no test</v>
      </c>
      <c r="CA574" s="866" t="str">
        <f>IFERROR(WWWW[[#This Row],['#_Household passed]]/WWWW[[#This Row],['#_Household water samples tested for fecal coliform]],"no test")</f>
        <v>no test</v>
      </c>
      <c r="CB574" s="867" t="str">
        <f>IF(AND(WWWW[[#This Row],[% of water sources passed]]="no test",WWWW[[#This Row],[% Household passed]]="no test"),"No Test","Tested")</f>
        <v>No Test</v>
      </c>
      <c r="CC574" s="867">
        <f>WWWW[[#This Row],['#_Constructed/existing protected hand dug well]]-WWWW[[#This Row],['#_Non-functional protected hand dug well]]</f>
        <v>0</v>
      </c>
      <c r="CD574" s="867">
        <f>(WWWW[[#This Row],['#_Constructed/Existing tube wells/boreholes/handpumps_WASH_agency]]+WWWW[[#This Row],['#_Non-Cluster partner water tube-wells/boreholes/handpumps]])-WWWW[[#This Row],['#_Non-functional tube wells/boreholes/handpumps]]</f>
        <v>0</v>
      </c>
      <c r="CE574" s="867">
        <f>WWWW[[#This Row],['#_Constructed/Existingwater storage tank with gravity fed reticulation system]]-WWWW[[#This Row],['#_Non-functional storage tank gravity fed reticulation system]]</f>
        <v>3</v>
      </c>
      <c r="CF574" s="867">
        <f>(WWWW[[#This Row],['#_Water_Liters_supplied_by_Water boating or water trucking]]/90)/15</f>
        <v>0</v>
      </c>
      <c r="CG574" s="867">
        <f>WWWW[[#This Row],['#_Water_Liters_from_Constructed/Existing water distribution system from river or natural spring]]/90/15</f>
        <v>395.14074074074074</v>
      </c>
      <c r="CH574" s="473">
        <f>WWWW[[#This Row],['#_of water points in TLS/CFS /THF]]*500</f>
        <v>1500</v>
      </c>
      <c r="CI57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9.1546029955505426E-2</v>
      </c>
      <c r="CJ57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9.1546029955505426E-2</v>
      </c>
      <c r="CK574" s="866">
        <f>IF(WWWW[[#This Row],[Location Type 1]]="Village",WWWW[[#This Row],[Access to safe drinking water for Village]],WWWW[[#This Row],[Access to safe drinking water for Camp]])</f>
        <v>9.1546029955505426E-2</v>
      </c>
      <c r="CL574" s="864">
        <f>WWWW[[#This Row],[%Equitable and continuous access to sufficient quantity of safe drinking water]]*WWWW[[#This Row],[Total PoP ]]</f>
        <v>595.14074074074074</v>
      </c>
      <c r="CM574" s="866">
        <f>IF((WWWW[[#This Row],['#_Constructed/Existing protected/fenced ponds]]*250)/WWWW[[#This Row],[Total PoP ]]&gt;1,1,(WWWW[[#This Row],['#_Constructed/Existing protected/fenced ponds]]*250)/WWWW[[#This Row],[Total PoP ]])</f>
        <v>0</v>
      </c>
      <c r="CN574" s="864">
        <f>WWWW[[#This Row],[% Access to unimproved water points]]*WWWW[[#This Row],[Total PoP ]]</f>
        <v>0</v>
      </c>
      <c r="CO57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9.1546029955505426E-2</v>
      </c>
      <c r="CP57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595.14074074074074</v>
      </c>
      <c r="CQ574" s="864">
        <f>WWWW[[#This Row],[HRP1]]/500</f>
        <v>1.1902814814814815</v>
      </c>
      <c r="CR574" s="869">
        <f>1-WWWW[[#This Row],[% Equitable and continuous access to sufficient quantity of domestic water]]</f>
        <v>0.90845397004449457</v>
      </c>
      <c r="CS574" s="864">
        <f>WWWW[[#This Row],[%equitable and continuous access to sufficient quantity of safe drinking and domestic water''s GAP]]*WWWW[[#This Row],[Total PoP ]]</f>
        <v>5905.8592592592595</v>
      </c>
      <c r="CT574" s="867">
        <f>IF(WWWW[[#This Row],[Total required water points]]-WWWW[[#This Row],['#Water points coverage]]&lt;0,0,WWWW[[#This Row],[Total required water points]]-WWWW[[#This Row],['#Water points coverage]])</f>
        <v>11.809718518518519</v>
      </c>
      <c r="CU574" s="867">
        <f>ROUND(IF(WWWW[[#This Row],[Total PoP ]]&lt;500,1,WWWW[[#This Row],[Total PoP ]]/500),0)</f>
        <v>13</v>
      </c>
      <c r="CV574" s="867">
        <f>(WWWW[[#This Row],['#_Constructed latrines_by_WASHAgencies]]+WWWW[[#This Row],['#_Non Cluster partner latrines]])-WWWW[[#This Row],['#_Non-functional latrines]]</f>
        <v>231</v>
      </c>
      <c r="CW574" s="804">
        <f>WWWW[[#This Row],[HRP2]]/WWWW[[#This Row],[Total PoP ]]</f>
        <v>0.72296569758498697</v>
      </c>
      <c r="CX57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4700</v>
      </c>
      <c r="CY57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4" s="473">
        <f>IF(WWWW[[#This Row],['# of functional latrines in THF supported by WASH partners during the reporting period2]]="",0,WWWW[[#This Row],['# of functional latrines in THF supported by WASH partners during the reporting period2]]*50)</f>
        <v>0</v>
      </c>
      <c r="DB574" s="473">
        <f>WWWW[[#This Row],['# students access to functioning school latrines_HRP5]]+WWWW[[#This Row],['# People access to functioning latrines in THF_HRP5]]</f>
        <v>0</v>
      </c>
      <c r="DC574" s="867">
        <f>ROUND(IF(WWWW[[#This Row],[Location Type 1]]="camp",WWWW[[#This Row],[Total PoP ]]/20,IF(WWWW[[#This Row],[Location Type 1]]="Temporary Location",WWWW[[#This Row],[Total PoP ]]/50,(WWWW[[#This Row],[Total PoP ]]/6))),0)</f>
        <v>325</v>
      </c>
      <c r="DD574" s="867">
        <f>IF(WWWW[[#This Row],[Total required Latrines]]-(WWWW[[#This Row],['#_Constructed latrines_by_WASHAgencies]]+WWWW[[#This Row],['#_Non Cluster partner latrines]])&lt;0,0,WWWW[[#This Row],[Total required Latrines]]-(WWWW[[#This Row],['#_Constructed latrines_by_WASHAgencies]]+WWWW[[#This Row],['#_Non Cluster partner latrines]]))</f>
        <v>94</v>
      </c>
      <c r="DE574" s="869">
        <f>1-WWWW[[#This Row],[% people access to functioning Latrine]]</f>
        <v>0.27703430241501303</v>
      </c>
      <c r="DF574" s="868">
        <f>IF(OR(WWWW[[#This Row],['#_Non-functional latrines]]="",WWWW[[#This Row],['#_Non-functional latrines]]=0),0,WWWW[[#This Row],['#_Non-functional latrines]]/(WWWW[[#This Row],['#_Constructed latrines_by_WASHAgencies]]+WWWW[[#This Row],['#_Non Cluster partner latrines]]))</f>
        <v>0</v>
      </c>
      <c r="DG574" s="864">
        <f>IF(500*(WWWW[[#This Row],['#_male hygiene promoters]]+WWWW[[#This Row],['#_female hygiene promoters]])&gt;WWWW[[#This Row],[Total PoP ]],WWWW[[#This Row],[Total PoP ]],500*(WWWW[[#This Row],['#_male hygiene promoters]]+WWWW[[#This Row],['#_female hygiene promoters]]))</f>
        <v>3000</v>
      </c>
      <c r="DH57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6501</v>
      </c>
      <c r="DI57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4" s="867">
        <f>IF(WWWW[[#This Row],['# People with access to soap]]&gt;WWWW[[#This Row],['# People with access to Sanity Pads]],WWWW[[#This Row],['# People with access to soap]],WWWW[[#This Row],['# People with access to Sanity Pads]])</f>
        <v>6501</v>
      </c>
      <c r="DK574" s="867">
        <f>IF(WWWW[[#This Row],['# people reached by regular dedicated hygiene promotion_5]]&gt;WWWW[[#This Row],['# People received regular supply of hygiene items_6]],WWWW[[#This Row],['# people reached by regular dedicated hygiene promotion_5]],WWWW[[#This Row],['# People received regular supply of hygiene items_6]])</f>
        <v>6501</v>
      </c>
      <c r="DL574" s="869">
        <f>IF(WWWW[[#This Row],[HRP3]]/WWWW[[#This Row],[Total PoP ]]&gt;1,1,WWWW[[#This Row],[HRP3]]/WWWW[[#This Row],[Total PoP ]])</f>
        <v>1</v>
      </c>
      <c r="DM574" s="868">
        <f>1-WWWW[[#This Row],[Hygiene Coverage%]]</f>
        <v>0</v>
      </c>
      <c r="DN574" s="866">
        <f>WWWW[[#This Row],['# people reached by regular dedicated hygiene promotion_5]]/WWWW[[#This Row],[Total PoP ]]</f>
        <v>0.46146746654360865</v>
      </c>
      <c r="DO57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7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4" s="867">
        <f>WWWW[[#This Row],['#_Constructed/Existing hand washing stations]]-WWWW[[#This Row],['#_Non-Functional_hand_washing_stations]]</f>
        <v>50</v>
      </c>
      <c r="DR574" s="864">
        <f>IF(WWWW[[#This Row],['# Functional hand washing stations during reporting period]]*20&gt;WWWW[[#This Row],[Total HH]],WWWW[[#This Row],[Total HH]],WWWW[[#This Row],['# Functional hand washing stations during reporting period]]*20)</f>
        <v>1000</v>
      </c>
      <c r="DS574" s="864">
        <f>IF(WWWW[[#This Row],[Is sufficient soap available for TLS? (Yes/No)]]="yes",WWWW[[#This Row],['#_Constructed/Existing hand washing stations at TLS]],0)</f>
        <v>0</v>
      </c>
      <c r="DT574" s="479">
        <f>IF(WWWW[[#This Row],['# Functional hand washing stations during reporting period]]*100&gt;WWWW[[#This Row],[Total PoP ]],WWWW[[#This Row],[Total PoP ]],WWWW[[#This Row],['# Functional hand washing stations during reporting period]]*100)</f>
        <v>5000</v>
      </c>
      <c r="DU574" s="479" t="str">
        <f>IF(OR(WWWW[[#This Row],['#_students at TLS_CFS]]="",WWWW[[#This Row],['#_students at TLS_CFS]]=0),"No","Yes")</f>
        <v>No</v>
      </c>
      <c r="DV57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1500</v>
      </c>
      <c r="DY574" s="862" t="str">
        <f>VLOOKUP(WWWW[[#This Row],[Site Name]],SiteDB6[[Site Name]:[CCCM Management]],6,FALSE)</f>
        <v>Yes</v>
      </c>
      <c r="DZ574" s="862" t="str">
        <f>VLOOKUP(WWWW[[#This Row],[Site Name]],SiteDB6[[Site Name]:[CCCM Focal Agency]],7,FALSE)</f>
        <v>KMSS-MYT</v>
      </c>
      <c r="EA574" s="862" t="str">
        <f>VLOOKUP(WWWW[[#This Row],[Site Name]],SiteDB6[[Site Name]:[Location Type 1]],9,FALSE)</f>
        <v>Camp</v>
      </c>
      <c r="EB574" s="862" t="str">
        <f>VLOOKUP(WWWW[[#This Row],[Site Name]],SiteDB6[[Site Name]:[Type of Accommodation]],10,FALSE)</f>
        <v>Camp</v>
      </c>
      <c r="EC574" s="862" t="str">
        <f>VLOOKUP(WWWW[[#This Row],[Site Name]],SiteDB6[[Site Name]:[Ethnic or GCA/NGCA]],11,FALSE)</f>
        <v>NGCA</v>
      </c>
      <c r="ED574" s="862">
        <f>VLOOKUP(WWWW[[#This Row],[Site Name]],SiteDB6[[Site Name]:[Lat]],12,FALSE)</f>
        <v>24.755253</v>
      </c>
      <c r="EE574" s="862">
        <f>VLOOKUP(WWWW[[#This Row],[Site Name]],SiteDB6[[Site Name]:[Long]],13,FALSE)</f>
        <v>97.546893999999995</v>
      </c>
      <c r="EF574" s="862" t="str">
        <f>VLOOKUP(WWWW[[#This Row],[Site Name]],SiteDB6[[Site Name]:[Pcode]],3,FALSE)</f>
        <v>MMR001CMP116</v>
      </c>
      <c r="EG574" s="865" t="str">
        <f t="shared" si="17"/>
        <v>Covered</v>
      </c>
      <c r="EH574" s="865" t="str">
        <f>VLOOKUP(WWWW[[#This Row],[Site Name]],Site_DB!$C$389:$D$1120,2,FALSE)</f>
        <v>cccm_2019OCT</v>
      </c>
    </row>
    <row r="575" spans="1:138">
      <c r="A575" s="860" t="s">
        <v>3263</v>
      </c>
      <c r="B575" s="860" t="s">
        <v>144</v>
      </c>
      <c r="C575" s="861" t="s">
        <v>144</v>
      </c>
      <c r="D575" s="861" t="s">
        <v>3277</v>
      </c>
      <c r="E575" s="861" t="s">
        <v>39</v>
      </c>
      <c r="F575" s="861" t="s">
        <v>151</v>
      </c>
      <c r="G575" s="721" t="str">
        <f>VLOOKUP(WWWW[[#This Row],[Site Name]],SiteDB6[[Site Name]:[Location Type]],8,FALSE)</f>
        <v>Camp_not registered</v>
      </c>
      <c r="H575" s="861" t="s">
        <v>194</v>
      </c>
      <c r="I575" s="851">
        <v>18</v>
      </c>
      <c r="J575" s="851">
        <v>80</v>
      </c>
      <c r="K575" s="863" t="s">
        <v>3278</v>
      </c>
      <c r="L575" s="859" t="s">
        <v>3279</v>
      </c>
      <c r="M575" s="851"/>
      <c r="N575" s="851"/>
      <c r="O575" s="851"/>
      <c r="P575" s="851"/>
      <c r="Q575" s="864" t="s">
        <v>43</v>
      </c>
      <c r="R575" s="851"/>
      <c r="S575" s="851">
        <v>4</v>
      </c>
      <c r="T575" s="523">
        <v>2</v>
      </c>
      <c r="U575" s="851"/>
      <c r="V575" s="851"/>
      <c r="W575" s="851"/>
      <c r="X575" s="851"/>
      <c r="Y575" s="851"/>
      <c r="Z575" s="851"/>
      <c r="AA575" s="851"/>
      <c r="AB575" s="851"/>
      <c r="AC575" s="851"/>
      <c r="AD575" s="851"/>
      <c r="AE575" s="851"/>
      <c r="AF575" s="851"/>
      <c r="AG575" s="851"/>
      <c r="AH575" s="851">
        <v>0</v>
      </c>
      <c r="AI575" s="851"/>
      <c r="AJ575" s="851"/>
      <c r="AK575" s="851"/>
      <c r="AL575" s="851"/>
      <c r="AM575" s="851"/>
      <c r="AN575" s="851"/>
      <c r="AO575" s="865"/>
      <c r="AP575" s="851">
        <v>4</v>
      </c>
      <c r="AQ575" s="851"/>
      <c r="AR575" s="866"/>
      <c r="AS575" s="851"/>
      <c r="AT575" s="851"/>
      <c r="AU575" s="851"/>
      <c r="AV575" s="851"/>
      <c r="AW575" s="851">
        <v>4</v>
      </c>
      <c r="AX575" s="862" t="s">
        <v>43</v>
      </c>
      <c r="AY575" s="865" t="s">
        <v>140</v>
      </c>
      <c r="AZ575" s="851"/>
      <c r="BA575" s="851"/>
      <c r="BB575" s="851"/>
      <c r="BC575" s="523"/>
      <c r="BD575" s="523"/>
      <c r="BE575" s="862"/>
      <c r="BF575" s="851">
        <v>2</v>
      </c>
      <c r="BG575" s="851"/>
      <c r="BH575" s="851"/>
      <c r="BI575" s="851">
        <v>1</v>
      </c>
      <c r="BJ575" s="851"/>
      <c r="BK575" s="851"/>
      <c r="BL575" s="851">
        <v>1</v>
      </c>
      <c r="BM575" s="851"/>
      <c r="BN575" s="851"/>
      <c r="BO575" s="862"/>
      <c r="BP575" s="867"/>
      <c r="BQ575" s="866"/>
      <c r="BR575" s="862"/>
      <c r="BS575" s="472"/>
      <c r="BT575" s="472"/>
      <c r="BU575" s="474"/>
      <c r="BV575" s="472"/>
      <c r="BW575" s="523"/>
      <c r="BX575" s="523"/>
      <c r="BY575" s="523"/>
      <c r="BZ575" s="868" t="str">
        <f>IFERROR(WWWW[[#This Row],['#_Water sources passed]]/WWWW[[#This Row],['#_Water sources tested for fecal coliform ]],"no test")</f>
        <v>no test</v>
      </c>
      <c r="CA575" s="866" t="str">
        <f>IFERROR(WWWW[[#This Row],['#_Household passed]]/WWWW[[#This Row],['#_Household water samples tested for fecal coliform]],"no test")</f>
        <v>no test</v>
      </c>
      <c r="CB575" s="867" t="str">
        <f>IF(AND(WWWW[[#This Row],[% of water sources passed]]="no test",WWWW[[#This Row],[% Household passed]]="no test"),"No Test","Tested")</f>
        <v>No Test</v>
      </c>
      <c r="CC575" s="867">
        <f>WWWW[[#This Row],['#_Constructed/existing protected hand dug well]]-WWWW[[#This Row],['#_Non-functional protected hand dug well]]</f>
        <v>2</v>
      </c>
      <c r="CD575" s="867">
        <f>(WWWW[[#This Row],['#_Constructed/Existing tube wells/boreholes/handpumps_WASH_agency]]+WWWW[[#This Row],['#_Non-Cluster partner water tube-wells/boreholes/handpumps]])-WWWW[[#This Row],['#_Non-functional tube wells/boreholes/handpumps]]</f>
        <v>0</v>
      </c>
      <c r="CE575" s="867">
        <f>WWWW[[#This Row],['#_Constructed/Existingwater storage tank with gravity fed reticulation system]]-WWWW[[#This Row],['#_Non-functional storage tank gravity fed reticulation system]]</f>
        <v>0</v>
      </c>
      <c r="CF575" s="867">
        <f>(WWWW[[#This Row],['#_Water_Liters_supplied_by_Water boating or water trucking]]/90)/15</f>
        <v>0</v>
      </c>
      <c r="CG575" s="867">
        <f>WWWW[[#This Row],['#_Water_Liters_from_Constructed/Existing water distribution system from river or natural spring]]/90/15</f>
        <v>0</v>
      </c>
      <c r="CH575" s="473">
        <f>WWWW[[#This Row],['#_of water points in TLS/CFS /THF]]*500</f>
        <v>0</v>
      </c>
      <c r="CI57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75" s="866">
        <f>IF(WWWW[[#This Row],[Location Type 1]]="Village",WWWW[[#This Row],[Access to safe drinking water for Village]],WWWW[[#This Row],[Access to safe drinking water for Camp]])</f>
        <v>1</v>
      </c>
      <c r="CL575" s="864">
        <f>WWWW[[#This Row],[%Equitable and continuous access to sufficient quantity of safe drinking water]]*WWWW[[#This Row],[Total PoP ]]</f>
        <v>80</v>
      </c>
      <c r="CM575" s="866">
        <f>IF((WWWW[[#This Row],['#_Constructed/Existing protected/fenced ponds]]*250)/WWWW[[#This Row],[Total PoP ]]&gt;1,1,(WWWW[[#This Row],['#_Constructed/Existing protected/fenced ponds]]*250)/WWWW[[#This Row],[Total PoP ]])</f>
        <v>0</v>
      </c>
      <c r="CN575" s="864">
        <f>WWWW[[#This Row],[% Access to unimproved water points]]*WWWW[[#This Row],[Total PoP ]]</f>
        <v>0</v>
      </c>
      <c r="CO57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Q575" s="864">
        <f>WWWW[[#This Row],[HRP1]]/500</f>
        <v>0.16</v>
      </c>
      <c r="CR575" s="869">
        <f>1-WWWW[[#This Row],[% Equitable and continuous access to sufficient quantity of domestic water]]</f>
        <v>0</v>
      </c>
      <c r="CS575" s="864">
        <f>WWWW[[#This Row],[%equitable and continuous access to sufficient quantity of safe drinking and domestic water''s GAP]]*WWWW[[#This Row],[Total PoP ]]</f>
        <v>0</v>
      </c>
      <c r="CT575" s="867">
        <f>IF(WWWW[[#This Row],[Total required water points]]-WWWW[[#This Row],['#Water points coverage]]&lt;0,0,WWWW[[#This Row],[Total required water points]]-WWWW[[#This Row],['#Water points coverage]])</f>
        <v>0.84</v>
      </c>
      <c r="CU575" s="867">
        <f>ROUND(IF(WWWW[[#This Row],[Total PoP ]]&lt;500,1,WWWW[[#This Row],[Total PoP ]]/500),0)</f>
        <v>1</v>
      </c>
      <c r="CV575" s="867">
        <f>(WWWW[[#This Row],['#_Constructed latrines_by_WASHAgencies]]+WWWW[[#This Row],['#_Non Cluster partner latrines]])-WWWW[[#This Row],['#_Non-functional latrines]]</f>
        <v>4</v>
      </c>
      <c r="CW575" s="804">
        <f>WWWW[[#This Row],[HRP2]]/WWWW[[#This Row],[Total PoP ]]</f>
        <v>1</v>
      </c>
      <c r="CX57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CY57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5" s="473">
        <f>IF(WWWW[[#This Row],['# of functional latrines in THF supported by WASH partners during the reporting period2]]="",0,WWWW[[#This Row],['# of functional latrines in THF supported by WASH partners during the reporting period2]]*50)</f>
        <v>0</v>
      </c>
      <c r="DB575" s="473">
        <f>WWWW[[#This Row],['# students access to functioning school latrines_HRP5]]+WWWW[[#This Row],['# People access to functioning latrines in THF_HRP5]]</f>
        <v>0</v>
      </c>
      <c r="DC575" s="867">
        <f>ROUND(IF(WWWW[[#This Row],[Location Type 1]]="camp",WWWW[[#This Row],[Total PoP ]]/20,IF(WWWW[[#This Row],[Location Type 1]]="Temporary Location",WWWW[[#This Row],[Total PoP ]]/50,(WWWW[[#This Row],[Total PoP ]]/6))),0)</f>
        <v>4</v>
      </c>
      <c r="DD575" s="867">
        <f>IF(WWWW[[#This Row],[Total required Latrines]]-(WWWW[[#This Row],['#_Constructed latrines_by_WASHAgencies]]+WWWW[[#This Row],['#_Non Cluster partner latrines]])&lt;0,0,WWWW[[#This Row],[Total required Latrines]]-(WWWW[[#This Row],['#_Constructed latrines_by_WASHAgencies]]+WWWW[[#This Row],['#_Non Cluster partner latrines]]))</f>
        <v>0</v>
      </c>
      <c r="DE575" s="869">
        <f>1-WWWW[[#This Row],[% people access to functioning Latrine]]</f>
        <v>0</v>
      </c>
      <c r="DF575" s="868">
        <f>IF(OR(WWWW[[#This Row],['#_Non-functional latrines]]="",WWWW[[#This Row],['#_Non-functional latrines]]=0),0,WWWW[[#This Row],['#_Non-functional latrines]]/(WWWW[[#This Row],['#_Constructed latrines_by_WASHAgencies]]+WWWW[[#This Row],['#_Non Cluster partner latrines]]))</f>
        <v>0</v>
      </c>
      <c r="DG575" s="864">
        <f>IF(500*(WWWW[[#This Row],['#_male hygiene promoters]]+WWWW[[#This Row],['#_female hygiene promoters]])&gt;WWWW[[#This Row],[Total PoP ]],WWWW[[#This Row],[Total PoP ]],500*(WWWW[[#This Row],['#_male hygiene promoters]]+WWWW[[#This Row],['#_female hygiene promoters]]))</f>
        <v>80</v>
      </c>
      <c r="DH57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5" s="867">
        <f>IF(WWWW[[#This Row],['# People with access to soap]]&gt;WWWW[[#This Row],['# People with access to Sanity Pads]],WWWW[[#This Row],['# People with access to soap]],WWWW[[#This Row],['# People with access to Sanity Pads]])</f>
        <v>0</v>
      </c>
      <c r="DK575" s="867">
        <f>IF(WWWW[[#This Row],['# people reached by regular dedicated hygiene promotion_5]]&gt;WWWW[[#This Row],['# People received regular supply of hygiene items_6]],WWWW[[#This Row],['# people reached by regular dedicated hygiene promotion_5]],WWWW[[#This Row],['# People received regular supply of hygiene items_6]])</f>
        <v>80</v>
      </c>
      <c r="DL575" s="869">
        <f>IF(WWWW[[#This Row],[HRP3]]/WWWW[[#This Row],[Total PoP ]]&gt;1,1,WWWW[[#This Row],[HRP3]]/WWWW[[#This Row],[Total PoP ]])</f>
        <v>1</v>
      </c>
      <c r="DM575" s="868">
        <f>1-WWWW[[#This Row],[Hygiene Coverage%]]</f>
        <v>0</v>
      </c>
      <c r="DN575" s="866">
        <f>WWWW[[#This Row],['# people reached by regular dedicated hygiene promotion_5]]/WWWW[[#This Row],[Total PoP ]]</f>
        <v>1</v>
      </c>
      <c r="DO57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5" s="867">
        <f>WWWW[[#This Row],['#_Constructed/Existing hand washing stations]]-WWWW[[#This Row],['#_Non-Functional_hand_washing_stations]]</f>
        <v>2</v>
      </c>
      <c r="DR575" s="864">
        <f>IF(WWWW[[#This Row],['# Functional hand washing stations during reporting period]]*20&gt;WWWW[[#This Row],[Total HH]],WWWW[[#This Row],[Total HH]],WWWW[[#This Row],['# Functional hand washing stations during reporting period]]*20)</f>
        <v>18</v>
      </c>
      <c r="DS575" s="864">
        <f>IF(WWWW[[#This Row],[Is sufficient soap available for TLS? (Yes/No)]]="yes",WWWW[[#This Row],['#_Constructed/Existing hand washing stations at TLS]],0)</f>
        <v>0</v>
      </c>
      <c r="DT575" s="479">
        <f>IF(WWWW[[#This Row],['# Functional hand washing stations during reporting period]]*100&gt;WWWW[[#This Row],[Total PoP ]],WWWW[[#This Row],[Total PoP ]],WWWW[[#This Row],['# Functional hand washing stations during reporting period]]*100)</f>
        <v>80</v>
      </c>
      <c r="DU575" s="479" t="str">
        <f>IF(OR(WWWW[[#This Row],['#_students at TLS_CFS]]="",WWWW[[#This Row],['#_students at TLS_CFS]]=0),"No","Yes")</f>
        <v>No</v>
      </c>
      <c r="DV57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5" s="862">
        <f>VLOOKUP(WWWW[[#This Row],[Site Name]],SiteDB6[[Site Name]:[CCCM Management]],6,FALSE)</f>
        <v>0</v>
      </c>
      <c r="DZ575" s="862">
        <f>VLOOKUP(WWWW[[#This Row],[Site Name]],SiteDB6[[Site Name]:[CCCM Focal Agency]],7,FALSE)</f>
        <v>0</v>
      </c>
      <c r="EA575" s="862" t="str">
        <f>VLOOKUP(WWWW[[#This Row],[Site Name]],SiteDB6[[Site Name]:[Location Type 1]],9,FALSE)</f>
        <v>Camp</v>
      </c>
      <c r="EB575" s="862" t="str">
        <f>VLOOKUP(WWWW[[#This Row],[Site Name]],SiteDB6[[Site Name]:[Type of Accommodation]],10,FALSE)</f>
        <v>Camp</v>
      </c>
      <c r="EC575" s="862" t="str">
        <f>VLOOKUP(WWWW[[#This Row],[Site Name]],SiteDB6[[Site Name]:[Ethnic or GCA/NGCA]],11,FALSE)</f>
        <v>GCA</v>
      </c>
      <c r="ED575" s="862">
        <f>VLOOKUP(WWWW[[#This Row],[Site Name]],SiteDB6[[Site Name]:[Lat]],12,FALSE)</f>
        <v>0</v>
      </c>
      <c r="EE575" s="862">
        <f>VLOOKUP(WWWW[[#This Row],[Site Name]],SiteDB6[[Site Name]:[Long]],13,FALSE)</f>
        <v>0</v>
      </c>
      <c r="EF575" s="862">
        <f>VLOOKUP(WWWW[[#This Row],[Site Name]],SiteDB6[[Site Name]:[Pcode]],3,FALSE)</f>
        <v>0</v>
      </c>
      <c r="EG575" s="865" t="str">
        <f t="shared" si="17"/>
        <v>Covered</v>
      </c>
      <c r="EH575" s="865">
        <f>VLOOKUP(WWWW[[#This Row],[Site Name]],Site_DB!$C$389:$D$1120,2,FALSE)</f>
        <v>0</v>
      </c>
    </row>
    <row r="576" spans="1:138">
      <c r="A576" s="860" t="s">
        <v>3263</v>
      </c>
      <c r="B576" s="860" t="s">
        <v>144</v>
      </c>
      <c r="C576" s="861" t="s">
        <v>144</v>
      </c>
      <c r="D576" s="861" t="s">
        <v>3277</v>
      </c>
      <c r="E576" s="861" t="s">
        <v>39</v>
      </c>
      <c r="F576" s="861" t="s">
        <v>162</v>
      </c>
      <c r="G576" s="721" t="str">
        <f>VLOOKUP(WWWW[[#This Row],[Site Name]],SiteDB6[[Site Name]:[Location Type]],8,FALSE)</f>
        <v>Camp</v>
      </c>
      <c r="H576" s="861" t="s">
        <v>175</v>
      </c>
      <c r="I576" s="851">
        <v>43</v>
      </c>
      <c r="J576" s="851">
        <v>219</v>
      </c>
      <c r="K576" s="863" t="s">
        <v>3278</v>
      </c>
      <c r="L576" s="859" t="s">
        <v>3279</v>
      </c>
      <c r="M576" s="851"/>
      <c r="N576" s="851"/>
      <c r="O576" s="851"/>
      <c r="P576" s="851"/>
      <c r="Q576" s="864" t="s">
        <v>43</v>
      </c>
      <c r="R576" s="851"/>
      <c r="S576" s="851">
        <v>4</v>
      </c>
      <c r="T576" s="523">
        <v>0</v>
      </c>
      <c r="U576" s="851"/>
      <c r="V576" s="851"/>
      <c r="W576" s="851">
        <v>2</v>
      </c>
      <c r="X576" s="851"/>
      <c r="Y576" s="851"/>
      <c r="Z576" s="851"/>
      <c r="AA576" s="851"/>
      <c r="AB576" s="851"/>
      <c r="AC576" s="851"/>
      <c r="AD576" s="851"/>
      <c r="AE576" s="851"/>
      <c r="AF576" s="851"/>
      <c r="AG576" s="851"/>
      <c r="AH576" s="851">
        <v>3</v>
      </c>
      <c r="AI576" s="851"/>
      <c r="AJ576" s="851"/>
      <c r="AK576" s="851"/>
      <c r="AL576" s="851"/>
      <c r="AM576" s="851"/>
      <c r="AN576" s="851"/>
      <c r="AO576" s="865"/>
      <c r="AP576" s="851">
        <v>13</v>
      </c>
      <c r="AQ576" s="851"/>
      <c r="AR576" s="866"/>
      <c r="AS576" s="851"/>
      <c r="AT576" s="851"/>
      <c r="AU576" s="851"/>
      <c r="AV576" s="851"/>
      <c r="AW576" s="851">
        <v>13</v>
      </c>
      <c r="AX576" s="862" t="s">
        <v>43</v>
      </c>
      <c r="AY576" s="865" t="s">
        <v>140</v>
      </c>
      <c r="AZ576" s="851"/>
      <c r="BA576" s="851"/>
      <c r="BB576" s="851"/>
      <c r="BC576" s="523"/>
      <c r="BD576" s="523"/>
      <c r="BE576" s="862"/>
      <c r="BF576" s="851">
        <v>2</v>
      </c>
      <c r="BG576" s="851"/>
      <c r="BH576" s="851"/>
      <c r="BI576" s="851">
        <v>3</v>
      </c>
      <c r="BJ576" s="851"/>
      <c r="BK576" s="851"/>
      <c r="BL576" s="851">
        <v>1</v>
      </c>
      <c r="BM576" s="851"/>
      <c r="BN576" s="851"/>
      <c r="BO576" s="862"/>
      <c r="BP576" s="867"/>
      <c r="BQ576" s="866"/>
      <c r="BR576" s="862"/>
      <c r="BS576" s="472"/>
      <c r="BT576" s="472"/>
      <c r="BU576" s="474"/>
      <c r="BV576" s="472"/>
      <c r="BW576" s="523"/>
      <c r="BX576" s="523"/>
      <c r="BY576" s="523"/>
      <c r="BZ576" s="868" t="str">
        <f>IFERROR(WWWW[[#This Row],['#_Water sources passed]]/WWWW[[#This Row],['#_Water sources tested for fecal coliform ]],"no test")</f>
        <v>no test</v>
      </c>
      <c r="CA576" s="866" t="str">
        <f>IFERROR(WWWW[[#This Row],['#_Household passed]]/WWWW[[#This Row],['#_Household water samples tested for fecal coliform]],"no test")</f>
        <v>no test</v>
      </c>
      <c r="CB576" s="867" t="str">
        <f>IF(AND(WWWW[[#This Row],[% of water sources passed]]="no test",WWWW[[#This Row],[% Household passed]]="no test"),"No Test","Tested")</f>
        <v>No Test</v>
      </c>
      <c r="CC576" s="867">
        <f>WWWW[[#This Row],['#_Constructed/existing protected hand dug well]]-WWWW[[#This Row],['#_Non-functional protected hand dug well]]</f>
        <v>0</v>
      </c>
      <c r="CD576" s="867">
        <f>(WWWW[[#This Row],['#_Constructed/Existing tube wells/boreholes/handpumps_WASH_agency]]+WWWW[[#This Row],['#_Non-Cluster partner water tube-wells/boreholes/handpumps]])-WWWW[[#This Row],['#_Non-functional tube wells/boreholes/handpumps]]</f>
        <v>2</v>
      </c>
      <c r="CE576" s="867">
        <f>WWWW[[#This Row],['#_Constructed/Existingwater storage tank with gravity fed reticulation system]]-WWWW[[#This Row],['#_Non-functional storage tank gravity fed reticulation system]]</f>
        <v>0</v>
      </c>
      <c r="CF576" s="867">
        <f>(WWWW[[#This Row],['#_Water_Liters_supplied_by_Water boating or water trucking]]/90)/15</f>
        <v>0</v>
      </c>
      <c r="CG576" s="867">
        <f>WWWW[[#This Row],['#_Water_Liters_from_Constructed/Existing water distribution system from river or natural spring]]/90/15</f>
        <v>0</v>
      </c>
      <c r="CH576" s="473">
        <f>WWWW[[#This Row],['#_of water points in TLS/CFS /THF]]*500</f>
        <v>0</v>
      </c>
      <c r="CI57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76" s="866">
        <f>IF(WWWW[[#This Row],[Location Type 1]]="Village",WWWW[[#This Row],[Access to safe drinking water for Village]],WWWW[[#This Row],[Access to safe drinking water for Camp]])</f>
        <v>1</v>
      </c>
      <c r="CL576" s="864">
        <f>WWWW[[#This Row],[%Equitable and continuous access to sufficient quantity of safe drinking water]]*WWWW[[#This Row],[Total PoP ]]</f>
        <v>219</v>
      </c>
      <c r="CM576" s="866">
        <f>IF((WWWW[[#This Row],['#_Constructed/Existing protected/fenced ponds]]*250)/WWWW[[#This Row],[Total PoP ]]&gt;1,1,(WWWW[[#This Row],['#_Constructed/Existing protected/fenced ponds]]*250)/WWWW[[#This Row],[Total PoP ]])</f>
        <v>0</v>
      </c>
      <c r="CN576" s="864">
        <f>WWWW[[#This Row],[% Access to unimproved water points]]*WWWW[[#This Row],[Total PoP ]]</f>
        <v>0</v>
      </c>
      <c r="CO57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Q576" s="864">
        <f>WWWW[[#This Row],[HRP1]]/500</f>
        <v>0.438</v>
      </c>
      <c r="CR576" s="869">
        <f>1-WWWW[[#This Row],[% Equitable and continuous access to sufficient quantity of domestic water]]</f>
        <v>0</v>
      </c>
      <c r="CS576" s="864">
        <f>WWWW[[#This Row],[%equitable and continuous access to sufficient quantity of safe drinking and domestic water''s GAP]]*WWWW[[#This Row],[Total PoP ]]</f>
        <v>0</v>
      </c>
      <c r="CT576" s="867">
        <f>IF(WWWW[[#This Row],[Total required water points]]-WWWW[[#This Row],['#Water points coverage]]&lt;0,0,WWWW[[#This Row],[Total required water points]]-WWWW[[#This Row],['#Water points coverage]])</f>
        <v>0.56200000000000006</v>
      </c>
      <c r="CU576" s="867">
        <f>ROUND(IF(WWWW[[#This Row],[Total PoP ]]&lt;500,1,WWWW[[#This Row],[Total PoP ]]/500),0)</f>
        <v>1</v>
      </c>
      <c r="CV576" s="867">
        <f>(WWWW[[#This Row],['#_Constructed latrines_by_WASHAgencies]]+WWWW[[#This Row],['#_Non Cluster partner latrines]])-WWWW[[#This Row],['#_Non-functional latrines]]</f>
        <v>13</v>
      </c>
      <c r="CW576" s="804">
        <f>WWWW[[#This Row],[HRP2]]/WWWW[[#This Row],[Total PoP ]]</f>
        <v>1</v>
      </c>
      <c r="CX57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CY57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6" s="473">
        <f>IF(WWWW[[#This Row],['# of functional latrines in THF supported by WASH partners during the reporting period2]]="",0,WWWW[[#This Row],['# of functional latrines in THF supported by WASH partners during the reporting period2]]*50)</f>
        <v>0</v>
      </c>
      <c r="DB576" s="473">
        <f>WWWW[[#This Row],['# students access to functioning school latrines_HRP5]]+WWWW[[#This Row],['# People access to functioning latrines in THF_HRP5]]</f>
        <v>0</v>
      </c>
      <c r="DC576" s="867">
        <f>ROUND(IF(WWWW[[#This Row],[Location Type 1]]="camp",WWWW[[#This Row],[Total PoP ]]/20,IF(WWWW[[#This Row],[Location Type 1]]="Temporary Location",WWWW[[#This Row],[Total PoP ]]/50,(WWWW[[#This Row],[Total PoP ]]/6))),0)</f>
        <v>11</v>
      </c>
      <c r="DD576" s="867">
        <f>IF(WWWW[[#This Row],[Total required Latrines]]-(WWWW[[#This Row],['#_Constructed latrines_by_WASHAgencies]]+WWWW[[#This Row],['#_Non Cluster partner latrines]])&lt;0,0,WWWW[[#This Row],[Total required Latrines]]-(WWWW[[#This Row],['#_Constructed latrines_by_WASHAgencies]]+WWWW[[#This Row],['#_Non Cluster partner latrines]]))</f>
        <v>0</v>
      </c>
      <c r="DE576" s="869">
        <f>1-WWWW[[#This Row],[% people access to functioning Latrine]]</f>
        <v>0</v>
      </c>
      <c r="DF576" s="868">
        <f>IF(OR(WWWW[[#This Row],['#_Non-functional latrines]]="",WWWW[[#This Row],['#_Non-functional latrines]]=0),0,WWWW[[#This Row],['#_Non-functional latrines]]/(WWWW[[#This Row],['#_Constructed latrines_by_WASHAgencies]]+WWWW[[#This Row],['#_Non Cluster partner latrines]]))</f>
        <v>0</v>
      </c>
      <c r="DG576" s="864">
        <f>IF(500*(WWWW[[#This Row],['#_male hygiene promoters]]+WWWW[[#This Row],['#_female hygiene promoters]])&gt;WWWW[[#This Row],[Total PoP ]],WWWW[[#This Row],[Total PoP ]],500*(WWWW[[#This Row],['#_male hygiene promoters]]+WWWW[[#This Row],['#_female hygiene promoters]]))</f>
        <v>219</v>
      </c>
      <c r="DH57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6" s="867">
        <f>IF(WWWW[[#This Row],['# People with access to soap]]&gt;WWWW[[#This Row],['# People with access to Sanity Pads]],WWWW[[#This Row],['# People with access to soap]],WWWW[[#This Row],['# People with access to Sanity Pads]])</f>
        <v>0</v>
      </c>
      <c r="DK576" s="867">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L576" s="869">
        <f>IF(WWWW[[#This Row],[HRP3]]/WWWW[[#This Row],[Total PoP ]]&gt;1,1,WWWW[[#This Row],[HRP3]]/WWWW[[#This Row],[Total PoP ]])</f>
        <v>1</v>
      </c>
      <c r="DM576" s="868">
        <f>1-WWWW[[#This Row],[Hygiene Coverage%]]</f>
        <v>0</v>
      </c>
      <c r="DN576" s="866">
        <f>WWWW[[#This Row],['# people reached by regular dedicated hygiene promotion_5]]/WWWW[[#This Row],[Total PoP ]]</f>
        <v>1</v>
      </c>
      <c r="DO57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6" s="867">
        <f>WWWW[[#This Row],['#_Constructed/Existing hand washing stations]]-WWWW[[#This Row],['#_Non-Functional_hand_washing_stations]]</f>
        <v>2</v>
      </c>
      <c r="DR576" s="864">
        <f>IF(WWWW[[#This Row],['# Functional hand washing stations during reporting period]]*20&gt;WWWW[[#This Row],[Total HH]],WWWW[[#This Row],[Total HH]],WWWW[[#This Row],['# Functional hand washing stations during reporting period]]*20)</f>
        <v>40</v>
      </c>
      <c r="DS576" s="864">
        <f>IF(WWWW[[#This Row],[Is sufficient soap available for TLS? (Yes/No)]]="yes",WWWW[[#This Row],['#_Constructed/Existing hand washing stations at TLS]],0)</f>
        <v>0</v>
      </c>
      <c r="DT576" s="479">
        <f>IF(WWWW[[#This Row],['# Functional hand washing stations during reporting period]]*100&gt;WWWW[[#This Row],[Total PoP ]],WWWW[[#This Row],[Total PoP ]],WWWW[[#This Row],['# Functional hand washing stations during reporting period]]*100)</f>
        <v>200</v>
      </c>
      <c r="DU576" s="479" t="str">
        <f>IF(OR(WWWW[[#This Row],['#_students at TLS_CFS]]="",WWWW[[#This Row],['#_students at TLS_CFS]]=0),"No","Yes")</f>
        <v>No</v>
      </c>
      <c r="DV57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6" s="862" t="str">
        <f>VLOOKUP(WWWW[[#This Row],[Site Name]],SiteDB6[[Site Name]:[CCCM Management]],6,FALSE)</f>
        <v>Yes</v>
      </c>
      <c r="DZ576" s="862" t="str">
        <f>VLOOKUP(WWWW[[#This Row],[Site Name]],SiteDB6[[Site Name]:[CCCM Focal Agency]],7,FALSE)</f>
        <v>KBC-MYT</v>
      </c>
      <c r="EA576" s="862" t="str">
        <f>VLOOKUP(WWWW[[#This Row],[Site Name]],SiteDB6[[Site Name]:[Location Type 1]],9,FALSE)</f>
        <v>Camp</v>
      </c>
      <c r="EB576" s="862" t="str">
        <f>VLOOKUP(WWWW[[#This Row],[Site Name]],SiteDB6[[Site Name]:[Type of Accommodation]],10,FALSE)</f>
        <v>Camp</v>
      </c>
      <c r="EC576" s="862" t="str">
        <f>VLOOKUP(WWWW[[#This Row],[Site Name]],SiteDB6[[Site Name]:[Ethnic or GCA/NGCA]],11,FALSE)</f>
        <v>GCA</v>
      </c>
      <c r="ED576" s="862">
        <f>VLOOKUP(WWWW[[#This Row],[Site Name]],SiteDB6[[Site Name]:[Lat]],12,FALSE)</f>
        <v>25.437125999999999</v>
      </c>
      <c r="EE576" s="862">
        <f>VLOOKUP(WWWW[[#This Row],[Site Name]],SiteDB6[[Site Name]:[Long]],13,FALSE)</f>
        <v>97.387276</v>
      </c>
      <c r="EF576" s="862" t="str">
        <f>VLOOKUP(WWWW[[#This Row],[Site Name]],SiteDB6[[Site Name]:[Pcode]],3,FALSE)</f>
        <v>MMR001CMP005</v>
      </c>
      <c r="EG576" s="865" t="str">
        <f t="shared" si="17"/>
        <v>Covered</v>
      </c>
      <c r="EH576" s="865" t="str">
        <f>VLOOKUP(WWWW[[#This Row],[Site Name]],Site_DB!$C$389:$D$1120,2,FALSE)</f>
        <v>cccm_2019OCT</v>
      </c>
    </row>
    <row r="577" spans="1:138">
      <c r="A577" s="860" t="s">
        <v>3263</v>
      </c>
      <c r="B577" s="860" t="s">
        <v>144</v>
      </c>
      <c r="C577" s="861" t="s">
        <v>144</v>
      </c>
      <c r="D577" s="861"/>
      <c r="E577" s="861" t="s">
        <v>39</v>
      </c>
      <c r="F577" s="861" t="s">
        <v>162</v>
      </c>
      <c r="G577" s="721" t="str">
        <f>VLOOKUP(WWWW[[#This Row],[Site Name]],SiteDB6[[Site Name]:[Location Type]],8,FALSE)</f>
        <v>Camp</v>
      </c>
      <c r="H577" s="861" t="s">
        <v>2006</v>
      </c>
      <c r="I577" s="851">
        <v>18</v>
      </c>
      <c r="J577" s="851">
        <v>87</v>
      </c>
      <c r="K577" s="863"/>
      <c r="L577" s="859"/>
      <c r="M577" s="851"/>
      <c r="N577" s="851"/>
      <c r="O577" s="851"/>
      <c r="P577" s="851"/>
      <c r="Q577" s="864" t="s">
        <v>43</v>
      </c>
      <c r="R577" s="851"/>
      <c r="S577" s="851">
        <v>3</v>
      </c>
      <c r="T577" s="523">
        <v>0</v>
      </c>
      <c r="U577" s="851"/>
      <c r="V577" s="851"/>
      <c r="W577" s="851">
        <v>0</v>
      </c>
      <c r="X577" s="851"/>
      <c r="Y577" s="851"/>
      <c r="Z577" s="851"/>
      <c r="AA577" s="851">
        <v>1</v>
      </c>
      <c r="AB577" s="851"/>
      <c r="AC577" s="851"/>
      <c r="AD577" s="851"/>
      <c r="AE577" s="851"/>
      <c r="AF577" s="851"/>
      <c r="AG577" s="851"/>
      <c r="AH577" s="851">
        <v>0</v>
      </c>
      <c r="AI577" s="851"/>
      <c r="AJ577" s="851"/>
      <c r="AK577" s="851"/>
      <c r="AL577" s="851"/>
      <c r="AM577" s="851"/>
      <c r="AN577" s="851"/>
      <c r="AO577" s="865"/>
      <c r="AP577" s="851">
        <v>10</v>
      </c>
      <c r="AQ577" s="851"/>
      <c r="AR577" s="866"/>
      <c r="AS577" s="851"/>
      <c r="AT577" s="851"/>
      <c r="AU577" s="851"/>
      <c r="AV577" s="851"/>
      <c r="AW577" s="851">
        <v>10</v>
      </c>
      <c r="AX577" s="862" t="s">
        <v>43</v>
      </c>
      <c r="AY577" s="865" t="s">
        <v>140</v>
      </c>
      <c r="AZ577" s="851"/>
      <c r="BA577" s="851"/>
      <c r="BB577" s="851"/>
      <c r="BC577" s="523"/>
      <c r="BD577" s="523"/>
      <c r="BE577" s="862"/>
      <c r="BF577" s="851">
        <v>2</v>
      </c>
      <c r="BG577" s="851"/>
      <c r="BH577" s="851"/>
      <c r="BI577" s="851">
        <v>0</v>
      </c>
      <c r="BJ577" s="851"/>
      <c r="BK577" s="851"/>
      <c r="BL577" s="851"/>
      <c r="BM577" s="851"/>
      <c r="BN577" s="851"/>
      <c r="BO577" s="862"/>
      <c r="BP577" s="867"/>
      <c r="BQ577" s="866"/>
      <c r="BR577" s="862"/>
      <c r="BS577" s="472"/>
      <c r="BT577" s="472"/>
      <c r="BU577" s="474"/>
      <c r="BV577" s="472"/>
      <c r="BW577" s="523"/>
      <c r="BX577" s="523"/>
      <c r="BY577" s="523"/>
      <c r="BZ577" s="868" t="str">
        <f>IFERROR(WWWW[[#This Row],['#_Water sources passed]]/WWWW[[#This Row],['#_Water sources tested for fecal coliform ]],"no test")</f>
        <v>no test</v>
      </c>
      <c r="CA577" s="866" t="str">
        <f>IFERROR(WWWW[[#This Row],['#_Household passed]]/WWWW[[#This Row],['#_Household water samples tested for fecal coliform]],"no test")</f>
        <v>no test</v>
      </c>
      <c r="CB577" s="867" t="str">
        <f>IF(AND(WWWW[[#This Row],[% of water sources passed]]="no test",WWWW[[#This Row],[% Household passed]]="no test"),"No Test","Tested")</f>
        <v>No Test</v>
      </c>
      <c r="CC577" s="867">
        <f>WWWW[[#This Row],['#_Constructed/existing protected hand dug well]]-WWWW[[#This Row],['#_Non-functional protected hand dug well]]</f>
        <v>0</v>
      </c>
      <c r="CD577" s="867">
        <f>(WWWW[[#This Row],['#_Constructed/Existing tube wells/boreholes/handpumps_WASH_agency]]+WWWW[[#This Row],['#_Non-Cluster partner water tube-wells/boreholes/handpumps]])-WWWW[[#This Row],['#_Non-functional tube wells/boreholes/handpumps]]</f>
        <v>0</v>
      </c>
      <c r="CE577" s="867">
        <f>WWWW[[#This Row],['#_Constructed/Existingwater storage tank with gravity fed reticulation system]]-WWWW[[#This Row],['#_Non-functional storage tank gravity fed reticulation system]]</f>
        <v>1</v>
      </c>
      <c r="CF577" s="867">
        <f>(WWWW[[#This Row],['#_Water_Liters_supplied_by_Water boating or water trucking]]/90)/15</f>
        <v>0</v>
      </c>
      <c r="CG577" s="867">
        <f>WWWW[[#This Row],['#_Water_Liters_from_Constructed/Existing water distribution system from river or natural spring]]/90/15</f>
        <v>0</v>
      </c>
      <c r="CH577" s="473">
        <f>WWWW[[#This Row],['#_of water points in TLS/CFS /THF]]*500</f>
        <v>0</v>
      </c>
      <c r="CI57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0.76628352490421459</v>
      </c>
      <c r="CJ57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0.76628352490421459</v>
      </c>
      <c r="CK577" s="866">
        <f>IF(WWWW[[#This Row],[Location Type 1]]="Village",WWWW[[#This Row],[Access to safe drinking water for Village]],WWWW[[#This Row],[Access to safe drinking water for Camp]])</f>
        <v>0.76628352490421459</v>
      </c>
      <c r="CL577" s="864">
        <f>WWWW[[#This Row],[%Equitable and continuous access to sufficient quantity of safe drinking water]]*WWWW[[#This Row],[Total PoP ]]</f>
        <v>66.666666666666671</v>
      </c>
      <c r="CM577" s="866">
        <f>IF((WWWW[[#This Row],['#_Constructed/Existing protected/fenced ponds]]*250)/WWWW[[#This Row],[Total PoP ]]&gt;1,1,(WWWW[[#This Row],['#_Constructed/Existing protected/fenced ponds]]*250)/WWWW[[#This Row],[Total PoP ]])</f>
        <v>0</v>
      </c>
      <c r="CN577" s="864">
        <f>WWWW[[#This Row],[% Access to unimproved water points]]*WWWW[[#This Row],[Total PoP ]]</f>
        <v>0</v>
      </c>
      <c r="CO57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P57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Q577" s="864">
        <f>WWWW[[#This Row],[HRP1]]/500</f>
        <v>0.13333333333333333</v>
      </c>
      <c r="CR577" s="869">
        <f>1-WWWW[[#This Row],[% Equitable and continuous access to sufficient quantity of domestic water]]</f>
        <v>0.23371647509578541</v>
      </c>
      <c r="CS577" s="864">
        <f>WWWW[[#This Row],[%equitable and continuous access to sufficient quantity of safe drinking and domestic water''s GAP]]*WWWW[[#This Row],[Total PoP ]]</f>
        <v>20.333333333333332</v>
      </c>
      <c r="CT577" s="867">
        <f>IF(WWWW[[#This Row],[Total required water points]]-WWWW[[#This Row],['#Water points coverage]]&lt;0,0,WWWW[[#This Row],[Total required water points]]-WWWW[[#This Row],['#Water points coverage]])</f>
        <v>0.8666666666666667</v>
      </c>
      <c r="CU577" s="867">
        <f>ROUND(IF(WWWW[[#This Row],[Total PoP ]]&lt;500,1,WWWW[[#This Row],[Total PoP ]]/500),0)</f>
        <v>1</v>
      </c>
      <c r="CV577" s="867">
        <f>(WWWW[[#This Row],['#_Constructed latrines_by_WASHAgencies]]+WWWW[[#This Row],['#_Non Cluster partner latrines]])-WWWW[[#This Row],['#_Non-functional latrines]]</f>
        <v>10</v>
      </c>
      <c r="CW577" s="804">
        <f>WWWW[[#This Row],[HRP2]]/WWWW[[#This Row],[Total PoP ]]</f>
        <v>1</v>
      </c>
      <c r="CX57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87</v>
      </c>
      <c r="CY57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7" s="473">
        <f>IF(WWWW[[#This Row],['# of functional latrines in THF supported by WASH partners during the reporting period2]]="",0,WWWW[[#This Row],['# of functional latrines in THF supported by WASH partners during the reporting period2]]*50)</f>
        <v>0</v>
      </c>
      <c r="DB577" s="473">
        <f>WWWW[[#This Row],['# students access to functioning school latrines_HRP5]]+WWWW[[#This Row],['# People access to functioning latrines in THF_HRP5]]</f>
        <v>0</v>
      </c>
      <c r="DC577" s="867">
        <f>ROUND(IF(WWWW[[#This Row],[Location Type 1]]="camp",WWWW[[#This Row],[Total PoP ]]/20,IF(WWWW[[#This Row],[Location Type 1]]="Temporary Location",WWWW[[#This Row],[Total PoP ]]/50,(WWWW[[#This Row],[Total PoP ]]/6))),0)</f>
        <v>4</v>
      </c>
      <c r="DD577" s="867">
        <f>IF(WWWW[[#This Row],[Total required Latrines]]-(WWWW[[#This Row],['#_Constructed latrines_by_WASHAgencies]]+WWWW[[#This Row],['#_Non Cluster partner latrines]])&lt;0,0,WWWW[[#This Row],[Total required Latrines]]-(WWWW[[#This Row],['#_Constructed latrines_by_WASHAgencies]]+WWWW[[#This Row],['#_Non Cluster partner latrines]]))</f>
        <v>0</v>
      </c>
      <c r="DE577" s="869">
        <f>1-WWWW[[#This Row],[% people access to functioning Latrine]]</f>
        <v>0</v>
      </c>
      <c r="DF577" s="868">
        <f>IF(OR(WWWW[[#This Row],['#_Non-functional latrines]]="",WWWW[[#This Row],['#_Non-functional latrines]]=0),0,WWWW[[#This Row],['#_Non-functional latrines]]/(WWWW[[#This Row],['#_Constructed latrines_by_WASHAgencies]]+WWWW[[#This Row],['#_Non Cluster partner latrines]]))</f>
        <v>0</v>
      </c>
      <c r="DG577" s="864">
        <f>IF(500*(WWWW[[#This Row],['#_male hygiene promoters]]+WWWW[[#This Row],['#_female hygiene promoters]])&gt;WWWW[[#This Row],[Total PoP ]],WWWW[[#This Row],[Total PoP ]],500*(WWWW[[#This Row],['#_male hygiene promoters]]+WWWW[[#This Row],['#_female hygiene promoters]]))</f>
        <v>0</v>
      </c>
      <c r="DH57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7" s="867">
        <f>IF(WWWW[[#This Row],['# People with access to soap]]&gt;WWWW[[#This Row],['# People with access to Sanity Pads]],WWWW[[#This Row],['# People with access to soap]],WWWW[[#This Row],['# People with access to Sanity Pads]])</f>
        <v>0</v>
      </c>
      <c r="DK577"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77" s="869">
        <f>IF(WWWW[[#This Row],[HRP3]]/WWWW[[#This Row],[Total PoP ]]&gt;1,1,WWWW[[#This Row],[HRP3]]/WWWW[[#This Row],[Total PoP ]])</f>
        <v>0</v>
      </c>
      <c r="DM577" s="868">
        <f>1-WWWW[[#This Row],[Hygiene Coverage%]]</f>
        <v>1</v>
      </c>
      <c r="DN577" s="866">
        <f>WWWW[[#This Row],['# people reached by regular dedicated hygiene promotion_5]]/WWWW[[#This Row],[Total PoP ]]</f>
        <v>0</v>
      </c>
      <c r="DO57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7" s="867">
        <f>WWWW[[#This Row],['#_Constructed/Existing hand washing stations]]-WWWW[[#This Row],['#_Non-Functional_hand_washing_stations]]</f>
        <v>2</v>
      </c>
      <c r="DR577" s="864">
        <f>IF(WWWW[[#This Row],['# Functional hand washing stations during reporting period]]*20&gt;WWWW[[#This Row],[Total HH]],WWWW[[#This Row],[Total HH]],WWWW[[#This Row],['# Functional hand washing stations during reporting period]]*20)</f>
        <v>18</v>
      </c>
      <c r="DS577" s="864">
        <f>IF(WWWW[[#This Row],[Is sufficient soap available for TLS? (Yes/No)]]="yes",WWWW[[#This Row],['#_Constructed/Existing hand washing stations at TLS]],0)</f>
        <v>0</v>
      </c>
      <c r="DT577" s="479">
        <f>IF(WWWW[[#This Row],['# Functional hand washing stations during reporting period]]*100&gt;WWWW[[#This Row],[Total PoP ]],WWWW[[#This Row],[Total PoP ]],WWWW[[#This Row],['# Functional hand washing stations during reporting period]]*100)</f>
        <v>87</v>
      </c>
      <c r="DU577" s="479" t="str">
        <f>IF(OR(WWWW[[#This Row],['#_students at TLS_CFS]]="",WWWW[[#This Row],['#_students at TLS_CFS]]=0),"No","Yes")</f>
        <v>No</v>
      </c>
      <c r="DV57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7" s="862">
        <f>VLOOKUP(WWWW[[#This Row],[Site Name]],SiteDB6[[Site Name]:[CCCM Management]],6,FALSE)</f>
        <v>0</v>
      </c>
      <c r="DZ577" s="862" t="str">
        <f>VLOOKUP(WWWW[[#This Row],[Site Name]],SiteDB6[[Site Name]:[CCCM Focal Agency]],7,FALSE)</f>
        <v>uncovered</v>
      </c>
      <c r="EA577" s="862" t="str">
        <f>VLOOKUP(WWWW[[#This Row],[Site Name]],SiteDB6[[Site Name]:[Location Type 1]],9,FALSE)</f>
        <v>Camp</v>
      </c>
      <c r="EB577" s="862" t="str">
        <f>VLOOKUP(WWWW[[#This Row],[Site Name]],SiteDB6[[Site Name]:[Type of Accommodation]],10,FALSE)</f>
        <v>Camp like setting</v>
      </c>
      <c r="EC577" s="862" t="str">
        <f>VLOOKUP(WWWW[[#This Row],[Site Name]],SiteDB6[[Site Name]:[Ethnic or GCA/NGCA]],11,FALSE)</f>
        <v>GCA</v>
      </c>
      <c r="ED577" s="862">
        <f>VLOOKUP(WWWW[[#This Row],[Site Name]],SiteDB6[[Site Name]:[Lat]],12,FALSE)</f>
        <v>0</v>
      </c>
      <c r="EE577" s="862">
        <f>VLOOKUP(WWWW[[#This Row],[Site Name]],SiteDB6[[Site Name]:[Long]],13,FALSE)</f>
        <v>0</v>
      </c>
      <c r="EF577" s="862" t="str">
        <f>VLOOKUP(WWWW[[#This Row],[Site Name]],SiteDB6[[Site Name]:[Pcode]],3,FALSE)</f>
        <v>MMR001CMP267</v>
      </c>
      <c r="EG577" s="865" t="str">
        <f t="shared" si="17"/>
        <v>Covered</v>
      </c>
      <c r="EH577" s="865" t="str">
        <f>VLOOKUP(WWWW[[#This Row],[Site Name]],Site_DB!$C$389:$D$1120,2,FALSE)</f>
        <v>cccm_2019OCT</v>
      </c>
    </row>
    <row r="578" spans="1:138">
      <c r="A578" s="860" t="s">
        <v>3263</v>
      </c>
      <c r="B578" s="860" t="s">
        <v>144</v>
      </c>
      <c r="C578" s="861" t="s">
        <v>144</v>
      </c>
      <c r="D578" s="861" t="s">
        <v>3277</v>
      </c>
      <c r="E578" s="861" t="s">
        <v>39</v>
      </c>
      <c r="F578" s="861" t="s">
        <v>162</v>
      </c>
      <c r="G578" s="721" t="str">
        <f>VLOOKUP(WWWW[[#This Row],[Site Name]],SiteDB6[[Site Name]:[Location Type]],8,FALSE)</f>
        <v>Camp</v>
      </c>
      <c r="H578" s="861" t="s">
        <v>2176</v>
      </c>
      <c r="I578" s="851">
        <v>169</v>
      </c>
      <c r="J578" s="851">
        <v>724</v>
      </c>
      <c r="K578" s="863" t="s">
        <v>3278</v>
      </c>
      <c r="L578" s="859" t="s">
        <v>3279</v>
      </c>
      <c r="M578" s="851"/>
      <c r="N578" s="851"/>
      <c r="O578" s="851"/>
      <c r="P578" s="851"/>
      <c r="Q578" s="864" t="s">
        <v>43</v>
      </c>
      <c r="R578" s="851"/>
      <c r="S578" s="851">
        <v>3</v>
      </c>
      <c r="T578" s="523">
        <v>1</v>
      </c>
      <c r="U578" s="851"/>
      <c r="V578" s="851"/>
      <c r="W578" s="851">
        <v>1</v>
      </c>
      <c r="X578" s="851"/>
      <c r="Y578" s="851"/>
      <c r="Z578" s="851"/>
      <c r="AA578" s="851"/>
      <c r="AB578" s="851"/>
      <c r="AC578" s="851"/>
      <c r="AD578" s="851">
        <v>10200</v>
      </c>
      <c r="AE578" s="851"/>
      <c r="AF578" s="851"/>
      <c r="AG578" s="851"/>
      <c r="AH578" s="851">
        <v>4</v>
      </c>
      <c r="AI578" s="851"/>
      <c r="AJ578" s="851"/>
      <c r="AK578" s="851"/>
      <c r="AL578" s="851"/>
      <c r="AM578" s="851"/>
      <c r="AN578" s="851"/>
      <c r="AO578" s="865"/>
      <c r="AP578" s="851">
        <v>28</v>
      </c>
      <c r="AQ578" s="851"/>
      <c r="AR578" s="866"/>
      <c r="AS578" s="851"/>
      <c r="AT578" s="851"/>
      <c r="AU578" s="851"/>
      <c r="AV578" s="851"/>
      <c r="AW578" s="851">
        <v>10</v>
      </c>
      <c r="AX578" s="862" t="s">
        <v>43</v>
      </c>
      <c r="AY578" s="865" t="s">
        <v>140</v>
      </c>
      <c r="AZ578" s="851"/>
      <c r="BA578" s="851"/>
      <c r="BB578" s="851"/>
      <c r="BC578" s="523"/>
      <c r="BD578" s="523"/>
      <c r="BE578" s="862"/>
      <c r="BF578" s="851">
        <v>2</v>
      </c>
      <c r="BG578" s="851"/>
      <c r="BH578" s="851"/>
      <c r="BI578" s="851">
        <v>0</v>
      </c>
      <c r="BJ578" s="851"/>
      <c r="BK578" s="851"/>
      <c r="BL578" s="851">
        <v>2</v>
      </c>
      <c r="BM578" s="851"/>
      <c r="BN578" s="851"/>
      <c r="BO578" s="862"/>
      <c r="BP578" s="867"/>
      <c r="BQ578" s="866"/>
      <c r="BR578" s="862"/>
      <c r="BS578" s="472"/>
      <c r="BT578" s="472"/>
      <c r="BU578" s="474"/>
      <c r="BV578" s="472"/>
      <c r="BW578" s="523"/>
      <c r="BX578" s="523"/>
      <c r="BY578" s="523"/>
      <c r="BZ578" s="868" t="str">
        <f>IFERROR(WWWW[[#This Row],['#_Water sources passed]]/WWWW[[#This Row],['#_Water sources tested for fecal coliform ]],"no test")</f>
        <v>no test</v>
      </c>
      <c r="CA578" s="866" t="str">
        <f>IFERROR(WWWW[[#This Row],['#_Household passed]]/WWWW[[#This Row],['#_Household water samples tested for fecal coliform]],"no test")</f>
        <v>no test</v>
      </c>
      <c r="CB578" s="867" t="str">
        <f>IF(AND(WWWW[[#This Row],[% of water sources passed]]="no test",WWWW[[#This Row],[% Household passed]]="no test"),"No Test","Tested")</f>
        <v>No Test</v>
      </c>
      <c r="CC578" s="867">
        <f>WWWW[[#This Row],['#_Constructed/existing protected hand dug well]]-WWWW[[#This Row],['#_Non-functional protected hand dug well]]</f>
        <v>1</v>
      </c>
      <c r="CD578" s="867">
        <f>(WWWW[[#This Row],['#_Constructed/Existing tube wells/boreholes/handpumps_WASH_agency]]+WWWW[[#This Row],['#_Non-Cluster partner water tube-wells/boreholes/handpumps]])-WWWW[[#This Row],['#_Non-functional tube wells/boreholes/handpumps]]</f>
        <v>1</v>
      </c>
      <c r="CE578" s="867">
        <f>WWWW[[#This Row],['#_Constructed/Existingwater storage tank with gravity fed reticulation system]]-WWWW[[#This Row],['#_Non-functional storage tank gravity fed reticulation system]]</f>
        <v>0</v>
      </c>
      <c r="CF578" s="867">
        <f>(WWWW[[#This Row],['#_Water_Liters_supplied_by_Water boating or water trucking]]/90)/15</f>
        <v>7.5555555555555554</v>
      </c>
      <c r="CG578" s="867">
        <f>WWWW[[#This Row],['#_Water_Liters_from_Constructed/Existing water distribution system from river or natural spring]]/90/15</f>
        <v>0</v>
      </c>
      <c r="CH578" s="473">
        <f>WWWW[[#This Row],['#_of water points in TLS/CFS /THF]]*500</f>
        <v>0</v>
      </c>
      <c r="CI57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7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0.70104358502148556</v>
      </c>
      <c r="CK578" s="866">
        <f>IF(WWWW[[#This Row],[Location Type 1]]="Village",WWWW[[#This Row],[Access to safe drinking water for Village]],WWWW[[#This Row],[Access to safe drinking water for Camp]])</f>
        <v>1</v>
      </c>
      <c r="CL578" s="864">
        <f>WWWW[[#This Row],[%Equitable and continuous access to sufficient quantity of safe drinking water]]*WWWW[[#This Row],[Total PoP ]]</f>
        <v>724</v>
      </c>
      <c r="CM578" s="866">
        <f>IF((WWWW[[#This Row],['#_Constructed/Existing protected/fenced ponds]]*250)/WWWW[[#This Row],[Total PoP ]]&gt;1,1,(WWWW[[#This Row],['#_Constructed/Existing protected/fenced ponds]]*250)/WWWW[[#This Row],[Total PoP ]])</f>
        <v>0</v>
      </c>
      <c r="CN578" s="864">
        <f>WWWW[[#This Row],[% Access to unimproved water points]]*WWWW[[#This Row],[Total PoP ]]</f>
        <v>0</v>
      </c>
      <c r="CO57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7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Q578" s="864">
        <f>WWWW[[#This Row],[HRP1]]/500</f>
        <v>1.448</v>
      </c>
      <c r="CR578" s="869">
        <f>1-WWWW[[#This Row],[% Equitable and continuous access to sufficient quantity of domestic water]]</f>
        <v>0</v>
      </c>
      <c r="CS578" s="864">
        <f>WWWW[[#This Row],[%equitable and continuous access to sufficient quantity of safe drinking and domestic water''s GAP]]*WWWW[[#This Row],[Total PoP ]]</f>
        <v>0</v>
      </c>
      <c r="CT578" s="867">
        <f>IF(WWWW[[#This Row],[Total required water points]]-WWWW[[#This Row],['#Water points coverage]]&lt;0,0,WWWW[[#This Row],[Total required water points]]-WWWW[[#This Row],['#Water points coverage]])</f>
        <v>0</v>
      </c>
      <c r="CU578" s="867">
        <f>ROUND(IF(WWWW[[#This Row],[Total PoP ]]&lt;500,1,WWWW[[#This Row],[Total PoP ]]/500),0)</f>
        <v>1</v>
      </c>
      <c r="CV578" s="867">
        <f>(WWWW[[#This Row],['#_Constructed latrines_by_WASHAgencies]]+WWWW[[#This Row],['#_Non Cluster partner latrines]])-WWWW[[#This Row],['#_Non-functional latrines]]</f>
        <v>28</v>
      </c>
      <c r="CW578" s="804">
        <f>WWWW[[#This Row],[HRP2]]/WWWW[[#This Row],[Total PoP ]]</f>
        <v>0.77348066298342544</v>
      </c>
      <c r="CX57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CY57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8" s="473">
        <f>IF(WWWW[[#This Row],['# of functional latrines in THF supported by WASH partners during the reporting period2]]="",0,WWWW[[#This Row],['# of functional latrines in THF supported by WASH partners during the reporting period2]]*50)</f>
        <v>0</v>
      </c>
      <c r="DB578" s="473">
        <f>WWWW[[#This Row],['# students access to functioning school latrines_HRP5]]+WWWW[[#This Row],['# People access to functioning latrines in THF_HRP5]]</f>
        <v>0</v>
      </c>
      <c r="DC578" s="867">
        <f>ROUND(IF(WWWW[[#This Row],[Location Type 1]]="camp",WWWW[[#This Row],[Total PoP ]]/20,IF(WWWW[[#This Row],[Location Type 1]]="Temporary Location",WWWW[[#This Row],[Total PoP ]]/50,(WWWW[[#This Row],[Total PoP ]]/6))),0)</f>
        <v>36</v>
      </c>
      <c r="DD578" s="867">
        <f>IF(WWWW[[#This Row],[Total required Latrines]]-(WWWW[[#This Row],['#_Constructed latrines_by_WASHAgencies]]+WWWW[[#This Row],['#_Non Cluster partner latrines]])&lt;0,0,WWWW[[#This Row],[Total required Latrines]]-(WWWW[[#This Row],['#_Constructed latrines_by_WASHAgencies]]+WWWW[[#This Row],['#_Non Cluster partner latrines]]))</f>
        <v>8</v>
      </c>
      <c r="DE578" s="869">
        <f>1-WWWW[[#This Row],[% people access to functioning Latrine]]</f>
        <v>0.22651933701657456</v>
      </c>
      <c r="DF578" s="868">
        <f>IF(OR(WWWW[[#This Row],['#_Non-functional latrines]]="",WWWW[[#This Row],['#_Non-functional latrines]]=0),0,WWWW[[#This Row],['#_Non-functional latrines]]/(WWWW[[#This Row],['#_Constructed latrines_by_WASHAgencies]]+WWWW[[#This Row],['#_Non Cluster partner latrines]]))</f>
        <v>0</v>
      </c>
      <c r="DG578" s="864">
        <f>IF(500*(WWWW[[#This Row],['#_male hygiene promoters]]+WWWW[[#This Row],['#_female hygiene promoters]])&gt;WWWW[[#This Row],[Total PoP ]],WWWW[[#This Row],[Total PoP ]],500*(WWWW[[#This Row],['#_male hygiene promoters]]+WWWW[[#This Row],['#_female hygiene promoters]]))</f>
        <v>724</v>
      </c>
      <c r="DH57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7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8" s="867">
        <f>IF(WWWW[[#This Row],['# People with access to soap]]&gt;WWWW[[#This Row],['# People with access to Sanity Pads]],WWWW[[#This Row],['# People with access to soap]],WWWW[[#This Row],['# People with access to Sanity Pads]])</f>
        <v>0</v>
      </c>
      <c r="DK578" s="867">
        <f>IF(WWWW[[#This Row],['# people reached by regular dedicated hygiene promotion_5]]&gt;WWWW[[#This Row],['# People received regular supply of hygiene items_6]],WWWW[[#This Row],['# people reached by regular dedicated hygiene promotion_5]],WWWW[[#This Row],['# People received regular supply of hygiene items_6]])</f>
        <v>724</v>
      </c>
      <c r="DL578" s="869">
        <f>IF(WWWW[[#This Row],[HRP3]]/WWWW[[#This Row],[Total PoP ]]&gt;1,1,WWWW[[#This Row],[HRP3]]/WWWW[[#This Row],[Total PoP ]])</f>
        <v>1</v>
      </c>
      <c r="DM578" s="868">
        <f>1-WWWW[[#This Row],[Hygiene Coverage%]]</f>
        <v>0</v>
      </c>
      <c r="DN578" s="866">
        <f>WWWW[[#This Row],['# people reached by regular dedicated hygiene promotion_5]]/WWWW[[#This Row],[Total PoP ]]</f>
        <v>1</v>
      </c>
      <c r="DO57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7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8" s="867">
        <f>WWWW[[#This Row],['#_Constructed/Existing hand washing stations]]-WWWW[[#This Row],['#_Non-Functional_hand_washing_stations]]</f>
        <v>2</v>
      </c>
      <c r="DR578" s="864">
        <f>IF(WWWW[[#This Row],['# Functional hand washing stations during reporting period]]*20&gt;WWWW[[#This Row],[Total HH]],WWWW[[#This Row],[Total HH]],WWWW[[#This Row],['# Functional hand washing stations during reporting period]]*20)</f>
        <v>40</v>
      </c>
      <c r="DS578" s="864">
        <f>IF(WWWW[[#This Row],[Is sufficient soap available for TLS? (Yes/No)]]="yes",WWWW[[#This Row],['#_Constructed/Existing hand washing stations at TLS]],0)</f>
        <v>0</v>
      </c>
      <c r="DT578" s="479">
        <f>IF(WWWW[[#This Row],['# Functional hand washing stations during reporting period]]*100&gt;WWWW[[#This Row],[Total PoP ]],WWWW[[#This Row],[Total PoP ]],WWWW[[#This Row],['# Functional hand washing stations during reporting period]]*100)</f>
        <v>200</v>
      </c>
      <c r="DU578" s="479" t="str">
        <f>IF(OR(WWWW[[#This Row],['#_students at TLS_CFS]]="",WWWW[[#This Row],['#_students at TLS_CFS]]=0),"No","Yes")</f>
        <v>No</v>
      </c>
      <c r="DV57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8" s="862" t="str">
        <f>VLOOKUP(WWWW[[#This Row],[Site Name]],SiteDB6[[Site Name]:[CCCM Management]],6,FALSE)</f>
        <v>Yes</v>
      </c>
      <c r="DZ578" s="862" t="str">
        <f>VLOOKUP(WWWW[[#This Row],[Site Name]],SiteDB6[[Site Name]:[CCCM Focal Agency]],7,FALSE)</f>
        <v>KBC-MYT</v>
      </c>
      <c r="EA578" s="862" t="str">
        <f>VLOOKUP(WWWW[[#This Row],[Site Name]],SiteDB6[[Site Name]:[Location Type 1]],9,FALSE)</f>
        <v>Camp</v>
      </c>
      <c r="EB578" s="862" t="str">
        <f>VLOOKUP(WWWW[[#This Row],[Site Name]],SiteDB6[[Site Name]:[Type of Accommodation]],10,FALSE)</f>
        <v>Camp</v>
      </c>
      <c r="EC578" s="862" t="str">
        <f>VLOOKUP(WWWW[[#This Row],[Site Name]],SiteDB6[[Site Name]:[Ethnic or GCA/NGCA]],11,FALSE)</f>
        <v>GCA</v>
      </c>
      <c r="ED578" s="862">
        <f>VLOOKUP(WWWW[[#This Row],[Site Name]],SiteDB6[[Site Name]:[Lat]],12,FALSE)</f>
        <v>25.480989999999998</v>
      </c>
      <c r="EE578" s="862">
        <f>VLOOKUP(WWWW[[#This Row],[Site Name]],SiteDB6[[Site Name]:[Long]],13,FALSE)</f>
        <v>97.431079999999994</v>
      </c>
      <c r="EF578" s="862" t="str">
        <f>VLOOKUP(WWWW[[#This Row],[Site Name]],SiteDB6[[Site Name]:[Pcode]],3,FALSE)</f>
        <v>MMR001CMP263</v>
      </c>
      <c r="EG578" s="865" t="str">
        <f t="shared" si="17"/>
        <v>Covered</v>
      </c>
      <c r="EH578" s="865" t="str">
        <f>VLOOKUP(WWWW[[#This Row],[Site Name]],Site_DB!$C$389:$D$1120,2,FALSE)</f>
        <v>cccm_2019OCT</v>
      </c>
    </row>
    <row r="579" spans="1:138">
      <c r="A579" s="860" t="s">
        <v>3263</v>
      </c>
      <c r="B579" s="860" t="s">
        <v>195</v>
      </c>
      <c r="C579" s="861" t="s">
        <v>195</v>
      </c>
      <c r="D579" s="861" t="s">
        <v>3367</v>
      </c>
      <c r="E579" s="861" t="s">
        <v>39</v>
      </c>
      <c r="F579" s="861" t="s">
        <v>145</v>
      </c>
      <c r="G579" s="721" t="str">
        <f>VLOOKUP(WWWW[[#This Row],[Site Name]],SiteDB6[[Site Name]:[Location Type]],8,FALSE)</f>
        <v>Camp_not registered</v>
      </c>
      <c r="H579" s="861" t="s">
        <v>226</v>
      </c>
      <c r="I579" s="851">
        <v>134</v>
      </c>
      <c r="J579" s="851">
        <v>709</v>
      </c>
      <c r="K579" s="863" t="s">
        <v>3609</v>
      </c>
      <c r="L579" s="859" t="s">
        <v>3610</v>
      </c>
      <c r="M579" s="851"/>
      <c r="N579" s="851"/>
      <c r="O579" s="851"/>
      <c r="P579" s="851"/>
      <c r="Q579" s="864"/>
      <c r="R579" s="851"/>
      <c r="S579" s="851"/>
      <c r="T579" s="523"/>
      <c r="U579" s="851"/>
      <c r="V579" s="851"/>
      <c r="W579" s="851"/>
      <c r="X579" s="851"/>
      <c r="Y579" s="851"/>
      <c r="Z579" s="851"/>
      <c r="AA579" s="851"/>
      <c r="AB579" s="851"/>
      <c r="AC579" s="851"/>
      <c r="AD579" s="851"/>
      <c r="AE579" s="851"/>
      <c r="AF579" s="851"/>
      <c r="AG579" s="851"/>
      <c r="AH579" s="851"/>
      <c r="AI579" s="851"/>
      <c r="AJ579" s="851"/>
      <c r="AK579" s="851"/>
      <c r="AL579" s="851"/>
      <c r="AM579" s="851"/>
      <c r="AN579" s="851"/>
      <c r="AO579" s="865"/>
      <c r="AP579" s="851"/>
      <c r="AQ579" s="851"/>
      <c r="AR579" s="866"/>
      <c r="AS579" s="851"/>
      <c r="AT579" s="851"/>
      <c r="AU579" s="851"/>
      <c r="AV579" s="851"/>
      <c r="AW579" s="851"/>
      <c r="AX579" s="862" t="s">
        <v>43</v>
      </c>
      <c r="AY579" s="865" t="s">
        <v>1195</v>
      </c>
      <c r="AZ579" s="851"/>
      <c r="BA579" s="851"/>
      <c r="BB579" s="851"/>
      <c r="BC579" s="523"/>
      <c r="BD579" s="523"/>
      <c r="BE579" s="862"/>
      <c r="BF579" s="851"/>
      <c r="BG579" s="851"/>
      <c r="BH579" s="851"/>
      <c r="BI579" s="851"/>
      <c r="BJ579" s="851"/>
      <c r="BK579" s="851"/>
      <c r="BL579" s="851"/>
      <c r="BM579" s="851">
        <v>134</v>
      </c>
      <c r="BN579" s="851"/>
      <c r="BO579" s="862"/>
      <c r="BP579" s="867"/>
      <c r="BQ579" s="866"/>
      <c r="BR579" s="806" t="s">
        <v>3645</v>
      </c>
      <c r="BS579" s="472"/>
      <c r="BT579" s="472"/>
      <c r="BU579" s="474"/>
      <c r="BV579" s="472"/>
      <c r="BW579" s="523"/>
      <c r="BX579" s="523"/>
      <c r="BY579" s="523"/>
      <c r="BZ579" s="868" t="str">
        <f>IFERROR(WWWW[[#This Row],['#_Water sources passed]]/WWWW[[#This Row],['#_Water sources tested for fecal coliform ]],"no test")</f>
        <v>no test</v>
      </c>
      <c r="CA579" s="866" t="str">
        <f>IFERROR(WWWW[[#This Row],['#_Household passed]]/WWWW[[#This Row],['#_Household water samples tested for fecal coliform]],"no test")</f>
        <v>no test</v>
      </c>
      <c r="CB579" s="867" t="str">
        <f>IF(AND(WWWW[[#This Row],[% of water sources passed]]="no test",WWWW[[#This Row],[% Household passed]]="no test"),"No Test","Tested")</f>
        <v>No Test</v>
      </c>
      <c r="CC579" s="867">
        <f>WWWW[[#This Row],['#_Constructed/existing protected hand dug well]]-WWWW[[#This Row],['#_Non-functional protected hand dug well]]</f>
        <v>0</v>
      </c>
      <c r="CD579" s="867">
        <f>(WWWW[[#This Row],['#_Constructed/Existing tube wells/boreholes/handpumps_WASH_agency]]+WWWW[[#This Row],['#_Non-Cluster partner water tube-wells/boreholes/handpumps]])-WWWW[[#This Row],['#_Non-functional tube wells/boreholes/handpumps]]</f>
        <v>0</v>
      </c>
      <c r="CE579" s="867">
        <f>WWWW[[#This Row],['#_Constructed/Existingwater storage tank with gravity fed reticulation system]]-WWWW[[#This Row],['#_Non-functional storage tank gravity fed reticulation system]]</f>
        <v>0</v>
      </c>
      <c r="CF579" s="867">
        <f>(WWWW[[#This Row],['#_Water_Liters_supplied_by_Water boating or water trucking]]/90)/15</f>
        <v>0</v>
      </c>
      <c r="CG579" s="867">
        <f>WWWW[[#This Row],['#_Water_Liters_from_Constructed/Existing water distribution system from river or natural spring]]/90/15</f>
        <v>0</v>
      </c>
      <c r="CH579" s="473">
        <f>WWWW[[#This Row],['#_of water points in TLS/CFS /THF]]*500</f>
        <v>0</v>
      </c>
      <c r="CI57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7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79" s="866">
        <f>IF(WWWW[[#This Row],[Location Type 1]]="Village",WWWW[[#This Row],[Access to safe drinking water for Village]],WWWW[[#This Row],[Access to safe drinking water for Camp]])</f>
        <v>0</v>
      </c>
      <c r="CL579" s="864">
        <f>WWWW[[#This Row],[%Equitable and continuous access to sufficient quantity of safe drinking water]]*WWWW[[#This Row],[Total PoP ]]</f>
        <v>0</v>
      </c>
      <c r="CM579" s="866">
        <f>IF((WWWW[[#This Row],['#_Constructed/Existing protected/fenced ponds]]*250)/WWWW[[#This Row],[Total PoP ]]&gt;1,1,(WWWW[[#This Row],['#_Constructed/Existing protected/fenced ponds]]*250)/WWWW[[#This Row],[Total PoP ]])</f>
        <v>0</v>
      </c>
      <c r="CN579" s="864">
        <f>WWWW[[#This Row],[% Access to unimproved water points]]*WWWW[[#This Row],[Total PoP ]]</f>
        <v>0</v>
      </c>
      <c r="CO57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7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79" s="864">
        <f>WWWW[[#This Row],[HRP1]]/500</f>
        <v>0</v>
      </c>
      <c r="CR579" s="869">
        <f>1-WWWW[[#This Row],[% Equitable and continuous access to sufficient quantity of domestic water]]</f>
        <v>1</v>
      </c>
      <c r="CS579" s="864">
        <f>WWWW[[#This Row],[%equitable and continuous access to sufficient quantity of safe drinking and domestic water''s GAP]]*WWWW[[#This Row],[Total PoP ]]</f>
        <v>709</v>
      </c>
      <c r="CT579" s="867">
        <f>IF(WWWW[[#This Row],[Total required water points]]-WWWW[[#This Row],['#Water points coverage]]&lt;0,0,WWWW[[#This Row],[Total required water points]]-WWWW[[#This Row],['#Water points coverage]])</f>
        <v>1</v>
      </c>
      <c r="CU579" s="867">
        <f>ROUND(IF(WWWW[[#This Row],[Total PoP ]]&lt;500,1,WWWW[[#This Row],[Total PoP ]]/500),0)</f>
        <v>1</v>
      </c>
      <c r="CV579" s="867">
        <f>(WWWW[[#This Row],['#_Constructed latrines_by_WASHAgencies]]+WWWW[[#This Row],['#_Non Cluster partner latrines]])-WWWW[[#This Row],['#_Non-functional latrines]]</f>
        <v>0</v>
      </c>
      <c r="CW579" s="804">
        <f>WWWW[[#This Row],[HRP2]]/WWWW[[#This Row],[Total PoP ]]</f>
        <v>0</v>
      </c>
      <c r="CX57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7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7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79" s="473">
        <f>IF(WWWW[[#This Row],['# of functional latrines in THF supported by WASH partners during the reporting period2]]="",0,WWWW[[#This Row],['# of functional latrines in THF supported by WASH partners during the reporting period2]]*50)</f>
        <v>0</v>
      </c>
      <c r="DB579" s="473">
        <f>WWWW[[#This Row],['# students access to functioning school latrines_HRP5]]+WWWW[[#This Row],['# People access to functioning latrines in THF_HRP5]]</f>
        <v>0</v>
      </c>
      <c r="DC579" s="867">
        <f>ROUND(IF(WWWW[[#This Row],[Location Type 1]]="camp",WWWW[[#This Row],[Total PoP ]]/20,IF(WWWW[[#This Row],[Location Type 1]]="Temporary Location",WWWW[[#This Row],[Total PoP ]]/50,(WWWW[[#This Row],[Total PoP ]]/6))),0)</f>
        <v>35</v>
      </c>
      <c r="DD579" s="867">
        <f>IF(WWWW[[#This Row],[Total required Latrines]]-(WWWW[[#This Row],['#_Constructed latrines_by_WASHAgencies]]+WWWW[[#This Row],['#_Non Cluster partner latrines]])&lt;0,0,WWWW[[#This Row],[Total required Latrines]]-(WWWW[[#This Row],['#_Constructed latrines_by_WASHAgencies]]+WWWW[[#This Row],['#_Non Cluster partner latrines]]))</f>
        <v>35</v>
      </c>
      <c r="DE579" s="869">
        <f>1-WWWW[[#This Row],[% people access to functioning Latrine]]</f>
        <v>1</v>
      </c>
      <c r="DF579" s="868">
        <f>IF(OR(WWWW[[#This Row],['#_Non-functional latrines]]="",WWWW[[#This Row],['#_Non-functional latrines]]=0),0,WWWW[[#This Row],['#_Non-functional latrines]]/(WWWW[[#This Row],['#_Constructed latrines_by_WASHAgencies]]+WWWW[[#This Row],['#_Non Cluster partner latrines]]))</f>
        <v>0</v>
      </c>
      <c r="DG579" s="864">
        <f>IF(500*(WWWW[[#This Row],['#_male hygiene promoters]]+WWWW[[#This Row],['#_female hygiene promoters]])&gt;WWWW[[#This Row],[Total PoP ]],WWWW[[#This Row],[Total PoP ]],500*(WWWW[[#This Row],['#_male hygiene promoters]]+WWWW[[#This Row],['#_female hygiene promoters]]))</f>
        <v>0</v>
      </c>
      <c r="DH57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709</v>
      </c>
      <c r="DI57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79" s="867">
        <f>IF(WWWW[[#This Row],['# People with access to soap]]&gt;WWWW[[#This Row],['# People with access to Sanity Pads]],WWWW[[#This Row],['# People with access to soap]],WWWW[[#This Row],['# People with access to Sanity Pads]])</f>
        <v>709</v>
      </c>
      <c r="DK579" s="867">
        <f>IF(WWWW[[#This Row],['# people reached by regular dedicated hygiene promotion_5]]&gt;WWWW[[#This Row],['# People received regular supply of hygiene items_6]],WWWW[[#This Row],['# people reached by regular dedicated hygiene promotion_5]],WWWW[[#This Row],['# People received regular supply of hygiene items_6]])</f>
        <v>709</v>
      </c>
      <c r="DL579" s="869">
        <f>IF(WWWW[[#This Row],[HRP3]]/WWWW[[#This Row],[Total PoP ]]&gt;1,1,WWWW[[#This Row],[HRP3]]/WWWW[[#This Row],[Total PoP ]])</f>
        <v>1</v>
      </c>
      <c r="DM579" s="868">
        <f>1-WWWW[[#This Row],[Hygiene Coverage%]]</f>
        <v>0</v>
      </c>
      <c r="DN579" s="866">
        <f>WWWW[[#This Row],['# people reached by regular dedicated hygiene promotion_5]]/WWWW[[#This Row],[Total PoP ]]</f>
        <v>0</v>
      </c>
      <c r="DO57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7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79" s="867">
        <f>WWWW[[#This Row],['#_Constructed/Existing hand washing stations]]-WWWW[[#This Row],['#_Non-Functional_hand_washing_stations]]</f>
        <v>0</v>
      </c>
      <c r="DR579" s="864">
        <f>IF(WWWW[[#This Row],['# Functional hand washing stations during reporting period]]*20&gt;WWWW[[#This Row],[Total HH]],WWWW[[#This Row],[Total HH]],WWWW[[#This Row],['# Functional hand washing stations during reporting period]]*20)</f>
        <v>0</v>
      </c>
      <c r="DS579" s="864">
        <f>IF(WWWW[[#This Row],[Is sufficient soap available for TLS? (Yes/No)]]="yes",WWWW[[#This Row],['#_Constructed/Existing hand washing stations at TLS]],0)</f>
        <v>0</v>
      </c>
      <c r="DT579" s="479">
        <f>IF(WWWW[[#This Row],['# Functional hand washing stations during reporting period]]*100&gt;WWWW[[#This Row],[Total PoP ]],WWWW[[#This Row],[Total PoP ]],WWWW[[#This Row],['# Functional hand washing stations during reporting period]]*100)</f>
        <v>0</v>
      </c>
      <c r="DU579" s="479" t="str">
        <f>IF(OR(WWWW[[#This Row],['#_students at TLS_CFS]]="",WWWW[[#This Row],['#_students at TLS_CFS]]=0),"No","Yes")</f>
        <v>No</v>
      </c>
      <c r="DV57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7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7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79" s="862">
        <f>VLOOKUP(WWWW[[#This Row],[Site Name]],SiteDB6[[Site Name]:[CCCM Management]],6,FALSE)</f>
        <v>0</v>
      </c>
      <c r="DZ579" s="862">
        <f>VLOOKUP(WWWW[[#This Row],[Site Name]],SiteDB6[[Site Name]:[CCCM Focal Agency]],7,FALSE)</f>
        <v>0</v>
      </c>
      <c r="EA579" s="862" t="str">
        <f>VLOOKUP(WWWW[[#This Row],[Site Name]],SiteDB6[[Site Name]:[Location Type 1]],9,FALSE)</f>
        <v>Camp</v>
      </c>
      <c r="EB579" s="862" t="str">
        <f>VLOOKUP(WWWW[[#This Row],[Site Name]],SiteDB6[[Site Name]:[Type of Accommodation]],10,FALSE)</f>
        <v>CAMP</v>
      </c>
      <c r="EC579" s="862" t="str">
        <f>VLOOKUP(WWWW[[#This Row],[Site Name]],SiteDB6[[Site Name]:[Ethnic or GCA/NGCA]],11,FALSE)</f>
        <v>NGCA</v>
      </c>
      <c r="ED579" s="862">
        <f>VLOOKUP(WWWW[[#This Row],[Site Name]],SiteDB6[[Site Name]:[Lat]],12,FALSE)</f>
        <v>0</v>
      </c>
      <c r="EE579" s="862">
        <f>VLOOKUP(WWWW[[#This Row],[Site Name]],SiteDB6[[Site Name]:[Long]],13,FALSE)</f>
        <v>0</v>
      </c>
      <c r="EF579" s="862">
        <f>VLOOKUP(WWWW[[#This Row],[Site Name]],SiteDB6[[Site Name]:[Pcode]],3,FALSE)</f>
        <v>0</v>
      </c>
      <c r="EG579" s="865" t="str">
        <f t="shared" si="17"/>
        <v>Covered</v>
      </c>
      <c r="EH579" s="865">
        <f>VLOOKUP(WWWW[[#This Row],[Site Name]],Site_DB!$C$389:$D$1120,2,FALSE)</f>
        <v>0</v>
      </c>
    </row>
    <row r="580" spans="1:138">
      <c r="A580" s="860" t="s">
        <v>3263</v>
      </c>
      <c r="B580" s="860" t="s">
        <v>195</v>
      </c>
      <c r="C580" s="861" t="s">
        <v>195</v>
      </c>
      <c r="D580" s="861" t="s">
        <v>3367</v>
      </c>
      <c r="E580" s="861" t="s">
        <v>39</v>
      </c>
      <c r="F580" s="861" t="s">
        <v>145</v>
      </c>
      <c r="G580" s="721" t="str">
        <f>VLOOKUP(WWWW[[#This Row],[Site Name]],SiteDB6[[Site Name]:[Location Type]],8,FALSE)</f>
        <v>Camp_not registered</v>
      </c>
      <c r="H580" s="861" t="s">
        <v>225</v>
      </c>
      <c r="I580" s="851">
        <v>546</v>
      </c>
      <c r="J580" s="851">
        <v>2550</v>
      </c>
      <c r="K580" s="863" t="s">
        <v>3609</v>
      </c>
      <c r="L580" s="859" t="s">
        <v>3610</v>
      </c>
      <c r="M580" s="851"/>
      <c r="N580" s="851"/>
      <c r="O580" s="851"/>
      <c r="P580" s="851"/>
      <c r="Q580" s="864"/>
      <c r="R580" s="851"/>
      <c r="S580" s="851"/>
      <c r="T580" s="523"/>
      <c r="U580" s="851"/>
      <c r="V580" s="851"/>
      <c r="W580" s="851"/>
      <c r="X580" s="851"/>
      <c r="Y580" s="851"/>
      <c r="Z580" s="851"/>
      <c r="AA580" s="851"/>
      <c r="AB580" s="851"/>
      <c r="AC580" s="851"/>
      <c r="AD580" s="851"/>
      <c r="AE580" s="851"/>
      <c r="AF580" s="851"/>
      <c r="AG580" s="851"/>
      <c r="AH580" s="851"/>
      <c r="AI580" s="851"/>
      <c r="AJ580" s="851"/>
      <c r="AK580" s="851"/>
      <c r="AL580" s="851"/>
      <c r="AM580" s="851"/>
      <c r="AN580" s="851"/>
      <c r="AO580" s="865"/>
      <c r="AP580" s="851"/>
      <c r="AQ580" s="851"/>
      <c r="AR580" s="866"/>
      <c r="AS580" s="851"/>
      <c r="AT580" s="851"/>
      <c r="AU580" s="851"/>
      <c r="AV580" s="851"/>
      <c r="AW580" s="851"/>
      <c r="AX580" s="862" t="s">
        <v>139</v>
      </c>
      <c r="AY580" s="865" t="s">
        <v>139</v>
      </c>
      <c r="AZ580" s="851"/>
      <c r="BA580" s="851"/>
      <c r="BB580" s="851"/>
      <c r="BC580" s="523"/>
      <c r="BD580" s="523"/>
      <c r="BE580" s="862"/>
      <c r="BF580" s="851"/>
      <c r="BG580" s="851"/>
      <c r="BH580" s="851"/>
      <c r="BI580" s="851"/>
      <c r="BJ580" s="851"/>
      <c r="BK580" s="851"/>
      <c r="BL580" s="851"/>
      <c r="BM580" s="851">
        <v>546</v>
      </c>
      <c r="BN580" s="851"/>
      <c r="BO580" s="862"/>
      <c r="BP580" s="867"/>
      <c r="BQ580" s="866"/>
      <c r="BR580" s="806" t="s">
        <v>3645</v>
      </c>
      <c r="BS580" s="472"/>
      <c r="BT580" s="472"/>
      <c r="BU580" s="474"/>
      <c r="BV580" s="472"/>
      <c r="BW580" s="523"/>
      <c r="BX580" s="523"/>
      <c r="BY580" s="523"/>
      <c r="BZ580" s="868" t="str">
        <f>IFERROR(WWWW[[#This Row],['#_Water sources passed]]/WWWW[[#This Row],['#_Water sources tested for fecal coliform ]],"no test")</f>
        <v>no test</v>
      </c>
      <c r="CA580" s="866" t="str">
        <f>IFERROR(WWWW[[#This Row],['#_Household passed]]/WWWW[[#This Row],['#_Household water samples tested for fecal coliform]],"no test")</f>
        <v>no test</v>
      </c>
      <c r="CB580" s="867" t="str">
        <f>IF(AND(WWWW[[#This Row],[% of water sources passed]]="no test",WWWW[[#This Row],[% Household passed]]="no test"),"No Test","Tested")</f>
        <v>No Test</v>
      </c>
      <c r="CC580" s="867">
        <f>WWWW[[#This Row],['#_Constructed/existing protected hand dug well]]-WWWW[[#This Row],['#_Non-functional protected hand dug well]]</f>
        <v>0</v>
      </c>
      <c r="CD580" s="867">
        <f>(WWWW[[#This Row],['#_Constructed/Existing tube wells/boreholes/handpumps_WASH_agency]]+WWWW[[#This Row],['#_Non-Cluster partner water tube-wells/boreholes/handpumps]])-WWWW[[#This Row],['#_Non-functional tube wells/boreholes/handpumps]]</f>
        <v>0</v>
      </c>
      <c r="CE580" s="867">
        <f>WWWW[[#This Row],['#_Constructed/Existingwater storage tank with gravity fed reticulation system]]-WWWW[[#This Row],['#_Non-functional storage tank gravity fed reticulation system]]</f>
        <v>0</v>
      </c>
      <c r="CF580" s="867">
        <f>(WWWW[[#This Row],['#_Water_Liters_supplied_by_Water boating or water trucking]]/90)/15</f>
        <v>0</v>
      </c>
      <c r="CG580" s="867">
        <f>WWWW[[#This Row],['#_Water_Liters_from_Constructed/Existing water distribution system from river or natural spring]]/90/15</f>
        <v>0</v>
      </c>
      <c r="CH580" s="473">
        <f>WWWW[[#This Row],['#_of water points in TLS/CFS /THF]]*500</f>
        <v>0</v>
      </c>
      <c r="CI58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8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80" s="866">
        <f>IF(WWWW[[#This Row],[Location Type 1]]="Village",WWWW[[#This Row],[Access to safe drinking water for Village]],WWWW[[#This Row],[Access to safe drinking water for Camp]])</f>
        <v>0</v>
      </c>
      <c r="CL580" s="864">
        <f>WWWW[[#This Row],[%Equitable and continuous access to sufficient quantity of safe drinking water]]*WWWW[[#This Row],[Total PoP ]]</f>
        <v>0</v>
      </c>
      <c r="CM580" s="866">
        <f>IF((WWWW[[#This Row],['#_Constructed/Existing protected/fenced ponds]]*250)/WWWW[[#This Row],[Total PoP ]]&gt;1,1,(WWWW[[#This Row],['#_Constructed/Existing protected/fenced ponds]]*250)/WWWW[[#This Row],[Total PoP ]])</f>
        <v>0</v>
      </c>
      <c r="CN580" s="864">
        <f>WWWW[[#This Row],[% Access to unimproved water points]]*WWWW[[#This Row],[Total PoP ]]</f>
        <v>0</v>
      </c>
      <c r="CO58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8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80" s="864">
        <f>WWWW[[#This Row],[HRP1]]/500</f>
        <v>0</v>
      </c>
      <c r="CR580" s="869">
        <f>1-WWWW[[#This Row],[% Equitable and continuous access to sufficient quantity of domestic water]]</f>
        <v>1</v>
      </c>
      <c r="CS580" s="864">
        <f>WWWW[[#This Row],[%equitable and continuous access to sufficient quantity of safe drinking and domestic water''s GAP]]*WWWW[[#This Row],[Total PoP ]]</f>
        <v>2550</v>
      </c>
      <c r="CT580" s="867">
        <f>IF(WWWW[[#This Row],[Total required water points]]-WWWW[[#This Row],['#Water points coverage]]&lt;0,0,WWWW[[#This Row],[Total required water points]]-WWWW[[#This Row],['#Water points coverage]])</f>
        <v>5</v>
      </c>
      <c r="CU580" s="867">
        <f>ROUND(IF(WWWW[[#This Row],[Total PoP ]]&lt;500,1,WWWW[[#This Row],[Total PoP ]]/500),0)</f>
        <v>5</v>
      </c>
      <c r="CV580" s="867">
        <f>(WWWW[[#This Row],['#_Constructed latrines_by_WASHAgencies]]+WWWW[[#This Row],['#_Non Cluster partner latrines]])-WWWW[[#This Row],['#_Non-functional latrines]]</f>
        <v>0</v>
      </c>
      <c r="CW580" s="804">
        <f>WWWW[[#This Row],[HRP2]]/WWWW[[#This Row],[Total PoP ]]</f>
        <v>0</v>
      </c>
      <c r="CX58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8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0" s="473">
        <f>IF(WWWW[[#This Row],['# of functional latrines in THF supported by WASH partners during the reporting period2]]="",0,WWWW[[#This Row],['# of functional latrines in THF supported by WASH partners during the reporting period2]]*50)</f>
        <v>0</v>
      </c>
      <c r="DB580" s="473">
        <f>WWWW[[#This Row],['# students access to functioning school latrines_HRP5]]+WWWW[[#This Row],['# People access to functioning latrines in THF_HRP5]]</f>
        <v>0</v>
      </c>
      <c r="DC580" s="867">
        <f>ROUND(IF(WWWW[[#This Row],[Location Type 1]]="camp",WWWW[[#This Row],[Total PoP ]]/20,IF(WWWW[[#This Row],[Location Type 1]]="Temporary Location",WWWW[[#This Row],[Total PoP ]]/50,(WWWW[[#This Row],[Total PoP ]]/6))),0)</f>
        <v>128</v>
      </c>
      <c r="DD580" s="867">
        <f>IF(WWWW[[#This Row],[Total required Latrines]]-(WWWW[[#This Row],['#_Constructed latrines_by_WASHAgencies]]+WWWW[[#This Row],['#_Non Cluster partner latrines]])&lt;0,0,WWWW[[#This Row],[Total required Latrines]]-(WWWW[[#This Row],['#_Constructed latrines_by_WASHAgencies]]+WWWW[[#This Row],['#_Non Cluster partner latrines]]))</f>
        <v>128</v>
      </c>
      <c r="DE580" s="869">
        <f>1-WWWW[[#This Row],[% people access to functioning Latrine]]</f>
        <v>1</v>
      </c>
      <c r="DF580" s="868">
        <f>IF(OR(WWWW[[#This Row],['#_Non-functional latrines]]="",WWWW[[#This Row],['#_Non-functional latrines]]=0),0,WWWW[[#This Row],['#_Non-functional latrines]]/(WWWW[[#This Row],['#_Constructed latrines_by_WASHAgencies]]+WWWW[[#This Row],['#_Non Cluster partner latrines]]))</f>
        <v>0</v>
      </c>
      <c r="DG580" s="864">
        <f>IF(500*(WWWW[[#This Row],['#_male hygiene promoters]]+WWWW[[#This Row],['#_female hygiene promoters]])&gt;WWWW[[#This Row],[Total PoP ]],WWWW[[#This Row],[Total PoP ]],500*(WWWW[[#This Row],['#_male hygiene promoters]]+WWWW[[#This Row],['#_female hygiene promoters]]))</f>
        <v>0</v>
      </c>
      <c r="DH58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2550</v>
      </c>
      <c r="DI58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0" s="867">
        <f>IF(WWWW[[#This Row],['# People with access to soap]]&gt;WWWW[[#This Row],['# People with access to Sanity Pads]],WWWW[[#This Row],['# People with access to soap]],WWWW[[#This Row],['# People with access to Sanity Pads]])</f>
        <v>2550</v>
      </c>
      <c r="DK580" s="867">
        <f>IF(WWWW[[#This Row],['# people reached by regular dedicated hygiene promotion_5]]&gt;WWWW[[#This Row],['# People received regular supply of hygiene items_6]],WWWW[[#This Row],['# people reached by regular dedicated hygiene promotion_5]],WWWW[[#This Row],['# People received regular supply of hygiene items_6]])</f>
        <v>2550</v>
      </c>
      <c r="DL580" s="869">
        <f>IF(WWWW[[#This Row],[HRP3]]/WWWW[[#This Row],[Total PoP ]]&gt;1,1,WWWW[[#This Row],[HRP3]]/WWWW[[#This Row],[Total PoP ]])</f>
        <v>1</v>
      </c>
      <c r="DM580" s="868">
        <f>1-WWWW[[#This Row],[Hygiene Coverage%]]</f>
        <v>0</v>
      </c>
      <c r="DN580" s="866">
        <f>WWWW[[#This Row],['# people reached by regular dedicated hygiene promotion_5]]/WWWW[[#This Row],[Total PoP ]]</f>
        <v>0</v>
      </c>
      <c r="DO58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8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0" s="867">
        <f>WWWW[[#This Row],['#_Constructed/Existing hand washing stations]]-WWWW[[#This Row],['#_Non-Functional_hand_washing_stations]]</f>
        <v>0</v>
      </c>
      <c r="DR580" s="864">
        <f>IF(WWWW[[#This Row],['# Functional hand washing stations during reporting period]]*20&gt;WWWW[[#This Row],[Total HH]],WWWW[[#This Row],[Total HH]],WWWW[[#This Row],['# Functional hand washing stations during reporting period]]*20)</f>
        <v>0</v>
      </c>
      <c r="DS580" s="864">
        <f>IF(WWWW[[#This Row],[Is sufficient soap available for TLS? (Yes/No)]]="yes",WWWW[[#This Row],['#_Constructed/Existing hand washing stations at TLS]],0)</f>
        <v>0</v>
      </c>
      <c r="DT580" s="479">
        <f>IF(WWWW[[#This Row],['# Functional hand washing stations during reporting period]]*100&gt;WWWW[[#This Row],[Total PoP ]],WWWW[[#This Row],[Total PoP ]],WWWW[[#This Row],['# Functional hand washing stations during reporting period]]*100)</f>
        <v>0</v>
      </c>
      <c r="DU580" s="479" t="str">
        <f>IF(OR(WWWW[[#This Row],['#_students at TLS_CFS]]="",WWWW[[#This Row],['#_students at TLS_CFS]]=0),"No","Yes")</f>
        <v>No</v>
      </c>
      <c r="DV58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0" s="862">
        <f>VLOOKUP(WWWW[[#This Row],[Site Name]],SiteDB6[[Site Name]:[CCCM Management]],6,FALSE)</f>
        <v>0</v>
      </c>
      <c r="DZ580" s="862">
        <f>VLOOKUP(WWWW[[#This Row],[Site Name]],SiteDB6[[Site Name]:[CCCM Focal Agency]],7,FALSE)</f>
        <v>0</v>
      </c>
      <c r="EA580" s="862" t="str">
        <f>VLOOKUP(WWWW[[#This Row],[Site Name]],SiteDB6[[Site Name]:[Location Type 1]],9,FALSE)</f>
        <v>Camp</v>
      </c>
      <c r="EB580" s="862" t="str">
        <f>VLOOKUP(WWWW[[#This Row],[Site Name]],SiteDB6[[Site Name]:[Type of Accommodation]],10,FALSE)</f>
        <v>Host Families</v>
      </c>
      <c r="EC580" s="862" t="str">
        <f>VLOOKUP(WWWW[[#This Row],[Site Name]],SiteDB6[[Site Name]:[Ethnic or GCA/NGCA]],11,FALSE)</f>
        <v>NGCA</v>
      </c>
      <c r="ED580" s="862">
        <f>VLOOKUP(WWWW[[#This Row],[Site Name]],SiteDB6[[Site Name]:[Lat]],12,FALSE)</f>
        <v>0</v>
      </c>
      <c r="EE580" s="862">
        <f>VLOOKUP(WWWW[[#This Row],[Site Name]],SiteDB6[[Site Name]:[Long]],13,FALSE)</f>
        <v>0</v>
      </c>
      <c r="EF580" s="862">
        <f>VLOOKUP(WWWW[[#This Row],[Site Name]],SiteDB6[[Site Name]:[Pcode]],3,FALSE)</f>
        <v>0</v>
      </c>
      <c r="EG580" s="865" t="str">
        <f t="shared" si="17"/>
        <v>Covered</v>
      </c>
      <c r="EH580" s="865">
        <f>VLOOKUP(WWWW[[#This Row],[Site Name]],Site_DB!$C$389:$D$1120,2,FALSE)</f>
        <v>0</v>
      </c>
    </row>
    <row r="581" spans="1:138">
      <c r="A581" s="860" t="s">
        <v>3263</v>
      </c>
      <c r="B581" s="860" t="s">
        <v>245</v>
      </c>
      <c r="C581" s="861" t="s">
        <v>245</v>
      </c>
      <c r="D581" s="861" t="s">
        <v>310</v>
      </c>
      <c r="E581" s="861" t="s">
        <v>39</v>
      </c>
      <c r="F581" s="861" t="s">
        <v>151</v>
      </c>
      <c r="G581" s="721" t="str">
        <f>VLOOKUP(WWWW[[#This Row],[Site Name]],SiteDB6[[Site Name]:[Location Type]],8,FALSE)</f>
        <v>Camp</v>
      </c>
      <c r="H581" s="861" t="s">
        <v>264</v>
      </c>
      <c r="I581" s="851">
        <v>32</v>
      </c>
      <c r="J581" s="851">
        <v>172</v>
      </c>
      <c r="K581" s="863">
        <v>43313</v>
      </c>
      <c r="L581" s="859">
        <v>44196</v>
      </c>
      <c r="M581" s="851"/>
      <c r="N581" s="851">
        <v>1</v>
      </c>
      <c r="O581" s="851"/>
      <c r="P581" s="851"/>
      <c r="Q581" s="864" t="s">
        <v>43</v>
      </c>
      <c r="R581" s="851">
        <v>4</v>
      </c>
      <c r="S581" s="851">
        <v>1</v>
      </c>
      <c r="T581" s="523">
        <v>0</v>
      </c>
      <c r="U581" s="851"/>
      <c r="V581" s="851"/>
      <c r="W581" s="851">
        <v>0</v>
      </c>
      <c r="X581" s="851">
        <v>0</v>
      </c>
      <c r="Y581" s="851"/>
      <c r="Z581" s="851"/>
      <c r="AA581" s="851">
        <v>1</v>
      </c>
      <c r="AB581" s="851"/>
      <c r="AC581" s="851"/>
      <c r="AD581" s="851">
        <v>0</v>
      </c>
      <c r="AE581" s="851">
        <v>1</v>
      </c>
      <c r="AF581" s="851"/>
      <c r="AG581" s="851">
        <v>0</v>
      </c>
      <c r="AH581" s="851">
        <v>1</v>
      </c>
      <c r="AI581" s="851"/>
      <c r="AJ581" s="851"/>
      <c r="AK581" s="851"/>
      <c r="AL581" s="851"/>
      <c r="AM581" s="851">
        <v>0</v>
      </c>
      <c r="AN581" s="851">
        <v>0</v>
      </c>
      <c r="AO581" s="865"/>
      <c r="AP581" s="851">
        <v>11</v>
      </c>
      <c r="AQ581" s="851">
        <v>1</v>
      </c>
      <c r="AR581" s="866" t="s">
        <v>245</v>
      </c>
      <c r="AS581" s="851"/>
      <c r="AT581" s="851"/>
      <c r="AU581" s="851"/>
      <c r="AV581" s="851"/>
      <c r="AW581" s="851">
        <v>0</v>
      </c>
      <c r="AX581" s="862" t="s">
        <v>43</v>
      </c>
      <c r="AY581" s="865" t="s">
        <v>139</v>
      </c>
      <c r="AZ581" s="851">
        <v>0</v>
      </c>
      <c r="BA581" s="851">
        <v>0</v>
      </c>
      <c r="BB581" s="851">
        <v>0</v>
      </c>
      <c r="BC581" s="523"/>
      <c r="BD581" s="523"/>
      <c r="BE581" s="862"/>
      <c r="BF581" s="851">
        <v>2</v>
      </c>
      <c r="BG581" s="851"/>
      <c r="BH581" s="851"/>
      <c r="BI581" s="851">
        <v>3</v>
      </c>
      <c r="BJ581" s="851"/>
      <c r="BK581" s="851">
        <v>1</v>
      </c>
      <c r="BL581" s="851">
        <v>0</v>
      </c>
      <c r="BM581" s="851"/>
      <c r="BN581" s="851"/>
      <c r="BO581" s="862"/>
      <c r="BP581" s="867"/>
      <c r="BQ581" s="866"/>
      <c r="BR581" s="862"/>
      <c r="BS581" s="472"/>
      <c r="BT581" s="472"/>
      <c r="BU581" s="474"/>
      <c r="BV581" s="472"/>
      <c r="BW581" s="523"/>
      <c r="BX581" s="523"/>
      <c r="BY581" s="523"/>
      <c r="BZ581" s="868" t="str">
        <f>IFERROR(WWWW[[#This Row],['#_Water sources passed]]/WWWW[[#This Row],['#_Water sources tested for fecal coliform ]],"no test")</f>
        <v>no test</v>
      </c>
      <c r="CA581" s="866" t="str">
        <f>IFERROR(WWWW[[#This Row],['#_Household passed]]/WWWW[[#This Row],['#_Household water samples tested for fecal coliform]],"no test")</f>
        <v>no test</v>
      </c>
      <c r="CB581" s="867" t="str">
        <f>IF(AND(WWWW[[#This Row],[% of water sources passed]]="no test",WWWW[[#This Row],[% Household passed]]="no test"),"No Test","Tested")</f>
        <v>No Test</v>
      </c>
      <c r="CC581" s="867">
        <f>WWWW[[#This Row],['#_Constructed/existing protected hand dug well]]-WWWW[[#This Row],['#_Non-functional protected hand dug well]]</f>
        <v>0</v>
      </c>
      <c r="CD581" s="867">
        <f>(WWWW[[#This Row],['#_Constructed/Existing tube wells/boreholes/handpumps_WASH_agency]]+WWWW[[#This Row],['#_Non-Cluster partner water tube-wells/boreholes/handpumps]])-WWWW[[#This Row],['#_Non-functional tube wells/boreholes/handpumps]]</f>
        <v>0</v>
      </c>
      <c r="CE581" s="867">
        <f>WWWW[[#This Row],['#_Constructed/Existingwater storage tank with gravity fed reticulation system]]-WWWW[[#This Row],['#_Non-functional storage tank gravity fed reticulation system]]</f>
        <v>1</v>
      </c>
      <c r="CF581" s="867">
        <f>(WWWW[[#This Row],['#_Water_Liters_supplied_by_Water boating or water trucking]]/90)/15</f>
        <v>0</v>
      </c>
      <c r="CG581" s="867">
        <f>WWWW[[#This Row],['#_Water_Liters_from_Constructed/Existing water distribution system from river or natural spring]]/90/15</f>
        <v>0</v>
      </c>
      <c r="CH581" s="473">
        <f>WWWW[[#This Row],['#_of water points in TLS/CFS /THF]]*500</f>
        <v>0</v>
      </c>
      <c r="CI58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0.38759689922480622</v>
      </c>
      <c r="CJ58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0.38759689922480622</v>
      </c>
      <c r="CK581" s="866">
        <f>IF(WWWW[[#This Row],[Location Type 1]]="Village",WWWW[[#This Row],[Access to safe drinking water for Village]],WWWW[[#This Row],[Access to safe drinking water for Camp]])</f>
        <v>0.38759689922480622</v>
      </c>
      <c r="CL581" s="864">
        <f>WWWW[[#This Row],[%Equitable and continuous access to sufficient quantity of safe drinking water]]*WWWW[[#This Row],[Total PoP ]]</f>
        <v>66.666666666666671</v>
      </c>
      <c r="CM581" s="866">
        <f>IF((WWWW[[#This Row],['#_Constructed/Existing protected/fenced ponds]]*250)/WWWW[[#This Row],[Total PoP ]]&gt;1,1,(WWWW[[#This Row],['#_Constructed/Existing protected/fenced ponds]]*250)/WWWW[[#This Row],[Total PoP ]])</f>
        <v>1</v>
      </c>
      <c r="CN581" s="864">
        <f>WWWW[[#This Row],[% Access to unimproved water points]]*WWWW[[#This Row],[Total PoP ]]</f>
        <v>172</v>
      </c>
      <c r="CO58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Q581" s="864">
        <f>WWWW[[#This Row],[HRP1]]/500</f>
        <v>0.34399999999999997</v>
      </c>
      <c r="CR581" s="869">
        <f>1-WWWW[[#This Row],[% Equitable and continuous access to sufficient quantity of domestic water]]</f>
        <v>0</v>
      </c>
      <c r="CS581" s="864">
        <f>WWWW[[#This Row],[%equitable and continuous access to sufficient quantity of safe drinking and domestic water''s GAP]]*WWWW[[#This Row],[Total PoP ]]</f>
        <v>0</v>
      </c>
      <c r="CT581" s="867">
        <f>IF(WWWW[[#This Row],[Total required water points]]-WWWW[[#This Row],['#Water points coverage]]&lt;0,0,WWWW[[#This Row],[Total required water points]]-WWWW[[#This Row],['#Water points coverage]])</f>
        <v>0.65600000000000003</v>
      </c>
      <c r="CU581" s="867">
        <f>ROUND(IF(WWWW[[#This Row],[Total PoP ]]&lt;500,1,WWWW[[#This Row],[Total PoP ]]/500),0)</f>
        <v>1</v>
      </c>
      <c r="CV581" s="867">
        <f>(WWWW[[#This Row],['#_Constructed latrines_by_WASHAgencies]]+WWWW[[#This Row],['#_Non Cluster partner latrines]])-WWWW[[#This Row],['#_Non-functional latrines]]</f>
        <v>12</v>
      </c>
      <c r="CW581" s="804">
        <f>WWWW[[#This Row],[HRP2]]/WWWW[[#This Row],[Total PoP ]]</f>
        <v>1</v>
      </c>
      <c r="CX58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172</v>
      </c>
      <c r="CY58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1" s="473">
        <f>IF(WWWW[[#This Row],['# of functional latrines in THF supported by WASH partners during the reporting period2]]="",0,WWWW[[#This Row],['# of functional latrines in THF supported by WASH partners during the reporting period2]]*50)</f>
        <v>0</v>
      </c>
      <c r="DB581" s="473">
        <f>WWWW[[#This Row],['# students access to functioning school latrines_HRP5]]+WWWW[[#This Row],['# People access to functioning latrines in THF_HRP5]]</f>
        <v>0</v>
      </c>
      <c r="DC581" s="867">
        <f>ROUND(IF(WWWW[[#This Row],[Location Type 1]]="camp",WWWW[[#This Row],[Total PoP ]]/20,IF(WWWW[[#This Row],[Location Type 1]]="Temporary Location",WWWW[[#This Row],[Total PoP ]]/50,(WWWW[[#This Row],[Total PoP ]]/6))),0)</f>
        <v>9</v>
      </c>
      <c r="DD581" s="867">
        <f>IF(WWWW[[#This Row],[Total required Latrines]]-(WWWW[[#This Row],['#_Constructed latrines_by_WASHAgencies]]+WWWW[[#This Row],['#_Non Cluster partner latrines]])&lt;0,0,WWWW[[#This Row],[Total required Latrines]]-(WWWW[[#This Row],['#_Constructed latrines_by_WASHAgencies]]+WWWW[[#This Row],['#_Non Cluster partner latrines]]))</f>
        <v>0</v>
      </c>
      <c r="DE581" s="869">
        <f>1-WWWW[[#This Row],[% people access to functioning Latrine]]</f>
        <v>0</v>
      </c>
      <c r="DF581" s="868">
        <f>IF(OR(WWWW[[#This Row],['#_Non-functional latrines]]="",WWWW[[#This Row],['#_Non-functional latrines]]=0),0,WWWW[[#This Row],['#_Non-functional latrines]]/(WWWW[[#This Row],['#_Constructed latrines_by_WASHAgencies]]+WWWW[[#This Row],['#_Non Cluster partner latrines]]))</f>
        <v>0</v>
      </c>
      <c r="DG581" s="864">
        <f>IF(500*(WWWW[[#This Row],['#_male hygiene promoters]]+WWWW[[#This Row],['#_female hygiene promoters]])&gt;WWWW[[#This Row],[Total PoP ]],WWWW[[#This Row],[Total PoP ]],500*(WWWW[[#This Row],['#_male hygiene promoters]]+WWWW[[#This Row],['#_female hygiene promoters]]))</f>
        <v>172</v>
      </c>
      <c r="DH58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1" s="867">
        <f>IF(WWWW[[#This Row],['# People with access to soap]]&gt;WWWW[[#This Row],['# People with access to Sanity Pads]],WWWW[[#This Row],['# People with access to soap]],WWWW[[#This Row],['# People with access to Sanity Pads]])</f>
        <v>0</v>
      </c>
      <c r="DK581" s="867">
        <f>IF(WWWW[[#This Row],['# people reached by regular dedicated hygiene promotion_5]]&gt;WWWW[[#This Row],['# People received regular supply of hygiene items_6]],WWWW[[#This Row],['# people reached by regular dedicated hygiene promotion_5]],WWWW[[#This Row],['# People received regular supply of hygiene items_6]])</f>
        <v>172</v>
      </c>
      <c r="DL581" s="869">
        <f>IF(WWWW[[#This Row],[HRP3]]/WWWW[[#This Row],[Total PoP ]]&gt;1,1,WWWW[[#This Row],[HRP3]]/WWWW[[#This Row],[Total PoP ]])</f>
        <v>1</v>
      </c>
      <c r="DM581" s="868">
        <f>1-WWWW[[#This Row],[Hygiene Coverage%]]</f>
        <v>0</v>
      </c>
      <c r="DN581" s="866">
        <f>WWWW[[#This Row],['# people reached by regular dedicated hygiene promotion_5]]/WWWW[[#This Row],[Total PoP ]]</f>
        <v>1</v>
      </c>
      <c r="DO58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1" s="867">
        <f>WWWW[[#This Row],['#_Constructed/Existing hand washing stations]]-WWWW[[#This Row],['#_Non-Functional_hand_washing_stations]]</f>
        <v>2</v>
      </c>
      <c r="DR581" s="864">
        <f>IF(WWWW[[#This Row],['# Functional hand washing stations during reporting period]]*20&gt;WWWW[[#This Row],[Total HH]],WWWW[[#This Row],[Total HH]],WWWW[[#This Row],['# Functional hand washing stations during reporting period]]*20)</f>
        <v>32</v>
      </c>
      <c r="DS581" s="864">
        <f>IF(WWWW[[#This Row],[Is sufficient soap available for TLS? (Yes/No)]]="yes",WWWW[[#This Row],['#_Constructed/Existing hand washing stations at TLS]],0)</f>
        <v>0</v>
      </c>
      <c r="DT581" s="479">
        <f>IF(WWWW[[#This Row],['# Functional hand washing stations during reporting period]]*100&gt;WWWW[[#This Row],[Total PoP ]],WWWW[[#This Row],[Total PoP ]],WWWW[[#This Row],['# Functional hand washing stations during reporting period]]*100)</f>
        <v>172</v>
      </c>
      <c r="DU581" s="479" t="str">
        <f>IF(OR(WWWW[[#This Row],['#_students at TLS_CFS]]="",WWWW[[#This Row],['#_students at TLS_CFS]]=0),"No","Yes")</f>
        <v>No</v>
      </c>
      <c r="DV58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1" s="862" t="str">
        <f>VLOOKUP(WWWW[[#This Row],[Site Name]],SiteDB6[[Site Name]:[CCCM Management]],6,FALSE)</f>
        <v>Yes</v>
      </c>
      <c r="DZ581" s="862" t="str">
        <f>VLOOKUP(WWWW[[#This Row],[Site Name]],SiteDB6[[Site Name]:[CCCM Focal Agency]],7,FALSE)</f>
        <v>KBC-MYT</v>
      </c>
      <c r="EA581" s="862" t="str">
        <f>VLOOKUP(WWWW[[#This Row],[Site Name]],SiteDB6[[Site Name]:[Location Type 1]],9,FALSE)</f>
        <v>Camp</v>
      </c>
      <c r="EB581" s="862" t="str">
        <f>VLOOKUP(WWWW[[#This Row],[Site Name]],SiteDB6[[Site Name]:[Type of Accommodation]],10,FALSE)</f>
        <v>Camp</v>
      </c>
      <c r="EC581" s="862" t="str">
        <f>VLOOKUP(WWWW[[#This Row],[Site Name]],SiteDB6[[Site Name]:[Ethnic or GCA/NGCA]],11,FALSE)</f>
        <v>GCA</v>
      </c>
      <c r="ED581" s="862">
        <f>VLOOKUP(WWWW[[#This Row],[Site Name]],SiteDB6[[Site Name]:[Lat]],12,FALSE)</f>
        <v>25.577559999999998</v>
      </c>
      <c r="EE581" s="862">
        <f>VLOOKUP(WWWW[[#This Row],[Site Name]],SiteDB6[[Site Name]:[Long]],13,FALSE)</f>
        <v>96.286680000000004</v>
      </c>
      <c r="EF581" s="862" t="str">
        <f>VLOOKUP(WWWW[[#This Row],[Site Name]],SiteDB6[[Site Name]:[Pcode]],3,FALSE)</f>
        <v>MMR001CMP184</v>
      </c>
      <c r="EG581" s="865" t="str">
        <f t="shared" si="17"/>
        <v>Covered</v>
      </c>
      <c r="EH581" s="865" t="str">
        <f>VLOOKUP(WWWW[[#This Row],[Site Name]],Site_DB!$C$389:$D$1120,2,FALSE)</f>
        <v>cccm_2019OCT</v>
      </c>
    </row>
    <row r="582" spans="1:138">
      <c r="A582" s="860" t="s">
        <v>3263</v>
      </c>
      <c r="B582" s="860" t="s">
        <v>245</v>
      </c>
      <c r="C582" s="861" t="s">
        <v>245</v>
      </c>
      <c r="D582" s="861" t="s">
        <v>310</v>
      </c>
      <c r="E582" s="861" t="s">
        <v>39</v>
      </c>
      <c r="F582" s="861" t="s">
        <v>151</v>
      </c>
      <c r="G582" s="721" t="str">
        <f>VLOOKUP(WWWW[[#This Row],[Site Name]],SiteDB6[[Site Name]:[Location Type]],8,FALSE)</f>
        <v>Camp</v>
      </c>
      <c r="H582" s="861" t="s">
        <v>265</v>
      </c>
      <c r="I582" s="851">
        <v>15</v>
      </c>
      <c r="J582" s="851">
        <v>67</v>
      </c>
      <c r="K582" s="863">
        <v>43313</v>
      </c>
      <c r="L582" s="859">
        <v>44196</v>
      </c>
      <c r="M582" s="851"/>
      <c r="N582" s="851">
        <v>1</v>
      </c>
      <c r="O582" s="851"/>
      <c r="P582" s="851"/>
      <c r="Q582" s="864" t="s">
        <v>43</v>
      </c>
      <c r="R582" s="851">
        <v>2</v>
      </c>
      <c r="S582" s="851">
        <v>2</v>
      </c>
      <c r="T582" s="523">
        <v>0</v>
      </c>
      <c r="U582" s="851"/>
      <c r="V582" s="851"/>
      <c r="W582" s="851">
        <v>0</v>
      </c>
      <c r="X582" s="851">
        <v>0</v>
      </c>
      <c r="Y582" s="851"/>
      <c r="Z582" s="851"/>
      <c r="AA582" s="851">
        <v>0</v>
      </c>
      <c r="AB582" s="851"/>
      <c r="AC582" s="851"/>
      <c r="AD582" s="851">
        <v>0</v>
      </c>
      <c r="AE582" s="851">
        <v>0</v>
      </c>
      <c r="AF582" s="851">
        <v>0</v>
      </c>
      <c r="AG582" s="851">
        <v>0</v>
      </c>
      <c r="AH582" s="851">
        <v>0</v>
      </c>
      <c r="AI582" s="851"/>
      <c r="AJ582" s="851"/>
      <c r="AK582" s="851"/>
      <c r="AL582" s="851"/>
      <c r="AM582" s="851">
        <v>0</v>
      </c>
      <c r="AN582" s="851">
        <v>0</v>
      </c>
      <c r="AO582" s="865"/>
      <c r="AP582" s="851">
        <v>4</v>
      </c>
      <c r="AQ582" s="851">
        <v>1</v>
      </c>
      <c r="AR582" s="866" t="s">
        <v>2916</v>
      </c>
      <c r="AS582" s="851"/>
      <c r="AT582" s="851"/>
      <c r="AU582" s="851"/>
      <c r="AV582" s="851"/>
      <c r="AW582" s="851">
        <v>0</v>
      </c>
      <c r="AX582" s="862" t="s">
        <v>43</v>
      </c>
      <c r="AY582" s="865" t="s">
        <v>139</v>
      </c>
      <c r="AZ582" s="851">
        <v>0</v>
      </c>
      <c r="BA582" s="851">
        <v>0</v>
      </c>
      <c r="BB582" s="851">
        <v>0</v>
      </c>
      <c r="BC582" s="523"/>
      <c r="BD582" s="523"/>
      <c r="BE582" s="862"/>
      <c r="BF582" s="851">
        <v>0</v>
      </c>
      <c r="BG582" s="851"/>
      <c r="BH582" s="851">
        <v>0</v>
      </c>
      <c r="BI582" s="851">
        <v>2</v>
      </c>
      <c r="BJ582" s="851"/>
      <c r="BK582" s="851">
        <v>2</v>
      </c>
      <c r="BL582" s="851">
        <v>0</v>
      </c>
      <c r="BM582" s="851"/>
      <c r="BN582" s="851"/>
      <c r="BO582" s="862"/>
      <c r="BP582" s="867"/>
      <c r="BQ582" s="866"/>
      <c r="BR582" s="862"/>
      <c r="BS582" s="472"/>
      <c r="BT582" s="472"/>
      <c r="BU582" s="474"/>
      <c r="BV582" s="472"/>
      <c r="BW582" s="523"/>
      <c r="BX582" s="523"/>
      <c r="BY582" s="523"/>
      <c r="BZ582" s="868" t="str">
        <f>IFERROR(WWWW[[#This Row],['#_Water sources passed]]/WWWW[[#This Row],['#_Water sources tested for fecal coliform ]],"no test")</f>
        <v>no test</v>
      </c>
      <c r="CA582" s="866" t="str">
        <f>IFERROR(WWWW[[#This Row],['#_Household passed]]/WWWW[[#This Row],['#_Household water samples tested for fecal coliform]],"no test")</f>
        <v>no test</v>
      </c>
      <c r="CB582" s="867" t="str">
        <f>IF(AND(WWWW[[#This Row],[% of water sources passed]]="no test",WWWW[[#This Row],[% Household passed]]="no test"),"No Test","Tested")</f>
        <v>No Test</v>
      </c>
      <c r="CC582" s="867">
        <f>WWWW[[#This Row],['#_Constructed/existing protected hand dug well]]-WWWW[[#This Row],['#_Non-functional protected hand dug well]]</f>
        <v>0</v>
      </c>
      <c r="CD582" s="867">
        <f>(WWWW[[#This Row],['#_Constructed/Existing tube wells/boreholes/handpumps_WASH_agency]]+WWWW[[#This Row],['#_Non-Cluster partner water tube-wells/boreholes/handpumps]])-WWWW[[#This Row],['#_Non-functional tube wells/boreholes/handpumps]]</f>
        <v>0</v>
      </c>
      <c r="CE582" s="867">
        <f>WWWW[[#This Row],['#_Constructed/Existingwater storage tank with gravity fed reticulation system]]-WWWW[[#This Row],['#_Non-functional storage tank gravity fed reticulation system]]</f>
        <v>0</v>
      </c>
      <c r="CF582" s="867">
        <f>(WWWW[[#This Row],['#_Water_Liters_supplied_by_Water boating or water trucking]]/90)/15</f>
        <v>0</v>
      </c>
      <c r="CG582" s="867">
        <f>WWWW[[#This Row],['#_Water_Liters_from_Constructed/Existing water distribution system from river or natural spring]]/90/15</f>
        <v>0</v>
      </c>
      <c r="CH582" s="473">
        <f>WWWW[[#This Row],['#_of water points in TLS/CFS /THF]]*500</f>
        <v>0</v>
      </c>
      <c r="CI58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8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82" s="866">
        <f>IF(WWWW[[#This Row],[Location Type 1]]="Village",WWWW[[#This Row],[Access to safe drinking water for Village]],WWWW[[#This Row],[Access to safe drinking water for Camp]])</f>
        <v>0</v>
      </c>
      <c r="CL582" s="864">
        <f>WWWW[[#This Row],[%Equitable and continuous access to sufficient quantity of safe drinking water]]*WWWW[[#This Row],[Total PoP ]]</f>
        <v>0</v>
      </c>
      <c r="CM582" s="866">
        <f>IF((WWWW[[#This Row],['#_Constructed/Existing protected/fenced ponds]]*250)/WWWW[[#This Row],[Total PoP ]]&gt;1,1,(WWWW[[#This Row],['#_Constructed/Existing protected/fenced ponds]]*250)/WWWW[[#This Row],[Total PoP ]])</f>
        <v>0</v>
      </c>
      <c r="CN582" s="864">
        <f>WWWW[[#This Row],[% Access to unimproved water points]]*WWWW[[#This Row],[Total PoP ]]</f>
        <v>0</v>
      </c>
      <c r="CO58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8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82" s="864">
        <f>WWWW[[#This Row],[HRP1]]/500</f>
        <v>0</v>
      </c>
      <c r="CR582" s="869">
        <f>1-WWWW[[#This Row],[% Equitable and continuous access to sufficient quantity of domestic water]]</f>
        <v>1</v>
      </c>
      <c r="CS582" s="864">
        <f>WWWW[[#This Row],[%equitable and continuous access to sufficient quantity of safe drinking and domestic water''s GAP]]*WWWW[[#This Row],[Total PoP ]]</f>
        <v>67</v>
      </c>
      <c r="CT582" s="867">
        <f>IF(WWWW[[#This Row],[Total required water points]]-WWWW[[#This Row],['#Water points coverage]]&lt;0,0,WWWW[[#This Row],[Total required water points]]-WWWW[[#This Row],['#Water points coverage]])</f>
        <v>1</v>
      </c>
      <c r="CU582" s="867">
        <f>ROUND(IF(WWWW[[#This Row],[Total PoP ]]&lt;500,1,WWWW[[#This Row],[Total PoP ]]/500),0)</f>
        <v>1</v>
      </c>
      <c r="CV582" s="867">
        <f>(WWWW[[#This Row],['#_Constructed latrines_by_WASHAgencies]]+WWWW[[#This Row],['#_Non Cluster partner latrines]])-WWWW[[#This Row],['#_Non-functional latrines]]</f>
        <v>5</v>
      </c>
      <c r="CW582" s="804">
        <f>WWWW[[#This Row],[HRP2]]/WWWW[[#This Row],[Total PoP ]]</f>
        <v>1</v>
      </c>
      <c r="CX58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67</v>
      </c>
      <c r="CY58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2" s="473">
        <f>IF(WWWW[[#This Row],['# of functional latrines in THF supported by WASH partners during the reporting period2]]="",0,WWWW[[#This Row],['# of functional latrines in THF supported by WASH partners during the reporting period2]]*50)</f>
        <v>0</v>
      </c>
      <c r="DB582" s="473">
        <f>WWWW[[#This Row],['# students access to functioning school latrines_HRP5]]+WWWW[[#This Row],['# People access to functioning latrines in THF_HRP5]]</f>
        <v>0</v>
      </c>
      <c r="DC582" s="867">
        <f>ROUND(IF(WWWW[[#This Row],[Location Type 1]]="camp",WWWW[[#This Row],[Total PoP ]]/20,IF(WWWW[[#This Row],[Location Type 1]]="Temporary Location",WWWW[[#This Row],[Total PoP ]]/50,(WWWW[[#This Row],[Total PoP ]]/6))),0)</f>
        <v>3</v>
      </c>
      <c r="DD582" s="867">
        <f>IF(WWWW[[#This Row],[Total required Latrines]]-(WWWW[[#This Row],['#_Constructed latrines_by_WASHAgencies]]+WWWW[[#This Row],['#_Non Cluster partner latrines]])&lt;0,0,WWWW[[#This Row],[Total required Latrines]]-(WWWW[[#This Row],['#_Constructed latrines_by_WASHAgencies]]+WWWW[[#This Row],['#_Non Cluster partner latrines]]))</f>
        <v>0</v>
      </c>
      <c r="DE582" s="869">
        <f>1-WWWW[[#This Row],[% people access to functioning Latrine]]</f>
        <v>0</v>
      </c>
      <c r="DF582" s="868">
        <f>IF(OR(WWWW[[#This Row],['#_Non-functional latrines]]="",WWWW[[#This Row],['#_Non-functional latrines]]=0),0,WWWW[[#This Row],['#_Non-functional latrines]]/(WWWW[[#This Row],['#_Constructed latrines_by_WASHAgencies]]+WWWW[[#This Row],['#_Non Cluster partner latrines]]))</f>
        <v>0</v>
      </c>
      <c r="DG582" s="864">
        <f>IF(500*(WWWW[[#This Row],['#_male hygiene promoters]]+WWWW[[#This Row],['#_female hygiene promoters]])&gt;WWWW[[#This Row],[Total PoP ]],WWWW[[#This Row],[Total PoP ]],500*(WWWW[[#This Row],['#_male hygiene promoters]]+WWWW[[#This Row],['#_female hygiene promoters]]))</f>
        <v>67</v>
      </c>
      <c r="DH58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2" s="867">
        <f>IF(WWWW[[#This Row],['# People with access to soap]]&gt;WWWW[[#This Row],['# People with access to Sanity Pads]],WWWW[[#This Row],['# People with access to soap]],WWWW[[#This Row],['# People with access to Sanity Pads]])</f>
        <v>0</v>
      </c>
      <c r="DK582" s="867">
        <f>IF(WWWW[[#This Row],['# people reached by regular dedicated hygiene promotion_5]]&gt;WWWW[[#This Row],['# People received regular supply of hygiene items_6]],WWWW[[#This Row],['# people reached by regular dedicated hygiene promotion_5]],WWWW[[#This Row],['# People received regular supply of hygiene items_6]])</f>
        <v>67</v>
      </c>
      <c r="DL582" s="869">
        <f>IF(WWWW[[#This Row],[HRP3]]/WWWW[[#This Row],[Total PoP ]]&gt;1,1,WWWW[[#This Row],[HRP3]]/WWWW[[#This Row],[Total PoP ]])</f>
        <v>1</v>
      </c>
      <c r="DM582" s="868">
        <f>1-WWWW[[#This Row],[Hygiene Coverage%]]</f>
        <v>0</v>
      </c>
      <c r="DN582" s="866">
        <f>WWWW[[#This Row],['# people reached by regular dedicated hygiene promotion_5]]/WWWW[[#This Row],[Total PoP ]]</f>
        <v>1</v>
      </c>
      <c r="DO58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2" s="867">
        <f>WWWW[[#This Row],['#_Constructed/Existing hand washing stations]]-WWWW[[#This Row],['#_Non-Functional_hand_washing_stations]]</f>
        <v>0</v>
      </c>
      <c r="DR582" s="864">
        <f>IF(WWWW[[#This Row],['# Functional hand washing stations during reporting period]]*20&gt;WWWW[[#This Row],[Total HH]],WWWW[[#This Row],[Total HH]],WWWW[[#This Row],['# Functional hand washing stations during reporting period]]*20)</f>
        <v>0</v>
      </c>
      <c r="DS582" s="864">
        <f>IF(WWWW[[#This Row],[Is sufficient soap available for TLS? (Yes/No)]]="yes",WWWW[[#This Row],['#_Constructed/Existing hand washing stations at TLS]],0)</f>
        <v>0</v>
      </c>
      <c r="DT582" s="479">
        <f>IF(WWWW[[#This Row],['# Functional hand washing stations during reporting period]]*100&gt;WWWW[[#This Row],[Total PoP ]],WWWW[[#This Row],[Total PoP ]],WWWW[[#This Row],['# Functional hand washing stations during reporting period]]*100)</f>
        <v>0</v>
      </c>
      <c r="DU582" s="479" t="str">
        <f>IF(OR(WWWW[[#This Row],['#_students at TLS_CFS]]="",WWWW[[#This Row],['#_students at TLS_CFS]]=0),"No","Yes")</f>
        <v>No</v>
      </c>
      <c r="DV58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2" s="862" t="str">
        <f>VLOOKUP(WWWW[[#This Row],[Site Name]],SiteDB6[[Site Name]:[CCCM Management]],6,FALSE)</f>
        <v>Yes</v>
      </c>
      <c r="DZ582" s="862" t="str">
        <f>VLOOKUP(WWWW[[#This Row],[Site Name]],SiteDB6[[Site Name]:[CCCM Focal Agency]],7,FALSE)</f>
        <v>KBC-MYT</v>
      </c>
      <c r="EA582" s="862" t="str">
        <f>VLOOKUP(WWWW[[#This Row],[Site Name]],SiteDB6[[Site Name]:[Location Type 1]],9,FALSE)</f>
        <v>Camp</v>
      </c>
      <c r="EB582" s="862" t="str">
        <f>VLOOKUP(WWWW[[#This Row],[Site Name]],SiteDB6[[Site Name]:[Type of Accommodation]],10,FALSE)</f>
        <v>Camp</v>
      </c>
      <c r="EC582" s="862" t="str">
        <f>VLOOKUP(WWWW[[#This Row],[Site Name]],SiteDB6[[Site Name]:[Ethnic or GCA/NGCA]],11,FALSE)</f>
        <v>GCA</v>
      </c>
      <c r="ED582" s="862">
        <f>VLOOKUP(WWWW[[#This Row],[Site Name]],SiteDB6[[Site Name]:[Lat]],12,FALSE)</f>
        <v>25.599250000000001</v>
      </c>
      <c r="EE582" s="862">
        <f>VLOOKUP(WWWW[[#This Row],[Site Name]],SiteDB6[[Site Name]:[Long]],13,FALSE)</f>
        <v>96.306910999999999</v>
      </c>
      <c r="EF582" s="862" t="str">
        <f>VLOOKUP(WWWW[[#This Row],[Site Name]],SiteDB6[[Site Name]:[Pcode]],3,FALSE)</f>
        <v>MMR001CMP105</v>
      </c>
      <c r="EG582" s="865" t="str">
        <f t="shared" si="17"/>
        <v>Covered</v>
      </c>
      <c r="EH582" s="865" t="str">
        <f>VLOOKUP(WWWW[[#This Row],[Site Name]],Site_DB!$C$389:$D$1120,2,FALSE)</f>
        <v>cccm_2019OCT</v>
      </c>
    </row>
    <row r="583" spans="1:138">
      <c r="A583" s="860" t="s">
        <v>3263</v>
      </c>
      <c r="B583" s="860" t="s">
        <v>279</v>
      </c>
      <c r="C583" s="861" t="s">
        <v>279</v>
      </c>
      <c r="D583" s="861" t="s">
        <v>3370</v>
      </c>
      <c r="E583" s="861" t="s">
        <v>39</v>
      </c>
      <c r="F583" s="861" t="s">
        <v>198</v>
      </c>
      <c r="G583" s="721" t="str">
        <f>VLOOKUP(WWWW[[#This Row],[Site Name]],SiteDB6[[Site Name]:[Location Type]],8,FALSE)</f>
        <v>Camp_not registered</v>
      </c>
      <c r="H583" s="861" t="s">
        <v>3089</v>
      </c>
      <c r="I583" s="851">
        <v>26.2</v>
      </c>
      <c r="J583" s="851">
        <v>131</v>
      </c>
      <c r="K583" s="863">
        <v>43833</v>
      </c>
      <c r="L583" s="859">
        <v>44377</v>
      </c>
      <c r="M583" s="851"/>
      <c r="N583" s="851"/>
      <c r="O583" s="851"/>
      <c r="P583" s="851"/>
      <c r="Q583" s="864" t="s">
        <v>43</v>
      </c>
      <c r="R583" s="851">
        <v>0</v>
      </c>
      <c r="S583" s="851">
        <v>0</v>
      </c>
      <c r="T583" s="523">
        <v>0</v>
      </c>
      <c r="U583" s="851"/>
      <c r="V583" s="851"/>
      <c r="W583" s="851">
        <v>0</v>
      </c>
      <c r="X583" s="851">
        <v>0</v>
      </c>
      <c r="Y583" s="851"/>
      <c r="Z583" s="851"/>
      <c r="AA583" s="851"/>
      <c r="AB583" s="851"/>
      <c r="AC583" s="851"/>
      <c r="AD583" s="851">
        <v>0</v>
      </c>
      <c r="AE583" s="851">
        <v>0</v>
      </c>
      <c r="AF583" s="851">
        <v>0</v>
      </c>
      <c r="AG583" s="851"/>
      <c r="AH583" s="851">
        <v>0</v>
      </c>
      <c r="AI583" s="851"/>
      <c r="AJ583" s="851"/>
      <c r="AK583" s="851"/>
      <c r="AL583" s="851"/>
      <c r="AM583" s="851">
        <v>0</v>
      </c>
      <c r="AN583" s="851">
        <v>0</v>
      </c>
      <c r="AO583" s="865"/>
      <c r="AP583" s="851">
        <v>0</v>
      </c>
      <c r="AQ583" s="851">
        <v>0</v>
      </c>
      <c r="AR583" s="866"/>
      <c r="AS583" s="851"/>
      <c r="AT583" s="851"/>
      <c r="AU583" s="851"/>
      <c r="AV583" s="851"/>
      <c r="AW583" s="851">
        <v>0</v>
      </c>
      <c r="AX583" s="862" t="s">
        <v>43</v>
      </c>
      <c r="AY583" s="865" t="s">
        <v>140</v>
      </c>
      <c r="AZ583" s="851">
        <v>0</v>
      </c>
      <c r="BA583" s="851">
        <v>0</v>
      </c>
      <c r="BB583" s="851"/>
      <c r="BC583" s="523"/>
      <c r="BD583" s="523">
        <v>0</v>
      </c>
      <c r="BE583" s="806" t="s">
        <v>3371</v>
      </c>
      <c r="BF583" s="851">
        <v>2</v>
      </c>
      <c r="BG583" s="851"/>
      <c r="BH583" s="851">
        <v>0</v>
      </c>
      <c r="BI583" s="851"/>
      <c r="BJ583" s="851"/>
      <c r="BK583" s="851">
        <v>0</v>
      </c>
      <c r="BL583" s="851"/>
      <c r="BM583" s="851"/>
      <c r="BN583" s="851"/>
      <c r="BO583" s="862"/>
      <c r="BP583" s="867"/>
      <c r="BQ583" s="866"/>
      <c r="BR583" s="862"/>
      <c r="BS583" s="472"/>
      <c r="BT583" s="472"/>
      <c r="BU583" s="474"/>
      <c r="BV583" s="472"/>
      <c r="BW583" s="523"/>
      <c r="BX583" s="523"/>
      <c r="BY583" s="523"/>
      <c r="BZ583" s="868" t="str">
        <f>IFERROR(WWWW[[#This Row],['#_Water sources passed]]/WWWW[[#This Row],['#_Water sources tested for fecal coliform ]],"no test")</f>
        <v>no test</v>
      </c>
      <c r="CA583" s="866" t="str">
        <f>IFERROR(WWWW[[#This Row],['#_Household passed]]/WWWW[[#This Row],['#_Household water samples tested for fecal coliform]],"no test")</f>
        <v>no test</v>
      </c>
      <c r="CB583" s="867" t="str">
        <f>IF(AND(WWWW[[#This Row],[% of water sources passed]]="no test",WWWW[[#This Row],[% Household passed]]="no test"),"No Test","Tested")</f>
        <v>No Test</v>
      </c>
      <c r="CC583" s="867">
        <f>WWWW[[#This Row],['#_Constructed/existing protected hand dug well]]-WWWW[[#This Row],['#_Non-functional protected hand dug well]]</f>
        <v>0</v>
      </c>
      <c r="CD583" s="867">
        <f>(WWWW[[#This Row],['#_Constructed/Existing tube wells/boreholes/handpumps_WASH_agency]]+WWWW[[#This Row],['#_Non-Cluster partner water tube-wells/boreholes/handpumps]])-WWWW[[#This Row],['#_Non-functional tube wells/boreholes/handpumps]]</f>
        <v>0</v>
      </c>
      <c r="CE583" s="867">
        <f>WWWW[[#This Row],['#_Constructed/Existingwater storage tank with gravity fed reticulation system]]-WWWW[[#This Row],['#_Non-functional storage tank gravity fed reticulation system]]</f>
        <v>0</v>
      </c>
      <c r="CF583" s="867">
        <f>(WWWW[[#This Row],['#_Water_Liters_supplied_by_Water boating or water trucking]]/90)/15</f>
        <v>0</v>
      </c>
      <c r="CG583" s="867">
        <f>WWWW[[#This Row],['#_Water_Liters_from_Constructed/Existing water distribution system from river or natural spring]]/90/15</f>
        <v>0</v>
      </c>
      <c r="CH583" s="473">
        <f>WWWW[[#This Row],['#_of water points in TLS/CFS /THF]]*500</f>
        <v>0</v>
      </c>
      <c r="CI58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8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83" s="866">
        <f>IF(WWWW[[#This Row],[Location Type 1]]="Village",WWWW[[#This Row],[Access to safe drinking water for Village]],WWWW[[#This Row],[Access to safe drinking water for Camp]])</f>
        <v>0</v>
      </c>
      <c r="CL583" s="864">
        <f>WWWW[[#This Row],[%Equitable and continuous access to sufficient quantity of safe drinking water]]*WWWW[[#This Row],[Total PoP ]]</f>
        <v>0</v>
      </c>
      <c r="CM583" s="866">
        <f>IF((WWWW[[#This Row],['#_Constructed/Existing protected/fenced ponds]]*250)/WWWW[[#This Row],[Total PoP ]]&gt;1,1,(WWWW[[#This Row],['#_Constructed/Existing protected/fenced ponds]]*250)/WWWW[[#This Row],[Total PoP ]])</f>
        <v>0</v>
      </c>
      <c r="CN583" s="864">
        <f>WWWW[[#This Row],[% Access to unimproved water points]]*WWWW[[#This Row],[Total PoP ]]</f>
        <v>0</v>
      </c>
      <c r="CO58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P58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Q583" s="864">
        <f>WWWW[[#This Row],[HRP1]]/500</f>
        <v>0</v>
      </c>
      <c r="CR583" s="869">
        <f>1-WWWW[[#This Row],[% Equitable and continuous access to sufficient quantity of domestic water]]</f>
        <v>1</v>
      </c>
      <c r="CS583" s="864">
        <f>WWWW[[#This Row],[%equitable and continuous access to sufficient quantity of safe drinking and domestic water''s GAP]]*WWWW[[#This Row],[Total PoP ]]</f>
        <v>131</v>
      </c>
      <c r="CT583" s="867">
        <f>IF(WWWW[[#This Row],[Total required water points]]-WWWW[[#This Row],['#Water points coverage]]&lt;0,0,WWWW[[#This Row],[Total required water points]]-WWWW[[#This Row],['#Water points coverage]])</f>
        <v>1</v>
      </c>
      <c r="CU583" s="867">
        <f>ROUND(IF(WWWW[[#This Row],[Total PoP ]]&lt;500,1,WWWW[[#This Row],[Total PoP ]]/500),0)</f>
        <v>1</v>
      </c>
      <c r="CV583" s="867">
        <f>(WWWW[[#This Row],['#_Constructed latrines_by_WASHAgencies]]+WWWW[[#This Row],['#_Non Cluster partner latrines]])-WWWW[[#This Row],['#_Non-functional latrines]]</f>
        <v>0</v>
      </c>
      <c r="CW583" s="804">
        <f>WWWW[[#This Row],[HRP2]]/WWWW[[#This Row],[Total PoP ]]</f>
        <v>0</v>
      </c>
      <c r="CX58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8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3" s="473">
        <f>IF(WWWW[[#This Row],['# of functional latrines in THF supported by WASH partners during the reporting period2]]="",0,WWWW[[#This Row],['# of functional latrines in THF supported by WASH partners during the reporting period2]]*50)</f>
        <v>0</v>
      </c>
      <c r="DB583" s="473">
        <f>WWWW[[#This Row],['# students access to functioning school latrines_HRP5]]+WWWW[[#This Row],['# People access to functioning latrines in THF_HRP5]]</f>
        <v>0</v>
      </c>
      <c r="DC583" s="867">
        <f>ROUND(IF(WWWW[[#This Row],[Location Type 1]]="camp",WWWW[[#This Row],[Total PoP ]]/20,IF(WWWW[[#This Row],[Location Type 1]]="Temporary Location",WWWW[[#This Row],[Total PoP ]]/50,(WWWW[[#This Row],[Total PoP ]]/6))),0)</f>
        <v>7</v>
      </c>
      <c r="DD583" s="867">
        <f>IF(WWWW[[#This Row],[Total required Latrines]]-(WWWW[[#This Row],['#_Constructed latrines_by_WASHAgencies]]+WWWW[[#This Row],['#_Non Cluster partner latrines]])&lt;0,0,WWWW[[#This Row],[Total required Latrines]]-(WWWW[[#This Row],['#_Constructed latrines_by_WASHAgencies]]+WWWW[[#This Row],['#_Non Cluster partner latrines]]))</f>
        <v>7</v>
      </c>
      <c r="DE583" s="869">
        <f>1-WWWW[[#This Row],[% people access to functioning Latrine]]</f>
        <v>1</v>
      </c>
      <c r="DF583" s="868">
        <f>IF(OR(WWWW[[#This Row],['#_Non-functional latrines]]="",WWWW[[#This Row],['#_Non-functional latrines]]=0),0,WWWW[[#This Row],['#_Non-functional latrines]]/(WWWW[[#This Row],['#_Constructed latrines_by_WASHAgencies]]+WWWW[[#This Row],['#_Non Cluster partner latrines]]))</f>
        <v>0</v>
      </c>
      <c r="DG583" s="864">
        <f>IF(500*(WWWW[[#This Row],['#_male hygiene promoters]]+WWWW[[#This Row],['#_female hygiene promoters]])&gt;WWWW[[#This Row],[Total PoP ]],WWWW[[#This Row],[Total PoP ]],500*(WWWW[[#This Row],['#_male hygiene promoters]]+WWWW[[#This Row],['#_female hygiene promoters]]))</f>
        <v>0</v>
      </c>
      <c r="DH58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3" s="867">
        <f>IF(WWWW[[#This Row],['# People with access to soap]]&gt;WWWW[[#This Row],['# People with access to Sanity Pads]],WWWW[[#This Row],['# People with access to soap]],WWWW[[#This Row],['# People with access to Sanity Pads]])</f>
        <v>0</v>
      </c>
      <c r="DK583"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83" s="869">
        <f>IF(WWWW[[#This Row],[HRP3]]/WWWW[[#This Row],[Total PoP ]]&gt;1,1,WWWW[[#This Row],[HRP3]]/WWWW[[#This Row],[Total PoP ]])</f>
        <v>0</v>
      </c>
      <c r="DM583" s="868">
        <f>1-WWWW[[#This Row],[Hygiene Coverage%]]</f>
        <v>1</v>
      </c>
      <c r="DN583" s="866">
        <f>WWWW[[#This Row],['# people reached by regular dedicated hygiene promotion_5]]/WWWW[[#This Row],[Total PoP ]]</f>
        <v>0</v>
      </c>
      <c r="DO58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3" s="867">
        <f>WWWW[[#This Row],['#_Constructed/Existing hand washing stations]]-WWWW[[#This Row],['#_Non-Functional_hand_washing_stations]]</f>
        <v>2</v>
      </c>
      <c r="DR583" s="864">
        <f>IF(WWWW[[#This Row],['# Functional hand washing stations during reporting period]]*20&gt;WWWW[[#This Row],[Total HH]],WWWW[[#This Row],[Total HH]],WWWW[[#This Row],['# Functional hand washing stations during reporting period]]*20)</f>
        <v>26.2</v>
      </c>
      <c r="DS583" s="864">
        <f>IF(WWWW[[#This Row],[Is sufficient soap available for TLS? (Yes/No)]]="yes",WWWW[[#This Row],['#_Constructed/Existing hand washing stations at TLS]],0)</f>
        <v>0</v>
      </c>
      <c r="DT583" s="479">
        <f>IF(WWWW[[#This Row],['# Functional hand washing stations during reporting period]]*100&gt;WWWW[[#This Row],[Total PoP ]],WWWW[[#This Row],[Total PoP ]],WWWW[[#This Row],['# Functional hand washing stations during reporting period]]*100)</f>
        <v>131</v>
      </c>
      <c r="DU583" s="479" t="str">
        <f>IF(OR(WWWW[[#This Row],['#_students at TLS_CFS]]="",WWWW[[#This Row],['#_students at TLS_CFS]]=0),"No","Yes")</f>
        <v>No</v>
      </c>
      <c r="DV58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3" s="862">
        <f>VLOOKUP(WWWW[[#This Row],[Site Name]],SiteDB6[[Site Name]:[CCCM Management]],6,FALSE)</f>
        <v>0</v>
      </c>
      <c r="DZ583" s="862">
        <f>VLOOKUP(WWWW[[#This Row],[Site Name]],SiteDB6[[Site Name]:[CCCM Focal Agency]],7,FALSE)</f>
        <v>0</v>
      </c>
      <c r="EA583" s="862" t="str">
        <f>VLOOKUP(WWWW[[#This Row],[Site Name]],SiteDB6[[Site Name]:[Location Type 1]],9,FALSE)</f>
        <v>Camp</v>
      </c>
      <c r="EB583" s="862" t="str">
        <f>VLOOKUP(WWWW[[#This Row],[Site Name]],SiteDB6[[Site Name]:[Type of Accommodation]],10,FALSE)</f>
        <v>School</v>
      </c>
      <c r="EC583" s="862" t="str">
        <f>VLOOKUP(WWWW[[#This Row],[Site Name]],SiteDB6[[Site Name]:[Ethnic or GCA/NGCA]],11,FALSE)</f>
        <v>GCA</v>
      </c>
      <c r="ED583" s="862">
        <f>VLOOKUP(WWWW[[#This Row],[Site Name]],SiteDB6[[Site Name]:[Lat]],12,FALSE)</f>
        <v>0</v>
      </c>
      <c r="EE583" s="862">
        <f>VLOOKUP(WWWW[[#This Row],[Site Name]],SiteDB6[[Site Name]:[Long]],13,FALSE)</f>
        <v>0</v>
      </c>
      <c r="EF583" s="862">
        <f>VLOOKUP(WWWW[[#This Row],[Site Name]],SiteDB6[[Site Name]:[Pcode]],3,FALSE)</f>
        <v>0</v>
      </c>
      <c r="EG583" s="865" t="str">
        <f t="shared" si="17"/>
        <v>Covered</v>
      </c>
      <c r="EH583" s="865" t="e">
        <f>VLOOKUP(WWWW[[#This Row],[Site Name]],Site_DB!$C$389:$D$1120,2,FALSE)</f>
        <v>#N/A</v>
      </c>
    </row>
    <row r="584" spans="1:138">
      <c r="A584" s="860" t="s">
        <v>3263</v>
      </c>
      <c r="B584" s="860" t="s">
        <v>279</v>
      </c>
      <c r="C584" s="861" t="s">
        <v>279</v>
      </c>
      <c r="D584" s="861" t="s">
        <v>3370</v>
      </c>
      <c r="E584" s="861" t="s">
        <v>39</v>
      </c>
      <c r="F584" s="861" t="s">
        <v>198</v>
      </c>
      <c r="G584" s="721" t="str">
        <f>VLOOKUP(WWWW[[#This Row],[Site Name]],SiteDB6[[Site Name]:[Location Type]],8,FALSE)</f>
        <v>Camp_not registered</v>
      </c>
      <c r="H584" s="861" t="s">
        <v>1095</v>
      </c>
      <c r="I584" s="851">
        <v>28</v>
      </c>
      <c r="J584" s="851">
        <v>167</v>
      </c>
      <c r="K584" s="863">
        <v>43833</v>
      </c>
      <c r="L584" s="859">
        <v>44377</v>
      </c>
      <c r="M584" s="851"/>
      <c r="N584" s="851">
        <v>0</v>
      </c>
      <c r="O584" s="851">
        <v>1</v>
      </c>
      <c r="P584" s="851"/>
      <c r="Q584" s="864" t="s">
        <v>43</v>
      </c>
      <c r="R584" s="720">
        <v>2</v>
      </c>
      <c r="S584" s="720">
        <v>2</v>
      </c>
      <c r="T584" s="523">
        <v>0</v>
      </c>
      <c r="U584" s="851"/>
      <c r="V584" s="851"/>
      <c r="W584" s="851">
        <v>1</v>
      </c>
      <c r="X584" s="851">
        <v>0</v>
      </c>
      <c r="Y584" s="851"/>
      <c r="Z584" s="851"/>
      <c r="AA584" s="851"/>
      <c r="AB584" s="851"/>
      <c r="AC584" s="851"/>
      <c r="AD584" s="851"/>
      <c r="AE584" s="851"/>
      <c r="AF584" s="851"/>
      <c r="AG584" s="851">
        <v>1</v>
      </c>
      <c r="AH584" s="851"/>
      <c r="AI584" s="720">
        <v>1</v>
      </c>
      <c r="AJ584" s="720">
        <v>1</v>
      </c>
      <c r="AK584" s="720">
        <v>9</v>
      </c>
      <c r="AL584" s="720">
        <v>2</v>
      </c>
      <c r="AM584" s="720">
        <v>5</v>
      </c>
      <c r="AN584" s="851"/>
      <c r="AO584" s="865"/>
      <c r="AP584" s="851">
        <v>13</v>
      </c>
      <c r="AQ584" s="851"/>
      <c r="AR584" s="866"/>
      <c r="AS584" s="851"/>
      <c r="AT584" s="851"/>
      <c r="AU584" s="851"/>
      <c r="AV584" s="851"/>
      <c r="AW584" s="851"/>
      <c r="AX584" s="862" t="s">
        <v>43</v>
      </c>
      <c r="AY584" s="865" t="s">
        <v>140</v>
      </c>
      <c r="AZ584" s="851">
        <v>0</v>
      </c>
      <c r="BA584" s="851">
        <v>0</v>
      </c>
      <c r="BB584" s="851"/>
      <c r="BC584" s="523"/>
      <c r="BD584" s="523">
        <v>1</v>
      </c>
      <c r="BE584" s="806" t="s">
        <v>3626</v>
      </c>
      <c r="BF584" s="851">
        <v>5</v>
      </c>
      <c r="BG584" s="851"/>
      <c r="BH584" s="851"/>
      <c r="BI584" s="851">
        <v>2</v>
      </c>
      <c r="BJ584" s="851"/>
      <c r="BK584" s="851">
        <v>0</v>
      </c>
      <c r="BL584" s="851">
        <v>3</v>
      </c>
      <c r="BM584" s="851"/>
      <c r="BN584" s="851"/>
      <c r="BO584" s="862"/>
      <c r="BP584" s="867"/>
      <c r="BQ584" s="866"/>
      <c r="BR584" s="862"/>
      <c r="BS584" s="472"/>
      <c r="BT584" s="472"/>
      <c r="BU584" s="474"/>
      <c r="BV584" s="472"/>
      <c r="BW584" s="523"/>
      <c r="BX584" s="523"/>
      <c r="BY584" s="523"/>
      <c r="BZ584" s="868">
        <f>IFERROR(WWWW[[#This Row],['#_Water sources passed]]/WWWW[[#This Row],['#_Water sources tested for fecal coliform ]],"no test")</f>
        <v>1</v>
      </c>
      <c r="CA584" s="866">
        <f>IFERROR(WWWW[[#This Row],['#_Household passed]]/WWWW[[#This Row],['#_Household water samples tested for fecal coliform]],"no test")</f>
        <v>0.22222222222222221</v>
      </c>
      <c r="CB584" s="867" t="str">
        <f>IF(AND(WWWW[[#This Row],[% of water sources passed]]="no test",WWWW[[#This Row],[% Household passed]]="no test"),"No Test","Tested")</f>
        <v>Tested</v>
      </c>
      <c r="CC584" s="867">
        <f>WWWW[[#This Row],['#_Constructed/existing protected hand dug well]]-WWWW[[#This Row],['#_Non-functional protected hand dug well]]</f>
        <v>0</v>
      </c>
      <c r="CD584" s="867">
        <f>(WWWW[[#This Row],['#_Constructed/Existing tube wells/boreholes/handpumps_WASH_agency]]+WWWW[[#This Row],['#_Non-Cluster partner water tube-wells/boreholes/handpumps]])-WWWW[[#This Row],['#_Non-functional tube wells/boreholes/handpumps]]</f>
        <v>1</v>
      </c>
      <c r="CE584" s="867">
        <f>WWWW[[#This Row],['#_Constructed/Existingwater storage tank with gravity fed reticulation system]]-WWWW[[#This Row],['#_Non-functional storage tank gravity fed reticulation system]]</f>
        <v>0</v>
      </c>
      <c r="CF584" s="867">
        <f>(WWWW[[#This Row],['#_Water_Liters_supplied_by_Water boating or water trucking]]/90)/15</f>
        <v>0</v>
      </c>
      <c r="CG584" s="867">
        <f>WWWW[[#This Row],['#_Water_Liters_from_Constructed/Existing water distribution system from river or natural spring]]/90/15</f>
        <v>0</v>
      </c>
      <c r="CH584" s="473">
        <f>WWWW[[#This Row],['#_of water points in TLS/CFS /THF]]*500</f>
        <v>0</v>
      </c>
      <c r="CI58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84" s="866">
        <f>IF(WWWW[[#This Row],[Location Type 1]]="Village",WWWW[[#This Row],[Access to safe drinking water for Village]],WWWW[[#This Row],[Access to safe drinking water for Camp]])</f>
        <v>1</v>
      </c>
      <c r="CL584" s="864">
        <f>WWWW[[#This Row],[%Equitable and continuous access to sufficient quantity of safe drinking water]]*WWWW[[#This Row],[Total PoP ]]</f>
        <v>167</v>
      </c>
      <c r="CM584" s="866">
        <f>IF((WWWW[[#This Row],['#_Constructed/Existing protected/fenced ponds]]*250)/WWWW[[#This Row],[Total PoP ]]&gt;1,1,(WWWW[[#This Row],['#_Constructed/Existing protected/fenced ponds]]*250)/WWWW[[#This Row],[Total PoP ]])</f>
        <v>0</v>
      </c>
      <c r="CN584" s="864">
        <f>WWWW[[#This Row],[% Access to unimproved water points]]*WWWW[[#This Row],[Total PoP ]]</f>
        <v>0</v>
      </c>
      <c r="CO58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v>
      </c>
      <c r="CQ584" s="864">
        <f>WWWW[[#This Row],[HRP1]]/500</f>
        <v>0.33400000000000002</v>
      </c>
      <c r="CR584" s="869">
        <f>1-WWWW[[#This Row],[% Equitable and continuous access to sufficient quantity of domestic water]]</f>
        <v>0</v>
      </c>
      <c r="CS584" s="864">
        <f>WWWW[[#This Row],[%equitable and continuous access to sufficient quantity of safe drinking and domestic water''s GAP]]*WWWW[[#This Row],[Total PoP ]]</f>
        <v>0</v>
      </c>
      <c r="CT584" s="867">
        <f>IF(WWWW[[#This Row],[Total required water points]]-WWWW[[#This Row],['#Water points coverage]]&lt;0,0,WWWW[[#This Row],[Total required water points]]-WWWW[[#This Row],['#Water points coverage]])</f>
        <v>0.66599999999999993</v>
      </c>
      <c r="CU584" s="867">
        <f>ROUND(IF(WWWW[[#This Row],[Total PoP ]]&lt;500,1,WWWW[[#This Row],[Total PoP ]]/500),0)</f>
        <v>1</v>
      </c>
      <c r="CV584" s="867">
        <f>(WWWW[[#This Row],['#_Constructed latrines_by_WASHAgencies]]+WWWW[[#This Row],['#_Non Cluster partner latrines]])-WWWW[[#This Row],['#_Non-functional latrines]]</f>
        <v>13</v>
      </c>
      <c r="CW584" s="804">
        <f>WWWW[[#This Row],[HRP2]]/WWWW[[#This Row],[Total PoP ]]</f>
        <v>1</v>
      </c>
      <c r="CX58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v>
      </c>
      <c r="CY58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8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4" s="473">
        <f>IF(WWWW[[#This Row],['# of functional latrines in THF supported by WASH partners during the reporting period2]]="",0,WWWW[[#This Row],['# of functional latrines in THF supported by WASH partners during the reporting period2]]*50)</f>
        <v>0</v>
      </c>
      <c r="DB584" s="473">
        <f>WWWW[[#This Row],['# students access to functioning school latrines_HRP5]]+WWWW[[#This Row],['# People access to functioning latrines in THF_HRP5]]</f>
        <v>0</v>
      </c>
      <c r="DC584" s="867">
        <f>ROUND(IF(WWWW[[#This Row],[Location Type 1]]="camp",WWWW[[#This Row],[Total PoP ]]/20,IF(WWWW[[#This Row],[Location Type 1]]="Temporary Location",WWWW[[#This Row],[Total PoP ]]/50,(WWWW[[#This Row],[Total PoP ]]/6))),0)</f>
        <v>8</v>
      </c>
      <c r="DD584" s="867">
        <f>IF(WWWW[[#This Row],[Total required Latrines]]-(WWWW[[#This Row],['#_Constructed latrines_by_WASHAgencies]]+WWWW[[#This Row],['#_Non Cluster partner latrines]])&lt;0,0,WWWW[[#This Row],[Total required Latrines]]-(WWWW[[#This Row],['#_Constructed latrines_by_WASHAgencies]]+WWWW[[#This Row],['#_Non Cluster partner latrines]]))</f>
        <v>0</v>
      </c>
      <c r="DE584" s="869">
        <f>1-WWWW[[#This Row],[% people access to functioning Latrine]]</f>
        <v>0</v>
      </c>
      <c r="DF584" s="868">
        <f>IF(OR(WWWW[[#This Row],['#_Non-functional latrines]]="",WWWW[[#This Row],['#_Non-functional latrines]]=0),0,WWWW[[#This Row],['#_Non-functional latrines]]/(WWWW[[#This Row],['#_Constructed latrines_by_WASHAgencies]]+WWWW[[#This Row],['#_Non Cluster partner latrines]]))</f>
        <v>0</v>
      </c>
      <c r="DG584" s="864">
        <f>IF(500*(WWWW[[#This Row],['#_male hygiene promoters]]+WWWW[[#This Row],['#_female hygiene promoters]])&gt;WWWW[[#This Row],[Total PoP ]],WWWW[[#This Row],[Total PoP ]],500*(WWWW[[#This Row],['#_male hygiene promoters]]+WWWW[[#This Row],['#_female hygiene promoters]]))</f>
        <v>167</v>
      </c>
      <c r="DH58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4" s="867">
        <f>IF(WWWW[[#This Row],['# People with access to soap]]&gt;WWWW[[#This Row],['# People with access to Sanity Pads]],WWWW[[#This Row],['# People with access to soap]],WWWW[[#This Row],['# People with access to Sanity Pads]])</f>
        <v>0</v>
      </c>
      <c r="DK584" s="867">
        <f>IF(WWWW[[#This Row],['# people reached by regular dedicated hygiene promotion_5]]&gt;WWWW[[#This Row],['# People received regular supply of hygiene items_6]],WWWW[[#This Row],['# people reached by regular dedicated hygiene promotion_5]],WWWW[[#This Row],['# People received regular supply of hygiene items_6]])</f>
        <v>167</v>
      </c>
      <c r="DL584" s="869">
        <f>IF(WWWW[[#This Row],[HRP3]]/WWWW[[#This Row],[Total PoP ]]&gt;1,1,WWWW[[#This Row],[HRP3]]/WWWW[[#This Row],[Total PoP ]])</f>
        <v>1</v>
      </c>
      <c r="DM584" s="868">
        <f>1-WWWW[[#This Row],[Hygiene Coverage%]]</f>
        <v>0</v>
      </c>
      <c r="DN584" s="866">
        <f>WWWW[[#This Row],['# people reached by regular dedicated hygiene promotion_5]]/WWWW[[#This Row],[Total PoP ]]</f>
        <v>1</v>
      </c>
      <c r="DO58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4" s="867">
        <f>WWWW[[#This Row],['#_Constructed/Existing hand washing stations]]-WWWW[[#This Row],['#_Non-Functional_hand_washing_stations]]</f>
        <v>5</v>
      </c>
      <c r="DR584" s="864">
        <f>IF(WWWW[[#This Row],['# Functional hand washing stations during reporting period]]*20&gt;WWWW[[#This Row],[Total HH]],WWWW[[#This Row],[Total HH]],WWWW[[#This Row],['# Functional hand washing stations during reporting period]]*20)</f>
        <v>28</v>
      </c>
      <c r="DS584" s="864">
        <f>IF(WWWW[[#This Row],[Is sufficient soap available for TLS? (Yes/No)]]="yes",WWWW[[#This Row],['#_Constructed/Existing hand washing stations at TLS]],0)</f>
        <v>0</v>
      </c>
      <c r="DT584" s="479">
        <f>IF(WWWW[[#This Row],['# Functional hand washing stations during reporting period]]*100&gt;WWWW[[#This Row],[Total PoP ]],WWWW[[#This Row],[Total PoP ]],WWWW[[#This Row],['# Functional hand washing stations during reporting period]]*100)</f>
        <v>167</v>
      </c>
      <c r="DU584" s="479" t="str">
        <f>IF(OR(WWWW[[#This Row],['#_students at TLS_CFS]]="",WWWW[[#This Row],['#_students at TLS_CFS]]=0),"No","Yes")</f>
        <v>No</v>
      </c>
      <c r="DV58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4" s="862">
        <f>VLOOKUP(WWWW[[#This Row],[Site Name]],SiteDB6[[Site Name]:[CCCM Management]],6,FALSE)</f>
        <v>0</v>
      </c>
      <c r="DZ584" s="862">
        <f>VLOOKUP(WWWW[[#This Row],[Site Name]],SiteDB6[[Site Name]:[CCCM Focal Agency]],7,FALSE)</f>
        <v>0</v>
      </c>
      <c r="EA584" s="862" t="str">
        <f>VLOOKUP(WWWW[[#This Row],[Site Name]],SiteDB6[[Site Name]:[Location Type 1]],9,FALSE)</f>
        <v>Camp</v>
      </c>
      <c r="EB584" s="862" t="str">
        <f>VLOOKUP(WWWW[[#This Row],[Site Name]],SiteDB6[[Site Name]:[Type of Accommodation]],10,FALSE)</f>
        <v>camp</v>
      </c>
      <c r="EC584" s="862" t="str">
        <f>VLOOKUP(WWWW[[#This Row],[Site Name]],SiteDB6[[Site Name]:[Ethnic or GCA/NGCA]],11,FALSE)</f>
        <v>GCA</v>
      </c>
      <c r="ED584" s="862">
        <f>VLOOKUP(WWWW[[#This Row],[Site Name]],SiteDB6[[Site Name]:[Lat]],12,FALSE)</f>
        <v>0</v>
      </c>
      <c r="EE584" s="862">
        <f>VLOOKUP(WWWW[[#This Row],[Site Name]],SiteDB6[[Site Name]:[Long]],13,FALSE)</f>
        <v>0</v>
      </c>
      <c r="EF584" s="862">
        <f>VLOOKUP(WWWW[[#This Row],[Site Name]],SiteDB6[[Site Name]:[Pcode]],3,FALSE)</f>
        <v>0</v>
      </c>
      <c r="EG584" s="865" t="str">
        <f t="shared" si="17"/>
        <v>Covered</v>
      </c>
      <c r="EH584" s="865">
        <f>VLOOKUP(WWWW[[#This Row],[Site Name]],Site_DB!$C$389:$D$1120,2,FALSE)</f>
        <v>0</v>
      </c>
    </row>
    <row r="585" spans="1:138">
      <c r="A585" s="860" t="s">
        <v>3263</v>
      </c>
      <c r="B585" s="860" t="s">
        <v>279</v>
      </c>
      <c r="C585" s="861" t="s">
        <v>279</v>
      </c>
      <c r="D585" s="861" t="s">
        <v>3370</v>
      </c>
      <c r="E585" s="861" t="s">
        <v>39</v>
      </c>
      <c r="F585" s="861" t="s">
        <v>198</v>
      </c>
      <c r="G585" s="721" t="str">
        <f>VLOOKUP(WWWW[[#This Row],[Site Name]],SiteDB6[[Site Name]:[Location Type]],8,FALSE)</f>
        <v>Camp</v>
      </c>
      <c r="H585" s="861" t="s">
        <v>280</v>
      </c>
      <c r="I585" s="720">
        <v>171</v>
      </c>
      <c r="J585" s="851">
        <v>723</v>
      </c>
      <c r="K585" s="863">
        <v>43833</v>
      </c>
      <c r="L585" s="859">
        <v>44377</v>
      </c>
      <c r="M585" s="851"/>
      <c r="N585" s="851"/>
      <c r="O585" s="851">
        <v>2</v>
      </c>
      <c r="P585" s="851"/>
      <c r="Q585" s="864" t="s">
        <v>43</v>
      </c>
      <c r="R585" s="720">
        <v>7</v>
      </c>
      <c r="S585" s="720">
        <v>5</v>
      </c>
      <c r="T585" s="523">
        <v>2</v>
      </c>
      <c r="U585" s="851"/>
      <c r="V585" s="851"/>
      <c r="W585" s="851">
        <v>8</v>
      </c>
      <c r="X585" s="851">
        <v>0</v>
      </c>
      <c r="Y585" s="851"/>
      <c r="Z585" s="851"/>
      <c r="AA585" s="851"/>
      <c r="AB585" s="851"/>
      <c r="AC585" s="851"/>
      <c r="AD585" s="851">
        <v>0</v>
      </c>
      <c r="AE585" s="851"/>
      <c r="AF585" s="851"/>
      <c r="AG585" s="851">
        <v>2</v>
      </c>
      <c r="AH585" s="851"/>
      <c r="AI585" s="720">
        <v>3</v>
      </c>
      <c r="AJ585" s="720">
        <v>3</v>
      </c>
      <c r="AK585" s="720">
        <v>12</v>
      </c>
      <c r="AL585" s="720">
        <v>9</v>
      </c>
      <c r="AM585" s="851">
        <v>9</v>
      </c>
      <c r="AN585" s="851"/>
      <c r="AO585" s="865"/>
      <c r="AP585" s="851">
        <v>38</v>
      </c>
      <c r="AQ585" s="851"/>
      <c r="AR585" s="866"/>
      <c r="AS585" s="851"/>
      <c r="AT585" s="851"/>
      <c r="AU585" s="720">
        <v>75</v>
      </c>
      <c r="AV585" s="720">
        <v>81</v>
      </c>
      <c r="AW585" s="851"/>
      <c r="AX585" s="862" t="s">
        <v>43</v>
      </c>
      <c r="AY585" s="865" t="s">
        <v>140</v>
      </c>
      <c r="AZ585" s="851">
        <v>0</v>
      </c>
      <c r="BA585" s="851">
        <v>0</v>
      </c>
      <c r="BB585" s="851"/>
      <c r="BC585" s="523"/>
      <c r="BD585" s="523"/>
      <c r="BE585" s="806" t="s">
        <v>3371</v>
      </c>
      <c r="BF585" s="851">
        <v>9</v>
      </c>
      <c r="BG585" s="851"/>
      <c r="BH585" s="851"/>
      <c r="BI585" s="851">
        <v>3</v>
      </c>
      <c r="BJ585" s="851"/>
      <c r="BK585" s="851">
        <v>0</v>
      </c>
      <c r="BL585" s="851">
        <v>6</v>
      </c>
      <c r="BM585" s="851"/>
      <c r="BN585" s="851"/>
      <c r="BO585" s="862" t="s">
        <v>43</v>
      </c>
      <c r="BP585" s="867"/>
      <c r="BQ585" s="866"/>
      <c r="BR585" s="862"/>
      <c r="BS585" s="472"/>
      <c r="BT585" s="472"/>
      <c r="BU585" s="474"/>
      <c r="BV585" s="472"/>
      <c r="BW585" s="523"/>
      <c r="BX585" s="523"/>
      <c r="BY585" s="523"/>
      <c r="BZ585" s="868">
        <f>IFERROR(WWWW[[#This Row],['#_Water sources passed]]/WWWW[[#This Row],['#_Water sources tested for fecal coliform ]],"no test")</f>
        <v>1</v>
      </c>
      <c r="CA585" s="866">
        <f>IFERROR(WWWW[[#This Row],['#_Household passed]]/WWWW[[#This Row],['#_Household water samples tested for fecal coliform]],"no test")</f>
        <v>0.75</v>
      </c>
      <c r="CB585" s="867" t="str">
        <f>IF(AND(WWWW[[#This Row],[% of water sources passed]]="no test",WWWW[[#This Row],[% Household passed]]="no test"),"No Test","Tested")</f>
        <v>Tested</v>
      </c>
      <c r="CC585" s="867">
        <f>WWWW[[#This Row],['#_Constructed/existing protected hand dug well]]-WWWW[[#This Row],['#_Non-functional protected hand dug well]]</f>
        <v>2</v>
      </c>
      <c r="CD585" s="867">
        <f>(WWWW[[#This Row],['#_Constructed/Existing tube wells/boreholes/handpumps_WASH_agency]]+WWWW[[#This Row],['#_Non-Cluster partner water tube-wells/boreholes/handpumps]])-WWWW[[#This Row],['#_Non-functional tube wells/boreholes/handpumps]]</f>
        <v>8</v>
      </c>
      <c r="CE585" s="867">
        <f>WWWW[[#This Row],['#_Constructed/Existingwater storage tank with gravity fed reticulation system]]-WWWW[[#This Row],['#_Non-functional storage tank gravity fed reticulation system]]</f>
        <v>0</v>
      </c>
      <c r="CF585" s="867">
        <f>(WWWW[[#This Row],['#_Water_Liters_supplied_by_Water boating or water trucking]]/90)/15</f>
        <v>0</v>
      </c>
      <c r="CG585" s="867">
        <f>WWWW[[#This Row],['#_Water_Liters_from_Constructed/Existing water distribution system from river or natural spring]]/90/15</f>
        <v>0</v>
      </c>
      <c r="CH585" s="473">
        <f>WWWW[[#This Row],['#_of water points in TLS/CFS /THF]]*500</f>
        <v>0</v>
      </c>
      <c r="CI58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85" s="866">
        <f>IF(WWWW[[#This Row],[Location Type 1]]="Village",WWWW[[#This Row],[Access to safe drinking water for Village]],WWWW[[#This Row],[Access to safe drinking water for Camp]])</f>
        <v>1</v>
      </c>
      <c r="CL585" s="864">
        <f>WWWW[[#This Row],[%Equitable and continuous access to sufficient quantity of safe drinking water]]*WWWW[[#This Row],[Total PoP ]]</f>
        <v>723</v>
      </c>
      <c r="CM585" s="866">
        <f>IF((WWWW[[#This Row],['#_Constructed/Existing protected/fenced ponds]]*250)/WWWW[[#This Row],[Total PoP ]]&gt;1,1,(WWWW[[#This Row],['#_Constructed/Existing protected/fenced ponds]]*250)/WWWW[[#This Row],[Total PoP ]])</f>
        <v>0</v>
      </c>
      <c r="CN585" s="864">
        <f>WWWW[[#This Row],[% Access to unimproved water points]]*WWWW[[#This Row],[Total PoP ]]</f>
        <v>0</v>
      </c>
      <c r="CO58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723</v>
      </c>
      <c r="CQ585" s="864">
        <f>WWWW[[#This Row],[HRP1]]/500</f>
        <v>1.446</v>
      </c>
      <c r="CR585" s="869">
        <f>1-WWWW[[#This Row],[% Equitable and continuous access to sufficient quantity of domestic water]]</f>
        <v>0</v>
      </c>
      <c r="CS585" s="864">
        <f>WWWW[[#This Row],[%equitable and continuous access to sufficient quantity of safe drinking and domestic water''s GAP]]*WWWW[[#This Row],[Total PoP ]]</f>
        <v>0</v>
      </c>
      <c r="CT585" s="867">
        <f>IF(WWWW[[#This Row],[Total required water points]]-WWWW[[#This Row],['#Water points coverage]]&lt;0,0,WWWW[[#This Row],[Total required water points]]-WWWW[[#This Row],['#Water points coverage]])</f>
        <v>0</v>
      </c>
      <c r="CU585" s="867">
        <f>ROUND(IF(WWWW[[#This Row],[Total PoP ]]&lt;500,1,WWWW[[#This Row],[Total PoP ]]/500),0)</f>
        <v>1</v>
      </c>
      <c r="CV585" s="867">
        <f>(WWWW[[#This Row],['#_Constructed latrines_by_WASHAgencies]]+WWWW[[#This Row],['#_Non Cluster partner latrines]])-WWWW[[#This Row],['#_Non-functional latrines]]</f>
        <v>38</v>
      </c>
      <c r="CW585" s="804">
        <f>WWWW[[#This Row],[HRP2]]/WWWW[[#This Row],[Total PoP ]]</f>
        <v>1</v>
      </c>
      <c r="CX58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723</v>
      </c>
      <c r="CY58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723</v>
      </c>
      <c r="CZ58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5" s="473">
        <f>IF(WWWW[[#This Row],['# of functional latrines in THF supported by WASH partners during the reporting period2]]="",0,WWWW[[#This Row],['# of functional latrines in THF supported by WASH partners during the reporting period2]]*50)</f>
        <v>0</v>
      </c>
      <c r="DB585" s="473">
        <f>WWWW[[#This Row],['# students access to functioning school latrines_HRP5]]+WWWW[[#This Row],['# People access to functioning latrines in THF_HRP5]]</f>
        <v>0</v>
      </c>
      <c r="DC585" s="867">
        <f>ROUND(IF(WWWW[[#This Row],[Location Type 1]]="camp",WWWW[[#This Row],[Total PoP ]]/20,IF(WWWW[[#This Row],[Location Type 1]]="Temporary Location",WWWW[[#This Row],[Total PoP ]]/50,(WWWW[[#This Row],[Total PoP ]]/6))),0)</f>
        <v>36</v>
      </c>
      <c r="DD585" s="867">
        <f>IF(WWWW[[#This Row],[Total required Latrines]]-(WWWW[[#This Row],['#_Constructed latrines_by_WASHAgencies]]+WWWW[[#This Row],['#_Non Cluster partner latrines]])&lt;0,0,WWWW[[#This Row],[Total required Latrines]]-(WWWW[[#This Row],['#_Constructed latrines_by_WASHAgencies]]+WWWW[[#This Row],['#_Non Cluster partner latrines]]))</f>
        <v>0</v>
      </c>
      <c r="DE585" s="869">
        <f>1-WWWW[[#This Row],[% people access to functioning Latrine]]</f>
        <v>0</v>
      </c>
      <c r="DF585" s="868">
        <f>IF(OR(WWWW[[#This Row],['#_Non-functional latrines]]="",WWWW[[#This Row],['#_Non-functional latrines]]=0),0,WWWW[[#This Row],['#_Non-functional latrines]]/(WWWW[[#This Row],['#_Constructed latrines_by_WASHAgencies]]+WWWW[[#This Row],['#_Non Cluster partner latrines]]))</f>
        <v>0</v>
      </c>
      <c r="DG585" s="864">
        <f>IF(500*(WWWW[[#This Row],['#_male hygiene promoters]]+WWWW[[#This Row],['#_female hygiene promoters]])&gt;WWWW[[#This Row],[Total PoP ]],WWWW[[#This Row],[Total PoP ]],500*(WWWW[[#This Row],['#_male hygiene promoters]]+WWWW[[#This Row],['#_female hygiene promoters]]))</f>
        <v>723</v>
      </c>
      <c r="DH58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5" s="867">
        <f>IF(WWWW[[#This Row],['# People with access to soap]]&gt;WWWW[[#This Row],['# People with access to Sanity Pads]],WWWW[[#This Row],['# People with access to soap]],WWWW[[#This Row],['# People with access to Sanity Pads]])</f>
        <v>0</v>
      </c>
      <c r="DK585" s="867">
        <f>IF(WWWW[[#This Row],['# people reached by regular dedicated hygiene promotion_5]]&gt;WWWW[[#This Row],['# People received regular supply of hygiene items_6]],WWWW[[#This Row],['# people reached by regular dedicated hygiene promotion_5]],WWWW[[#This Row],['# People received regular supply of hygiene items_6]])</f>
        <v>723</v>
      </c>
      <c r="DL585" s="869">
        <f>IF(WWWW[[#This Row],[HRP3]]/WWWW[[#This Row],[Total PoP ]]&gt;1,1,WWWW[[#This Row],[HRP3]]/WWWW[[#This Row],[Total PoP ]])</f>
        <v>1</v>
      </c>
      <c r="DM585" s="868">
        <f>1-WWWW[[#This Row],[Hygiene Coverage%]]</f>
        <v>0</v>
      </c>
      <c r="DN585" s="866">
        <f>WWWW[[#This Row],['# people reached by regular dedicated hygiene promotion_5]]/WWWW[[#This Row],[Total PoP ]]</f>
        <v>1</v>
      </c>
      <c r="DO58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5" s="867">
        <f>WWWW[[#This Row],['#_Constructed/Existing hand washing stations]]-WWWW[[#This Row],['#_Non-Functional_hand_washing_stations]]</f>
        <v>9</v>
      </c>
      <c r="DR585" s="864">
        <f>IF(WWWW[[#This Row],['# Functional hand washing stations during reporting period]]*20&gt;WWWW[[#This Row],[Total HH]],WWWW[[#This Row],[Total HH]],WWWW[[#This Row],['# Functional hand washing stations during reporting period]]*20)</f>
        <v>171</v>
      </c>
      <c r="DS585" s="864">
        <f>IF(WWWW[[#This Row],[Is sufficient soap available for TLS? (Yes/No)]]="yes",WWWW[[#This Row],['#_Constructed/Existing hand washing stations at TLS]],0)</f>
        <v>9</v>
      </c>
      <c r="DT585" s="479">
        <f>IF(WWWW[[#This Row],['# Functional hand washing stations during reporting period]]*100&gt;WWWW[[#This Row],[Total PoP ]],WWWW[[#This Row],[Total PoP ]],WWWW[[#This Row],['# Functional hand washing stations during reporting period]]*100)</f>
        <v>723</v>
      </c>
      <c r="DU585" s="479" t="str">
        <f>IF(OR(WWWW[[#This Row],['#_students at TLS_CFS]]="",WWWW[[#This Row],['#_students at TLS_CFS]]=0),"No","Yes")</f>
        <v>No</v>
      </c>
      <c r="DV58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5" s="862" t="str">
        <f>VLOOKUP(WWWW[[#This Row],[Site Name]],SiteDB6[[Site Name]:[CCCM Management]],6,FALSE)</f>
        <v>Yes</v>
      </c>
      <c r="DZ585" s="862" t="str">
        <f>VLOOKUP(WWWW[[#This Row],[Site Name]],SiteDB6[[Site Name]:[CCCM Focal Agency]],7,FALSE)</f>
        <v>KMSS-BMO</v>
      </c>
      <c r="EA585" s="862" t="str">
        <f>VLOOKUP(WWWW[[#This Row],[Site Name]],SiteDB6[[Site Name]:[Location Type 1]],9,FALSE)</f>
        <v>Camp</v>
      </c>
      <c r="EB585" s="862" t="str">
        <f>VLOOKUP(WWWW[[#This Row],[Site Name]],SiteDB6[[Site Name]:[Type of Accommodation]],10,FALSE)</f>
        <v>Camp</v>
      </c>
      <c r="EC585" s="862" t="str">
        <f>VLOOKUP(WWWW[[#This Row],[Site Name]],SiteDB6[[Site Name]:[Ethnic or GCA/NGCA]],11,FALSE)</f>
        <v>GCA</v>
      </c>
      <c r="ED585" s="862">
        <f>VLOOKUP(WWWW[[#This Row],[Site Name]],SiteDB6[[Site Name]:[Lat]],12,FALSE)</f>
        <v>24.260719999999999</v>
      </c>
      <c r="EE585" s="862">
        <f>VLOOKUP(WWWW[[#This Row],[Site Name]],SiteDB6[[Site Name]:[Long]],13,FALSE)</f>
        <v>97.238829999999993</v>
      </c>
      <c r="EF585" s="862" t="str">
        <f>VLOOKUP(WWWW[[#This Row],[Site Name]],SiteDB6[[Site Name]:[Pcode]],3,FALSE)</f>
        <v>MMR001CMP050</v>
      </c>
      <c r="EG585" s="865" t="str">
        <f t="shared" si="17"/>
        <v>Covered</v>
      </c>
      <c r="EH585" s="865" t="str">
        <f>VLOOKUP(WWWW[[#This Row],[Site Name]],Site_DB!$C$389:$D$1120,2,FALSE)</f>
        <v>cccm_2019OCT</v>
      </c>
    </row>
    <row r="586" spans="1:138">
      <c r="A586" s="860" t="s">
        <v>3263</v>
      </c>
      <c r="B586" s="860" t="s">
        <v>279</v>
      </c>
      <c r="C586" s="861" t="s">
        <v>279</v>
      </c>
      <c r="D586" s="861" t="s">
        <v>3370</v>
      </c>
      <c r="E586" s="861" t="s">
        <v>39</v>
      </c>
      <c r="F586" s="861" t="s">
        <v>208</v>
      </c>
      <c r="G586" s="721" t="str">
        <f>VLOOKUP(WWWW[[#This Row],[Site Name]],SiteDB6[[Site Name]:[Location Type]],8,FALSE)</f>
        <v>Camp_not registered</v>
      </c>
      <c r="H586" s="861" t="s">
        <v>3036</v>
      </c>
      <c r="I586" s="851">
        <v>24</v>
      </c>
      <c r="J586" s="851">
        <v>120</v>
      </c>
      <c r="K586" s="863">
        <v>43833</v>
      </c>
      <c r="L586" s="859">
        <v>44377</v>
      </c>
      <c r="M586" s="851"/>
      <c r="N586" s="851"/>
      <c r="O586" s="851">
        <v>1</v>
      </c>
      <c r="P586" s="851"/>
      <c r="Q586" s="864" t="s">
        <v>43</v>
      </c>
      <c r="R586" s="720">
        <v>3</v>
      </c>
      <c r="S586" s="720">
        <v>8</v>
      </c>
      <c r="T586" s="523"/>
      <c r="U586" s="851"/>
      <c r="V586" s="851"/>
      <c r="W586" s="851">
        <v>1</v>
      </c>
      <c r="X586" s="851"/>
      <c r="Y586" s="851"/>
      <c r="Z586" s="851"/>
      <c r="AA586" s="851"/>
      <c r="AB586" s="851"/>
      <c r="AC586" s="851"/>
      <c r="AD586" s="851"/>
      <c r="AE586" s="851"/>
      <c r="AF586" s="851"/>
      <c r="AG586" s="851">
        <v>1</v>
      </c>
      <c r="AH586" s="851"/>
      <c r="AI586" s="720">
        <v>1</v>
      </c>
      <c r="AJ586" s="720">
        <v>1</v>
      </c>
      <c r="AK586" s="720">
        <v>6</v>
      </c>
      <c r="AL586" s="720">
        <v>6</v>
      </c>
      <c r="AM586" s="851">
        <v>5</v>
      </c>
      <c r="AN586" s="851"/>
      <c r="AO586" s="865"/>
      <c r="AP586" s="851">
        <v>12</v>
      </c>
      <c r="AQ586" s="851"/>
      <c r="AR586" s="866"/>
      <c r="AS586" s="851"/>
      <c r="AT586" s="851"/>
      <c r="AU586" s="851">
        <v>3</v>
      </c>
      <c r="AV586" s="720">
        <v>6</v>
      </c>
      <c r="AW586" s="851"/>
      <c r="AX586" s="862" t="s">
        <v>43</v>
      </c>
      <c r="AY586" s="865" t="s">
        <v>140</v>
      </c>
      <c r="AZ586" s="851"/>
      <c r="BA586" s="851"/>
      <c r="BB586" s="851"/>
      <c r="BC586" s="523"/>
      <c r="BD586" s="523"/>
      <c r="BE586" s="806" t="s">
        <v>3371</v>
      </c>
      <c r="BF586" s="851">
        <v>5</v>
      </c>
      <c r="BG586" s="851"/>
      <c r="BH586" s="851"/>
      <c r="BI586" s="851">
        <v>2</v>
      </c>
      <c r="BJ586" s="851"/>
      <c r="BK586" s="851"/>
      <c r="BL586" s="851">
        <v>1</v>
      </c>
      <c r="BM586" s="851"/>
      <c r="BN586" s="851"/>
      <c r="BO586" s="862"/>
      <c r="BP586" s="867"/>
      <c r="BQ586" s="866"/>
      <c r="BR586" s="862"/>
      <c r="BS586" s="472"/>
      <c r="BT586" s="472"/>
      <c r="BU586" s="474"/>
      <c r="BV586" s="472"/>
      <c r="BW586" s="523"/>
      <c r="BX586" s="523"/>
      <c r="BY586" s="523"/>
      <c r="BZ586" s="868">
        <f>IFERROR(WWWW[[#This Row],['#_Water sources passed]]/WWWW[[#This Row],['#_Water sources tested for fecal coliform ]],"no test")</f>
        <v>1</v>
      </c>
      <c r="CA586" s="866">
        <f>IFERROR(WWWW[[#This Row],['#_Household passed]]/WWWW[[#This Row],['#_Household water samples tested for fecal coliform]],"no test")</f>
        <v>1</v>
      </c>
      <c r="CB586" s="867" t="str">
        <f>IF(AND(WWWW[[#This Row],[% of water sources passed]]="no test",WWWW[[#This Row],[% Household passed]]="no test"),"No Test","Tested")</f>
        <v>Tested</v>
      </c>
      <c r="CC586" s="867">
        <f>WWWW[[#This Row],['#_Constructed/existing protected hand dug well]]-WWWW[[#This Row],['#_Non-functional protected hand dug well]]</f>
        <v>0</v>
      </c>
      <c r="CD586" s="867">
        <f>(WWWW[[#This Row],['#_Constructed/Existing tube wells/boreholes/handpumps_WASH_agency]]+WWWW[[#This Row],['#_Non-Cluster partner water tube-wells/boreholes/handpumps]])-WWWW[[#This Row],['#_Non-functional tube wells/boreholes/handpumps]]</f>
        <v>1</v>
      </c>
      <c r="CE586" s="867">
        <f>WWWW[[#This Row],['#_Constructed/Existingwater storage tank with gravity fed reticulation system]]-WWWW[[#This Row],['#_Non-functional storage tank gravity fed reticulation system]]</f>
        <v>0</v>
      </c>
      <c r="CF586" s="867">
        <f>(WWWW[[#This Row],['#_Water_Liters_supplied_by_Water boating or water trucking]]/90)/15</f>
        <v>0</v>
      </c>
      <c r="CG586" s="867">
        <f>WWWW[[#This Row],['#_Water_Liters_from_Constructed/Existing water distribution system from river or natural spring]]/90/15</f>
        <v>0</v>
      </c>
      <c r="CH586" s="473">
        <f>WWWW[[#This Row],['#_of water points in TLS/CFS /THF]]*500</f>
        <v>0</v>
      </c>
      <c r="CI58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86" s="866">
        <f>IF(WWWW[[#This Row],[Location Type 1]]="Village",WWWW[[#This Row],[Access to safe drinking water for Village]],WWWW[[#This Row],[Access to safe drinking water for Camp]])</f>
        <v>1</v>
      </c>
      <c r="CL586" s="864">
        <f>WWWW[[#This Row],[%Equitable and continuous access to sufficient quantity of safe drinking water]]*WWWW[[#This Row],[Total PoP ]]</f>
        <v>120</v>
      </c>
      <c r="CM586" s="866">
        <f>IF((WWWW[[#This Row],['#_Constructed/Existing protected/fenced ponds]]*250)/WWWW[[#This Row],[Total PoP ]]&gt;1,1,(WWWW[[#This Row],['#_Constructed/Existing protected/fenced ponds]]*250)/WWWW[[#This Row],[Total PoP ]])</f>
        <v>0</v>
      </c>
      <c r="CN586" s="864">
        <f>WWWW[[#This Row],[% Access to unimproved water points]]*WWWW[[#This Row],[Total PoP ]]</f>
        <v>0</v>
      </c>
      <c r="CO58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Q586" s="864">
        <f>WWWW[[#This Row],[HRP1]]/500</f>
        <v>0.24</v>
      </c>
      <c r="CR586" s="869">
        <f>1-WWWW[[#This Row],[% Equitable and continuous access to sufficient quantity of domestic water]]</f>
        <v>0</v>
      </c>
      <c r="CS586" s="864">
        <f>WWWW[[#This Row],[%equitable and continuous access to sufficient quantity of safe drinking and domestic water''s GAP]]*WWWW[[#This Row],[Total PoP ]]</f>
        <v>0</v>
      </c>
      <c r="CT586" s="867">
        <f>IF(WWWW[[#This Row],[Total required water points]]-WWWW[[#This Row],['#Water points coverage]]&lt;0,0,WWWW[[#This Row],[Total required water points]]-WWWW[[#This Row],['#Water points coverage]])</f>
        <v>0.76</v>
      </c>
      <c r="CU586" s="867">
        <f>ROUND(IF(WWWW[[#This Row],[Total PoP ]]&lt;500,1,WWWW[[#This Row],[Total PoP ]]/500),0)</f>
        <v>1</v>
      </c>
      <c r="CV586" s="867">
        <f>(WWWW[[#This Row],['#_Constructed latrines_by_WASHAgencies]]+WWWW[[#This Row],['#_Non Cluster partner latrines]])-WWWW[[#This Row],['#_Non-functional latrines]]</f>
        <v>12</v>
      </c>
      <c r="CW586" s="804">
        <f>WWWW[[#This Row],[HRP2]]/WWWW[[#This Row],[Total PoP ]]</f>
        <v>1</v>
      </c>
      <c r="CX58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58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58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6" s="473">
        <f>IF(WWWW[[#This Row],['# of functional latrines in THF supported by WASH partners during the reporting period2]]="",0,WWWW[[#This Row],['# of functional latrines in THF supported by WASH partners during the reporting period2]]*50)</f>
        <v>0</v>
      </c>
      <c r="DB586" s="473">
        <f>WWWW[[#This Row],['# students access to functioning school latrines_HRP5]]+WWWW[[#This Row],['# People access to functioning latrines in THF_HRP5]]</f>
        <v>0</v>
      </c>
      <c r="DC586" s="867">
        <f>ROUND(IF(WWWW[[#This Row],[Location Type 1]]="camp",WWWW[[#This Row],[Total PoP ]]/20,IF(WWWW[[#This Row],[Location Type 1]]="Temporary Location",WWWW[[#This Row],[Total PoP ]]/50,(WWWW[[#This Row],[Total PoP ]]/6))),0)</f>
        <v>6</v>
      </c>
      <c r="DD586" s="867">
        <f>IF(WWWW[[#This Row],[Total required Latrines]]-(WWWW[[#This Row],['#_Constructed latrines_by_WASHAgencies]]+WWWW[[#This Row],['#_Non Cluster partner latrines]])&lt;0,0,WWWW[[#This Row],[Total required Latrines]]-(WWWW[[#This Row],['#_Constructed latrines_by_WASHAgencies]]+WWWW[[#This Row],['#_Non Cluster partner latrines]]))</f>
        <v>0</v>
      </c>
      <c r="DE586" s="869">
        <f>1-WWWW[[#This Row],[% people access to functioning Latrine]]</f>
        <v>0</v>
      </c>
      <c r="DF586" s="868">
        <f>IF(OR(WWWW[[#This Row],['#_Non-functional latrines]]="",WWWW[[#This Row],['#_Non-functional latrines]]=0),0,WWWW[[#This Row],['#_Non-functional latrines]]/(WWWW[[#This Row],['#_Constructed latrines_by_WASHAgencies]]+WWWW[[#This Row],['#_Non Cluster partner latrines]]))</f>
        <v>0</v>
      </c>
      <c r="DG586" s="864">
        <f>IF(500*(WWWW[[#This Row],['#_male hygiene promoters]]+WWWW[[#This Row],['#_female hygiene promoters]])&gt;WWWW[[#This Row],[Total PoP ]],WWWW[[#This Row],[Total PoP ]],500*(WWWW[[#This Row],['#_male hygiene promoters]]+WWWW[[#This Row],['#_female hygiene promoters]]))</f>
        <v>120</v>
      </c>
      <c r="DH58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6" s="867">
        <f>IF(WWWW[[#This Row],['# People with access to soap]]&gt;WWWW[[#This Row],['# People with access to Sanity Pads]],WWWW[[#This Row],['# People with access to soap]],WWWW[[#This Row],['# People with access to Sanity Pads]])</f>
        <v>0</v>
      </c>
      <c r="DK586" s="867">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L586" s="869">
        <f>IF(WWWW[[#This Row],[HRP3]]/WWWW[[#This Row],[Total PoP ]]&gt;1,1,WWWW[[#This Row],[HRP3]]/WWWW[[#This Row],[Total PoP ]])</f>
        <v>1</v>
      </c>
      <c r="DM586" s="868">
        <f>1-WWWW[[#This Row],[Hygiene Coverage%]]</f>
        <v>0</v>
      </c>
      <c r="DN586" s="866">
        <f>WWWW[[#This Row],['# people reached by regular dedicated hygiene promotion_5]]/WWWW[[#This Row],[Total PoP ]]</f>
        <v>1</v>
      </c>
      <c r="DO58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6" s="867">
        <f>WWWW[[#This Row],['#_Constructed/Existing hand washing stations]]-WWWW[[#This Row],['#_Non-Functional_hand_washing_stations]]</f>
        <v>5</v>
      </c>
      <c r="DR586" s="864">
        <f>IF(WWWW[[#This Row],['# Functional hand washing stations during reporting period]]*20&gt;WWWW[[#This Row],[Total HH]],WWWW[[#This Row],[Total HH]],WWWW[[#This Row],['# Functional hand washing stations during reporting period]]*20)</f>
        <v>24</v>
      </c>
      <c r="DS586" s="864">
        <f>IF(WWWW[[#This Row],[Is sufficient soap available for TLS? (Yes/No)]]="yes",WWWW[[#This Row],['#_Constructed/Existing hand washing stations at TLS]],0)</f>
        <v>0</v>
      </c>
      <c r="DT586" s="479">
        <f>IF(WWWW[[#This Row],['# Functional hand washing stations during reporting period]]*100&gt;WWWW[[#This Row],[Total PoP ]],WWWW[[#This Row],[Total PoP ]],WWWW[[#This Row],['# Functional hand washing stations during reporting period]]*100)</f>
        <v>120</v>
      </c>
      <c r="DU586" s="479" t="str">
        <f>IF(OR(WWWW[[#This Row],['#_students at TLS_CFS]]="",WWWW[[#This Row],['#_students at TLS_CFS]]=0),"No","Yes")</f>
        <v>No</v>
      </c>
      <c r="DV58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6" s="862">
        <f>VLOOKUP(WWWW[[#This Row],[Site Name]],SiteDB6[[Site Name]:[CCCM Management]],6,FALSE)</f>
        <v>0</v>
      </c>
      <c r="DZ586" s="862">
        <f>VLOOKUP(WWWW[[#This Row],[Site Name]],SiteDB6[[Site Name]:[CCCM Focal Agency]],7,FALSE)</f>
        <v>0</v>
      </c>
      <c r="EA586" s="862" t="str">
        <f>VLOOKUP(WWWW[[#This Row],[Site Name]],SiteDB6[[Site Name]:[Location Type 1]],9,FALSE)</f>
        <v>Camp</v>
      </c>
      <c r="EB586" s="862" t="str">
        <f>VLOOKUP(WWWW[[#This Row],[Site Name]],SiteDB6[[Site Name]:[Type of Accommodation]],10,FALSE)</f>
        <v>Camp</v>
      </c>
      <c r="EC586" s="862" t="str">
        <f>VLOOKUP(WWWW[[#This Row],[Site Name]],SiteDB6[[Site Name]:[Ethnic or GCA/NGCA]],11,FALSE)</f>
        <v>GCA</v>
      </c>
      <c r="ED586" s="862">
        <f>VLOOKUP(WWWW[[#This Row],[Site Name]],SiteDB6[[Site Name]:[Lat]],12,FALSE)</f>
        <v>0</v>
      </c>
      <c r="EE586" s="862">
        <f>VLOOKUP(WWWW[[#This Row],[Site Name]],SiteDB6[[Site Name]:[Long]],13,FALSE)</f>
        <v>0</v>
      </c>
      <c r="EF586" s="862">
        <f>VLOOKUP(WWWW[[#This Row],[Site Name]],SiteDB6[[Site Name]:[Pcode]],3,FALSE)</f>
        <v>0</v>
      </c>
      <c r="EG586" s="865" t="str">
        <f t="shared" si="17"/>
        <v>Covered</v>
      </c>
      <c r="EH586" s="865">
        <f>VLOOKUP(WWWW[[#This Row],[Site Name]],Site_DB!$C$389:$D$1120,2,FALSE)</f>
        <v>0</v>
      </c>
    </row>
    <row r="587" spans="1:138">
      <c r="A587" s="860" t="s">
        <v>3263</v>
      </c>
      <c r="B587" s="860" t="s">
        <v>279</v>
      </c>
      <c r="C587" s="861" t="s">
        <v>279</v>
      </c>
      <c r="D587" s="861" t="s">
        <v>3370</v>
      </c>
      <c r="E587" s="861" t="s">
        <v>39</v>
      </c>
      <c r="F587" s="861" t="s">
        <v>208</v>
      </c>
      <c r="G587" s="721" t="str">
        <f>VLOOKUP(WWWW[[#This Row],[Site Name]],SiteDB6[[Site Name]:[Location Type]],8,FALSE)</f>
        <v>Camp</v>
      </c>
      <c r="H587" s="861" t="s">
        <v>284</v>
      </c>
      <c r="I587" s="851">
        <v>33</v>
      </c>
      <c r="J587" s="851">
        <v>209</v>
      </c>
      <c r="K587" s="863">
        <v>43833</v>
      </c>
      <c r="L587" s="859">
        <v>44377</v>
      </c>
      <c r="M587" s="851"/>
      <c r="N587" s="851">
        <v>0</v>
      </c>
      <c r="O587" s="851">
        <v>1</v>
      </c>
      <c r="P587" s="851"/>
      <c r="Q587" s="864" t="s">
        <v>43</v>
      </c>
      <c r="R587" s="720">
        <v>3</v>
      </c>
      <c r="S587" s="720">
        <v>6</v>
      </c>
      <c r="T587" s="523">
        <v>1</v>
      </c>
      <c r="U587" s="851"/>
      <c r="V587" s="851"/>
      <c r="W587" s="851">
        <v>0</v>
      </c>
      <c r="X587" s="851">
        <v>0</v>
      </c>
      <c r="Y587" s="851"/>
      <c r="Z587" s="851"/>
      <c r="AA587" s="851"/>
      <c r="AB587" s="851"/>
      <c r="AC587" s="851"/>
      <c r="AD587" s="851"/>
      <c r="AE587" s="851"/>
      <c r="AF587" s="851"/>
      <c r="AG587" s="851">
        <v>1</v>
      </c>
      <c r="AH587" s="851"/>
      <c r="AI587" s="720">
        <v>1</v>
      </c>
      <c r="AJ587" s="720">
        <v>1</v>
      </c>
      <c r="AK587" s="720">
        <v>6</v>
      </c>
      <c r="AL587" s="720">
        <v>6</v>
      </c>
      <c r="AM587" s="851">
        <v>5</v>
      </c>
      <c r="AN587" s="851"/>
      <c r="AO587" s="865"/>
      <c r="AP587" s="851">
        <v>9</v>
      </c>
      <c r="AQ587" s="851"/>
      <c r="AR587" s="866"/>
      <c r="AS587" s="851"/>
      <c r="AT587" s="851"/>
      <c r="AU587" s="851">
        <v>6</v>
      </c>
      <c r="AV587" s="720">
        <v>17</v>
      </c>
      <c r="AW587" s="851"/>
      <c r="AX587" s="862" t="s">
        <v>43</v>
      </c>
      <c r="AY587" s="865" t="s">
        <v>140</v>
      </c>
      <c r="AZ587" s="851">
        <v>0</v>
      </c>
      <c r="BA587" s="851">
        <v>0</v>
      </c>
      <c r="BB587" s="851"/>
      <c r="BC587" s="523"/>
      <c r="BD587" s="523"/>
      <c r="BE587" s="862" t="s">
        <v>3371</v>
      </c>
      <c r="BF587" s="851">
        <v>5</v>
      </c>
      <c r="BG587" s="851"/>
      <c r="BH587" s="851"/>
      <c r="BI587" s="851">
        <v>1</v>
      </c>
      <c r="BJ587" s="851"/>
      <c r="BK587" s="851">
        <v>0</v>
      </c>
      <c r="BL587" s="851">
        <v>1</v>
      </c>
      <c r="BM587" s="851"/>
      <c r="BN587" s="851"/>
      <c r="BO587" s="862"/>
      <c r="BP587" s="867"/>
      <c r="BQ587" s="866"/>
      <c r="BR587" s="862"/>
      <c r="BS587" s="472"/>
      <c r="BT587" s="472"/>
      <c r="BU587" s="474"/>
      <c r="BV587" s="472"/>
      <c r="BW587" s="523"/>
      <c r="BX587" s="523"/>
      <c r="BY587" s="523"/>
      <c r="BZ587" s="868">
        <f>IFERROR(WWWW[[#This Row],['#_Water sources passed]]/WWWW[[#This Row],['#_Water sources tested for fecal coliform ]],"no test")</f>
        <v>1</v>
      </c>
      <c r="CA587" s="866">
        <f>IFERROR(WWWW[[#This Row],['#_Household passed]]/WWWW[[#This Row],['#_Household water samples tested for fecal coliform]],"no test")</f>
        <v>1</v>
      </c>
      <c r="CB587" s="867" t="str">
        <f>IF(AND(WWWW[[#This Row],[% of water sources passed]]="no test",WWWW[[#This Row],[% Household passed]]="no test"),"No Test","Tested")</f>
        <v>Tested</v>
      </c>
      <c r="CC587" s="867">
        <f>WWWW[[#This Row],['#_Constructed/existing protected hand dug well]]-WWWW[[#This Row],['#_Non-functional protected hand dug well]]</f>
        <v>1</v>
      </c>
      <c r="CD587" s="867">
        <f>(WWWW[[#This Row],['#_Constructed/Existing tube wells/boreholes/handpumps_WASH_agency]]+WWWW[[#This Row],['#_Non-Cluster partner water tube-wells/boreholes/handpumps]])-WWWW[[#This Row],['#_Non-functional tube wells/boreholes/handpumps]]</f>
        <v>0</v>
      </c>
      <c r="CE587" s="867">
        <f>WWWW[[#This Row],['#_Constructed/Existingwater storage tank with gravity fed reticulation system]]-WWWW[[#This Row],['#_Non-functional storage tank gravity fed reticulation system]]</f>
        <v>0</v>
      </c>
      <c r="CF587" s="867">
        <f>(WWWW[[#This Row],['#_Water_Liters_supplied_by_Water boating or water trucking]]/90)/15</f>
        <v>0</v>
      </c>
      <c r="CG587" s="867">
        <f>WWWW[[#This Row],['#_Water_Liters_from_Constructed/Existing water distribution system from river or natural spring]]/90/15</f>
        <v>0</v>
      </c>
      <c r="CH587" s="473">
        <f>WWWW[[#This Row],['#_of water points in TLS/CFS /THF]]*500</f>
        <v>0</v>
      </c>
      <c r="CI58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87" s="866">
        <f>IF(WWWW[[#This Row],[Location Type 1]]="Village",WWWW[[#This Row],[Access to safe drinking water for Village]],WWWW[[#This Row],[Access to safe drinking water for Camp]])</f>
        <v>1</v>
      </c>
      <c r="CL587" s="864">
        <f>WWWW[[#This Row],[%Equitable and continuous access to sufficient quantity of safe drinking water]]*WWWW[[#This Row],[Total PoP ]]</f>
        <v>209</v>
      </c>
      <c r="CM587" s="866">
        <f>IF((WWWW[[#This Row],['#_Constructed/Existing protected/fenced ponds]]*250)/WWWW[[#This Row],[Total PoP ]]&gt;1,1,(WWWW[[#This Row],['#_Constructed/Existing protected/fenced ponds]]*250)/WWWW[[#This Row],[Total PoP ]])</f>
        <v>0</v>
      </c>
      <c r="CN587" s="864">
        <f>WWWW[[#This Row],[% Access to unimproved water points]]*WWWW[[#This Row],[Total PoP ]]</f>
        <v>0</v>
      </c>
      <c r="CO58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CQ587" s="864">
        <f>WWWW[[#This Row],[HRP1]]/500</f>
        <v>0.41799999999999998</v>
      </c>
      <c r="CR587" s="869">
        <f>1-WWWW[[#This Row],[% Equitable and continuous access to sufficient quantity of domestic water]]</f>
        <v>0</v>
      </c>
      <c r="CS587" s="864">
        <f>WWWW[[#This Row],[%equitable and continuous access to sufficient quantity of safe drinking and domestic water''s GAP]]*WWWW[[#This Row],[Total PoP ]]</f>
        <v>0</v>
      </c>
      <c r="CT587" s="867">
        <f>IF(WWWW[[#This Row],[Total required water points]]-WWWW[[#This Row],['#Water points coverage]]&lt;0,0,WWWW[[#This Row],[Total required water points]]-WWWW[[#This Row],['#Water points coverage]])</f>
        <v>0.58200000000000007</v>
      </c>
      <c r="CU587" s="867">
        <f>ROUND(IF(WWWW[[#This Row],[Total PoP ]]&lt;500,1,WWWW[[#This Row],[Total PoP ]]/500),0)</f>
        <v>1</v>
      </c>
      <c r="CV587" s="867">
        <f>(WWWW[[#This Row],['#_Constructed latrines_by_WASHAgencies]]+WWWW[[#This Row],['#_Non Cluster partner latrines]])-WWWW[[#This Row],['#_Non-functional latrines]]</f>
        <v>9</v>
      </c>
      <c r="CW587" s="804">
        <f>WWWW[[#This Row],[HRP2]]/WWWW[[#This Row],[Total PoP ]]</f>
        <v>0.86124401913875603</v>
      </c>
      <c r="CX58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CY58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Z58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7" s="473">
        <f>IF(WWWW[[#This Row],['# of functional latrines in THF supported by WASH partners during the reporting period2]]="",0,WWWW[[#This Row],['# of functional latrines in THF supported by WASH partners during the reporting period2]]*50)</f>
        <v>0</v>
      </c>
      <c r="DB587" s="473">
        <f>WWWW[[#This Row],['# students access to functioning school latrines_HRP5]]+WWWW[[#This Row],['# People access to functioning latrines in THF_HRP5]]</f>
        <v>0</v>
      </c>
      <c r="DC587" s="867">
        <f>ROUND(IF(WWWW[[#This Row],[Location Type 1]]="camp",WWWW[[#This Row],[Total PoP ]]/20,IF(WWWW[[#This Row],[Location Type 1]]="Temporary Location",WWWW[[#This Row],[Total PoP ]]/50,(WWWW[[#This Row],[Total PoP ]]/6))),0)</f>
        <v>10</v>
      </c>
      <c r="DD587" s="867">
        <f>IF(WWWW[[#This Row],[Total required Latrines]]-(WWWW[[#This Row],['#_Constructed latrines_by_WASHAgencies]]+WWWW[[#This Row],['#_Non Cluster partner latrines]])&lt;0,0,WWWW[[#This Row],[Total required Latrines]]-(WWWW[[#This Row],['#_Constructed latrines_by_WASHAgencies]]+WWWW[[#This Row],['#_Non Cluster partner latrines]]))</f>
        <v>1</v>
      </c>
      <c r="DE587" s="869">
        <f>1-WWWW[[#This Row],[% people access to functioning Latrine]]</f>
        <v>0.13875598086124397</v>
      </c>
      <c r="DF587" s="868">
        <f>IF(OR(WWWW[[#This Row],['#_Non-functional latrines]]="",WWWW[[#This Row],['#_Non-functional latrines]]=0),0,WWWW[[#This Row],['#_Non-functional latrines]]/(WWWW[[#This Row],['#_Constructed latrines_by_WASHAgencies]]+WWWW[[#This Row],['#_Non Cluster partner latrines]]))</f>
        <v>0</v>
      </c>
      <c r="DG587" s="864">
        <f>IF(500*(WWWW[[#This Row],['#_male hygiene promoters]]+WWWW[[#This Row],['#_female hygiene promoters]])&gt;WWWW[[#This Row],[Total PoP ]],WWWW[[#This Row],[Total PoP ]],500*(WWWW[[#This Row],['#_male hygiene promoters]]+WWWW[[#This Row],['#_female hygiene promoters]]))</f>
        <v>209</v>
      </c>
      <c r="DH58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7" s="867">
        <f>IF(WWWW[[#This Row],['# People with access to soap]]&gt;WWWW[[#This Row],['# People with access to Sanity Pads]],WWWW[[#This Row],['# People with access to soap]],WWWW[[#This Row],['# People with access to Sanity Pads]])</f>
        <v>0</v>
      </c>
      <c r="DK587" s="867">
        <f>IF(WWWW[[#This Row],['# people reached by regular dedicated hygiene promotion_5]]&gt;WWWW[[#This Row],['# People received regular supply of hygiene items_6]],WWWW[[#This Row],['# people reached by regular dedicated hygiene promotion_5]],WWWW[[#This Row],['# People received regular supply of hygiene items_6]])</f>
        <v>209</v>
      </c>
      <c r="DL587" s="869">
        <f>IF(WWWW[[#This Row],[HRP3]]/WWWW[[#This Row],[Total PoP ]]&gt;1,1,WWWW[[#This Row],[HRP3]]/WWWW[[#This Row],[Total PoP ]])</f>
        <v>1</v>
      </c>
      <c r="DM587" s="868">
        <f>1-WWWW[[#This Row],[Hygiene Coverage%]]</f>
        <v>0</v>
      </c>
      <c r="DN587" s="866">
        <f>WWWW[[#This Row],['# people reached by regular dedicated hygiene promotion_5]]/WWWW[[#This Row],[Total PoP ]]</f>
        <v>1</v>
      </c>
      <c r="DO58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7" s="867">
        <f>WWWW[[#This Row],['#_Constructed/Existing hand washing stations]]-WWWW[[#This Row],['#_Non-Functional_hand_washing_stations]]</f>
        <v>5</v>
      </c>
      <c r="DR587" s="864">
        <f>IF(WWWW[[#This Row],['# Functional hand washing stations during reporting period]]*20&gt;WWWW[[#This Row],[Total HH]],WWWW[[#This Row],[Total HH]],WWWW[[#This Row],['# Functional hand washing stations during reporting period]]*20)</f>
        <v>33</v>
      </c>
      <c r="DS587" s="864">
        <f>IF(WWWW[[#This Row],[Is sufficient soap available for TLS? (Yes/No)]]="yes",WWWW[[#This Row],['#_Constructed/Existing hand washing stations at TLS]],0)</f>
        <v>0</v>
      </c>
      <c r="DT587" s="479">
        <f>IF(WWWW[[#This Row],['# Functional hand washing stations during reporting period]]*100&gt;WWWW[[#This Row],[Total PoP ]],WWWW[[#This Row],[Total PoP ]],WWWW[[#This Row],['# Functional hand washing stations during reporting period]]*100)</f>
        <v>209</v>
      </c>
      <c r="DU587" s="479" t="str">
        <f>IF(OR(WWWW[[#This Row],['#_students at TLS_CFS]]="",WWWW[[#This Row],['#_students at TLS_CFS]]=0),"No","Yes")</f>
        <v>No</v>
      </c>
      <c r="DV58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7" s="862" t="str">
        <f>VLOOKUP(WWWW[[#This Row],[Site Name]],SiteDB6[[Site Name]:[CCCM Management]],6,FALSE)</f>
        <v>Yes</v>
      </c>
      <c r="DZ587" s="862" t="str">
        <f>VLOOKUP(WWWW[[#This Row],[Site Name]],SiteDB6[[Site Name]:[CCCM Focal Agency]],7,FALSE)</f>
        <v>KBC-BMO</v>
      </c>
      <c r="EA587" s="862" t="str">
        <f>VLOOKUP(WWWW[[#This Row],[Site Name]],SiteDB6[[Site Name]:[Location Type 1]],9,FALSE)</f>
        <v>Camp</v>
      </c>
      <c r="EB587" s="862" t="str">
        <f>VLOOKUP(WWWW[[#This Row],[Site Name]],SiteDB6[[Site Name]:[Type of Accommodation]],10,FALSE)</f>
        <v>Camp</v>
      </c>
      <c r="EC587" s="862" t="str">
        <f>VLOOKUP(WWWW[[#This Row],[Site Name]],SiteDB6[[Site Name]:[Ethnic or GCA/NGCA]],11,FALSE)</f>
        <v>GCA</v>
      </c>
      <c r="ED587" s="862">
        <f>VLOOKUP(WWWW[[#This Row],[Site Name]],SiteDB6[[Site Name]:[Lat]],12,FALSE)</f>
        <v>24.200972</v>
      </c>
      <c r="EE587" s="862">
        <f>VLOOKUP(WWWW[[#This Row],[Site Name]],SiteDB6[[Site Name]:[Long]],13,FALSE)</f>
        <v>97.718582999999995</v>
      </c>
      <c r="EF587" s="862" t="str">
        <f>VLOOKUP(WWWW[[#This Row],[Site Name]],SiteDB6[[Site Name]:[Pcode]],3,FALSE)</f>
        <v>MMR001CMP071</v>
      </c>
      <c r="EG587" s="865" t="str">
        <f t="shared" si="17"/>
        <v>Covered</v>
      </c>
      <c r="EH587" s="865" t="str">
        <f>VLOOKUP(WWWW[[#This Row],[Site Name]],Site_DB!$C$389:$D$1120,2,FALSE)</f>
        <v>cccm_2019OCT</v>
      </c>
    </row>
    <row r="588" spans="1:138">
      <c r="A588" s="860" t="s">
        <v>3263</v>
      </c>
      <c r="B588" s="860" t="s">
        <v>279</v>
      </c>
      <c r="C588" s="861" t="s">
        <v>279</v>
      </c>
      <c r="D588" s="861" t="s">
        <v>3370</v>
      </c>
      <c r="E588" s="861" t="s">
        <v>39</v>
      </c>
      <c r="F588" s="861" t="s">
        <v>208</v>
      </c>
      <c r="G588" s="721" t="str">
        <f>VLOOKUP(WWWW[[#This Row],[Site Name]],SiteDB6[[Site Name]:[Location Type]],8,FALSE)</f>
        <v>Camp</v>
      </c>
      <c r="H588" s="861" t="s">
        <v>285</v>
      </c>
      <c r="I588" s="720">
        <v>40</v>
      </c>
      <c r="J588" s="720">
        <v>310</v>
      </c>
      <c r="K588" s="863">
        <v>43833</v>
      </c>
      <c r="L588" s="859">
        <v>44377</v>
      </c>
      <c r="M588" s="851"/>
      <c r="N588" s="851"/>
      <c r="O588" s="851">
        <v>1</v>
      </c>
      <c r="P588" s="851"/>
      <c r="Q588" s="864" t="s">
        <v>43</v>
      </c>
      <c r="R588" s="720">
        <v>5</v>
      </c>
      <c r="S588" s="720">
        <v>6</v>
      </c>
      <c r="T588" s="523">
        <v>0</v>
      </c>
      <c r="U588" s="851"/>
      <c r="V588" s="851"/>
      <c r="W588" s="851">
        <v>1</v>
      </c>
      <c r="X588" s="851">
        <v>0</v>
      </c>
      <c r="Y588" s="851"/>
      <c r="Z588" s="851"/>
      <c r="AA588" s="851"/>
      <c r="AB588" s="851"/>
      <c r="AC588" s="851"/>
      <c r="AD588" s="851"/>
      <c r="AE588" s="851">
        <v>1</v>
      </c>
      <c r="AF588" s="851"/>
      <c r="AG588" s="851">
        <v>1</v>
      </c>
      <c r="AH588" s="851"/>
      <c r="AI588" s="720">
        <v>1</v>
      </c>
      <c r="AJ588" s="720">
        <v>1</v>
      </c>
      <c r="AK588" s="720">
        <v>6</v>
      </c>
      <c r="AL588" s="720">
        <v>6</v>
      </c>
      <c r="AM588" s="851"/>
      <c r="AN588" s="851"/>
      <c r="AO588" s="865"/>
      <c r="AP588" s="851">
        <v>6</v>
      </c>
      <c r="AQ588" s="851"/>
      <c r="AR588" s="866"/>
      <c r="AS588" s="851"/>
      <c r="AT588" s="851"/>
      <c r="AU588" s="851">
        <v>3</v>
      </c>
      <c r="AV588" s="720">
        <v>16</v>
      </c>
      <c r="AW588" s="851"/>
      <c r="AX588" s="862" t="s">
        <v>43</v>
      </c>
      <c r="AY588" s="865" t="s">
        <v>140</v>
      </c>
      <c r="AZ588" s="851">
        <v>0</v>
      </c>
      <c r="BA588" s="851">
        <v>0</v>
      </c>
      <c r="BB588" s="851"/>
      <c r="BC588" s="523"/>
      <c r="BD588" s="523"/>
      <c r="BE588" s="862" t="s">
        <v>3371</v>
      </c>
      <c r="BF588" s="851">
        <v>5</v>
      </c>
      <c r="BG588" s="851"/>
      <c r="BH588" s="851"/>
      <c r="BI588" s="851">
        <v>1</v>
      </c>
      <c r="BJ588" s="851"/>
      <c r="BK588" s="851">
        <v>0</v>
      </c>
      <c r="BL588" s="851">
        <v>1</v>
      </c>
      <c r="BM588" s="851"/>
      <c r="BN588" s="851"/>
      <c r="BO588" s="862"/>
      <c r="BP588" s="867"/>
      <c r="BQ588" s="866"/>
      <c r="BR588" s="862"/>
      <c r="BS588" s="472"/>
      <c r="BT588" s="472"/>
      <c r="BU588" s="474"/>
      <c r="BV588" s="472"/>
      <c r="BW588" s="523"/>
      <c r="BX588" s="523"/>
      <c r="BY588" s="523"/>
      <c r="BZ588" s="868">
        <f>IFERROR(WWWW[[#This Row],['#_Water sources passed]]/WWWW[[#This Row],['#_Water sources tested for fecal coliform ]],"no test")</f>
        <v>1</v>
      </c>
      <c r="CA588" s="866">
        <f>IFERROR(WWWW[[#This Row],['#_Household passed]]/WWWW[[#This Row],['#_Household water samples tested for fecal coliform]],"no test")</f>
        <v>1</v>
      </c>
      <c r="CB588" s="867" t="str">
        <f>IF(AND(WWWW[[#This Row],[% of water sources passed]]="no test",WWWW[[#This Row],[% Household passed]]="no test"),"No Test","Tested")</f>
        <v>Tested</v>
      </c>
      <c r="CC588" s="867">
        <f>WWWW[[#This Row],['#_Constructed/existing protected hand dug well]]-WWWW[[#This Row],['#_Non-functional protected hand dug well]]</f>
        <v>0</v>
      </c>
      <c r="CD588" s="867">
        <f>(WWWW[[#This Row],['#_Constructed/Existing tube wells/boreholes/handpumps_WASH_agency]]+WWWW[[#This Row],['#_Non-Cluster partner water tube-wells/boreholes/handpumps]])-WWWW[[#This Row],['#_Non-functional tube wells/boreholes/handpumps]]</f>
        <v>1</v>
      </c>
      <c r="CE588" s="867">
        <f>WWWW[[#This Row],['#_Constructed/Existingwater storage tank with gravity fed reticulation system]]-WWWW[[#This Row],['#_Non-functional storage tank gravity fed reticulation system]]</f>
        <v>0</v>
      </c>
      <c r="CF588" s="867">
        <f>(WWWW[[#This Row],['#_Water_Liters_supplied_by_Water boating or water trucking]]/90)/15</f>
        <v>0</v>
      </c>
      <c r="CG588" s="867">
        <f>WWWW[[#This Row],['#_Water_Liters_from_Constructed/Existing water distribution system from river or natural spring]]/90/15</f>
        <v>0</v>
      </c>
      <c r="CH588" s="473">
        <f>WWWW[[#This Row],['#_of water points in TLS/CFS /THF]]*500</f>
        <v>0</v>
      </c>
      <c r="CI58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0.80645161290322576</v>
      </c>
      <c r="CK588" s="866">
        <f>IF(WWWW[[#This Row],[Location Type 1]]="Village",WWWW[[#This Row],[Access to safe drinking water for Village]],WWWW[[#This Row],[Access to safe drinking water for Camp]])</f>
        <v>1</v>
      </c>
      <c r="CL588" s="864">
        <f>WWWW[[#This Row],[%Equitable and continuous access to sufficient quantity of safe drinking water]]*WWWW[[#This Row],[Total PoP ]]</f>
        <v>310</v>
      </c>
      <c r="CM588" s="866">
        <f>IF((WWWW[[#This Row],['#_Constructed/Existing protected/fenced ponds]]*250)/WWWW[[#This Row],[Total PoP ]]&gt;1,1,(WWWW[[#This Row],['#_Constructed/Existing protected/fenced ponds]]*250)/WWWW[[#This Row],[Total PoP ]])</f>
        <v>0.80645161290322576</v>
      </c>
      <c r="CN588" s="864">
        <f>WWWW[[#This Row],[% Access to unimproved water points]]*WWWW[[#This Row],[Total PoP ]]</f>
        <v>249.99999999999997</v>
      </c>
      <c r="CO58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310</v>
      </c>
      <c r="CQ588" s="864">
        <f>WWWW[[#This Row],[HRP1]]/500</f>
        <v>0.62</v>
      </c>
      <c r="CR588" s="869">
        <f>1-WWWW[[#This Row],[% Equitable and continuous access to sufficient quantity of domestic water]]</f>
        <v>0</v>
      </c>
      <c r="CS588" s="864">
        <f>WWWW[[#This Row],[%equitable and continuous access to sufficient quantity of safe drinking and domestic water''s GAP]]*WWWW[[#This Row],[Total PoP ]]</f>
        <v>0</v>
      </c>
      <c r="CT588" s="867">
        <f>IF(WWWW[[#This Row],[Total required water points]]-WWWW[[#This Row],['#Water points coverage]]&lt;0,0,WWWW[[#This Row],[Total required water points]]-WWWW[[#This Row],['#Water points coverage]])</f>
        <v>0.38</v>
      </c>
      <c r="CU588" s="867">
        <f>ROUND(IF(WWWW[[#This Row],[Total PoP ]]&lt;500,1,WWWW[[#This Row],[Total PoP ]]/500),0)</f>
        <v>1</v>
      </c>
      <c r="CV588" s="867">
        <f>(WWWW[[#This Row],['#_Constructed latrines_by_WASHAgencies]]+WWWW[[#This Row],['#_Non Cluster partner latrines]])-WWWW[[#This Row],['#_Non-functional latrines]]</f>
        <v>6</v>
      </c>
      <c r="CW588" s="804">
        <f>WWWW[[#This Row],[HRP2]]/WWWW[[#This Row],[Total PoP ]]</f>
        <v>0.38709677419354838</v>
      </c>
      <c r="CX58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CY58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Z58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8" s="473">
        <f>IF(WWWW[[#This Row],['# of functional latrines in THF supported by WASH partners during the reporting period2]]="",0,WWWW[[#This Row],['# of functional latrines in THF supported by WASH partners during the reporting period2]]*50)</f>
        <v>0</v>
      </c>
      <c r="DB588" s="473">
        <f>WWWW[[#This Row],['# students access to functioning school latrines_HRP5]]+WWWW[[#This Row],['# People access to functioning latrines in THF_HRP5]]</f>
        <v>0</v>
      </c>
      <c r="DC588" s="867">
        <f>ROUND(IF(WWWW[[#This Row],[Location Type 1]]="camp",WWWW[[#This Row],[Total PoP ]]/20,IF(WWWW[[#This Row],[Location Type 1]]="Temporary Location",WWWW[[#This Row],[Total PoP ]]/50,(WWWW[[#This Row],[Total PoP ]]/6))),0)</f>
        <v>16</v>
      </c>
      <c r="DD588" s="867">
        <f>IF(WWWW[[#This Row],[Total required Latrines]]-(WWWW[[#This Row],['#_Constructed latrines_by_WASHAgencies]]+WWWW[[#This Row],['#_Non Cluster partner latrines]])&lt;0,0,WWWW[[#This Row],[Total required Latrines]]-(WWWW[[#This Row],['#_Constructed latrines_by_WASHAgencies]]+WWWW[[#This Row],['#_Non Cluster partner latrines]]))</f>
        <v>10</v>
      </c>
      <c r="DE588" s="869">
        <f>1-WWWW[[#This Row],[% people access to functioning Latrine]]</f>
        <v>0.61290322580645162</v>
      </c>
      <c r="DF588" s="868">
        <f>IF(OR(WWWW[[#This Row],['#_Non-functional latrines]]="",WWWW[[#This Row],['#_Non-functional latrines]]=0),0,WWWW[[#This Row],['#_Non-functional latrines]]/(WWWW[[#This Row],['#_Constructed latrines_by_WASHAgencies]]+WWWW[[#This Row],['#_Non Cluster partner latrines]]))</f>
        <v>0</v>
      </c>
      <c r="DG588" s="864">
        <f>IF(500*(WWWW[[#This Row],['#_male hygiene promoters]]+WWWW[[#This Row],['#_female hygiene promoters]])&gt;WWWW[[#This Row],[Total PoP ]],WWWW[[#This Row],[Total PoP ]],500*(WWWW[[#This Row],['#_male hygiene promoters]]+WWWW[[#This Row],['#_female hygiene promoters]]))</f>
        <v>310</v>
      </c>
      <c r="DH58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8" s="867">
        <f>IF(WWWW[[#This Row],['# People with access to soap]]&gt;WWWW[[#This Row],['# People with access to Sanity Pads]],WWWW[[#This Row],['# People with access to soap]],WWWW[[#This Row],['# People with access to Sanity Pads]])</f>
        <v>0</v>
      </c>
      <c r="DK588" s="867">
        <f>IF(WWWW[[#This Row],['# people reached by regular dedicated hygiene promotion_5]]&gt;WWWW[[#This Row],['# People received regular supply of hygiene items_6]],WWWW[[#This Row],['# people reached by regular dedicated hygiene promotion_5]],WWWW[[#This Row],['# People received regular supply of hygiene items_6]])</f>
        <v>310</v>
      </c>
      <c r="DL588" s="869">
        <f>IF(WWWW[[#This Row],[HRP3]]/WWWW[[#This Row],[Total PoP ]]&gt;1,1,WWWW[[#This Row],[HRP3]]/WWWW[[#This Row],[Total PoP ]])</f>
        <v>1</v>
      </c>
      <c r="DM588" s="868">
        <f>1-WWWW[[#This Row],[Hygiene Coverage%]]</f>
        <v>0</v>
      </c>
      <c r="DN588" s="866">
        <f>WWWW[[#This Row],['# people reached by regular dedicated hygiene promotion_5]]/WWWW[[#This Row],[Total PoP ]]</f>
        <v>1</v>
      </c>
      <c r="DO58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8" s="867">
        <f>WWWW[[#This Row],['#_Constructed/Existing hand washing stations]]-WWWW[[#This Row],['#_Non-Functional_hand_washing_stations]]</f>
        <v>5</v>
      </c>
      <c r="DR588" s="864">
        <f>IF(WWWW[[#This Row],['# Functional hand washing stations during reporting period]]*20&gt;WWWW[[#This Row],[Total HH]],WWWW[[#This Row],[Total HH]],WWWW[[#This Row],['# Functional hand washing stations during reporting period]]*20)</f>
        <v>40</v>
      </c>
      <c r="DS588" s="864">
        <f>IF(WWWW[[#This Row],[Is sufficient soap available for TLS? (Yes/No)]]="yes",WWWW[[#This Row],['#_Constructed/Existing hand washing stations at TLS]],0)</f>
        <v>0</v>
      </c>
      <c r="DT588" s="479">
        <f>IF(WWWW[[#This Row],['# Functional hand washing stations during reporting period]]*100&gt;WWWW[[#This Row],[Total PoP ]],WWWW[[#This Row],[Total PoP ]],WWWW[[#This Row],['# Functional hand washing stations during reporting period]]*100)</f>
        <v>310</v>
      </c>
      <c r="DU588" s="479" t="str">
        <f>IF(OR(WWWW[[#This Row],['#_students at TLS_CFS]]="",WWWW[[#This Row],['#_students at TLS_CFS]]=0),"No","Yes")</f>
        <v>No</v>
      </c>
      <c r="DV58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8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8" s="862" t="str">
        <f>VLOOKUP(WWWW[[#This Row],[Site Name]],SiteDB6[[Site Name]:[CCCM Management]],6,FALSE)</f>
        <v>Yes</v>
      </c>
      <c r="DZ588" s="862" t="str">
        <f>VLOOKUP(WWWW[[#This Row],[Site Name]],SiteDB6[[Site Name]:[CCCM Focal Agency]],7,FALSE)</f>
        <v>KMSS-BMO</v>
      </c>
      <c r="EA588" s="862" t="str">
        <f>VLOOKUP(WWWW[[#This Row],[Site Name]],SiteDB6[[Site Name]:[Location Type 1]],9,FALSE)</f>
        <v>Camp</v>
      </c>
      <c r="EB588" s="862" t="str">
        <f>VLOOKUP(WWWW[[#This Row],[Site Name]],SiteDB6[[Site Name]:[Type of Accommodation]],10,FALSE)</f>
        <v>Camp</v>
      </c>
      <c r="EC588" s="862" t="str">
        <f>VLOOKUP(WWWW[[#This Row],[Site Name]],SiteDB6[[Site Name]:[Ethnic or GCA/NGCA]],11,FALSE)</f>
        <v>GCA</v>
      </c>
      <c r="ED588" s="862">
        <f>VLOOKUP(WWWW[[#This Row],[Site Name]],SiteDB6[[Site Name]:[Lat]],12,FALSE)</f>
        <v>24.205417000000001</v>
      </c>
      <c r="EE588" s="862">
        <f>VLOOKUP(WWWW[[#This Row],[Site Name]],SiteDB6[[Site Name]:[Long]],13,FALSE)</f>
        <v>97.724566999999993</v>
      </c>
      <c r="EF588" s="862" t="str">
        <f>VLOOKUP(WWWW[[#This Row],[Site Name]],SiteDB6[[Site Name]:[Pcode]],3,FALSE)</f>
        <v>MMR001CMP069</v>
      </c>
      <c r="EG588" s="865" t="str">
        <f t="shared" si="17"/>
        <v>Covered</v>
      </c>
      <c r="EH588" s="865" t="str">
        <f>VLOOKUP(WWWW[[#This Row],[Site Name]],Site_DB!$C$389:$D$1120,2,FALSE)</f>
        <v>cccm_2019OCT</v>
      </c>
    </row>
    <row r="589" spans="1:138">
      <c r="A589" s="860" t="s">
        <v>3263</v>
      </c>
      <c r="B589" s="860" t="s">
        <v>279</v>
      </c>
      <c r="C589" s="861" t="s">
        <v>279</v>
      </c>
      <c r="D589" s="861" t="s">
        <v>3370</v>
      </c>
      <c r="E589" s="861" t="s">
        <v>39</v>
      </c>
      <c r="F589" s="861" t="s">
        <v>208</v>
      </c>
      <c r="G589" s="721" t="str">
        <f>VLOOKUP(WWWW[[#This Row],[Site Name]],SiteDB6[[Site Name]:[Location Type]],8,FALSE)</f>
        <v>Camp</v>
      </c>
      <c r="H589" s="861" t="s">
        <v>286</v>
      </c>
      <c r="I589" s="851">
        <v>219</v>
      </c>
      <c r="J589" s="851">
        <v>1267</v>
      </c>
      <c r="K589" s="863">
        <v>43833</v>
      </c>
      <c r="L589" s="859">
        <v>44377</v>
      </c>
      <c r="M589" s="851"/>
      <c r="N589" s="851">
        <v>0</v>
      </c>
      <c r="O589" s="851">
        <v>4</v>
      </c>
      <c r="P589" s="851"/>
      <c r="Q589" s="864" t="s">
        <v>43</v>
      </c>
      <c r="R589" s="720">
        <v>11</v>
      </c>
      <c r="S589" s="720">
        <v>13</v>
      </c>
      <c r="T589" s="523">
        <v>5</v>
      </c>
      <c r="U589" s="851"/>
      <c r="V589" s="851"/>
      <c r="W589" s="851">
        <v>3</v>
      </c>
      <c r="X589" s="851">
        <v>0</v>
      </c>
      <c r="Y589" s="851"/>
      <c r="Z589" s="851"/>
      <c r="AA589" s="851"/>
      <c r="AB589" s="851"/>
      <c r="AC589" s="851"/>
      <c r="AD589" s="851"/>
      <c r="AE589" s="851"/>
      <c r="AF589" s="851"/>
      <c r="AG589" s="851">
        <v>4</v>
      </c>
      <c r="AH589" s="851"/>
      <c r="AI589" s="720"/>
      <c r="AJ589" s="720"/>
      <c r="AK589" s="720">
        <v>24</v>
      </c>
      <c r="AL589" s="720">
        <v>24</v>
      </c>
      <c r="AM589" s="851">
        <v>15</v>
      </c>
      <c r="AN589" s="851"/>
      <c r="AO589" s="865"/>
      <c r="AP589" s="851">
        <v>38</v>
      </c>
      <c r="AQ589" s="851">
        <v>0</v>
      </c>
      <c r="AR589" s="866"/>
      <c r="AS589" s="851"/>
      <c r="AT589" s="851"/>
      <c r="AU589" s="851">
        <v>10</v>
      </c>
      <c r="AV589" s="720">
        <v>68</v>
      </c>
      <c r="AW589" s="851"/>
      <c r="AX589" s="862" t="s">
        <v>43</v>
      </c>
      <c r="AY589" s="865" t="s">
        <v>140</v>
      </c>
      <c r="AZ589" s="851"/>
      <c r="BA589" s="851"/>
      <c r="BB589" s="851"/>
      <c r="BC589" s="523"/>
      <c r="BD589" s="523"/>
      <c r="BE589" s="862" t="s">
        <v>3371</v>
      </c>
      <c r="BF589" s="851">
        <v>12</v>
      </c>
      <c r="BG589" s="851"/>
      <c r="BH589" s="851"/>
      <c r="BI589" s="851">
        <v>9</v>
      </c>
      <c r="BJ589" s="851"/>
      <c r="BK589" s="851"/>
      <c r="BL589" s="851">
        <v>4</v>
      </c>
      <c r="BM589" s="851"/>
      <c r="BN589" s="851"/>
      <c r="BO589" s="862"/>
      <c r="BP589" s="867"/>
      <c r="BQ589" s="866"/>
      <c r="BR589" s="862"/>
      <c r="BS589" s="472"/>
      <c r="BT589" s="472"/>
      <c r="BU589" s="474"/>
      <c r="BV589" s="472"/>
      <c r="BW589" s="523">
        <v>4</v>
      </c>
      <c r="BX589" s="523"/>
      <c r="BY589" s="523"/>
      <c r="BZ589" s="868" t="str">
        <f>IFERROR(WWWW[[#This Row],['#_Water sources passed]]/WWWW[[#This Row],['#_Water sources tested for fecal coliform ]],"no test")</f>
        <v>no test</v>
      </c>
      <c r="CA589" s="866">
        <f>IFERROR(WWWW[[#This Row],['#_Household passed]]/WWWW[[#This Row],['#_Household water samples tested for fecal coliform]],"no test")</f>
        <v>1</v>
      </c>
      <c r="CB589" s="867" t="str">
        <f>IF(AND(WWWW[[#This Row],[% of water sources passed]]="no test",WWWW[[#This Row],[% Household passed]]="no test"),"No Test","Tested")</f>
        <v>Tested</v>
      </c>
      <c r="CC589" s="867">
        <f>WWWW[[#This Row],['#_Constructed/existing protected hand dug well]]-WWWW[[#This Row],['#_Non-functional protected hand dug well]]</f>
        <v>5</v>
      </c>
      <c r="CD589" s="867">
        <f>(WWWW[[#This Row],['#_Constructed/Existing tube wells/boreholes/handpumps_WASH_agency]]+WWWW[[#This Row],['#_Non-Cluster partner water tube-wells/boreholes/handpumps]])-WWWW[[#This Row],['#_Non-functional tube wells/boreholes/handpumps]]</f>
        <v>3</v>
      </c>
      <c r="CE589" s="867">
        <f>WWWW[[#This Row],['#_Constructed/Existingwater storage tank with gravity fed reticulation system]]-WWWW[[#This Row],['#_Non-functional storage tank gravity fed reticulation system]]</f>
        <v>0</v>
      </c>
      <c r="CF589" s="867">
        <f>(WWWW[[#This Row],['#_Water_Liters_supplied_by_Water boating or water trucking]]/90)/15</f>
        <v>0</v>
      </c>
      <c r="CG589" s="867">
        <f>WWWW[[#This Row],['#_Water_Liters_from_Constructed/Existing water distribution system from river or natural spring]]/90/15</f>
        <v>0</v>
      </c>
      <c r="CH589" s="473">
        <f>WWWW[[#This Row],['#_of water points in TLS/CFS /THF]]*500</f>
        <v>0</v>
      </c>
      <c r="CI58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8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89" s="866">
        <f>IF(WWWW[[#This Row],[Location Type 1]]="Village",WWWW[[#This Row],[Access to safe drinking water for Village]],WWWW[[#This Row],[Access to safe drinking water for Camp]])</f>
        <v>1</v>
      </c>
      <c r="CL589" s="864">
        <f>WWWW[[#This Row],[%Equitable and continuous access to sufficient quantity of safe drinking water]]*WWWW[[#This Row],[Total PoP ]]</f>
        <v>1267</v>
      </c>
      <c r="CM589" s="866">
        <f>IF((WWWW[[#This Row],['#_Constructed/Existing protected/fenced ponds]]*250)/WWWW[[#This Row],[Total PoP ]]&gt;1,1,(WWWW[[#This Row],['#_Constructed/Existing protected/fenced ponds]]*250)/WWWW[[#This Row],[Total PoP ]])</f>
        <v>0</v>
      </c>
      <c r="CN589" s="864">
        <f>WWWW[[#This Row],[% Access to unimproved water points]]*WWWW[[#This Row],[Total PoP ]]</f>
        <v>0</v>
      </c>
      <c r="CO58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8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1267</v>
      </c>
      <c r="CQ589" s="864">
        <f>WWWW[[#This Row],[HRP1]]/500</f>
        <v>2.5339999999999998</v>
      </c>
      <c r="CR589" s="869">
        <f>1-WWWW[[#This Row],[% Equitable and continuous access to sufficient quantity of domestic water]]</f>
        <v>0</v>
      </c>
      <c r="CS589" s="864">
        <f>WWWW[[#This Row],[%equitable and continuous access to sufficient quantity of safe drinking and domestic water''s GAP]]*WWWW[[#This Row],[Total PoP ]]</f>
        <v>0</v>
      </c>
      <c r="CT589" s="867">
        <f>IF(WWWW[[#This Row],[Total required water points]]-WWWW[[#This Row],['#Water points coverage]]&lt;0,0,WWWW[[#This Row],[Total required water points]]-WWWW[[#This Row],['#Water points coverage]])</f>
        <v>0.46600000000000019</v>
      </c>
      <c r="CU589" s="867">
        <f>ROUND(IF(WWWW[[#This Row],[Total PoP ]]&lt;500,1,WWWW[[#This Row],[Total PoP ]]/500),0)</f>
        <v>3</v>
      </c>
      <c r="CV589" s="867">
        <f>(WWWW[[#This Row],['#_Constructed latrines_by_WASHAgencies]]+WWWW[[#This Row],['#_Non Cluster partner latrines]])-WWWW[[#This Row],['#_Non-functional latrines]]</f>
        <v>38</v>
      </c>
      <c r="CW589" s="804">
        <f>WWWW[[#This Row],[HRP2]]/WWWW[[#This Row],[Total PoP ]]</f>
        <v>0.59984214680347281</v>
      </c>
      <c r="CX58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CY58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Z58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89" s="473">
        <f>IF(WWWW[[#This Row],['# of functional latrines in THF supported by WASH partners during the reporting period2]]="",0,WWWW[[#This Row],['# of functional latrines in THF supported by WASH partners during the reporting period2]]*50)</f>
        <v>0</v>
      </c>
      <c r="DB589" s="473">
        <f>WWWW[[#This Row],['# students access to functioning school latrines_HRP5]]+WWWW[[#This Row],['# People access to functioning latrines in THF_HRP5]]</f>
        <v>0</v>
      </c>
      <c r="DC589" s="867">
        <f>ROUND(IF(WWWW[[#This Row],[Location Type 1]]="camp",WWWW[[#This Row],[Total PoP ]]/20,IF(WWWW[[#This Row],[Location Type 1]]="Temporary Location",WWWW[[#This Row],[Total PoP ]]/50,(WWWW[[#This Row],[Total PoP ]]/6))),0)</f>
        <v>63</v>
      </c>
      <c r="DD589" s="867">
        <f>IF(WWWW[[#This Row],[Total required Latrines]]-(WWWW[[#This Row],['#_Constructed latrines_by_WASHAgencies]]+WWWW[[#This Row],['#_Non Cluster partner latrines]])&lt;0,0,WWWW[[#This Row],[Total required Latrines]]-(WWWW[[#This Row],['#_Constructed latrines_by_WASHAgencies]]+WWWW[[#This Row],['#_Non Cluster partner latrines]]))</f>
        <v>25</v>
      </c>
      <c r="DE589" s="869">
        <f>1-WWWW[[#This Row],[% people access to functioning Latrine]]</f>
        <v>0.40015785319652719</v>
      </c>
      <c r="DF589" s="868">
        <f>IF(OR(WWWW[[#This Row],['#_Non-functional latrines]]="",WWWW[[#This Row],['#_Non-functional latrines]]=0),0,WWWW[[#This Row],['#_Non-functional latrines]]/(WWWW[[#This Row],['#_Constructed latrines_by_WASHAgencies]]+WWWW[[#This Row],['#_Non Cluster partner latrines]]))</f>
        <v>0</v>
      </c>
      <c r="DG589" s="864">
        <f>IF(500*(WWWW[[#This Row],['#_male hygiene promoters]]+WWWW[[#This Row],['#_female hygiene promoters]])&gt;WWWW[[#This Row],[Total PoP ]],WWWW[[#This Row],[Total PoP ]],500*(WWWW[[#This Row],['#_male hygiene promoters]]+WWWW[[#This Row],['#_female hygiene promoters]]))</f>
        <v>1267</v>
      </c>
      <c r="DH58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8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89" s="867">
        <f>IF(WWWW[[#This Row],['# People with access to soap]]&gt;WWWW[[#This Row],['# People with access to Sanity Pads]],WWWW[[#This Row],['# People with access to soap]],WWWW[[#This Row],['# People with access to Sanity Pads]])</f>
        <v>0</v>
      </c>
      <c r="DK589" s="867">
        <f>IF(WWWW[[#This Row],['# people reached by regular dedicated hygiene promotion_5]]&gt;WWWW[[#This Row],['# People received regular supply of hygiene items_6]],WWWW[[#This Row],['# people reached by regular dedicated hygiene promotion_5]],WWWW[[#This Row],['# People received regular supply of hygiene items_6]])</f>
        <v>1267</v>
      </c>
      <c r="DL589" s="869">
        <f>IF(WWWW[[#This Row],[HRP3]]/WWWW[[#This Row],[Total PoP ]]&gt;1,1,WWWW[[#This Row],[HRP3]]/WWWW[[#This Row],[Total PoP ]])</f>
        <v>1</v>
      </c>
      <c r="DM589" s="868">
        <f>1-WWWW[[#This Row],[Hygiene Coverage%]]</f>
        <v>0</v>
      </c>
      <c r="DN589" s="866">
        <f>WWWW[[#This Row],['# people reached by regular dedicated hygiene promotion_5]]/WWWW[[#This Row],[Total PoP ]]</f>
        <v>1</v>
      </c>
      <c r="DO58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8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89" s="867">
        <f>WWWW[[#This Row],['#_Constructed/Existing hand washing stations]]-WWWW[[#This Row],['#_Non-Functional_hand_washing_stations]]</f>
        <v>12</v>
      </c>
      <c r="DR589" s="864">
        <f>IF(WWWW[[#This Row],['# Functional hand washing stations during reporting period]]*20&gt;WWWW[[#This Row],[Total HH]],WWWW[[#This Row],[Total HH]],WWWW[[#This Row],['# Functional hand washing stations during reporting period]]*20)</f>
        <v>219</v>
      </c>
      <c r="DS589" s="864">
        <f>IF(WWWW[[#This Row],[Is sufficient soap available for TLS? (Yes/No)]]="yes",WWWW[[#This Row],['#_Constructed/Existing hand washing stations at TLS]],0)</f>
        <v>0</v>
      </c>
      <c r="DT589" s="479">
        <f>IF(WWWW[[#This Row],['# Functional hand washing stations during reporting period]]*100&gt;WWWW[[#This Row],[Total PoP ]],WWWW[[#This Row],[Total PoP ]],WWWW[[#This Row],['# Functional hand washing stations during reporting period]]*100)</f>
        <v>1200</v>
      </c>
      <c r="DU589" s="479" t="str">
        <f>IF(OR(WWWW[[#This Row],['#_students at TLS_CFS]]="",WWWW[[#This Row],['#_students at TLS_CFS]]=0),"No","Yes")</f>
        <v>No</v>
      </c>
      <c r="DV58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8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4</v>
      </c>
      <c r="DX58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89" s="862" t="str">
        <f>VLOOKUP(WWWW[[#This Row],[Site Name]],SiteDB6[[Site Name]:[CCCM Management]],6,FALSE)</f>
        <v>Yes</v>
      </c>
      <c r="DZ589" s="862" t="str">
        <f>VLOOKUP(WWWW[[#This Row],[Site Name]],SiteDB6[[Site Name]:[CCCM Focal Agency]],7,FALSE)</f>
        <v>KBC-BMO</v>
      </c>
      <c r="EA589" s="862" t="str">
        <f>VLOOKUP(WWWW[[#This Row],[Site Name]],SiteDB6[[Site Name]:[Location Type 1]],9,FALSE)</f>
        <v>Camp</v>
      </c>
      <c r="EB589" s="862" t="str">
        <f>VLOOKUP(WWWW[[#This Row],[Site Name]],SiteDB6[[Site Name]:[Type of Accommodation]],10,FALSE)</f>
        <v>Camp</v>
      </c>
      <c r="EC589" s="862" t="str">
        <f>VLOOKUP(WWWW[[#This Row],[Site Name]],SiteDB6[[Site Name]:[Ethnic or GCA/NGCA]],11,FALSE)</f>
        <v>GCA</v>
      </c>
      <c r="ED589" s="862">
        <f>VLOOKUP(WWWW[[#This Row],[Site Name]],SiteDB6[[Site Name]:[Lat]],12,FALSE)</f>
        <v>24.200433</v>
      </c>
      <c r="EE589" s="862">
        <f>VLOOKUP(WWWW[[#This Row],[Site Name]],SiteDB6[[Site Name]:[Long]],13,FALSE)</f>
        <v>97.717133000000004</v>
      </c>
      <c r="EF589" s="862" t="str">
        <f>VLOOKUP(WWWW[[#This Row],[Site Name]],SiteDB6[[Site Name]:[Pcode]],3,FALSE)</f>
        <v>MMR001CMP070</v>
      </c>
      <c r="EG589" s="865" t="str">
        <f t="shared" si="17"/>
        <v>Covered</v>
      </c>
      <c r="EH589" s="865" t="str">
        <f>VLOOKUP(WWWW[[#This Row],[Site Name]],Site_DB!$C$389:$D$1120,2,FALSE)</f>
        <v>cccm_2019OCT</v>
      </c>
    </row>
    <row r="590" spans="1:138">
      <c r="A590" s="860" t="s">
        <v>3263</v>
      </c>
      <c r="B590" s="860" t="s">
        <v>279</v>
      </c>
      <c r="C590" s="861" t="s">
        <v>279</v>
      </c>
      <c r="D590" s="861" t="s">
        <v>3370</v>
      </c>
      <c r="E590" s="861" t="s">
        <v>39</v>
      </c>
      <c r="F590" s="861" t="s">
        <v>208</v>
      </c>
      <c r="G590" s="721" t="str">
        <f>VLOOKUP(WWWW[[#This Row],[Site Name]],SiteDB6[[Site Name]:[Location Type]],8,FALSE)</f>
        <v>Camp_not registered</v>
      </c>
      <c r="H590" s="861" t="s">
        <v>291</v>
      </c>
      <c r="I590" s="851">
        <v>483.8</v>
      </c>
      <c r="J590" s="851">
        <v>2419</v>
      </c>
      <c r="K590" s="863">
        <v>43833</v>
      </c>
      <c r="L590" s="859">
        <v>44377</v>
      </c>
      <c r="M590" s="851"/>
      <c r="N590" s="851">
        <v>0</v>
      </c>
      <c r="O590" s="851">
        <v>0</v>
      </c>
      <c r="P590" s="851"/>
      <c r="Q590" s="864" t="s">
        <v>43</v>
      </c>
      <c r="R590" s="720">
        <v>0</v>
      </c>
      <c r="S590" s="720">
        <v>0</v>
      </c>
      <c r="T590" s="523">
        <v>2</v>
      </c>
      <c r="U590" s="851"/>
      <c r="V590" s="851"/>
      <c r="W590" s="851">
        <v>1</v>
      </c>
      <c r="X590" s="851">
        <v>0</v>
      </c>
      <c r="Y590" s="851"/>
      <c r="Z590" s="851"/>
      <c r="AA590" s="851"/>
      <c r="AB590" s="851"/>
      <c r="AC590" s="851"/>
      <c r="AD590" s="851"/>
      <c r="AE590" s="851"/>
      <c r="AF590" s="851"/>
      <c r="AG590" s="851"/>
      <c r="AH590" s="851"/>
      <c r="AI590" s="851"/>
      <c r="AJ590" s="851"/>
      <c r="AK590" s="851"/>
      <c r="AL590" s="851"/>
      <c r="AM590" s="851"/>
      <c r="AN590" s="851">
        <v>2</v>
      </c>
      <c r="AO590" s="865"/>
      <c r="AP590" s="851">
        <v>7</v>
      </c>
      <c r="AQ590" s="851"/>
      <c r="AR590" s="866"/>
      <c r="AS590" s="851"/>
      <c r="AT590" s="851"/>
      <c r="AU590" s="851"/>
      <c r="AV590" s="720"/>
      <c r="AW590" s="851"/>
      <c r="AX590" s="862" t="s">
        <v>43</v>
      </c>
      <c r="AY590" s="865" t="s">
        <v>140</v>
      </c>
      <c r="AZ590" s="851">
        <v>0</v>
      </c>
      <c r="BA590" s="851">
        <v>0</v>
      </c>
      <c r="BB590" s="851"/>
      <c r="BC590" s="523"/>
      <c r="BD590" s="523"/>
      <c r="BE590" s="862" t="s">
        <v>3371</v>
      </c>
      <c r="BF590" s="851"/>
      <c r="BG590" s="851"/>
      <c r="BH590" s="851"/>
      <c r="BI590" s="851">
        <v>0</v>
      </c>
      <c r="BJ590" s="851"/>
      <c r="BK590" s="851">
        <v>0</v>
      </c>
      <c r="BL590" s="851">
        <v>0</v>
      </c>
      <c r="BM590" s="851"/>
      <c r="BN590" s="851"/>
      <c r="BO590" s="862"/>
      <c r="BP590" s="867"/>
      <c r="BQ590" s="866"/>
      <c r="BR590" s="862"/>
      <c r="BS590" s="472"/>
      <c r="BT590" s="472"/>
      <c r="BU590" s="474"/>
      <c r="BV590" s="472"/>
      <c r="BW590" s="523"/>
      <c r="BX590" s="523"/>
      <c r="BY590" s="523"/>
      <c r="BZ590" s="868" t="str">
        <f>IFERROR(WWWW[[#This Row],['#_Water sources passed]]/WWWW[[#This Row],['#_Water sources tested for fecal coliform ]],"no test")</f>
        <v>no test</v>
      </c>
      <c r="CA590" s="866" t="str">
        <f>IFERROR(WWWW[[#This Row],['#_Household passed]]/WWWW[[#This Row],['#_Household water samples tested for fecal coliform]],"no test")</f>
        <v>no test</v>
      </c>
      <c r="CB590" s="867" t="str">
        <f>IF(AND(WWWW[[#This Row],[% of water sources passed]]="no test",WWWW[[#This Row],[% Household passed]]="no test"),"No Test","Tested")</f>
        <v>No Test</v>
      </c>
      <c r="CC590" s="867">
        <f>WWWW[[#This Row],['#_Constructed/existing protected hand dug well]]-WWWW[[#This Row],['#_Non-functional protected hand dug well]]</f>
        <v>2</v>
      </c>
      <c r="CD590" s="867">
        <f>(WWWW[[#This Row],['#_Constructed/Existing tube wells/boreholes/handpumps_WASH_agency]]+WWWW[[#This Row],['#_Non-Cluster partner water tube-wells/boreholes/handpumps]])-WWWW[[#This Row],['#_Non-functional tube wells/boreholes/handpumps]]</f>
        <v>1</v>
      </c>
      <c r="CE590" s="867">
        <f>WWWW[[#This Row],['#_Constructed/Existingwater storage tank with gravity fed reticulation system]]-WWWW[[#This Row],['#_Non-functional storage tank gravity fed reticulation system]]</f>
        <v>0</v>
      </c>
      <c r="CF590" s="867">
        <f>(WWWW[[#This Row],['#_Water_Liters_supplied_by_Water boating or water trucking]]/90)/15</f>
        <v>0</v>
      </c>
      <c r="CG590" s="867">
        <f>WWWW[[#This Row],['#_Water_Liters_from_Constructed/Existing water distribution system from river or natural spring]]/90/15</f>
        <v>0</v>
      </c>
      <c r="CH590" s="473">
        <f>WWWW[[#This Row],['#_of water points in TLS/CFS /THF]]*500</f>
        <v>1000</v>
      </c>
      <c r="CI59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0.5374121537825548</v>
      </c>
      <c r="CJ59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0.31004547333608928</v>
      </c>
      <c r="CK590" s="866">
        <f>IF(WWWW[[#This Row],[Location Type 1]]="Village",WWWW[[#This Row],[Access to safe drinking water for Village]],WWWW[[#This Row],[Access to safe drinking water for Camp]])</f>
        <v>0.5374121537825548</v>
      </c>
      <c r="CL590" s="864">
        <f>WWWW[[#This Row],[%Equitable and continuous access to sufficient quantity of safe drinking water]]*WWWW[[#This Row],[Total PoP ]]</f>
        <v>1300</v>
      </c>
      <c r="CM590" s="866">
        <f>IF((WWWW[[#This Row],['#_Constructed/Existing protected/fenced ponds]]*250)/WWWW[[#This Row],[Total PoP ]]&gt;1,1,(WWWW[[#This Row],['#_Constructed/Existing protected/fenced ponds]]*250)/WWWW[[#This Row],[Total PoP ]])</f>
        <v>0</v>
      </c>
      <c r="CN590" s="864">
        <f>WWWW[[#This Row],[% Access to unimproved water points]]*WWWW[[#This Row],[Total PoP ]]</f>
        <v>0</v>
      </c>
      <c r="CO59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0.5374121537825548</v>
      </c>
      <c r="CP59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1300</v>
      </c>
      <c r="CQ590" s="864">
        <f>WWWW[[#This Row],[HRP1]]/500</f>
        <v>2.6</v>
      </c>
      <c r="CR590" s="869">
        <f>1-WWWW[[#This Row],[% Equitable and continuous access to sufficient quantity of domestic water]]</f>
        <v>0.4625878462174452</v>
      </c>
      <c r="CS590" s="864">
        <f>WWWW[[#This Row],[%equitable and continuous access to sufficient quantity of safe drinking and domestic water''s GAP]]*WWWW[[#This Row],[Total PoP ]]</f>
        <v>1119</v>
      </c>
      <c r="CT590" s="867">
        <f>IF(WWWW[[#This Row],[Total required water points]]-WWWW[[#This Row],['#Water points coverage]]&lt;0,0,WWWW[[#This Row],[Total required water points]]-WWWW[[#This Row],['#Water points coverage]])</f>
        <v>2.4</v>
      </c>
      <c r="CU590" s="867">
        <f>ROUND(IF(WWWW[[#This Row],[Total PoP ]]&lt;500,1,WWWW[[#This Row],[Total PoP ]]/500),0)</f>
        <v>5</v>
      </c>
      <c r="CV590" s="867">
        <f>(WWWW[[#This Row],['#_Constructed latrines_by_WASHAgencies]]+WWWW[[#This Row],['#_Non Cluster partner latrines]])-WWWW[[#This Row],['#_Non-functional latrines]]</f>
        <v>7</v>
      </c>
      <c r="CW590" s="804">
        <f>WWWW[[#This Row],[HRP2]]/WWWW[[#This Row],[Total PoP ]]</f>
        <v>5.7875155022736671E-2</v>
      </c>
      <c r="CX59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CY59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0" s="473">
        <f>IF(WWWW[[#This Row],['# of functional latrines in THF supported by WASH partners during the reporting period2]]="",0,WWWW[[#This Row],['# of functional latrines in THF supported by WASH partners during the reporting period2]]*50)</f>
        <v>0</v>
      </c>
      <c r="DB590" s="473">
        <f>WWWW[[#This Row],['# students access to functioning school latrines_HRP5]]+WWWW[[#This Row],['# People access to functioning latrines in THF_HRP5]]</f>
        <v>0</v>
      </c>
      <c r="DC590" s="867">
        <f>ROUND(IF(WWWW[[#This Row],[Location Type 1]]="camp",WWWW[[#This Row],[Total PoP ]]/20,IF(WWWW[[#This Row],[Location Type 1]]="Temporary Location",WWWW[[#This Row],[Total PoP ]]/50,(WWWW[[#This Row],[Total PoP ]]/6))),0)</f>
        <v>121</v>
      </c>
      <c r="DD590" s="867">
        <f>IF(WWWW[[#This Row],[Total required Latrines]]-(WWWW[[#This Row],['#_Constructed latrines_by_WASHAgencies]]+WWWW[[#This Row],['#_Non Cluster partner latrines]])&lt;0,0,WWWW[[#This Row],[Total required Latrines]]-(WWWW[[#This Row],['#_Constructed latrines_by_WASHAgencies]]+WWWW[[#This Row],['#_Non Cluster partner latrines]]))</f>
        <v>114</v>
      </c>
      <c r="DE590" s="869">
        <f>1-WWWW[[#This Row],[% people access to functioning Latrine]]</f>
        <v>0.94212484497726334</v>
      </c>
      <c r="DF590" s="868">
        <f>IF(OR(WWWW[[#This Row],['#_Non-functional latrines]]="",WWWW[[#This Row],['#_Non-functional latrines]]=0),0,WWWW[[#This Row],['#_Non-functional latrines]]/(WWWW[[#This Row],['#_Constructed latrines_by_WASHAgencies]]+WWWW[[#This Row],['#_Non Cluster partner latrines]]))</f>
        <v>0</v>
      </c>
      <c r="DG590" s="864">
        <f>IF(500*(WWWW[[#This Row],['#_male hygiene promoters]]+WWWW[[#This Row],['#_female hygiene promoters]])&gt;WWWW[[#This Row],[Total PoP ]],WWWW[[#This Row],[Total PoP ]],500*(WWWW[[#This Row],['#_male hygiene promoters]]+WWWW[[#This Row],['#_female hygiene promoters]]))</f>
        <v>0</v>
      </c>
      <c r="DH59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0" s="867">
        <f>IF(WWWW[[#This Row],['# People with access to soap]]&gt;WWWW[[#This Row],['# People with access to Sanity Pads]],WWWW[[#This Row],['# People with access to soap]],WWWW[[#This Row],['# People with access to Sanity Pads]])</f>
        <v>0</v>
      </c>
      <c r="DK590"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90" s="869">
        <f>IF(WWWW[[#This Row],[HRP3]]/WWWW[[#This Row],[Total PoP ]]&gt;1,1,WWWW[[#This Row],[HRP3]]/WWWW[[#This Row],[Total PoP ]])</f>
        <v>0</v>
      </c>
      <c r="DM590" s="868">
        <f>1-WWWW[[#This Row],[Hygiene Coverage%]]</f>
        <v>1</v>
      </c>
      <c r="DN590" s="866">
        <f>WWWW[[#This Row],['# people reached by regular dedicated hygiene promotion_5]]/WWWW[[#This Row],[Total PoP ]]</f>
        <v>0</v>
      </c>
      <c r="DO59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0" s="867">
        <f>WWWW[[#This Row],['#_Constructed/Existing hand washing stations]]-WWWW[[#This Row],['#_Non-Functional_hand_washing_stations]]</f>
        <v>0</v>
      </c>
      <c r="DR590" s="864">
        <f>IF(WWWW[[#This Row],['# Functional hand washing stations during reporting period]]*20&gt;WWWW[[#This Row],[Total HH]],WWWW[[#This Row],[Total HH]],WWWW[[#This Row],['# Functional hand washing stations during reporting period]]*20)</f>
        <v>0</v>
      </c>
      <c r="DS590" s="864">
        <f>IF(WWWW[[#This Row],[Is sufficient soap available for TLS? (Yes/No)]]="yes",WWWW[[#This Row],['#_Constructed/Existing hand washing stations at TLS]],0)</f>
        <v>0</v>
      </c>
      <c r="DT590" s="479">
        <f>IF(WWWW[[#This Row],['# Functional hand washing stations during reporting period]]*100&gt;WWWW[[#This Row],[Total PoP ]],WWWW[[#This Row],[Total PoP ]],WWWW[[#This Row],['# Functional hand washing stations during reporting period]]*100)</f>
        <v>0</v>
      </c>
      <c r="DU590" s="479" t="str">
        <f>IF(OR(WWWW[[#This Row],['#_students at TLS_CFS]]="",WWWW[[#This Row],['#_students at TLS_CFS]]=0),"No","Yes")</f>
        <v>No</v>
      </c>
      <c r="DV59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590" s="862">
        <f>VLOOKUP(WWWW[[#This Row],[Site Name]],SiteDB6[[Site Name]:[CCCM Management]],6,FALSE)</f>
        <v>0</v>
      </c>
      <c r="DZ590" s="862">
        <f>VLOOKUP(WWWW[[#This Row],[Site Name]],SiteDB6[[Site Name]:[CCCM Focal Agency]],7,FALSE)</f>
        <v>0</v>
      </c>
      <c r="EA590" s="862" t="str">
        <f>VLOOKUP(WWWW[[#This Row],[Site Name]],SiteDB6[[Site Name]:[Location Type 1]],9,FALSE)</f>
        <v>Camp</v>
      </c>
      <c r="EB590" s="862" t="str">
        <f>VLOOKUP(WWWW[[#This Row],[Site Name]],SiteDB6[[Site Name]:[Type of Accommodation]],10,FALSE)</f>
        <v>School</v>
      </c>
      <c r="EC590" s="862" t="str">
        <f>VLOOKUP(WWWW[[#This Row],[Site Name]],SiteDB6[[Site Name]:[Ethnic or GCA/NGCA]],11,FALSE)</f>
        <v>GCA</v>
      </c>
      <c r="ED590" s="862">
        <f>VLOOKUP(WWWW[[#This Row],[Site Name]],SiteDB6[[Site Name]:[Lat]],12,FALSE)</f>
        <v>0</v>
      </c>
      <c r="EE590" s="862">
        <f>VLOOKUP(WWWW[[#This Row],[Site Name]],SiteDB6[[Site Name]:[Long]],13,FALSE)</f>
        <v>0</v>
      </c>
      <c r="EF590" s="862">
        <f>VLOOKUP(WWWW[[#This Row],[Site Name]],SiteDB6[[Site Name]:[Pcode]],3,FALSE)</f>
        <v>0</v>
      </c>
      <c r="EG590" s="865" t="str">
        <f t="shared" si="17"/>
        <v>Covered</v>
      </c>
      <c r="EH590" s="865">
        <f>VLOOKUP(WWWW[[#This Row],[Site Name]],Site_DB!$C$389:$D$1120,2,FALSE)</f>
        <v>0</v>
      </c>
    </row>
    <row r="591" spans="1:138">
      <c r="A591" s="860" t="s">
        <v>3263</v>
      </c>
      <c r="B591" s="860" t="s">
        <v>3376</v>
      </c>
      <c r="C591" s="861" t="s">
        <v>3376</v>
      </c>
      <c r="D591" s="404" t="s">
        <v>3648</v>
      </c>
      <c r="E591" s="861" t="s">
        <v>39</v>
      </c>
      <c r="F591" s="861" t="s">
        <v>208</v>
      </c>
      <c r="G591" s="721" t="str">
        <f>VLOOKUP(WWWW[[#This Row],[Site Name]],SiteDB6[[Site Name]:[Location Type]],8,FALSE)</f>
        <v>Camp</v>
      </c>
      <c r="H591" s="861" t="s">
        <v>216</v>
      </c>
      <c r="I591" s="851">
        <v>97</v>
      </c>
      <c r="J591" s="851">
        <v>527</v>
      </c>
      <c r="K591" s="863" t="s">
        <v>3601</v>
      </c>
      <c r="L591" s="859" t="s">
        <v>3602</v>
      </c>
      <c r="M591" s="851"/>
      <c r="N591" s="851"/>
      <c r="O591" s="851">
        <v>6</v>
      </c>
      <c r="P591" s="851"/>
      <c r="Q591" s="864" t="s">
        <v>43</v>
      </c>
      <c r="R591" s="851">
        <v>5</v>
      </c>
      <c r="S591" s="851">
        <v>3</v>
      </c>
      <c r="T591" s="523">
        <v>2</v>
      </c>
      <c r="U591" s="851"/>
      <c r="V591" s="851"/>
      <c r="W591" s="851"/>
      <c r="X591" s="851"/>
      <c r="Y591" s="851"/>
      <c r="Z591" s="851"/>
      <c r="AA591" s="851"/>
      <c r="AB591" s="851"/>
      <c r="AC591" s="851"/>
      <c r="AD591" s="851"/>
      <c r="AE591" s="851"/>
      <c r="AF591" s="851"/>
      <c r="AG591" s="851"/>
      <c r="AH591" s="851"/>
      <c r="AI591" s="851"/>
      <c r="AJ591" s="851"/>
      <c r="AK591" s="851"/>
      <c r="AL591" s="851"/>
      <c r="AM591" s="851">
        <v>1</v>
      </c>
      <c r="AN591" s="851"/>
      <c r="AO591" s="865" t="s">
        <v>3380</v>
      </c>
      <c r="AP591" s="851">
        <v>14</v>
      </c>
      <c r="AQ591" s="851"/>
      <c r="AR591" s="866"/>
      <c r="AS591" s="851"/>
      <c r="AT591" s="851"/>
      <c r="AU591" s="851"/>
      <c r="AV591" s="851"/>
      <c r="AW591" s="851"/>
      <c r="AX591" s="862" t="s">
        <v>43</v>
      </c>
      <c r="AY591" s="865" t="s">
        <v>140</v>
      </c>
      <c r="AZ591" s="851"/>
      <c r="BA591" s="851"/>
      <c r="BB591" s="851">
        <v>2</v>
      </c>
      <c r="BC591" s="523"/>
      <c r="BD591" s="523"/>
      <c r="BE591" s="862"/>
      <c r="BF591" s="851">
        <v>8</v>
      </c>
      <c r="BG591" s="851"/>
      <c r="BH591" s="851"/>
      <c r="BI591" s="851">
        <v>4</v>
      </c>
      <c r="BJ591" s="851"/>
      <c r="BK591" s="851"/>
      <c r="BL591" s="851">
        <v>43</v>
      </c>
      <c r="BM591" s="851">
        <v>97</v>
      </c>
      <c r="BN591" s="851"/>
      <c r="BO591" s="862" t="s">
        <v>139</v>
      </c>
      <c r="BP591" s="867"/>
      <c r="BQ591" s="866"/>
      <c r="BR591" s="806" t="s">
        <v>3645</v>
      </c>
      <c r="BS591" s="472"/>
      <c r="BT591" s="472"/>
      <c r="BU591" s="474"/>
      <c r="BV591" s="472"/>
      <c r="BW591" s="523"/>
      <c r="BX591" s="523"/>
      <c r="BY591" s="523"/>
      <c r="BZ591" s="868" t="str">
        <f>IFERROR(WWWW[[#This Row],['#_Water sources passed]]/WWWW[[#This Row],['#_Water sources tested for fecal coliform ]],"no test")</f>
        <v>no test</v>
      </c>
      <c r="CA591" s="866" t="str">
        <f>IFERROR(WWWW[[#This Row],['#_Household passed]]/WWWW[[#This Row],['#_Household water samples tested for fecal coliform]],"no test")</f>
        <v>no test</v>
      </c>
      <c r="CB591" s="867" t="str">
        <f>IF(AND(WWWW[[#This Row],[% of water sources passed]]="no test",WWWW[[#This Row],[% Household passed]]="no test"),"No Test","Tested")</f>
        <v>No Test</v>
      </c>
      <c r="CC591" s="867">
        <f>WWWW[[#This Row],['#_Constructed/existing protected hand dug well]]-WWWW[[#This Row],['#_Non-functional protected hand dug well]]</f>
        <v>2</v>
      </c>
      <c r="CD591" s="867">
        <f>(WWWW[[#This Row],['#_Constructed/Existing tube wells/boreholes/handpumps_WASH_agency]]+WWWW[[#This Row],['#_Non-Cluster partner water tube-wells/boreholes/handpumps]])-WWWW[[#This Row],['#_Non-functional tube wells/boreholes/handpumps]]</f>
        <v>0</v>
      </c>
      <c r="CE591" s="867">
        <f>WWWW[[#This Row],['#_Constructed/Existingwater storage tank with gravity fed reticulation system]]-WWWW[[#This Row],['#_Non-functional storage tank gravity fed reticulation system]]</f>
        <v>0</v>
      </c>
      <c r="CF591" s="867">
        <f>(WWWW[[#This Row],['#_Water_Liters_supplied_by_Water boating or water trucking]]/90)/15</f>
        <v>0</v>
      </c>
      <c r="CG591" s="867">
        <f>WWWW[[#This Row],['#_Water_Liters_from_Constructed/Existing water distribution system from river or natural spring]]/90/15</f>
        <v>0</v>
      </c>
      <c r="CH591" s="473">
        <f>WWWW[[#This Row],['#_of water points in TLS/CFS /THF]]*500</f>
        <v>0</v>
      </c>
      <c r="CI591"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1"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0.94876660341555974</v>
      </c>
      <c r="CK591" s="866">
        <f>IF(WWWW[[#This Row],[Location Type 1]]="Village",WWWW[[#This Row],[Access to safe drinking water for Village]],WWWW[[#This Row],[Access to safe drinking water for Camp]])</f>
        <v>1</v>
      </c>
      <c r="CL591" s="864">
        <f>WWWW[[#This Row],[%Equitable and continuous access to sufficient quantity of safe drinking water]]*WWWW[[#This Row],[Total PoP ]]</f>
        <v>527</v>
      </c>
      <c r="CM591" s="866">
        <f>IF((WWWW[[#This Row],['#_Constructed/Existing protected/fenced ponds]]*250)/WWWW[[#This Row],[Total PoP ]]&gt;1,1,(WWWW[[#This Row],['#_Constructed/Existing protected/fenced ponds]]*250)/WWWW[[#This Row],[Total PoP ]])</f>
        <v>0</v>
      </c>
      <c r="CN591" s="864">
        <f>WWWW[[#This Row],[% Access to unimproved water points]]*WWWW[[#This Row],[Total PoP ]]</f>
        <v>0</v>
      </c>
      <c r="CO591"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1"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527</v>
      </c>
      <c r="CQ591" s="864">
        <f>WWWW[[#This Row],[HRP1]]/500</f>
        <v>1.054</v>
      </c>
      <c r="CR591" s="869">
        <f>1-WWWW[[#This Row],[% Equitable and continuous access to sufficient quantity of domestic water]]</f>
        <v>0</v>
      </c>
      <c r="CS591" s="864">
        <f>WWWW[[#This Row],[%equitable and continuous access to sufficient quantity of safe drinking and domestic water''s GAP]]*WWWW[[#This Row],[Total PoP ]]</f>
        <v>0</v>
      </c>
      <c r="CT591" s="867">
        <f>IF(WWWW[[#This Row],[Total required water points]]-WWWW[[#This Row],['#Water points coverage]]&lt;0,0,WWWW[[#This Row],[Total required water points]]-WWWW[[#This Row],['#Water points coverage]])</f>
        <v>0</v>
      </c>
      <c r="CU591" s="867">
        <f>ROUND(IF(WWWW[[#This Row],[Total PoP ]]&lt;500,1,WWWW[[#This Row],[Total PoP ]]/500),0)</f>
        <v>1</v>
      </c>
      <c r="CV591" s="867">
        <f>(WWWW[[#This Row],['#_Constructed latrines_by_WASHAgencies]]+WWWW[[#This Row],['#_Non Cluster partner latrines]])-WWWW[[#This Row],['#_Non-functional latrines]]</f>
        <v>14</v>
      </c>
      <c r="CW591" s="804">
        <f>WWWW[[#This Row],[HRP2]]/WWWW[[#This Row],[Total PoP ]]</f>
        <v>0.53130929791271342</v>
      </c>
      <c r="CX591"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CY591"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1"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1" s="473">
        <f>IF(WWWW[[#This Row],['# of functional latrines in THF supported by WASH partners during the reporting period2]]="",0,WWWW[[#This Row],['# of functional latrines in THF supported by WASH partners during the reporting period2]]*50)</f>
        <v>0</v>
      </c>
      <c r="DB591" s="473">
        <f>WWWW[[#This Row],['# students access to functioning school latrines_HRP5]]+WWWW[[#This Row],['# People access to functioning latrines in THF_HRP5]]</f>
        <v>0</v>
      </c>
      <c r="DC591" s="867">
        <f>ROUND(IF(WWWW[[#This Row],[Location Type 1]]="camp",WWWW[[#This Row],[Total PoP ]]/20,IF(WWWW[[#This Row],[Location Type 1]]="Temporary Location",WWWW[[#This Row],[Total PoP ]]/50,(WWWW[[#This Row],[Total PoP ]]/6))),0)</f>
        <v>26</v>
      </c>
      <c r="DD591" s="867">
        <f>IF(WWWW[[#This Row],[Total required Latrines]]-(WWWW[[#This Row],['#_Constructed latrines_by_WASHAgencies]]+WWWW[[#This Row],['#_Non Cluster partner latrines]])&lt;0,0,WWWW[[#This Row],[Total required Latrines]]-(WWWW[[#This Row],['#_Constructed latrines_by_WASHAgencies]]+WWWW[[#This Row],['#_Non Cluster partner latrines]]))</f>
        <v>12</v>
      </c>
      <c r="DE591" s="869">
        <f>1-WWWW[[#This Row],[% people access to functioning Latrine]]</f>
        <v>0.46869070208728658</v>
      </c>
      <c r="DF591" s="868">
        <f>IF(OR(WWWW[[#This Row],['#_Non-functional latrines]]="",WWWW[[#This Row],['#_Non-functional latrines]]=0),0,WWWW[[#This Row],['#_Non-functional latrines]]/(WWWW[[#This Row],['#_Constructed latrines_by_WASHAgencies]]+WWWW[[#This Row],['#_Non Cluster partner latrines]]))</f>
        <v>0</v>
      </c>
      <c r="DG591" s="864">
        <f>IF(500*(WWWW[[#This Row],['#_male hygiene promoters]]+WWWW[[#This Row],['#_female hygiene promoters]])&gt;WWWW[[#This Row],[Total PoP ]],WWWW[[#This Row],[Total PoP ]],500*(WWWW[[#This Row],['#_male hygiene promoters]]+WWWW[[#This Row],['#_female hygiene promoters]]))</f>
        <v>527</v>
      </c>
      <c r="DH591"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527</v>
      </c>
      <c r="DI591"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1" s="867">
        <f>IF(WWWW[[#This Row],['# People with access to soap]]&gt;WWWW[[#This Row],['# People with access to Sanity Pads]],WWWW[[#This Row],['# People with access to soap]],WWWW[[#This Row],['# People with access to Sanity Pads]])</f>
        <v>527</v>
      </c>
      <c r="DK591" s="867">
        <f>IF(WWWW[[#This Row],['# people reached by regular dedicated hygiene promotion_5]]&gt;WWWW[[#This Row],['# People received regular supply of hygiene items_6]],WWWW[[#This Row],['# people reached by regular dedicated hygiene promotion_5]],WWWW[[#This Row],['# People received regular supply of hygiene items_6]])</f>
        <v>527</v>
      </c>
      <c r="DL591" s="869">
        <f>IF(WWWW[[#This Row],[HRP3]]/WWWW[[#This Row],[Total PoP ]]&gt;1,1,WWWW[[#This Row],[HRP3]]/WWWW[[#This Row],[Total PoP ]])</f>
        <v>1</v>
      </c>
      <c r="DM591" s="868">
        <f>1-WWWW[[#This Row],[Hygiene Coverage%]]</f>
        <v>0</v>
      </c>
      <c r="DN591" s="866">
        <f>WWWW[[#This Row],['# people reached by regular dedicated hygiene promotion_5]]/WWWW[[#This Row],[Total PoP ]]</f>
        <v>1</v>
      </c>
      <c r="DO591"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P591"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1" s="867">
        <f>WWWW[[#This Row],['#_Constructed/Existing hand washing stations]]-WWWW[[#This Row],['#_Non-Functional_hand_washing_stations]]</f>
        <v>8</v>
      </c>
      <c r="DR591" s="864">
        <f>IF(WWWW[[#This Row],['# Functional hand washing stations during reporting period]]*20&gt;WWWW[[#This Row],[Total HH]],WWWW[[#This Row],[Total HH]],WWWW[[#This Row],['# Functional hand washing stations during reporting period]]*20)</f>
        <v>97</v>
      </c>
      <c r="DS591" s="864">
        <f>IF(WWWW[[#This Row],[Is sufficient soap available for TLS? (Yes/No)]]="yes",WWWW[[#This Row],['#_Constructed/Existing hand washing stations at TLS]],0)</f>
        <v>0</v>
      </c>
      <c r="DT591" s="479">
        <f>IF(WWWW[[#This Row],['# Functional hand washing stations during reporting period]]*100&gt;WWWW[[#This Row],[Total PoP ]],WWWW[[#This Row],[Total PoP ]],WWWW[[#This Row],['# Functional hand washing stations during reporting period]]*100)</f>
        <v>527</v>
      </c>
      <c r="DU591" s="479" t="str">
        <f>IF(OR(WWWW[[#This Row],['#_students at TLS_CFS]]="",WWWW[[#This Row],['#_students at TLS_CFS]]=0),"No","Yes")</f>
        <v>No</v>
      </c>
      <c r="DV59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1" s="862" t="str">
        <f>VLOOKUP(WWWW[[#This Row],[Site Name]],SiteDB6[[Site Name]:[CCCM Management]],6,FALSE)</f>
        <v>Yes</v>
      </c>
      <c r="DZ591" s="862" t="str">
        <f>VLOOKUP(WWWW[[#This Row],[Site Name]],SiteDB6[[Site Name]:[CCCM Focal Agency]],7,FALSE)</f>
        <v>KBC-BMO</v>
      </c>
      <c r="EA591" s="862" t="str">
        <f>VLOOKUP(WWWW[[#This Row],[Site Name]],SiteDB6[[Site Name]:[Location Type 1]],9,FALSE)</f>
        <v>Camp</v>
      </c>
      <c r="EB591" s="862" t="str">
        <f>VLOOKUP(WWWW[[#This Row],[Site Name]],SiteDB6[[Site Name]:[Type of Accommodation]],10,FALSE)</f>
        <v>Camp</v>
      </c>
      <c r="EC591" s="862" t="str">
        <f>VLOOKUP(WWWW[[#This Row],[Site Name]],SiteDB6[[Site Name]:[Ethnic or GCA/NGCA]],11,FALSE)</f>
        <v>GCA</v>
      </c>
      <c r="ED591" s="862">
        <f>VLOOKUP(WWWW[[#This Row],[Site Name]],SiteDB6[[Site Name]:[Lat]],12,FALSE)</f>
        <v>24.250689999999999</v>
      </c>
      <c r="EE591" s="862">
        <f>VLOOKUP(WWWW[[#This Row],[Site Name]],SiteDB6[[Site Name]:[Long]],13,FALSE)</f>
        <v>97.344359999999995</v>
      </c>
      <c r="EF591" s="862" t="str">
        <f>VLOOKUP(WWWW[[#This Row],[Site Name]],SiteDB6[[Site Name]:[Pcode]],3,FALSE)</f>
        <v>MMR001CMP056</v>
      </c>
      <c r="EG591" s="865" t="str">
        <f t="shared" si="17"/>
        <v>Covered</v>
      </c>
      <c r="EH591" s="865" t="str">
        <f>VLOOKUP(WWWW[[#This Row],[Site Name]],Site_DB!$C$389:$D$1120,2,FALSE)</f>
        <v>cccm_2019OCT</v>
      </c>
    </row>
    <row r="592" spans="1:138">
      <c r="A592" s="860" t="s">
        <v>3263</v>
      </c>
      <c r="B592" s="860" t="s">
        <v>279</v>
      </c>
      <c r="C592" s="861" t="s">
        <v>279</v>
      </c>
      <c r="D592" s="861" t="s">
        <v>3370</v>
      </c>
      <c r="E592" s="861" t="s">
        <v>39</v>
      </c>
      <c r="F592" s="861" t="s">
        <v>208</v>
      </c>
      <c r="G592" s="721" t="str">
        <f>VLOOKUP(WWWW[[#This Row],[Site Name]],SiteDB6[[Site Name]:[Location Type]],8,FALSE)</f>
        <v>Camp</v>
      </c>
      <c r="H592" s="861" t="s">
        <v>287</v>
      </c>
      <c r="I592" s="851">
        <v>47</v>
      </c>
      <c r="J592" s="851">
        <v>294</v>
      </c>
      <c r="K592" s="863">
        <v>43833</v>
      </c>
      <c r="L592" s="859">
        <v>44377</v>
      </c>
      <c r="M592" s="851"/>
      <c r="N592" s="851">
        <v>0</v>
      </c>
      <c r="O592" s="851">
        <v>1</v>
      </c>
      <c r="P592" s="851"/>
      <c r="Q592" s="864" t="s">
        <v>43</v>
      </c>
      <c r="R592" s="720">
        <v>3</v>
      </c>
      <c r="S592" s="720">
        <v>9</v>
      </c>
      <c r="T592" s="523">
        <v>3</v>
      </c>
      <c r="U592" s="851"/>
      <c r="V592" s="851"/>
      <c r="W592" s="851">
        <v>1</v>
      </c>
      <c r="X592" s="851">
        <v>0</v>
      </c>
      <c r="Y592" s="851"/>
      <c r="Z592" s="851"/>
      <c r="AA592" s="851"/>
      <c r="AB592" s="851"/>
      <c r="AC592" s="851"/>
      <c r="AD592" s="851"/>
      <c r="AE592" s="851"/>
      <c r="AF592" s="851"/>
      <c r="AG592" s="851">
        <v>1</v>
      </c>
      <c r="AH592" s="851"/>
      <c r="AI592" s="720">
        <v>1</v>
      </c>
      <c r="AJ592" s="720">
        <v>0</v>
      </c>
      <c r="AK592" s="720">
        <v>9</v>
      </c>
      <c r="AL592" s="720">
        <v>9</v>
      </c>
      <c r="AM592" s="851">
        <v>7</v>
      </c>
      <c r="AN592" s="851"/>
      <c r="AO592" s="865"/>
      <c r="AP592" s="851">
        <v>18</v>
      </c>
      <c r="AQ592" s="851"/>
      <c r="AR592" s="866"/>
      <c r="AS592" s="851"/>
      <c r="AT592" s="851"/>
      <c r="AU592" s="851">
        <v>4</v>
      </c>
      <c r="AV592" s="851">
        <v>21</v>
      </c>
      <c r="AW592" s="851"/>
      <c r="AX592" s="862" t="s">
        <v>43</v>
      </c>
      <c r="AY592" s="865" t="s">
        <v>140</v>
      </c>
      <c r="AZ592" s="851">
        <v>0</v>
      </c>
      <c r="BA592" s="851">
        <v>0</v>
      </c>
      <c r="BB592" s="851"/>
      <c r="BC592" s="523"/>
      <c r="BD592" s="523"/>
      <c r="BE592" s="862" t="s">
        <v>3371</v>
      </c>
      <c r="BF592" s="851">
        <v>7</v>
      </c>
      <c r="BG592" s="851"/>
      <c r="BH592" s="851"/>
      <c r="BI592" s="851">
        <v>2</v>
      </c>
      <c r="BJ592" s="851"/>
      <c r="BK592" s="851">
        <v>0</v>
      </c>
      <c r="BL592" s="851">
        <v>1</v>
      </c>
      <c r="BM592" s="851"/>
      <c r="BN592" s="851"/>
      <c r="BO592" s="862"/>
      <c r="BP592" s="867"/>
      <c r="BQ592" s="866"/>
      <c r="BR592" s="862"/>
      <c r="BS592" s="472"/>
      <c r="BT592" s="472"/>
      <c r="BU592" s="474"/>
      <c r="BV592" s="472"/>
      <c r="BW592" s="523"/>
      <c r="BX592" s="523"/>
      <c r="BY592" s="523"/>
      <c r="BZ592" s="868">
        <f>IFERROR(WWWW[[#This Row],['#_Water sources passed]]/WWWW[[#This Row],['#_Water sources tested for fecal coliform ]],"no test")</f>
        <v>0</v>
      </c>
      <c r="CA592" s="866">
        <f>IFERROR(WWWW[[#This Row],['#_Household passed]]/WWWW[[#This Row],['#_Household water samples tested for fecal coliform]],"no test")</f>
        <v>1</v>
      </c>
      <c r="CB592" s="867" t="str">
        <f>IF(AND(WWWW[[#This Row],[% of water sources passed]]="no test",WWWW[[#This Row],[% Household passed]]="no test"),"No Test","Tested")</f>
        <v>Tested</v>
      </c>
      <c r="CC592" s="867">
        <f>WWWW[[#This Row],['#_Constructed/existing protected hand dug well]]-WWWW[[#This Row],['#_Non-functional protected hand dug well]]</f>
        <v>3</v>
      </c>
      <c r="CD592" s="867">
        <f>(WWWW[[#This Row],['#_Constructed/Existing tube wells/boreholes/handpumps_WASH_agency]]+WWWW[[#This Row],['#_Non-Cluster partner water tube-wells/boreholes/handpumps]])-WWWW[[#This Row],['#_Non-functional tube wells/boreholes/handpumps]]</f>
        <v>1</v>
      </c>
      <c r="CE592" s="867">
        <f>WWWW[[#This Row],['#_Constructed/Existingwater storage tank with gravity fed reticulation system]]-WWWW[[#This Row],['#_Non-functional storage tank gravity fed reticulation system]]</f>
        <v>0</v>
      </c>
      <c r="CF592" s="867">
        <f>(WWWW[[#This Row],['#_Water_Liters_supplied_by_Water boating or water trucking]]/90)/15</f>
        <v>0</v>
      </c>
      <c r="CG592" s="867">
        <f>WWWW[[#This Row],['#_Water_Liters_from_Constructed/Existing water distribution system from river or natural spring]]/90/15</f>
        <v>0</v>
      </c>
      <c r="CH592" s="473">
        <f>WWWW[[#This Row],['#_of water points in TLS/CFS /THF]]*500</f>
        <v>0</v>
      </c>
      <c r="CI592"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2"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2" s="866">
        <f>IF(WWWW[[#This Row],[Location Type 1]]="Village",WWWW[[#This Row],[Access to safe drinking water for Village]],WWWW[[#This Row],[Access to safe drinking water for Camp]])</f>
        <v>1</v>
      </c>
      <c r="CL592" s="864">
        <f>WWWW[[#This Row],[%Equitable and continuous access to sufficient quantity of safe drinking water]]*WWWW[[#This Row],[Total PoP ]]</f>
        <v>294</v>
      </c>
      <c r="CM592" s="866">
        <f>IF((WWWW[[#This Row],['#_Constructed/Existing protected/fenced ponds]]*250)/WWWW[[#This Row],[Total PoP ]]&gt;1,1,(WWWW[[#This Row],['#_Constructed/Existing protected/fenced ponds]]*250)/WWWW[[#This Row],[Total PoP ]])</f>
        <v>0</v>
      </c>
      <c r="CN592" s="864">
        <f>WWWW[[#This Row],[% Access to unimproved water points]]*WWWW[[#This Row],[Total PoP ]]</f>
        <v>0</v>
      </c>
      <c r="CO592"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2"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294</v>
      </c>
      <c r="CQ592" s="864">
        <f>WWWW[[#This Row],[HRP1]]/500</f>
        <v>0.58799999999999997</v>
      </c>
      <c r="CR592" s="869">
        <f>1-WWWW[[#This Row],[% Equitable and continuous access to sufficient quantity of domestic water]]</f>
        <v>0</v>
      </c>
      <c r="CS592" s="864">
        <f>WWWW[[#This Row],[%equitable and continuous access to sufficient quantity of safe drinking and domestic water''s GAP]]*WWWW[[#This Row],[Total PoP ]]</f>
        <v>0</v>
      </c>
      <c r="CT592" s="867">
        <f>IF(WWWW[[#This Row],[Total required water points]]-WWWW[[#This Row],['#Water points coverage]]&lt;0,0,WWWW[[#This Row],[Total required water points]]-WWWW[[#This Row],['#Water points coverage]])</f>
        <v>0.41200000000000003</v>
      </c>
      <c r="CU592" s="867">
        <f>ROUND(IF(WWWW[[#This Row],[Total PoP ]]&lt;500,1,WWWW[[#This Row],[Total PoP ]]/500),0)</f>
        <v>1</v>
      </c>
      <c r="CV592" s="867">
        <f>(WWWW[[#This Row],['#_Constructed latrines_by_WASHAgencies]]+WWWW[[#This Row],['#_Non Cluster partner latrines]])-WWWW[[#This Row],['#_Non-functional latrines]]</f>
        <v>18</v>
      </c>
      <c r="CW592" s="804">
        <f>WWWW[[#This Row],[HRP2]]/WWWW[[#This Row],[Total PoP ]]</f>
        <v>1</v>
      </c>
      <c r="CX592"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294</v>
      </c>
      <c r="CY592"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592"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2" s="473">
        <f>IF(WWWW[[#This Row],['# of functional latrines in THF supported by WASH partners during the reporting period2]]="",0,WWWW[[#This Row],['# of functional latrines in THF supported by WASH partners during the reporting period2]]*50)</f>
        <v>0</v>
      </c>
      <c r="DB592" s="473">
        <f>WWWW[[#This Row],['# students access to functioning school latrines_HRP5]]+WWWW[[#This Row],['# People access to functioning latrines in THF_HRP5]]</f>
        <v>0</v>
      </c>
      <c r="DC592" s="867">
        <f>ROUND(IF(WWWW[[#This Row],[Location Type 1]]="camp",WWWW[[#This Row],[Total PoP ]]/20,IF(WWWW[[#This Row],[Location Type 1]]="Temporary Location",WWWW[[#This Row],[Total PoP ]]/50,(WWWW[[#This Row],[Total PoP ]]/6))),0)</f>
        <v>15</v>
      </c>
      <c r="DD592" s="867">
        <f>IF(WWWW[[#This Row],[Total required Latrines]]-(WWWW[[#This Row],['#_Constructed latrines_by_WASHAgencies]]+WWWW[[#This Row],['#_Non Cluster partner latrines]])&lt;0,0,WWWW[[#This Row],[Total required Latrines]]-(WWWW[[#This Row],['#_Constructed latrines_by_WASHAgencies]]+WWWW[[#This Row],['#_Non Cluster partner latrines]]))</f>
        <v>0</v>
      </c>
      <c r="DE592" s="869">
        <f>1-WWWW[[#This Row],[% people access to functioning Latrine]]</f>
        <v>0</v>
      </c>
      <c r="DF592" s="868">
        <f>IF(OR(WWWW[[#This Row],['#_Non-functional latrines]]="",WWWW[[#This Row],['#_Non-functional latrines]]=0),0,WWWW[[#This Row],['#_Non-functional latrines]]/(WWWW[[#This Row],['#_Constructed latrines_by_WASHAgencies]]+WWWW[[#This Row],['#_Non Cluster partner latrines]]))</f>
        <v>0</v>
      </c>
      <c r="DG592" s="864">
        <f>IF(500*(WWWW[[#This Row],['#_male hygiene promoters]]+WWWW[[#This Row],['#_female hygiene promoters]])&gt;WWWW[[#This Row],[Total PoP ]],WWWW[[#This Row],[Total PoP ]],500*(WWWW[[#This Row],['#_male hygiene promoters]]+WWWW[[#This Row],['#_female hygiene promoters]]))</f>
        <v>294</v>
      </c>
      <c r="DH592"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2"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2" s="867">
        <f>IF(WWWW[[#This Row],['# People with access to soap]]&gt;WWWW[[#This Row],['# People with access to Sanity Pads]],WWWW[[#This Row],['# People with access to soap]],WWWW[[#This Row],['# People with access to Sanity Pads]])</f>
        <v>0</v>
      </c>
      <c r="DK592" s="867">
        <f>IF(WWWW[[#This Row],['# people reached by regular dedicated hygiene promotion_5]]&gt;WWWW[[#This Row],['# People received regular supply of hygiene items_6]],WWWW[[#This Row],['# people reached by regular dedicated hygiene promotion_5]],WWWW[[#This Row],['# People received regular supply of hygiene items_6]])</f>
        <v>294</v>
      </c>
      <c r="DL592" s="869">
        <f>IF(WWWW[[#This Row],[HRP3]]/WWWW[[#This Row],[Total PoP ]]&gt;1,1,WWWW[[#This Row],[HRP3]]/WWWW[[#This Row],[Total PoP ]])</f>
        <v>1</v>
      </c>
      <c r="DM592" s="868">
        <f>1-WWWW[[#This Row],[Hygiene Coverage%]]</f>
        <v>0</v>
      </c>
      <c r="DN592" s="866">
        <f>WWWW[[#This Row],['# people reached by regular dedicated hygiene promotion_5]]/WWWW[[#This Row],[Total PoP ]]</f>
        <v>1</v>
      </c>
      <c r="DO592"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2"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2" s="867">
        <f>WWWW[[#This Row],['#_Constructed/Existing hand washing stations]]-WWWW[[#This Row],['#_Non-Functional_hand_washing_stations]]</f>
        <v>7</v>
      </c>
      <c r="DR592" s="864">
        <f>IF(WWWW[[#This Row],['# Functional hand washing stations during reporting period]]*20&gt;WWWW[[#This Row],[Total HH]],WWWW[[#This Row],[Total HH]],WWWW[[#This Row],['# Functional hand washing stations during reporting period]]*20)</f>
        <v>47</v>
      </c>
      <c r="DS592" s="864">
        <f>IF(WWWW[[#This Row],[Is sufficient soap available for TLS? (Yes/No)]]="yes",WWWW[[#This Row],['#_Constructed/Existing hand washing stations at TLS]],0)</f>
        <v>0</v>
      </c>
      <c r="DT592" s="479">
        <f>IF(WWWW[[#This Row],['# Functional hand washing stations during reporting period]]*100&gt;WWWW[[#This Row],[Total PoP ]],WWWW[[#This Row],[Total PoP ]],WWWW[[#This Row],['# Functional hand washing stations during reporting period]]*100)</f>
        <v>294</v>
      </c>
      <c r="DU592" s="479" t="str">
        <f>IF(OR(WWWW[[#This Row],['#_students at TLS_CFS]]="",WWWW[[#This Row],['#_students at TLS_CFS]]=0),"No","Yes")</f>
        <v>No</v>
      </c>
      <c r="DV59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2" s="862" t="str">
        <f>VLOOKUP(WWWW[[#This Row],[Site Name]],SiteDB6[[Site Name]:[CCCM Management]],6,FALSE)</f>
        <v>Yes</v>
      </c>
      <c r="DZ592" s="862" t="str">
        <f>VLOOKUP(WWWW[[#This Row],[Site Name]],SiteDB6[[Site Name]:[CCCM Focal Agency]],7,FALSE)</f>
        <v>KBC-BMO</v>
      </c>
      <c r="EA592" s="862" t="str">
        <f>VLOOKUP(WWWW[[#This Row],[Site Name]],SiteDB6[[Site Name]:[Location Type 1]],9,FALSE)</f>
        <v>Camp</v>
      </c>
      <c r="EB592" s="862" t="str">
        <f>VLOOKUP(WWWW[[#This Row],[Site Name]],SiteDB6[[Site Name]:[Type of Accommodation]],10,FALSE)</f>
        <v>Camp</v>
      </c>
      <c r="EC592" s="862" t="str">
        <f>VLOOKUP(WWWW[[#This Row],[Site Name]],SiteDB6[[Site Name]:[Ethnic or GCA/NGCA]],11,FALSE)</f>
        <v>GCA</v>
      </c>
      <c r="ED592" s="862">
        <f>VLOOKUP(WWWW[[#This Row],[Site Name]],SiteDB6[[Site Name]:[Lat]],12,FALSE)</f>
        <v>24.205417000000001</v>
      </c>
      <c r="EE592" s="862">
        <f>VLOOKUP(WWWW[[#This Row],[Site Name]],SiteDB6[[Site Name]:[Long]],13,FALSE)</f>
        <v>97.724483000000006</v>
      </c>
      <c r="EF592" s="862" t="str">
        <f>VLOOKUP(WWWW[[#This Row],[Site Name]],SiteDB6[[Site Name]:[Pcode]],3,FALSE)</f>
        <v>MMR001CMP072</v>
      </c>
      <c r="EG592" s="865" t="str">
        <f t="shared" si="17"/>
        <v>Covered</v>
      </c>
      <c r="EH592" s="865" t="str">
        <f>VLOOKUP(WWWW[[#This Row],[Site Name]],Site_DB!$C$389:$D$1120,2,FALSE)</f>
        <v>cccm_2019OCT</v>
      </c>
    </row>
    <row r="593" spans="1:138">
      <c r="A593" s="860" t="s">
        <v>3263</v>
      </c>
      <c r="B593" s="860" t="s">
        <v>144</v>
      </c>
      <c r="C593" s="860" t="s">
        <v>144</v>
      </c>
      <c r="D593" s="861" t="s">
        <v>3370</v>
      </c>
      <c r="E593" s="861" t="s">
        <v>39</v>
      </c>
      <c r="F593" s="861" t="s">
        <v>198</v>
      </c>
      <c r="G593" s="721" t="str">
        <f>VLOOKUP(WWWW[[#This Row],[Site Name]],SiteDB6[[Site Name]:[Location Type]],8,FALSE)</f>
        <v>Camp</v>
      </c>
      <c r="H593" s="861" t="s">
        <v>282</v>
      </c>
      <c r="I593" s="851">
        <v>100</v>
      </c>
      <c r="J593" s="851">
        <v>514</v>
      </c>
      <c r="K593" s="863" t="s">
        <v>3621</v>
      </c>
      <c r="L593" s="859" t="s">
        <v>3622</v>
      </c>
      <c r="M593" s="851"/>
      <c r="N593" s="851"/>
      <c r="O593" s="851">
        <v>7</v>
      </c>
      <c r="P593" s="851"/>
      <c r="Q593" s="864" t="s">
        <v>43</v>
      </c>
      <c r="R593" s="851">
        <v>8</v>
      </c>
      <c r="S593" s="851">
        <v>15</v>
      </c>
      <c r="T593" s="523">
        <v>1</v>
      </c>
      <c r="U593" s="851"/>
      <c r="V593" s="851"/>
      <c r="W593" s="851">
        <v>3</v>
      </c>
      <c r="X593" s="851">
        <v>0</v>
      </c>
      <c r="Y593" s="851"/>
      <c r="Z593" s="851"/>
      <c r="AA593" s="851"/>
      <c r="AB593" s="851"/>
      <c r="AC593" s="851"/>
      <c r="AD593" s="851"/>
      <c r="AE593" s="851"/>
      <c r="AF593" s="851"/>
      <c r="AG593" s="851">
        <v>3</v>
      </c>
      <c r="AH593" s="851"/>
      <c r="AI593" s="851"/>
      <c r="AJ593" s="851"/>
      <c r="AK593" s="851"/>
      <c r="AL593" s="851"/>
      <c r="AM593" s="851">
        <v>14</v>
      </c>
      <c r="AN593" s="851"/>
      <c r="AO593" s="865" t="s">
        <v>3380</v>
      </c>
      <c r="AP593" s="851">
        <v>48</v>
      </c>
      <c r="AQ593" s="851"/>
      <c r="AR593" s="866"/>
      <c r="AS593" s="851"/>
      <c r="AT593" s="851"/>
      <c r="AU593" s="851"/>
      <c r="AV593" s="851"/>
      <c r="AW593" s="851"/>
      <c r="AX593" s="862" t="s">
        <v>43</v>
      </c>
      <c r="AY593" s="865" t="s">
        <v>140</v>
      </c>
      <c r="AZ593" s="851">
        <v>0</v>
      </c>
      <c r="BA593" s="851">
        <v>0</v>
      </c>
      <c r="BB593" s="851">
        <v>2</v>
      </c>
      <c r="BC593" s="523"/>
      <c r="BD593" s="523"/>
      <c r="BE593" s="862" t="s">
        <v>3371</v>
      </c>
      <c r="BF593" s="851">
        <v>12</v>
      </c>
      <c r="BG593" s="851"/>
      <c r="BH593" s="851"/>
      <c r="BI593" s="851">
        <v>3</v>
      </c>
      <c r="BJ593" s="851"/>
      <c r="BK593" s="851">
        <v>0</v>
      </c>
      <c r="BL593" s="851">
        <v>5</v>
      </c>
      <c r="BM593" s="851"/>
      <c r="BN593" s="851"/>
      <c r="BO593" s="862" t="s">
        <v>139</v>
      </c>
      <c r="BP593" s="867"/>
      <c r="BQ593" s="866"/>
      <c r="BR593" s="862" t="s">
        <v>3382</v>
      </c>
      <c r="BS593" s="472"/>
      <c r="BT593" s="472"/>
      <c r="BU593" s="474"/>
      <c r="BV593" s="472"/>
      <c r="BW593" s="523"/>
      <c r="BX593" s="523"/>
      <c r="BY593" s="523"/>
      <c r="BZ593" s="868" t="str">
        <f>IFERROR(WWWW[[#This Row],['#_Water sources passed]]/WWWW[[#This Row],['#_Water sources tested for fecal coliform ]],"no test")</f>
        <v>no test</v>
      </c>
      <c r="CA593" s="866" t="str">
        <f>IFERROR(WWWW[[#This Row],['#_Household passed]]/WWWW[[#This Row],['#_Household water samples tested for fecal coliform]],"no test")</f>
        <v>no test</v>
      </c>
      <c r="CB593" s="867" t="str">
        <f>IF(AND(WWWW[[#This Row],[% of water sources passed]]="no test",WWWW[[#This Row],[% Household passed]]="no test"),"No Test","Tested")</f>
        <v>No Test</v>
      </c>
      <c r="CC593" s="867">
        <f>WWWW[[#This Row],['#_Constructed/existing protected hand dug well]]-WWWW[[#This Row],['#_Non-functional protected hand dug well]]</f>
        <v>1</v>
      </c>
      <c r="CD593" s="867">
        <f>(WWWW[[#This Row],['#_Constructed/Existing tube wells/boreholes/handpumps_WASH_agency]]+WWWW[[#This Row],['#_Non-Cluster partner water tube-wells/boreholes/handpumps]])-WWWW[[#This Row],['#_Non-functional tube wells/boreholes/handpumps]]</f>
        <v>3</v>
      </c>
      <c r="CE593" s="867">
        <f>WWWW[[#This Row],['#_Constructed/Existingwater storage tank with gravity fed reticulation system]]-WWWW[[#This Row],['#_Non-functional storage tank gravity fed reticulation system]]</f>
        <v>0</v>
      </c>
      <c r="CF593" s="867">
        <f>(WWWW[[#This Row],['#_Water_Liters_supplied_by_Water boating or water trucking]]/90)/15</f>
        <v>0</v>
      </c>
      <c r="CG593" s="867">
        <f>WWWW[[#This Row],['#_Water_Liters_from_Constructed/Existing water distribution system from river or natural spring]]/90/15</f>
        <v>0</v>
      </c>
      <c r="CH593" s="473">
        <f>WWWW[[#This Row],['#_of water points in TLS/CFS /THF]]*500</f>
        <v>0</v>
      </c>
      <c r="CI593"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3"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3" s="866">
        <f>IF(WWWW[[#This Row],[Location Type 1]]="Village",WWWW[[#This Row],[Access to safe drinking water for Village]],WWWW[[#This Row],[Access to safe drinking water for Camp]])</f>
        <v>1</v>
      </c>
      <c r="CL593" s="864">
        <f>WWWW[[#This Row],[%Equitable and continuous access to sufficient quantity of safe drinking water]]*WWWW[[#This Row],[Total PoP ]]</f>
        <v>514</v>
      </c>
      <c r="CM593" s="866">
        <f>IF((WWWW[[#This Row],['#_Constructed/Existing protected/fenced ponds]]*250)/WWWW[[#This Row],[Total PoP ]]&gt;1,1,(WWWW[[#This Row],['#_Constructed/Existing protected/fenced ponds]]*250)/WWWW[[#This Row],[Total PoP ]])</f>
        <v>0</v>
      </c>
      <c r="CN593" s="864">
        <f>WWWW[[#This Row],[% Access to unimproved water points]]*WWWW[[#This Row],[Total PoP ]]</f>
        <v>0</v>
      </c>
      <c r="CO593"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3"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514</v>
      </c>
      <c r="CQ593" s="864">
        <f>WWWW[[#This Row],[HRP1]]/500</f>
        <v>1.028</v>
      </c>
      <c r="CR593" s="869">
        <f>1-WWWW[[#This Row],[% Equitable and continuous access to sufficient quantity of domestic water]]</f>
        <v>0</v>
      </c>
      <c r="CS593" s="864">
        <f>WWWW[[#This Row],[%equitable and continuous access to sufficient quantity of safe drinking and domestic water''s GAP]]*WWWW[[#This Row],[Total PoP ]]</f>
        <v>0</v>
      </c>
      <c r="CT593" s="867">
        <f>IF(WWWW[[#This Row],[Total required water points]]-WWWW[[#This Row],['#Water points coverage]]&lt;0,0,WWWW[[#This Row],[Total required water points]]-WWWW[[#This Row],['#Water points coverage]])</f>
        <v>0</v>
      </c>
      <c r="CU593" s="867">
        <f>ROUND(IF(WWWW[[#This Row],[Total PoP ]]&lt;500,1,WWWW[[#This Row],[Total PoP ]]/500),0)</f>
        <v>1</v>
      </c>
      <c r="CV593" s="867">
        <f>(WWWW[[#This Row],['#_Constructed latrines_by_WASHAgencies]]+WWWW[[#This Row],['#_Non Cluster partner latrines]])-WWWW[[#This Row],['#_Non-functional latrines]]</f>
        <v>48</v>
      </c>
      <c r="CW593" s="804">
        <f>WWWW[[#This Row],[HRP2]]/WWWW[[#This Row],[Total PoP ]]</f>
        <v>1</v>
      </c>
      <c r="CX593"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514</v>
      </c>
      <c r="CY593"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3"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3" s="473">
        <f>IF(WWWW[[#This Row],['# of functional latrines in THF supported by WASH partners during the reporting period2]]="",0,WWWW[[#This Row],['# of functional latrines in THF supported by WASH partners during the reporting period2]]*50)</f>
        <v>0</v>
      </c>
      <c r="DB593" s="473">
        <f>WWWW[[#This Row],['# students access to functioning school latrines_HRP5]]+WWWW[[#This Row],['# People access to functioning latrines in THF_HRP5]]</f>
        <v>0</v>
      </c>
      <c r="DC593" s="867">
        <f>ROUND(IF(WWWW[[#This Row],[Location Type 1]]="camp",WWWW[[#This Row],[Total PoP ]]/20,IF(WWWW[[#This Row],[Location Type 1]]="Temporary Location",WWWW[[#This Row],[Total PoP ]]/50,(WWWW[[#This Row],[Total PoP ]]/6))),0)</f>
        <v>26</v>
      </c>
      <c r="DD593" s="867">
        <f>IF(WWWW[[#This Row],[Total required Latrines]]-(WWWW[[#This Row],['#_Constructed latrines_by_WASHAgencies]]+WWWW[[#This Row],['#_Non Cluster partner latrines]])&lt;0,0,WWWW[[#This Row],[Total required Latrines]]-(WWWW[[#This Row],['#_Constructed latrines_by_WASHAgencies]]+WWWW[[#This Row],['#_Non Cluster partner latrines]]))</f>
        <v>0</v>
      </c>
      <c r="DE593" s="869">
        <f>1-WWWW[[#This Row],[% people access to functioning Latrine]]</f>
        <v>0</v>
      </c>
      <c r="DF593" s="868">
        <f>IF(OR(WWWW[[#This Row],['#_Non-functional latrines]]="",WWWW[[#This Row],['#_Non-functional latrines]]=0),0,WWWW[[#This Row],['#_Non-functional latrines]]/(WWWW[[#This Row],['#_Constructed latrines_by_WASHAgencies]]+WWWW[[#This Row],['#_Non Cluster partner latrines]]))</f>
        <v>0</v>
      </c>
      <c r="DG593" s="864">
        <f>IF(500*(WWWW[[#This Row],['#_male hygiene promoters]]+WWWW[[#This Row],['#_female hygiene promoters]])&gt;WWWW[[#This Row],[Total PoP ]],WWWW[[#This Row],[Total PoP ]],500*(WWWW[[#This Row],['#_male hygiene promoters]]+WWWW[[#This Row],['#_female hygiene promoters]]))</f>
        <v>514</v>
      </c>
      <c r="DH593"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3"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3" s="867">
        <f>IF(WWWW[[#This Row],['# People with access to soap]]&gt;WWWW[[#This Row],['# People with access to Sanity Pads]],WWWW[[#This Row],['# People with access to soap]],WWWW[[#This Row],['# People with access to Sanity Pads]])</f>
        <v>0</v>
      </c>
      <c r="DK593" s="867">
        <f>IF(WWWW[[#This Row],['# people reached by regular dedicated hygiene promotion_5]]&gt;WWWW[[#This Row],['# People received regular supply of hygiene items_6]],WWWW[[#This Row],['# people reached by regular dedicated hygiene promotion_5]],WWWW[[#This Row],['# People received regular supply of hygiene items_6]])</f>
        <v>514</v>
      </c>
      <c r="DL593" s="869">
        <f>IF(WWWW[[#This Row],[HRP3]]/WWWW[[#This Row],[Total PoP ]]&gt;1,1,WWWW[[#This Row],[HRP3]]/WWWW[[#This Row],[Total PoP ]])</f>
        <v>1</v>
      </c>
      <c r="DM593" s="868">
        <f>1-WWWW[[#This Row],[Hygiene Coverage%]]</f>
        <v>0</v>
      </c>
      <c r="DN593" s="866">
        <f>WWWW[[#This Row],['# people reached by regular dedicated hygiene promotion_5]]/WWWW[[#This Row],[Total PoP ]]</f>
        <v>1</v>
      </c>
      <c r="DO593"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3"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3" s="867">
        <f>WWWW[[#This Row],['#_Constructed/Existing hand washing stations]]-WWWW[[#This Row],['#_Non-Functional_hand_washing_stations]]</f>
        <v>12</v>
      </c>
      <c r="DR593" s="864">
        <f>IF(WWWW[[#This Row],['# Functional hand washing stations during reporting period]]*20&gt;WWWW[[#This Row],[Total HH]],WWWW[[#This Row],[Total HH]],WWWW[[#This Row],['# Functional hand washing stations during reporting period]]*20)</f>
        <v>100</v>
      </c>
      <c r="DS593" s="864">
        <f>IF(WWWW[[#This Row],[Is sufficient soap available for TLS? (Yes/No)]]="yes",WWWW[[#This Row],['#_Constructed/Existing hand washing stations at TLS]],0)</f>
        <v>0</v>
      </c>
      <c r="DT593" s="479">
        <f>IF(WWWW[[#This Row],['# Functional hand washing stations during reporting period]]*100&gt;WWWW[[#This Row],[Total PoP ]],WWWW[[#This Row],[Total PoP ]],WWWW[[#This Row],['# Functional hand washing stations during reporting period]]*100)</f>
        <v>514</v>
      </c>
      <c r="DU593" s="479" t="str">
        <f>IF(OR(WWWW[[#This Row],['#_students at TLS_CFS]]="",WWWW[[#This Row],['#_students at TLS_CFS]]=0),"No","Yes")</f>
        <v>No</v>
      </c>
      <c r="DV593"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3"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3"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3" s="862" t="str">
        <f>VLOOKUP(WWWW[[#This Row],[Site Name]],SiteDB6[[Site Name]:[CCCM Management]],6,FALSE)</f>
        <v>Yes</v>
      </c>
      <c r="DZ593" s="862" t="str">
        <f>VLOOKUP(WWWW[[#This Row],[Site Name]],SiteDB6[[Site Name]:[CCCM Focal Agency]],7,FALSE)</f>
        <v>KBC-BMO</v>
      </c>
      <c r="EA593" s="862" t="str">
        <f>VLOOKUP(WWWW[[#This Row],[Site Name]],SiteDB6[[Site Name]:[Location Type 1]],9,FALSE)</f>
        <v>Camp</v>
      </c>
      <c r="EB593" s="862" t="str">
        <f>VLOOKUP(WWWW[[#This Row],[Site Name]],SiteDB6[[Site Name]:[Type of Accommodation]],10,FALSE)</f>
        <v>Camp</v>
      </c>
      <c r="EC593" s="862" t="str">
        <f>VLOOKUP(WWWW[[#This Row],[Site Name]],SiteDB6[[Site Name]:[Ethnic or GCA/NGCA]],11,FALSE)</f>
        <v>GCA</v>
      </c>
      <c r="ED593" s="862">
        <f>VLOOKUP(WWWW[[#This Row],[Site Name]],SiteDB6[[Site Name]:[Lat]],12,FALSE)</f>
        <v>24.222349999999999</v>
      </c>
      <c r="EE593" s="862">
        <f>VLOOKUP(WWWW[[#This Row],[Site Name]],SiteDB6[[Site Name]:[Long]],13,FALSE)</f>
        <v>97.252650000000003</v>
      </c>
      <c r="EF593" s="862" t="str">
        <f>VLOOKUP(WWWW[[#This Row],[Site Name]],SiteDB6[[Site Name]:[Pcode]],3,FALSE)</f>
        <v>MMR001CMP193</v>
      </c>
      <c r="EG593" s="865" t="str">
        <f t="shared" si="17"/>
        <v>Covered</v>
      </c>
      <c r="EH593" s="865" t="str">
        <f>VLOOKUP(WWWW[[#This Row],[Site Name]],Site_DB!$C$389:$D$1120,2,FALSE)</f>
        <v>cccm_2019OCT</v>
      </c>
    </row>
    <row r="594" spans="1:138">
      <c r="A594" s="860" t="s">
        <v>3263</v>
      </c>
      <c r="B594" s="860" t="s">
        <v>279</v>
      </c>
      <c r="C594" s="861" t="s">
        <v>279</v>
      </c>
      <c r="D594" s="861" t="s">
        <v>3370</v>
      </c>
      <c r="E594" s="861" t="s">
        <v>39</v>
      </c>
      <c r="F594" s="861" t="s">
        <v>198</v>
      </c>
      <c r="G594" s="721" t="str">
        <f>VLOOKUP(WWWW[[#This Row],[Site Name]],SiteDB6[[Site Name]:[Location Type]],8,FALSE)</f>
        <v>Camp</v>
      </c>
      <c r="H594" s="861" t="s">
        <v>283</v>
      </c>
      <c r="I594" s="720">
        <v>614</v>
      </c>
      <c r="J594" s="720">
        <v>3859</v>
      </c>
      <c r="K594" s="863">
        <v>43833</v>
      </c>
      <c r="L594" s="859">
        <v>44377</v>
      </c>
      <c r="M594" s="851"/>
      <c r="N594" s="851"/>
      <c r="O594" s="851">
        <v>6</v>
      </c>
      <c r="P594" s="851"/>
      <c r="Q594" s="864" t="s">
        <v>43</v>
      </c>
      <c r="R594" s="720">
        <v>20</v>
      </c>
      <c r="S594" s="720">
        <v>14</v>
      </c>
      <c r="T594" s="523">
        <v>1</v>
      </c>
      <c r="U594" s="851">
        <v>1</v>
      </c>
      <c r="V594" s="851"/>
      <c r="W594" s="851">
        <v>22</v>
      </c>
      <c r="X594" s="851">
        <v>0</v>
      </c>
      <c r="Y594" s="851"/>
      <c r="Z594" s="851"/>
      <c r="AA594" s="851"/>
      <c r="AB594" s="851"/>
      <c r="AC594" s="851"/>
      <c r="AD594" s="851"/>
      <c r="AE594" s="851"/>
      <c r="AF594" s="851"/>
      <c r="AG594" s="720">
        <v>6</v>
      </c>
      <c r="AH594" s="720"/>
      <c r="AI594" s="720">
        <v>14</v>
      </c>
      <c r="AJ594" s="720">
        <v>10</v>
      </c>
      <c r="AK594" s="720">
        <v>21</v>
      </c>
      <c r="AL594" s="720">
        <v>14</v>
      </c>
      <c r="AM594" s="851">
        <v>19</v>
      </c>
      <c r="AN594" s="851"/>
      <c r="AO594" s="871" t="s">
        <v>3380</v>
      </c>
      <c r="AP594" s="851">
        <v>146</v>
      </c>
      <c r="AQ594" s="851"/>
      <c r="AR594" s="866"/>
      <c r="AS594" s="851"/>
      <c r="AT594" s="851"/>
      <c r="AU594" s="720">
        <v>58</v>
      </c>
      <c r="AV594" s="720">
        <v>182</v>
      </c>
      <c r="AW594" s="851"/>
      <c r="AX594" s="862" t="s">
        <v>43</v>
      </c>
      <c r="AY594" s="865" t="s">
        <v>140</v>
      </c>
      <c r="AZ594" s="851">
        <v>0</v>
      </c>
      <c r="BA594" s="851">
        <v>0</v>
      </c>
      <c r="BB594" s="851"/>
      <c r="BC594" s="523"/>
      <c r="BD594" s="523"/>
      <c r="BE594" s="806" t="s">
        <v>3371</v>
      </c>
      <c r="BF594" s="851">
        <v>19</v>
      </c>
      <c r="BG594" s="851"/>
      <c r="BH594" s="851"/>
      <c r="BI594" s="851">
        <v>12</v>
      </c>
      <c r="BJ594" s="851"/>
      <c r="BK594" s="851">
        <v>0</v>
      </c>
      <c r="BL594" s="851">
        <v>6</v>
      </c>
      <c r="BM594" s="851"/>
      <c r="BN594" s="851"/>
      <c r="BO594" s="862"/>
      <c r="BP594" s="867"/>
      <c r="BQ594" s="866"/>
      <c r="BR594" s="862"/>
      <c r="BS594" s="472"/>
      <c r="BT594" s="472"/>
      <c r="BU594" s="474"/>
      <c r="BV594" s="472"/>
      <c r="BW594" s="523"/>
      <c r="BX594" s="523"/>
      <c r="BY594" s="523"/>
      <c r="BZ594" s="868">
        <f>IFERROR(WWWW[[#This Row],['#_Water sources passed]]/WWWW[[#This Row],['#_Water sources tested for fecal coliform ]],"no test")</f>
        <v>0.7142857142857143</v>
      </c>
      <c r="CA594" s="866">
        <f>IFERROR(WWWW[[#This Row],['#_Household passed]]/WWWW[[#This Row],['#_Household water samples tested for fecal coliform]],"no test")</f>
        <v>0.66666666666666663</v>
      </c>
      <c r="CB594" s="867" t="str">
        <f>IF(AND(WWWW[[#This Row],[% of water sources passed]]="no test",WWWW[[#This Row],[% Household passed]]="no test"),"No Test","Tested")</f>
        <v>Tested</v>
      </c>
      <c r="CC594" s="867">
        <f>WWWW[[#This Row],['#_Constructed/existing protected hand dug well]]-WWWW[[#This Row],['#_Non-functional protected hand dug well]]</f>
        <v>0</v>
      </c>
      <c r="CD594" s="867">
        <f>(WWWW[[#This Row],['#_Constructed/Existing tube wells/boreholes/handpumps_WASH_agency]]+WWWW[[#This Row],['#_Non-Cluster partner water tube-wells/boreholes/handpumps]])-WWWW[[#This Row],['#_Non-functional tube wells/boreholes/handpumps]]</f>
        <v>22</v>
      </c>
      <c r="CE594" s="867">
        <f>WWWW[[#This Row],['#_Constructed/Existingwater storage tank with gravity fed reticulation system]]-WWWW[[#This Row],['#_Non-functional storage tank gravity fed reticulation system]]</f>
        <v>0</v>
      </c>
      <c r="CF594" s="867">
        <f>(WWWW[[#This Row],['#_Water_Liters_supplied_by_Water boating or water trucking]]/90)/15</f>
        <v>0</v>
      </c>
      <c r="CG594" s="867">
        <f>WWWW[[#This Row],['#_Water_Liters_from_Constructed/Existing water distribution system from river or natural spring]]/90/15</f>
        <v>0</v>
      </c>
      <c r="CH594" s="473">
        <f>WWWW[[#This Row],['#_of water points in TLS/CFS /THF]]*500</f>
        <v>0</v>
      </c>
      <c r="CI594"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4"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4" s="866">
        <f>IF(WWWW[[#This Row],[Location Type 1]]="Village",WWWW[[#This Row],[Access to safe drinking water for Village]],WWWW[[#This Row],[Access to safe drinking water for Camp]])</f>
        <v>1</v>
      </c>
      <c r="CL594" s="864">
        <f>WWWW[[#This Row],[%Equitable and continuous access to sufficient quantity of safe drinking water]]*WWWW[[#This Row],[Total PoP ]]</f>
        <v>3859</v>
      </c>
      <c r="CM594" s="866">
        <f>IF((WWWW[[#This Row],['#_Constructed/Existing protected/fenced ponds]]*250)/WWWW[[#This Row],[Total PoP ]]&gt;1,1,(WWWW[[#This Row],['#_Constructed/Existing protected/fenced ponds]]*250)/WWWW[[#This Row],[Total PoP ]])</f>
        <v>0</v>
      </c>
      <c r="CN594" s="864">
        <f>WWWW[[#This Row],[% Access to unimproved water points]]*WWWW[[#This Row],[Total PoP ]]</f>
        <v>0</v>
      </c>
      <c r="CO594"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4"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3859</v>
      </c>
      <c r="CQ594" s="864">
        <f>WWWW[[#This Row],[HRP1]]/500</f>
        <v>7.718</v>
      </c>
      <c r="CR594" s="869">
        <f>1-WWWW[[#This Row],[% Equitable and continuous access to sufficient quantity of domestic water]]</f>
        <v>0</v>
      </c>
      <c r="CS594" s="864">
        <f>WWWW[[#This Row],[%equitable and continuous access to sufficient quantity of safe drinking and domestic water''s GAP]]*WWWW[[#This Row],[Total PoP ]]</f>
        <v>0</v>
      </c>
      <c r="CT594" s="867">
        <f>IF(WWWW[[#This Row],[Total required water points]]-WWWW[[#This Row],['#Water points coverage]]&lt;0,0,WWWW[[#This Row],[Total required water points]]-WWWW[[#This Row],['#Water points coverage]])</f>
        <v>0.28200000000000003</v>
      </c>
      <c r="CU594" s="867">
        <f>ROUND(IF(WWWW[[#This Row],[Total PoP ]]&lt;500,1,WWWW[[#This Row],[Total PoP ]]/500),0)</f>
        <v>8</v>
      </c>
      <c r="CV594" s="867">
        <f>(WWWW[[#This Row],['#_Constructed latrines_by_WASHAgencies]]+WWWW[[#This Row],['#_Non Cluster partner latrines]])-WWWW[[#This Row],['#_Non-functional latrines]]</f>
        <v>146</v>
      </c>
      <c r="CW594" s="804">
        <f>WWWW[[#This Row],[HRP2]]/WWWW[[#This Row],[Total PoP ]]</f>
        <v>0.75667271313811868</v>
      </c>
      <c r="CX594"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2920</v>
      </c>
      <c r="CY594"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1160</v>
      </c>
      <c r="CZ594"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4" s="473">
        <f>IF(WWWW[[#This Row],['# of functional latrines in THF supported by WASH partners during the reporting period2]]="",0,WWWW[[#This Row],['# of functional latrines in THF supported by WASH partners during the reporting period2]]*50)</f>
        <v>0</v>
      </c>
      <c r="DB594" s="473">
        <f>WWWW[[#This Row],['# students access to functioning school latrines_HRP5]]+WWWW[[#This Row],['# People access to functioning latrines in THF_HRP5]]</f>
        <v>0</v>
      </c>
      <c r="DC594" s="867">
        <f>ROUND(IF(WWWW[[#This Row],[Location Type 1]]="camp",WWWW[[#This Row],[Total PoP ]]/20,IF(WWWW[[#This Row],[Location Type 1]]="Temporary Location",WWWW[[#This Row],[Total PoP ]]/50,(WWWW[[#This Row],[Total PoP ]]/6))),0)</f>
        <v>193</v>
      </c>
      <c r="DD594" s="867">
        <f>IF(WWWW[[#This Row],[Total required Latrines]]-(WWWW[[#This Row],['#_Constructed latrines_by_WASHAgencies]]+WWWW[[#This Row],['#_Non Cluster partner latrines]])&lt;0,0,WWWW[[#This Row],[Total required Latrines]]-(WWWW[[#This Row],['#_Constructed latrines_by_WASHAgencies]]+WWWW[[#This Row],['#_Non Cluster partner latrines]]))</f>
        <v>47</v>
      </c>
      <c r="DE594" s="869">
        <f>1-WWWW[[#This Row],[% people access to functioning Latrine]]</f>
        <v>0.24332728686188132</v>
      </c>
      <c r="DF594" s="868">
        <f>IF(OR(WWWW[[#This Row],['#_Non-functional latrines]]="",WWWW[[#This Row],['#_Non-functional latrines]]=0),0,WWWW[[#This Row],['#_Non-functional latrines]]/(WWWW[[#This Row],['#_Constructed latrines_by_WASHAgencies]]+WWWW[[#This Row],['#_Non Cluster partner latrines]]))</f>
        <v>0</v>
      </c>
      <c r="DG594" s="864">
        <f>IF(500*(WWWW[[#This Row],['#_male hygiene promoters]]+WWWW[[#This Row],['#_female hygiene promoters]])&gt;WWWW[[#This Row],[Total PoP ]],WWWW[[#This Row],[Total PoP ]],500*(WWWW[[#This Row],['#_male hygiene promoters]]+WWWW[[#This Row],['#_female hygiene promoters]]))</f>
        <v>3000</v>
      </c>
      <c r="DH594"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4"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4" s="867">
        <f>IF(WWWW[[#This Row],['# People with access to soap]]&gt;WWWW[[#This Row],['# People with access to Sanity Pads]],WWWW[[#This Row],['# People with access to soap]],WWWW[[#This Row],['# People with access to Sanity Pads]])</f>
        <v>0</v>
      </c>
      <c r="DK594" s="867">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L594" s="869">
        <f>IF(WWWW[[#This Row],[HRP3]]/WWWW[[#This Row],[Total PoP ]]&gt;1,1,WWWW[[#This Row],[HRP3]]/WWWW[[#This Row],[Total PoP ]])</f>
        <v>0.77740347240217678</v>
      </c>
      <c r="DM594" s="868">
        <f>1-WWWW[[#This Row],[Hygiene Coverage%]]</f>
        <v>0.22259652759782322</v>
      </c>
      <c r="DN594" s="866">
        <f>WWWW[[#This Row],['# people reached by regular dedicated hygiene promotion_5]]/WWWW[[#This Row],[Total PoP ]]</f>
        <v>0.77740347240217678</v>
      </c>
      <c r="DO594"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4"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4" s="867">
        <f>WWWW[[#This Row],['#_Constructed/Existing hand washing stations]]-WWWW[[#This Row],['#_Non-Functional_hand_washing_stations]]</f>
        <v>19</v>
      </c>
      <c r="DR594" s="864">
        <f>IF(WWWW[[#This Row],['# Functional hand washing stations during reporting period]]*20&gt;WWWW[[#This Row],[Total HH]],WWWW[[#This Row],[Total HH]],WWWW[[#This Row],['# Functional hand washing stations during reporting period]]*20)</f>
        <v>380</v>
      </c>
      <c r="DS594" s="864">
        <f>IF(WWWW[[#This Row],[Is sufficient soap available for TLS? (Yes/No)]]="yes",WWWW[[#This Row],['#_Constructed/Existing hand washing stations at TLS]],0)</f>
        <v>0</v>
      </c>
      <c r="DT594" s="479">
        <f>IF(WWWW[[#This Row],['# Functional hand washing stations during reporting period]]*100&gt;WWWW[[#This Row],[Total PoP ]],WWWW[[#This Row],[Total PoP ]],WWWW[[#This Row],['# Functional hand washing stations during reporting period]]*100)</f>
        <v>1900</v>
      </c>
      <c r="DU594" s="479" t="str">
        <f>IF(OR(WWWW[[#This Row],['#_students at TLS_CFS]]="",WWWW[[#This Row],['#_students at TLS_CFS]]=0),"No","Yes")</f>
        <v>No</v>
      </c>
      <c r="DV594"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4"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4"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4" s="862" t="str">
        <f>VLOOKUP(WWWW[[#This Row],[Site Name]],SiteDB6[[Site Name]:[CCCM Management]],6,FALSE)</f>
        <v>Yes</v>
      </c>
      <c r="DZ594" s="862" t="str">
        <f>VLOOKUP(WWWW[[#This Row],[Site Name]],SiteDB6[[Site Name]:[CCCM Focal Agency]],7,FALSE)</f>
        <v>KBC-BMO</v>
      </c>
      <c r="EA594" s="862" t="str">
        <f>VLOOKUP(WWWW[[#This Row],[Site Name]],SiteDB6[[Site Name]:[Location Type 1]],9,FALSE)</f>
        <v>Camp</v>
      </c>
      <c r="EB594" s="862" t="str">
        <f>VLOOKUP(WWWW[[#This Row],[Site Name]],SiteDB6[[Site Name]:[Type of Accommodation]],10,FALSE)</f>
        <v>Camp</v>
      </c>
      <c r="EC594" s="862" t="str">
        <f>VLOOKUP(WWWW[[#This Row],[Site Name]],SiteDB6[[Site Name]:[Ethnic or GCA/NGCA]],11,FALSE)</f>
        <v>GCA</v>
      </c>
      <c r="ED594" s="862">
        <f>VLOOKUP(WWWW[[#This Row],[Site Name]],SiteDB6[[Site Name]:[Lat]],12,FALSE)</f>
        <v>24.268292826086999</v>
      </c>
      <c r="EE594" s="862">
        <f>VLOOKUP(WWWW[[#This Row],[Site Name]],SiteDB6[[Site Name]:[Long]],13,FALSE)</f>
        <v>97.229116811594196</v>
      </c>
      <c r="EF594" s="862" t="str">
        <f>VLOOKUP(WWWW[[#This Row],[Site Name]],SiteDB6[[Site Name]:[Pcode]],3,FALSE)</f>
        <v>MMR001CMP047</v>
      </c>
      <c r="EG594" s="865" t="str">
        <f t="shared" si="17"/>
        <v>Covered</v>
      </c>
      <c r="EH594" s="865" t="str">
        <f>VLOOKUP(WWWW[[#This Row],[Site Name]],Site_DB!$C$389:$D$1120,2,FALSE)</f>
        <v>cccm_2019OCT</v>
      </c>
    </row>
    <row r="595" spans="1:138">
      <c r="A595" s="860" t="s">
        <v>3263</v>
      </c>
      <c r="B595" s="860" t="s">
        <v>279</v>
      </c>
      <c r="C595" s="861" t="s">
        <v>279</v>
      </c>
      <c r="D595" s="861" t="s">
        <v>3370</v>
      </c>
      <c r="E595" s="861" t="s">
        <v>39</v>
      </c>
      <c r="F595" s="861" t="s">
        <v>198</v>
      </c>
      <c r="G595" s="721" t="str">
        <f>VLOOKUP(WWWW[[#This Row],[Site Name]],SiteDB6[[Site Name]:[Location Type]],8,FALSE)</f>
        <v>Camp_not registered</v>
      </c>
      <c r="H595" s="861" t="s">
        <v>3088</v>
      </c>
      <c r="I595" s="851">
        <v>243.8</v>
      </c>
      <c r="J595" s="851">
        <v>1219</v>
      </c>
      <c r="K595" s="863">
        <v>43833</v>
      </c>
      <c r="L595" s="859">
        <v>44377</v>
      </c>
      <c r="M595" s="851"/>
      <c r="N595" s="851"/>
      <c r="O595" s="851">
        <v>0</v>
      </c>
      <c r="P595" s="851"/>
      <c r="Q595" s="864" t="s">
        <v>43</v>
      </c>
      <c r="R595" s="851"/>
      <c r="S595" s="851">
        <v>0</v>
      </c>
      <c r="T595" s="523">
        <v>0</v>
      </c>
      <c r="U595" s="851"/>
      <c r="V595" s="851"/>
      <c r="W595" s="851">
        <v>5</v>
      </c>
      <c r="X595" s="851">
        <v>0</v>
      </c>
      <c r="Y595" s="851"/>
      <c r="Z595" s="851"/>
      <c r="AA595" s="851"/>
      <c r="AB595" s="851"/>
      <c r="AC595" s="851"/>
      <c r="AD595" s="851"/>
      <c r="AE595" s="851"/>
      <c r="AF595" s="851"/>
      <c r="AG595" s="720"/>
      <c r="AH595" s="720"/>
      <c r="AI595" s="720">
        <v>6</v>
      </c>
      <c r="AJ595" s="720">
        <v>4</v>
      </c>
      <c r="AK595" s="851"/>
      <c r="AL595" s="851"/>
      <c r="AM595" s="851"/>
      <c r="AN595" s="851">
        <v>2</v>
      </c>
      <c r="AO595" s="865"/>
      <c r="AP595" s="851"/>
      <c r="AQ595" s="851"/>
      <c r="AR595" s="866"/>
      <c r="AS595" s="851"/>
      <c r="AT595" s="851"/>
      <c r="AU595" s="851"/>
      <c r="AV595" s="851"/>
      <c r="AW595" s="851"/>
      <c r="AX595" s="862" t="s">
        <v>43</v>
      </c>
      <c r="AY595" s="865" t="s">
        <v>140</v>
      </c>
      <c r="AZ595" s="851">
        <v>0</v>
      </c>
      <c r="BA595" s="851">
        <v>0</v>
      </c>
      <c r="BB595" s="851"/>
      <c r="BC595" s="523"/>
      <c r="BD595" s="523"/>
      <c r="BE595" s="806" t="s">
        <v>3371</v>
      </c>
      <c r="BF595" s="851"/>
      <c r="BG595" s="851"/>
      <c r="BH595" s="851"/>
      <c r="BI595" s="851">
        <v>0</v>
      </c>
      <c r="BJ595" s="851"/>
      <c r="BK595" s="851">
        <v>0</v>
      </c>
      <c r="BL595" s="851">
        <v>0</v>
      </c>
      <c r="BM595" s="851"/>
      <c r="BN595" s="851"/>
      <c r="BO595" s="862" t="s">
        <v>43</v>
      </c>
      <c r="BP595" s="867"/>
      <c r="BQ595" s="866"/>
      <c r="BR595" s="862"/>
      <c r="BS595" s="472"/>
      <c r="BT595" s="472"/>
      <c r="BU595" s="474"/>
      <c r="BV595" s="472"/>
      <c r="BW595" s="523"/>
      <c r="BX595" s="523"/>
      <c r="BY595" s="523"/>
      <c r="BZ595" s="868">
        <f>IFERROR(WWWW[[#This Row],['#_Water sources passed]]/WWWW[[#This Row],['#_Water sources tested for fecal coliform ]],"no test")</f>
        <v>0.66666666666666663</v>
      </c>
      <c r="CA595" s="866" t="str">
        <f>IFERROR(WWWW[[#This Row],['#_Household passed]]/WWWW[[#This Row],['#_Household water samples tested for fecal coliform]],"no test")</f>
        <v>no test</v>
      </c>
      <c r="CB595" s="867" t="str">
        <f>IF(AND(WWWW[[#This Row],[% of water sources passed]]="no test",WWWW[[#This Row],[% Household passed]]="no test"),"No Test","Tested")</f>
        <v>Tested</v>
      </c>
      <c r="CC595" s="867">
        <f>WWWW[[#This Row],['#_Constructed/existing protected hand dug well]]-WWWW[[#This Row],['#_Non-functional protected hand dug well]]</f>
        <v>0</v>
      </c>
      <c r="CD595" s="867">
        <f>(WWWW[[#This Row],['#_Constructed/Existing tube wells/boreholes/handpumps_WASH_agency]]+WWWW[[#This Row],['#_Non-Cluster partner water tube-wells/boreholes/handpumps]])-WWWW[[#This Row],['#_Non-functional tube wells/boreholes/handpumps]]</f>
        <v>5</v>
      </c>
      <c r="CE595" s="867">
        <f>WWWW[[#This Row],['#_Constructed/Existingwater storage tank with gravity fed reticulation system]]-WWWW[[#This Row],['#_Non-functional storage tank gravity fed reticulation system]]</f>
        <v>0</v>
      </c>
      <c r="CF595" s="867">
        <f>(WWWW[[#This Row],['#_Water_Liters_supplied_by_Water boating or water trucking]]/90)/15</f>
        <v>0</v>
      </c>
      <c r="CG595" s="867">
        <f>WWWW[[#This Row],['#_Water_Liters_from_Constructed/Existing water distribution system from river or natural spring]]/90/15</f>
        <v>0</v>
      </c>
      <c r="CH595" s="473">
        <f>WWWW[[#This Row],['#_of water points in TLS/CFS /THF]]*500</f>
        <v>1000</v>
      </c>
      <c r="CI595"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5"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5" s="866">
        <f>IF(WWWW[[#This Row],[Location Type 1]]="Village",WWWW[[#This Row],[Access to safe drinking water for Village]],WWWW[[#This Row],[Access to safe drinking water for Camp]])</f>
        <v>1</v>
      </c>
      <c r="CL595" s="864">
        <f>WWWW[[#This Row],[%Equitable and continuous access to sufficient quantity of safe drinking water]]*WWWW[[#This Row],[Total PoP ]]</f>
        <v>1219</v>
      </c>
      <c r="CM595" s="866">
        <f>IF((WWWW[[#This Row],['#_Constructed/Existing protected/fenced ponds]]*250)/WWWW[[#This Row],[Total PoP ]]&gt;1,1,(WWWW[[#This Row],['#_Constructed/Existing protected/fenced ponds]]*250)/WWWW[[#This Row],[Total PoP ]])</f>
        <v>0</v>
      </c>
      <c r="CN595" s="864">
        <f>WWWW[[#This Row],[% Access to unimproved water points]]*WWWW[[#This Row],[Total PoP ]]</f>
        <v>0</v>
      </c>
      <c r="CO595"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5"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1219</v>
      </c>
      <c r="CQ595" s="864">
        <f>WWWW[[#This Row],[HRP1]]/500</f>
        <v>2.4380000000000002</v>
      </c>
      <c r="CR595" s="869">
        <f>1-WWWW[[#This Row],[% Equitable and continuous access to sufficient quantity of domestic water]]</f>
        <v>0</v>
      </c>
      <c r="CS595" s="864">
        <f>WWWW[[#This Row],[%equitable and continuous access to sufficient quantity of safe drinking and domestic water''s GAP]]*WWWW[[#This Row],[Total PoP ]]</f>
        <v>0</v>
      </c>
      <c r="CT595" s="867">
        <f>IF(WWWW[[#This Row],[Total required water points]]-WWWW[[#This Row],['#Water points coverage]]&lt;0,0,WWWW[[#This Row],[Total required water points]]-WWWW[[#This Row],['#Water points coverage]])</f>
        <v>0</v>
      </c>
      <c r="CU595" s="867">
        <f>ROUND(IF(WWWW[[#This Row],[Total PoP ]]&lt;500,1,WWWW[[#This Row],[Total PoP ]]/500),0)</f>
        <v>2</v>
      </c>
      <c r="CV595" s="867">
        <f>(WWWW[[#This Row],['#_Constructed latrines_by_WASHAgencies]]+WWWW[[#This Row],['#_Non Cluster partner latrines]])-WWWW[[#This Row],['#_Non-functional latrines]]</f>
        <v>0</v>
      </c>
      <c r="CW595" s="804">
        <f>WWWW[[#This Row],[HRP2]]/WWWW[[#This Row],[Total PoP ]]</f>
        <v>0</v>
      </c>
      <c r="CX595"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CY595"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5"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5" s="473">
        <f>IF(WWWW[[#This Row],['# of functional latrines in THF supported by WASH partners during the reporting period2]]="",0,WWWW[[#This Row],['# of functional latrines in THF supported by WASH partners during the reporting period2]]*50)</f>
        <v>0</v>
      </c>
      <c r="DB595" s="473">
        <f>WWWW[[#This Row],['# students access to functioning school latrines_HRP5]]+WWWW[[#This Row],['# People access to functioning latrines in THF_HRP5]]</f>
        <v>0</v>
      </c>
      <c r="DC595" s="867">
        <f>ROUND(IF(WWWW[[#This Row],[Location Type 1]]="camp",WWWW[[#This Row],[Total PoP ]]/20,IF(WWWW[[#This Row],[Location Type 1]]="Temporary Location",WWWW[[#This Row],[Total PoP ]]/50,(WWWW[[#This Row],[Total PoP ]]/6))),0)</f>
        <v>61</v>
      </c>
      <c r="DD595" s="867">
        <f>IF(WWWW[[#This Row],[Total required Latrines]]-(WWWW[[#This Row],['#_Constructed latrines_by_WASHAgencies]]+WWWW[[#This Row],['#_Non Cluster partner latrines]])&lt;0,0,WWWW[[#This Row],[Total required Latrines]]-(WWWW[[#This Row],['#_Constructed latrines_by_WASHAgencies]]+WWWW[[#This Row],['#_Non Cluster partner latrines]]))</f>
        <v>61</v>
      </c>
      <c r="DE595" s="869">
        <f>1-WWWW[[#This Row],[% people access to functioning Latrine]]</f>
        <v>1</v>
      </c>
      <c r="DF595" s="868">
        <f>IF(OR(WWWW[[#This Row],['#_Non-functional latrines]]="",WWWW[[#This Row],['#_Non-functional latrines]]=0),0,WWWW[[#This Row],['#_Non-functional latrines]]/(WWWW[[#This Row],['#_Constructed latrines_by_WASHAgencies]]+WWWW[[#This Row],['#_Non Cluster partner latrines]]))</f>
        <v>0</v>
      </c>
      <c r="DG595" s="864">
        <f>IF(500*(WWWW[[#This Row],['#_male hygiene promoters]]+WWWW[[#This Row],['#_female hygiene promoters]])&gt;WWWW[[#This Row],[Total PoP ]],WWWW[[#This Row],[Total PoP ]],500*(WWWW[[#This Row],['#_male hygiene promoters]]+WWWW[[#This Row],['#_female hygiene promoters]]))</f>
        <v>0</v>
      </c>
      <c r="DH595"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5"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5" s="867">
        <f>IF(WWWW[[#This Row],['# People with access to soap]]&gt;WWWW[[#This Row],['# People with access to Sanity Pads]],WWWW[[#This Row],['# People with access to soap]],WWWW[[#This Row],['# People with access to Sanity Pads]])</f>
        <v>0</v>
      </c>
      <c r="DK595"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DL595" s="869">
        <f>IF(WWWW[[#This Row],[HRP3]]/WWWW[[#This Row],[Total PoP ]]&gt;1,1,WWWW[[#This Row],[HRP3]]/WWWW[[#This Row],[Total PoP ]])</f>
        <v>0</v>
      </c>
      <c r="DM595" s="868">
        <f>1-WWWW[[#This Row],[Hygiene Coverage%]]</f>
        <v>1</v>
      </c>
      <c r="DN595" s="866">
        <f>WWWW[[#This Row],['# people reached by regular dedicated hygiene promotion_5]]/WWWW[[#This Row],[Total PoP ]]</f>
        <v>0</v>
      </c>
      <c r="DO595"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5"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5" s="867">
        <f>WWWW[[#This Row],['#_Constructed/Existing hand washing stations]]-WWWW[[#This Row],['#_Non-Functional_hand_washing_stations]]</f>
        <v>0</v>
      </c>
      <c r="DR595" s="864">
        <f>IF(WWWW[[#This Row],['# Functional hand washing stations during reporting period]]*20&gt;WWWW[[#This Row],[Total HH]],WWWW[[#This Row],[Total HH]],WWWW[[#This Row],['# Functional hand washing stations during reporting period]]*20)</f>
        <v>0</v>
      </c>
      <c r="DS595" s="864">
        <f>IF(WWWW[[#This Row],[Is sufficient soap available for TLS? (Yes/No)]]="yes",WWWW[[#This Row],['#_Constructed/Existing hand washing stations at TLS]],0)</f>
        <v>0</v>
      </c>
      <c r="DT595" s="479">
        <f>IF(WWWW[[#This Row],['# Functional hand washing stations during reporting period]]*100&gt;WWWW[[#This Row],[Total PoP ]],WWWW[[#This Row],[Total PoP ]],WWWW[[#This Row],['# Functional hand washing stations during reporting period]]*100)</f>
        <v>0</v>
      </c>
      <c r="DU595" s="479" t="str">
        <f>IF(OR(WWWW[[#This Row],['#_students at TLS_CFS]]="",WWWW[[#This Row],['#_students at TLS_CFS]]=0),"No","Yes")</f>
        <v>No</v>
      </c>
      <c r="DV595"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5"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5"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595" s="862" t="str">
        <f>VLOOKUP(WWWW[[#This Row],[Site Name]],SiteDB6[[Site Name]:[CCCM Management]],6,FALSE)</f>
        <v>No</v>
      </c>
      <c r="DZ595" s="862">
        <f>VLOOKUP(WWWW[[#This Row],[Site Name]],SiteDB6[[Site Name]:[CCCM Focal Agency]],7,FALSE)</f>
        <v>0</v>
      </c>
      <c r="EA595" s="862" t="str">
        <f>VLOOKUP(WWWW[[#This Row],[Site Name]],SiteDB6[[Site Name]:[Location Type 1]],9,FALSE)</f>
        <v>Camp</v>
      </c>
      <c r="EB595" s="862" t="str">
        <f>VLOOKUP(WWWW[[#This Row],[Site Name]],SiteDB6[[Site Name]:[Type of Accommodation]],10,FALSE)</f>
        <v>Camp</v>
      </c>
      <c r="EC595" s="862" t="str">
        <f>VLOOKUP(WWWW[[#This Row],[Site Name]],SiteDB6[[Site Name]:[Ethnic or GCA/NGCA]],11,FALSE)</f>
        <v>GCA</v>
      </c>
      <c r="ED595" s="862">
        <f>VLOOKUP(WWWW[[#This Row],[Site Name]],SiteDB6[[Site Name]:[Lat]],12,FALSE)</f>
        <v>0</v>
      </c>
      <c r="EE595" s="862">
        <f>VLOOKUP(WWWW[[#This Row],[Site Name]],SiteDB6[[Site Name]:[Long]],13,FALSE)</f>
        <v>0</v>
      </c>
      <c r="EF595" s="862">
        <f>VLOOKUP(WWWW[[#This Row],[Site Name]],SiteDB6[[Site Name]:[Pcode]],3,FALSE)</f>
        <v>0</v>
      </c>
      <c r="EG595" s="865" t="str">
        <f t="shared" si="17"/>
        <v>Covered</v>
      </c>
      <c r="EH595" s="865">
        <f>VLOOKUP(WWWW[[#This Row],[Site Name]],Site_DB!$C$389:$D$1120,2,FALSE)</f>
        <v>0</v>
      </c>
    </row>
    <row r="596" spans="1:138">
      <c r="A596" s="860" t="s">
        <v>3263</v>
      </c>
      <c r="B596" s="860" t="s">
        <v>279</v>
      </c>
      <c r="C596" s="861" t="s">
        <v>279</v>
      </c>
      <c r="D596" s="861" t="s">
        <v>3370</v>
      </c>
      <c r="E596" s="861" t="s">
        <v>39</v>
      </c>
      <c r="F596" s="861" t="s">
        <v>208</v>
      </c>
      <c r="G596" s="721" t="str">
        <f>VLOOKUP(WWWW[[#This Row],[Site Name]],SiteDB6[[Site Name]:[Location Type]],8,FALSE)</f>
        <v>Camp</v>
      </c>
      <c r="H596" s="861" t="s">
        <v>289</v>
      </c>
      <c r="I596" s="851">
        <v>40</v>
      </c>
      <c r="J596" s="851">
        <v>255</v>
      </c>
      <c r="K596" s="863">
        <v>43833</v>
      </c>
      <c r="L596" s="859">
        <v>44377</v>
      </c>
      <c r="M596" s="851"/>
      <c r="N596" s="851">
        <v>0</v>
      </c>
      <c r="O596" s="851">
        <v>2</v>
      </c>
      <c r="P596" s="851"/>
      <c r="Q596" s="864" t="s">
        <v>43</v>
      </c>
      <c r="R596" s="720">
        <v>3</v>
      </c>
      <c r="S596" s="720">
        <v>10</v>
      </c>
      <c r="T596" s="523">
        <v>2</v>
      </c>
      <c r="U596" s="851"/>
      <c r="V596" s="851"/>
      <c r="W596" s="851">
        <v>1</v>
      </c>
      <c r="X596" s="851">
        <v>0</v>
      </c>
      <c r="Y596" s="851"/>
      <c r="Z596" s="851"/>
      <c r="AA596" s="851"/>
      <c r="AB596" s="851"/>
      <c r="AC596" s="851"/>
      <c r="AD596" s="851"/>
      <c r="AE596" s="851"/>
      <c r="AF596" s="851"/>
      <c r="AG596" s="851">
        <v>2</v>
      </c>
      <c r="AH596" s="851"/>
      <c r="AI596" s="851"/>
      <c r="AJ596" s="851"/>
      <c r="AK596" s="851"/>
      <c r="AL596" s="851"/>
      <c r="AM596" s="851">
        <v>10</v>
      </c>
      <c r="AN596" s="851"/>
      <c r="AO596" s="865"/>
      <c r="AP596" s="851">
        <v>16</v>
      </c>
      <c r="AQ596" s="851"/>
      <c r="AR596" s="866"/>
      <c r="AS596" s="851"/>
      <c r="AT596" s="851"/>
      <c r="AU596" s="851">
        <v>4</v>
      </c>
      <c r="AV596" s="851">
        <v>18</v>
      </c>
      <c r="AW596" s="851"/>
      <c r="AX596" s="862" t="s">
        <v>43</v>
      </c>
      <c r="AY596" s="865" t="s">
        <v>140</v>
      </c>
      <c r="AZ596" s="851">
        <v>0</v>
      </c>
      <c r="BA596" s="851">
        <v>0</v>
      </c>
      <c r="BB596" s="851"/>
      <c r="BC596" s="523"/>
      <c r="BD596" s="523"/>
      <c r="BE596" s="862" t="s">
        <v>3371</v>
      </c>
      <c r="BF596" s="851">
        <v>7</v>
      </c>
      <c r="BG596" s="851"/>
      <c r="BH596" s="851"/>
      <c r="BI596" s="851">
        <v>1</v>
      </c>
      <c r="BJ596" s="851"/>
      <c r="BK596" s="851">
        <v>1</v>
      </c>
      <c r="BL596" s="851">
        <v>1</v>
      </c>
      <c r="BM596" s="851"/>
      <c r="BN596" s="851"/>
      <c r="BO596" s="862"/>
      <c r="BP596" s="867"/>
      <c r="BQ596" s="866"/>
      <c r="BR596" s="862"/>
      <c r="BS596" s="472"/>
      <c r="BT596" s="472"/>
      <c r="BU596" s="474"/>
      <c r="BV596" s="472"/>
      <c r="BW596" s="523">
        <v>5</v>
      </c>
      <c r="BX596" s="523"/>
      <c r="BY596" s="523"/>
      <c r="BZ596" s="868" t="str">
        <f>IFERROR(WWWW[[#This Row],['#_Water sources passed]]/WWWW[[#This Row],['#_Water sources tested for fecal coliform ]],"no test")</f>
        <v>no test</v>
      </c>
      <c r="CA596" s="866" t="str">
        <f>IFERROR(WWWW[[#This Row],['#_Household passed]]/WWWW[[#This Row],['#_Household water samples tested for fecal coliform]],"no test")</f>
        <v>no test</v>
      </c>
      <c r="CB596" s="867" t="str">
        <f>IF(AND(WWWW[[#This Row],[% of water sources passed]]="no test",WWWW[[#This Row],[% Household passed]]="no test"),"No Test","Tested")</f>
        <v>No Test</v>
      </c>
      <c r="CC596" s="867">
        <f>WWWW[[#This Row],['#_Constructed/existing protected hand dug well]]-WWWW[[#This Row],['#_Non-functional protected hand dug well]]</f>
        <v>2</v>
      </c>
      <c r="CD596" s="867">
        <f>(WWWW[[#This Row],['#_Constructed/Existing tube wells/boreholes/handpumps_WASH_agency]]+WWWW[[#This Row],['#_Non-Cluster partner water tube-wells/boreholes/handpumps]])-WWWW[[#This Row],['#_Non-functional tube wells/boreholes/handpumps]]</f>
        <v>1</v>
      </c>
      <c r="CE596" s="867">
        <f>WWWW[[#This Row],['#_Constructed/Existingwater storage tank with gravity fed reticulation system]]-WWWW[[#This Row],['#_Non-functional storage tank gravity fed reticulation system]]</f>
        <v>0</v>
      </c>
      <c r="CF596" s="867">
        <f>(WWWW[[#This Row],['#_Water_Liters_supplied_by_Water boating or water trucking]]/90)/15</f>
        <v>0</v>
      </c>
      <c r="CG596" s="867">
        <f>WWWW[[#This Row],['#_Water_Liters_from_Constructed/Existing water distribution system from river or natural spring]]/90/15</f>
        <v>0</v>
      </c>
      <c r="CH596" s="473">
        <f>WWWW[[#This Row],['#_of water points in TLS/CFS /THF]]*500</f>
        <v>0</v>
      </c>
      <c r="CI596"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596"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596" s="866">
        <f>IF(WWWW[[#This Row],[Location Type 1]]="Village",WWWW[[#This Row],[Access to safe drinking water for Village]],WWWW[[#This Row],[Access to safe drinking water for Camp]])</f>
        <v>1</v>
      </c>
      <c r="CL596" s="864">
        <f>WWWW[[#This Row],[%Equitable and continuous access to sufficient quantity of safe drinking water]]*WWWW[[#This Row],[Total PoP ]]</f>
        <v>255</v>
      </c>
      <c r="CM596" s="866">
        <f>IF((WWWW[[#This Row],['#_Constructed/Existing protected/fenced ponds]]*250)/WWWW[[#This Row],[Total PoP ]]&gt;1,1,(WWWW[[#This Row],['#_Constructed/Existing protected/fenced ponds]]*250)/WWWW[[#This Row],[Total PoP ]])</f>
        <v>0</v>
      </c>
      <c r="CN596" s="864">
        <f>WWWW[[#This Row],[% Access to unimproved water points]]*WWWW[[#This Row],[Total PoP ]]</f>
        <v>0</v>
      </c>
      <c r="CO596"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6"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Q596" s="864">
        <f>WWWW[[#This Row],[HRP1]]/500</f>
        <v>0.51</v>
      </c>
      <c r="CR596" s="869">
        <f>1-WWWW[[#This Row],[% Equitable and continuous access to sufficient quantity of domestic water]]</f>
        <v>0</v>
      </c>
      <c r="CS596" s="864">
        <f>WWWW[[#This Row],[%equitable and continuous access to sufficient quantity of safe drinking and domestic water''s GAP]]*WWWW[[#This Row],[Total PoP ]]</f>
        <v>0</v>
      </c>
      <c r="CT596" s="867">
        <f>IF(WWWW[[#This Row],[Total required water points]]-WWWW[[#This Row],['#Water points coverage]]&lt;0,0,WWWW[[#This Row],[Total required water points]]-WWWW[[#This Row],['#Water points coverage]])</f>
        <v>0.49</v>
      </c>
      <c r="CU596" s="867">
        <f>ROUND(IF(WWWW[[#This Row],[Total PoP ]]&lt;500,1,WWWW[[#This Row],[Total PoP ]]/500),0)</f>
        <v>1</v>
      </c>
      <c r="CV596" s="867">
        <f>(WWWW[[#This Row],['#_Constructed latrines_by_WASHAgencies]]+WWWW[[#This Row],['#_Non Cluster partner latrines]])-WWWW[[#This Row],['#_Non-functional latrines]]</f>
        <v>16</v>
      </c>
      <c r="CW596" s="804">
        <f>WWWW[[#This Row],[HRP2]]/WWWW[[#This Row],[Total PoP ]]</f>
        <v>1</v>
      </c>
      <c r="CX596"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CY596"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Z596"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6" s="473">
        <f>IF(WWWW[[#This Row],['# of functional latrines in THF supported by WASH partners during the reporting period2]]="",0,WWWW[[#This Row],['# of functional latrines in THF supported by WASH partners during the reporting period2]]*50)</f>
        <v>0</v>
      </c>
      <c r="DB596" s="473">
        <f>WWWW[[#This Row],['# students access to functioning school latrines_HRP5]]+WWWW[[#This Row],['# People access to functioning latrines in THF_HRP5]]</f>
        <v>0</v>
      </c>
      <c r="DC596" s="867">
        <f>ROUND(IF(WWWW[[#This Row],[Location Type 1]]="camp",WWWW[[#This Row],[Total PoP ]]/20,IF(WWWW[[#This Row],[Location Type 1]]="Temporary Location",WWWW[[#This Row],[Total PoP ]]/50,(WWWW[[#This Row],[Total PoP ]]/6))),0)</f>
        <v>13</v>
      </c>
      <c r="DD596" s="867">
        <f>IF(WWWW[[#This Row],[Total required Latrines]]-(WWWW[[#This Row],['#_Constructed latrines_by_WASHAgencies]]+WWWW[[#This Row],['#_Non Cluster partner latrines]])&lt;0,0,WWWW[[#This Row],[Total required Latrines]]-(WWWW[[#This Row],['#_Constructed latrines_by_WASHAgencies]]+WWWW[[#This Row],['#_Non Cluster partner latrines]]))</f>
        <v>0</v>
      </c>
      <c r="DE596" s="869">
        <f>1-WWWW[[#This Row],[% people access to functioning Latrine]]</f>
        <v>0</v>
      </c>
      <c r="DF596" s="868">
        <f>IF(OR(WWWW[[#This Row],['#_Non-functional latrines]]="",WWWW[[#This Row],['#_Non-functional latrines]]=0),0,WWWW[[#This Row],['#_Non-functional latrines]]/(WWWW[[#This Row],['#_Constructed latrines_by_WASHAgencies]]+WWWW[[#This Row],['#_Non Cluster partner latrines]]))</f>
        <v>0</v>
      </c>
      <c r="DG596" s="864">
        <f>IF(500*(WWWW[[#This Row],['#_male hygiene promoters]]+WWWW[[#This Row],['#_female hygiene promoters]])&gt;WWWW[[#This Row],[Total PoP ]],WWWW[[#This Row],[Total PoP ]],500*(WWWW[[#This Row],['#_male hygiene promoters]]+WWWW[[#This Row],['#_female hygiene promoters]]))</f>
        <v>255</v>
      </c>
      <c r="DH596"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6"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6" s="867">
        <f>IF(WWWW[[#This Row],['# People with access to soap]]&gt;WWWW[[#This Row],['# People with access to Sanity Pads]],WWWW[[#This Row],['# People with access to soap]],WWWW[[#This Row],['# People with access to Sanity Pads]])</f>
        <v>0</v>
      </c>
      <c r="DK596" s="867">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L596" s="869">
        <f>IF(WWWW[[#This Row],[HRP3]]/WWWW[[#This Row],[Total PoP ]]&gt;1,1,WWWW[[#This Row],[HRP3]]/WWWW[[#This Row],[Total PoP ]])</f>
        <v>1</v>
      </c>
      <c r="DM596" s="868">
        <f>1-WWWW[[#This Row],[Hygiene Coverage%]]</f>
        <v>0</v>
      </c>
      <c r="DN596" s="866">
        <f>WWWW[[#This Row],['# people reached by regular dedicated hygiene promotion_5]]/WWWW[[#This Row],[Total PoP ]]</f>
        <v>1</v>
      </c>
      <c r="DO596"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6"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6" s="867">
        <f>WWWW[[#This Row],['#_Constructed/Existing hand washing stations]]-WWWW[[#This Row],['#_Non-Functional_hand_washing_stations]]</f>
        <v>7</v>
      </c>
      <c r="DR596" s="864">
        <f>IF(WWWW[[#This Row],['# Functional hand washing stations during reporting period]]*20&gt;WWWW[[#This Row],[Total HH]],WWWW[[#This Row],[Total HH]],WWWW[[#This Row],['# Functional hand washing stations during reporting period]]*20)</f>
        <v>40</v>
      </c>
      <c r="DS596" s="864">
        <f>IF(WWWW[[#This Row],[Is sufficient soap available for TLS? (Yes/No)]]="yes",WWWW[[#This Row],['#_Constructed/Existing hand washing stations at TLS]],0)</f>
        <v>0</v>
      </c>
      <c r="DT596" s="479">
        <f>IF(WWWW[[#This Row],['# Functional hand washing stations during reporting period]]*100&gt;WWWW[[#This Row],[Total PoP ]],WWWW[[#This Row],[Total PoP ]],WWWW[[#This Row],['# Functional hand washing stations during reporting period]]*100)</f>
        <v>255</v>
      </c>
      <c r="DU596" s="479" t="str">
        <f>IF(OR(WWWW[[#This Row],['#_students at TLS_CFS]]="",WWWW[[#This Row],['#_students at TLS_CFS]]=0),"No","Yes")</f>
        <v>No</v>
      </c>
      <c r="DV596"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6"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v>
      </c>
      <c r="DX596"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596" s="862" t="str">
        <f>VLOOKUP(WWWW[[#This Row],[Site Name]],SiteDB6[[Site Name]:[CCCM Management]],6,FALSE)</f>
        <v>Yes</v>
      </c>
      <c r="DZ596" s="862" t="str">
        <f>VLOOKUP(WWWW[[#This Row],[Site Name]],SiteDB6[[Site Name]:[CCCM Focal Agency]],7,FALSE)</f>
        <v>KBC-BMO</v>
      </c>
      <c r="EA596" s="862" t="str">
        <f>VLOOKUP(WWWW[[#This Row],[Site Name]],SiteDB6[[Site Name]:[Location Type 1]],9,FALSE)</f>
        <v>Camp</v>
      </c>
      <c r="EB596" s="862" t="str">
        <f>VLOOKUP(WWWW[[#This Row],[Site Name]],SiteDB6[[Site Name]:[Type of Accommodation]],10,FALSE)</f>
        <v>Camp</v>
      </c>
      <c r="EC596" s="862" t="str">
        <f>VLOOKUP(WWWW[[#This Row],[Site Name]],SiteDB6[[Site Name]:[Ethnic or GCA/NGCA]],11,FALSE)</f>
        <v>GCA</v>
      </c>
      <c r="ED596" s="862">
        <f>VLOOKUP(WWWW[[#This Row],[Site Name]],SiteDB6[[Site Name]:[Lat]],12,FALSE)</f>
        <v>24.207332999999998</v>
      </c>
      <c r="EE596" s="862">
        <f>VLOOKUP(WWWW[[#This Row],[Site Name]],SiteDB6[[Site Name]:[Long]],13,FALSE)</f>
        <v>97.710864000000001</v>
      </c>
      <c r="EF596" s="862" t="str">
        <f>VLOOKUP(WWWW[[#This Row],[Site Name]],SiteDB6[[Site Name]:[Pcode]],3,FALSE)</f>
        <v>MMR001CMP073</v>
      </c>
      <c r="EG596" s="865" t="str">
        <f t="shared" si="17"/>
        <v>Covered</v>
      </c>
      <c r="EH596" s="865" t="str">
        <f>VLOOKUP(WWWW[[#This Row],[Site Name]],Site_DB!$C$389:$D$1120,2,FALSE)</f>
        <v>cccm_2019OCT</v>
      </c>
    </row>
    <row r="597" spans="1:138">
      <c r="A597" s="860" t="s">
        <v>3263</v>
      </c>
      <c r="B597" s="860" t="s">
        <v>3374</v>
      </c>
      <c r="C597" s="861" t="s">
        <v>3374</v>
      </c>
      <c r="D597" s="861" t="s">
        <v>3591</v>
      </c>
      <c r="E597" s="861" t="s">
        <v>39</v>
      </c>
      <c r="F597" s="861" t="s">
        <v>40</v>
      </c>
      <c r="G597" s="721" t="str">
        <f>VLOOKUP(WWWW[[#This Row],[Site Name]],SiteDB6[[Site Name]:[Location Type]],8,FALSE)</f>
        <v>Camp</v>
      </c>
      <c r="H597" s="861" t="s">
        <v>1931</v>
      </c>
      <c r="I597" s="851">
        <v>361</v>
      </c>
      <c r="J597" s="851">
        <v>1887</v>
      </c>
      <c r="K597" s="863" t="s">
        <v>3623</v>
      </c>
      <c r="L597" s="859" t="s">
        <v>3624</v>
      </c>
      <c r="M597" s="851"/>
      <c r="N597" s="851"/>
      <c r="O597" s="851"/>
      <c r="P597" s="851"/>
      <c r="Q597" s="864" t="s">
        <v>43</v>
      </c>
      <c r="R597" s="851"/>
      <c r="S597" s="851"/>
      <c r="T597" s="523">
        <v>4</v>
      </c>
      <c r="U597" s="851"/>
      <c r="V597" s="851"/>
      <c r="W597" s="851"/>
      <c r="X597" s="851"/>
      <c r="Y597" s="851"/>
      <c r="Z597" s="851"/>
      <c r="AA597" s="851"/>
      <c r="AB597" s="851"/>
      <c r="AC597" s="851"/>
      <c r="AD597" s="851"/>
      <c r="AE597" s="851">
        <v>5</v>
      </c>
      <c r="AF597" s="851"/>
      <c r="AG597" s="851">
        <v>2</v>
      </c>
      <c r="AH597" s="851">
        <v>5</v>
      </c>
      <c r="AI597" s="851"/>
      <c r="AJ597" s="851"/>
      <c r="AK597" s="851"/>
      <c r="AL597" s="851"/>
      <c r="AM597" s="851">
        <v>0</v>
      </c>
      <c r="AN597" s="851">
        <v>5</v>
      </c>
      <c r="AO597" s="865"/>
      <c r="AP597" s="851">
        <v>185</v>
      </c>
      <c r="AQ597" s="851"/>
      <c r="AR597" s="866"/>
      <c r="AS597" s="851"/>
      <c r="AT597" s="851"/>
      <c r="AU597" s="851"/>
      <c r="AV597" s="851"/>
      <c r="AW597" s="851">
        <v>73</v>
      </c>
      <c r="AX597" s="862" t="s">
        <v>139</v>
      </c>
      <c r="AY597" s="865" t="s">
        <v>140</v>
      </c>
      <c r="AZ597" s="851">
        <v>4</v>
      </c>
      <c r="BA597" s="851">
        <v>60</v>
      </c>
      <c r="BB597" s="851">
        <v>15</v>
      </c>
      <c r="BC597" s="523">
        <v>2</v>
      </c>
      <c r="BD597" s="523"/>
      <c r="BE597" s="862"/>
      <c r="BF597" s="851">
        <v>53</v>
      </c>
      <c r="BG597" s="851"/>
      <c r="BH597" s="851">
        <v>60</v>
      </c>
      <c r="BI597" s="851">
        <v>12</v>
      </c>
      <c r="BJ597" s="851"/>
      <c r="BK597" s="851">
        <v>2</v>
      </c>
      <c r="BL597" s="851">
        <v>6</v>
      </c>
      <c r="BM597" s="851"/>
      <c r="BN597" s="851"/>
      <c r="BO597" s="862" t="s">
        <v>43</v>
      </c>
      <c r="BP597" s="867"/>
      <c r="BQ597" s="866"/>
      <c r="BR597" s="862"/>
      <c r="BS597" s="472"/>
      <c r="BT597" s="472"/>
      <c r="BU597" s="474"/>
      <c r="BV597" s="472"/>
      <c r="BW597" s="523"/>
      <c r="BX597" s="523"/>
      <c r="BY597" s="523"/>
      <c r="BZ597" s="868" t="str">
        <f>IFERROR(WWWW[[#This Row],['#_Water sources passed]]/WWWW[[#This Row],['#_Water sources tested for fecal coliform ]],"no test")</f>
        <v>no test</v>
      </c>
      <c r="CA597" s="866" t="str">
        <f>IFERROR(WWWW[[#This Row],['#_Household passed]]/WWWW[[#This Row],['#_Household water samples tested for fecal coliform]],"no test")</f>
        <v>no test</v>
      </c>
      <c r="CB597" s="867" t="str">
        <f>IF(AND(WWWW[[#This Row],[% of water sources passed]]="no test",WWWW[[#This Row],[% Household passed]]="no test"),"No Test","Tested")</f>
        <v>No Test</v>
      </c>
      <c r="CC597" s="867">
        <f>WWWW[[#This Row],['#_Constructed/existing protected hand dug well]]-WWWW[[#This Row],['#_Non-functional protected hand dug well]]</f>
        <v>4</v>
      </c>
      <c r="CD597" s="867">
        <f>(WWWW[[#This Row],['#_Constructed/Existing tube wells/boreholes/handpumps_WASH_agency]]+WWWW[[#This Row],['#_Non-Cluster partner water tube-wells/boreholes/handpumps]])-WWWW[[#This Row],['#_Non-functional tube wells/boreholes/handpumps]]</f>
        <v>0</v>
      </c>
      <c r="CE597" s="867">
        <f>WWWW[[#This Row],['#_Constructed/Existingwater storage tank with gravity fed reticulation system]]-WWWW[[#This Row],['#_Non-functional storage tank gravity fed reticulation system]]</f>
        <v>0</v>
      </c>
      <c r="CF597" s="867">
        <f>(WWWW[[#This Row],['#_Water_Liters_supplied_by_Water boating or water trucking]]/90)/15</f>
        <v>0</v>
      </c>
      <c r="CG597" s="867">
        <f>WWWW[[#This Row],['#_Water_Liters_from_Constructed/Existing water distribution system from river or natural spring]]/90/15</f>
        <v>0</v>
      </c>
      <c r="CH597" s="473">
        <f>WWWW[[#This Row],['#_of water points in TLS/CFS /THF]]*500</f>
        <v>2500</v>
      </c>
      <c r="CI597"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J597"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K597" s="866">
        <f>IF(WWWW[[#This Row],[Location Type 1]]="Village",WWWW[[#This Row],[Access to safe drinking water for Village]],WWWW[[#This Row],[Access to safe drinking water for Camp]])</f>
        <v>0.84790673025967145</v>
      </c>
      <c r="CL597" s="864">
        <f>WWWW[[#This Row],[%Equitable and continuous access to sufficient quantity of safe drinking water]]*WWWW[[#This Row],[Total PoP ]]</f>
        <v>1600</v>
      </c>
      <c r="CM597" s="866">
        <f>IF((WWWW[[#This Row],['#_Constructed/Existing protected/fenced ponds]]*250)/WWWW[[#This Row],[Total PoP ]]&gt;1,1,(WWWW[[#This Row],['#_Constructed/Existing protected/fenced ponds]]*250)/WWWW[[#This Row],[Total PoP ]])</f>
        <v>0.66242713301536826</v>
      </c>
      <c r="CN597" s="864">
        <f>WWWW[[#This Row],[% Access to unimproved water points]]*WWWW[[#This Row],[Total PoP ]]</f>
        <v>1250</v>
      </c>
      <c r="CO597"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597"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Q597" s="864">
        <f>WWWW[[#This Row],[HRP1]]/500</f>
        <v>3.774</v>
      </c>
      <c r="CR597" s="869">
        <f>1-WWWW[[#This Row],[% Equitable and continuous access to sufficient quantity of domestic water]]</f>
        <v>0</v>
      </c>
      <c r="CS597" s="864">
        <f>WWWW[[#This Row],[%equitable and continuous access to sufficient quantity of safe drinking and domestic water''s GAP]]*WWWW[[#This Row],[Total PoP ]]</f>
        <v>0</v>
      </c>
      <c r="CT597" s="867">
        <f>IF(WWWW[[#This Row],[Total required water points]]-WWWW[[#This Row],['#Water points coverage]]&lt;0,0,WWWW[[#This Row],[Total required water points]]-WWWW[[#This Row],['#Water points coverage]])</f>
        <v>0.22599999999999998</v>
      </c>
      <c r="CU597" s="867">
        <f>ROUND(IF(WWWW[[#This Row],[Total PoP ]]&lt;500,1,WWWW[[#This Row],[Total PoP ]]/500),0)</f>
        <v>4</v>
      </c>
      <c r="CV597" s="867">
        <f>(WWWW[[#This Row],['#_Constructed latrines_by_WASHAgencies]]+WWWW[[#This Row],['#_Non Cluster partner latrines]])-WWWW[[#This Row],['#_Non-functional latrines]]</f>
        <v>185</v>
      </c>
      <c r="CW597" s="804">
        <f>WWWW[[#This Row],[HRP2]]/WWWW[[#This Row],[Total PoP ]]</f>
        <v>1</v>
      </c>
      <c r="CX597"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CY597"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7"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7" s="473">
        <f>IF(WWWW[[#This Row],['# of functional latrines in THF supported by WASH partners during the reporting period2]]="",0,WWWW[[#This Row],['# of functional latrines in THF supported by WASH partners during the reporting period2]]*50)</f>
        <v>100</v>
      </c>
      <c r="DB597" s="473">
        <f>WWWW[[#This Row],['# students access to functioning school latrines_HRP5]]+WWWW[[#This Row],['# People access to functioning latrines in THF_HRP5]]</f>
        <v>100</v>
      </c>
      <c r="DC597" s="867">
        <f>ROUND(IF(WWWW[[#This Row],[Location Type 1]]="camp",WWWW[[#This Row],[Total PoP ]]/20,IF(WWWW[[#This Row],[Location Type 1]]="Temporary Location",WWWW[[#This Row],[Total PoP ]]/50,(WWWW[[#This Row],[Total PoP ]]/6))),0)</f>
        <v>94</v>
      </c>
      <c r="DD597" s="867">
        <f>IF(WWWW[[#This Row],[Total required Latrines]]-(WWWW[[#This Row],['#_Constructed latrines_by_WASHAgencies]]+WWWW[[#This Row],['#_Non Cluster partner latrines]])&lt;0,0,WWWW[[#This Row],[Total required Latrines]]-(WWWW[[#This Row],['#_Constructed latrines_by_WASHAgencies]]+WWWW[[#This Row],['#_Non Cluster partner latrines]]))</f>
        <v>0</v>
      </c>
      <c r="DE597" s="869">
        <f>1-WWWW[[#This Row],[% people access to functioning Latrine]]</f>
        <v>0</v>
      </c>
      <c r="DF597" s="868">
        <f>IF(OR(WWWW[[#This Row],['#_Non-functional latrines]]="",WWWW[[#This Row],['#_Non-functional latrines]]=0),0,WWWW[[#This Row],['#_Non-functional latrines]]/(WWWW[[#This Row],['#_Constructed latrines_by_WASHAgencies]]+WWWW[[#This Row],['#_Non Cluster partner latrines]]))</f>
        <v>0</v>
      </c>
      <c r="DG597" s="864">
        <f>IF(500*(WWWW[[#This Row],['#_male hygiene promoters]]+WWWW[[#This Row],['#_female hygiene promoters]])&gt;WWWW[[#This Row],[Total PoP ]],WWWW[[#This Row],[Total PoP ]],500*(WWWW[[#This Row],['#_male hygiene promoters]]+WWWW[[#This Row],['#_female hygiene promoters]]))</f>
        <v>1887</v>
      </c>
      <c r="DH597"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7"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7" s="867">
        <f>IF(WWWW[[#This Row],['# People with access to soap]]&gt;WWWW[[#This Row],['# People with access to Sanity Pads]],WWWW[[#This Row],['# People with access to soap]],WWWW[[#This Row],['# People with access to Sanity Pads]])</f>
        <v>0</v>
      </c>
      <c r="DK597" s="867">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L597" s="869">
        <f>IF(WWWW[[#This Row],[HRP3]]/WWWW[[#This Row],[Total PoP ]]&gt;1,1,WWWW[[#This Row],[HRP3]]/WWWW[[#This Row],[Total PoP ]])</f>
        <v>1</v>
      </c>
      <c r="DM597" s="868">
        <f>1-WWWW[[#This Row],[Hygiene Coverage%]]</f>
        <v>0</v>
      </c>
      <c r="DN597" s="866">
        <f>WWWW[[#This Row],['# people reached by regular dedicated hygiene promotion_5]]/WWWW[[#This Row],[Total PoP ]]</f>
        <v>1</v>
      </c>
      <c r="DO597"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7"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7" s="867">
        <f>WWWW[[#This Row],['#_Constructed/Existing hand washing stations]]-WWWW[[#This Row],['#_Non-Functional_hand_washing_stations]]</f>
        <v>53</v>
      </c>
      <c r="DR597" s="864">
        <f>IF(WWWW[[#This Row],['# Functional hand washing stations during reporting period]]*20&gt;WWWW[[#This Row],[Total HH]],WWWW[[#This Row],[Total HH]],WWWW[[#This Row],['# Functional hand washing stations during reporting period]]*20)</f>
        <v>361</v>
      </c>
      <c r="DS597" s="864">
        <f>IF(WWWW[[#This Row],[Is sufficient soap available for TLS? (Yes/No)]]="yes",WWWW[[#This Row],['#_Constructed/Existing hand washing stations at TLS]],0)</f>
        <v>0</v>
      </c>
      <c r="DT597" s="479">
        <f>IF(WWWW[[#This Row],['# Functional hand washing stations during reporting period]]*100&gt;WWWW[[#This Row],[Total PoP ]],WWWW[[#This Row],[Total PoP ]],WWWW[[#This Row],['# Functional hand washing stations during reporting period]]*100)</f>
        <v>1887</v>
      </c>
      <c r="DU597" s="479" t="str">
        <f>IF(OR(WWWW[[#This Row],['#_students at TLS_CFS]]="",WWWW[[#This Row],['#_students at TLS_CFS]]=0),"No","Yes")</f>
        <v>No</v>
      </c>
      <c r="DV597"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7"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7"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2500</v>
      </c>
      <c r="DY597" s="862" t="str">
        <f>VLOOKUP(WWWW[[#This Row],[Site Name]],SiteDB6[[Site Name]:[CCCM Management]],6,FALSE)</f>
        <v>Yes</v>
      </c>
      <c r="DZ597" s="862" t="str">
        <f>VLOOKUP(WWWW[[#This Row],[Site Name]],SiteDB6[[Site Name]:[CCCM Focal Agency]],7,FALSE)</f>
        <v>KMSS-BMO</v>
      </c>
      <c r="EA597" s="862" t="str">
        <f>VLOOKUP(WWWW[[#This Row],[Site Name]],SiteDB6[[Site Name]:[Location Type 1]],9,FALSE)</f>
        <v>Camp</v>
      </c>
      <c r="EB597" s="862" t="str">
        <f>VLOOKUP(WWWW[[#This Row],[Site Name]],SiteDB6[[Site Name]:[Type of Accommodation]],10,FALSE)</f>
        <v>Camp</v>
      </c>
      <c r="EC597" s="862" t="str">
        <f>VLOOKUP(WWWW[[#This Row],[Site Name]],SiteDB6[[Site Name]:[Ethnic or GCA/NGCA]],11,FALSE)</f>
        <v>NGCA</v>
      </c>
      <c r="ED597" s="862">
        <f>VLOOKUP(WWWW[[#This Row],[Site Name]],SiteDB6[[Site Name]:[Lat]],12,FALSE)</f>
        <v>24.002433</v>
      </c>
      <c r="EE597" s="862">
        <f>VLOOKUP(WWWW[[#This Row],[Site Name]],SiteDB6[[Site Name]:[Long]],13,FALSE)</f>
        <v>97.609832999999995</v>
      </c>
      <c r="EF597" s="862" t="str">
        <f>VLOOKUP(WWWW[[#This Row],[Site Name]],SiteDB6[[Site Name]:[Pcode]],3,FALSE)</f>
        <v>MMR001CMP129</v>
      </c>
      <c r="EG597" s="865" t="str">
        <f t="shared" si="17"/>
        <v>Covered</v>
      </c>
      <c r="EH597" s="865" t="str">
        <f>VLOOKUP(WWWW[[#This Row],[Site Name]],Site_DB!$C$389:$D$1120,2,FALSE)</f>
        <v>cccm_2019OCT</v>
      </c>
    </row>
    <row r="598" spans="1:138">
      <c r="A598" s="860" t="s">
        <v>3263</v>
      </c>
      <c r="B598" s="860" t="s">
        <v>3374</v>
      </c>
      <c r="C598" s="861" t="s">
        <v>3374</v>
      </c>
      <c r="D598" s="861" t="s">
        <v>3592</v>
      </c>
      <c r="E598" s="861" t="s">
        <v>39</v>
      </c>
      <c r="F598" s="861" t="s">
        <v>40</v>
      </c>
      <c r="G598" s="721" t="str">
        <f>VLOOKUP(WWWW[[#This Row],[Site Name]],SiteDB6[[Site Name]:[Location Type]],8,FALSE)</f>
        <v>Camp</v>
      </c>
      <c r="H598" s="861" t="s">
        <v>297</v>
      </c>
      <c r="I598" s="851">
        <v>481</v>
      </c>
      <c r="J598" s="851">
        <v>2691</v>
      </c>
      <c r="K598" s="863" t="s">
        <v>3623</v>
      </c>
      <c r="L598" s="859" t="s">
        <v>3624</v>
      </c>
      <c r="M598" s="851"/>
      <c r="N598" s="851"/>
      <c r="O598" s="851"/>
      <c r="P598" s="851"/>
      <c r="Q598" s="864" t="s">
        <v>43</v>
      </c>
      <c r="R598" s="851"/>
      <c r="S598" s="851"/>
      <c r="T598" s="523">
        <v>4</v>
      </c>
      <c r="U598" s="851"/>
      <c r="V598" s="851"/>
      <c r="W598" s="851"/>
      <c r="X598" s="851"/>
      <c r="Y598" s="851"/>
      <c r="Z598" s="851"/>
      <c r="AA598" s="594"/>
      <c r="AB598" s="851"/>
      <c r="AC598" s="851"/>
      <c r="AD598" s="851"/>
      <c r="AE598" s="851">
        <v>1</v>
      </c>
      <c r="AF598" s="851"/>
      <c r="AG598" s="851">
        <v>2</v>
      </c>
      <c r="AH598" s="851">
        <v>1</v>
      </c>
      <c r="AI598" s="851"/>
      <c r="AJ598" s="851"/>
      <c r="AK598" s="851"/>
      <c r="AL598" s="851"/>
      <c r="AM598" s="851">
        <v>5</v>
      </c>
      <c r="AN598" s="851">
        <v>2</v>
      </c>
      <c r="AO598" s="865"/>
      <c r="AP598" s="851">
        <v>438</v>
      </c>
      <c r="AQ598" s="851"/>
      <c r="AR598" s="866"/>
      <c r="AS598" s="851"/>
      <c r="AT598" s="851"/>
      <c r="AU598" s="851"/>
      <c r="AV598" s="851"/>
      <c r="AW598" s="851">
        <v>266</v>
      </c>
      <c r="AX598" s="862" t="s">
        <v>139</v>
      </c>
      <c r="AY598" s="865" t="s">
        <v>140</v>
      </c>
      <c r="AZ598" s="851">
        <v>6</v>
      </c>
      <c r="BA598" s="851">
        <v>274</v>
      </c>
      <c r="BB598" s="851">
        <v>62</v>
      </c>
      <c r="BC598" s="523">
        <v>2</v>
      </c>
      <c r="BD598" s="523"/>
      <c r="BE598" s="862"/>
      <c r="BF598" s="851">
        <v>59</v>
      </c>
      <c r="BG598" s="851"/>
      <c r="BH598" s="851">
        <v>266</v>
      </c>
      <c r="BI598" s="851">
        <v>3</v>
      </c>
      <c r="BJ598" s="851"/>
      <c r="BK598" s="851"/>
      <c r="BL598" s="851">
        <v>7</v>
      </c>
      <c r="BM598" s="851"/>
      <c r="BN598" s="851"/>
      <c r="BO598" s="862" t="s">
        <v>43</v>
      </c>
      <c r="BP598" s="867"/>
      <c r="BQ598" s="866"/>
      <c r="BR598" s="862"/>
      <c r="BS598" s="472"/>
      <c r="BT598" s="472"/>
      <c r="BU598" s="474"/>
      <c r="BV598" s="472"/>
      <c r="BW598" s="523"/>
      <c r="BX598" s="523"/>
      <c r="BY598" s="523"/>
      <c r="BZ598" s="868" t="str">
        <f>IFERROR(WWWW[[#This Row],['#_Water sources passed]]/WWWW[[#This Row],['#_Water sources tested for fecal coliform ]],"no test")</f>
        <v>no test</v>
      </c>
      <c r="CA598" s="866" t="str">
        <f>IFERROR(WWWW[[#This Row],['#_Household passed]]/WWWW[[#This Row],['#_Household water samples tested for fecal coliform]],"no test")</f>
        <v>no test</v>
      </c>
      <c r="CB598" s="867" t="str">
        <f>IF(AND(WWWW[[#This Row],[% of water sources passed]]="no test",WWWW[[#This Row],[% Household passed]]="no test"),"No Test","Tested")</f>
        <v>No Test</v>
      </c>
      <c r="CC598" s="867">
        <f>WWWW[[#This Row],['#_Constructed/existing protected hand dug well]]-WWWW[[#This Row],['#_Non-functional protected hand dug well]]</f>
        <v>4</v>
      </c>
      <c r="CD598" s="867">
        <f>(WWWW[[#This Row],['#_Constructed/Existing tube wells/boreholes/handpumps_WASH_agency]]+WWWW[[#This Row],['#_Non-Cluster partner water tube-wells/boreholes/handpumps]])-WWWW[[#This Row],['#_Non-functional tube wells/boreholes/handpumps]]</f>
        <v>0</v>
      </c>
      <c r="CE598" s="867">
        <f>WWWW[[#This Row],['#_Constructed/Existingwater storage tank with gravity fed reticulation system]]-WWWW[[#This Row],['#_Non-functional storage tank gravity fed reticulation system]]</f>
        <v>0</v>
      </c>
      <c r="CF598" s="867">
        <f>(WWWW[[#This Row],['#_Water_Liters_supplied_by_Water boating or water trucking]]/90)/15</f>
        <v>0</v>
      </c>
      <c r="CG598" s="867">
        <f>WWWW[[#This Row],['#_Water_Liters_from_Constructed/Existing water distribution system from river or natural spring]]/90/15</f>
        <v>0</v>
      </c>
      <c r="CH598" s="473">
        <f>WWWW[[#This Row],['#_of water points in TLS/CFS /THF]]*500</f>
        <v>1000</v>
      </c>
      <c r="CI598"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J598"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K598" s="866">
        <f>IF(WWWW[[#This Row],[Location Type 1]]="Village",WWWW[[#This Row],[Access to safe drinking water for Village]],WWWW[[#This Row],[Access to safe drinking water for Camp]])</f>
        <v>0.59457450761798591</v>
      </c>
      <c r="CL598" s="864">
        <f>WWWW[[#This Row],[%Equitable and continuous access to sufficient quantity of safe drinking water]]*WWWW[[#This Row],[Total PoP ]]</f>
        <v>1600</v>
      </c>
      <c r="CM598" s="866">
        <f>IF((WWWW[[#This Row],['#_Constructed/Existing protected/fenced ponds]]*250)/WWWW[[#This Row],[Total PoP ]]&gt;1,1,(WWWW[[#This Row],['#_Constructed/Existing protected/fenced ponds]]*250)/WWWW[[#This Row],[Total PoP ]])</f>
        <v>9.2902266815310289E-2</v>
      </c>
      <c r="CN598" s="864">
        <f>WWWW[[#This Row],[% Access to unimproved water points]]*WWWW[[#This Row],[Total PoP ]]</f>
        <v>250</v>
      </c>
      <c r="CO598"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P598"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Q598" s="864">
        <f>WWWW[[#This Row],[HRP1]]/500</f>
        <v>3.7</v>
      </c>
      <c r="CR598" s="869">
        <f>1-WWWW[[#This Row],[% Equitable and continuous access to sufficient quantity of domestic water]]</f>
        <v>0.31252322556670376</v>
      </c>
      <c r="CS598" s="864">
        <f>WWWW[[#This Row],[%equitable and continuous access to sufficient quantity of safe drinking and domestic water''s GAP]]*WWWW[[#This Row],[Total PoP ]]</f>
        <v>840.99999999999977</v>
      </c>
      <c r="CT598" s="867">
        <f>IF(WWWW[[#This Row],[Total required water points]]-WWWW[[#This Row],['#Water points coverage]]&lt;0,0,WWWW[[#This Row],[Total required water points]]-WWWW[[#This Row],['#Water points coverage]])</f>
        <v>1.2999999999999998</v>
      </c>
      <c r="CU598" s="867">
        <f>ROUND(IF(WWWW[[#This Row],[Total PoP ]]&lt;500,1,WWWW[[#This Row],[Total PoP ]]/500),0)</f>
        <v>5</v>
      </c>
      <c r="CV598" s="867">
        <f>(WWWW[[#This Row],['#_Constructed latrines_by_WASHAgencies]]+WWWW[[#This Row],['#_Non Cluster partner latrines]])-WWWW[[#This Row],['#_Non-functional latrines]]</f>
        <v>438</v>
      </c>
      <c r="CW598" s="804">
        <f>WWWW[[#This Row],[HRP2]]/WWWW[[#This Row],[Total PoP ]]</f>
        <v>1</v>
      </c>
      <c r="CX598"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CY598"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8"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8" s="473">
        <f>IF(WWWW[[#This Row],['# of functional latrines in THF supported by WASH partners during the reporting period2]]="",0,WWWW[[#This Row],['# of functional latrines in THF supported by WASH partners during the reporting period2]]*50)</f>
        <v>100</v>
      </c>
      <c r="DB598" s="473">
        <f>WWWW[[#This Row],['# students access to functioning school latrines_HRP5]]+WWWW[[#This Row],['# People access to functioning latrines in THF_HRP5]]</f>
        <v>100</v>
      </c>
      <c r="DC598" s="867">
        <f>ROUND(IF(WWWW[[#This Row],[Location Type 1]]="camp",WWWW[[#This Row],[Total PoP ]]/20,IF(WWWW[[#This Row],[Location Type 1]]="Temporary Location",WWWW[[#This Row],[Total PoP ]]/50,(WWWW[[#This Row],[Total PoP ]]/6))),0)</f>
        <v>135</v>
      </c>
      <c r="DD598" s="867">
        <f>IF(WWWW[[#This Row],[Total required Latrines]]-(WWWW[[#This Row],['#_Constructed latrines_by_WASHAgencies]]+WWWW[[#This Row],['#_Non Cluster partner latrines]])&lt;0,0,WWWW[[#This Row],[Total required Latrines]]-(WWWW[[#This Row],['#_Constructed latrines_by_WASHAgencies]]+WWWW[[#This Row],['#_Non Cluster partner latrines]]))</f>
        <v>0</v>
      </c>
      <c r="DE598" s="869">
        <f>1-WWWW[[#This Row],[% people access to functioning Latrine]]</f>
        <v>0</v>
      </c>
      <c r="DF598" s="868">
        <f>IF(OR(WWWW[[#This Row],['#_Non-functional latrines]]="",WWWW[[#This Row],['#_Non-functional latrines]]=0),0,WWWW[[#This Row],['#_Non-functional latrines]]/(WWWW[[#This Row],['#_Constructed latrines_by_WASHAgencies]]+WWWW[[#This Row],['#_Non Cluster partner latrines]]))</f>
        <v>0</v>
      </c>
      <c r="DG598" s="864">
        <f>IF(500*(WWWW[[#This Row],['#_male hygiene promoters]]+WWWW[[#This Row],['#_female hygiene promoters]])&gt;WWWW[[#This Row],[Total PoP ]],WWWW[[#This Row],[Total PoP ]],500*(WWWW[[#This Row],['#_male hygiene promoters]]+WWWW[[#This Row],['#_female hygiene promoters]]))</f>
        <v>2691</v>
      </c>
      <c r="DH598"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8"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8" s="867">
        <f>IF(WWWW[[#This Row],['# People with access to soap]]&gt;WWWW[[#This Row],['# People with access to Sanity Pads]],WWWW[[#This Row],['# People with access to soap]],WWWW[[#This Row],['# People with access to Sanity Pads]])</f>
        <v>0</v>
      </c>
      <c r="DK598" s="867">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L598" s="869">
        <f>IF(WWWW[[#This Row],[HRP3]]/WWWW[[#This Row],[Total PoP ]]&gt;1,1,WWWW[[#This Row],[HRP3]]/WWWW[[#This Row],[Total PoP ]])</f>
        <v>1</v>
      </c>
      <c r="DM598" s="868">
        <f>1-WWWW[[#This Row],[Hygiene Coverage%]]</f>
        <v>0</v>
      </c>
      <c r="DN598" s="866">
        <f>WWWW[[#This Row],['# people reached by regular dedicated hygiene promotion_5]]/WWWW[[#This Row],[Total PoP ]]</f>
        <v>1</v>
      </c>
      <c r="DO598"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8"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8" s="867">
        <f>WWWW[[#This Row],['#_Constructed/Existing hand washing stations]]-WWWW[[#This Row],['#_Non-Functional_hand_washing_stations]]</f>
        <v>59</v>
      </c>
      <c r="DR598" s="864">
        <f>IF(WWWW[[#This Row],['# Functional hand washing stations during reporting period]]*20&gt;WWWW[[#This Row],[Total HH]],WWWW[[#This Row],[Total HH]],WWWW[[#This Row],['# Functional hand washing stations during reporting period]]*20)</f>
        <v>481</v>
      </c>
      <c r="DS598" s="864">
        <f>IF(WWWW[[#This Row],[Is sufficient soap available for TLS? (Yes/No)]]="yes",WWWW[[#This Row],['#_Constructed/Existing hand washing stations at TLS]],0)</f>
        <v>5</v>
      </c>
      <c r="DT598" s="479">
        <f>IF(WWWW[[#This Row],['# Functional hand washing stations during reporting period]]*100&gt;WWWW[[#This Row],[Total PoP ]],WWWW[[#This Row],[Total PoP ]],WWWW[[#This Row],['# Functional hand washing stations during reporting period]]*100)</f>
        <v>2691</v>
      </c>
      <c r="DU598" s="479" t="str">
        <f>IF(OR(WWWW[[#This Row],['#_students at TLS_CFS]]="",WWWW[[#This Row],['#_students at TLS_CFS]]=0),"No","Yes")</f>
        <v>No</v>
      </c>
      <c r="DV598"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8"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8"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598" s="862" t="str">
        <f>VLOOKUP(WWWW[[#This Row],[Site Name]],SiteDB6[[Site Name]:[CCCM Management]],6,FALSE)</f>
        <v>Yes</v>
      </c>
      <c r="DZ598" s="862" t="str">
        <f>VLOOKUP(WWWW[[#This Row],[Site Name]],SiteDB6[[Site Name]:[CCCM Focal Agency]],7,FALSE)</f>
        <v>KMSS-BMO</v>
      </c>
      <c r="EA598" s="862" t="str">
        <f>VLOOKUP(WWWW[[#This Row],[Site Name]],SiteDB6[[Site Name]:[Location Type 1]],9,FALSE)</f>
        <v>Camp</v>
      </c>
      <c r="EB598" s="862" t="str">
        <f>VLOOKUP(WWWW[[#This Row],[Site Name]],SiteDB6[[Site Name]:[Type of Accommodation]],10,FALSE)</f>
        <v>Camp</v>
      </c>
      <c r="EC598" s="862" t="str">
        <f>VLOOKUP(WWWW[[#This Row],[Site Name]],SiteDB6[[Site Name]:[Ethnic or GCA/NGCA]],11,FALSE)</f>
        <v>NGCA</v>
      </c>
      <c r="ED598" s="862">
        <f>VLOOKUP(WWWW[[#This Row],[Site Name]],SiteDB6[[Site Name]:[Lat]],12,FALSE)</f>
        <v>24.056132999999999</v>
      </c>
      <c r="EE598" s="862">
        <f>VLOOKUP(WWWW[[#This Row],[Site Name]],SiteDB6[[Site Name]:[Long]],13,FALSE)</f>
        <v>97.625617000000005</v>
      </c>
      <c r="EF598" s="862" t="str">
        <f>VLOOKUP(WWWW[[#This Row],[Site Name]],SiteDB6[[Site Name]:[Pcode]],3,FALSE)</f>
        <v>MMR001CMP128</v>
      </c>
      <c r="EG598" s="865" t="str">
        <f t="shared" si="17"/>
        <v>Covered</v>
      </c>
      <c r="EH598" s="865" t="str">
        <f>VLOOKUP(WWWW[[#This Row],[Site Name]],Site_DB!$C$389:$D$1120,2,FALSE)</f>
        <v>cccm_2019OCT</v>
      </c>
    </row>
    <row r="599" spans="1:138">
      <c r="A599" s="860" t="s">
        <v>3263</v>
      </c>
      <c r="B599" s="860" t="s">
        <v>294</v>
      </c>
      <c r="C599" s="861" t="s">
        <v>294</v>
      </c>
      <c r="D599" s="861" t="s">
        <v>3593</v>
      </c>
      <c r="E599" s="861" t="s">
        <v>39</v>
      </c>
      <c r="F599" s="861" t="s">
        <v>208</v>
      </c>
      <c r="G599" s="721" t="str">
        <f>VLOOKUP(WWWW[[#This Row],[Site Name]],SiteDB6[[Site Name]:[Location Type]],8,FALSE)</f>
        <v>Camp</v>
      </c>
      <c r="H599" s="861" t="s">
        <v>298</v>
      </c>
      <c r="I599" s="851">
        <v>332</v>
      </c>
      <c r="J599" s="851">
        <v>1675</v>
      </c>
      <c r="K599" s="863">
        <v>43874</v>
      </c>
      <c r="L599" s="859">
        <v>44239</v>
      </c>
      <c r="M599" s="851"/>
      <c r="N599" s="851"/>
      <c r="O599" s="851"/>
      <c r="P599" s="851"/>
      <c r="Q599" s="864" t="s">
        <v>43</v>
      </c>
      <c r="R599" s="851"/>
      <c r="S599" s="851"/>
      <c r="T599" s="523"/>
      <c r="U599" s="851"/>
      <c r="V599" s="851"/>
      <c r="W599" s="851"/>
      <c r="X599" s="851"/>
      <c r="Y599" s="851"/>
      <c r="Z599" s="851"/>
      <c r="AA599" s="851"/>
      <c r="AB599" s="851"/>
      <c r="AC599" s="851"/>
      <c r="AD599" s="851"/>
      <c r="AE599" s="851">
        <v>6</v>
      </c>
      <c r="AF599" s="851"/>
      <c r="AG599" s="851">
        <v>2</v>
      </c>
      <c r="AH599" s="851">
        <v>6</v>
      </c>
      <c r="AI599" s="851"/>
      <c r="AJ599" s="851"/>
      <c r="AK599" s="851"/>
      <c r="AL599" s="851"/>
      <c r="AM599" s="851">
        <v>4</v>
      </c>
      <c r="AN599" s="851">
        <v>2</v>
      </c>
      <c r="AO599" s="865"/>
      <c r="AP599" s="851">
        <v>181</v>
      </c>
      <c r="AQ599" s="851"/>
      <c r="AR599" s="866"/>
      <c r="AS599" s="851"/>
      <c r="AT599" s="851"/>
      <c r="AU599" s="851"/>
      <c r="AV599" s="851"/>
      <c r="AW599" s="851">
        <v>71</v>
      </c>
      <c r="AX599" s="862" t="s">
        <v>139</v>
      </c>
      <c r="AY599" s="865" t="s">
        <v>140</v>
      </c>
      <c r="AZ599" s="851">
        <v>2</v>
      </c>
      <c r="BA599" s="851"/>
      <c r="BB599" s="851">
        <v>16</v>
      </c>
      <c r="BC599" s="523">
        <v>2</v>
      </c>
      <c r="BD599" s="523"/>
      <c r="BE599" s="862"/>
      <c r="BF599" s="851">
        <v>52</v>
      </c>
      <c r="BG599" s="851"/>
      <c r="BH599" s="851">
        <v>30</v>
      </c>
      <c r="BI599" s="851">
        <v>22</v>
      </c>
      <c r="BJ599" s="851"/>
      <c r="BK599" s="851"/>
      <c r="BL599" s="851">
        <v>6</v>
      </c>
      <c r="BM599" s="851"/>
      <c r="BN599" s="851"/>
      <c r="BO599" s="862" t="s">
        <v>43</v>
      </c>
      <c r="BP599" s="867"/>
      <c r="BQ599" s="866"/>
      <c r="BR599" s="862"/>
      <c r="BS599" s="472"/>
      <c r="BT599" s="472"/>
      <c r="BU599" s="474"/>
      <c r="BV599" s="472"/>
      <c r="BW599" s="523"/>
      <c r="BX599" s="523"/>
      <c r="BY599" s="523"/>
      <c r="BZ599" s="868" t="str">
        <f>IFERROR(WWWW[[#This Row],['#_Water sources passed]]/WWWW[[#This Row],['#_Water sources tested for fecal coliform ]],"no test")</f>
        <v>no test</v>
      </c>
      <c r="CA599" s="866" t="str">
        <f>IFERROR(WWWW[[#This Row],['#_Household passed]]/WWWW[[#This Row],['#_Household water samples tested for fecal coliform]],"no test")</f>
        <v>no test</v>
      </c>
      <c r="CB599" s="867" t="str">
        <f>IF(AND(WWWW[[#This Row],[% of water sources passed]]="no test",WWWW[[#This Row],[% Household passed]]="no test"),"No Test","Tested")</f>
        <v>No Test</v>
      </c>
      <c r="CC599" s="867">
        <f>WWWW[[#This Row],['#_Constructed/existing protected hand dug well]]-WWWW[[#This Row],['#_Non-functional protected hand dug well]]</f>
        <v>0</v>
      </c>
      <c r="CD599" s="867">
        <f>(WWWW[[#This Row],['#_Constructed/Existing tube wells/boreholes/handpumps_WASH_agency]]+WWWW[[#This Row],['#_Non-Cluster partner water tube-wells/boreholes/handpumps]])-WWWW[[#This Row],['#_Non-functional tube wells/boreholes/handpumps]]</f>
        <v>0</v>
      </c>
      <c r="CE599" s="867">
        <f>WWWW[[#This Row],['#_Constructed/Existingwater storage tank with gravity fed reticulation system]]-WWWW[[#This Row],['#_Non-functional storage tank gravity fed reticulation system]]</f>
        <v>0</v>
      </c>
      <c r="CF599" s="867">
        <f>(WWWW[[#This Row],['#_Water_Liters_supplied_by_Water boating or water trucking]]/90)/15</f>
        <v>0</v>
      </c>
      <c r="CG599" s="867">
        <f>WWWW[[#This Row],['#_Water_Liters_from_Constructed/Existing water distribution system from river or natural spring]]/90/15</f>
        <v>0</v>
      </c>
      <c r="CH599" s="473">
        <f>WWWW[[#This Row],['#_of water points in TLS/CFS /THF]]*500</f>
        <v>1000</v>
      </c>
      <c r="CI599"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J599"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K599" s="866">
        <f>IF(WWWW[[#This Row],[Location Type 1]]="Village",WWWW[[#This Row],[Access to safe drinking water for Village]],WWWW[[#This Row],[Access to safe drinking water for Camp]])</f>
        <v>0</v>
      </c>
      <c r="CL599" s="864">
        <f>WWWW[[#This Row],[%Equitable and continuous access to sufficient quantity of safe drinking water]]*WWWW[[#This Row],[Total PoP ]]</f>
        <v>0</v>
      </c>
      <c r="CM599" s="866">
        <f>IF((WWWW[[#This Row],['#_Constructed/Existing protected/fenced ponds]]*250)/WWWW[[#This Row],[Total PoP ]]&gt;1,1,(WWWW[[#This Row],['#_Constructed/Existing protected/fenced ponds]]*250)/WWWW[[#This Row],[Total PoP ]])</f>
        <v>0.89552238805970152</v>
      </c>
      <c r="CN599" s="864">
        <f>WWWW[[#This Row],[% Access to unimproved water points]]*WWWW[[#This Row],[Total PoP ]]</f>
        <v>1500</v>
      </c>
      <c r="CO599"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P599"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Q599" s="864">
        <f>WWWW[[#This Row],[HRP1]]/500</f>
        <v>3</v>
      </c>
      <c r="CR599" s="869">
        <f>1-WWWW[[#This Row],[% Equitable and continuous access to sufficient quantity of domestic water]]</f>
        <v>0.10447761194029848</v>
      </c>
      <c r="CS599" s="864">
        <f>WWWW[[#This Row],[%equitable and continuous access to sufficient quantity of safe drinking and domestic water''s GAP]]*WWWW[[#This Row],[Total PoP ]]</f>
        <v>174.99999999999994</v>
      </c>
      <c r="CT599" s="867">
        <f>IF(WWWW[[#This Row],[Total required water points]]-WWWW[[#This Row],['#Water points coverage]]&lt;0,0,WWWW[[#This Row],[Total required water points]]-WWWW[[#This Row],['#Water points coverage]])</f>
        <v>0</v>
      </c>
      <c r="CU599" s="867">
        <f>ROUND(IF(WWWW[[#This Row],[Total PoP ]]&lt;500,1,WWWW[[#This Row],[Total PoP ]]/500),0)</f>
        <v>3</v>
      </c>
      <c r="CV599" s="867">
        <f>(WWWW[[#This Row],['#_Constructed latrines_by_WASHAgencies]]+WWWW[[#This Row],['#_Non Cluster partner latrines]])-WWWW[[#This Row],['#_Non-functional latrines]]</f>
        <v>181</v>
      </c>
      <c r="CW599" s="804">
        <f>WWWW[[#This Row],[HRP2]]/WWWW[[#This Row],[Total PoP ]]</f>
        <v>1</v>
      </c>
      <c r="CX599"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CY599"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599"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599" s="473">
        <f>IF(WWWW[[#This Row],['# of functional latrines in THF supported by WASH partners during the reporting period2]]="",0,WWWW[[#This Row],['# of functional latrines in THF supported by WASH partners during the reporting period2]]*50)</f>
        <v>100</v>
      </c>
      <c r="DB599" s="473">
        <f>WWWW[[#This Row],['# students access to functioning school latrines_HRP5]]+WWWW[[#This Row],['# People access to functioning latrines in THF_HRP5]]</f>
        <v>100</v>
      </c>
      <c r="DC599" s="867">
        <f>ROUND(IF(WWWW[[#This Row],[Location Type 1]]="camp",WWWW[[#This Row],[Total PoP ]]/20,IF(WWWW[[#This Row],[Location Type 1]]="Temporary Location",WWWW[[#This Row],[Total PoP ]]/50,(WWWW[[#This Row],[Total PoP ]]/6))),0)</f>
        <v>84</v>
      </c>
      <c r="DD599" s="867">
        <f>IF(WWWW[[#This Row],[Total required Latrines]]-(WWWW[[#This Row],['#_Constructed latrines_by_WASHAgencies]]+WWWW[[#This Row],['#_Non Cluster partner latrines]])&lt;0,0,WWWW[[#This Row],[Total required Latrines]]-(WWWW[[#This Row],['#_Constructed latrines_by_WASHAgencies]]+WWWW[[#This Row],['#_Non Cluster partner latrines]]))</f>
        <v>0</v>
      </c>
      <c r="DE599" s="869">
        <f>1-WWWW[[#This Row],[% people access to functioning Latrine]]</f>
        <v>0</v>
      </c>
      <c r="DF599" s="868">
        <f>IF(OR(WWWW[[#This Row],['#_Non-functional latrines]]="",WWWW[[#This Row],['#_Non-functional latrines]]=0),0,WWWW[[#This Row],['#_Non-functional latrines]]/(WWWW[[#This Row],['#_Constructed latrines_by_WASHAgencies]]+WWWW[[#This Row],['#_Non Cluster partner latrines]]))</f>
        <v>0</v>
      </c>
      <c r="DG599" s="864">
        <f>IF(500*(WWWW[[#This Row],['#_male hygiene promoters]]+WWWW[[#This Row],['#_female hygiene promoters]])&gt;WWWW[[#This Row],[Total PoP ]],WWWW[[#This Row],[Total PoP ]],500*(WWWW[[#This Row],['#_male hygiene promoters]]+WWWW[[#This Row],['#_female hygiene promoters]]))</f>
        <v>1675</v>
      </c>
      <c r="DH599"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599"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599" s="867">
        <f>IF(WWWW[[#This Row],['# People with access to soap]]&gt;WWWW[[#This Row],['# People with access to Sanity Pads]],WWWW[[#This Row],['# People with access to soap]],WWWW[[#This Row],['# People with access to Sanity Pads]])</f>
        <v>0</v>
      </c>
      <c r="DK599" s="867">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L599" s="869">
        <f>IF(WWWW[[#This Row],[HRP3]]/WWWW[[#This Row],[Total PoP ]]&gt;1,1,WWWW[[#This Row],[HRP3]]/WWWW[[#This Row],[Total PoP ]])</f>
        <v>1</v>
      </c>
      <c r="DM599" s="868">
        <f>1-WWWW[[#This Row],[Hygiene Coverage%]]</f>
        <v>0</v>
      </c>
      <c r="DN599" s="866">
        <f>WWWW[[#This Row],['# people reached by regular dedicated hygiene promotion_5]]/WWWW[[#This Row],[Total PoP ]]</f>
        <v>1</v>
      </c>
      <c r="DO599"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599"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599" s="867">
        <f>WWWW[[#This Row],['#_Constructed/Existing hand washing stations]]-WWWW[[#This Row],['#_Non-Functional_hand_washing_stations]]</f>
        <v>52</v>
      </c>
      <c r="DR599" s="864">
        <f>IF(WWWW[[#This Row],['# Functional hand washing stations during reporting period]]*20&gt;WWWW[[#This Row],[Total HH]],WWWW[[#This Row],[Total HH]],WWWW[[#This Row],['# Functional hand washing stations during reporting period]]*20)</f>
        <v>332</v>
      </c>
      <c r="DS599" s="864">
        <f>IF(WWWW[[#This Row],[Is sufficient soap available for TLS? (Yes/No)]]="yes",WWWW[[#This Row],['#_Constructed/Existing hand washing stations at TLS]],0)</f>
        <v>4</v>
      </c>
      <c r="DT599" s="479">
        <f>IF(WWWW[[#This Row],['# Functional hand washing stations during reporting period]]*100&gt;WWWW[[#This Row],[Total PoP ]],WWWW[[#This Row],[Total PoP ]],WWWW[[#This Row],['# Functional hand washing stations during reporting period]]*100)</f>
        <v>1675</v>
      </c>
      <c r="DU599" s="479" t="str">
        <f>IF(OR(WWWW[[#This Row],['#_students at TLS_CFS]]="",WWWW[[#This Row],['#_students at TLS_CFS]]=0),"No","Yes")</f>
        <v>No</v>
      </c>
      <c r="DV599"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599"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599"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1000</v>
      </c>
      <c r="DY599" s="862" t="str">
        <f>VLOOKUP(WWWW[[#This Row],[Site Name]],SiteDB6[[Site Name]:[CCCM Management]],6,FALSE)</f>
        <v>Yes</v>
      </c>
      <c r="DZ599" s="862" t="str">
        <f>VLOOKUP(WWWW[[#This Row],[Site Name]],SiteDB6[[Site Name]:[CCCM Focal Agency]],7,FALSE)</f>
        <v>KMSS-BMO</v>
      </c>
      <c r="EA599" s="862" t="str">
        <f>VLOOKUP(WWWW[[#This Row],[Site Name]],SiteDB6[[Site Name]:[Location Type 1]],9,FALSE)</f>
        <v>Camp</v>
      </c>
      <c r="EB599" s="862" t="str">
        <f>VLOOKUP(WWWW[[#This Row],[Site Name]],SiteDB6[[Site Name]:[Type of Accommodation]],10,FALSE)</f>
        <v>Camp</v>
      </c>
      <c r="EC599" s="862" t="str">
        <f>VLOOKUP(WWWW[[#This Row],[Site Name]],SiteDB6[[Site Name]:[Ethnic or GCA/NGCA]],11,FALSE)</f>
        <v>NGCA</v>
      </c>
      <c r="ED599" s="862">
        <f>VLOOKUP(WWWW[[#This Row],[Site Name]],SiteDB6[[Site Name]:[Lat]],12,FALSE)</f>
        <v>24.378167000000001</v>
      </c>
      <c r="EE599" s="862">
        <f>VLOOKUP(WWWW[[#This Row],[Site Name]],SiteDB6[[Site Name]:[Long]],13,FALSE)</f>
        <v>97.669366999999994</v>
      </c>
      <c r="EF599" s="862" t="str">
        <f>VLOOKUP(WWWW[[#This Row],[Site Name]],SiteDB6[[Site Name]:[Pcode]],3,FALSE)</f>
        <v>MMR001CMP131</v>
      </c>
      <c r="EG599" s="865" t="str">
        <f t="shared" si="17"/>
        <v>Covered</v>
      </c>
      <c r="EH599" s="865" t="str">
        <f>VLOOKUP(WWWW[[#This Row],[Site Name]],Site_DB!$C$389:$D$1120,2,FALSE)</f>
        <v>cccm_2019OCT</v>
      </c>
    </row>
    <row r="600" spans="1:138">
      <c r="A600" s="860" t="s">
        <v>3263</v>
      </c>
      <c r="B600" s="860" t="s">
        <v>294</v>
      </c>
      <c r="C600" s="861" t="s">
        <v>294</v>
      </c>
      <c r="D600" s="861" t="s">
        <v>3593</v>
      </c>
      <c r="E600" s="861" t="s">
        <v>39</v>
      </c>
      <c r="F600" s="861" t="s">
        <v>208</v>
      </c>
      <c r="G600" s="721" t="str">
        <f>VLOOKUP(WWWW[[#This Row],[Site Name]],SiteDB6[[Site Name]:[Location Type]],8,FALSE)</f>
        <v>Camp</v>
      </c>
      <c r="H600" s="861" t="s">
        <v>299</v>
      </c>
      <c r="I600" s="851">
        <v>593</v>
      </c>
      <c r="J600" s="851">
        <v>2975</v>
      </c>
      <c r="K600" s="863">
        <v>43874</v>
      </c>
      <c r="L600" s="859">
        <v>44239</v>
      </c>
      <c r="M600" s="851"/>
      <c r="N600" s="851"/>
      <c r="O600" s="851"/>
      <c r="P600" s="851"/>
      <c r="Q600" s="864" t="s">
        <v>43</v>
      </c>
      <c r="R600" s="851"/>
      <c r="S600" s="851"/>
      <c r="T600" s="523"/>
      <c r="U600" s="851"/>
      <c r="V600" s="851"/>
      <c r="W600" s="851"/>
      <c r="X600" s="851"/>
      <c r="Y600" s="851"/>
      <c r="Z600" s="851"/>
      <c r="AA600" s="594">
        <v>25</v>
      </c>
      <c r="AB600" s="851"/>
      <c r="AC600" s="851"/>
      <c r="AD600" s="851"/>
      <c r="AE600" s="851">
        <v>1</v>
      </c>
      <c r="AF600" s="851"/>
      <c r="AG600" s="851">
        <v>2</v>
      </c>
      <c r="AH600" s="851">
        <v>1</v>
      </c>
      <c r="AI600" s="851"/>
      <c r="AJ600" s="851"/>
      <c r="AK600" s="851"/>
      <c r="AL600" s="851"/>
      <c r="AM600" s="851">
        <v>21</v>
      </c>
      <c r="AN600" s="851">
        <v>6</v>
      </c>
      <c r="AO600" s="865"/>
      <c r="AP600" s="851">
        <v>152</v>
      </c>
      <c r="AQ600" s="851"/>
      <c r="AR600" s="866"/>
      <c r="AS600" s="851"/>
      <c r="AT600" s="851"/>
      <c r="AU600" s="851"/>
      <c r="AV600" s="851"/>
      <c r="AW600" s="851"/>
      <c r="AX600" s="862" t="s">
        <v>139</v>
      </c>
      <c r="AY600" s="865" t="s">
        <v>140</v>
      </c>
      <c r="AZ600" s="851">
        <v>4</v>
      </c>
      <c r="BA600" s="851"/>
      <c r="BB600" s="851">
        <v>16</v>
      </c>
      <c r="BC600" s="523">
        <v>2</v>
      </c>
      <c r="BD600" s="523"/>
      <c r="BE600" s="862"/>
      <c r="BF600" s="851">
        <v>39</v>
      </c>
      <c r="BG600" s="851"/>
      <c r="BH600" s="851"/>
      <c r="BI600" s="851">
        <v>10</v>
      </c>
      <c r="BJ600" s="851"/>
      <c r="BK600" s="851"/>
      <c r="BL600" s="851">
        <v>6</v>
      </c>
      <c r="BM600" s="851"/>
      <c r="BN600" s="851"/>
      <c r="BO600" s="862" t="s">
        <v>43</v>
      </c>
      <c r="BP600" s="867"/>
      <c r="BQ600" s="866"/>
      <c r="BR600" s="862"/>
      <c r="BS600" s="472"/>
      <c r="BT600" s="472"/>
      <c r="BU600" s="474"/>
      <c r="BV600" s="472"/>
      <c r="BW600" s="523"/>
      <c r="BX600" s="523"/>
      <c r="BY600" s="523"/>
      <c r="BZ600" s="868" t="str">
        <f>IFERROR(WWWW[[#This Row],['#_Water sources passed]]/WWWW[[#This Row],['#_Water sources tested for fecal coliform ]],"no test")</f>
        <v>no test</v>
      </c>
      <c r="CA600" s="866" t="str">
        <f>IFERROR(WWWW[[#This Row],['#_Household passed]]/WWWW[[#This Row],['#_Household water samples tested for fecal coliform]],"no test")</f>
        <v>no test</v>
      </c>
      <c r="CB600" s="867" t="str">
        <f>IF(AND(WWWW[[#This Row],[% of water sources passed]]="no test",WWWW[[#This Row],[% Household passed]]="no test"),"No Test","Tested")</f>
        <v>No Test</v>
      </c>
      <c r="CC600" s="867">
        <f>WWWW[[#This Row],['#_Constructed/existing protected hand dug well]]-WWWW[[#This Row],['#_Non-functional protected hand dug well]]</f>
        <v>0</v>
      </c>
      <c r="CD600" s="867">
        <f>(WWWW[[#This Row],['#_Constructed/Existing tube wells/boreholes/handpumps_WASH_agency]]+WWWW[[#This Row],['#_Non-Cluster partner water tube-wells/boreholes/handpumps]])-WWWW[[#This Row],['#_Non-functional tube wells/boreholes/handpumps]]</f>
        <v>0</v>
      </c>
      <c r="CE600" s="867">
        <f>WWWW[[#This Row],['#_Constructed/Existingwater storage tank with gravity fed reticulation system]]-WWWW[[#This Row],['#_Non-functional storage tank gravity fed reticulation system]]</f>
        <v>25</v>
      </c>
      <c r="CF600" s="867">
        <f>(WWWW[[#This Row],['#_Water_Liters_supplied_by_Water boating or water trucking]]/90)/15</f>
        <v>0</v>
      </c>
      <c r="CG600" s="867">
        <f>WWWW[[#This Row],['#_Water_Liters_from_Constructed/Existing water distribution system from river or natural spring]]/90/15</f>
        <v>0</v>
      </c>
      <c r="CH600" s="473">
        <f>WWWW[[#This Row],['#_of water points in TLS/CFS /THF]]*500</f>
        <v>3000</v>
      </c>
      <c r="CI600" s="86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0.56022408963585435</v>
      </c>
      <c r="CJ600" s="86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0.56022408963585435</v>
      </c>
      <c r="CK600" s="866">
        <f>IF(WWWW[[#This Row],[Location Type 1]]="Village",WWWW[[#This Row],[Access to safe drinking water for Village]],WWWW[[#This Row],[Access to safe drinking water for Camp]])</f>
        <v>0.56022408963585435</v>
      </c>
      <c r="CL600" s="864">
        <f>WWWW[[#This Row],[%Equitable and continuous access to sufficient quantity of safe drinking water]]*WWWW[[#This Row],[Total PoP ]]</f>
        <v>1666.6666666666667</v>
      </c>
      <c r="CM600" s="866">
        <f>IF((WWWW[[#This Row],['#_Constructed/Existing protected/fenced ponds]]*250)/WWWW[[#This Row],[Total PoP ]]&gt;1,1,(WWWW[[#This Row],['#_Constructed/Existing protected/fenced ponds]]*250)/WWWW[[#This Row],[Total PoP ]])</f>
        <v>8.4033613445378158E-2</v>
      </c>
      <c r="CN600" s="864">
        <f>WWWW[[#This Row],[% Access to unimproved water points]]*WWWW[[#This Row],[Total PoP ]]</f>
        <v>250.00000000000003</v>
      </c>
      <c r="CO600" s="86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0.64425770308123254</v>
      </c>
      <c r="CP600" s="86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1916.6666666666667</v>
      </c>
      <c r="CQ600" s="864">
        <f>WWWW[[#This Row],[HRP1]]/500</f>
        <v>3.8333333333333335</v>
      </c>
      <c r="CR600" s="869">
        <f>1-WWWW[[#This Row],[% Equitable and continuous access to sufficient quantity of domestic water]]</f>
        <v>0.35574229691876746</v>
      </c>
      <c r="CS600" s="864">
        <f>WWWW[[#This Row],[%equitable and continuous access to sufficient quantity of safe drinking and domestic water''s GAP]]*WWWW[[#This Row],[Total PoP ]]</f>
        <v>1058.3333333333333</v>
      </c>
      <c r="CT600" s="867">
        <f>IF(WWWW[[#This Row],[Total required water points]]-WWWW[[#This Row],['#Water points coverage]]&lt;0,0,WWWW[[#This Row],[Total required water points]]-WWWW[[#This Row],['#Water points coverage]])</f>
        <v>2.1666666666666665</v>
      </c>
      <c r="CU600" s="867">
        <f>ROUND(IF(WWWW[[#This Row],[Total PoP ]]&lt;500,1,WWWW[[#This Row],[Total PoP ]]/500),0)</f>
        <v>6</v>
      </c>
      <c r="CV600" s="867">
        <f>(WWWW[[#This Row],['#_Constructed latrines_by_WASHAgencies]]+WWWW[[#This Row],['#_Non Cluster partner latrines]])-WWWW[[#This Row],['#_Non-functional latrines]]</f>
        <v>152</v>
      </c>
      <c r="CW600" s="804">
        <f>WWWW[[#This Row],[HRP2]]/WWWW[[#This Row],[Total PoP ]]</f>
        <v>1</v>
      </c>
      <c r="CX600" s="86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CY600" s="87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00" s="867">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00" s="473">
        <f>IF(WWWW[[#This Row],['# of functional latrines in THF supported by WASH partners during the reporting period2]]="",0,WWWW[[#This Row],['# of functional latrines in THF supported by WASH partners during the reporting period2]]*50)</f>
        <v>100</v>
      </c>
      <c r="DB600" s="473">
        <f>WWWW[[#This Row],['# students access to functioning school latrines_HRP5]]+WWWW[[#This Row],['# People access to functioning latrines in THF_HRP5]]</f>
        <v>100</v>
      </c>
      <c r="DC600" s="867">
        <f>ROUND(IF(WWWW[[#This Row],[Location Type 1]]="camp",WWWW[[#This Row],[Total PoP ]]/20,IF(WWWW[[#This Row],[Location Type 1]]="Temporary Location",WWWW[[#This Row],[Total PoP ]]/50,(WWWW[[#This Row],[Total PoP ]]/6))),0)</f>
        <v>149</v>
      </c>
      <c r="DD600" s="867">
        <f>IF(WWWW[[#This Row],[Total required Latrines]]-(WWWW[[#This Row],['#_Constructed latrines_by_WASHAgencies]]+WWWW[[#This Row],['#_Non Cluster partner latrines]])&lt;0,0,WWWW[[#This Row],[Total required Latrines]]-(WWWW[[#This Row],['#_Constructed latrines_by_WASHAgencies]]+WWWW[[#This Row],['#_Non Cluster partner latrines]]))</f>
        <v>0</v>
      </c>
      <c r="DE600" s="869">
        <f>1-WWWW[[#This Row],[% people access to functioning Latrine]]</f>
        <v>0</v>
      </c>
      <c r="DF600" s="868">
        <f>IF(OR(WWWW[[#This Row],['#_Non-functional latrines]]="",WWWW[[#This Row],['#_Non-functional latrines]]=0),0,WWWW[[#This Row],['#_Non-functional latrines]]/(WWWW[[#This Row],['#_Constructed latrines_by_WASHAgencies]]+WWWW[[#This Row],['#_Non Cluster partner latrines]]))</f>
        <v>0</v>
      </c>
      <c r="DG600" s="864">
        <f>IF(500*(WWWW[[#This Row],['#_male hygiene promoters]]+WWWW[[#This Row],['#_female hygiene promoters]])&gt;WWWW[[#This Row],[Total PoP ]],WWWW[[#This Row],[Total PoP ]],500*(WWWW[[#This Row],['#_male hygiene promoters]]+WWWW[[#This Row],['#_female hygiene promoters]]))</f>
        <v>2975</v>
      </c>
      <c r="DH600" s="86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00" s="86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00" s="867">
        <f>IF(WWWW[[#This Row],['# People with access to soap]]&gt;WWWW[[#This Row],['# People with access to Sanity Pads]],WWWW[[#This Row],['# People with access to soap]],WWWW[[#This Row],['# People with access to Sanity Pads]])</f>
        <v>0</v>
      </c>
      <c r="DK600" s="867">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L600" s="869">
        <f>IF(WWWW[[#This Row],[HRP3]]/WWWW[[#This Row],[Total PoP ]]&gt;1,1,WWWW[[#This Row],[HRP3]]/WWWW[[#This Row],[Total PoP ]])</f>
        <v>1</v>
      </c>
      <c r="DM600" s="868">
        <f>1-WWWW[[#This Row],[Hygiene Coverage%]]</f>
        <v>0</v>
      </c>
      <c r="DN600" s="866">
        <f>WWWW[[#This Row],['# people reached by regular dedicated hygiene promotion_5]]/WWWW[[#This Row],[Total PoP ]]</f>
        <v>1</v>
      </c>
      <c r="DO600" s="86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00" s="86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00" s="867">
        <f>WWWW[[#This Row],['#_Constructed/Existing hand washing stations]]-WWWW[[#This Row],['#_Non-Functional_hand_washing_stations]]</f>
        <v>39</v>
      </c>
      <c r="DR600" s="864">
        <f>IF(WWWW[[#This Row],['# Functional hand washing stations during reporting period]]*20&gt;WWWW[[#This Row],[Total HH]],WWWW[[#This Row],[Total HH]],WWWW[[#This Row],['# Functional hand washing stations during reporting period]]*20)</f>
        <v>593</v>
      </c>
      <c r="DS600" s="864">
        <f>IF(WWWW[[#This Row],[Is sufficient soap available for TLS? (Yes/No)]]="yes",WWWW[[#This Row],['#_Constructed/Existing hand washing stations at TLS]],0)</f>
        <v>21</v>
      </c>
      <c r="DT600" s="479">
        <f>IF(WWWW[[#This Row],['# Functional hand washing stations during reporting period]]*100&gt;WWWW[[#This Row],[Total PoP ]],WWWW[[#This Row],[Total PoP ]],WWWW[[#This Row],['# Functional hand washing stations during reporting period]]*100)</f>
        <v>2975</v>
      </c>
      <c r="DU600" s="479" t="str">
        <f>IF(OR(WWWW[[#This Row],['#_students at TLS_CFS]]="",WWWW[[#This Row],['#_students at TLS_CFS]]=0),"No","Yes")</f>
        <v>No</v>
      </c>
      <c r="DV600"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600"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00"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3000</v>
      </c>
      <c r="DY600" s="862" t="str">
        <f>VLOOKUP(WWWW[[#This Row],[Site Name]],SiteDB6[[Site Name]:[CCCM Management]],6,FALSE)</f>
        <v>Yes</v>
      </c>
      <c r="DZ600" s="862" t="str">
        <f>VLOOKUP(WWWW[[#This Row],[Site Name]],SiteDB6[[Site Name]:[CCCM Focal Agency]],7,FALSE)</f>
        <v>KMSS-BMO</v>
      </c>
      <c r="EA600" s="862" t="str">
        <f>VLOOKUP(WWWW[[#This Row],[Site Name]],SiteDB6[[Site Name]:[Location Type 1]],9,FALSE)</f>
        <v>Camp</v>
      </c>
      <c r="EB600" s="862" t="str">
        <f>VLOOKUP(WWWW[[#This Row],[Site Name]],SiteDB6[[Site Name]:[Type of Accommodation]],10,FALSE)</f>
        <v>Camp</v>
      </c>
      <c r="EC600" s="862" t="str">
        <f>VLOOKUP(WWWW[[#This Row],[Site Name]],SiteDB6[[Site Name]:[Ethnic or GCA/NGCA]],11,FALSE)</f>
        <v>NGCA</v>
      </c>
      <c r="ED600" s="862">
        <f>VLOOKUP(WWWW[[#This Row],[Site Name]],SiteDB6[[Site Name]:[Lat]],12,FALSE)</f>
        <v>24.2744</v>
      </c>
      <c r="EE600" s="862">
        <f>VLOOKUP(WWWW[[#This Row],[Site Name]],SiteDB6[[Site Name]:[Long]],13,FALSE)</f>
        <v>97.752667000000002</v>
      </c>
      <c r="EF600" s="862" t="str">
        <f>VLOOKUP(WWWW[[#This Row],[Site Name]],SiteDB6[[Site Name]:[Pcode]],3,FALSE)</f>
        <v>MMR001CMP126</v>
      </c>
      <c r="EG600" s="865" t="str">
        <f t="shared" si="17"/>
        <v>Covered</v>
      </c>
      <c r="EH600" s="865" t="str">
        <f>VLOOKUP(WWWW[[#This Row],[Site Name]],Site_DB!$C$389:$D$1120,2,FALSE)</f>
        <v>cccm_2019OCT</v>
      </c>
    </row>
    <row r="601" spans="1:138">
      <c r="A601" s="524" t="s">
        <v>3263</v>
      </c>
      <c r="B601" s="524" t="s">
        <v>3388</v>
      </c>
      <c r="C601" s="404" t="s">
        <v>3388</v>
      </c>
      <c r="D601" s="404" t="s">
        <v>302</v>
      </c>
      <c r="E601" s="404" t="s">
        <v>39</v>
      </c>
      <c r="F601" s="404" t="s">
        <v>145</v>
      </c>
      <c r="G601" s="721" t="s">
        <v>45</v>
      </c>
      <c r="H601" s="404" t="s">
        <v>3639</v>
      </c>
      <c r="I601" s="523">
        <v>95</v>
      </c>
      <c r="J601" s="523">
        <v>412</v>
      </c>
      <c r="K601" s="407">
        <v>43853</v>
      </c>
      <c r="L601" s="56">
        <v>44218</v>
      </c>
      <c r="M601" s="523">
        <v>121</v>
      </c>
      <c r="N601" s="523"/>
      <c r="O601" s="523"/>
      <c r="P601" s="523"/>
      <c r="Q601" s="479"/>
      <c r="R601" s="523"/>
      <c r="S601" s="523"/>
      <c r="T601" s="523">
        <v>5</v>
      </c>
      <c r="U601" s="523"/>
      <c r="V601" s="523"/>
      <c r="W601" s="523"/>
      <c r="X601" s="523"/>
      <c r="Y601" s="523"/>
      <c r="Z601" s="523"/>
      <c r="AA601" s="523"/>
      <c r="AB601" s="523"/>
      <c r="AC601" s="523"/>
      <c r="AD601" s="523"/>
      <c r="AE601" s="523"/>
      <c r="AF601" s="523"/>
      <c r="AG601" s="523"/>
      <c r="AH601" s="523"/>
      <c r="AI601" s="523"/>
      <c r="AJ601" s="523"/>
      <c r="AK601" s="523"/>
      <c r="AL601" s="523"/>
      <c r="AM601" s="523"/>
      <c r="AN601" s="523">
        <v>0</v>
      </c>
      <c r="AO601" s="501" t="s">
        <v>3640</v>
      </c>
      <c r="AP601" s="523">
        <v>100</v>
      </c>
      <c r="AQ601" s="523"/>
      <c r="AR601" s="472"/>
      <c r="AS601" s="523">
        <v>95</v>
      </c>
      <c r="AT601" s="523"/>
      <c r="AU601" s="523"/>
      <c r="AV601" s="523"/>
      <c r="AW601" s="523"/>
      <c r="AX601" s="474"/>
      <c r="AY601" s="501"/>
      <c r="AZ601" s="523"/>
      <c r="BA601" s="523"/>
      <c r="BB601" s="523">
        <v>0</v>
      </c>
      <c r="BC601" s="523"/>
      <c r="BD601" s="523"/>
      <c r="BE601" s="474"/>
      <c r="BF601" s="523">
        <v>24</v>
      </c>
      <c r="BG601" s="523">
        <v>14</v>
      </c>
      <c r="BH601" s="523"/>
      <c r="BI601" s="523"/>
      <c r="BJ601" s="523"/>
      <c r="BK601" s="523"/>
      <c r="BL601" s="523"/>
      <c r="BM601" s="523"/>
      <c r="BN601" s="523"/>
      <c r="BO601" s="474"/>
      <c r="BP601" s="473"/>
      <c r="BQ601" s="472"/>
      <c r="BR601" s="474"/>
      <c r="BS601" s="472"/>
      <c r="BT601" s="472"/>
      <c r="BU601" s="474"/>
      <c r="BV601" s="472"/>
      <c r="BW601" s="523"/>
      <c r="BX601" s="523"/>
      <c r="BY601" s="523"/>
      <c r="BZ601" s="804" t="str">
        <f>IFERROR(WWWW[[#This Row],['#_Water sources passed]]/WWWW[[#This Row],['#_Water sources tested for fecal coliform ]],"no test")</f>
        <v>no test</v>
      </c>
      <c r="CA601" s="472" t="str">
        <f>IFERROR(WWWW[[#This Row],['#_Household passed]]/WWWW[[#This Row],['#_Household water samples tested for fecal coliform]],"no test")</f>
        <v>no test</v>
      </c>
      <c r="CB601" s="473" t="str">
        <f>IF(AND(WWWW[[#This Row],[% of water sources passed]]="no test",WWWW[[#This Row],[% Household passed]]="no test"),"No Test","Tested")</f>
        <v>No Test</v>
      </c>
      <c r="CC601" s="473">
        <f>WWWW[[#This Row],['#_Constructed/existing protected hand dug well]]-WWWW[[#This Row],['#_Non-functional protected hand dug well]]</f>
        <v>5</v>
      </c>
      <c r="CD601" s="473">
        <f>(WWWW[[#This Row],['#_Constructed/Existing tube wells/boreholes/handpumps_WASH_agency]]+WWWW[[#This Row],['#_Non-Cluster partner water tube-wells/boreholes/handpumps]])-WWWW[[#This Row],['#_Non-functional tube wells/boreholes/handpumps]]</f>
        <v>0</v>
      </c>
      <c r="CE601" s="473">
        <f>WWWW[[#This Row],['#_Constructed/Existingwater storage tank with gravity fed reticulation system]]-WWWW[[#This Row],['#_Non-functional storage tank gravity fed reticulation system]]</f>
        <v>0</v>
      </c>
      <c r="CF601" s="473">
        <f>(WWWW[[#This Row],['#_Water_Liters_supplied_by_Water boating or water trucking]]/90)/15</f>
        <v>0</v>
      </c>
      <c r="CG601" s="473">
        <f>WWWW[[#This Row],['#_Water_Liters_from_Constructed/Existing water distribution system from river or natural spring]]/90/15</f>
        <v>0</v>
      </c>
      <c r="CH601" s="473">
        <f>WWWW[[#This Row],['#_of water points in TLS/CFS /THF]]*500</f>
        <v>0</v>
      </c>
      <c r="CI601" s="80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01" s="80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01" s="472">
        <f>IF(WWWW[[#This Row],[Location Type 1]]="Village",WWWW[[#This Row],[Access to safe drinking water for Village]],WWWW[[#This Row],[Access to safe drinking water for Camp]])</f>
        <v>1</v>
      </c>
      <c r="CL601" s="479">
        <f>WWWW[[#This Row],[%Equitable and continuous access to sufficient quantity of safe drinking water]]*WWWW[[#This Row],[Total PoP ]]</f>
        <v>412</v>
      </c>
      <c r="CM601" s="472">
        <f>IF((WWWW[[#This Row],['#_Constructed/Existing protected/fenced ponds]]*250)/WWWW[[#This Row],[Total PoP ]]&gt;1,1,(WWWW[[#This Row],['#_Constructed/Existing protected/fenced ponds]]*250)/WWWW[[#This Row],[Total PoP ]])</f>
        <v>0</v>
      </c>
      <c r="CN601" s="479">
        <f>WWWW[[#This Row],[% Access to unimproved water points]]*WWWW[[#This Row],[Total PoP ]]</f>
        <v>0</v>
      </c>
      <c r="CO601" s="4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01" s="4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412</v>
      </c>
      <c r="CQ601" s="479">
        <f>WWWW[[#This Row],[HRP1]]/500</f>
        <v>0.82399999999999995</v>
      </c>
      <c r="CR601" s="915">
        <f>1-WWWW[[#This Row],[% Equitable and continuous access to sufficient quantity of domestic water]]</f>
        <v>0</v>
      </c>
      <c r="CS601" s="479">
        <f>WWWW[[#This Row],[%equitable and continuous access to sufficient quantity of safe drinking and domestic water''s GAP]]*WWWW[[#This Row],[Total PoP ]]</f>
        <v>0</v>
      </c>
      <c r="CT601" s="473">
        <f>IF(WWWW[[#This Row],[Total required water points]]-WWWW[[#This Row],['#Water points coverage]]&lt;0,0,WWWW[[#This Row],[Total required water points]]-WWWW[[#This Row],['#Water points coverage]])</f>
        <v>0.17600000000000005</v>
      </c>
      <c r="CU601" s="473">
        <f>ROUND(IF(WWWW[[#This Row],[Total PoP ]]&lt;500,1,WWWW[[#This Row],[Total PoP ]]/500),0)</f>
        <v>1</v>
      </c>
      <c r="CV601" s="473">
        <f>(WWWW[[#This Row],['#_Constructed latrines_by_WASHAgencies]]+WWWW[[#This Row],['#_Non Cluster partner latrines]])-WWWW[[#This Row],['#_Non-functional latrines]]</f>
        <v>5</v>
      </c>
      <c r="CW601" s="804">
        <f>WWWW[[#This Row],[HRP2]]/WWWW[[#This Row],[Total PoP ]]</f>
        <v>0.24271844660194175</v>
      </c>
      <c r="CX601" s="4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CY601" s="91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01" s="473">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A601" s="473">
        <f>IF(WWWW[[#This Row],['# of functional latrines in THF supported by WASH partners during the reporting period2]]="",0,WWWW[[#This Row],['# of functional latrines in THF supported by WASH partners during the reporting period2]]*50)</f>
        <v>0</v>
      </c>
      <c r="DB601" s="473">
        <f>WWWW[[#This Row],['# students access to functioning school latrines_HRP5]]+WWWW[[#This Row],['# People access to functioning latrines in THF_HRP5]]</f>
        <v>0</v>
      </c>
      <c r="DC601" s="473">
        <f>ROUND(IF(WWWW[[#This Row],[Location Type 1]]="camp",WWWW[[#This Row],[Total PoP ]]/20,IF(WWWW[[#This Row],[Location Type 1]]="Temporary Location",WWWW[[#This Row],[Total PoP ]]/50,(WWWW[[#This Row],[Total PoP ]]/6))),0)</f>
        <v>21</v>
      </c>
      <c r="DD601" s="473">
        <f>IF(WWWW[[#This Row],[Total required Latrines]]-(WWWW[[#This Row],['#_Constructed latrines_by_WASHAgencies]]+WWWW[[#This Row],['#_Non Cluster partner latrines]])&lt;0,0,WWWW[[#This Row],[Total required Latrines]]-(WWWW[[#This Row],['#_Constructed latrines_by_WASHAgencies]]+WWWW[[#This Row],['#_Non Cluster partner latrines]]))</f>
        <v>0</v>
      </c>
      <c r="DE601" s="915">
        <f>1-WWWW[[#This Row],[% people access to functioning Latrine]]</f>
        <v>0.75728155339805825</v>
      </c>
      <c r="DF601" s="804">
        <f>IF(OR(WWWW[[#This Row],['#_Non-functional latrines]]="",WWWW[[#This Row],['#_Non-functional latrines]]=0),0,WWWW[[#This Row],['#_Non-functional latrines]]/(WWWW[[#This Row],['#_Constructed latrines_by_WASHAgencies]]+WWWW[[#This Row],['#_Non Cluster partner latrines]]))</f>
        <v>0.95</v>
      </c>
      <c r="DG601" s="479">
        <f>IF(500*(WWWW[[#This Row],['#_male hygiene promoters]]+WWWW[[#This Row],['#_female hygiene promoters]])&gt;WWWW[[#This Row],[Total PoP ]],WWWW[[#This Row],[Total PoP ]],500*(WWWW[[#This Row],['#_male hygiene promoters]]+WWWW[[#This Row],['#_female hygiene promoters]]))</f>
        <v>0</v>
      </c>
      <c r="DH601" s="47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01" s="47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01" s="473">
        <f>IF(WWWW[[#This Row],['# People with access to soap]]&gt;WWWW[[#This Row],['# People with access to Sanity Pads]],WWWW[[#This Row],['# People with access to soap]],WWWW[[#This Row],['# People with access to Sanity Pads]])</f>
        <v>0</v>
      </c>
      <c r="DK601" s="473">
        <f>IF(WWWW[[#This Row],['# people reached by regular dedicated hygiene promotion_5]]&gt;WWWW[[#This Row],['# People received regular supply of hygiene items_6]],WWWW[[#This Row],['# people reached by regular dedicated hygiene promotion_5]],WWWW[[#This Row],['# People received regular supply of hygiene items_6]])</f>
        <v>0</v>
      </c>
      <c r="DL601" s="915">
        <f>IF(WWWW[[#This Row],[HRP3]]/WWWW[[#This Row],[Total PoP ]]&gt;1,1,WWWW[[#This Row],[HRP3]]/WWWW[[#This Row],[Total PoP ]])</f>
        <v>0</v>
      </c>
      <c r="DM601" s="804">
        <f>1-WWWW[[#This Row],[Hygiene Coverage%]]</f>
        <v>1</v>
      </c>
      <c r="DN601" s="472">
        <f>WWWW[[#This Row],['# people reached by regular dedicated hygiene promotion_5]]/WWWW[[#This Row],[Total PoP ]]</f>
        <v>0</v>
      </c>
      <c r="DO601" s="80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01" s="47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01" s="473">
        <f>WWWW[[#This Row],['#_Constructed/Existing hand washing stations]]-WWWW[[#This Row],['#_Non-Functional_hand_washing_stations]]</f>
        <v>10</v>
      </c>
      <c r="DR601" s="479">
        <f>IF(WWWW[[#This Row],['# Functional hand washing stations during reporting period]]*20&gt;WWWW[[#This Row],[Total HH]],WWWW[[#This Row],[Total HH]],WWWW[[#This Row],['# Functional hand washing stations during reporting period]]*20)</f>
        <v>95</v>
      </c>
      <c r="DS601" s="479">
        <f>IF(WWWW[[#This Row],[Is sufficient soap available for TLS? (Yes/No)]]="yes",WWWW[[#This Row],['#_Constructed/Existing hand washing stations at TLS]],0)</f>
        <v>0</v>
      </c>
      <c r="DT601" s="479">
        <f>IF(WWWW[[#This Row],['# Functional hand washing stations during reporting period]]*100&gt;WWWW[[#This Row],[Total PoP ]],WWWW[[#This Row],[Total PoP ]],WWWW[[#This Row],['# Functional hand washing stations during reporting period]]*100)</f>
        <v>412</v>
      </c>
      <c r="DU601" s="479" t="str">
        <f>IF(OR(WWWW[[#This Row],['#_students at TLS_CFS]]="",WWWW[[#This Row],['#_students at TLS_CFS]]=0),"No","Yes")</f>
        <v>Yes</v>
      </c>
      <c r="DV601"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601"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01"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0</v>
      </c>
      <c r="DY601" s="474"/>
      <c r="DZ601" s="474"/>
      <c r="EA601" s="474" t="s">
        <v>45</v>
      </c>
      <c r="EB601" s="474" t="s">
        <v>45</v>
      </c>
      <c r="EC601" s="474" t="s">
        <v>46</v>
      </c>
      <c r="ED601" s="474">
        <v>0</v>
      </c>
      <c r="EE601" s="474">
        <v>0</v>
      </c>
      <c r="EF601" s="474">
        <v>0</v>
      </c>
      <c r="EG601" s="501" t="s">
        <v>35</v>
      </c>
      <c r="EH601" s="501" t="e">
        <f>VLOOKUP(WWWW[[#This Row],[Site Name]],Site_DB!$C$389:$D$1120,2,FALSE)</f>
        <v>#N/A</v>
      </c>
    </row>
    <row r="602" spans="1:138">
      <c r="A602" s="524" t="s">
        <v>3263</v>
      </c>
      <c r="B602" s="524" t="s">
        <v>3388</v>
      </c>
      <c r="C602" s="404" t="s">
        <v>3388</v>
      </c>
      <c r="D602" s="404" t="s">
        <v>352</v>
      </c>
      <c r="E602" s="404" t="s">
        <v>39</v>
      </c>
      <c r="F602" s="404" t="s">
        <v>145</v>
      </c>
      <c r="G602" s="721" t="s">
        <v>45</v>
      </c>
      <c r="H602" s="404" t="s">
        <v>3641</v>
      </c>
      <c r="I602" s="523">
        <v>139</v>
      </c>
      <c r="J602" s="523">
        <v>685</v>
      </c>
      <c r="K602" s="407">
        <v>43859</v>
      </c>
      <c r="L602" s="56">
        <v>44926</v>
      </c>
      <c r="M602" s="523">
        <v>166</v>
      </c>
      <c r="N602" s="523"/>
      <c r="O602" s="523"/>
      <c r="P602" s="523"/>
      <c r="Q602" s="479"/>
      <c r="R602" s="523"/>
      <c r="S602" s="523"/>
      <c r="T602" s="523">
        <v>3</v>
      </c>
      <c r="U602" s="523"/>
      <c r="V602" s="523"/>
      <c r="W602" s="523">
        <v>45</v>
      </c>
      <c r="X602" s="523"/>
      <c r="Y602" s="523"/>
      <c r="Z602" s="523"/>
      <c r="AA602" s="523"/>
      <c r="AB602" s="523"/>
      <c r="AC602" s="523"/>
      <c r="AD602" s="523"/>
      <c r="AE602" s="523"/>
      <c r="AF602" s="523"/>
      <c r="AG602" s="523"/>
      <c r="AH602" s="523"/>
      <c r="AI602" s="523"/>
      <c r="AJ602" s="523"/>
      <c r="AK602" s="523"/>
      <c r="AL602" s="523"/>
      <c r="AM602" s="523">
        <v>2</v>
      </c>
      <c r="AN602" s="523"/>
      <c r="AO602" s="501" t="s">
        <v>3642</v>
      </c>
      <c r="AP602" s="523">
        <v>139</v>
      </c>
      <c r="AQ602" s="523"/>
      <c r="AR602" s="472"/>
      <c r="AS602" s="523">
        <v>38</v>
      </c>
      <c r="AT602" s="523"/>
      <c r="AU602" s="523"/>
      <c r="AV602" s="523"/>
      <c r="AW602" s="523"/>
      <c r="AX602" s="474"/>
      <c r="AY602" s="501"/>
      <c r="AZ602" s="523"/>
      <c r="BA602" s="523"/>
      <c r="BB602" s="523">
        <v>2</v>
      </c>
      <c r="BC602" s="523"/>
      <c r="BD602" s="523"/>
      <c r="BE602" s="474"/>
      <c r="BF602" s="523">
        <v>4</v>
      </c>
      <c r="BG602" s="523">
        <v>0</v>
      </c>
      <c r="BH602" s="523"/>
      <c r="BI602" s="523"/>
      <c r="BJ602" s="523"/>
      <c r="BK602" s="523"/>
      <c r="BL602" s="523"/>
      <c r="BM602" s="523"/>
      <c r="BN602" s="523"/>
      <c r="BO602" s="474"/>
      <c r="BP602" s="473"/>
      <c r="BQ602" s="472"/>
      <c r="BR602" s="474"/>
      <c r="BS602" s="472"/>
      <c r="BT602" s="472"/>
      <c r="BU602" s="474"/>
      <c r="BV602" s="472"/>
      <c r="BW602" s="523"/>
      <c r="BX602" s="523"/>
      <c r="BY602" s="523"/>
      <c r="BZ602" s="804" t="str">
        <f>IFERROR(WWWW[[#This Row],['#_Water sources passed]]/WWWW[[#This Row],['#_Water sources tested for fecal coliform ]],"no test")</f>
        <v>no test</v>
      </c>
      <c r="CA602" s="472" t="str">
        <f>IFERROR(WWWW[[#This Row],['#_Household passed]]/WWWW[[#This Row],['#_Household water samples tested for fecal coliform]],"no test")</f>
        <v>no test</v>
      </c>
      <c r="CB602" s="473" t="str">
        <f>IF(AND(WWWW[[#This Row],[% of water sources passed]]="no test",WWWW[[#This Row],[% Household passed]]="no test"),"No Test","Tested")</f>
        <v>No Test</v>
      </c>
      <c r="CC602" s="473">
        <f>WWWW[[#This Row],['#_Constructed/existing protected hand dug well]]-WWWW[[#This Row],['#_Non-functional protected hand dug well]]</f>
        <v>3</v>
      </c>
      <c r="CD602" s="473">
        <f>(WWWW[[#This Row],['#_Constructed/Existing tube wells/boreholes/handpumps_WASH_agency]]+WWWW[[#This Row],['#_Non-Cluster partner water tube-wells/boreholes/handpumps]])-WWWW[[#This Row],['#_Non-functional tube wells/boreholes/handpumps]]</f>
        <v>45</v>
      </c>
      <c r="CE602" s="473">
        <f>WWWW[[#This Row],['#_Constructed/Existingwater storage tank with gravity fed reticulation system]]-WWWW[[#This Row],['#_Non-functional storage tank gravity fed reticulation system]]</f>
        <v>0</v>
      </c>
      <c r="CF602" s="473">
        <f>(WWWW[[#This Row],['#_Water_Liters_supplied_by_Water boating or water trucking]]/90)/15</f>
        <v>0</v>
      </c>
      <c r="CG602" s="473">
        <f>WWWW[[#This Row],['#_Water_Liters_from_Constructed/Existing water distribution system from river or natural spring]]/90/15</f>
        <v>0</v>
      </c>
      <c r="CH602" s="473">
        <f>WWWW[[#This Row],['#_of water points in TLS/CFS /THF]]*500</f>
        <v>0</v>
      </c>
      <c r="CI602" s="80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J602" s="80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K602" s="472">
        <f>IF(WWWW[[#This Row],[Location Type 1]]="Village",WWWW[[#This Row],[Access to safe drinking water for Village]],WWWW[[#This Row],[Access to safe drinking water for Camp]])</f>
        <v>1</v>
      </c>
      <c r="CL602" s="479">
        <f>WWWW[[#This Row],[%Equitable and continuous access to sufficient quantity of safe drinking water]]*WWWW[[#This Row],[Total PoP ]]</f>
        <v>685</v>
      </c>
      <c r="CM602" s="472">
        <f>IF((WWWW[[#This Row],['#_Constructed/Existing protected/fenced ponds]]*250)/WWWW[[#This Row],[Total PoP ]]&gt;1,1,(WWWW[[#This Row],['#_Constructed/Existing protected/fenced ponds]]*250)/WWWW[[#This Row],[Total PoP ]])</f>
        <v>0</v>
      </c>
      <c r="CN602" s="479">
        <f>WWWW[[#This Row],[% Access to unimproved water points]]*WWWW[[#This Row],[Total PoP ]]</f>
        <v>0</v>
      </c>
      <c r="CO602" s="4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P602" s="4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685</v>
      </c>
      <c r="CQ602" s="479">
        <f>WWWW[[#This Row],[HRP1]]/500</f>
        <v>1.37</v>
      </c>
      <c r="CR602" s="915">
        <f>1-WWWW[[#This Row],[% Equitable and continuous access to sufficient quantity of domestic water]]</f>
        <v>0</v>
      </c>
      <c r="CS602" s="479">
        <f>WWWW[[#This Row],[%equitable and continuous access to sufficient quantity of safe drinking and domestic water''s GAP]]*WWWW[[#This Row],[Total PoP ]]</f>
        <v>0</v>
      </c>
      <c r="CT602" s="473">
        <f>IF(WWWW[[#This Row],[Total required water points]]-WWWW[[#This Row],['#Water points coverage]]&lt;0,0,WWWW[[#This Row],[Total required water points]]-WWWW[[#This Row],['#Water points coverage]])</f>
        <v>0</v>
      </c>
      <c r="CU602" s="473">
        <f>ROUND(IF(WWWW[[#This Row],[Total PoP ]]&lt;500,1,WWWW[[#This Row],[Total PoP ]]/500),0)</f>
        <v>1</v>
      </c>
      <c r="CV602" s="473">
        <f>(WWWW[[#This Row],['#_Constructed latrines_by_WASHAgencies]]+WWWW[[#This Row],['#_Non Cluster partner latrines]])-WWWW[[#This Row],['#_Non-functional latrines]]</f>
        <v>101</v>
      </c>
      <c r="CW602" s="804">
        <f>WWWW[[#This Row],[HRP2]]/WWWW[[#This Row],[Total PoP ]]</f>
        <v>1</v>
      </c>
      <c r="CX602" s="4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685</v>
      </c>
      <c r="CY602" s="91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Z602" s="473">
        <f>IF(WWWW[[#This Row],[Location Type 1]]="Village","NA",IF(WWWW[[#This Row],['# of functional latrines in TLS/CFS supported by WASH partners during the reporting period]]*50&gt;WWWW[[#This Row],['#_students at TLS_CFS]],WWWW[[#This Row],['#_students at TLS_CFS]],(WWWW[[#This Row],['# of functional latrines in TLS/CFS supported by WASH partners during the reporting period]]*50)))</f>
        <v>100</v>
      </c>
      <c r="DA602" s="473">
        <f>IF(WWWW[[#This Row],['# of functional latrines in THF supported by WASH partners during the reporting period2]]="",0,WWWW[[#This Row],['# of functional latrines in THF supported by WASH partners during the reporting period2]]*50)</f>
        <v>0</v>
      </c>
      <c r="DB602" s="473">
        <f>WWWW[[#This Row],['# students access to functioning school latrines_HRP5]]+WWWW[[#This Row],['# People access to functioning latrines in THF_HRP5]]</f>
        <v>100</v>
      </c>
      <c r="DC602" s="473">
        <f>ROUND(IF(WWWW[[#This Row],[Location Type 1]]="camp",WWWW[[#This Row],[Total PoP ]]/20,IF(WWWW[[#This Row],[Location Type 1]]="Temporary Location",WWWW[[#This Row],[Total PoP ]]/50,(WWWW[[#This Row],[Total PoP ]]/6))),0)</f>
        <v>34</v>
      </c>
      <c r="DD602" s="473">
        <f>IF(WWWW[[#This Row],[Total required Latrines]]-(WWWW[[#This Row],['#_Constructed latrines_by_WASHAgencies]]+WWWW[[#This Row],['#_Non Cluster partner latrines]])&lt;0,0,WWWW[[#This Row],[Total required Latrines]]-(WWWW[[#This Row],['#_Constructed latrines_by_WASHAgencies]]+WWWW[[#This Row],['#_Non Cluster partner latrines]]))</f>
        <v>0</v>
      </c>
      <c r="DE602" s="915">
        <f>1-WWWW[[#This Row],[% people access to functioning Latrine]]</f>
        <v>0</v>
      </c>
      <c r="DF602" s="804">
        <f>IF(OR(WWWW[[#This Row],['#_Non-functional latrines]]="",WWWW[[#This Row],['#_Non-functional latrines]]=0),0,WWWW[[#This Row],['#_Non-functional latrines]]/(WWWW[[#This Row],['#_Constructed latrines_by_WASHAgencies]]+WWWW[[#This Row],['#_Non Cluster partner latrines]]))</f>
        <v>0.2733812949640288</v>
      </c>
      <c r="DG602" s="479">
        <f>IF(500*(WWWW[[#This Row],['#_male hygiene promoters]]+WWWW[[#This Row],['#_female hygiene promoters]])&gt;WWWW[[#This Row],[Total PoP ]],WWWW[[#This Row],[Total PoP ]],500*(WWWW[[#This Row],['#_male hygiene promoters]]+WWWW[[#This Row],['#_female hygiene promoters]]))</f>
        <v>0</v>
      </c>
      <c r="DH602" s="47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I602" s="47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J602" s="473">
        <f>IF(WWWW[[#This Row],['# People with access to soap]]&gt;WWWW[[#This Row],['# People with access to Sanity Pads]],WWWW[[#This Row],['# People with access to soap]],WWWW[[#This Row],['# People with access to Sanity Pads]])</f>
        <v>0</v>
      </c>
      <c r="DK602" s="473">
        <f>IF(WWWW[[#This Row],['# people reached by regular dedicated hygiene promotion_5]]&gt;WWWW[[#This Row],['# People received regular supply of hygiene items_6]],WWWW[[#This Row],['# people reached by regular dedicated hygiene promotion_5]],WWWW[[#This Row],['# People received regular supply of hygiene items_6]])</f>
        <v>0</v>
      </c>
      <c r="DL602" s="915">
        <f>IF(WWWW[[#This Row],[HRP3]]/WWWW[[#This Row],[Total PoP ]]&gt;1,1,WWWW[[#This Row],[HRP3]]/WWWW[[#This Row],[Total PoP ]])</f>
        <v>0</v>
      </c>
      <c r="DM602" s="804">
        <f>1-WWWW[[#This Row],[Hygiene Coverage%]]</f>
        <v>1</v>
      </c>
      <c r="DN602" s="472">
        <f>WWWW[[#This Row],['# people reached by regular dedicated hygiene promotion_5]]/WWWW[[#This Row],[Total PoP ]]</f>
        <v>0</v>
      </c>
      <c r="DO602" s="80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P602" s="47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Q602" s="473">
        <f>WWWW[[#This Row],['#_Constructed/Existing hand washing stations]]-WWWW[[#This Row],['#_Non-Functional_hand_washing_stations]]</f>
        <v>4</v>
      </c>
      <c r="DR602" s="479">
        <f>IF(WWWW[[#This Row],['# Functional hand washing stations during reporting period]]*20&gt;WWWW[[#This Row],[Total HH]],WWWW[[#This Row],[Total HH]],WWWW[[#This Row],['# Functional hand washing stations during reporting period]]*20)</f>
        <v>80</v>
      </c>
      <c r="DS602" s="479">
        <f>IF(WWWW[[#This Row],[Is sufficient soap available for TLS? (Yes/No)]]="yes",WWWW[[#This Row],['#_Constructed/Existing hand washing stations at TLS]],0)</f>
        <v>0</v>
      </c>
      <c r="DT602" s="479">
        <f>IF(WWWW[[#This Row],['# Functional hand washing stations during reporting period]]*100&gt;WWWW[[#This Row],[Total PoP ]],WWWW[[#This Row],[Total PoP ]],WWWW[[#This Row],['# Functional hand washing stations during reporting period]]*100)</f>
        <v>400</v>
      </c>
      <c r="DU602" s="479" t="str">
        <f>IF(OR(WWWW[[#This Row],['#_students at TLS_CFS]]="",WWWW[[#This Row],['#_students at TLS_CFS]]=0),"No","Yes")</f>
        <v>Yes</v>
      </c>
      <c r="DV602" s="80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DW602" s="701">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DX602" s="523">
        <f>IF(WWWW[[#This Row],['# People access to functional water points or water provision supported by WASH partners in TLS/CFS/THF_HRP5]]&gt;WWWW[[#This Row],['# People access to functioning latrines in TLS/CFS/THF_HRP5]],WWWW[[#This Row],['# People access to functional water points or water provision supported by WASH partners in TLS/CFS/THF_HRP5]],WWWW[[#This Row],['# People access to functioning latrines in TLS/CFS/THF_HRP5]])</f>
        <v>100</v>
      </c>
      <c r="DY602" s="474"/>
      <c r="DZ602" s="474"/>
      <c r="EA602" s="474" t="s">
        <v>45</v>
      </c>
      <c r="EB602" s="474" t="s">
        <v>45</v>
      </c>
      <c r="EC602" s="474" t="s">
        <v>46</v>
      </c>
      <c r="ED602" s="474">
        <v>25.319629669189499</v>
      </c>
      <c r="EE602" s="474">
        <v>97.321372985839801</v>
      </c>
      <c r="EF602" s="474">
        <v>165777</v>
      </c>
      <c r="EG602" s="501" t="s">
        <v>35</v>
      </c>
      <c r="EH602" s="501" t="e">
        <f>VLOOKUP(WWWW[[#This Row],[Site Name]],Site_DB!$C$389:$D$1120,2,FALSE)</f>
        <v>#N/A</v>
      </c>
    </row>
  </sheetData>
  <mergeCells count="21">
    <mergeCell ref="CO2:CO3"/>
    <mergeCell ref="CP2:CP3"/>
    <mergeCell ref="BZ5:CB5"/>
    <mergeCell ref="CR5:CS5"/>
    <mergeCell ref="K1:L1"/>
    <mergeCell ref="BZ2:CB3"/>
    <mergeCell ref="CC2:CK3"/>
    <mergeCell ref="CL2:CL3"/>
    <mergeCell ref="CM2:CN3"/>
    <mergeCell ref="BS1:BV1"/>
    <mergeCell ref="BW1:BY1"/>
    <mergeCell ref="DF2:DF3"/>
    <mergeCell ref="DC2:DC3"/>
    <mergeCell ref="DD2:DE3"/>
    <mergeCell ref="CT2:CU3"/>
    <mergeCell ref="CQ2:CQ3"/>
    <mergeCell ref="CV2:CV3"/>
    <mergeCell ref="CZ2:CZ3"/>
    <mergeCell ref="CY2:CY3"/>
    <mergeCell ref="CX2:CX3"/>
    <mergeCell ref="CR2:CS3"/>
  </mergeCells>
  <phoneticPr fontId="147" type="noConversion"/>
  <conditionalFormatting sqref="DG5">
    <cfRule type="iconSet" priority="29">
      <iconSet reverse="1">
        <cfvo type="percent" val="0"/>
        <cfvo type="percent" val="0" gte="0"/>
        <cfvo type="percent" val="30"/>
      </iconSet>
    </cfRule>
  </conditionalFormatting>
  <conditionalFormatting sqref="DM4">
    <cfRule type="iconSet" priority="26">
      <iconSet reverse="1">
        <cfvo type="percent" val="0"/>
        <cfvo type="percent" val="0" gte="0"/>
        <cfvo type="percent" val="30"/>
      </iconSet>
    </cfRule>
  </conditionalFormatting>
  <conditionalFormatting sqref="CR4">
    <cfRule type="iconSet" priority="28">
      <iconSet reverse="1">
        <cfvo type="percent" val="0"/>
        <cfvo type="percent" val="0" gte="0"/>
        <cfvo type="percent" val="30"/>
      </iconSet>
    </cfRule>
  </conditionalFormatting>
  <conditionalFormatting sqref="DE4">
    <cfRule type="iconSet" priority="11717">
      <iconSet reverse="1">
        <cfvo type="percent" val="0"/>
        <cfvo type="percent" val="0" gte="0"/>
        <cfvo type="percent" val="30"/>
      </iconSet>
    </cfRule>
  </conditionalFormatting>
  <conditionalFormatting sqref="DF5 CY5:DA5">
    <cfRule type="iconSet" priority="11737">
      <iconSet reverse="1">
        <cfvo type="percent" val="0"/>
        <cfvo type="percent" val="0" gte="0"/>
        <cfvo type="percent" val="10"/>
      </iconSet>
    </cfRule>
  </conditionalFormatting>
  <conditionalFormatting sqref="CS4">
    <cfRule type="iconSet" priority="19">
      <iconSet reverse="1">
        <cfvo type="percent" val="0"/>
        <cfvo type="percent" val="0" gte="0"/>
        <cfvo type="percent" val="30"/>
      </iconSet>
    </cfRule>
  </conditionalFormatting>
  <conditionalFormatting sqref="DM2 DG2">
    <cfRule type="iconSet" priority="12229">
      <iconSet reverse="1">
        <cfvo type="percent" val="0"/>
        <cfvo type="percent" val="0" gte="0"/>
        <cfvo type="percent" val="30"/>
      </iconSet>
    </cfRule>
  </conditionalFormatting>
  <conditionalFormatting sqref="DM3">
    <cfRule type="iconSet" priority="12232">
      <iconSet reverse="1">
        <cfvo type="percent" val="0"/>
        <cfvo type="percent" val="0" gte="0"/>
        <cfvo type="percent" val="30"/>
      </iconSet>
    </cfRule>
  </conditionalFormatting>
  <conditionalFormatting sqref="H130">
    <cfRule type="duplicateValues" dxfId="989" priority="2"/>
  </conditionalFormatting>
  <conditionalFormatting sqref="DB5">
    <cfRule type="iconSet" priority="1">
      <iconSet reverse="1">
        <cfvo type="percent" val="0"/>
        <cfvo type="percent" val="0" gte="0"/>
        <cfvo type="percent" val="10"/>
      </iconSet>
    </cfRule>
  </conditionalFormatting>
  <conditionalFormatting sqref="CR7:CR602">
    <cfRule type="iconSet" priority="12337">
      <iconSet reverse="1">
        <cfvo type="percent" val="0"/>
        <cfvo type="percent" val="0" gte="0"/>
        <cfvo type="percent" val="30"/>
      </iconSet>
    </cfRule>
  </conditionalFormatting>
  <conditionalFormatting sqref="DM7:DM602">
    <cfRule type="iconSet" priority="12339">
      <iconSet reverse="1">
        <cfvo type="percent" val="0"/>
        <cfvo type="percent" val="0" gte="0"/>
        <cfvo type="percent" val="30"/>
      </iconSet>
    </cfRule>
  </conditionalFormatting>
  <conditionalFormatting sqref="DE7:DE602">
    <cfRule type="iconSet" priority="12341">
      <iconSet reverse="1">
        <cfvo type="percent" val="0"/>
        <cfvo type="percent" val="0" gte="0"/>
        <cfvo type="percent" val="30"/>
      </iconSet>
    </cfRule>
  </conditionalFormatting>
  <dataValidations count="9">
    <dataValidation type="whole" operator="lessThan" allowBlank="1" showInputMessage="1" showErrorMessage="1" sqref="BM120:BN120 Y70:Z70 AD164 AD104 BF136 BF145 M7:P602" xr:uid="{00000000-0002-0000-0200-000005000000}">
      <formula1>999999</formula1>
    </dataValidation>
    <dataValidation operator="lessThanOrEqual" allowBlank="1" showInputMessage="1" showErrorMessage="1" sqref="BE10:BE12 BE20 BE80:BE81 BE85:BE89 BE91 BE97 BE99 AR7:AR602" xr:uid="{00000000-0002-0000-0200-000007000000}"/>
    <dataValidation type="whole" operator="lessThanOrEqual" allowBlank="1" showInputMessage="1" showErrorMessage="1" sqref="AP7:AQ602" xr:uid="{00000000-0002-0000-0200-000006000000}">
      <formula1>9999999</formula1>
    </dataValidation>
    <dataValidation type="list" allowBlank="1" showInputMessage="1" showErrorMessage="1" sqref="Q7:Q602" xr:uid="{00000000-0002-0000-0200-000003000000}">
      <formula1>"Yes,No"</formula1>
    </dataValidation>
    <dataValidation type="list" allowBlank="1" showInputMessage="1" showErrorMessage="1" sqref="BO7:BO602 AX7:AX206 AX209:AX212 AX214:AX216 AX219:AX246 AX248:AX403" xr:uid="{00000000-0002-0000-0200-00000A000000}">
      <formula1>"Yes, No"</formula1>
    </dataValidation>
    <dataValidation type="list" allowBlank="1" showInputMessage="1" showErrorMessage="1" sqref="E7:E602" xr:uid="{00000000-0002-0000-0200-000001000000}">
      <formula1>"Kachin, Central Rakhine, Northern Rakhine, Shan (North)"</formula1>
    </dataValidation>
    <dataValidation type="list" allowBlank="1" showInputMessage="1" showErrorMessage="1" sqref="H7:H602" xr:uid="{00000000-0002-0000-0200-000004000000}">
      <formula1>OFFSET(Township_start,MATCH(F7,Township_list, 0),1, COUNTIF(Township_list,F7),1)</formula1>
    </dataValidation>
    <dataValidation type="list" allowBlank="1" showInputMessage="1" showErrorMessage="1" sqref="F7:F602" xr:uid="{00000000-0002-0000-0200-00000B000000}">
      <formula1>OFFSET(Statestart_1,MATCH(E7, State_list, 0), 1,COUNTIF(State_list,E7),1)</formula1>
    </dataValidation>
    <dataValidation type="list" allowBlank="1" showInputMessage="1" showErrorMessage="1" sqref="AX207:AX208 AX213 AX217:AX218 AX247 AY7:AY602" xr:uid="{73884A02-0D98-4A26-AA58-54A79E9E2C1E}">
      <formula1>"Functional,Not_Functional,No,NA"</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Lookup!$B$4:$B$61</xm:f>
          </x14:formula1>
          <xm:sqref>C192:C193 C187:C190 C22 C102 C175 C197 C200 B230:B243 B7:B225 B402:B403 B227:B228 B397:B399 B245:B258 B277:B304 B395 B306:B321 B323:B393 B260:B275</xm:sqref>
        </x14:dataValidation>
        <x14:dataValidation type="list" allowBlank="1" showInputMessage="1" showErrorMessage="1" xr:uid="{00000000-0002-0000-0200-00000E000000}">
          <x14:formula1>
            <xm:f>Lookup!$A$4:$A$32</xm:f>
          </x14:formula1>
          <xm:sqref>A7:A602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49"/>
  <sheetViews>
    <sheetView zoomScale="110" zoomScaleNormal="110" workbookViewId="0">
      <pane xSplit="1" ySplit="2" topLeftCell="B3" activePane="bottomRight" state="frozen"/>
      <selection activeCell="E391" sqref="E391"/>
      <selection pane="topRight" activeCell="E391" sqref="E391"/>
      <selection pane="bottomLeft" activeCell="E391" sqref="E391"/>
      <selection pane="bottomRight" activeCell="B5" sqref="B5"/>
    </sheetView>
  </sheetViews>
  <sheetFormatPr defaultColWidth="9" defaultRowHeight="14.25" customHeight="1"/>
  <cols>
    <col min="1" max="1" width="13.08203125" bestFit="1" customWidth="1"/>
    <col min="2" max="2" width="17" style="17" customWidth="1"/>
    <col min="3" max="3" width="37" style="100" bestFit="1" customWidth="1"/>
    <col min="4" max="4" width="16.5" style="44" customWidth="1"/>
    <col min="5" max="7" width="19.5" style="17" customWidth="1"/>
    <col min="8" max="8" width="13.1640625" style="17" customWidth="1"/>
    <col min="9" max="9" width="16.1640625" style="17" customWidth="1"/>
    <col min="10" max="10" width="14.83203125" style="17" customWidth="1"/>
    <col min="11" max="11" width="17.6640625" style="17" customWidth="1"/>
    <col min="12" max="12" width="12.6640625" style="17" customWidth="1"/>
    <col min="13" max="13" width="14.66406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3" customWidth="1"/>
    <col min="22" max="22" width="8.58203125"/>
    <col min="23" max="23" width="12.08203125" style="102" customWidth="1"/>
    <col min="24" max="24" width="55" style="45" customWidth="1"/>
    <col min="25" max="25" width="16.58203125" style="17" customWidth="1"/>
    <col min="26" max="26" width="9" style="101"/>
    <col min="27" max="16384" width="9" style="17"/>
  </cols>
  <sheetData>
    <row r="1" spans="1:26" ht="14.25" customHeight="1">
      <c r="A1" s="17"/>
      <c r="C1" s="476"/>
      <c r="D1" s="17"/>
      <c r="R1" s="68"/>
      <c r="S1" s="68"/>
      <c r="T1" s="102"/>
      <c r="U1" s="45"/>
      <c r="V1" s="17"/>
      <c r="W1" s="17"/>
      <c r="X1" s="17"/>
      <c r="Z1" s="17"/>
    </row>
    <row r="2" spans="1:26" ht="24" customHeight="1">
      <c r="A2" s="17" t="s">
        <v>22</v>
      </c>
      <c r="B2" s="17" t="s">
        <v>23</v>
      </c>
      <c r="C2" s="69" t="s">
        <v>24</v>
      </c>
      <c r="D2" s="17" t="s">
        <v>1682</v>
      </c>
      <c r="E2" s="17" t="s">
        <v>34</v>
      </c>
      <c r="F2" s="17" t="s">
        <v>1683</v>
      </c>
      <c r="G2" s="17" t="s">
        <v>1684</v>
      </c>
      <c r="H2" s="17" t="s">
        <v>28</v>
      </c>
      <c r="I2" s="17" t="s">
        <v>29</v>
      </c>
      <c r="J2" s="17" t="s">
        <v>137</v>
      </c>
      <c r="K2" s="17" t="s">
        <v>138</v>
      </c>
      <c r="L2" s="17" t="s">
        <v>763</v>
      </c>
      <c r="M2" s="17" t="s">
        <v>31</v>
      </c>
      <c r="N2" s="17" t="s">
        <v>32</v>
      </c>
      <c r="O2" s="17" t="s">
        <v>33</v>
      </c>
      <c r="P2" s="17" t="s">
        <v>764</v>
      </c>
      <c r="Q2" s="17" t="s">
        <v>765</v>
      </c>
      <c r="R2" s="68" t="s">
        <v>3056</v>
      </c>
      <c r="S2" s="68" t="s">
        <v>3057</v>
      </c>
      <c r="T2" s="102" t="s">
        <v>766</v>
      </c>
      <c r="U2" s="45" t="s">
        <v>36</v>
      </c>
      <c r="V2" s="17" t="s">
        <v>767</v>
      </c>
      <c r="W2" s="17" t="s">
        <v>2273</v>
      </c>
      <c r="X2" s="17"/>
      <c r="Z2" s="17"/>
    </row>
    <row r="3" spans="1:26" s="69" customFormat="1" ht="14.25" customHeight="1">
      <c r="A3" s="483" t="s">
        <v>2827</v>
      </c>
      <c r="B3" s="486" t="s">
        <v>370</v>
      </c>
      <c r="C3" s="487" t="s">
        <v>2901</v>
      </c>
      <c r="D3" s="481" t="s">
        <v>1685</v>
      </c>
      <c r="E3" s="522">
        <v>198645</v>
      </c>
      <c r="F3" s="476"/>
      <c r="G3" s="476"/>
      <c r="H3" s="476"/>
      <c r="I3" s="476"/>
      <c r="J3" s="476" t="s">
        <v>807</v>
      </c>
      <c r="K3" s="476" t="s">
        <v>807</v>
      </c>
      <c r="L3" s="476" t="s">
        <v>807</v>
      </c>
      <c r="M3" s="476" t="s">
        <v>307</v>
      </c>
      <c r="N3" s="476">
        <v>19.18421936</v>
      </c>
      <c r="O3" s="476">
        <v>93.699806210000006</v>
      </c>
      <c r="P3" s="476" t="s">
        <v>808</v>
      </c>
      <c r="Q3" s="476" t="s">
        <v>789</v>
      </c>
      <c r="R3" s="490"/>
      <c r="S3" s="483"/>
      <c r="T3" s="502"/>
      <c r="U3" s="484"/>
      <c r="V3" s="476" t="s">
        <v>373</v>
      </c>
      <c r="W3" s="482"/>
    </row>
    <row r="4" spans="1:26" s="69" customFormat="1" ht="14.25" customHeight="1">
      <c r="A4" s="483" t="s">
        <v>2827</v>
      </c>
      <c r="B4" s="486" t="s">
        <v>370</v>
      </c>
      <c r="C4" s="487" t="s">
        <v>375</v>
      </c>
      <c r="D4" s="481" t="s">
        <v>1685</v>
      </c>
      <c r="E4" s="476">
        <v>198647</v>
      </c>
      <c r="F4" s="476"/>
      <c r="G4" s="476"/>
      <c r="H4" s="476"/>
      <c r="I4" s="476"/>
      <c r="J4" s="476" t="s">
        <v>807</v>
      </c>
      <c r="K4" s="476" t="s">
        <v>807</v>
      </c>
      <c r="L4" s="476" t="s">
        <v>807</v>
      </c>
      <c r="M4" s="476" t="s">
        <v>307</v>
      </c>
      <c r="N4" s="476">
        <v>19.18943977</v>
      </c>
      <c r="O4" s="476">
        <v>93.733673100000004</v>
      </c>
      <c r="P4" s="476" t="s">
        <v>808</v>
      </c>
      <c r="Q4" s="476" t="s">
        <v>789</v>
      </c>
      <c r="R4" s="490"/>
      <c r="S4" s="483"/>
      <c r="T4" s="502"/>
      <c r="U4" s="484"/>
      <c r="V4" s="476" t="s">
        <v>375</v>
      </c>
      <c r="W4" s="482"/>
    </row>
    <row r="5" spans="1:26" s="69" customFormat="1" ht="14.25" customHeight="1">
      <c r="A5" s="483" t="s">
        <v>2827</v>
      </c>
      <c r="B5" s="486" t="s">
        <v>370</v>
      </c>
      <c r="C5" s="487" t="s">
        <v>2723</v>
      </c>
      <c r="D5" s="481"/>
      <c r="E5" s="476">
        <v>198667</v>
      </c>
      <c r="F5" s="476"/>
      <c r="G5" s="476"/>
      <c r="H5" s="476"/>
      <c r="I5" s="476"/>
      <c r="J5" s="476" t="s">
        <v>807</v>
      </c>
      <c r="K5" s="476" t="s">
        <v>807</v>
      </c>
      <c r="L5" s="476" t="s">
        <v>807</v>
      </c>
      <c r="M5" s="476" t="s">
        <v>307</v>
      </c>
      <c r="N5" s="476"/>
      <c r="O5" s="476"/>
      <c r="P5" s="476"/>
      <c r="Q5" s="476"/>
      <c r="R5" s="490"/>
      <c r="S5" s="483"/>
      <c r="T5" s="502"/>
      <c r="U5" s="484"/>
      <c r="V5" s="476"/>
      <c r="W5" s="482"/>
    </row>
    <row r="6" spans="1:26" s="69" customFormat="1" ht="14.25" customHeight="1">
      <c r="A6" s="483" t="s">
        <v>2827</v>
      </c>
      <c r="B6" s="476" t="s">
        <v>370</v>
      </c>
      <c r="C6" s="476" t="s">
        <v>380</v>
      </c>
      <c r="D6" s="429" t="s">
        <v>2352</v>
      </c>
      <c r="E6" s="476" t="s">
        <v>1363</v>
      </c>
      <c r="F6" s="476" t="s">
        <v>1763</v>
      </c>
      <c r="G6" s="476" t="s">
        <v>380</v>
      </c>
      <c r="H6" s="476" t="s">
        <v>43</v>
      </c>
      <c r="I6" s="476"/>
      <c r="J6" s="476" t="s">
        <v>807</v>
      </c>
      <c r="K6" s="476" t="s">
        <v>807</v>
      </c>
      <c r="L6" s="476" t="s">
        <v>830</v>
      </c>
      <c r="M6" s="476" t="s">
        <v>307</v>
      </c>
      <c r="N6" s="476">
        <v>19.421102000000001</v>
      </c>
      <c r="O6" s="476">
        <v>93.552452000000002</v>
      </c>
      <c r="P6" s="476" t="s">
        <v>808</v>
      </c>
      <c r="Q6" s="476" t="s">
        <v>789</v>
      </c>
      <c r="R6" s="482">
        <v>65</v>
      </c>
      <c r="S6" s="483">
        <v>327</v>
      </c>
      <c r="T6" s="502"/>
      <c r="U6" s="484"/>
      <c r="V6" s="476" t="s">
        <v>380</v>
      </c>
      <c r="W6" s="476"/>
    </row>
    <row r="7" spans="1:26" s="69" customFormat="1" ht="14.25" customHeight="1">
      <c r="A7" s="483" t="s">
        <v>2827</v>
      </c>
      <c r="B7" s="476" t="s">
        <v>370</v>
      </c>
      <c r="C7" s="476" t="s">
        <v>2720</v>
      </c>
      <c r="D7" s="429"/>
      <c r="E7" s="476">
        <v>198475</v>
      </c>
      <c r="F7" s="476"/>
      <c r="G7" s="476"/>
      <c r="H7" s="476"/>
      <c r="I7" s="476"/>
      <c r="J7" s="476" t="s">
        <v>807</v>
      </c>
      <c r="K7" s="476" t="s">
        <v>807</v>
      </c>
      <c r="L7" s="476" t="s">
        <v>807</v>
      </c>
      <c r="M7" s="476" t="s">
        <v>307</v>
      </c>
      <c r="N7" s="476"/>
      <c r="O7" s="476"/>
      <c r="P7" s="476"/>
      <c r="Q7" s="476"/>
      <c r="R7" s="482"/>
      <c r="S7" s="483"/>
      <c r="T7" s="502"/>
      <c r="U7" s="484"/>
      <c r="V7" s="476"/>
      <c r="W7" s="476"/>
    </row>
    <row r="8" spans="1:26" s="69" customFormat="1" ht="14.25" customHeight="1">
      <c r="A8" s="483" t="s">
        <v>2827</v>
      </c>
      <c r="B8" s="476" t="s">
        <v>370</v>
      </c>
      <c r="C8" s="476" t="s">
        <v>372</v>
      </c>
      <c r="D8" s="429" t="s">
        <v>1685</v>
      </c>
      <c r="E8" s="476">
        <v>198611</v>
      </c>
      <c r="F8" s="476"/>
      <c r="G8" s="476"/>
      <c r="H8" s="476"/>
      <c r="I8" s="476"/>
      <c r="J8" s="476" t="s">
        <v>807</v>
      </c>
      <c r="K8" s="476" t="s">
        <v>807</v>
      </c>
      <c r="L8" s="476" t="s">
        <v>807</v>
      </c>
      <c r="M8" s="476" t="s">
        <v>307</v>
      </c>
      <c r="N8" s="476">
        <v>19.17564964</v>
      </c>
      <c r="O8" s="476">
        <v>93.596443179999994</v>
      </c>
      <c r="P8" s="476" t="s">
        <v>808</v>
      </c>
      <c r="Q8" s="476" t="s">
        <v>789</v>
      </c>
      <c r="R8" s="482"/>
      <c r="S8" s="483"/>
      <c r="T8" s="502"/>
      <c r="U8" s="484"/>
      <c r="V8" s="476" t="s">
        <v>372</v>
      </c>
      <c r="W8" s="476"/>
    </row>
    <row r="9" spans="1:26" s="69" customFormat="1" ht="14.25" customHeight="1">
      <c r="A9" s="483" t="s">
        <v>2827</v>
      </c>
      <c r="B9" s="476" t="s">
        <v>370</v>
      </c>
      <c r="C9" s="476" t="s">
        <v>381</v>
      </c>
      <c r="D9" s="429" t="s">
        <v>2919</v>
      </c>
      <c r="E9" s="476" t="s">
        <v>1364</v>
      </c>
      <c r="F9" s="476" t="s">
        <v>1764</v>
      </c>
      <c r="G9" s="476" t="s">
        <v>1765</v>
      </c>
      <c r="H9" s="476" t="s">
        <v>43</v>
      </c>
      <c r="I9" s="476"/>
      <c r="J9" s="476" t="s">
        <v>45</v>
      </c>
      <c r="K9" s="476" t="s">
        <v>45</v>
      </c>
      <c r="L9" s="476" t="s">
        <v>803</v>
      </c>
      <c r="M9" s="476" t="s">
        <v>804</v>
      </c>
      <c r="N9" s="476">
        <v>19.424576999999999</v>
      </c>
      <c r="O9" s="476">
        <v>93.512326000000002</v>
      </c>
      <c r="P9" s="476" t="s">
        <v>770</v>
      </c>
      <c r="Q9" s="476" t="s">
        <v>789</v>
      </c>
      <c r="R9" s="482">
        <v>415</v>
      </c>
      <c r="S9" s="483">
        <v>1050</v>
      </c>
      <c r="T9" s="502"/>
      <c r="U9" s="484"/>
      <c r="V9" s="476" t="s">
        <v>810</v>
      </c>
      <c r="W9" s="476"/>
    </row>
    <row r="10" spans="1:26" s="69" customFormat="1" ht="14.25" customHeight="1">
      <c r="A10" s="483" t="s">
        <v>2827</v>
      </c>
      <c r="B10" s="480" t="s">
        <v>370</v>
      </c>
      <c r="C10" s="480" t="s">
        <v>2722</v>
      </c>
      <c r="D10" s="429"/>
      <c r="E10" s="476">
        <v>198508</v>
      </c>
      <c r="F10" s="476"/>
      <c r="G10" s="476"/>
      <c r="H10" s="476"/>
      <c r="I10" s="476"/>
      <c r="J10" s="476" t="s">
        <v>807</v>
      </c>
      <c r="K10" s="476" t="s">
        <v>807</v>
      </c>
      <c r="L10" s="476" t="s">
        <v>807</v>
      </c>
      <c r="M10" s="476" t="s">
        <v>307</v>
      </c>
      <c r="N10" s="476"/>
      <c r="O10" s="476"/>
      <c r="P10" s="476"/>
      <c r="Q10" s="476"/>
      <c r="R10" s="482"/>
      <c r="S10" s="483"/>
      <c r="T10" s="502"/>
      <c r="U10" s="484"/>
      <c r="V10" s="476"/>
      <c r="W10" s="476"/>
    </row>
    <row r="11" spans="1:26" s="69" customFormat="1" ht="14.25" customHeight="1">
      <c r="A11" s="483" t="s">
        <v>2827</v>
      </c>
      <c r="B11" s="476" t="s">
        <v>370</v>
      </c>
      <c r="C11" s="476" t="s">
        <v>809</v>
      </c>
      <c r="D11" s="429" t="s">
        <v>1685</v>
      </c>
      <c r="E11" s="476">
        <v>198612</v>
      </c>
      <c r="F11" s="476"/>
      <c r="G11" s="476"/>
      <c r="H11" s="476"/>
      <c r="I11" s="476"/>
      <c r="J11" s="476" t="s">
        <v>807</v>
      </c>
      <c r="K11" s="476" t="s">
        <v>807</v>
      </c>
      <c r="L11" s="476" t="s">
        <v>807</v>
      </c>
      <c r="M11" s="476" t="s">
        <v>307</v>
      </c>
      <c r="N11" s="476">
        <v>19.195390700000001</v>
      </c>
      <c r="O11" s="476">
        <v>93.585678099999996</v>
      </c>
      <c r="P11" s="476" t="s">
        <v>808</v>
      </c>
      <c r="Q11" s="476"/>
      <c r="R11" s="482"/>
      <c r="S11" s="483"/>
      <c r="T11" s="502"/>
      <c r="U11" s="484"/>
      <c r="V11" s="476" t="s">
        <v>809</v>
      </c>
      <c r="W11" s="476"/>
    </row>
    <row r="12" spans="1:26" s="69" customFormat="1" ht="14.25" customHeight="1">
      <c r="A12" s="483" t="s">
        <v>2827</v>
      </c>
      <c r="B12" s="476" t="s">
        <v>370</v>
      </c>
      <c r="C12" s="476" t="s">
        <v>2336</v>
      </c>
      <c r="D12" s="429"/>
      <c r="E12" s="476">
        <v>198464</v>
      </c>
      <c r="F12" s="476" t="s">
        <v>2336</v>
      </c>
      <c r="G12" s="476"/>
      <c r="H12" s="476"/>
      <c r="I12" s="476"/>
      <c r="J12" s="476" t="s">
        <v>807</v>
      </c>
      <c r="K12" s="476" t="s">
        <v>807</v>
      </c>
      <c r="L12" s="476" t="s">
        <v>807</v>
      </c>
      <c r="M12" s="476" t="s">
        <v>307</v>
      </c>
      <c r="N12" s="476">
        <v>19.417640689999999</v>
      </c>
      <c r="O12" s="476">
        <v>93.565246579999993</v>
      </c>
      <c r="P12" s="476"/>
      <c r="Q12" s="476" t="s">
        <v>2302</v>
      </c>
      <c r="R12" s="482"/>
      <c r="S12" s="483"/>
      <c r="T12" s="502">
        <v>43462</v>
      </c>
      <c r="U12" s="484"/>
      <c r="V12" s="476"/>
      <c r="W12" s="476" t="s">
        <v>2337</v>
      </c>
    </row>
    <row r="13" spans="1:26" s="69" customFormat="1" ht="14.25" customHeight="1">
      <c r="A13" s="483" t="s">
        <v>2827</v>
      </c>
      <c r="B13" s="476" t="s">
        <v>370</v>
      </c>
      <c r="C13" s="476" t="s">
        <v>377</v>
      </c>
      <c r="D13" s="429" t="s">
        <v>1685</v>
      </c>
      <c r="E13" s="476">
        <v>198516</v>
      </c>
      <c r="F13" s="476"/>
      <c r="G13" s="476"/>
      <c r="H13" s="476"/>
      <c r="I13" s="476"/>
      <c r="J13" s="476" t="s">
        <v>807</v>
      </c>
      <c r="K13" s="476" t="s">
        <v>807</v>
      </c>
      <c r="L13" s="476" t="s">
        <v>807</v>
      </c>
      <c r="M13" s="476" t="s">
        <v>307</v>
      </c>
      <c r="N13" s="476">
        <v>19.249820710000002</v>
      </c>
      <c r="O13" s="476">
        <v>93.551040650000004</v>
      </c>
      <c r="P13" s="476" t="s">
        <v>808</v>
      </c>
      <c r="Q13" s="476" t="s">
        <v>789</v>
      </c>
      <c r="R13" s="482"/>
      <c r="S13" s="483"/>
      <c r="T13" s="502"/>
      <c r="U13" s="484"/>
      <c r="V13" s="476" t="s">
        <v>377</v>
      </c>
      <c r="W13" s="476"/>
    </row>
    <row r="14" spans="1:26" s="69" customFormat="1" ht="14.25" customHeight="1">
      <c r="A14" s="483" t="s">
        <v>2827</v>
      </c>
      <c r="B14" s="476" t="s">
        <v>370</v>
      </c>
      <c r="C14" s="476" t="s">
        <v>374</v>
      </c>
      <c r="D14" s="429" t="s">
        <v>1685</v>
      </c>
      <c r="E14" s="476">
        <v>198643</v>
      </c>
      <c r="F14" s="476"/>
      <c r="G14" s="476"/>
      <c r="H14" s="476"/>
      <c r="I14" s="476"/>
      <c r="J14" s="476" t="s">
        <v>807</v>
      </c>
      <c r="K14" s="476" t="s">
        <v>807</v>
      </c>
      <c r="L14" s="476" t="s">
        <v>807</v>
      </c>
      <c r="M14" s="476" t="s">
        <v>307</v>
      </c>
      <c r="N14" s="476">
        <v>19.18865967</v>
      </c>
      <c r="O14" s="476">
        <v>93.720703130000004</v>
      </c>
      <c r="P14" s="476" t="s">
        <v>808</v>
      </c>
      <c r="Q14" s="476" t="s">
        <v>789</v>
      </c>
      <c r="R14" s="482"/>
      <c r="S14" s="483"/>
      <c r="T14" s="502"/>
      <c r="U14" s="484"/>
      <c r="V14" s="476" t="s">
        <v>374</v>
      </c>
      <c r="W14" s="476"/>
    </row>
    <row r="15" spans="1:26" s="69" customFormat="1" ht="14.25" customHeight="1">
      <c r="A15" s="483" t="s">
        <v>2827</v>
      </c>
      <c r="B15" s="480" t="s">
        <v>370</v>
      </c>
      <c r="C15" s="480" t="s">
        <v>2721</v>
      </c>
      <c r="D15" s="429"/>
      <c r="E15" s="476">
        <v>198476</v>
      </c>
      <c r="F15" s="476"/>
      <c r="G15" s="476"/>
      <c r="H15" s="476"/>
      <c r="I15" s="476"/>
      <c r="J15" s="476" t="s">
        <v>807</v>
      </c>
      <c r="K15" s="476" t="s">
        <v>807</v>
      </c>
      <c r="L15" s="476" t="s">
        <v>807</v>
      </c>
      <c r="M15" s="476" t="s">
        <v>307</v>
      </c>
      <c r="N15" s="476"/>
      <c r="O15" s="476"/>
      <c r="P15" s="476"/>
      <c r="Q15" s="476"/>
      <c r="R15" s="482"/>
      <c r="S15" s="483"/>
      <c r="T15" s="502"/>
      <c r="U15" s="484"/>
      <c r="V15" s="476"/>
      <c r="W15" s="476"/>
    </row>
    <row r="16" spans="1:26" s="69" customFormat="1" ht="14.25" customHeight="1">
      <c r="A16" s="483" t="s">
        <v>2827</v>
      </c>
      <c r="B16" s="480" t="s">
        <v>370</v>
      </c>
      <c r="C16" s="480" t="s">
        <v>376</v>
      </c>
      <c r="D16" s="429" t="s">
        <v>1685</v>
      </c>
      <c r="E16" s="476">
        <v>198514</v>
      </c>
      <c r="F16" s="476"/>
      <c r="G16" s="476"/>
      <c r="H16" s="476"/>
      <c r="I16" s="476"/>
      <c r="J16" s="476" t="s">
        <v>807</v>
      </c>
      <c r="K16" s="476" t="s">
        <v>807</v>
      </c>
      <c r="L16" s="476" t="s">
        <v>807</v>
      </c>
      <c r="M16" s="476" t="s">
        <v>307</v>
      </c>
      <c r="N16" s="476">
        <v>19.221920010000002</v>
      </c>
      <c r="O16" s="476">
        <v>93.571296689999997</v>
      </c>
      <c r="P16" s="476" t="s">
        <v>808</v>
      </c>
      <c r="Q16" s="476" t="s">
        <v>789</v>
      </c>
      <c r="R16" s="482"/>
      <c r="S16" s="483"/>
      <c r="T16" s="502"/>
      <c r="U16" s="484"/>
      <c r="V16" s="476" t="s">
        <v>376</v>
      </c>
      <c r="W16" s="476"/>
    </row>
    <row r="17" spans="1:23" s="69" customFormat="1" ht="14.25" customHeight="1">
      <c r="A17" s="483" t="s">
        <v>2827</v>
      </c>
      <c r="B17" s="480" t="s">
        <v>370</v>
      </c>
      <c r="C17" s="480" t="s">
        <v>378</v>
      </c>
      <c r="D17" s="429" t="s">
        <v>1685</v>
      </c>
      <c r="E17" s="476">
        <v>198512</v>
      </c>
      <c r="F17" s="476"/>
      <c r="G17" s="476"/>
      <c r="H17" s="476"/>
      <c r="I17" s="476"/>
      <c r="J17" s="476" t="s">
        <v>807</v>
      </c>
      <c r="K17" s="476" t="s">
        <v>807</v>
      </c>
      <c r="L17" s="476" t="s">
        <v>807</v>
      </c>
      <c r="M17" s="476" t="s">
        <v>307</v>
      </c>
      <c r="N17" s="476">
        <v>19.254320140000001</v>
      </c>
      <c r="O17" s="476">
        <v>93.548591610000003</v>
      </c>
      <c r="P17" s="476" t="s">
        <v>808</v>
      </c>
      <c r="Q17" s="476" t="s">
        <v>789</v>
      </c>
      <c r="R17" s="482"/>
      <c r="S17" s="483"/>
      <c r="T17" s="502"/>
      <c r="U17" s="484"/>
      <c r="V17" s="476" t="s">
        <v>378</v>
      </c>
      <c r="W17" s="476"/>
    </row>
    <row r="18" spans="1:23" s="69" customFormat="1" ht="14.25" customHeight="1">
      <c r="A18" s="483" t="s">
        <v>2827</v>
      </c>
      <c r="B18" s="480" t="s">
        <v>370</v>
      </c>
      <c r="C18" s="480" t="s">
        <v>371</v>
      </c>
      <c r="D18" s="429" t="s">
        <v>1685</v>
      </c>
      <c r="E18" s="485">
        <v>198657</v>
      </c>
      <c r="F18" s="476"/>
      <c r="G18" s="476"/>
      <c r="H18" s="476"/>
      <c r="I18" s="476"/>
      <c r="J18" s="476" t="s">
        <v>807</v>
      </c>
      <c r="K18" s="476" t="s">
        <v>807</v>
      </c>
      <c r="L18" s="476" t="s">
        <v>807</v>
      </c>
      <c r="M18" s="476" t="s">
        <v>307</v>
      </c>
      <c r="N18" s="476">
        <v>19.170919420000001</v>
      </c>
      <c r="O18" s="476">
        <v>93.692680359999997</v>
      </c>
      <c r="P18" s="476" t="s">
        <v>808</v>
      </c>
      <c r="Q18" s="476" t="s">
        <v>789</v>
      </c>
      <c r="R18" s="482"/>
      <c r="S18" s="483"/>
      <c r="T18" s="502"/>
      <c r="U18" s="484"/>
      <c r="V18" s="476" t="s">
        <v>371</v>
      </c>
      <c r="W18" s="476"/>
    </row>
    <row r="19" spans="1:23" s="69" customFormat="1" ht="14.25" customHeight="1">
      <c r="A19" s="486" t="s">
        <v>2827</v>
      </c>
      <c r="B19" s="486" t="s">
        <v>315</v>
      </c>
      <c r="C19" s="487" t="s">
        <v>649</v>
      </c>
      <c r="D19" s="481"/>
      <c r="E19" s="476">
        <v>196824</v>
      </c>
      <c r="F19" s="476"/>
      <c r="G19" s="476"/>
      <c r="H19" s="476"/>
      <c r="I19" s="476"/>
      <c r="J19" s="476" t="s">
        <v>807</v>
      </c>
      <c r="K19" s="476" t="s">
        <v>807</v>
      </c>
      <c r="L19" s="476" t="s">
        <v>807</v>
      </c>
      <c r="M19" s="476" t="s">
        <v>2048</v>
      </c>
      <c r="N19" s="476">
        <v>20.855012890000001</v>
      </c>
      <c r="O19" s="476">
        <v>92.91</v>
      </c>
      <c r="P19" s="476"/>
      <c r="Q19" s="476"/>
      <c r="R19" s="490"/>
      <c r="S19" s="483"/>
      <c r="T19" s="502">
        <v>43591</v>
      </c>
      <c r="U19" s="490"/>
      <c r="V19" s="476"/>
      <c r="W19" s="482"/>
    </row>
    <row r="20" spans="1:23" s="69" customFormat="1" ht="14.25" customHeight="1">
      <c r="A20" s="483" t="s">
        <v>2827</v>
      </c>
      <c r="B20" s="476" t="s">
        <v>315</v>
      </c>
      <c r="C20" s="476" t="s">
        <v>958</v>
      </c>
      <c r="D20" s="429" t="s">
        <v>2919</v>
      </c>
      <c r="E20" s="476" t="s">
        <v>1429</v>
      </c>
      <c r="F20" s="476" t="s">
        <v>1889</v>
      </c>
      <c r="G20" s="476" t="s">
        <v>958</v>
      </c>
      <c r="H20" s="476"/>
      <c r="I20" s="476"/>
      <c r="J20" s="476" t="s">
        <v>807</v>
      </c>
      <c r="K20" s="476" t="s">
        <v>807</v>
      </c>
      <c r="L20" s="476" t="s">
        <v>892</v>
      </c>
      <c r="M20" s="476" t="s">
        <v>804</v>
      </c>
      <c r="N20" s="494">
        <v>20.921424999999999</v>
      </c>
      <c r="O20" s="494">
        <v>93.003204999999994</v>
      </c>
      <c r="P20" s="476" t="s">
        <v>808</v>
      </c>
      <c r="Q20" s="476"/>
      <c r="R20" s="482">
        <v>24</v>
      </c>
      <c r="S20" s="483">
        <v>140</v>
      </c>
      <c r="T20" s="502"/>
      <c r="U20" s="484" t="s">
        <v>869</v>
      </c>
      <c r="V20" s="476" t="s">
        <v>958</v>
      </c>
      <c r="W20" s="476"/>
    </row>
    <row r="21" spans="1:23" s="69" customFormat="1" ht="14.25" customHeight="1">
      <c r="A21" s="483" t="s">
        <v>2827</v>
      </c>
      <c r="B21" s="476" t="s">
        <v>315</v>
      </c>
      <c r="C21" s="476" t="s">
        <v>957</v>
      </c>
      <c r="D21" s="429" t="s">
        <v>2919</v>
      </c>
      <c r="E21" s="480" t="s">
        <v>1428</v>
      </c>
      <c r="F21" s="476" t="s">
        <v>957</v>
      </c>
      <c r="G21" s="476" t="s">
        <v>1888</v>
      </c>
      <c r="H21" s="476"/>
      <c r="I21" s="476"/>
      <c r="J21" s="476" t="s">
        <v>807</v>
      </c>
      <c r="K21" s="476" t="s">
        <v>807</v>
      </c>
      <c r="L21" s="476" t="s">
        <v>892</v>
      </c>
      <c r="M21" s="476" t="s">
        <v>804</v>
      </c>
      <c r="N21" s="494">
        <v>20.896740000000001</v>
      </c>
      <c r="O21" s="494">
        <v>93.014349999999993</v>
      </c>
      <c r="P21" s="476" t="s">
        <v>808</v>
      </c>
      <c r="Q21" s="476"/>
      <c r="R21" s="482">
        <v>14</v>
      </c>
      <c r="S21" s="483">
        <v>84</v>
      </c>
      <c r="T21" s="502"/>
      <c r="U21" s="484" t="s">
        <v>869</v>
      </c>
      <c r="V21" s="476" t="s">
        <v>957</v>
      </c>
      <c r="W21" s="476"/>
    </row>
    <row r="22" spans="1:23" s="69" customFormat="1" ht="14.25" customHeight="1">
      <c r="A22" s="483" t="s">
        <v>2827</v>
      </c>
      <c r="B22" s="476" t="s">
        <v>315</v>
      </c>
      <c r="C22" s="476" t="s">
        <v>316</v>
      </c>
      <c r="D22" s="429" t="s">
        <v>1685</v>
      </c>
      <c r="E22" s="476"/>
      <c r="F22" s="476"/>
      <c r="G22" s="476"/>
      <c r="H22" s="476"/>
      <c r="I22" s="476"/>
      <c r="J22" s="476" t="s">
        <v>807</v>
      </c>
      <c r="K22" s="476" t="s">
        <v>807</v>
      </c>
      <c r="L22" s="476" t="s">
        <v>807</v>
      </c>
      <c r="M22" s="476" t="s">
        <v>307</v>
      </c>
      <c r="N22" s="476"/>
      <c r="O22" s="476"/>
      <c r="P22" s="476" t="s">
        <v>808</v>
      </c>
      <c r="Q22" s="476" t="s">
        <v>789</v>
      </c>
      <c r="R22" s="482"/>
      <c r="S22" s="483"/>
      <c r="T22" s="502"/>
      <c r="U22" s="484"/>
      <c r="V22" s="476" t="s">
        <v>316</v>
      </c>
      <c r="W22" s="476"/>
    </row>
    <row r="23" spans="1:23" s="69" customFormat="1" ht="14.25" customHeight="1">
      <c r="A23" s="483" t="s">
        <v>2827</v>
      </c>
      <c r="B23" s="476" t="s">
        <v>315</v>
      </c>
      <c r="C23" s="476" t="s">
        <v>579</v>
      </c>
      <c r="D23" s="429" t="s">
        <v>2919</v>
      </c>
      <c r="E23" s="476" t="s">
        <v>1416</v>
      </c>
      <c r="F23" s="476"/>
      <c r="G23" s="476"/>
      <c r="H23" s="476"/>
      <c r="I23" s="476"/>
      <c r="J23" s="476" t="s">
        <v>807</v>
      </c>
      <c r="K23" s="476" t="s">
        <v>807</v>
      </c>
      <c r="L23" s="476" t="s">
        <v>892</v>
      </c>
      <c r="M23" s="476" t="s">
        <v>307</v>
      </c>
      <c r="N23" s="476">
        <v>20.720213000000001</v>
      </c>
      <c r="O23" s="476">
        <v>92.961841000000007</v>
      </c>
      <c r="P23" s="476" t="s">
        <v>808</v>
      </c>
      <c r="Q23" s="476" t="s">
        <v>789</v>
      </c>
      <c r="R23" s="482">
        <v>100</v>
      </c>
      <c r="S23" s="483">
        <v>559</v>
      </c>
      <c r="T23" s="502"/>
      <c r="U23" s="484"/>
      <c r="V23" s="476" t="s">
        <v>579</v>
      </c>
      <c r="W23" s="476"/>
    </row>
    <row r="24" spans="1:23" s="69" customFormat="1" ht="14.25" customHeight="1">
      <c r="A24" s="483" t="s">
        <v>2827</v>
      </c>
      <c r="B24" s="476" t="s">
        <v>315</v>
      </c>
      <c r="C24" s="476" t="s">
        <v>940</v>
      </c>
      <c r="D24" s="429" t="s">
        <v>1685</v>
      </c>
      <c r="E24" s="476">
        <v>196946</v>
      </c>
      <c r="F24" s="476"/>
      <c r="G24" s="476"/>
      <c r="H24" s="476"/>
      <c r="I24" s="476"/>
      <c r="J24" s="476" t="s">
        <v>807</v>
      </c>
      <c r="K24" s="476" t="s">
        <v>807</v>
      </c>
      <c r="L24" s="476" t="s">
        <v>807</v>
      </c>
      <c r="M24" s="476" t="s">
        <v>307</v>
      </c>
      <c r="N24" s="476">
        <v>20.720213000000001</v>
      </c>
      <c r="O24" s="476">
        <v>92.961841000000007</v>
      </c>
      <c r="P24" s="476" t="s">
        <v>808</v>
      </c>
      <c r="Q24" s="476"/>
      <c r="R24" s="482"/>
      <c r="S24" s="483"/>
      <c r="T24" s="502"/>
      <c r="U24" s="484"/>
      <c r="V24" s="476" t="s">
        <v>579</v>
      </c>
      <c r="W24" s="476"/>
    </row>
    <row r="25" spans="1:23" s="69" customFormat="1" ht="14.25" customHeight="1">
      <c r="A25" s="483" t="s">
        <v>2827</v>
      </c>
      <c r="B25" s="476" t="s">
        <v>315</v>
      </c>
      <c r="C25" s="476" t="s">
        <v>709</v>
      </c>
      <c r="D25" s="429" t="s">
        <v>1685</v>
      </c>
      <c r="E25" s="476">
        <v>196878</v>
      </c>
      <c r="F25" s="476"/>
      <c r="G25" s="476"/>
      <c r="H25" s="476"/>
      <c r="I25" s="476"/>
      <c r="J25" s="476" t="s">
        <v>807</v>
      </c>
      <c r="K25" s="476" t="s">
        <v>807</v>
      </c>
      <c r="L25" s="476" t="s">
        <v>807</v>
      </c>
      <c r="M25" s="476" t="s">
        <v>307</v>
      </c>
      <c r="N25" s="476">
        <v>20.627639769999998</v>
      </c>
      <c r="O25" s="476">
        <v>93.022773740000005</v>
      </c>
      <c r="P25" s="476" t="s">
        <v>808</v>
      </c>
      <c r="Q25" s="476" t="s">
        <v>789</v>
      </c>
      <c r="R25" s="482"/>
      <c r="S25" s="483"/>
      <c r="T25" s="502"/>
      <c r="U25" s="484"/>
      <c r="V25" s="476"/>
      <c r="W25" s="476"/>
    </row>
    <row r="26" spans="1:23" s="69" customFormat="1" ht="14.25" customHeight="1">
      <c r="A26" s="486" t="s">
        <v>2827</v>
      </c>
      <c r="B26" s="486" t="s">
        <v>315</v>
      </c>
      <c r="C26" s="487" t="s">
        <v>2968</v>
      </c>
      <c r="D26" s="481"/>
      <c r="E26" s="476">
        <v>196937</v>
      </c>
      <c r="F26" s="476"/>
      <c r="G26" s="476"/>
      <c r="H26" s="476"/>
      <c r="I26" s="476"/>
      <c r="J26" s="476" t="s">
        <v>2836</v>
      </c>
      <c r="K26" s="476" t="s">
        <v>2798</v>
      </c>
      <c r="L26" s="476" t="s">
        <v>2798</v>
      </c>
      <c r="M26" s="476"/>
      <c r="N26" s="476">
        <v>20.64656067</v>
      </c>
      <c r="O26" s="476">
        <v>92.976043700000005</v>
      </c>
      <c r="P26" s="476"/>
      <c r="Q26" s="476"/>
      <c r="R26" s="490"/>
      <c r="S26" s="483"/>
      <c r="T26" s="502">
        <v>43591</v>
      </c>
      <c r="U26" s="490"/>
      <c r="V26" s="476"/>
      <c r="W26" s="482"/>
    </row>
    <row r="27" spans="1:23" s="69" customFormat="1" ht="14.25" customHeight="1">
      <c r="A27" s="483" t="s">
        <v>2827</v>
      </c>
      <c r="B27" s="486" t="s">
        <v>315</v>
      </c>
      <c r="C27" s="487" t="s">
        <v>2338</v>
      </c>
      <c r="D27" s="481"/>
      <c r="E27" s="476">
        <v>196933</v>
      </c>
      <c r="F27" s="476" t="s">
        <v>880</v>
      </c>
      <c r="G27" s="476"/>
      <c r="H27" s="476"/>
      <c r="I27" s="476"/>
      <c r="J27" s="476" t="s">
        <v>807</v>
      </c>
      <c r="K27" s="476" t="s">
        <v>807</v>
      </c>
      <c r="L27" s="476" t="s">
        <v>807</v>
      </c>
      <c r="M27" s="476"/>
      <c r="N27" s="476">
        <v>20.66370964</v>
      </c>
      <c r="O27" s="476">
        <v>92.973167419999996</v>
      </c>
      <c r="P27" s="476" t="s">
        <v>808</v>
      </c>
      <c r="Q27" s="476" t="s">
        <v>2302</v>
      </c>
      <c r="R27" s="490"/>
      <c r="S27" s="483"/>
      <c r="T27" s="502">
        <v>43465</v>
      </c>
      <c r="U27" s="484" t="s">
        <v>2344</v>
      </c>
      <c r="V27" s="476" t="s">
        <v>2338</v>
      </c>
      <c r="W27" s="482"/>
    </row>
    <row r="28" spans="1:23" s="69" customFormat="1" ht="14.25" customHeight="1">
      <c r="A28" s="486" t="s">
        <v>2827</v>
      </c>
      <c r="B28" s="486" t="s">
        <v>315</v>
      </c>
      <c r="C28" s="487" t="s">
        <v>2969</v>
      </c>
      <c r="D28" s="481"/>
      <c r="E28" s="476">
        <v>196940</v>
      </c>
      <c r="F28" s="476"/>
      <c r="G28" s="476"/>
      <c r="H28" s="476"/>
      <c r="I28" s="476"/>
      <c r="J28" s="476" t="s">
        <v>2836</v>
      </c>
      <c r="K28" s="476" t="s">
        <v>2798</v>
      </c>
      <c r="L28" s="476" t="s">
        <v>2798</v>
      </c>
      <c r="M28" s="476"/>
      <c r="N28" s="476">
        <v>20.6563606262207</v>
      </c>
      <c r="O28" s="476">
        <v>92.998542785644503</v>
      </c>
      <c r="P28" s="476"/>
      <c r="Q28" s="476"/>
      <c r="R28" s="490"/>
      <c r="S28" s="483"/>
      <c r="T28" s="502">
        <v>43591</v>
      </c>
      <c r="U28" s="490"/>
      <c r="V28" s="476"/>
      <c r="W28" s="482"/>
    </row>
    <row r="29" spans="1:23" s="69" customFormat="1" ht="14.25" customHeight="1">
      <c r="A29" s="486" t="s">
        <v>2827</v>
      </c>
      <c r="B29" s="486" t="s">
        <v>315</v>
      </c>
      <c r="C29" s="487" t="s">
        <v>2967</v>
      </c>
      <c r="D29" s="481"/>
      <c r="E29" s="476">
        <v>196942</v>
      </c>
      <c r="F29" s="476"/>
      <c r="G29" s="476"/>
      <c r="H29" s="476"/>
      <c r="I29" s="476"/>
      <c r="J29" s="476" t="s">
        <v>2836</v>
      </c>
      <c r="K29" s="476" t="s">
        <v>2798</v>
      </c>
      <c r="L29" s="476" t="s">
        <v>2798</v>
      </c>
      <c r="M29" s="476"/>
      <c r="N29" s="476">
        <v>20.6715202331543</v>
      </c>
      <c r="O29" s="476">
        <v>92.998092651367202</v>
      </c>
      <c r="P29" s="476"/>
      <c r="Q29" s="476"/>
      <c r="R29" s="490"/>
      <c r="S29" s="483"/>
      <c r="T29" s="502">
        <v>43591</v>
      </c>
      <c r="U29" s="490"/>
      <c r="V29" s="476"/>
      <c r="W29" s="482"/>
    </row>
    <row r="30" spans="1:23" s="69" customFormat="1" ht="14.25" customHeight="1">
      <c r="A30" s="483" t="s">
        <v>2827</v>
      </c>
      <c r="B30" s="476" t="s">
        <v>315</v>
      </c>
      <c r="C30" s="476" t="s">
        <v>565</v>
      </c>
      <c r="D30" s="429" t="s">
        <v>1685</v>
      </c>
      <c r="E30" s="476">
        <v>196943</v>
      </c>
      <c r="F30" s="476"/>
      <c r="G30" s="476"/>
      <c r="H30" s="476"/>
      <c r="I30" s="476"/>
      <c r="J30" s="476" t="s">
        <v>813</v>
      </c>
      <c r="K30" s="476" t="s">
        <v>807</v>
      </c>
      <c r="L30" s="476" t="s">
        <v>813</v>
      </c>
      <c r="M30" s="476" t="s">
        <v>307</v>
      </c>
      <c r="N30" s="476">
        <v>20.705930710000001</v>
      </c>
      <c r="O30" s="476">
        <v>93.001953130000004</v>
      </c>
      <c r="P30" s="476" t="s">
        <v>932</v>
      </c>
      <c r="Q30" s="476" t="s">
        <v>789</v>
      </c>
      <c r="R30" s="482"/>
      <c r="S30" s="483"/>
      <c r="T30" s="502"/>
      <c r="U30" s="484"/>
      <c r="V30" s="476" t="s">
        <v>565</v>
      </c>
      <c r="W30" s="476"/>
    </row>
    <row r="31" spans="1:23" s="69" customFormat="1" ht="14.25" customHeight="1">
      <c r="A31" s="486" t="s">
        <v>2827</v>
      </c>
      <c r="B31" s="486" t="s">
        <v>315</v>
      </c>
      <c r="C31" s="487" t="s">
        <v>2964</v>
      </c>
      <c r="D31" s="481"/>
      <c r="E31" s="476">
        <v>196943</v>
      </c>
      <c r="F31" s="476"/>
      <c r="G31" s="476"/>
      <c r="H31" s="476"/>
      <c r="I31" s="476"/>
      <c r="J31" s="476" t="s">
        <v>2836</v>
      </c>
      <c r="K31" s="476" t="s">
        <v>2798</v>
      </c>
      <c r="L31" s="476" t="s">
        <v>2798</v>
      </c>
      <c r="M31" s="476"/>
      <c r="N31" s="476">
        <v>20.705930710000001</v>
      </c>
      <c r="O31" s="476">
        <v>93.001953130000004</v>
      </c>
      <c r="P31" s="476"/>
      <c r="Q31" s="476"/>
      <c r="R31" s="490"/>
      <c r="S31" s="483"/>
      <c r="T31" s="502">
        <v>43591</v>
      </c>
      <c r="U31" s="490"/>
      <c r="V31" s="476"/>
      <c r="W31" s="482"/>
    </row>
    <row r="32" spans="1:23" s="69" customFormat="1" ht="14.25" customHeight="1">
      <c r="A32" s="483" t="s">
        <v>2827</v>
      </c>
      <c r="B32" s="486" t="s">
        <v>315</v>
      </c>
      <c r="C32" s="487" t="s">
        <v>648</v>
      </c>
      <c r="D32" s="481" t="s">
        <v>1685</v>
      </c>
      <c r="E32" s="476">
        <v>196825</v>
      </c>
      <c r="F32" s="476"/>
      <c r="G32" s="476"/>
      <c r="H32" s="476"/>
      <c r="I32" s="476"/>
      <c r="J32" s="476" t="s">
        <v>813</v>
      </c>
      <c r="K32" s="476" t="s">
        <v>807</v>
      </c>
      <c r="L32" s="476" t="s">
        <v>813</v>
      </c>
      <c r="M32" s="476" t="s">
        <v>2048</v>
      </c>
      <c r="N32" s="476">
        <v>20.851089479999999</v>
      </c>
      <c r="O32" s="476">
        <v>92.916893009999995</v>
      </c>
      <c r="P32" s="476" t="s">
        <v>932</v>
      </c>
      <c r="Q32" s="476" t="s">
        <v>935</v>
      </c>
      <c r="R32" s="490"/>
      <c r="S32" s="483"/>
      <c r="T32" s="502">
        <v>43011</v>
      </c>
      <c r="U32" s="484" t="s">
        <v>936</v>
      </c>
      <c r="V32" s="476"/>
      <c r="W32" s="482"/>
    </row>
    <row r="33" spans="1:23" s="69" customFormat="1" ht="14.25" customHeight="1">
      <c r="A33" s="483" t="s">
        <v>2827</v>
      </c>
      <c r="B33" s="476" t="s">
        <v>315</v>
      </c>
      <c r="C33" s="476" t="s">
        <v>527</v>
      </c>
      <c r="D33" s="429" t="s">
        <v>1685</v>
      </c>
      <c r="E33" s="476">
        <v>196983</v>
      </c>
      <c r="F33" s="476"/>
      <c r="G33" s="476"/>
      <c r="H33" s="476"/>
      <c r="I33" s="476"/>
      <c r="J33" s="476" t="s">
        <v>807</v>
      </c>
      <c r="K33" s="476" t="s">
        <v>807</v>
      </c>
      <c r="L33" s="476" t="s">
        <v>807</v>
      </c>
      <c r="M33" s="476" t="s">
        <v>307</v>
      </c>
      <c r="N33" s="476">
        <v>20.644098280000001</v>
      </c>
      <c r="O33" s="476">
        <v>93.036460880000007</v>
      </c>
      <c r="P33" s="476" t="s">
        <v>808</v>
      </c>
      <c r="Q33" s="476" t="s">
        <v>789</v>
      </c>
      <c r="R33" s="482"/>
      <c r="S33" s="483"/>
      <c r="T33" s="502"/>
      <c r="U33" s="484"/>
      <c r="V33" s="476"/>
      <c r="W33" s="476"/>
    </row>
    <row r="34" spans="1:23" s="69" customFormat="1" ht="14.25" customHeight="1">
      <c r="A34" s="483" t="s">
        <v>2827</v>
      </c>
      <c r="B34" s="476" t="s">
        <v>315</v>
      </c>
      <c r="C34" s="476" t="s">
        <v>569</v>
      </c>
      <c r="D34" s="429" t="s">
        <v>2919</v>
      </c>
      <c r="E34" s="476" t="s">
        <v>1413</v>
      </c>
      <c r="F34" s="476" t="s">
        <v>569</v>
      </c>
      <c r="G34" s="476" t="s">
        <v>1777</v>
      </c>
      <c r="H34" s="476"/>
      <c r="I34" s="476"/>
      <c r="J34" s="476" t="s">
        <v>807</v>
      </c>
      <c r="K34" s="476" t="s">
        <v>807</v>
      </c>
      <c r="L34" s="476" t="s">
        <v>892</v>
      </c>
      <c r="M34" s="476" t="s">
        <v>804</v>
      </c>
      <c r="N34" s="476">
        <v>20.713259999999998</v>
      </c>
      <c r="O34" s="476">
        <v>93.014089999999996</v>
      </c>
      <c r="P34" s="476" t="s">
        <v>808</v>
      </c>
      <c r="Q34" s="476" t="s">
        <v>789</v>
      </c>
      <c r="R34" s="482">
        <v>116</v>
      </c>
      <c r="S34" s="483">
        <v>802</v>
      </c>
      <c r="T34" s="502"/>
      <c r="U34" s="484"/>
      <c r="V34" s="476" t="s">
        <v>569</v>
      </c>
      <c r="W34" s="476"/>
    </row>
    <row r="35" spans="1:23" s="69" customFormat="1" ht="14.25" customHeight="1">
      <c r="A35" s="483" t="s">
        <v>2827</v>
      </c>
      <c r="B35" s="486" t="s">
        <v>315</v>
      </c>
      <c r="C35" s="487" t="s">
        <v>567</v>
      </c>
      <c r="D35" s="481" t="s">
        <v>1685</v>
      </c>
      <c r="E35" s="476">
        <v>196973</v>
      </c>
      <c r="F35" s="476"/>
      <c r="G35" s="476"/>
      <c r="H35" s="476"/>
      <c r="I35" s="476"/>
      <c r="J35" s="476" t="s">
        <v>807</v>
      </c>
      <c r="K35" s="476" t="s">
        <v>807</v>
      </c>
      <c r="L35" s="476" t="s">
        <v>807</v>
      </c>
      <c r="M35" s="476" t="s">
        <v>307</v>
      </c>
      <c r="N35" s="476">
        <v>20.709970469999998</v>
      </c>
      <c r="O35" s="476">
        <v>93.015357969999997</v>
      </c>
      <c r="P35" s="476" t="s">
        <v>808</v>
      </c>
      <c r="Q35" s="476" t="s">
        <v>789</v>
      </c>
      <c r="R35" s="490"/>
      <c r="S35" s="483"/>
      <c r="T35" s="502"/>
      <c r="U35" s="484"/>
      <c r="V35" s="476"/>
      <c r="W35" s="482"/>
    </row>
    <row r="36" spans="1:23" s="69" customFormat="1" ht="14.25" customHeight="1">
      <c r="A36" s="483" t="s">
        <v>2827</v>
      </c>
      <c r="B36" s="486" t="s">
        <v>315</v>
      </c>
      <c r="C36" s="487" t="s">
        <v>620</v>
      </c>
      <c r="D36" s="481" t="s">
        <v>1685</v>
      </c>
      <c r="E36" s="476">
        <v>196883</v>
      </c>
      <c r="F36" s="476"/>
      <c r="G36" s="476"/>
      <c r="H36" s="476"/>
      <c r="I36" s="476"/>
      <c r="J36" s="476" t="s">
        <v>813</v>
      </c>
      <c r="K36" s="476" t="s">
        <v>807</v>
      </c>
      <c r="L36" s="476" t="s">
        <v>813</v>
      </c>
      <c r="M36" s="476" t="s">
        <v>2048</v>
      </c>
      <c r="N36" s="476">
        <v>20.803529739999998</v>
      </c>
      <c r="O36" s="476">
        <v>92.929466250000004</v>
      </c>
      <c r="P36" s="476" t="s">
        <v>932</v>
      </c>
      <c r="Q36" s="476"/>
      <c r="R36" s="490"/>
      <c r="S36" s="483"/>
      <c r="T36" s="502"/>
      <c r="U36" s="484"/>
      <c r="V36" s="476" t="s">
        <v>620</v>
      </c>
      <c r="W36" s="482"/>
    </row>
    <row r="37" spans="1:23" s="69" customFormat="1" ht="14.25" customHeight="1">
      <c r="A37" s="486" t="s">
        <v>2827</v>
      </c>
      <c r="B37" s="486" t="s">
        <v>315</v>
      </c>
      <c r="C37" s="487" t="s">
        <v>2963</v>
      </c>
      <c r="D37" s="481"/>
      <c r="E37" s="476"/>
      <c r="F37" s="476"/>
      <c r="G37" s="476"/>
      <c r="H37" s="476"/>
      <c r="I37" s="476"/>
      <c r="J37" s="476" t="s">
        <v>2836</v>
      </c>
      <c r="K37" s="476" t="s">
        <v>2798</v>
      </c>
      <c r="L37" s="476" t="s">
        <v>2798</v>
      </c>
      <c r="M37" s="476"/>
      <c r="N37" s="476"/>
      <c r="O37" s="476"/>
      <c r="P37" s="476"/>
      <c r="Q37" s="476"/>
      <c r="R37" s="490"/>
      <c r="S37" s="483"/>
      <c r="T37" s="502">
        <v>43591</v>
      </c>
      <c r="U37" s="490"/>
      <c r="V37" s="476"/>
      <c r="W37" s="482"/>
    </row>
    <row r="38" spans="1:23" s="69" customFormat="1" ht="14.25" customHeight="1">
      <c r="A38" s="483" t="s">
        <v>2827</v>
      </c>
      <c r="B38" s="486" t="s">
        <v>315</v>
      </c>
      <c r="C38" s="487" t="s">
        <v>560</v>
      </c>
      <c r="D38" s="429" t="s">
        <v>2919</v>
      </c>
      <c r="E38" s="476" t="s">
        <v>1412</v>
      </c>
      <c r="F38" s="476" t="s">
        <v>565</v>
      </c>
      <c r="G38" s="476" t="s">
        <v>560</v>
      </c>
      <c r="H38" s="476"/>
      <c r="I38" s="476"/>
      <c r="J38" s="476" t="s">
        <v>807</v>
      </c>
      <c r="K38" s="476" t="s">
        <v>807</v>
      </c>
      <c r="L38" s="476" t="s">
        <v>892</v>
      </c>
      <c r="M38" s="476" t="s">
        <v>804</v>
      </c>
      <c r="N38" s="476" t="s">
        <v>808</v>
      </c>
      <c r="O38" s="476">
        <v>93.009900000000002</v>
      </c>
      <c r="P38" s="476" t="s">
        <v>808</v>
      </c>
      <c r="Q38" s="476" t="s">
        <v>789</v>
      </c>
      <c r="R38" s="482">
        <v>236</v>
      </c>
      <c r="S38" s="483">
        <v>1524</v>
      </c>
      <c r="T38" s="502"/>
      <c r="U38" s="484"/>
      <c r="V38" s="476" t="s">
        <v>937</v>
      </c>
      <c r="W38" s="482"/>
    </row>
    <row r="39" spans="1:23" s="69" customFormat="1" ht="14.25" customHeight="1">
      <c r="A39" s="483" t="s">
        <v>2827</v>
      </c>
      <c r="B39" s="486" t="s">
        <v>315</v>
      </c>
      <c r="C39" s="487" t="s">
        <v>2926</v>
      </c>
      <c r="D39" s="481"/>
      <c r="E39" s="476">
        <v>196906</v>
      </c>
      <c r="F39" s="476"/>
      <c r="G39" s="476"/>
      <c r="H39" s="476"/>
      <c r="I39" s="476"/>
      <c r="J39" s="476" t="s">
        <v>2836</v>
      </c>
      <c r="K39" s="476" t="s">
        <v>2798</v>
      </c>
      <c r="L39" s="476" t="s">
        <v>2798</v>
      </c>
      <c r="M39" s="476"/>
      <c r="N39" s="476">
        <v>20.680830001831101</v>
      </c>
      <c r="O39" s="476">
        <v>92.917633056640597</v>
      </c>
      <c r="P39" s="476"/>
      <c r="Q39" s="476"/>
      <c r="R39" s="490"/>
      <c r="S39" s="483"/>
      <c r="T39" s="502">
        <v>43591</v>
      </c>
      <c r="U39" s="490"/>
      <c r="V39" s="476"/>
      <c r="W39" s="482"/>
    </row>
    <row r="40" spans="1:23" s="69" customFormat="1" ht="14.25" customHeight="1">
      <c r="A40" s="483" t="s">
        <v>2827</v>
      </c>
      <c r="B40" s="476" t="s">
        <v>315</v>
      </c>
      <c r="C40" s="476" t="s">
        <v>2287</v>
      </c>
      <c r="D40" s="429"/>
      <c r="E40" s="476">
        <v>196804</v>
      </c>
      <c r="F40" s="476"/>
      <c r="G40" s="476"/>
      <c r="H40" s="476"/>
      <c r="I40" s="476"/>
      <c r="J40" s="476" t="s">
        <v>807</v>
      </c>
      <c r="K40" s="476" t="s">
        <v>807</v>
      </c>
      <c r="L40" s="476" t="s">
        <v>807</v>
      </c>
      <c r="M40" s="476"/>
      <c r="N40" s="476">
        <v>20.896429059999999</v>
      </c>
      <c r="O40" s="476">
        <v>92.940193179999994</v>
      </c>
      <c r="P40" s="476" t="s">
        <v>808</v>
      </c>
      <c r="Q40" s="476"/>
      <c r="R40" s="482"/>
      <c r="S40" s="483"/>
      <c r="T40" s="502"/>
      <c r="U40" s="484"/>
      <c r="V40" s="476" t="s">
        <v>2279</v>
      </c>
      <c r="W40" s="476"/>
    </row>
    <row r="41" spans="1:23" s="69" customFormat="1" ht="14.25" customHeight="1">
      <c r="A41" s="483" t="s">
        <v>2827</v>
      </c>
      <c r="B41" s="476" t="s">
        <v>315</v>
      </c>
      <c r="C41" s="476" t="s">
        <v>2288</v>
      </c>
      <c r="D41" s="429"/>
      <c r="E41" s="476">
        <v>196816</v>
      </c>
      <c r="F41" s="476"/>
      <c r="G41" s="476"/>
      <c r="H41" s="476"/>
      <c r="I41" s="476"/>
      <c r="J41" s="476" t="s">
        <v>807</v>
      </c>
      <c r="K41" s="476" t="s">
        <v>807</v>
      </c>
      <c r="L41" s="476" t="s">
        <v>807</v>
      </c>
      <c r="M41" s="476"/>
      <c r="N41" s="476">
        <v>20.727590559999999</v>
      </c>
      <c r="O41" s="476">
        <v>92.969352720000003</v>
      </c>
      <c r="P41" s="476" t="s">
        <v>808</v>
      </c>
      <c r="Q41" s="476"/>
      <c r="R41" s="482"/>
      <c r="S41" s="483"/>
      <c r="T41" s="502"/>
      <c r="U41" s="484"/>
      <c r="V41" s="476" t="s">
        <v>2281</v>
      </c>
      <c r="W41" s="476"/>
    </row>
    <row r="42" spans="1:23" s="69" customFormat="1" ht="14.25" customHeight="1">
      <c r="A42" s="486" t="s">
        <v>2827</v>
      </c>
      <c r="B42" s="486" t="s">
        <v>315</v>
      </c>
      <c r="C42" s="487" t="s">
        <v>3015</v>
      </c>
      <c r="D42" s="481"/>
      <c r="E42" s="476"/>
      <c r="F42" s="476"/>
      <c r="G42" s="476"/>
      <c r="H42" s="476"/>
      <c r="I42" s="476"/>
      <c r="J42" s="476" t="s">
        <v>2836</v>
      </c>
      <c r="K42" s="476" t="s">
        <v>2798</v>
      </c>
      <c r="L42" s="476" t="s">
        <v>2798</v>
      </c>
      <c r="M42" s="476"/>
      <c r="N42" s="476"/>
      <c r="O42" s="476"/>
      <c r="P42" s="476"/>
      <c r="Q42" s="476"/>
      <c r="R42" s="490"/>
      <c r="S42" s="483"/>
      <c r="T42" s="502">
        <v>43591</v>
      </c>
      <c r="U42" s="490"/>
      <c r="V42" s="476"/>
      <c r="W42" s="482"/>
    </row>
    <row r="43" spans="1:23" s="69" customFormat="1" ht="14.25" customHeight="1">
      <c r="A43" s="483" t="s">
        <v>2827</v>
      </c>
      <c r="B43" s="476" t="s">
        <v>315</v>
      </c>
      <c r="C43" s="476" t="s">
        <v>2346</v>
      </c>
      <c r="D43" s="429"/>
      <c r="E43" s="476">
        <v>196938</v>
      </c>
      <c r="F43" s="476" t="s">
        <v>2342</v>
      </c>
      <c r="G43" s="476"/>
      <c r="H43" s="476"/>
      <c r="I43" s="476"/>
      <c r="J43" s="476" t="s">
        <v>807</v>
      </c>
      <c r="K43" s="476" t="s">
        <v>807</v>
      </c>
      <c r="L43" s="476" t="s">
        <v>807</v>
      </c>
      <c r="M43" s="476"/>
      <c r="N43" s="476">
        <v>20.640909189999999</v>
      </c>
      <c r="O43" s="476">
        <v>92.979751590000006</v>
      </c>
      <c r="P43" s="476" t="s">
        <v>808</v>
      </c>
      <c r="Q43" s="476" t="s">
        <v>2302</v>
      </c>
      <c r="R43" s="482"/>
      <c r="S43" s="483"/>
      <c r="T43" s="502">
        <v>43465</v>
      </c>
      <c r="U43" s="484" t="s">
        <v>2344</v>
      </c>
      <c r="V43" s="476" t="s">
        <v>2340</v>
      </c>
      <c r="W43" s="476"/>
    </row>
    <row r="44" spans="1:23" s="69" customFormat="1" ht="14.25" customHeight="1">
      <c r="A44" s="483" t="s">
        <v>2827</v>
      </c>
      <c r="B44" s="476" t="s">
        <v>315</v>
      </c>
      <c r="C44" s="476" t="s">
        <v>658</v>
      </c>
      <c r="D44" s="429" t="s">
        <v>2919</v>
      </c>
      <c r="E44" s="476" t="s">
        <v>1427</v>
      </c>
      <c r="F44" s="476" t="s">
        <v>1783</v>
      </c>
      <c r="G44" s="476" t="s">
        <v>1784</v>
      </c>
      <c r="H44" s="476"/>
      <c r="I44" s="476"/>
      <c r="J44" s="476" t="s">
        <v>807</v>
      </c>
      <c r="K44" s="476" t="s">
        <v>807</v>
      </c>
      <c r="L44" s="476" t="s">
        <v>830</v>
      </c>
      <c r="M44" s="476" t="s">
        <v>804</v>
      </c>
      <c r="N44" s="476">
        <v>20.886997999999998</v>
      </c>
      <c r="O44" s="476">
        <v>93.006497999999993</v>
      </c>
      <c r="P44" s="476" t="s">
        <v>808</v>
      </c>
      <c r="Q44" s="476" t="s">
        <v>789</v>
      </c>
      <c r="R44" s="482">
        <v>97</v>
      </c>
      <c r="S44" s="483">
        <v>557</v>
      </c>
      <c r="T44" s="502"/>
      <c r="U44" s="484"/>
      <c r="V44" s="476" t="s">
        <v>658</v>
      </c>
      <c r="W44" s="476"/>
    </row>
    <row r="45" spans="1:23" s="69" customFormat="1" ht="14.25" customHeight="1">
      <c r="A45" s="486" t="s">
        <v>2827</v>
      </c>
      <c r="B45" s="486" t="s">
        <v>315</v>
      </c>
      <c r="C45" s="487" t="s">
        <v>2970</v>
      </c>
      <c r="D45" s="481"/>
      <c r="E45" s="476">
        <v>196865</v>
      </c>
      <c r="F45" s="476"/>
      <c r="G45" s="476"/>
      <c r="H45" s="476"/>
      <c r="I45" s="476"/>
      <c r="J45" s="476" t="s">
        <v>2836</v>
      </c>
      <c r="K45" s="476" t="s">
        <v>2798</v>
      </c>
      <c r="L45" s="476" t="s">
        <v>2798</v>
      </c>
      <c r="M45" s="476"/>
      <c r="N45" s="476">
        <v>20.8122158050537</v>
      </c>
      <c r="O45" s="476">
        <v>93.061012268066406</v>
      </c>
      <c r="P45" s="476"/>
      <c r="Q45" s="476"/>
      <c r="R45" s="490"/>
      <c r="S45" s="483"/>
      <c r="T45" s="502">
        <v>43591</v>
      </c>
      <c r="U45" s="490"/>
      <c r="V45" s="476"/>
      <c r="W45" s="482"/>
    </row>
    <row r="46" spans="1:23" s="69" customFormat="1" ht="14.25" customHeight="1">
      <c r="A46" s="483" t="s">
        <v>2827</v>
      </c>
      <c r="B46" s="476" t="s">
        <v>315</v>
      </c>
      <c r="C46" s="476" t="s">
        <v>667</v>
      </c>
      <c r="D46" s="429" t="s">
        <v>1685</v>
      </c>
      <c r="E46" s="476">
        <v>196807</v>
      </c>
      <c r="F46" s="476"/>
      <c r="G46" s="476"/>
      <c r="H46" s="476"/>
      <c r="I46" s="476"/>
      <c r="J46" s="476" t="s">
        <v>813</v>
      </c>
      <c r="K46" s="476" t="s">
        <v>807</v>
      </c>
      <c r="L46" s="476" t="s">
        <v>813</v>
      </c>
      <c r="M46" s="476" t="s">
        <v>2048</v>
      </c>
      <c r="N46" s="476">
        <v>20.895059589999999</v>
      </c>
      <c r="O46" s="476">
        <v>92.90735626</v>
      </c>
      <c r="P46" s="476" t="s">
        <v>932</v>
      </c>
      <c r="Q46" s="476" t="s">
        <v>935</v>
      </c>
      <c r="R46" s="482"/>
      <c r="S46" s="483"/>
      <c r="T46" s="502">
        <v>43011</v>
      </c>
      <c r="U46" s="484" t="s">
        <v>936</v>
      </c>
      <c r="V46" s="476"/>
      <c r="W46" s="476"/>
    </row>
    <row r="47" spans="1:23" s="69" customFormat="1" ht="14.25" customHeight="1">
      <c r="A47" s="483" t="s">
        <v>2827</v>
      </c>
      <c r="B47" s="476" t="s">
        <v>315</v>
      </c>
      <c r="C47" s="476" t="s">
        <v>628</v>
      </c>
      <c r="D47" s="429" t="s">
        <v>1685</v>
      </c>
      <c r="E47" s="476">
        <v>196882</v>
      </c>
      <c r="F47" s="476"/>
      <c r="G47" s="476"/>
      <c r="H47" s="476"/>
      <c r="I47" s="476"/>
      <c r="J47" s="476" t="s">
        <v>813</v>
      </c>
      <c r="K47" s="476" t="s">
        <v>807</v>
      </c>
      <c r="L47" s="476" t="s">
        <v>813</v>
      </c>
      <c r="M47" s="476" t="s">
        <v>2048</v>
      </c>
      <c r="N47" s="476">
        <v>20.807970050000002</v>
      </c>
      <c r="O47" s="476">
        <v>92.929046630000002</v>
      </c>
      <c r="P47" s="476" t="s">
        <v>932</v>
      </c>
      <c r="Q47" s="476" t="s">
        <v>935</v>
      </c>
      <c r="R47" s="482"/>
      <c r="S47" s="483"/>
      <c r="T47" s="502">
        <v>43011</v>
      </c>
      <c r="U47" s="484" t="s">
        <v>936</v>
      </c>
      <c r="V47" s="476"/>
      <c r="W47" s="476"/>
    </row>
    <row r="48" spans="1:23" s="69" customFormat="1" ht="14.25" customHeight="1">
      <c r="A48" s="483" t="s">
        <v>2827</v>
      </c>
      <c r="B48" s="476" t="s">
        <v>315</v>
      </c>
      <c r="C48" s="476" t="s">
        <v>710</v>
      </c>
      <c r="D48" s="429" t="s">
        <v>1685</v>
      </c>
      <c r="E48" s="476">
        <v>196875</v>
      </c>
      <c r="F48" s="476"/>
      <c r="G48" s="476"/>
      <c r="H48" s="476"/>
      <c r="I48" s="476"/>
      <c r="J48" s="476" t="s">
        <v>807</v>
      </c>
      <c r="K48" s="476" t="s">
        <v>807</v>
      </c>
      <c r="L48" s="476" t="s">
        <v>807</v>
      </c>
      <c r="M48" s="476" t="s">
        <v>307</v>
      </c>
      <c r="N48" s="476">
        <v>20.60802078</v>
      </c>
      <c r="O48" s="476">
        <v>93.035400390000007</v>
      </c>
      <c r="P48" s="476" t="s">
        <v>808</v>
      </c>
      <c r="Q48" s="476" t="s">
        <v>789</v>
      </c>
      <c r="R48" s="482"/>
      <c r="S48" s="483"/>
      <c r="T48" s="502"/>
      <c r="U48" s="484"/>
      <c r="V48" s="476"/>
      <c r="W48" s="476"/>
    </row>
    <row r="49" spans="1:23" s="69" customFormat="1" ht="14.25" customHeight="1">
      <c r="A49" s="483" t="s">
        <v>2827</v>
      </c>
      <c r="B49" s="476" t="s">
        <v>315</v>
      </c>
      <c r="C49" s="476" t="s">
        <v>708</v>
      </c>
      <c r="D49" s="429" t="s">
        <v>1685</v>
      </c>
      <c r="E49" s="476">
        <v>196971</v>
      </c>
      <c r="F49" s="476"/>
      <c r="G49" s="476"/>
      <c r="H49" s="476"/>
      <c r="I49" s="476"/>
      <c r="J49" s="476" t="s">
        <v>807</v>
      </c>
      <c r="K49" s="476" t="s">
        <v>807</v>
      </c>
      <c r="L49" s="476" t="s">
        <v>807</v>
      </c>
      <c r="M49" s="476" t="s">
        <v>307</v>
      </c>
      <c r="N49" s="476">
        <v>20.716699599999998</v>
      </c>
      <c r="O49" s="476">
        <v>92.997863769999995</v>
      </c>
      <c r="P49" s="476" t="s">
        <v>808</v>
      </c>
      <c r="Q49" s="476" t="s">
        <v>789</v>
      </c>
      <c r="R49" s="482"/>
      <c r="S49" s="483"/>
      <c r="T49" s="502"/>
      <c r="U49" s="484"/>
      <c r="V49" s="476"/>
      <c r="W49" s="476"/>
    </row>
    <row r="50" spans="1:23" s="69" customFormat="1" ht="14.25" customHeight="1">
      <c r="A50" s="483" t="s">
        <v>2827</v>
      </c>
      <c r="B50" s="476" t="s">
        <v>315</v>
      </c>
      <c r="C50" s="476" t="s">
        <v>929</v>
      </c>
      <c r="D50" s="429" t="s">
        <v>1685</v>
      </c>
      <c r="E50" s="476">
        <v>196926</v>
      </c>
      <c r="F50" s="476"/>
      <c r="G50" s="476"/>
      <c r="H50" s="476"/>
      <c r="I50" s="476"/>
      <c r="J50" s="476" t="s">
        <v>807</v>
      </c>
      <c r="K50" s="476" t="s">
        <v>807</v>
      </c>
      <c r="L50" s="476" t="s">
        <v>807</v>
      </c>
      <c r="M50" s="476" t="s">
        <v>307</v>
      </c>
      <c r="N50" s="476">
        <v>20.644800190000002</v>
      </c>
      <c r="O50" s="476">
        <v>92.945426940000004</v>
      </c>
      <c r="P50" s="476" t="s">
        <v>808</v>
      </c>
      <c r="Q50" s="476"/>
      <c r="R50" s="482"/>
      <c r="S50" s="483"/>
      <c r="T50" s="502"/>
      <c r="U50" s="484"/>
      <c r="V50" s="476" t="s">
        <v>929</v>
      </c>
      <c r="W50" s="476"/>
    </row>
    <row r="51" spans="1:23" s="69" customFormat="1" ht="14.25" customHeight="1">
      <c r="A51" s="483" t="s">
        <v>2827</v>
      </c>
      <c r="B51" s="476" t="s">
        <v>315</v>
      </c>
      <c r="C51" s="476" t="s">
        <v>623</v>
      </c>
      <c r="D51" s="429" t="s">
        <v>2919</v>
      </c>
      <c r="E51" s="476" t="s">
        <v>1419</v>
      </c>
      <c r="F51" s="476" t="s">
        <v>1780</v>
      </c>
      <c r="G51" s="476" t="s">
        <v>627</v>
      </c>
      <c r="H51" s="476"/>
      <c r="I51" s="476"/>
      <c r="J51" s="476" t="s">
        <v>807</v>
      </c>
      <c r="K51" s="476" t="s">
        <v>807</v>
      </c>
      <c r="L51" s="476" t="s">
        <v>892</v>
      </c>
      <c r="M51" s="476" t="s">
        <v>804</v>
      </c>
      <c r="N51" s="476">
        <v>20.805734000000001</v>
      </c>
      <c r="O51" s="476">
        <v>92.982675999999998</v>
      </c>
      <c r="P51" s="476" t="s">
        <v>808</v>
      </c>
      <c r="Q51" s="476" t="s">
        <v>789</v>
      </c>
      <c r="R51" s="482">
        <v>18</v>
      </c>
      <c r="S51" s="483">
        <v>157</v>
      </c>
      <c r="T51" s="502"/>
      <c r="U51" s="484"/>
      <c r="V51" s="476" t="s">
        <v>623</v>
      </c>
      <c r="W51" s="476"/>
    </row>
    <row r="52" spans="1:23" s="69" customFormat="1" ht="14.25" customHeight="1">
      <c r="A52" s="483" t="s">
        <v>2827</v>
      </c>
      <c r="B52" s="476" t="s">
        <v>315</v>
      </c>
      <c r="C52" s="476" t="s">
        <v>609</v>
      </c>
      <c r="D52" s="429" t="s">
        <v>1685</v>
      </c>
      <c r="E52" s="476">
        <v>196887</v>
      </c>
      <c r="F52" s="476"/>
      <c r="G52" s="476"/>
      <c r="H52" s="476"/>
      <c r="I52" s="476"/>
      <c r="J52" s="476" t="s">
        <v>813</v>
      </c>
      <c r="K52" s="476" t="s">
        <v>807</v>
      </c>
      <c r="L52" s="476" t="s">
        <v>813</v>
      </c>
      <c r="M52" s="476" t="s">
        <v>2048</v>
      </c>
      <c r="N52" s="476">
        <v>20.785770419999999</v>
      </c>
      <c r="O52" s="476">
        <v>92.931426999999999</v>
      </c>
      <c r="P52" s="476" t="s">
        <v>932</v>
      </c>
      <c r="Q52" s="476" t="s">
        <v>935</v>
      </c>
      <c r="R52" s="482"/>
      <c r="S52" s="483"/>
      <c r="T52" s="502">
        <v>43011</v>
      </c>
      <c r="U52" s="484" t="s">
        <v>936</v>
      </c>
      <c r="V52" s="476"/>
      <c r="W52" s="476"/>
    </row>
    <row r="53" spans="1:23" s="69" customFormat="1" ht="14.25" customHeight="1">
      <c r="A53" s="486" t="s">
        <v>2827</v>
      </c>
      <c r="B53" s="486" t="s">
        <v>315</v>
      </c>
      <c r="C53" s="487" t="s">
        <v>2965</v>
      </c>
      <c r="D53" s="481"/>
      <c r="E53" s="476" t="s">
        <v>2995</v>
      </c>
      <c r="F53" s="476"/>
      <c r="G53" s="476"/>
      <c r="H53" s="476"/>
      <c r="I53" s="476"/>
      <c r="J53" s="476" t="s">
        <v>2836</v>
      </c>
      <c r="K53" s="476" t="s">
        <v>2798</v>
      </c>
      <c r="L53" s="476" t="s">
        <v>2798</v>
      </c>
      <c r="M53" s="476"/>
      <c r="N53" s="476"/>
      <c r="O53" s="476"/>
      <c r="P53" s="476"/>
      <c r="Q53" s="476"/>
      <c r="R53" s="490"/>
      <c r="S53" s="483"/>
      <c r="T53" s="502">
        <v>43591</v>
      </c>
      <c r="U53" s="490"/>
      <c r="V53" s="476"/>
      <c r="W53" s="482"/>
    </row>
    <row r="54" spans="1:23" s="69" customFormat="1" ht="14.25" customHeight="1">
      <c r="A54" s="483" t="s">
        <v>2827</v>
      </c>
      <c r="B54" s="476" t="s">
        <v>315</v>
      </c>
      <c r="C54" s="476" t="s">
        <v>568</v>
      </c>
      <c r="D54" s="429" t="s">
        <v>1685</v>
      </c>
      <c r="E54" s="476">
        <v>196944</v>
      </c>
      <c r="F54" s="476"/>
      <c r="G54" s="476"/>
      <c r="H54" s="476"/>
      <c r="I54" s="476"/>
      <c r="J54" s="476" t="s">
        <v>813</v>
      </c>
      <c r="K54" s="476" t="s">
        <v>807</v>
      </c>
      <c r="L54" s="476" t="s">
        <v>813</v>
      </c>
      <c r="M54" s="476" t="s">
        <v>307</v>
      </c>
      <c r="N54" s="476">
        <v>20.71134949</v>
      </c>
      <c r="O54" s="476">
        <v>92.980506899999995</v>
      </c>
      <c r="P54" s="476" t="s">
        <v>932</v>
      </c>
      <c r="Q54" s="476" t="s">
        <v>935</v>
      </c>
      <c r="R54" s="482"/>
      <c r="S54" s="483"/>
      <c r="T54" s="502">
        <v>43011</v>
      </c>
      <c r="U54" s="484" t="s">
        <v>936</v>
      </c>
      <c r="V54" s="476"/>
      <c r="W54" s="476"/>
    </row>
    <row r="55" spans="1:23" s="69" customFormat="1" ht="14.25" customHeight="1">
      <c r="A55" s="486" t="s">
        <v>2827</v>
      </c>
      <c r="B55" s="486" t="s">
        <v>315</v>
      </c>
      <c r="C55" s="487" t="s">
        <v>2962</v>
      </c>
      <c r="D55" s="481"/>
      <c r="E55" s="476">
        <v>220632</v>
      </c>
      <c r="F55" s="476"/>
      <c r="G55" s="476"/>
      <c r="H55" s="476"/>
      <c r="I55" s="476"/>
      <c r="J55" s="476" t="s">
        <v>2836</v>
      </c>
      <c r="K55" s="476" t="s">
        <v>2798</v>
      </c>
      <c r="L55" s="476" t="s">
        <v>2798</v>
      </c>
      <c r="M55" s="476"/>
      <c r="N55" s="476">
        <v>20.746028900146499</v>
      </c>
      <c r="O55" s="476">
        <v>92.839714050292997</v>
      </c>
      <c r="P55" s="476"/>
      <c r="Q55" s="476"/>
      <c r="R55" s="490"/>
      <c r="S55" s="483"/>
      <c r="T55" s="502">
        <v>43591</v>
      </c>
      <c r="U55" s="490"/>
      <c r="V55" s="476"/>
      <c r="W55" s="482"/>
    </row>
    <row r="56" spans="1:23" s="69" customFormat="1" ht="14.25" customHeight="1">
      <c r="A56" s="483" t="s">
        <v>2827</v>
      </c>
      <c r="B56" s="486" t="s">
        <v>315</v>
      </c>
      <c r="C56" s="487" t="s">
        <v>704</v>
      </c>
      <c r="D56" s="481" t="s">
        <v>1685</v>
      </c>
      <c r="E56" s="476">
        <v>196884</v>
      </c>
      <c r="F56" s="476"/>
      <c r="G56" s="476"/>
      <c r="H56" s="476"/>
      <c r="I56" s="476"/>
      <c r="J56" s="476" t="s">
        <v>813</v>
      </c>
      <c r="K56" s="476" t="s">
        <v>888</v>
      </c>
      <c r="L56" s="476" t="s">
        <v>813</v>
      </c>
      <c r="M56" s="476" t="s">
        <v>307</v>
      </c>
      <c r="N56" s="476">
        <v>20.786739350000001</v>
      </c>
      <c r="O56" s="476">
        <v>92.944313050000005</v>
      </c>
      <c r="P56" s="476" t="s">
        <v>932</v>
      </c>
      <c r="Q56" s="476" t="s">
        <v>789</v>
      </c>
      <c r="R56" s="490"/>
      <c r="S56" s="483"/>
      <c r="T56" s="502"/>
      <c r="U56" s="484"/>
      <c r="V56" s="476"/>
      <c r="W56" s="482"/>
    </row>
    <row r="57" spans="1:23" s="69" customFormat="1" ht="14.25" customHeight="1">
      <c r="A57" s="483" t="s">
        <v>2827</v>
      </c>
      <c r="B57" s="486" t="s">
        <v>315</v>
      </c>
      <c r="C57" s="487" t="s">
        <v>2289</v>
      </c>
      <c r="D57" s="481"/>
      <c r="E57" s="476">
        <v>196813</v>
      </c>
      <c r="F57" s="476"/>
      <c r="G57" s="476"/>
      <c r="H57" s="476"/>
      <c r="I57" s="476"/>
      <c r="J57" s="476" t="s">
        <v>807</v>
      </c>
      <c r="K57" s="476" t="s">
        <v>807</v>
      </c>
      <c r="L57" s="476" t="s">
        <v>807</v>
      </c>
      <c r="M57" s="476"/>
      <c r="N57" s="476">
        <v>20.883239750000001</v>
      </c>
      <c r="O57" s="476">
        <v>92.936859130000002</v>
      </c>
      <c r="P57" s="476" t="s">
        <v>808</v>
      </c>
      <c r="Q57" s="476"/>
      <c r="R57" s="490"/>
      <c r="S57" s="483"/>
      <c r="T57" s="502"/>
      <c r="U57" s="484"/>
      <c r="V57" s="476" t="s">
        <v>2282</v>
      </c>
      <c r="W57" s="482"/>
    </row>
    <row r="58" spans="1:23" s="69" customFormat="1" ht="14.25" customHeight="1">
      <c r="A58" s="483" t="s">
        <v>2827</v>
      </c>
      <c r="B58" s="476" t="s">
        <v>315</v>
      </c>
      <c r="C58" s="476" t="s">
        <v>629</v>
      </c>
      <c r="D58" s="429" t="s">
        <v>1685</v>
      </c>
      <c r="E58" s="476">
        <v>196881</v>
      </c>
      <c r="F58" s="476"/>
      <c r="G58" s="476"/>
      <c r="H58" s="476"/>
      <c r="I58" s="476"/>
      <c r="J58" s="476" t="s">
        <v>813</v>
      </c>
      <c r="K58" s="476" t="s">
        <v>807</v>
      </c>
      <c r="L58" s="476" t="s">
        <v>813</v>
      </c>
      <c r="M58" s="476" t="s">
        <v>2048</v>
      </c>
      <c r="N58" s="476">
        <v>20.809240339999999</v>
      </c>
      <c r="O58" s="476">
        <v>92.923919679999997</v>
      </c>
      <c r="P58" s="476" t="s">
        <v>932</v>
      </c>
      <c r="Q58" s="476" t="s">
        <v>935</v>
      </c>
      <c r="R58" s="482"/>
      <c r="S58" s="483"/>
      <c r="T58" s="502">
        <v>43011</v>
      </c>
      <c r="U58" s="484" t="s">
        <v>936</v>
      </c>
      <c r="V58" s="476"/>
      <c r="W58" s="476"/>
    </row>
    <row r="59" spans="1:23" s="69" customFormat="1" ht="14.25" customHeight="1">
      <c r="A59" s="483" t="s">
        <v>2827</v>
      </c>
      <c r="B59" s="476" t="s">
        <v>315</v>
      </c>
      <c r="C59" s="476" t="s">
        <v>952</v>
      </c>
      <c r="D59" s="429" t="s">
        <v>2919</v>
      </c>
      <c r="E59" s="476" t="s">
        <v>1426</v>
      </c>
      <c r="F59" s="476" t="s">
        <v>1782</v>
      </c>
      <c r="G59" s="476" t="s">
        <v>953</v>
      </c>
      <c r="H59" s="476" t="s">
        <v>43</v>
      </c>
      <c r="I59" s="476"/>
      <c r="J59" s="476" t="s">
        <v>45</v>
      </c>
      <c r="K59" s="476" t="s">
        <v>45</v>
      </c>
      <c r="L59" s="476" t="s">
        <v>806</v>
      </c>
      <c r="M59" s="476" t="s">
        <v>804</v>
      </c>
      <c r="N59" s="476">
        <v>20.865687000000001</v>
      </c>
      <c r="O59" s="476">
        <v>92.965980999999999</v>
      </c>
      <c r="P59" s="476" t="s">
        <v>770</v>
      </c>
      <c r="Q59" s="476" t="s">
        <v>789</v>
      </c>
      <c r="R59" s="482">
        <v>85</v>
      </c>
      <c r="S59" s="483">
        <v>546</v>
      </c>
      <c r="T59" s="502"/>
      <c r="U59" s="484"/>
      <c r="V59" s="476" t="s">
        <v>953</v>
      </c>
      <c r="W59" s="476"/>
    </row>
    <row r="60" spans="1:23" s="69" customFormat="1" ht="14.25" customHeight="1">
      <c r="A60" s="483" t="s">
        <v>2827</v>
      </c>
      <c r="B60" s="486" t="s">
        <v>315</v>
      </c>
      <c r="C60" s="486" t="s">
        <v>549</v>
      </c>
      <c r="D60" s="481" t="s">
        <v>1685</v>
      </c>
      <c r="E60" s="476">
        <v>196930</v>
      </c>
      <c r="F60" s="476"/>
      <c r="G60" s="476"/>
      <c r="H60" s="476"/>
      <c r="I60" s="476"/>
      <c r="J60" s="476" t="s">
        <v>813</v>
      </c>
      <c r="K60" s="476" t="s">
        <v>807</v>
      </c>
      <c r="L60" s="476" t="s">
        <v>813</v>
      </c>
      <c r="M60" s="476" t="s">
        <v>2047</v>
      </c>
      <c r="N60" s="476">
        <v>20.681715010000001</v>
      </c>
      <c r="O60" s="476">
        <v>92.94140625</v>
      </c>
      <c r="P60" s="476" t="s">
        <v>932</v>
      </c>
      <c r="Q60" s="476" t="s">
        <v>935</v>
      </c>
      <c r="R60" s="490"/>
      <c r="S60" s="483"/>
      <c r="T60" s="502">
        <v>43011</v>
      </c>
      <c r="U60" s="484" t="s">
        <v>936</v>
      </c>
      <c r="V60" s="476"/>
      <c r="W60" s="476"/>
    </row>
    <row r="61" spans="1:23" s="69" customFormat="1" ht="14.25" customHeight="1">
      <c r="A61" s="483" t="s">
        <v>2827</v>
      </c>
      <c r="B61" s="476" t="s">
        <v>315</v>
      </c>
      <c r="C61" s="476" t="s">
        <v>669</v>
      </c>
      <c r="D61" s="429" t="s">
        <v>1685</v>
      </c>
      <c r="E61" s="476">
        <v>196787</v>
      </c>
      <c r="F61" s="476"/>
      <c r="G61" s="476"/>
      <c r="H61" s="476"/>
      <c r="I61" s="476"/>
      <c r="J61" s="476" t="s">
        <v>807</v>
      </c>
      <c r="K61" s="476" t="s">
        <v>807</v>
      </c>
      <c r="L61" s="476" t="s">
        <v>807</v>
      </c>
      <c r="M61" s="476" t="s">
        <v>804</v>
      </c>
      <c r="N61" s="476">
        <v>20.90377045</v>
      </c>
      <c r="O61" s="476">
        <v>93.004432679999994</v>
      </c>
      <c r="P61" s="476" t="s">
        <v>808</v>
      </c>
      <c r="Q61" s="476" t="s">
        <v>789</v>
      </c>
      <c r="R61" s="482"/>
      <c r="S61" s="483"/>
      <c r="T61" s="502"/>
      <c r="U61" s="484"/>
      <c r="V61" s="476" t="s">
        <v>669</v>
      </c>
      <c r="W61" s="476"/>
    </row>
    <row r="62" spans="1:23" s="69" customFormat="1" ht="14.25" customHeight="1">
      <c r="A62" s="486" t="s">
        <v>2827</v>
      </c>
      <c r="B62" s="486" t="s">
        <v>315</v>
      </c>
      <c r="C62" s="487" t="s">
        <v>2966</v>
      </c>
      <c r="D62" s="481"/>
      <c r="E62" s="476" t="s">
        <v>2996</v>
      </c>
      <c r="F62" s="476"/>
      <c r="G62" s="476"/>
      <c r="H62" s="476"/>
      <c r="I62" s="476"/>
      <c r="J62" s="476" t="s">
        <v>2836</v>
      </c>
      <c r="K62" s="476" t="s">
        <v>2798</v>
      </c>
      <c r="L62" s="476" t="s">
        <v>2798</v>
      </c>
      <c r="M62" s="476"/>
      <c r="N62" s="476"/>
      <c r="O62" s="476"/>
      <c r="P62" s="476"/>
      <c r="Q62" s="476"/>
      <c r="R62" s="490"/>
      <c r="S62" s="483"/>
      <c r="T62" s="502">
        <v>43591</v>
      </c>
      <c r="U62" s="490"/>
      <c r="V62" s="476"/>
      <c r="W62" s="482"/>
    </row>
    <row r="63" spans="1:23" s="69" customFormat="1" ht="14.25" customHeight="1">
      <c r="A63" s="483" t="s">
        <v>2827</v>
      </c>
      <c r="B63" s="486" t="s">
        <v>315</v>
      </c>
      <c r="C63" s="487" t="s">
        <v>346</v>
      </c>
      <c r="D63" s="481" t="s">
        <v>1685</v>
      </c>
      <c r="E63" s="476"/>
      <c r="F63" s="476"/>
      <c r="G63" s="476"/>
      <c r="H63" s="476"/>
      <c r="I63" s="476"/>
      <c r="J63" s="476" t="s">
        <v>813</v>
      </c>
      <c r="K63" s="476" t="s">
        <v>807</v>
      </c>
      <c r="L63" s="476" t="s">
        <v>813</v>
      </c>
      <c r="M63" s="476" t="s">
        <v>2048</v>
      </c>
      <c r="N63" s="476"/>
      <c r="O63" s="476"/>
      <c r="P63" s="476" t="s">
        <v>932</v>
      </c>
      <c r="Q63" s="476" t="s">
        <v>935</v>
      </c>
      <c r="R63" s="490"/>
      <c r="S63" s="483"/>
      <c r="T63" s="502">
        <v>43011</v>
      </c>
      <c r="U63" s="484" t="s">
        <v>936</v>
      </c>
      <c r="V63" s="476"/>
      <c r="W63" s="482"/>
    </row>
    <row r="64" spans="1:23" s="69" customFormat="1" ht="14.25" customHeight="1">
      <c r="A64" s="483" t="s">
        <v>2827</v>
      </c>
      <c r="B64" s="476" t="s">
        <v>315</v>
      </c>
      <c r="C64" s="476" t="s">
        <v>1143</v>
      </c>
      <c r="D64" s="429" t="s">
        <v>1685</v>
      </c>
      <c r="E64" s="476">
        <v>196759</v>
      </c>
      <c r="F64" s="476"/>
      <c r="G64" s="476"/>
      <c r="H64" s="476"/>
      <c r="I64" s="476"/>
      <c r="J64" s="476" t="s">
        <v>807</v>
      </c>
      <c r="K64" s="476" t="s">
        <v>807</v>
      </c>
      <c r="L64" s="476" t="s">
        <v>807</v>
      </c>
      <c r="M64" s="476" t="s">
        <v>2048</v>
      </c>
      <c r="N64" s="476"/>
      <c r="O64" s="476"/>
      <c r="P64" s="476" t="s">
        <v>808</v>
      </c>
      <c r="Q64" s="476"/>
      <c r="R64" s="482"/>
      <c r="S64" s="483"/>
      <c r="T64" s="502"/>
      <c r="U64" s="484"/>
      <c r="V64" s="476" t="s">
        <v>1143</v>
      </c>
      <c r="W64" s="476"/>
    </row>
    <row r="65" spans="1:23" s="69" customFormat="1" ht="14.25" customHeight="1">
      <c r="A65" s="483" t="s">
        <v>2827</v>
      </c>
      <c r="B65" s="486" t="s">
        <v>315</v>
      </c>
      <c r="C65" s="487" t="s">
        <v>2046</v>
      </c>
      <c r="D65" s="481" t="s">
        <v>1685</v>
      </c>
      <c r="E65" s="476"/>
      <c r="F65" s="476"/>
      <c r="G65" s="476"/>
      <c r="H65" s="476"/>
      <c r="I65" s="476"/>
      <c r="J65" s="476" t="s">
        <v>813</v>
      </c>
      <c r="K65" s="476" t="s">
        <v>807</v>
      </c>
      <c r="L65" s="476" t="s">
        <v>813</v>
      </c>
      <c r="M65" s="476" t="s">
        <v>307</v>
      </c>
      <c r="N65" s="476"/>
      <c r="O65" s="476"/>
      <c r="P65" s="476" t="s">
        <v>932</v>
      </c>
      <c r="Q65" s="476" t="s">
        <v>935</v>
      </c>
      <c r="R65" s="490"/>
      <c r="S65" s="483"/>
      <c r="T65" s="502">
        <v>43011</v>
      </c>
      <c r="U65" s="484" t="s">
        <v>936</v>
      </c>
      <c r="V65" s="476"/>
      <c r="W65" s="476"/>
    </row>
    <row r="66" spans="1:23" s="69" customFormat="1" ht="14.25" customHeight="1">
      <c r="A66" s="483" t="s">
        <v>2827</v>
      </c>
      <c r="B66" s="486" t="s">
        <v>315</v>
      </c>
      <c r="C66" s="487" t="s">
        <v>349</v>
      </c>
      <c r="D66" s="481" t="s">
        <v>1685</v>
      </c>
      <c r="E66" s="476">
        <v>196815</v>
      </c>
      <c r="F66" s="476"/>
      <c r="G66" s="476"/>
      <c r="H66" s="476"/>
      <c r="I66" s="476"/>
      <c r="J66" s="476" t="s">
        <v>813</v>
      </c>
      <c r="K66" s="476" t="s">
        <v>807</v>
      </c>
      <c r="L66" s="476" t="s">
        <v>813</v>
      </c>
      <c r="M66" s="476" t="s">
        <v>2045</v>
      </c>
      <c r="N66" s="476"/>
      <c r="O66" s="476"/>
      <c r="P66" s="476" t="s">
        <v>932</v>
      </c>
      <c r="Q66" s="476" t="s">
        <v>935</v>
      </c>
      <c r="R66" s="490"/>
      <c r="S66" s="483"/>
      <c r="T66" s="502">
        <v>43011</v>
      </c>
      <c r="U66" s="484" t="s">
        <v>936</v>
      </c>
      <c r="V66" s="476"/>
      <c r="W66" s="476"/>
    </row>
    <row r="67" spans="1:23" s="69" customFormat="1" ht="14.25" customHeight="1">
      <c r="A67" s="483" t="s">
        <v>2827</v>
      </c>
      <c r="B67" s="486" t="s">
        <v>315</v>
      </c>
      <c r="C67" s="487" t="s">
        <v>2293</v>
      </c>
      <c r="D67" s="481"/>
      <c r="E67" s="476">
        <v>196889</v>
      </c>
      <c r="F67" s="476"/>
      <c r="G67" s="476"/>
      <c r="H67" s="476"/>
      <c r="I67" s="476"/>
      <c r="J67" s="476" t="s">
        <v>807</v>
      </c>
      <c r="K67" s="476" t="s">
        <v>807</v>
      </c>
      <c r="L67" s="476" t="s">
        <v>807</v>
      </c>
      <c r="M67" s="476"/>
      <c r="N67" s="476">
        <v>20.785549159999999</v>
      </c>
      <c r="O67" s="476">
        <v>92.971076969999999</v>
      </c>
      <c r="P67" s="476" t="s">
        <v>808</v>
      </c>
      <c r="Q67" s="476"/>
      <c r="R67" s="490"/>
      <c r="S67" s="483"/>
      <c r="T67" s="502"/>
      <c r="U67" s="484"/>
      <c r="V67" s="476" t="s">
        <v>2286</v>
      </c>
      <c r="W67" s="476"/>
    </row>
    <row r="68" spans="1:23" s="69" customFormat="1" ht="14.25" customHeight="1">
      <c r="A68" s="483" t="s">
        <v>2827</v>
      </c>
      <c r="B68" s="486" t="s">
        <v>315</v>
      </c>
      <c r="C68" s="487" t="s">
        <v>2347</v>
      </c>
      <c r="D68" s="481"/>
      <c r="E68" s="476">
        <v>196939</v>
      </c>
      <c r="F68" s="476" t="s">
        <v>2342</v>
      </c>
      <c r="G68" s="476"/>
      <c r="H68" s="476"/>
      <c r="I68" s="476"/>
      <c r="J68" s="476" t="s">
        <v>807</v>
      </c>
      <c r="K68" s="476" t="s">
        <v>807</v>
      </c>
      <c r="L68" s="476" t="s">
        <v>807</v>
      </c>
      <c r="M68" s="476"/>
      <c r="N68" s="476">
        <v>20.648920059999998</v>
      </c>
      <c r="O68" s="476">
        <v>92.967460630000005</v>
      </c>
      <c r="P68" s="476" t="s">
        <v>808</v>
      </c>
      <c r="Q68" s="476" t="s">
        <v>2302</v>
      </c>
      <c r="R68" s="490"/>
      <c r="S68" s="483"/>
      <c r="T68" s="502">
        <v>43465</v>
      </c>
      <c r="U68" s="484" t="s">
        <v>2344</v>
      </c>
      <c r="V68" s="476" t="s">
        <v>2341</v>
      </c>
      <c r="W68" s="476"/>
    </row>
    <row r="69" spans="1:23" s="69" customFormat="1" ht="14.25" customHeight="1">
      <c r="A69" s="483" t="s">
        <v>2827</v>
      </c>
      <c r="B69" s="486" t="s">
        <v>315</v>
      </c>
      <c r="C69" s="487" t="s">
        <v>666</v>
      </c>
      <c r="D69" s="481" t="s">
        <v>1685</v>
      </c>
      <c r="E69" s="476">
        <v>196814</v>
      </c>
      <c r="F69" s="476"/>
      <c r="G69" s="476"/>
      <c r="H69" s="476"/>
      <c r="I69" s="476"/>
      <c r="J69" s="476" t="s">
        <v>813</v>
      </c>
      <c r="K69" s="476" t="s">
        <v>807</v>
      </c>
      <c r="L69" s="476" t="s">
        <v>813</v>
      </c>
      <c r="M69" s="476" t="s">
        <v>307</v>
      </c>
      <c r="N69" s="476">
        <v>20.894269940000001</v>
      </c>
      <c r="O69" s="476">
        <v>92.920730590000005</v>
      </c>
      <c r="P69" s="476" t="s">
        <v>932</v>
      </c>
      <c r="Q69" s="476" t="s">
        <v>935</v>
      </c>
      <c r="R69" s="490"/>
      <c r="S69" s="483"/>
      <c r="T69" s="502">
        <v>43011</v>
      </c>
      <c r="U69" s="484" t="s">
        <v>936</v>
      </c>
      <c r="V69" s="476"/>
      <c r="W69" s="476"/>
    </row>
    <row r="70" spans="1:23" s="69" customFormat="1" ht="14.25" customHeight="1">
      <c r="A70" s="483" t="s">
        <v>2827</v>
      </c>
      <c r="B70" s="476" t="s">
        <v>315</v>
      </c>
      <c r="C70" s="476" t="s">
        <v>2280</v>
      </c>
      <c r="D70" s="429"/>
      <c r="E70" s="476"/>
      <c r="F70" s="476"/>
      <c r="G70" s="476"/>
      <c r="H70" s="476"/>
      <c r="I70" s="476"/>
      <c r="J70" s="476" t="s">
        <v>807</v>
      </c>
      <c r="K70" s="476" t="s">
        <v>807</v>
      </c>
      <c r="L70" s="476" t="s">
        <v>807</v>
      </c>
      <c r="M70" s="476"/>
      <c r="N70" s="476">
        <v>20.889249800000002</v>
      </c>
      <c r="O70" s="476">
        <v>92.939201350000005</v>
      </c>
      <c r="P70" s="476" t="s">
        <v>808</v>
      </c>
      <c r="Q70" s="476"/>
      <c r="R70" s="482"/>
      <c r="S70" s="483"/>
      <c r="T70" s="502"/>
      <c r="U70" s="484"/>
      <c r="V70" s="476" t="s">
        <v>2280</v>
      </c>
      <c r="W70" s="476"/>
    </row>
    <row r="71" spans="1:23" s="69" customFormat="1" ht="14.25" customHeight="1">
      <c r="A71" s="483" t="s">
        <v>2827</v>
      </c>
      <c r="B71" s="476" t="s">
        <v>315</v>
      </c>
      <c r="C71" s="476" t="s">
        <v>707</v>
      </c>
      <c r="D71" s="429" t="s">
        <v>1685</v>
      </c>
      <c r="E71" s="476">
        <v>196929</v>
      </c>
      <c r="F71" s="476"/>
      <c r="G71" s="476"/>
      <c r="H71" s="476"/>
      <c r="I71" s="476"/>
      <c r="J71" s="476" t="s">
        <v>813</v>
      </c>
      <c r="K71" s="476" t="s">
        <v>807</v>
      </c>
      <c r="L71" s="476" t="s">
        <v>813</v>
      </c>
      <c r="M71" s="476" t="s">
        <v>307</v>
      </c>
      <c r="N71" s="494">
        <v>20.67705917</v>
      </c>
      <c r="O71" s="494">
        <v>92.953247070000003</v>
      </c>
      <c r="P71" s="476" t="s">
        <v>932</v>
      </c>
      <c r="Q71" s="476" t="s">
        <v>789</v>
      </c>
      <c r="R71" s="482"/>
      <c r="S71" s="483"/>
      <c r="T71" s="502"/>
      <c r="U71" s="484"/>
      <c r="V71" s="476"/>
      <c r="W71" s="476"/>
    </row>
    <row r="72" spans="1:23" s="69" customFormat="1" ht="14.25" customHeight="1">
      <c r="A72" s="483" t="s">
        <v>2827</v>
      </c>
      <c r="B72" s="476" t="s">
        <v>315</v>
      </c>
      <c r="C72" s="476" t="s">
        <v>706</v>
      </c>
      <c r="D72" s="429" t="s">
        <v>1685</v>
      </c>
      <c r="E72" s="476">
        <v>196927</v>
      </c>
      <c r="F72" s="476" t="s">
        <v>706</v>
      </c>
      <c r="G72" s="476"/>
      <c r="H72" s="476"/>
      <c r="I72" s="476"/>
      <c r="J72" s="476" t="s">
        <v>807</v>
      </c>
      <c r="K72" s="476" t="s">
        <v>807</v>
      </c>
      <c r="L72" s="476" t="s">
        <v>807</v>
      </c>
      <c r="M72" s="476" t="s">
        <v>307</v>
      </c>
      <c r="N72" s="476">
        <v>20.697889329999999</v>
      </c>
      <c r="O72" s="476">
        <v>92.951232910000002</v>
      </c>
      <c r="P72" s="476" t="s">
        <v>808</v>
      </c>
      <c r="Q72" s="476" t="s">
        <v>789</v>
      </c>
      <c r="R72" s="482"/>
      <c r="S72" s="483"/>
      <c r="T72" s="502">
        <v>43465</v>
      </c>
      <c r="U72" s="484" t="s">
        <v>2344</v>
      </c>
      <c r="V72" s="476" t="s">
        <v>2343</v>
      </c>
      <c r="W72" s="476"/>
    </row>
    <row r="73" spans="1:23" s="69" customFormat="1" ht="14.25" customHeight="1">
      <c r="A73" s="483" t="s">
        <v>2827</v>
      </c>
      <c r="B73" s="480" t="s">
        <v>315</v>
      </c>
      <c r="C73" s="480" t="s">
        <v>2290</v>
      </c>
      <c r="D73" s="429"/>
      <c r="E73" s="476">
        <v>220647</v>
      </c>
      <c r="F73" s="476"/>
      <c r="G73" s="476"/>
      <c r="H73" s="476"/>
      <c r="I73" s="476"/>
      <c r="J73" s="476" t="s">
        <v>807</v>
      </c>
      <c r="K73" s="476" t="s">
        <v>807</v>
      </c>
      <c r="L73" s="476" t="s">
        <v>807</v>
      </c>
      <c r="M73" s="476"/>
      <c r="N73" s="476"/>
      <c r="O73" s="476"/>
      <c r="P73" s="476" t="s">
        <v>808</v>
      </c>
      <c r="Q73" s="476"/>
      <c r="R73" s="486"/>
      <c r="S73" s="487"/>
      <c r="T73" s="502"/>
      <c r="U73" s="484"/>
      <c r="V73" s="476" t="s">
        <v>2283</v>
      </c>
      <c r="W73" s="476"/>
    </row>
    <row r="74" spans="1:23" s="69" customFormat="1" ht="14.25" customHeight="1">
      <c r="A74" s="483" t="s">
        <v>2827</v>
      </c>
      <c r="B74" s="480" t="s">
        <v>315</v>
      </c>
      <c r="C74" s="480" t="s">
        <v>2291</v>
      </c>
      <c r="D74" s="429"/>
      <c r="E74" s="476">
        <v>196755</v>
      </c>
      <c r="F74" s="476"/>
      <c r="G74" s="476"/>
      <c r="H74" s="476"/>
      <c r="I74" s="476"/>
      <c r="J74" s="476" t="s">
        <v>807</v>
      </c>
      <c r="K74" s="476" t="s">
        <v>807</v>
      </c>
      <c r="L74" s="476" t="s">
        <v>807</v>
      </c>
      <c r="M74" s="476"/>
      <c r="N74" s="476">
        <v>20.932960510000001</v>
      </c>
      <c r="O74" s="476">
        <v>92.930267330000007</v>
      </c>
      <c r="P74" s="476" t="s">
        <v>808</v>
      </c>
      <c r="Q74" s="476"/>
      <c r="R74" s="482"/>
      <c r="S74" s="483"/>
      <c r="T74" s="502"/>
      <c r="U74" s="484"/>
      <c r="V74" s="476" t="s">
        <v>2284</v>
      </c>
      <c r="W74" s="476"/>
    </row>
    <row r="75" spans="1:23" s="69" customFormat="1" ht="14.25" customHeight="1">
      <c r="A75" s="483" t="s">
        <v>2827</v>
      </c>
      <c r="B75" s="486" t="s">
        <v>315</v>
      </c>
      <c r="C75" s="487" t="s">
        <v>356</v>
      </c>
      <c r="D75" s="481" t="s">
        <v>1685</v>
      </c>
      <c r="E75" s="476"/>
      <c r="F75" s="476"/>
      <c r="G75" s="476"/>
      <c r="H75" s="476"/>
      <c r="I75" s="476"/>
      <c r="J75" s="476" t="s">
        <v>807</v>
      </c>
      <c r="K75" s="476" t="s">
        <v>807</v>
      </c>
      <c r="L75" s="476" t="s">
        <v>807</v>
      </c>
      <c r="M75" s="476" t="s">
        <v>307</v>
      </c>
      <c r="N75" s="476"/>
      <c r="O75" s="476"/>
      <c r="P75" s="476" t="s">
        <v>808</v>
      </c>
      <c r="Q75" s="476" t="s">
        <v>789</v>
      </c>
      <c r="R75" s="490"/>
      <c r="S75" s="483"/>
      <c r="T75" s="502"/>
      <c r="U75" s="484"/>
      <c r="V75" s="476"/>
      <c r="W75" s="476"/>
    </row>
    <row r="76" spans="1:23" s="69" customFormat="1" ht="14.25" customHeight="1">
      <c r="A76" s="483" t="s">
        <v>2827</v>
      </c>
      <c r="B76" s="486" t="s">
        <v>315</v>
      </c>
      <c r="C76" s="487" t="s">
        <v>643</v>
      </c>
      <c r="D76" s="481" t="s">
        <v>1685</v>
      </c>
      <c r="E76" s="476">
        <v>196880</v>
      </c>
      <c r="F76" s="476"/>
      <c r="G76" s="476"/>
      <c r="H76" s="476"/>
      <c r="I76" s="476"/>
      <c r="J76" s="476" t="s">
        <v>813</v>
      </c>
      <c r="K76" s="476" t="s">
        <v>807</v>
      </c>
      <c r="L76" s="476" t="s">
        <v>813</v>
      </c>
      <c r="M76" s="476" t="s">
        <v>2048</v>
      </c>
      <c r="N76" s="476">
        <v>20.831729889999998</v>
      </c>
      <c r="O76" s="480">
        <v>92.919639590000003</v>
      </c>
      <c r="P76" s="476" t="s">
        <v>932</v>
      </c>
      <c r="Q76" s="476" t="s">
        <v>935</v>
      </c>
      <c r="R76" s="490"/>
      <c r="S76" s="483"/>
      <c r="T76" s="502">
        <v>43011</v>
      </c>
      <c r="U76" s="484" t="s">
        <v>936</v>
      </c>
      <c r="V76" s="476"/>
      <c r="W76" s="476"/>
    </row>
    <row r="77" spans="1:23" s="69" customFormat="1" ht="14.25" customHeight="1">
      <c r="A77" s="483" t="s">
        <v>2827</v>
      </c>
      <c r="B77" s="486" t="s">
        <v>315</v>
      </c>
      <c r="C77" s="487" t="s">
        <v>606</v>
      </c>
      <c r="D77" s="429" t="s">
        <v>2919</v>
      </c>
      <c r="E77" s="476" t="s">
        <v>1418</v>
      </c>
      <c r="F77" s="476" t="s">
        <v>1778</v>
      </c>
      <c r="G77" s="476" t="s">
        <v>1779</v>
      </c>
      <c r="H77" s="476"/>
      <c r="I77" s="476"/>
      <c r="J77" s="476" t="s">
        <v>807</v>
      </c>
      <c r="K77" s="476" t="s">
        <v>807</v>
      </c>
      <c r="L77" s="476" t="s">
        <v>892</v>
      </c>
      <c r="M77" s="476" t="s">
        <v>804</v>
      </c>
      <c r="N77" s="476">
        <v>20.78332</v>
      </c>
      <c r="O77" s="476">
        <v>92.987399999999994</v>
      </c>
      <c r="P77" s="476" t="s">
        <v>808</v>
      </c>
      <c r="Q77" s="476" t="s">
        <v>789</v>
      </c>
      <c r="R77" s="482">
        <v>144</v>
      </c>
      <c r="S77" s="483">
        <v>1006</v>
      </c>
      <c r="T77" s="502"/>
      <c r="U77" s="484"/>
      <c r="V77" s="476" t="s">
        <v>606</v>
      </c>
      <c r="W77" s="476"/>
    </row>
    <row r="78" spans="1:23" s="69" customFormat="1" ht="14.25" customHeight="1">
      <c r="A78" s="483" t="s">
        <v>2827</v>
      </c>
      <c r="B78" s="480" t="s">
        <v>315</v>
      </c>
      <c r="C78" s="480" t="s">
        <v>608</v>
      </c>
      <c r="D78" s="429" t="s">
        <v>1685</v>
      </c>
      <c r="E78" s="476">
        <v>196869</v>
      </c>
      <c r="F78" s="476"/>
      <c r="G78" s="476"/>
      <c r="H78" s="476"/>
      <c r="I78" s="476"/>
      <c r="J78" s="476" t="s">
        <v>807</v>
      </c>
      <c r="K78" s="476" t="s">
        <v>807</v>
      </c>
      <c r="L78" s="476" t="s">
        <v>807</v>
      </c>
      <c r="M78" s="476" t="s">
        <v>307</v>
      </c>
      <c r="N78" s="494">
        <v>20.785699839999999</v>
      </c>
      <c r="O78" s="494">
        <v>92.986633299999994</v>
      </c>
      <c r="P78" s="476" t="s">
        <v>808</v>
      </c>
      <c r="Q78" s="476" t="s">
        <v>789</v>
      </c>
      <c r="R78" s="482"/>
      <c r="S78" s="483"/>
      <c r="T78" s="502"/>
      <c r="U78" s="484"/>
      <c r="V78" s="476" t="s">
        <v>608</v>
      </c>
      <c r="W78" s="476"/>
    </row>
    <row r="79" spans="1:23" s="69" customFormat="1" ht="14.25" customHeight="1">
      <c r="A79" s="483" t="s">
        <v>2827</v>
      </c>
      <c r="B79" s="486" t="s">
        <v>315</v>
      </c>
      <c r="C79" s="487" t="s">
        <v>959</v>
      </c>
      <c r="D79" s="429" t="s">
        <v>2919</v>
      </c>
      <c r="E79" s="476" t="s">
        <v>1430</v>
      </c>
      <c r="F79" s="476" t="s">
        <v>1889</v>
      </c>
      <c r="G79" s="476" t="s">
        <v>1890</v>
      </c>
      <c r="H79" s="476"/>
      <c r="I79" s="476"/>
      <c r="J79" s="476" t="s">
        <v>807</v>
      </c>
      <c r="K79" s="476" t="s">
        <v>807</v>
      </c>
      <c r="L79" s="476" t="s">
        <v>892</v>
      </c>
      <c r="M79" s="476" t="s">
        <v>804</v>
      </c>
      <c r="N79" s="476">
        <v>20.929649000000001</v>
      </c>
      <c r="O79" s="476">
        <v>93.000815000000003</v>
      </c>
      <c r="P79" s="476" t="s">
        <v>808</v>
      </c>
      <c r="Q79" s="476"/>
      <c r="R79" s="482">
        <v>63</v>
      </c>
      <c r="S79" s="483">
        <v>414</v>
      </c>
      <c r="T79" s="502"/>
      <c r="U79" s="484" t="s">
        <v>869</v>
      </c>
      <c r="V79" s="476" t="s">
        <v>959</v>
      </c>
      <c r="W79" s="476"/>
    </row>
    <row r="80" spans="1:23" s="69" customFormat="1" ht="14.25" customHeight="1">
      <c r="A80" s="483" t="s">
        <v>2827</v>
      </c>
      <c r="B80" s="480" t="s">
        <v>315</v>
      </c>
      <c r="C80" s="480" t="s">
        <v>703</v>
      </c>
      <c r="D80" s="429" t="s">
        <v>1685</v>
      </c>
      <c r="E80" s="476">
        <v>196823</v>
      </c>
      <c r="F80" s="476"/>
      <c r="G80" s="476"/>
      <c r="H80" s="476"/>
      <c r="I80" s="476"/>
      <c r="J80" s="476" t="s">
        <v>813</v>
      </c>
      <c r="K80" s="476" t="s">
        <v>807</v>
      </c>
      <c r="L80" s="476" t="s">
        <v>813</v>
      </c>
      <c r="M80" s="476" t="s">
        <v>804</v>
      </c>
      <c r="N80" s="476">
        <v>20.85956955</v>
      </c>
      <c r="O80" s="476">
        <v>92.941146849999996</v>
      </c>
      <c r="P80" s="476" t="s">
        <v>932</v>
      </c>
      <c r="Q80" s="476" t="s">
        <v>789</v>
      </c>
      <c r="R80" s="482"/>
      <c r="S80" s="483"/>
      <c r="T80" s="502"/>
      <c r="U80" s="484"/>
      <c r="V80" s="476"/>
      <c r="W80" s="476"/>
    </row>
    <row r="81" spans="1:23" s="69" customFormat="1" ht="14.25" customHeight="1">
      <c r="A81" s="483" t="s">
        <v>2827</v>
      </c>
      <c r="B81" s="480" t="s">
        <v>315</v>
      </c>
      <c r="C81" s="480" t="s">
        <v>651</v>
      </c>
      <c r="D81" s="429" t="s">
        <v>1685</v>
      </c>
      <c r="E81" s="476">
        <v>196817</v>
      </c>
      <c r="F81" s="476"/>
      <c r="G81" s="476"/>
      <c r="H81" s="476"/>
      <c r="I81" s="476"/>
      <c r="J81" s="476" t="s">
        <v>813</v>
      </c>
      <c r="K81" s="476" t="s">
        <v>807</v>
      </c>
      <c r="L81" s="476" t="s">
        <v>813</v>
      </c>
      <c r="M81" s="476" t="s">
        <v>804</v>
      </c>
      <c r="N81" s="476">
        <v>20.864519120000001</v>
      </c>
      <c r="O81" s="476">
        <v>92.940399170000006</v>
      </c>
      <c r="P81" s="476" t="s">
        <v>932</v>
      </c>
      <c r="Q81" s="476" t="s">
        <v>935</v>
      </c>
      <c r="R81" s="482"/>
      <c r="S81" s="483"/>
      <c r="T81" s="502">
        <v>43011</v>
      </c>
      <c r="U81" s="484" t="s">
        <v>936</v>
      </c>
      <c r="V81" s="476"/>
      <c r="W81" s="476"/>
    </row>
    <row r="82" spans="1:23" s="69" customFormat="1" ht="14.25" customHeight="1">
      <c r="A82" s="483" t="s">
        <v>2827</v>
      </c>
      <c r="B82" s="486" t="s">
        <v>315</v>
      </c>
      <c r="C82" s="487" t="s">
        <v>2049</v>
      </c>
      <c r="D82" s="481" t="s">
        <v>1685</v>
      </c>
      <c r="E82" s="476">
        <v>196818</v>
      </c>
      <c r="F82" s="476"/>
      <c r="G82" s="476"/>
      <c r="H82" s="476"/>
      <c r="I82" s="476"/>
      <c r="J82" s="476" t="s">
        <v>813</v>
      </c>
      <c r="K82" s="476" t="s">
        <v>807</v>
      </c>
      <c r="L82" s="476" t="s">
        <v>813</v>
      </c>
      <c r="M82" s="476" t="s">
        <v>804</v>
      </c>
      <c r="N82" s="476"/>
      <c r="O82" s="476"/>
      <c r="P82" s="476" t="s">
        <v>932</v>
      </c>
      <c r="Q82" s="476" t="s">
        <v>935</v>
      </c>
      <c r="R82" s="490"/>
      <c r="S82" s="483"/>
      <c r="T82" s="502">
        <v>43011</v>
      </c>
      <c r="U82" s="484" t="s">
        <v>936</v>
      </c>
      <c r="V82" s="476"/>
      <c r="W82" s="476"/>
    </row>
    <row r="83" spans="1:23" s="69" customFormat="1" ht="14.25" customHeight="1">
      <c r="A83" s="483" t="s">
        <v>2827</v>
      </c>
      <c r="B83" s="486" t="s">
        <v>315</v>
      </c>
      <c r="C83" s="487" t="s">
        <v>2927</v>
      </c>
      <c r="D83" s="481"/>
      <c r="E83" s="476">
        <v>196911</v>
      </c>
      <c r="F83" s="476"/>
      <c r="G83" s="476"/>
      <c r="H83" s="476"/>
      <c r="I83" s="476"/>
      <c r="J83" s="476" t="s">
        <v>2836</v>
      </c>
      <c r="K83" s="476" t="s">
        <v>2798</v>
      </c>
      <c r="L83" s="476" t="s">
        <v>2798</v>
      </c>
      <c r="M83" s="476"/>
      <c r="N83" s="476">
        <v>20.674160003662099</v>
      </c>
      <c r="O83" s="476">
        <v>92.9078369140625</v>
      </c>
      <c r="P83" s="476"/>
      <c r="Q83" s="476"/>
      <c r="R83" s="490"/>
      <c r="S83" s="483"/>
      <c r="T83" s="502">
        <v>43591</v>
      </c>
      <c r="U83" s="490"/>
      <c r="V83" s="476"/>
      <c r="W83" s="482"/>
    </row>
    <row r="84" spans="1:23" s="69" customFormat="1" ht="14.25" customHeight="1">
      <c r="A84" s="483" t="s">
        <v>2827</v>
      </c>
      <c r="B84" s="480" t="s">
        <v>315</v>
      </c>
      <c r="C84" s="480" t="s">
        <v>627</v>
      </c>
      <c r="D84" s="429" t="s">
        <v>1685</v>
      </c>
      <c r="E84" s="476">
        <v>196873</v>
      </c>
      <c r="F84" s="485"/>
      <c r="G84" s="476"/>
      <c r="H84" s="476"/>
      <c r="I84" s="476"/>
      <c r="J84" s="476" t="s">
        <v>807</v>
      </c>
      <c r="K84" s="476" t="s">
        <v>807</v>
      </c>
      <c r="L84" s="476" t="s">
        <v>807</v>
      </c>
      <c r="M84" s="476" t="s">
        <v>307</v>
      </c>
      <c r="N84" s="476">
        <v>20.8064003</v>
      </c>
      <c r="O84" s="476">
        <v>92.982147220000002</v>
      </c>
      <c r="P84" s="476" t="s">
        <v>808</v>
      </c>
      <c r="Q84" s="476" t="s">
        <v>789</v>
      </c>
      <c r="R84" s="482"/>
      <c r="S84" s="483"/>
      <c r="T84" s="502"/>
      <c r="U84" s="484"/>
      <c r="V84" s="476" t="s">
        <v>627</v>
      </c>
      <c r="W84" s="476"/>
    </row>
    <row r="85" spans="1:23" s="69" customFormat="1" ht="14.25" customHeight="1">
      <c r="A85" s="483" t="s">
        <v>2827</v>
      </c>
      <c r="B85" s="486" t="s">
        <v>315</v>
      </c>
      <c r="C85" s="487" t="s">
        <v>2716</v>
      </c>
      <c r="D85" s="481"/>
      <c r="E85" s="476">
        <v>196673</v>
      </c>
      <c r="F85" s="476"/>
      <c r="G85" s="476"/>
      <c r="H85" s="476"/>
      <c r="I85" s="476"/>
      <c r="J85" s="476" t="s">
        <v>2836</v>
      </c>
      <c r="K85" s="476" t="s">
        <v>2798</v>
      </c>
      <c r="L85" s="476" t="s">
        <v>2798</v>
      </c>
      <c r="M85" s="476"/>
      <c r="N85" s="476"/>
      <c r="O85" s="476"/>
      <c r="P85" s="476"/>
      <c r="Q85" s="476"/>
      <c r="R85" s="490"/>
      <c r="S85" s="483"/>
      <c r="T85" s="502"/>
      <c r="U85" s="484"/>
      <c r="V85" s="476"/>
      <c r="W85" s="482"/>
    </row>
    <row r="86" spans="1:23" s="69" customFormat="1" ht="14.25" customHeight="1">
      <c r="A86" s="483" t="s">
        <v>2827</v>
      </c>
      <c r="B86" s="486" t="s">
        <v>315</v>
      </c>
      <c r="C86" s="487" t="s">
        <v>963</v>
      </c>
      <c r="D86" s="481" t="s">
        <v>1685</v>
      </c>
      <c r="E86" s="476">
        <v>196767</v>
      </c>
      <c r="F86" s="476"/>
      <c r="G86" s="476"/>
      <c r="H86" s="476"/>
      <c r="I86" s="476"/>
      <c r="J86" s="476" t="s">
        <v>807</v>
      </c>
      <c r="K86" s="476" t="s">
        <v>807</v>
      </c>
      <c r="L86" s="476" t="s">
        <v>807</v>
      </c>
      <c r="M86" s="476" t="s">
        <v>307</v>
      </c>
      <c r="N86" s="476">
        <v>21.006929400000001</v>
      </c>
      <c r="O86" s="476">
        <v>92.981040949999993</v>
      </c>
      <c r="P86" s="476" t="s">
        <v>808</v>
      </c>
      <c r="Q86" s="476"/>
      <c r="R86" s="490"/>
      <c r="S86" s="483"/>
      <c r="T86" s="502"/>
      <c r="U86" s="484"/>
      <c r="V86" s="476" t="s">
        <v>963</v>
      </c>
      <c r="W86" s="476"/>
    </row>
    <row r="87" spans="1:23" s="69" customFormat="1" ht="14.25" customHeight="1">
      <c r="A87" s="483" t="s">
        <v>2827</v>
      </c>
      <c r="B87" s="480" t="s">
        <v>315</v>
      </c>
      <c r="C87" s="480" t="s">
        <v>705</v>
      </c>
      <c r="D87" s="429" t="s">
        <v>1685</v>
      </c>
      <c r="E87" s="476">
        <v>196886</v>
      </c>
      <c r="F87" s="476"/>
      <c r="G87" s="476"/>
      <c r="H87" s="476"/>
      <c r="I87" s="476"/>
      <c r="J87" s="476" t="s">
        <v>813</v>
      </c>
      <c r="K87" s="476" t="s">
        <v>807</v>
      </c>
      <c r="L87" s="476" t="s">
        <v>813</v>
      </c>
      <c r="M87" s="476" t="s">
        <v>307</v>
      </c>
      <c r="N87" s="476">
        <v>20.803710939999998</v>
      </c>
      <c r="O87" s="476">
        <v>92.946136469999999</v>
      </c>
      <c r="P87" s="476" t="s">
        <v>932</v>
      </c>
      <c r="Q87" s="476" t="s">
        <v>789</v>
      </c>
      <c r="R87" s="482"/>
      <c r="S87" s="483"/>
      <c r="T87" s="502"/>
      <c r="U87" s="484"/>
      <c r="V87" s="476"/>
      <c r="W87" s="476"/>
    </row>
    <row r="88" spans="1:23" s="69" customFormat="1" ht="14.25" customHeight="1">
      <c r="A88" s="483" t="s">
        <v>2827</v>
      </c>
      <c r="B88" s="486" t="s">
        <v>315</v>
      </c>
      <c r="C88" s="487" t="s">
        <v>948</v>
      </c>
      <c r="D88" s="481" t="s">
        <v>1685</v>
      </c>
      <c r="E88" s="476">
        <v>196885</v>
      </c>
      <c r="F88" s="476"/>
      <c r="G88" s="476"/>
      <c r="H88" s="476"/>
      <c r="I88" s="476"/>
      <c r="J88" s="476" t="s">
        <v>813</v>
      </c>
      <c r="K88" s="476" t="s">
        <v>807</v>
      </c>
      <c r="L88" s="476" t="s">
        <v>813</v>
      </c>
      <c r="M88" s="476"/>
      <c r="N88" s="476">
        <v>20.80635071</v>
      </c>
      <c r="O88" s="476">
        <v>92.948310849999999</v>
      </c>
      <c r="P88" s="476" t="s">
        <v>932</v>
      </c>
      <c r="Q88" s="476" t="s">
        <v>935</v>
      </c>
      <c r="R88" s="490"/>
      <c r="S88" s="483"/>
      <c r="T88" s="502">
        <v>43011</v>
      </c>
      <c r="U88" s="484" t="s">
        <v>936</v>
      </c>
      <c r="V88" s="476"/>
      <c r="W88" s="476"/>
    </row>
    <row r="89" spans="1:23" s="69" customFormat="1" ht="14.25" customHeight="1">
      <c r="A89" s="483" t="s">
        <v>2827</v>
      </c>
      <c r="B89" s="486" t="s">
        <v>315</v>
      </c>
      <c r="C89" s="487" t="s">
        <v>2345</v>
      </c>
      <c r="D89" s="481"/>
      <c r="E89" s="476">
        <v>196932</v>
      </c>
      <c r="F89" s="476" t="s">
        <v>880</v>
      </c>
      <c r="G89" s="476"/>
      <c r="H89" s="476"/>
      <c r="I89" s="476"/>
      <c r="J89" s="476" t="s">
        <v>807</v>
      </c>
      <c r="K89" s="476" t="s">
        <v>807</v>
      </c>
      <c r="L89" s="476" t="s">
        <v>807</v>
      </c>
      <c r="M89" s="476"/>
      <c r="N89" s="476">
        <v>20.655569</v>
      </c>
      <c r="O89" s="476">
        <v>92.959709000000004</v>
      </c>
      <c r="P89" s="476" t="s">
        <v>808</v>
      </c>
      <c r="Q89" s="476" t="s">
        <v>2302</v>
      </c>
      <c r="R89" s="490"/>
      <c r="S89" s="483"/>
      <c r="T89" s="502">
        <v>43465</v>
      </c>
      <c r="U89" s="484" t="s">
        <v>2344</v>
      </c>
      <c r="V89" s="476" t="s">
        <v>2339</v>
      </c>
      <c r="W89" s="476"/>
    </row>
    <row r="90" spans="1:23" s="69" customFormat="1" ht="14.25" customHeight="1">
      <c r="A90" s="483" t="s">
        <v>2827</v>
      </c>
      <c r="B90" s="480" t="s">
        <v>315</v>
      </c>
      <c r="C90" s="480" t="s">
        <v>2292</v>
      </c>
      <c r="D90" s="429"/>
      <c r="E90" s="476">
        <v>196893</v>
      </c>
      <c r="F90" s="476"/>
      <c r="G90" s="476"/>
      <c r="H90" s="476"/>
      <c r="I90" s="476"/>
      <c r="J90" s="476" t="s">
        <v>807</v>
      </c>
      <c r="K90" s="476" t="s">
        <v>807</v>
      </c>
      <c r="L90" s="476" t="s">
        <v>807</v>
      </c>
      <c r="M90" s="476"/>
      <c r="N90" s="476">
        <v>20.760820389999999</v>
      </c>
      <c r="O90" s="476">
        <v>92.960083010000005</v>
      </c>
      <c r="P90" s="476" t="s">
        <v>808</v>
      </c>
      <c r="Q90" s="476"/>
      <c r="R90" s="482"/>
      <c r="S90" s="483"/>
      <c r="T90" s="502"/>
      <c r="U90" s="484"/>
      <c r="V90" s="476" t="s">
        <v>2285</v>
      </c>
      <c r="W90" s="476"/>
    </row>
    <row r="91" spans="1:23" s="69" customFormat="1" ht="14.25" customHeight="1">
      <c r="A91" s="483" t="s">
        <v>2827</v>
      </c>
      <c r="B91" s="480" t="s">
        <v>315</v>
      </c>
      <c r="C91" s="480" t="s">
        <v>362</v>
      </c>
      <c r="D91" s="429" t="s">
        <v>1685</v>
      </c>
      <c r="E91" s="476"/>
      <c r="F91" s="476"/>
      <c r="G91" s="476"/>
      <c r="H91" s="476"/>
      <c r="I91" s="476"/>
      <c r="J91" s="476" t="s">
        <v>813</v>
      </c>
      <c r="K91" s="476" t="s">
        <v>807</v>
      </c>
      <c r="L91" s="476" t="s">
        <v>813</v>
      </c>
      <c r="M91" s="476" t="s">
        <v>307</v>
      </c>
      <c r="N91" s="476"/>
      <c r="O91" s="476"/>
      <c r="P91" s="476" t="s">
        <v>932</v>
      </c>
      <c r="Q91" s="476" t="s">
        <v>935</v>
      </c>
      <c r="R91" s="482"/>
      <c r="S91" s="483"/>
      <c r="T91" s="502">
        <v>43011</v>
      </c>
      <c r="U91" s="484" t="s">
        <v>936</v>
      </c>
      <c r="V91" s="476"/>
      <c r="W91" s="476"/>
    </row>
    <row r="92" spans="1:23" s="69" customFormat="1" ht="14.25" customHeight="1">
      <c r="A92" s="483" t="s">
        <v>2827</v>
      </c>
      <c r="B92" s="480" t="s">
        <v>315</v>
      </c>
      <c r="C92" s="480" t="s">
        <v>941</v>
      </c>
      <c r="D92" s="429" t="s">
        <v>1685</v>
      </c>
      <c r="E92" s="476">
        <v>196950</v>
      </c>
      <c r="F92" s="476"/>
      <c r="G92" s="476"/>
      <c r="H92" s="476"/>
      <c r="I92" s="476"/>
      <c r="J92" s="476" t="s">
        <v>807</v>
      </c>
      <c r="K92" s="476" t="s">
        <v>807</v>
      </c>
      <c r="L92" s="476" t="s">
        <v>807</v>
      </c>
      <c r="M92" s="476" t="s">
        <v>2048</v>
      </c>
      <c r="N92" s="476">
        <v>20.720500950000002</v>
      </c>
      <c r="O92" s="476">
        <v>92.937339780000002</v>
      </c>
      <c r="P92" s="476" t="s">
        <v>808</v>
      </c>
      <c r="Q92" s="476"/>
      <c r="R92" s="482"/>
      <c r="S92" s="483"/>
      <c r="T92" s="502"/>
      <c r="U92" s="484"/>
      <c r="V92" s="476" t="s">
        <v>941</v>
      </c>
      <c r="W92" s="476"/>
    </row>
    <row r="93" spans="1:23" s="69" customFormat="1" ht="14.25" customHeight="1">
      <c r="A93" s="483" t="s">
        <v>2827</v>
      </c>
      <c r="B93" s="480" t="s">
        <v>315</v>
      </c>
      <c r="C93" s="480" t="s">
        <v>2994</v>
      </c>
      <c r="D93" s="429"/>
      <c r="E93" s="476">
        <v>196923</v>
      </c>
      <c r="F93" s="476"/>
      <c r="G93" s="476"/>
      <c r="H93" s="476"/>
      <c r="I93" s="476"/>
      <c r="J93" s="476" t="s">
        <v>2836</v>
      </c>
      <c r="K93" s="476" t="s">
        <v>2798</v>
      </c>
      <c r="L93" s="476" t="s">
        <v>2798</v>
      </c>
      <c r="M93" s="476"/>
      <c r="N93" s="476">
        <v>20.675489425659201</v>
      </c>
      <c r="O93" s="476">
        <v>92.916961669921903</v>
      </c>
      <c r="P93" s="476"/>
      <c r="Q93" s="476"/>
      <c r="R93" s="482"/>
      <c r="S93" s="483"/>
      <c r="T93" s="502"/>
      <c r="U93" s="484"/>
      <c r="V93" s="476"/>
      <c r="W93" s="476"/>
    </row>
    <row r="94" spans="1:23" s="69" customFormat="1" ht="14.25" customHeight="1">
      <c r="A94" s="483" t="s">
        <v>2827</v>
      </c>
      <c r="B94" s="480" t="s">
        <v>315</v>
      </c>
      <c r="C94" s="480" t="s">
        <v>2067</v>
      </c>
      <c r="D94" s="429"/>
      <c r="E94" s="476">
        <v>196828</v>
      </c>
      <c r="F94" s="476" t="s">
        <v>1782</v>
      </c>
      <c r="G94" s="476"/>
      <c r="H94" s="476"/>
      <c r="I94" s="476"/>
      <c r="J94" s="476" t="s">
        <v>807</v>
      </c>
      <c r="K94" s="476" t="s">
        <v>807</v>
      </c>
      <c r="L94" s="476" t="s">
        <v>807</v>
      </c>
      <c r="M94" s="476"/>
      <c r="N94" s="476">
        <v>20.860509870000001</v>
      </c>
      <c r="O94" s="476">
        <v>92.966751099999996</v>
      </c>
      <c r="P94" s="476" t="s">
        <v>808</v>
      </c>
      <c r="Q94" s="476"/>
      <c r="R94" s="482"/>
      <c r="S94" s="483"/>
      <c r="T94" s="502">
        <v>43297</v>
      </c>
      <c r="U94" s="484"/>
      <c r="V94" s="476"/>
      <c r="W94" s="476"/>
    </row>
    <row r="95" spans="1:23" s="69" customFormat="1" ht="14.25" customHeight="1">
      <c r="A95" s="483" t="s">
        <v>2827</v>
      </c>
      <c r="B95" s="486" t="s">
        <v>315</v>
      </c>
      <c r="C95" s="487" t="s">
        <v>586</v>
      </c>
      <c r="D95" s="429" t="s">
        <v>2919</v>
      </c>
      <c r="E95" s="476" t="s">
        <v>1417</v>
      </c>
      <c r="F95" s="476" t="s">
        <v>579</v>
      </c>
      <c r="G95" s="476" t="s">
        <v>586</v>
      </c>
      <c r="H95" s="476"/>
      <c r="I95" s="476"/>
      <c r="J95" s="476" t="s">
        <v>807</v>
      </c>
      <c r="K95" s="476" t="s">
        <v>807</v>
      </c>
      <c r="L95" s="476" t="s">
        <v>892</v>
      </c>
      <c r="M95" s="476" t="s">
        <v>804</v>
      </c>
      <c r="N95" s="476">
        <v>20.727589999999999</v>
      </c>
      <c r="O95" s="476">
        <v>92.969350000000006</v>
      </c>
      <c r="P95" s="476" t="s">
        <v>808</v>
      </c>
      <c r="Q95" s="476" t="s">
        <v>789</v>
      </c>
      <c r="R95" s="482">
        <v>112</v>
      </c>
      <c r="S95" s="483">
        <v>738</v>
      </c>
      <c r="T95" s="502"/>
      <c r="U95" s="484"/>
      <c r="V95" s="476" t="s">
        <v>586</v>
      </c>
      <c r="W95" s="476"/>
    </row>
    <row r="96" spans="1:23" s="69" customFormat="1" ht="14.25" customHeight="1">
      <c r="A96" s="483" t="s">
        <v>2827</v>
      </c>
      <c r="B96" s="486" t="s">
        <v>315</v>
      </c>
      <c r="C96" s="487" t="s">
        <v>582</v>
      </c>
      <c r="D96" s="481" t="s">
        <v>1685</v>
      </c>
      <c r="E96" s="476">
        <v>196951</v>
      </c>
      <c r="F96" s="476"/>
      <c r="G96" s="476"/>
      <c r="H96" s="476"/>
      <c r="I96" s="476"/>
      <c r="J96" s="476" t="s">
        <v>807</v>
      </c>
      <c r="K96" s="476" t="s">
        <v>807</v>
      </c>
      <c r="L96" s="476" t="s">
        <v>807</v>
      </c>
      <c r="M96" s="476" t="s">
        <v>307</v>
      </c>
      <c r="N96" s="476">
        <v>20.723630910000001</v>
      </c>
      <c r="O96" s="476">
        <v>92.974327090000003</v>
      </c>
      <c r="P96" s="476" t="s">
        <v>808</v>
      </c>
      <c r="Q96" s="476" t="s">
        <v>789</v>
      </c>
      <c r="R96" s="490"/>
      <c r="S96" s="483"/>
      <c r="T96" s="502"/>
      <c r="U96" s="484"/>
      <c r="V96" s="476" t="s">
        <v>582</v>
      </c>
      <c r="W96" s="476"/>
    </row>
    <row r="97" spans="1:23" s="69" customFormat="1" ht="14.25" customHeight="1">
      <c r="A97" s="486" t="s">
        <v>2827</v>
      </c>
      <c r="B97" s="486" t="s">
        <v>315</v>
      </c>
      <c r="C97" s="487" t="s">
        <v>2971</v>
      </c>
      <c r="D97" s="481"/>
      <c r="E97" s="476">
        <v>196981</v>
      </c>
      <c r="F97" s="476"/>
      <c r="G97" s="476"/>
      <c r="H97" s="476"/>
      <c r="I97" s="476"/>
      <c r="J97" s="476" t="s">
        <v>2836</v>
      </c>
      <c r="K97" s="476" t="s">
        <v>2798</v>
      </c>
      <c r="L97" s="476" t="s">
        <v>2798</v>
      </c>
      <c r="M97" s="476"/>
      <c r="N97" s="476">
        <v>20.656810760498001</v>
      </c>
      <c r="O97" s="476">
        <v>93.029953002929702</v>
      </c>
      <c r="P97" s="476"/>
      <c r="Q97" s="476"/>
      <c r="R97" s="490"/>
      <c r="S97" s="483"/>
      <c r="T97" s="502">
        <v>43591</v>
      </c>
      <c r="U97" s="490"/>
      <c r="V97" s="476"/>
      <c r="W97" s="482"/>
    </row>
    <row r="98" spans="1:23" s="69" customFormat="1" ht="14.25" customHeight="1">
      <c r="A98" s="483" t="s">
        <v>2827</v>
      </c>
      <c r="B98" s="476" t="s">
        <v>325</v>
      </c>
      <c r="C98" s="476" t="s">
        <v>885</v>
      </c>
      <c r="D98" s="429" t="s">
        <v>1685</v>
      </c>
      <c r="E98" s="476">
        <v>197171</v>
      </c>
      <c r="F98" s="508" t="s">
        <v>529</v>
      </c>
      <c r="G98" s="476"/>
      <c r="H98" s="476"/>
      <c r="I98" s="476"/>
      <c r="J98" s="476" t="s">
        <v>807</v>
      </c>
      <c r="K98" s="476" t="s">
        <v>807</v>
      </c>
      <c r="L98" s="476" t="s">
        <v>807</v>
      </c>
      <c r="M98" s="476"/>
      <c r="N98" s="476">
        <v>20.225250240000001</v>
      </c>
      <c r="O98" s="476">
        <v>93.418876650000001</v>
      </c>
      <c r="P98" s="476" t="s">
        <v>808</v>
      </c>
      <c r="Q98" s="476"/>
      <c r="R98" s="482"/>
      <c r="S98" s="483"/>
      <c r="T98" s="502"/>
      <c r="U98" s="484"/>
      <c r="V98" s="476" t="s">
        <v>886</v>
      </c>
      <c r="W98" s="476"/>
    </row>
    <row r="99" spans="1:23" s="69" customFormat="1" ht="14.25" customHeight="1">
      <c r="A99" s="483" t="s">
        <v>2827</v>
      </c>
      <c r="B99" s="476" t="s">
        <v>325</v>
      </c>
      <c r="C99" s="476" t="s">
        <v>2777</v>
      </c>
      <c r="D99" s="429"/>
      <c r="E99" s="476">
        <v>197034</v>
      </c>
      <c r="F99" s="476"/>
      <c r="G99" s="476"/>
      <c r="H99" s="476"/>
      <c r="I99" s="476"/>
      <c r="J99" s="476" t="s">
        <v>807</v>
      </c>
      <c r="K99" s="476" t="s">
        <v>807</v>
      </c>
      <c r="L99" s="476" t="s">
        <v>807</v>
      </c>
      <c r="M99" s="476"/>
      <c r="N99" s="476"/>
      <c r="O99" s="476"/>
      <c r="P99" s="476"/>
      <c r="Q99" s="476"/>
      <c r="R99" s="482"/>
      <c r="S99" s="483"/>
      <c r="T99" s="502"/>
      <c r="U99" s="484"/>
      <c r="V99" s="476"/>
      <c r="W99" s="476"/>
    </row>
    <row r="100" spans="1:23" s="69" customFormat="1" ht="14.25" customHeight="1">
      <c r="A100" s="483" t="s">
        <v>2827</v>
      </c>
      <c r="B100" s="476" t="s">
        <v>325</v>
      </c>
      <c r="C100" s="476" t="s">
        <v>2774</v>
      </c>
      <c r="D100" s="429"/>
      <c r="E100" s="476">
        <v>197020</v>
      </c>
      <c r="F100" s="476"/>
      <c r="G100" s="476"/>
      <c r="H100" s="476"/>
      <c r="I100" s="476"/>
      <c r="J100" s="476" t="s">
        <v>807</v>
      </c>
      <c r="K100" s="476" t="s">
        <v>807</v>
      </c>
      <c r="L100" s="476" t="s">
        <v>807</v>
      </c>
      <c r="M100" s="476"/>
      <c r="N100" s="476"/>
      <c r="O100" s="476"/>
      <c r="P100" s="476"/>
      <c r="Q100" s="476"/>
      <c r="R100" s="482"/>
      <c r="S100" s="483"/>
      <c r="T100" s="502"/>
      <c r="U100" s="484"/>
      <c r="V100" s="476"/>
      <c r="W100" s="476"/>
    </row>
    <row r="101" spans="1:23" s="69" customFormat="1" ht="14.25" customHeight="1">
      <c r="A101" s="483" t="s">
        <v>2827</v>
      </c>
      <c r="B101" s="476" t="s">
        <v>325</v>
      </c>
      <c r="C101" s="476" t="s">
        <v>2792</v>
      </c>
      <c r="D101" s="429"/>
      <c r="E101" s="476">
        <v>220651</v>
      </c>
      <c r="F101" s="476"/>
      <c r="G101" s="476"/>
      <c r="H101" s="476"/>
      <c r="I101" s="476"/>
      <c r="J101" s="476" t="s">
        <v>807</v>
      </c>
      <c r="K101" s="476" t="s">
        <v>807</v>
      </c>
      <c r="L101" s="476" t="s">
        <v>807</v>
      </c>
      <c r="M101" s="476"/>
      <c r="N101" s="476"/>
      <c r="O101" s="476"/>
      <c r="P101" s="476"/>
      <c r="Q101" s="476"/>
      <c r="R101" s="482"/>
      <c r="S101" s="483"/>
      <c r="T101" s="502"/>
      <c r="U101" s="484"/>
      <c r="V101" s="476"/>
      <c r="W101" s="476"/>
    </row>
    <row r="102" spans="1:23" s="69" customFormat="1" ht="14.25" customHeight="1">
      <c r="A102" s="483" t="s">
        <v>2827</v>
      </c>
      <c r="B102" s="476" t="s">
        <v>325</v>
      </c>
      <c r="C102" s="476" t="s">
        <v>908</v>
      </c>
      <c r="D102" s="429" t="s">
        <v>2919</v>
      </c>
      <c r="E102" s="476" t="s">
        <v>1405</v>
      </c>
      <c r="F102" s="476" t="s">
        <v>889</v>
      </c>
      <c r="G102" s="476" t="s">
        <v>908</v>
      </c>
      <c r="H102" s="476"/>
      <c r="I102" s="476"/>
      <c r="J102" s="476" t="s">
        <v>807</v>
      </c>
      <c r="K102" s="476" t="s">
        <v>807</v>
      </c>
      <c r="L102" s="476" t="s">
        <v>892</v>
      </c>
      <c r="M102" s="476" t="s">
        <v>804</v>
      </c>
      <c r="N102" s="476">
        <v>20.480898</v>
      </c>
      <c r="O102" s="476">
        <v>93.299485000000004</v>
      </c>
      <c r="P102" s="476" t="s">
        <v>808</v>
      </c>
      <c r="Q102" s="476"/>
      <c r="R102" s="482">
        <v>87</v>
      </c>
      <c r="S102" s="483">
        <v>444</v>
      </c>
      <c r="T102" s="502"/>
      <c r="U102" s="484" t="s">
        <v>869</v>
      </c>
      <c r="V102" s="476" t="s">
        <v>908</v>
      </c>
      <c r="W102" s="476"/>
    </row>
    <row r="103" spans="1:23" s="69" customFormat="1" ht="14.25" customHeight="1">
      <c r="A103" s="483" t="s">
        <v>2827</v>
      </c>
      <c r="B103" s="476" t="s">
        <v>325</v>
      </c>
      <c r="C103" s="476" t="s">
        <v>2786</v>
      </c>
      <c r="D103" s="429"/>
      <c r="E103" s="476">
        <v>197090</v>
      </c>
      <c r="F103" s="476"/>
      <c r="G103" s="476"/>
      <c r="H103" s="476"/>
      <c r="I103" s="476"/>
      <c r="J103" s="476" t="s">
        <v>807</v>
      </c>
      <c r="K103" s="476" t="s">
        <v>807</v>
      </c>
      <c r="L103" s="476" t="s">
        <v>807</v>
      </c>
      <c r="M103" s="476"/>
      <c r="N103" s="476"/>
      <c r="O103" s="476"/>
      <c r="P103" s="476"/>
      <c r="Q103" s="476"/>
      <c r="R103" s="482"/>
      <c r="S103" s="483"/>
      <c r="T103" s="502"/>
      <c r="U103" s="484"/>
      <c r="V103" s="476"/>
      <c r="W103" s="476"/>
    </row>
    <row r="104" spans="1:23" s="69" customFormat="1" ht="14.25" customHeight="1">
      <c r="A104" s="483" t="s">
        <v>2827</v>
      </c>
      <c r="B104" s="476" t="s">
        <v>325</v>
      </c>
      <c r="C104" s="476" t="s">
        <v>475</v>
      </c>
      <c r="D104" s="429" t="s">
        <v>1685</v>
      </c>
      <c r="E104" s="476">
        <v>196994</v>
      </c>
      <c r="F104" s="476"/>
      <c r="G104" s="476"/>
      <c r="H104" s="476"/>
      <c r="I104" s="476"/>
      <c r="J104" s="476" t="s">
        <v>807</v>
      </c>
      <c r="K104" s="476" t="s">
        <v>807</v>
      </c>
      <c r="L104" s="476" t="s">
        <v>807</v>
      </c>
      <c r="M104" s="476" t="s">
        <v>898</v>
      </c>
      <c r="N104" s="476">
        <v>20.394809720000001</v>
      </c>
      <c r="O104" s="476">
        <v>93.251609799999997</v>
      </c>
      <c r="P104" s="476" t="s">
        <v>808</v>
      </c>
      <c r="Q104" s="476" t="s">
        <v>789</v>
      </c>
      <c r="R104" s="482"/>
      <c r="S104" s="483"/>
      <c r="T104" s="502"/>
      <c r="U104" s="484"/>
      <c r="V104" s="476" t="s">
        <v>899</v>
      </c>
      <c r="W104" s="476"/>
    </row>
    <row r="105" spans="1:23" s="69" customFormat="1" ht="14.25" customHeight="1">
      <c r="A105" s="483" t="s">
        <v>2827</v>
      </c>
      <c r="B105" s="476" t="s">
        <v>325</v>
      </c>
      <c r="C105" s="476" t="s">
        <v>326</v>
      </c>
      <c r="D105" s="429" t="s">
        <v>1685</v>
      </c>
      <c r="E105" s="476">
        <v>197174</v>
      </c>
      <c r="F105" s="476"/>
      <c r="G105" s="476"/>
      <c r="H105" s="476"/>
      <c r="I105" s="476"/>
      <c r="J105" s="476" t="s">
        <v>807</v>
      </c>
      <c r="K105" s="476" t="s">
        <v>807</v>
      </c>
      <c r="L105" s="476" t="s">
        <v>807</v>
      </c>
      <c r="M105" s="476" t="s">
        <v>307</v>
      </c>
      <c r="N105" s="476"/>
      <c r="O105" s="476"/>
      <c r="P105" s="476" t="s">
        <v>808</v>
      </c>
      <c r="Q105" s="476" t="s">
        <v>789</v>
      </c>
      <c r="R105" s="482"/>
      <c r="S105" s="483"/>
      <c r="T105" s="502" t="s">
        <v>814</v>
      </c>
      <c r="U105" s="484"/>
      <c r="V105" s="476"/>
      <c r="W105" s="476"/>
    </row>
    <row r="106" spans="1:23" s="69" customFormat="1" ht="14.25" customHeight="1">
      <c r="A106" s="483" t="s">
        <v>2827</v>
      </c>
      <c r="B106" s="476" t="s">
        <v>325</v>
      </c>
      <c r="C106" s="476" t="s">
        <v>2790</v>
      </c>
      <c r="D106" s="429"/>
      <c r="E106" s="476">
        <v>197099</v>
      </c>
      <c r="F106" s="476"/>
      <c r="G106" s="476"/>
      <c r="H106" s="476"/>
      <c r="I106" s="476"/>
      <c r="J106" s="476" t="s">
        <v>807</v>
      </c>
      <c r="K106" s="476" t="s">
        <v>807</v>
      </c>
      <c r="L106" s="476" t="s">
        <v>807</v>
      </c>
      <c r="M106" s="476"/>
      <c r="N106" s="476"/>
      <c r="O106" s="476"/>
      <c r="P106" s="476"/>
      <c r="Q106" s="476"/>
      <c r="R106" s="482"/>
      <c r="S106" s="483"/>
      <c r="T106" s="502"/>
      <c r="U106" s="484"/>
      <c r="V106" s="476"/>
      <c r="W106" s="476"/>
    </row>
    <row r="107" spans="1:23" s="69" customFormat="1" ht="14.25" customHeight="1">
      <c r="A107" s="483" t="s">
        <v>2827</v>
      </c>
      <c r="B107" s="476" t="s">
        <v>325</v>
      </c>
      <c r="C107" s="476" t="s">
        <v>880</v>
      </c>
      <c r="D107" s="429" t="s">
        <v>1685</v>
      </c>
      <c r="E107" s="476">
        <v>197176</v>
      </c>
      <c r="F107" s="476" t="s">
        <v>529</v>
      </c>
      <c r="G107" s="476"/>
      <c r="H107" s="476"/>
      <c r="I107" s="476"/>
      <c r="J107" s="476" t="s">
        <v>807</v>
      </c>
      <c r="K107" s="476" t="s">
        <v>807</v>
      </c>
      <c r="L107" s="476" t="s">
        <v>807</v>
      </c>
      <c r="M107" s="476" t="s">
        <v>804</v>
      </c>
      <c r="N107" s="476">
        <v>20.203340529999998</v>
      </c>
      <c r="O107" s="476">
        <v>93.426139829999997</v>
      </c>
      <c r="P107" s="476" t="s">
        <v>808</v>
      </c>
      <c r="Q107" s="476"/>
      <c r="R107" s="482"/>
      <c r="S107" s="483"/>
      <c r="T107" s="502"/>
      <c r="U107" s="476"/>
      <c r="V107" s="476" t="s">
        <v>881</v>
      </c>
      <c r="W107" s="476"/>
    </row>
    <row r="108" spans="1:23" s="69" customFormat="1" ht="14.25" customHeight="1">
      <c r="A108" s="483" t="s">
        <v>2827</v>
      </c>
      <c r="B108" s="476" t="s">
        <v>325</v>
      </c>
      <c r="C108" s="476" t="s">
        <v>2795</v>
      </c>
      <c r="D108" s="429"/>
      <c r="E108" s="476">
        <v>197111</v>
      </c>
      <c r="F108" s="476"/>
      <c r="G108" s="476"/>
      <c r="H108" s="476"/>
      <c r="I108" s="476"/>
      <c r="J108" s="476" t="s">
        <v>807</v>
      </c>
      <c r="K108" s="476" t="s">
        <v>807</v>
      </c>
      <c r="L108" s="476" t="s">
        <v>807</v>
      </c>
      <c r="M108" s="476"/>
      <c r="N108" s="476"/>
      <c r="O108" s="476"/>
      <c r="P108" s="476"/>
      <c r="Q108" s="476"/>
      <c r="R108" s="482"/>
      <c r="S108" s="483"/>
      <c r="T108" s="502"/>
      <c r="U108" s="484"/>
      <c r="V108" s="476"/>
      <c r="W108" s="476"/>
    </row>
    <row r="109" spans="1:23" s="69" customFormat="1" ht="14.25" customHeight="1">
      <c r="A109" s="486" t="s">
        <v>2827</v>
      </c>
      <c r="B109" s="486" t="s">
        <v>325</v>
      </c>
      <c r="C109" s="487" t="s">
        <v>2933</v>
      </c>
      <c r="D109" s="481"/>
      <c r="E109" s="476"/>
      <c r="F109" s="476"/>
      <c r="G109" s="476"/>
      <c r="H109" s="476"/>
      <c r="I109" s="476"/>
      <c r="J109" s="476" t="s">
        <v>2836</v>
      </c>
      <c r="K109" s="476" t="s">
        <v>2798</v>
      </c>
      <c r="L109" s="476" t="s">
        <v>2798</v>
      </c>
      <c r="M109" s="476"/>
      <c r="N109" s="476"/>
      <c r="O109" s="476"/>
      <c r="P109" s="476"/>
      <c r="Q109" s="476"/>
      <c r="R109" s="490"/>
      <c r="S109" s="483"/>
      <c r="T109" s="502">
        <v>43591</v>
      </c>
      <c r="U109" s="490"/>
      <c r="V109" s="476"/>
      <c r="W109" s="482"/>
    </row>
    <row r="110" spans="1:23" s="69" customFormat="1" ht="14.25" customHeight="1">
      <c r="A110" s="483" t="s">
        <v>2827</v>
      </c>
      <c r="B110" s="476" t="s">
        <v>325</v>
      </c>
      <c r="C110" s="476" t="s">
        <v>2783</v>
      </c>
      <c r="D110" s="429"/>
      <c r="E110" s="476">
        <v>197042</v>
      </c>
      <c r="F110" s="476"/>
      <c r="G110" s="476"/>
      <c r="H110" s="476"/>
      <c r="I110" s="476"/>
      <c r="J110" s="476" t="s">
        <v>807</v>
      </c>
      <c r="K110" s="476" t="s">
        <v>807</v>
      </c>
      <c r="L110" s="476" t="s">
        <v>807</v>
      </c>
      <c r="M110" s="476"/>
      <c r="N110" s="476"/>
      <c r="O110" s="476"/>
      <c r="P110" s="476"/>
      <c r="Q110" s="476"/>
      <c r="R110" s="482"/>
      <c r="S110" s="483"/>
      <c r="T110" s="502"/>
      <c r="U110" s="484"/>
      <c r="V110" s="476"/>
      <c r="W110" s="476"/>
    </row>
    <row r="111" spans="1:23" s="69" customFormat="1" ht="14.25" customHeight="1">
      <c r="A111" s="483" t="s">
        <v>2827</v>
      </c>
      <c r="B111" s="476" t="s">
        <v>325</v>
      </c>
      <c r="C111" s="476" t="s">
        <v>477</v>
      </c>
      <c r="D111" s="429" t="s">
        <v>1685</v>
      </c>
      <c r="E111" s="476">
        <v>196996</v>
      </c>
      <c r="F111" s="476"/>
      <c r="G111" s="476"/>
      <c r="H111" s="476"/>
      <c r="I111" s="476"/>
      <c r="J111" s="476" t="s">
        <v>807</v>
      </c>
      <c r="K111" s="476" t="s">
        <v>807</v>
      </c>
      <c r="L111" s="476" t="s">
        <v>807</v>
      </c>
      <c r="M111" s="476" t="s">
        <v>307</v>
      </c>
      <c r="N111" s="476">
        <v>20.398889539999999</v>
      </c>
      <c r="O111" s="476">
        <v>93.25405121</v>
      </c>
      <c r="P111" s="476" t="s">
        <v>808</v>
      </c>
      <c r="Q111" s="476" t="s">
        <v>789</v>
      </c>
      <c r="R111" s="482"/>
      <c r="S111" s="483"/>
      <c r="T111" s="502"/>
      <c r="U111" s="484"/>
      <c r="V111" s="476" t="s">
        <v>477</v>
      </c>
      <c r="W111" s="476"/>
    </row>
    <row r="112" spans="1:23" s="69" customFormat="1" ht="14.25" customHeight="1">
      <c r="A112" s="483" t="s">
        <v>2827</v>
      </c>
      <c r="B112" s="476" t="s">
        <v>325</v>
      </c>
      <c r="C112" s="476" t="s">
        <v>2784</v>
      </c>
      <c r="D112" s="429"/>
      <c r="E112" s="476">
        <v>197043</v>
      </c>
      <c r="F112" s="476"/>
      <c r="G112" s="476"/>
      <c r="H112" s="476"/>
      <c r="I112" s="476"/>
      <c r="J112" s="476" t="s">
        <v>807</v>
      </c>
      <c r="K112" s="476" t="s">
        <v>807</v>
      </c>
      <c r="L112" s="476" t="s">
        <v>807</v>
      </c>
      <c r="M112" s="476"/>
      <c r="N112" s="476"/>
      <c r="O112" s="476"/>
      <c r="P112" s="476"/>
      <c r="Q112" s="476"/>
      <c r="R112" s="482"/>
      <c r="S112" s="483"/>
      <c r="T112" s="502"/>
      <c r="U112" s="484"/>
      <c r="V112" s="476"/>
      <c r="W112" s="476"/>
    </row>
    <row r="113" spans="1:23" s="69" customFormat="1" ht="14.25" customHeight="1">
      <c r="A113" s="483" t="s">
        <v>2827</v>
      </c>
      <c r="B113" s="476" t="s">
        <v>325</v>
      </c>
      <c r="C113" s="476" t="s">
        <v>457</v>
      </c>
      <c r="D113" s="429" t="s">
        <v>1685</v>
      </c>
      <c r="E113" s="476">
        <v>220671</v>
      </c>
      <c r="F113" s="476"/>
      <c r="G113" s="476"/>
      <c r="H113" s="476"/>
      <c r="I113" s="476"/>
      <c r="J113" s="476" t="s">
        <v>807</v>
      </c>
      <c r="K113" s="476" t="s">
        <v>807</v>
      </c>
      <c r="L113" s="476" t="s">
        <v>807</v>
      </c>
      <c r="M113" s="476" t="s">
        <v>307</v>
      </c>
      <c r="N113" s="476">
        <v>20.218471529999999</v>
      </c>
      <c r="O113" s="476">
        <v>93.424331670000001</v>
      </c>
      <c r="P113" s="476" t="s">
        <v>808</v>
      </c>
      <c r="Q113" s="476" t="s">
        <v>789</v>
      </c>
      <c r="R113" s="482"/>
      <c r="S113" s="483"/>
      <c r="T113" s="502"/>
      <c r="U113" s="484"/>
      <c r="V113" s="476" t="s">
        <v>883</v>
      </c>
      <c r="W113" s="476"/>
    </row>
    <row r="114" spans="1:23" s="69" customFormat="1" ht="14.25" customHeight="1">
      <c r="A114" s="483" t="s">
        <v>2827</v>
      </c>
      <c r="B114" s="476" t="s">
        <v>325</v>
      </c>
      <c r="C114" s="476" t="s">
        <v>2772</v>
      </c>
      <c r="D114" s="429"/>
      <c r="E114" s="476">
        <v>197017</v>
      </c>
      <c r="F114" s="476"/>
      <c r="G114" s="476"/>
      <c r="H114" s="476"/>
      <c r="I114" s="476"/>
      <c r="J114" s="476" t="s">
        <v>807</v>
      </c>
      <c r="K114" s="476" t="s">
        <v>807</v>
      </c>
      <c r="L114" s="476" t="s">
        <v>807</v>
      </c>
      <c r="M114" s="476"/>
      <c r="N114" s="476"/>
      <c r="O114" s="476"/>
      <c r="P114" s="476"/>
      <c r="Q114" s="476"/>
      <c r="R114" s="482"/>
      <c r="S114" s="483"/>
      <c r="T114" s="502"/>
      <c r="U114" s="484"/>
      <c r="V114" s="476"/>
      <c r="W114" s="476"/>
    </row>
    <row r="115" spans="1:23" s="69" customFormat="1" ht="14.25" customHeight="1">
      <c r="A115" s="483" t="s">
        <v>2827</v>
      </c>
      <c r="B115" s="486" t="s">
        <v>325</v>
      </c>
      <c r="C115" s="487" t="s">
        <v>2928</v>
      </c>
      <c r="D115" s="481"/>
      <c r="E115" s="476">
        <v>197065</v>
      </c>
      <c r="F115" s="476"/>
      <c r="G115" s="476"/>
      <c r="H115" s="476"/>
      <c r="I115" s="476"/>
      <c r="J115" s="476" t="s">
        <v>2836</v>
      </c>
      <c r="K115" s="476" t="s">
        <v>2798</v>
      </c>
      <c r="L115" s="476" t="s">
        <v>2798</v>
      </c>
      <c r="M115" s="476"/>
      <c r="N115" s="476">
        <v>20.593980789184599</v>
      </c>
      <c r="O115" s="476">
        <v>93.261528015136705</v>
      </c>
      <c r="P115" s="476"/>
      <c r="Q115" s="476"/>
      <c r="R115" s="490"/>
      <c r="S115" s="483"/>
      <c r="T115" s="502">
        <v>43591</v>
      </c>
      <c r="U115" s="490"/>
      <c r="V115" s="476"/>
      <c r="W115" s="482"/>
    </row>
    <row r="116" spans="1:23" s="69" customFormat="1" ht="14.25" customHeight="1">
      <c r="A116" s="483" t="s">
        <v>2827</v>
      </c>
      <c r="B116" s="476" t="s">
        <v>325</v>
      </c>
      <c r="C116" s="476" t="s">
        <v>2782</v>
      </c>
      <c r="D116" s="429"/>
      <c r="E116" s="476">
        <v>197041</v>
      </c>
      <c r="F116" s="476"/>
      <c r="G116" s="476"/>
      <c r="H116" s="476"/>
      <c r="I116" s="476"/>
      <c r="J116" s="476" t="s">
        <v>807</v>
      </c>
      <c r="K116" s="476" t="s">
        <v>807</v>
      </c>
      <c r="L116" s="476" t="s">
        <v>807</v>
      </c>
      <c r="M116" s="476"/>
      <c r="N116" s="476"/>
      <c r="O116" s="476"/>
      <c r="P116" s="476"/>
      <c r="Q116" s="476"/>
      <c r="R116" s="482"/>
      <c r="S116" s="483"/>
      <c r="T116" s="502"/>
      <c r="U116" s="484"/>
      <c r="V116" s="476"/>
      <c r="W116" s="476"/>
    </row>
    <row r="117" spans="1:23" s="69" customFormat="1" ht="14.25" customHeight="1">
      <c r="A117" s="486" t="s">
        <v>2827</v>
      </c>
      <c r="B117" s="486" t="s">
        <v>325</v>
      </c>
      <c r="C117" s="487" t="s">
        <v>2952</v>
      </c>
      <c r="D117" s="481"/>
      <c r="E117" s="476"/>
      <c r="F117" s="476"/>
      <c r="G117" s="476"/>
      <c r="H117" s="476"/>
      <c r="I117" s="476"/>
      <c r="J117" s="476" t="s">
        <v>2836</v>
      </c>
      <c r="K117" s="476" t="s">
        <v>2798</v>
      </c>
      <c r="L117" s="476" t="s">
        <v>2798</v>
      </c>
      <c r="M117" s="476"/>
      <c r="N117" s="476"/>
      <c r="O117" s="476"/>
      <c r="P117" s="476"/>
      <c r="Q117" s="476"/>
      <c r="R117" s="490"/>
      <c r="S117" s="483"/>
      <c r="T117" s="502">
        <v>43591</v>
      </c>
      <c r="U117" s="490"/>
      <c r="V117" s="476"/>
      <c r="W117" s="482"/>
    </row>
    <row r="118" spans="1:23" s="69" customFormat="1" ht="14.25" customHeight="1">
      <c r="A118" s="483" t="s">
        <v>2827</v>
      </c>
      <c r="B118" s="476" t="s">
        <v>325</v>
      </c>
      <c r="C118" s="476" t="s">
        <v>2793</v>
      </c>
      <c r="D118" s="429"/>
      <c r="E118" s="476">
        <v>197103</v>
      </c>
      <c r="F118" s="476"/>
      <c r="G118" s="476"/>
      <c r="H118" s="476"/>
      <c r="I118" s="476"/>
      <c r="J118" s="476" t="s">
        <v>807</v>
      </c>
      <c r="K118" s="476" t="s">
        <v>807</v>
      </c>
      <c r="L118" s="476" t="s">
        <v>807</v>
      </c>
      <c r="M118" s="476"/>
      <c r="N118" s="476"/>
      <c r="O118" s="476"/>
      <c r="P118" s="476"/>
      <c r="Q118" s="476"/>
      <c r="R118" s="482"/>
      <c r="S118" s="483"/>
      <c r="T118" s="502"/>
      <c r="U118" s="484"/>
      <c r="V118" s="476"/>
      <c r="W118" s="476"/>
    </row>
    <row r="119" spans="1:23" s="69" customFormat="1" ht="14.25" customHeight="1">
      <c r="A119" s="483" t="s">
        <v>2827</v>
      </c>
      <c r="B119" s="476" t="s">
        <v>325</v>
      </c>
      <c r="C119" s="476" t="s">
        <v>2776</v>
      </c>
      <c r="D119" s="429"/>
      <c r="E119" s="476">
        <v>197028</v>
      </c>
      <c r="F119" s="476"/>
      <c r="G119" s="476"/>
      <c r="H119" s="476"/>
      <c r="I119" s="476"/>
      <c r="J119" s="476" t="s">
        <v>807</v>
      </c>
      <c r="K119" s="476" t="s">
        <v>807</v>
      </c>
      <c r="L119" s="476" t="s">
        <v>807</v>
      </c>
      <c r="M119" s="476"/>
      <c r="N119" s="476"/>
      <c r="O119" s="476"/>
      <c r="P119" s="476"/>
      <c r="Q119" s="476"/>
      <c r="R119" s="482"/>
      <c r="S119" s="483"/>
      <c r="T119" s="502"/>
      <c r="U119" s="484"/>
      <c r="V119" s="476"/>
      <c r="W119" s="476"/>
    </row>
    <row r="120" spans="1:23" s="69" customFormat="1" ht="14.25" customHeight="1">
      <c r="A120" s="483" t="s">
        <v>2827</v>
      </c>
      <c r="B120" s="476" t="s">
        <v>325</v>
      </c>
      <c r="C120" s="476" t="s">
        <v>2775</v>
      </c>
      <c r="D120" s="429"/>
      <c r="E120" s="476">
        <v>197027</v>
      </c>
      <c r="F120" s="476"/>
      <c r="G120" s="476"/>
      <c r="H120" s="476"/>
      <c r="I120" s="476"/>
      <c r="J120" s="476" t="s">
        <v>807</v>
      </c>
      <c r="K120" s="476" t="s">
        <v>807</v>
      </c>
      <c r="L120" s="476" t="s">
        <v>807</v>
      </c>
      <c r="M120" s="476"/>
      <c r="N120" s="476"/>
      <c r="O120" s="476"/>
      <c r="P120" s="476"/>
      <c r="Q120" s="476"/>
      <c r="R120" s="482"/>
      <c r="S120" s="483"/>
      <c r="T120" s="502"/>
      <c r="U120" s="484"/>
      <c r="V120" s="476"/>
      <c r="W120" s="476"/>
    </row>
    <row r="121" spans="1:23" s="69" customFormat="1" ht="14.25" customHeight="1">
      <c r="A121" s="483" t="s">
        <v>2827</v>
      </c>
      <c r="B121" s="476" t="s">
        <v>325</v>
      </c>
      <c r="C121" s="476" t="s">
        <v>895</v>
      </c>
      <c r="D121" s="429" t="s">
        <v>2919</v>
      </c>
      <c r="E121" s="398" t="s">
        <v>1397</v>
      </c>
      <c r="F121" s="476" t="s">
        <v>1774</v>
      </c>
      <c r="G121" s="476" t="s">
        <v>1774</v>
      </c>
      <c r="H121" s="476"/>
      <c r="I121" s="476"/>
      <c r="J121" s="476" t="s">
        <v>807</v>
      </c>
      <c r="K121" s="476" t="s">
        <v>807</v>
      </c>
      <c r="L121" s="476" t="s">
        <v>892</v>
      </c>
      <c r="M121" s="476" t="s">
        <v>804</v>
      </c>
      <c r="N121" s="493">
        <v>20.377523</v>
      </c>
      <c r="O121" s="402">
        <v>93.271642</v>
      </c>
      <c r="P121" s="476" t="s">
        <v>808</v>
      </c>
      <c r="Q121" s="476"/>
      <c r="R121" s="482">
        <v>19</v>
      </c>
      <c r="S121" s="483">
        <v>142</v>
      </c>
      <c r="T121" s="502"/>
      <c r="U121" s="484" t="s">
        <v>869</v>
      </c>
      <c r="V121" s="476" t="s">
        <v>895</v>
      </c>
      <c r="W121" s="476"/>
    </row>
    <row r="122" spans="1:23" s="69" customFormat="1" ht="14.25" customHeight="1">
      <c r="A122" s="483" t="s">
        <v>2827</v>
      </c>
      <c r="B122" s="476" t="s">
        <v>325</v>
      </c>
      <c r="C122" s="476" t="s">
        <v>671</v>
      </c>
      <c r="D122" s="429"/>
      <c r="E122" s="476">
        <v>197110</v>
      </c>
      <c r="F122" s="476" t="s">
        <v>2888</v>
      </c>
      <c r="G122" s="476"/>
      <c r="H122" s="476"/>
      <c r="I122" s="476"/>
      <c r="J122" s="476" t="s">
        <v>807</v>
      </c>
      <c r="K122" s="476" t="s">
        <v>807</v>
      </c>
      <c r="L122" s="476" t="s">
        <v>807</v>
      </c>
      <c r="M122" s="476"/>
      <c r="N122" s="476"/>
      <c r="O122" s="476"/>
      <c r="P122" s="476"/>
      <c r="Q122" s="476"/>
      <c r="R122" s="482"/>
      <c r="S122" s="483"/>
      <c r="T122" s="502"/>
      <c r="U122" s="484"/>
      <c r="V122" s="476"/>
      <c r="W122" s="476"/>
    </row>
    <row r="123" spans="1:23" s="69" customFormat="1" ht="14.25" customHeight="1">
      <c r="A123" s="486" t="s">
        <v>2827</v>
      </c>
      <c r="B123" s="486" t="s">
        <v>325</v>
      </c>
      <c r="C123" s="487" t="s">
        <v>2932</v>
      </c>
      <c r="D123" s="481"/>
      <c r="E123" s="476">
        <v>197051</v>
      </c>
      <c r="F123" s="476"/>
      <c r="G123" s="476"/>
      <c r="H123" s="476"/>
      <c r="I123" s="476"/>
      <c r="J123" s="476" t="s">
        <v>2836</v>
      </c>
      <c r="K123" s="476" t="s">
        <v>2798</v>
      </c>
      <c r="L123" s="476" t="s">
        <v>2798</v>
      </c>
      <c r="M123" s="476"/>
      <c r="N123" s="476">
        <v>20.599809646606399</v>
      </c>
      <c r="O123" s="476">
        <v>93.265541076660199</v>
      </c>
      <c r="P123" s="476"/>
      <c r="Q123" s="476"/>
      <c r="R123" s="490"/>
      <c r="S123" s="483"/>
      <c r="T123" s="502">
        <v>43591</v>
      </c>
      <c r="U123" s="490"/>
      <c r="V123" s="476"/>
      <c r="W123" s="482"/>
    </row>
    <row r="124" spans="1:23" s="69" customFormat="1" ht="14.25" customHeight="1">
      <c r="A124" s="483" t="s">
        <v>2827</v>
      </c>
      <c r="B124" s="480" t="s">
        <v>325</v>
      </c>
      <c r="C124" s="480" t="s">
        <v>889</v>
      </c>
      <c r="D124" s="429"/>
      <c r="E124" s="476">
        <v>197149</v>
      </c>
      <c r="F124" s="476" t="s">
        <v>889</v>
      </c>
      <c r="G124" s="476"/>
      <c r="H124" s="476"/>
      <c r="I124" s="476"/>
      <c r="J124" s="476" t="s">
        <v>807</v>
      </c>
      <c r="K124" s="476" t="s">
        <v>807</v>
      </c>
      <c r="L124" s="476" t="s">
        <v>807</v>
      </c>
      <c r="M124" s="476"/>
      <c r="N124" s="476"/>
      <c r="O124" s="476"/>
      <c r="P124" s="476"/>
      <c r="Q124" s="476"/>
      <c r="R124" s="482"/>
      <c r="S124" s="483"/>
      <c r="T124" s="502"/>
      <c r="U124" s="484"/>
      <c r="V124" s="476"/>
      <c r="W124" s="476"/>
    </row>
    <row r="125" spans="1:23" s="69" customFormat="1" ht="14.25" customHeight="1">
      <c r="A125" s="483" t="s">
        <v>2827</v>
      </c>
      <c r="B125" s="480" t="s">
        <v>325</v>
      </c>
      <c r="C125" s="480" t="s">
        <v>904</v>
      </c>
      <c r="D125" s="429" t="s">
        <v>2919</v>
      </c>
      <c r="E125" s="476" t="s">
        <v>1401</v>
      </c>
      <c r="F125" s="476" t="s">
        <v>1880</v>
      </c>
      <c r="G125" s="476" t="s">
        <v>1881</v>
      </c>
      <c r="H125" s="476"/>
      <c r="I125" s="476"/>
      <c r="J125" s="476" t="s">
        <v>807</v>
      </c>
      <c r="K125" s="476" t="s">
        <v>807</v>
      </c>
      <c r="L125" s="476" t="s">
        <v>892</v>
      </c>
      <c r="M125" s="476" t="s">
        <v>804</v>
      </c>
      <c r="N125" s="476">
        <v>20.407971</v>
      </c>
      <c r="O125" s="476">
        <v>93.313627999999994</v>
      </c>
      <c r="P125" s="476" t="s">
        <v>808</v>
      </c>
      <c r="Q125" s="476"/>
      <c r="R125" s="482">
        <v>228</v>
      </c>
      <c r="S125" s="483">
        <v>1377</v>
      </c>
      <c r="T125" s="502"/>
      <c r="U125" s="484" t="s">
        <v>869</v>
      </c>
      <c r="V125" s="476" t="s">
        <v>904</v>
      </c>
      <c r="W125" s="476"/>
    </row>
    <row r="126" spans="1:23" s="69" customFormat="1" ht="14.25" customHeight="1">
      <c r="A126" s="483" t="s">
        <v>2827</v>
      </c>
      <c r="B126" s="480" t="s">
        <v>325</v>
      </c>
      <c r="C126" s="480" t="s">
        <v>478</v>
      </c>
      <c r="D126" s="429" t="s">
        <v>2919</v>
      </c>
      <c r="E126" s="476" t="s">
        <v>1399</v>
      </c>
      <c r="F126" s="476" t="s">
        <v>475</v>
      </c>
      <c r="G126" s="476" t="s">
        <v>478</v>
      </c>
      <c r="H126" s="476"/>
      <c r="I126" s="476"/>
      <c r="J126" s="476" t="s">
        <v>807</v>
      </c>
      <c r="K126" s="476" t="s">
        <v>807</v>
      </c>
      <c r="L126" s="476" t="s">
        <v>892</v>
      </c>
      <c r="M126" s="476" t="s">
        <v>804</v>
      </c>
      <c r="N126" s="476">
        <v>20.39902</v>
      </c>
      <c r="O126" s="476">
        <v>93.249669999999995</v>
      </c>
      <c r="P126" s="476" t="s">
        <v>808</v>
      </c>
      <c r="Q126" s="476" t="s">
        <v>789</v>
      </c>
      <c r="R126" s="482">
        <v>86</v>
      </c>
      <c r="S126" s="483">
        <v>476</v>
      </c>
      <c r="T126" s="502"/>
      <c r="U126" s="484"/>
      <c r="V126" s="476" t="s">
        <v>903</v>
      </c>
      <c r="W126" s="476"/>
    </row>
    <row r="127" spans="1:23" s="69" customFormat="1" ht="14.25" customHeight="1">
      <c r="A127" s="483" t="s">
        <v>2827</v>
      </c>
      <c r="B127" s="480" t="s">
        <v>325</v>
      </c>
      <c r="C127" s="480" t="s">
        <v>2781</v>
      </c>
      <c r="D127" s="429"/>
      <c r="E127" s="476">
        <v>197039</v>
      </c>
      <c r="F127" s="476"/>
      <c r="G127" s="476"/>
      <c r="H127" s="476"/>
      <c r="I127" s="476"/>
      <c r="J127" s="476" t="s">
        <v>807</v>
      </c>
      <c r="K127" s="476" t="s">
        <v>807</v>
      </c>
      <c r="L127" s="476" t="s">
        <v>807</v>
      </c>
      <c r="M127" s="476"/>
      <c r="N127" s="476"/>
      <c r="O127" s="476"/>
      <c r="P127" s="476"/>
      <c r="Q127" s="476"/>
      <c r="R127" s="482"/>
      <c r="S127" s="483"/>
      <c r="T127" s="502"/>
      <c r="U127" s="484"/>
      <c r="V127" s="476"/>
      <c r="W127" s="476"/>
    </row>
    <row r="128" spans="1:23" s="69" customFormat="1" ht="14.25" customHeight="1">
      <c r="A128" s="483" t="s">
        <v>2827</v>
      </c>
      <c r="B128" s="480" t="s">
        <v>325</v>
      </c>
      <c r="C128" s="480" t="s">
        <v>1883</v>
      </c>
      <c r="D128" s="429"/>
      <c r="E128" s="476">
        <v>197023</v>
      </c>
      <c r="F128" s="476"/>
      <c r="G128" s="476"/>
      <c r="H128" s="476"/>
      <c r="I128" s="476"/>
      <c r="J128" s="476" t="s">
        <v>807</v>
      </c>
      <c r="K128" s="476" t="s">
        <v>807</v>
      </c>
      <c r="L128" s="476" t="s">
        <v>807</v>
      </c>
      <c r="M128" s="476"/>
      <c r="N128" s="476"/>
      <c r="O128" s="476"/>
      <c r="P128" s="476"/>
      <c r="Q128" s="476"/>
      <c r="R128" s="482"/>
      <c r="S128" s="483"/>
      <c r="T128" s="502"/>
      <c r="U128" s="484"/>
      <c r="V128" s="476"/>
      <c r="W128" s="476"/>
    </row>
    <row r="129" spans="1:23" s="69" customFormat="1" ht="14.25" customHeight="1">
      <c r="A129" s="483" t="s">
        <v>2827</v>
      </c>
      <c r="B129" s="480" t="s">
        <v>325</v>
      </c>
      <c r="C129" s="480" t="s">
        <v>2773</v>
      </c>
      <c r="D129" s="429"/>
      <c r="E129" s="476">
        <v>197022</v>
      </c>
      <c r="F129" s="476"/>
      <c r="G129" s="476"/>
      <c r="H129" s="476"/>
      <c r="I129" s="476"/>
      <c r="J129" s="476" t="s">
        <v>807</v>
      </c>
      <c r="K129" s="476" t="s">
        <v>807</v>
      </c>
      <c r="L129" s="476" t="s">
        <v>807</v>
      </c>
      <c r="M129" s="476"/>
      <c r="N129" s="476"/>
      <c r="O129" s="476"/>
      <c r="P129" s="476"/>
      <c r="Q129" s="476"/>
      <c r="R129" s="482"/>
      <c r="S129" s="483"/>
      <c r="T129" s="502"/>
      <c r="U129" s="484"/>
      <c r="V129" s="476"/>
      <c r="W129" s="476"/>
    </row>
    <row r="130" spans="1:23" s="69" customFormat="1" ht="14.25" customHeight="1">
      <c r="A130" s="483" t="s">
        <v>2827</v>
      </c>
      <c r="B130" s="480" t="s">
        <v>325</v>
      </c>
      <c r="C130" s="480" t="s">
        <v>2794</v>
      </c>
      <c r="D130" s="429"/>
      <c r="E130" s="476">
        <v>197114</v>
      </c>
      <c r="F130" s="476" t="s">
        <v>2888</v>
      </c>
      <c r="G130" s="476"/>
      <c r="H130" s="476"/>
      <c r="I130" s="476"/>
      <c r="J130" s="476" t="s">
        <v>807</v>
      </c>
      <c r="K130" s="476" t="s">
        <v>807</v>
      </c>
      <c r="L130" s="476" t="s">
        <v>807</v>
      </c>
      <c r="M130" s="476"/>
      <c r="N130" s="476"/>
      <c r="O130" s="476"/>
      <c r="P130" s="476"/>
      <c r="Q130" s="476"/>
      <c r="R130" s="482"/>
      <c r="S130" s="483"/>
      <c r="T130" s="502"/>
      <c r="U130" s="484"/>
      <c r="V130" s="476"/>
      <c r="W130" s="476"/>
    </row>
    <row r="131" spans="1:23" s="69" customFormat="1" ht="14.25" customHeight="1">
      <c r="A131" s="483" t="s">
        <v>2827</v>
      </c>
      <c r="B131" s="480" t="s">
        <v>325</v>
      </c>
      <c r="C131" s="480" t="s">
        <v>905</v>
      </c>
      <c r="D131" s="429" t="s">
        <v>2919</v>
      </c>
      <c r="E131" s="476" t="s">
        <v>1403</v>
      </c>
      <c r="F131" s="476" t="s">
        <v>1882</v>
      </c>
      <c r="G131" s="476" t="s">
        <v>1883</v>
      </c>
      <c r="H131" s="476"/>
      <c r="I131" s="476"/>
      <c r="J131" s="476" t="s">
        <v>807</v>
      </c>
      <c r="K131" s="476" t="s">
        <v>807</v>
      </c>
      <c r="L131" s="476" t="s">
        <v>892</v>
      </c>
      <c r="M131" s="476" t="s">
        <v>307</v>
      </c>
      <c r="N131" s="476">
        <v>20.409645000000001</v>
      </c>
      <c r="O131" s="476">
        <v>93.314695</v>
      </c>
      <c r="P131" s="476" t="s">
        <v>808</v>
      </c>
      <c r="Q131" s="476"/>
      <c r="R131" s="482">
        <v>18</v>
      </c>
      <c r="S131" s="483">
        <v>72</v>
      </c>
      <c r="T131" s="502"/>
      <c r="U131" s="484" t="s">
        <v>869</v>
      </c>
      <c r="V131" s="476" t="s">
        <v>905</v>
      </c>
      <c r="W131" s="476"/>
    </row>
    <row r="132" spans="1:23" s="69" customFormat="1" ht="14.25" customHeight="1">
      <c r="A132" s="483" t="s">
        <v>2827</v>
      </c>
      <c r="B132" s="476" t="s">
        <v>325</v>
      </c>
      <c r="C132" s="480" t="s">
        <v>503</v>
      </c>
      <c r="D132" s="429" t="s">
        <v>1685</v>
      </c>
      <c r="E132" s="476">
        <v>197067</v>
      </c>
      <c r="F132" s="476"/>
      <c r="G132" s="476"/>
      <c r="H132" s="476"/>
      <c r="I132" s="476"/>
      <c r="J132" s="476" t="s">
        <v>807</v>
      </c>
      <c r="K132" s="476" t="s">
        <v>807</v>
      </c>
      <c r="L132" s="476" t="s">
        <v>807</v>
      </c>
      <c r="M132" s="476" t="s">
        <v>307</v>
      </c>
      <c r="N132" s="476">
        <v>20.51997948</v>
      </c>
      <c r="O132" s="476">
        <v>93.277252200000007</v>
      </c>
      <c r="P132" s="476" t="s">
        <v>808</v>
      </c>
      <c r="Q132" s="476" t="s">
        <v>789</v>
      </c>
      <c r="R132" s="482"/>
      <c r="S132" s="483"/>
      <c r="T132" s="502"/>
      <c r="U132" s="484"/>
      <c r="V132" s="476"/>
      <c r="W132" s="476"/>
    </row>
    <row r="133" spans="1:23" s="69" customFormat="1" ht="14.25" customHeight="1">
      <c r="A133" s="483" t="s">
        <v>2827</v>
      </c>
      <c r="B133" s="480" t="s">
        <v>325</v>
      </c>
      <c r="C133" s="480" t="s">
        <v>1146</v>
      </c>
      <c r="D133" s="429" t="s">
        <v>1685</v>
      </c>
      <c r="E133" s="476">
        <v>196999</v>
      </c>
      <c r="F133" s="476"/>
      <c r="G133" s="476"/>
      <c r="H133" s="476"/>
      <c r="I133" s="476"/>
      <c r="J133" s="476" t="s">
        <v>807</v>
      </c>
      <c r="K133" s="476" t="s">
        <v>807</v>
      </c>
      <c r="L133" s="476" t="s">
        <v>807</v>
      </c>
      <c r="M133" s="476" t="s">
        <v>804</v>
      </c>
      <c r="N133" s="476"/>
      <c r="O133" s="476"/>
      <c r="P133" s="476" t="s">
        <v>808</v>
      </c>
      <c r="Q133" s="476"/>
      <c r="R133" s="482"/>
      <c r="S133" s="483"/>
      <c r="T133" s="502"/>
      <c r="U133" s="484"/>
      <c r="V133" s="476"/>
      <c r="W133" s="476"/>
    </row>
    <row r="134" spans="1:23" s="69" customFormat="1" ht="14.25" customHeight="1">
      <c r="A134" s="483" t="s">
        <v>2827</v>
      </c>
      <c r="B134" s="480" t="s">
        <v>325</v>
      </c>
      <c r="C134" s="480" t="s">
        <v>476</v>
      </c>
      <c r="D134" s="429" t="s">
        <v>1685</v>
      </c>
      <c r="E134" s="476">
        <v>196998</v>
      </c>
      <c r="F134" s="476"/>
      <c r="G134" s="476"/>
      <c r="H134" s="476"/>
      <c r="I134" s="476"/>
      <c r="J134" s="476" t="s">
        <v>807</v>
      </c>
      <c r="K134" s="476" t="s">
        <v>807</v>
      </c>
      <c r="L134" s="476" t="s">
        <v>807</v>
      </c>
      <c r="M134" s="476" t="s">
        <v>307</v>
      </c>
      <c r="N134" s="476">
        <v>20.396680830000001</v>
      </c>
      <c r="O134" s="476">
        <v>93.252868649999996</v>
      </c>
      <c r="P134" s="476" t="s">
        <v>808</v>
      </c>
      <c r="Q134" s="476" t="s">
        <v>789</v>
      </c>
      <c r="R134" s="482"/>
      <c r="S134" s="483"/>
      <c r="T134" s="502"/>
      <c r="U134" s="484"/>
      <c r="V134" s="476" t="s">
        <v>900</v>
      </c>
      <c r="W134" s="476"/>
    </row>
    <row r="135" spans="1:23" s="69" customFormat="1" ht="14.25" customHeight="1">
      <c r="A135" s="483" t="s">
        <v>2827</v>
      </c>
      <c r="B135" s="480" t="s">
        <v>325</v>
      </c>
      <c r="C135" s="480" t="s">
        <v>2797</v>
      </c>
      <c r="D135" s="429"/>
      <c r="E135" s="476">
        <v>220653</v>
      </c>
      <c r="F135" s="476"/>
      <c r="G135" s="476"/>
      <c r="H135" s="476"/>
      <c r="I135" s="476"/>
      <c r="J135" s="476" t="s">
        <v>807</v>
      </c>
      <c r="K135" s="476" t="s">
        <v>807</v>
      </c>
      <c r="L135" s="476" t="s">
        <v>807</v>
      </c>
      <c r="M135" s="476"/>
      <c r="N135" s="476"/>
      <c r="O135" s="476"/>
      <c r="P135" s="476"/>
      <c r="Q135" s="476"/>
      <c r="R135" s="482"/>
      <c r="S135" s="483"/>
      <c r="T135" s="502"/>
      <c r="U135" s="484"/>
      <c r="V135" s="476"/>
      <c r="W135" s="476"/>
    </row>
    <row r="136" spans="1:23" s="69" customFormat="1" ht="14.25" customHeight="1">
      <c r="A136" s="483" t="s">
        <v>2827</v>
      </c>
      <c r="B136" s="480" t="s">
        <v>325</v>
      </c>
      <c r="C136" s="480" t="s">
        <v>2788</v>
      </c>
      <c r="D136" s="429"/>
      <c r="E136" s="476">
        <v>197092</v>
      </c>
      <c r="F136" s="476"/>
      <c r="G136" s="476"/>
      <c r="H136" s="476"/>
      <c r="I136" s="476"/>
      <c r="J136" s="476" t="s">
        <v>807</v>
      </c>
      <c r="K136" s="476" t="s">
        <v>807</v>
      </c>
      <c r="L136" s="476" t="s">
        <v>807</v>
      </c>
      <c r="M136" s="476"/>
      <c r="N136" s="476"/>
      <c r="O136" s="476"/>
      <c r="P136" s="476"/>
      <c r="Q136" s="476"/>
      <c r="R136" s="482"/>
      <c r="S136" s="483"/>
      <c r="T136" s="502"/>
      <c r="U136" s="484"/>
      <c r="V136" s="476"/>
      <c r="W136" s="476"/>
    </row>
    <row r="137" spans="1:23" s="69" customFormat="1" ht="14.25" customHeight="1">
      <c r="A137" s="483" t="s">
        <v>2827</v>
      </c>
      <c r="B137" s="480" t="s">
        <v>325</v>
      </c>
      <c r="C137" s="480" t="s">
        <v>2789</v>
      </c>
      <c r="D137" s="429"/>
      <c r="E137" s="476">
        <v>197100</v>
      </c>
      <c r="F137" s="476" t="s">
        <v>2889</v>
      </c>
      <c r="G137" s="476"/>
      <c r="H137" s="476"/>
      <c r="I137" s="476"/>
      <c r="J137" s="476" t="s">
        <v>807</v>
      </c>
      <c r="K137" s="476" t="s">
        <v>807</v>
      </c>
      <c r="L137" s="476" t="s">
        <v>807</v>
      </c>
      <c r="M137" s="476"/>
      <c r="N137" s="476"/>
      <c r="O137" s="476"/>
      <c r="P137" s="476"/>
      <c r="Q137" s="476"/>
      <c r="R137" s="482"/>
      <c r="S137" s="483"/>
      <c r="T137" s="502"/>
      <c r="U137" s="484"/>
      <c r="V137" s="476"/>
      <c r="W137" s="476"/>
    </row>
    <row r="138" spans="1:23" s="69" customFormat="1" ht="14.25" customHeight="1">
      <c r="A138" s="483" t="s">
        <v>2827</v>
      </c>
      <c r="B138" s="480" t="s">
        <v>325</v>
      </c>
      <c r="C138" s="480" t="s">
        <v>2780</v>
      </c>
      <c r="D138" s="429"/>
      <c r="E138" s="476">
        <v>197040</v>
      </c>
      <c r="F138" s="476"/>
      <c r="G138" s="476"/>
      <c r="H138" s="476"/>
      <c r="I138" s="476"/>
      <c r="J138" s="476" t="s">
        <v>807</v>
      </c>
      <c r="K138" s="476" t="s">
        <v>807</v>
      </c>
      <c r="L138" s="476" t="s">
        <v>807</v>
      </c>
      <c r="M138" s="476"/>
      <c r="N138" s="476"/>
      <c r="O138" s="476"/>
      <c r="P138" s="476"/>
      <c r="Q138" s="476"/>
      <c r="R138" s="482"/>
      <c r="S138" s="483"/>
      <c r="T138" s="502"/>
      <c r="U138" s="484"/>
      <c r="V138" s="476"/>
      <c r="W138" s="476"/>
    </row>
    <row r="139" spans="1:23" s="69" customFormat="1" ht="14.25" customHeight="1">
      <c r="A139" s="483" t="s">
        <v>2827</v>
      </c>
      <c r="B139" s="480" t="s">
        <v>325</v>
      </c>
      <c r="C139" s="480" t="s">
        <v>2796</v>
      </c>
      <c r="D139" s="429"/>
      <c r="E139" s="476">
        <v>197112</v>
      </c>
      <c r="F139" s="476"/>
      <c r="G139" s="476"/>
      <c r="H139" s="476"/>
      <c r="I139" s="476"/>
      <c r="J139" s="476" t="s">
        <v>807</v>
      </c>
      <c r="K139" s="476" t="s">
        <v>807</v>
      </c>
      <c r="L139" s="476" t="s">
        <v>807</v>
      </c>
      <c r="M139" s="476"/>
      <c r="N139" s="476"/>
      <c r="O139" s="476"/>
      <c r="P139" s="476"/>
      <c r="Q139" s="476"/>
      <c r="R139" s="482"/>
      <c r="S139" s="483"/>
      <c r="T139" s="502"/>
      <c r="U139" s="484"/>
      <c r="V139" s="476"/>
      <c r="W139" s="476"/>
    </row>
    <row r="140" spans="1:23" s="69" customFormat="1" ht="14.25" customHeight="1">
      <c r="A140" s="483" t="s">
        <v>2827</v>
      </c>
      <c r="B140" s="480" t="s">
        <v>325</v>
      </c>
      <c r="C140" s="480" t="s">
        <v>2787</v>
      </c>
      <c r="D140" s="429"/>
      <c r="E140" s="476"/>
      <c r="F140" s="476"/>
      <c r="G140" s="476"/>
      <c r="H140" s="476"/>
      <c r="I140" s="476"/>
      <c r="J140" s="476" t="s">
        <v>807</v>
      </c>
      <c r="K140" s="476" t="s">
        <v>807</v>
      </c>
      <c r="L140" s="476" t="s">
        <v>807</v>
      </c>
      <c r="M140" s="476"/>
      <c r="N140" s="476"/>
      <c r="O140" s="476"/>
      <c r="P140" s="476"/>
      <c r="Q140" s="476"/>
      <c r="R140" s="482"/>
      <c r="S140" s="483"/>
      <c r="T140" s="502"/>
      <c r="U140" s="484"/>
      <c r="V140" s="476"/>
      <c r="W140" s="476"/>
    </row>
    <row r="141" spans="1:23" s="69" customFormat="1" ht="14.25" customHeight="1">
      <c r="A141" s="483" t="s">
        <v>2827</v>
      </c>
      <c r="B141" s="480" t="s">
        <v>325</v>
      </c>
      <c r="C141" s="480" t="s">
        <v>473</v>
      </c>
      <c r="D141" s="429" t="s">
        <v>2919</v>
      </c>
      <c r="E141" s="476" t="s">
        <v>1398</v>
      </c>
      <c r="F141" s="476" t="s">
        <v>1774</v>
      </c>
      <c r="G141" s="476" t="s">
        <v>1775</v>
      </c>
      <c r="H141" s="476"/>
      <c r="I141" s="476"/>
      <c r="J141" s="476" t="s">
        <v>807</v>
      </c>
      <c r="K141" s="476" t="s">
        <v>807</v>
      </c>
      <c r="L141" s="476" t="s">
        <v>892</v>
      </c>
      <c r="M141" s="476" t="s">
        <v>804</v>
      </c>
      <c r="N141" s="476">
        <v>20.392137999999999</v>
      </c>
      <c r="O141" s="476">
        <v>93.257272</v>
      </c>
      <c r="P141" s="476" t="s">
        <v>808</v>
      </c>
      <c r="Q141" s="476" t="s">
        <v>789</v>
      </c>
      <c r="R141" s="482">
        <v>203</v>
      </c>
      <c r="S141" s="483">
        <v>1420</v>
      </c>
      <c r="T141" s="502"/>
      <c r="U141" s="484"/>
      <c r="V141" s="476" t="s">
        <v>897</v>
      </c>
      <c r="W141" s="476"/>
    </row>
    <row r="142" spans="1:23" s="69" customFormat="1" ht="14.25" customHeight="1">
      <c r="A142" s="483" t="s">
        <v>2827</v>
      </c>
      <c r="B142" s="480" t="s">
        <v>325</v>
      </c>
      <c r="C142" s="480" t="s">
        <v>518</v>
      </c>
      <c r="D142" s="429" t="s">
        <v>2919</v>
      </c>
      <c r="E142" s="476" t="s">
        <v>1410</v>
      </c>
      <c r="F142" s="476" t="s">
        <v>1776</v>
      </c>
      <c r="G142" s="476" t="s">
        <v>1776</v>
      </c>
      <c r="H142" s="476"/>
      <c r="I142" s="476"/>
      <c r="J142" s="476" t="s">
        <v>807</v>
      </c>
      <c r="K142" s="476" t="s">
        <v>807</v>
      </c>
      <c r="L142" s="476" t="s">
        <v>892</v>
      </c>
      <c r="M142" s="476" t="s">
        <v>804</v>
      </c>
      <c r="N142" s="476">
        <v>20.587142</v>
      </c>
      <c r="O142" s="476">
        <v>93.258573999999996</v>
      </c>
      <c r="P142" s="476" t="s">
        <v>808</v>
      </c>
      <c r="Q142" s="476"/>
      <c r="R142" s="482">
        <v>275</v>
      </c>
      <c r="S142" s="483">
        <v>1707</v>
      </c>
      <c r="T142" s="502"/>
      <c r="U142" s="484" t="s">
        <v>869</v>
      </c>
      <c r="V142" s="476" t="s">
        <v>518</v>
      </c>
      <c r="W142" s="476"/>
    </row>
    <row r="143" spans="1:23" s="69" customFormat="1" ht="14.25" customHeight="1">
      <c r="A143" s="483" t="s">
        <v>2827</v>
      </c>
      <c r="B143" s="480" t="s">
        <v>325</v>
      </c>
      <c r="C143" s="480" t="s">
        <v>2779</v>
      </c>
      <c r="D143" s="429"/>
      <c r="E143" s="476">
        <v>197033</v>
      </c>
      <c r="F143" s="476"/>
      <c r="G143" s="476"/>
      <c r="H143" s="476"/>
      <c r="I143" s="476"/>
      <c r="J143" s="476" t="s">
        <v>807</v>
      </c>
      <c r="K143" s="476" t="s">
        <v>807</v>
      </c>
      <c r="L143" s="476" t="s">
        <v>807</v>
      </c>
      <c r="M143" s="476"/>
      <c r="N143" s="476"/>
      <c r="O143" s="476"/>
      <c r="P143" s="476"/>
      <c r="Q143" s="476"/>
      <c r="R143" s="482"/>
      <c r="S143" s="483"/>
      <c r="T143" s="502"/>
      <c r="U143" s="484"/>
      <c r="V143" s="476"/>
      <c r="W143" s="476"/>
    </row>
    <row r="144" spans="1:23" s="69" customFormat="1" ht="14.25" customHeight="1">
      <c r="A144" s="483" t="s">
        <v>2827</v>
      </c>
      <c r="B144" s="480" t="s">
        <v>325</v>
      </c>
      <c r="C144" s="480" t="s">
        <v>1775</v>
      </c>
      <c r="D144" s="429"/>
      <c r="E144" s="476">
        <v>196997</v>
      </c>
      <c r="F144" s="476"/>
      <c r="G144" s="476"/>
      <c r="H144" s="476"/>
      <c r="I144" s="476"/>
      <c r="J144" s="476" t="s">
        <v>807</v>
      </c>
      <c r="K144" s="476" t="s">
        <v>807</v>
      </c>
      <c r="L144" s="476" t="s">
        <v>807</v>
      </c>
      <c r="M144" s="476"/>
      <c r="N144" s="476"/>
      <c r="O144" s="476"/>
      <c r="P144" s="476"/>
      <c r="Q144" s="476"/>
      <c r="R144" s="482"/>
      <c r="S144" s="483"/>
      <c r="T144" s="502"/>
      <c r="U144" s="484"/>
      <c r="V144" s="476"/>
      <c r="W144" s="476"/>
    </row>
    <row r="145" spans="1:23" s="69" customFormat="1" ht="14.25" customHeight="1">
      <c r="A145" s="483" t="s">
        <v>2827</v>
      </c>
      <c r="B145" s="480" t="s">
        <v>325</v>
      </c>
      <c r="C145" s="480" t="s">
        <v>2778</v>
      </c>
      <c r="D145" s="429"/>
      <c r="E145" s="476">
        <v>197036</v>
      </c>
      <c r="F145" s="476"/>
      <c r="G145" s="476"/>
      <c r="H145" s="476"/>
      <c r="I145" s="476"/>
      <c r="J145" s="476" t="s">
        <v>807</v>
      </c>
      <c r="K145" s="476" t="s">
        <v>807</v>
      </c>
      <c r="L145" s="476" t="s">
        <v>807</v>
      </c>
      <c r="M145" s="476"/>
      <c r="N145" s="476"/>
      <c r="O145" s="476"/>
      <c r="P145" s="476"/>
      <c r="Q145" s="476"/>
      <c r="R145" s="482"/>
      <c r="S145" s="483"/>
      <c r="T145" s="502"/>
      <c r="U145" s="484"/>
      <c r="V145" s="476"/>
      <c r="W145" s="476"/>
    </row>
    <row r="146" spans="1:23" s="69" customFormat="1" ht="14.25" customHeight="1">
      <c r="A146" s="483" t="s">
        <v>2827</v>
      </c>
      <c r="B146" s="480" t="s">
        <v>325</v>
      </c>
      <c r="C146" s="480" t="s">
        <v>2785</v>
      </c>
      <c r="D146" s="429"/>
      <c r="E146" s="476">
        <v>197089</v>
      </c>
      <c r="F146" s="476"/>
      <c r="G146" s="476"/>
      <c r="H146" s="476"/>
      <c r="I146" s="476"/>
      <c r="J146" s="476" t="s">
        <v>807</v>
      </c>
      <c r="K146" s="476" t="s">
        <v>807</v>
      </c>
      <c r="L146" s="476" t="s">
        <v>807</v>
      </c>
      <c r="M146" s="476"/>
      <c r="N146" s="476"/>
      <c r="O146" s="476"/>
      <c r="P146" s="476"/>
      <c r="Q146" s="476"/>
      <c r="R146" s="482"/>
      <c r="S146" s="483"/>
      <c r="T146" s="502"/>
      <c r="U146" s="484"/>
      <c r="V146" s="476"/>
      <c r="W146" s="476"/>
    </row>
    <row r="147" spans="1:23" s="69" customFormat="1" ht="14.25" customHeight="1">
      <c r="A147" s="483" t="s">
        <v>2827</v>
      </c>
      <c r="B147" s="480" t="s">
        <v>325</v>
      </c>
      <c r="C147" s="480" t="s">
        <v>2791</v>
      </c>
      <c r="D147" s="429"/>
      <c r="E147" s="476">
        <v>197102</v>
      </c>
      <c r="F147" s="476" t="s">
        <v>2890</v>
      </c>
      <c r="G147" s="476"/>
      <c r="H147" s="476"/>
      <c r="I147" s="476"/>
      <c r="J147" s="476" t="s">
        <v>807</v>
      </c>
      <c r="K147" s="476" t="s">
        <v>807</v>
      </c>
      <c r="L147" s="476" t="s">
        <v>807</v>
      </c>
      <c r="M147" s="476"/>
      <c r="N147" s="476"/>
      <c r="O147" s="476"/>
      <c r="P147" s="476"/>
      <c r="Q147" s="476"/>
      <c r="R147" s="482"/>
      <c r="S147" s="483"/>
      <c r="T147" s="502"/>
      <c r="U147" s="484"/>
      <c r="V147" s="476"/>
      <c r="W147" s="476"/>
    </row>
    <row r="148" spans="1:23" s="69" customFormat="1" ht="14.25" customHeight="1">
      <c r="A148" s="486" t="s">
        <v>2827</v>
      </c>
      <c r="B148" s="486" t="s">
        <v>325</v>
      </c>
      <c r="C148" s="487" t="s">
        <v>2934</v>
      </c>
      <c r="D148" s="481"/>
      <c r="E148" s="476">
        <v>197047</v>
      </c>
      <c r="F148" s="476"/>
      <c r="G148" s="476"/>
      <c r="H148" s="476"/>
      <c r="I148" s="476"/>
      <c r="J148" s="476" t="s">
        <v>2836</v>
      </c>
      <c r="K148" s="476" t="s">
        <v>2798</v>
      </c>
      <c r="L148" s="476" t="s">
        <v>2798</v>
      </c>
      <c r="M148" s="476"/>
      <c r="N148" s="476">
        <v>20.454280853271499</v>
      </c>
      <c r="O148" s="476">
        <v>93.281562805175795</v>
      </c>
      <c r="P148" s="476"/>
      <c r="Q148" s="476"/>
      <c r="R148" s="490"/>
      <c r="S148" s="483"/>
      <c r="T148" s="502">
        <v>43591</v>
      </c>
      <c r="U148" s="490"/>
      <c r="V148" s="476"/>
      <c r="W148" s="482"/>
    </row>
    <row r="149" spans="1:23" s="69" customFormat="1" ht="14.25" customHeight="1">
      <c r="A149" s="486" t="s">
        <v>2827</v>
      </c>
      <c r="B149" s="486" t="s">
        <v>325</v>
      </c>
      <c r="C149" s="487" t="s">
        <v>2953</v>
      </c>
      <c r="D149" s="481"/>
      <c r="E149" s="476">
        <v>197051</v>
      </c>
      <c r="F149" s="476"/>
      <c r="G149" s="476"/>
      <c r="H149" s="476"/>
      <c r="I149" s="476"/>
      <c r="J149" s="476" t="s">
        <v>2836</v>
      </c>
      <c r="K149" s="476" t="s">
        <v>2798</v>
      </c>
      <c r="L149" s="476" t="s">
        <v>2798</v>
      </c>
      <c r="M149" s="476"/>
      <c r="N149" s="476">
        <v>20.599809646606399</v>
      </c>
      <c r="O149" s="476">
        <v>93.265541076660199</v>
      </c>
      <c r="P149" s="476"/>
      <c r="Q149" s="476"/>
      <c r="R149" s="490"/>
      <c r="S149" s="483"/>
      <c r="T149" s="502">
        <v>43591</v>
      </c>
      <c r="U149" s="490"/>
      <c r="V149" s="476"/>
      <c r="W149" s="482"/>
    </row>
    <row r="150" spans="1:23" s="69" customFormat="1" ht="14.25" customHeight="1">
      <c r="A150" s="483" t="s">
        <v>2827</v>
      </c>
      <c r="B150" s="476" t="s">
        <v>484</v>
      </c>
      <c r="C150" s="476" t="s">
        <v>561</v>
      </c>
      <c r="D150" s="429" t="s">
        <v>1685</v>
      </c>
      <c r="E150" s="476">
        <v>196643</v>
      </c>
      <c r="F150" s="476"/>
      <c r="G150" s="476"/>
      <c r="H150" s="476"/>
      <c r="I150" s="476"/>
      <c r="J150" s="476" t="s">
        <v>807</v>
      </c>
      <c r="K150" s="476" t="s">
        <v>807</v>
      </c>
      <c r="L150" s="476" t="s">
        <v>807</v>
      </c>
      <c r="M150" s="476" t="s">
        <v>804</v>
      </c>
      <c r="N150" s="476">
        <v>20.69722939</v>
      </c>
      <c r="O150" s="476">
        <v>93.044059750000002</v>
      </c>
      <c r="P150" s="476" t="s">
        <v>808</v>
      </c>
      <c r="Q150" s="476" t="s">
        <v>789</v>
      </c>
      <c r="R150" s="482"/>
      <c r="S150" s="483"/>
      <c r="T150" s="502"/>
      <c r="U150" s="484"/>
      <c r="V150" s="476" t="s">
        <v>938</v>
      </c>
      <c r="W150" s="476"/>
    </row>
    <row r="151" spans="1:23" s="69" customFormat="1" ht="14.25" customHeight="1">
      <c r="A151" s="486" t="s">
        <v>2827</v>
      </c>
      <c r="B151" s="486" t="s">
        <v>484</v>
      </c>
      <c r="C151" s="487" t="s">
        <v>2997</v>
      </c>
      <c r="D151" s="481"/>
      <c r="E151" s="476">
        <v>196610</v>
      </c>
      <c r="F151" s="476"/>
      <c r="G151" s="476"/>
      <c r="H151" s="476"/>
      <c r="I151" s="476"/>
      <c r="J151" s="476" t="s">
        <v>2836</v>
      </c>
      <c r="K151" s="476" t="s">
        <v>2798</v>
      </c>
      <c r="L151" s="476" t="s">
        <v>2798</v>
      </c>
      <c r="M151" s="476"/>
      <c r="N151" s="476">
        <v>20.710781097412099</v>
      </c>
      <c r="O151" s="476">
        <v>93.127502441406307</v>
      </c>
      <c r="P151" s="476"/>
      <c r="Q151" s="476"/>
      <c r="R151" s="490"/>
      <c r="S151" s="483"/>
      <c r="T151" s="502">
        <v>43591</v>
      </c>
      <c r="U151" s="490"/>
      <c r="V151" s="476"/>
      <c r="W151" s="482"/>
    </row>
    <row r="152" spans="1:23" s="69" customFormat="1" ht="14.25" customHeight="1">
      <c r="A152" s="486" t="s">
        <v>2827</v>
      </c>
      <c r="B152" s="486" t="s">
        <v>484</v>
      </c>
      <c r="C152" s="487" t="s">
        <v>2943</v>
      </c>
      <c r="D152" s="481"/>
      <c r="E152" s="476" t="s">
        <v>2998</v>
      </c>
      <c r="F152" s="476"/>
      <c r="G152" s="476"/>
      <c r="H152" s="476"/>
      <c r="I152" s="476"/>
      <c r="J152" s="476" t="s">
        <v>2836</v>
      </c>
      <c r="K152" s="476" t="s">
        <v>2798</v>
      </c>
      <c r="L152" s="476" t="s">
        <v>2798</v>
      </c>
      <c r="M152" s="476"/>
      <c r="N152" s="476"/>
      <c r="O152" s="476"/>
      <c r="P152" s="476"/>
      <c r="Q152" s="476"/>
      <c r="R152" s="490"/>
      <c r="S152" s="483"/>
      <c r="T152" s="502">
        <v>43591</v>
      </c>
      <c r="U152" s="490"/>
      <c r="V152" s="476"/>
      <c r="W152" s="482"/>
    </row>
    <row r="153" spans="1:23" s="69" customFormat="1" ht="14.25" customHeight="1">
      <c r="A153" s="486" t="s">
        <v>2827</v>
      </c>
      <c r="B153" s="486" t="s">
        <v>484</v>
      </c>
      <c r="C153" s="487" t="s">
        <v>2944</v>
      </c>
      <c r="D153" s="481"/>
      <c r="E153" s="476" t="s">
        <v>2998</v>
      </c>
      <c r="F153" s="476"/>
      <c r="G153" s="476"/>
      <c r="H153" s="476"/>
      <c r="I153" s="476"/>
      <c r="J153" s="476" t="s">
        <v>2836</v>
      </c>
      <c r="K153" s="476" t="s">
        <v>2798</v>
      </c>
      <c r="L153" s="476" t="s">
        <v>2798</v>
      </c>
      <c r="M153" s="476"/>
      <c r="N153" s="476"/>
      <c r="O153" s="476"/>
      <c r="P153" s="476"/>
      <c r="Q153" s="476"/>
      <c r="R153" s="490"/>
      <c r="S153" s="483"/>
      <c r="T153" s="502">
        <v>43591</v>
      </c>
      <c r="U153" s="490"/>
      <c r="V153" s="476"/>
      <c r="W153" s="482"/>
    </row>
    <row r="154" spans="1:23" s="69" customFormat="1" ht="14.25" customHeight="1">
      <c r="A154" s="486" t="s">
        <v>2827</v>
      </c>
      <c r="B154" s="486" t="s">
        <v>484</v>
      </c>
      <c r="C154" s="487" t="s">
        <v>2945</v>
      </c>
      <c r="D154" s="481"/>
      <c r="E154" s="476" t="s">
        <v>2998</v>
      </c>
      <c r="F154" s="476"/>
      <c r="G154" s="476"/>
      <c r="H154" s="476"/>
      <c r="I154" s="476"/>
      <c r="J154" s="476" t="s">
        <v>2836</v>
      </c>
      <c r="K154" s="476" t="s">
        <v>2798</v>
      </c>
      <c r="L154" s="476" t="s">
        <v>2798</v>
      </c>
      <c r="M154" s="476"/>
      <c r="N154" s="476"/>
      <c r="O154" s="476"/>
      <c r="P154" s="476"/>
      <c r="Q154" s="476"/>
      <c r="R154" s="490"/>
      <c r="S154" s="483"/>
      <c r="T154" s="502">
        <v>43591</v>
      </c>
      <c r="U154" s="490"/>
      <c r="V154" s="476"/>
      <c r="W154" s="482"/>
    </row>
    <row r="155" spans="1:23" s="69" customFormat="1" ht="14.25" customHeight="1">
      <c r="A155" s="486" t="s">
        <v>2827</v>
      </c>
      <c r="B155" s="486" t="s">
        <v>484</v>
      </c>
      <c r="C155" s="487" t="s">
        <v>2946</v>
      </c>
      <c r="D155" s="481"/>
      <c r="E155" s="476" t="s">
        <v>2998</v>
      </c>
      <c r="F155" s="476"/>
      <c r="G155" s="476"/>
      <c r="H155" s="476"/>
      <c r="I155" s="476"/>
      <c r="J155" s="476" t="s">
        <v>2836</v>
      </c>
      <c r="K155" s="476" t="s">
        <v>2798</v>
      </c>
      <c r="L155" s="476" t="s">
        <v>2798</v>
      </c>
      <c r="M155" s="476"/>
      <c r="N155" s="476"/>
      <c r="O155" s="476"/>
      <c r="P155" s="476"/>
      <c r="Q155" s="476"/>
      <c r="R155" s="490"/>
      <c r="S155" s="483"/>
      <c r="T155" s="502">
        <v>43591</v>
      </c>
      <c r="U155" s="490"/>
      <c r="V155" s="476"/>
      <c r="W155" s="482"/>
    </row>
    <row r="156" spans="1:23" s="69" customFormat="1" ht="14.25" customHeight="1">
      <c r="A156" s="486" t="s">
        <v>2827</v>
      </c>
      <c r="B156" s="486" t="s">
        <v>484</v>
      </c>
      <c r="C156" s="487" t="s">
        <v>2947</v>
      </c>
      <c r="D156" s="481"/>
      <c r="E156" s="476" t="s">
        <v>2998</v>
      </c>
      <c r="F156" s="476"/>
      <c r="G156" s="476"/>
      <c r="H156" s="476"/>
      <c r="I156" s="476"/>
      <c r="J156" s="476" t="s">
        <v>2836</v>
      </c>
      <c r="K156" s="476" t="s">
        <v>2798</v>
      </c>
      <c r="L156" s="476" t="s">
        <v>2798</v>
      </c>
      <c r="M156" s="476"/>
      <c r="N156" s="476"/>
      <c r="O156" s="476"/>
      <c r="P156" s="476"/>
      <c r="Q156" s="476"/>
      <c r="R156" s="490"/>
      <c r="S156" s="483"/>
      <c r="T156" s="502">
        <v>43591</v>
      </c>
      <c r="U156" s="490"/>
      <c r="V156" s="476"/>
      <c r="W156" s="482"/>
    </row>
    <row r="157" spans="1:23" s="69" customFormat="1" ht="14.25" customHeight="1">
      <c r="A157" s="483" t="s">
        <v>2827</v>
      </c>
      <c r="B157" s="476" t="s">
        <v>484</v>
      </c>
      <c r="C157" s="476" t="s">
        <v>496</v>
      </c>
      <c r="D157" s="429" t="s">
        <v>1685</v>
      </c>
      <c r="E157" s="476">
        <v>196508</v>
      </c>
      <c r="F157" s="476"/>
      <c r="G157" s="476"/>
      <c r="H157" s="476"/>
      <c r="I157" s="476"/>
      <c r="J157" s="476" t="s">
        <v>807</v>
      </c>
      <c r="K157" s="476" t="s">
        <v>807</v>
      </c>
      <c r="L157" s="476" t="s">
        <v>807</v>
      </c>
      <c r="M157" s="476" t="s">
        <v>307</v>
      </c>
      <c r="N157" s="476">
        <v>20.489089969999998</v>
      </c>
      <c r="O157" s="476">
        <v>93.211738589999996</v>
      </c>
      <c r="P157" s="476" t="s">
        <v>808</v>
      </c>
      <c r="Q157" s="476" t="s">
        <v>789</v>
      </c>
      <c r="R157" s="482"/>
      <c r="S157" s="483"/>
      <c r="T157" s="502"/>
      <c r="U157" s="484"/>
      <c r="V157" s="476" t="s">
        <v>909</v>
      </c>
      <c r="W157" s="476"/>
    </row>
    <row r="158" spans="1:23" s="69" customFormat="1" ht="14.25" customHeight="1">
      <c r="A158" s="483" t="s">
        <v>2827</v>
      </c>
      <c r="B158" s="476" t="s">
        <v>484</v>
      </c>
      <c r="C158" s="476" t="s">
        <v>2750</v>
      </c>
      <c r="D158" s="429"/>
      <c r="E158" s="476"/>
      <c r="F158" s="476"/>
      <c r="G158" s="476"/>
      <c r="H158" s="476"/>
      <c r="I158" s="476"/>
      <c r="J158" s="476" t="s">
        <v>2836</v>
      </c>
      <c r="K158" s="476" t="s">
        <v>2798</v>
      </c>
      <c r="L158" s="476" t="s">
        <v>2798</v>
      </c>
      <c r="M158" s="476"/>
      <c r="N158" s="476"/>
      <c r="O158" s="476"/>
      <c r="P158" s="476"/>
      <c r="Q158" s="476"/>
      <c r="R158" s="482"/>
      <c r="S158" s="483"/>
      <c r="T158" s="502"/>
      <c r="U158" s="484"/>
      <c r="V158" s="476"/>
      <c r="W158" s="476"/>
    </row>
    <row r="159" spans="1:23" s="69" customFormat="1" ht="14.25" customHeight="1">
      <c r="A159" s="486" t="s">
        <v>2827</v>
      </c>
      <c r="B159" s="486" t="s">
        <v>484</v>
      </c>
      <c r="C159" s="487" t="s">
        <v>564</v>
      </c>
      <c r="D159" s="481"/>
      <c r="E159" s="476"/>
      <c r="F159" s="476"/>
      <c r="G159" s="476"/>
      <c r="H159" s="476"/>
      <c r="I159" s="476"/>
      <c r="J159" s="476" t="s">
        <v>2836</v>
      </c>
      <c r="K159" s="476" t="s">
        <v>2798</v>
      </c>
      <c r="L159" s="476" t="s">
        <v>2798</v>
      </c>
      <c r="M159" s="476"/>
      <c r="N159" s="476"/>
      <c r="O159" s="476"/>
      <c r="P159" s="476"/>
      <c r="Q159" s="476"/>
      <c r="R159" s="490"/>
      <c r="S159" s="483"/>
      <c r="T159" s="502">
        <v>43591</v>
      </c>
      <c r="U159" s="490"/>
      <c r="V159" s="476"/>
      <c r="W159" s="482"/>
    </row>
    <row r="160" spans="1:23" s="69" customFormat="1" ht="14.25" customHeight="1">
      <c r="A160" s="486" t="s">
        <v>2827</v>
      </c>
      <c r="B160" s="486" t="s">
        <v>484</v>
      </c>
      <c r="C160" s="487" t="s">
        <v>2999</v>
      </c>
      <c r="D160" s="481"/>
      <c r="E160" s="476">
        <v>196475</v>
      </c>
      <c r="F160" s="476"/>
      <c r="G160" s="476"/>
      <c r="H160" s="476"/>
      <c r="I160" s="476"/>
      <c r="J160" s="476" t="s">
        <v>2836</v>
      </c>
      <c r="K160" s="476" t="s">
        <v>2798</v>
      </c>
      <c r="L160" s="476" t="s">
        <v>2798</v>
      </c>
      <c r="M160" s="476"/>
      <c r="N160" s="476"/>
      <c r="O160" s="476"/>
      <c r="P160" s="476"/>
      <c r="Q160" s="476"/>
      <c r="R160" s="490"/>
      <c r="S160" s="483"/>
      <c r="T160" s="502">
        <v>43591</v>
      </c>
      <c r="U160" s="490"/>
      <c r="V160" s="476"/>
      <c r="W160" s="482"/>
    </row>
    <row r="161" spans="1:23" s="69" customFormat="1" ht="14.25" customHeight="1">
      <c r="A161" s="486" t="s">
        <v>2827</v>
      </c>
      <c r="B161" s="486" t="s">
        <v>484</v>
      </c>
      <c r="C161" s="487" t="s">
        <v>2950</v>
      </c>
      <c r="D161" s="481"/>
      <c r="E161" s="476"/>
      <c r="F161" s="476"/>
      <c r="G161" s="476"/>
      <c r="H161" s="476"/>
      <c r="I161" s="476"/>
      <c r="J161" s="476" t="s">
        <v>2836</v>
      </c>
      <c r="K161" s="476" t="s">
        <v>2798</v>
      </c>
      <c r="L161" s="476" t="s">
        <v>2798</v>
      </c>
      <c r="M161" s="476"/>
      <c r="N161" s="476"/>
      <c r="O161" s="476"/>
      <c r="P161" s="476"/>
      <c r="Q161" s="476"/>
      <c r="R161" s="490"/>
      <c r="S161" s="483"/>
      <c r="T161" s="502">
        <v>43591</v>
      </c>
      <c r="U161" s="490"/>
      <c r="V161" s="476"/>
      <c r="W161" s="482"/>
    </row>
    <row r="162" spans="1:23" s="69" customFormat="1" ht="14.25" customHeight="1">
      <c r="A162" s="483" t="s">
        <v>2827</v>
      </c>
      <c r="B162" s="476" t="s">
        <v>484</v>
      </c>
      <c r="C162" s="476" t="s">
        <v>2743</v>
      </c>
      <c r="D162" s="429"/>
      <c r="E162" s="476"/>
      <c r="F162" s="476"/>
      <c r="G162" s="476"/>
      <c r="H162" s="476"/>
      <c r="I162" s="476"/>
      <c r="J162" s="476" t="s">
        <v>2836</v>
      </c>
      <c r="K162" s="476" t="s">
        <v>2798</v>
      </c>
      <c r="L162" s="476" t="s">
        <v>2835</v>
      </c>
      <c r="M162" s="476"/>
      <c r="N162" s="476"/>
      <c r="O162" s="476"/>
      <c r="P162" s="476"/>
      <c r="Q162" s="476"/>
      <c r="R162" s="482"/>
      <c r="S162" s="483"/>
      <c r="T162" s="502"/>
      <c r="U162" s="484" t="s">
        <v>2739</v>
      </c>
      <c r="V162" s="476"/>
      <c r="W162" s="476"/>
    </row>
    <row r="163" spans="1:23" s="69" customFormat="1" ht="14.25" customHeight="1">
      <c r="A163" s="483" t="s">
        <v>2827</v>
      </c>
      <c r="B163" s="476" t="s">
        <v>484</v>
      </c>
      <c r="C163" s="476" t="s">
        <v>487</v>
      </c>
      <c r="D163" s="429" t="s">
        <v>1685</v>
      </c>
      <c r="E163" s="476">
        <v>196496</v>
      </c>
      <c r="F163" s="476"/>
      <c r="G163" s="476"/>
      <c r="H163" s="476"/>
      <c r="I163" s="476"/>
      <c r="J163" s="476" t="s">
        <v>807</v>
      </c>
      <c r="K163" s="476" t="s">
        <v>807</v>
      </c>
      <c r="L163" s="476" t="s">
        <v>807</v>
      </c>
      <c r="M163" s="476" t="s">
        <v>307</v>
      </c>
      <c r="N163" s="476">
        <v>20.46477509</v>
      </c>
      <c r="O163" s="476">
        <v>93.269363400000003</v>
      </c>
      <c r="P163" s="476" t="s">
        <v>808</v>
      </c>
      <c r="Q163" s="476" t="s">
        <v>789</v>
      </c>
      <c r="R163" s="482"/>
      <c r="S163" s="483"/>
      <c r="T163" s="502"/>
      <c r="U163" s="484"/>
      <c r="V163" s="476" t="s">
        <v>487</v>
      </c>
      <c r="W163" s="476"/>
    </row>
    <row r="164" spans="1:23" s="69" customFormat="1" ht="14.25" customHeight="1">
      <c r="A164" s="483" t="s">
        <v>2827</v>
      </c>
      <c r="B164" s="476" t="s">
        <v>484</v>
      </c>
      <c r="C164" s="476" t="s">
        <v>485</v>
      </c>
      <c r="D164" s="429" t="s">
        <v>1685</v>
      </c>
      <c r="E164" s="476">
        <v>220626</v>
      </c>
      <c r="F164" s="476"/>
      <c r="G164" s="476"/>
      <c r="H164" s="476"/>
      <c r="I164" s="476"/>
      <c r="J164" s="476" t="s">
        <v>807</v>
      </c>
      <c r="K164" s="476" t="s">
        <v>807</v>
      </c>
      <c r="L164" s="476" t="s">
        <v>807</v>
      </c>
      <c r="M164" s="476" t="s">
        <v>307</v>
      </c>
      <c r="N164" s="476">
        <v>20.46252441</v>
      </c>
      <c r="O164" s="476">
        <v>93.257278439999993</v>
      </c>
      <c r="P164" s="476" t="s">
        <v>808</v>
      </c>
      <c r="Q164" s="476" t="s">
        <v>789</v>
      </c>
      <c r="R164" s="482"/>
      <c r="S164" s="483"/>
      <c r="T164" s="502"/>
      <c r="U164" s="484"/>
      <c r="V164" s="476" t="s">
        <v>907</v>
      </c>
      <c r="W164" s="476"/>
    </row>
    <row r="165" spans="1:23" s="69" customFormat="1" ht="14.25" customHeight="1">
      <c r="A165" s="483" t="s">
        <v>2827</v>
      </c>
      <c r="B165" s="480" t="s">
        <v>484</v>
      </c>
      <c r="C165" s="480" t="s">
        <v>3000</v>
      </c>
      <c r="D165" s="429"/>
      <c r="E165" s="476">
        <v>196661</v>
      </c>
      <c r="F165" s="476"/>
      <c r="G165" s="476"/>
      <c r="H165" s="476"/>
      <c r="I165" s="476"/>
      <c r="J165" s="476" t="s">
        <v>2836</v>
      </c>
      <c r="K165" s="476" t="s">
        <v>2798</v>
      </c>
      <c r="L165" s="476" t="s">
        <v>2798</v>
      </c>
      <c r="M165" s="476"/>
      <c r="N165" s="476">
        <v>20.829959869384801</v>
      </c>
      <c r="O165" s="476">
        <v>93.073478698730497</v>
      </c>
      <c r="P165" s="476"/>
      <c r="Q165" s="476"/>
      <c r="R165" s="482"/>
      <c r="S165" s="483"/>
      <c r="T165" s="502"/>
      <c r="U165" s="484"/>
      <c r="V165" s="476"/>
      <c r="W165" s="476"/>
    </row>
    <row r="166" spans="1:23" s="69" customFormat="1" ht="14.25" customHeight="1">
      <c r="A166" s="483" t="s">
        <v>2827</v>
      </c>
      <c r="B166" s="476" t="s">
        <v>484</v>
      </c>
      <c r="C166" s="476" t="s">
        <v>2742</v>
      </c>
      <c r="D166" s="429"/>
      <c r="E166" s="476"/>
      <c r="F166" s="476"/>
      <c r="G166" s="476"/>
      <c r="H166" s="476"/>
      <c r="I166" s="476"/>
      <c r="J166" s="476" t="s">
        <v>2836</v>
      </c>
      <c r="K166" s="476" t="s">
        <v>2798</v>
      </c>
      <c r="L166" s="476" t="s">
        <v>2835</v>
      </c>
      <c r="M166" s="476"/>
      <c r="N166" s="476"/>
      <c r="O166" s="476"/>
      <c r="P166" s="476"/>
      <c r="Q166" s="476"/>
      <c r="R166" s="482"/>
      <c r="S166" s="483"/>
      <c r="T166" s="502"/>
      <c r="U166" s="484" t="s">
        <v>2739</v>
      </c>
      <c r="V166" s="476"/>
      <c r="W166" s="476"/>
    </row>
    <row r="167" spans="1:23" s="69" customFormat="1" ht="14.25" customHeight="1">
      <c r="A167" s="483" t="s">
        <v>2827</v>
      </c>
      <c r="B167" s="476" t="s">
        <v>484</v>
      </c>
      <c r="C167" s="476" t="s">
        <v>2749</v>
      </c>
      <c r="D167" s="429"/>
      <c r="E167" s="476"/>
      <c r="F167" s="476"/>
      <c r="G167" s="476"/>
      <c r="H167" s="476"/>
      <c r="I167" s="476"/>
      <c r="J167" s="476" t="s">
        <v>2836</v>
      </c>
      <c r="K167" s="476" t="s">
        <v>2798</v>
      </c>
      <c r="L167" s="476" t="s">
        <v>2798</v>
      </c>
      <c r="M167" s="476"/>
      <c r="N167" s="476"/>
      <c r="O167" s="476"/>
      <c r="P167" s="476"/>
      <c r="Q167" s="476"/>
      <c r="R167" s="482"/>
      <c r="S167" s="483"/>
      <c r="T167" s="502"/>
      <c r="U167" s="484"/>
      <c r="V167" s="476"/>
      <c r="W167" s="476"/>
    </row>
    <row r="168" spans="1:23" s="69" customFormat="1" ht="14.25" customHeight="1">
      <c r="A168" s="486" t="s">
        <v>2827</v>
      </c>
      <c r="B168" s="486" t="s">
        <v>484</v>
      </c>
      <c r="C168" s="487" t="s">
        <v>2948</v>
      </c>
      <c r="D168" s="481"/>
      <c r="E168" s="476"/>
      <c r="F168" s="476"/>
      <c r="G168" s="476"/>
      <c r="H168" s="476"/>
      <c r="I168" s="476"/>
      <c r="J168" s="476" t="s">
        <v>2836</v>
      </c>
      <c r="K168" s="476" t="s">
        <v>2798</v>
      </c>
      <c r="L168" s="476" t="s">
        <v>2798</v>
      </c>
      <c r="M168" s="476"/>
      <c r="N168" s="476"/>
      <c r="O168" s="476"/>
      <c r="P168" s="476"/>
      <c r="Q168" s="476"/>
      <c r="R168" s="490"/>
      <c r="S168" s="483"/>
      <c r="T168" s="502">
        <v>43591</v>
      </c>
      <c r="U168" s="490"/>
      <c r="V168" s="476"/>
      <c r="W168" s="482"/>
    </row>
    <row r="169" spans="1:23" s="69" customFormat="1" ht="14.25" customHeight="1">
      <c r="A169" s="486" t="s">
        <v>2827</v>
      </c>
      <c r="B169" s="486" t="s">
        <v>484</v>
      </c>
      <c r="C169" s="487" t="s">
        <v>2951</v>
      </c>
      <c r="D169" s="481"/>
      <c r="E169" s="476">
        <v>196448</v>
      </c>
      <c r="F169" s="476"/>
      <c r="G169" s="476"/>
      <c r="H169" s="476"/>
      <c r="I169" s="476"/>
      <c r="J169" s="476" t="s">
        <v>2836</v>
      </c>
      <c r="K169" s="476" t="s">
        <v>2798</v>
      </c>
      <c r="L169" s="476" t="s">
        <v>2798</v>
      </c>
      <c r="M169" s="476"/>
      <c r="N169" s="476">
        <v>20.6728000640869</v>
      </c>
      <c r="O169" s="476">
        <v>93.243469238281307</v>
      </c>
      <c r="P169" s="476"/>
      <c r="Q169" s="476"/>
      <c r="R169" s="490"/>
      <c r="S169" s="483"/>
      <c r="T169" s="502">
        <v>43591</v>
      </c>
      <c r="U169" s="490"/>
      <c r="V169" s="476"/>
      <c r="W169" s="482"/>
    </row>
    <row r="170" spans="1:23" s="69" customFormat="1" ht="14.25" customHeight="1">
      <c r="A170" s="483" t="s">
        <v>2827</v>
      </c>
      <c r="B170" s="476" t="s">
        <v>484</v>
      </c>
      <c r="C170" s="476" t="s">
        <v>562</v>
      </c>
      <c r="D170" s="429" t="s">
        <v>1685</v>
      </c>
      <c r="E170" s="476">
        <v>196642</v>
      </c>
      <c r="F170" s="476"/>
      <c r="G170" s="476"/>
      <c r="H170" s="476"/>
      <c r="I170" s="476"/>
      <c r="J170" s="476" t="s">
        <v>807</v>
      </c>
      <c r="K170" s="476" t="s">
        <v>807</v>
      </c>
      <c r="L170" s="476" t="s">
        <v>807</v>
      </c>
      <c r="M170" s="476" t="s">
        <v>307</v>
      </c>
      <c r="N170" s="476">
        <v>20.70355034</v>
      </c>
      <c r="O170" s="476">
        <v>93.060462950000002</v>
      </c>
      <c r="P170" s="476" t="s">
        <v>808</v>
      </c>
      <c r="Q170" s="476" t="s">
        <v>789</v>
      </c>
      <c r="R170" s="482"/>
      <c r="S170" s="483"/>
      <c r="T170" s="502"/>
      <c r="U170" s="484"/>
      <c r="V170" s="476" t="s">
        <v>562</v>
      </c>
      <c r="W170" s="476"/>
    </row>
    <row r="171" spans="1:23" s="69" customFormat="1" ht="14.25" customHeight="1">
      <c r="A171" s="483" t="s">
        <v>2827</v>
      </c>
      <c r="B171" s="476" t="s">
        <v>484</v>
      </c>
      <c r="C171" s="476" t="s">
        <v>2746</v>
      </c>
      <c r="D171" s="429"/>
      <c r="E171" s="476"/>
      <c r="F171" s="476"/>
      <c r="G171" s="476"/>
      <c r="H171" s="476"/>
      <c r="I171" s="476"/>
      <c r="J171" s="476" t="s">
        <v>2836</v>
      </c>
      <c r="K171" s="476" t="s">
        <v>2798</v>
      </c>
      <c r="L171" s="476" t="s">
        <v>2798</v>
      </c>
      <c r="M171" s="476"/>
      <c r="N171" s="476"/>
      <c r="O171" s="476"/>
      <c r="P171" s="476"/>
      <c r="Q171" s="476"/>
      <c r="R171" s="482"/>
      <c r="S171" s="483"/>
      <c r="T171" s="502"/>
      <c r="U171" s="484"/>
      <c r="V171" s="476"/>
      <c r="W171" s="476"/>
    </row>
    <row r="172" spans="1:23" s="69" customFormat="1" ht="14.25" customHeight="1">
      <c r="A172" s="483" t="s">
        <v>2827</v>
      </c>
      <c r="B172" s="486" t="s">
        <v>484</v>
      </c>
      <c r="C172" s="480" t="s">
        <v>918</v>
      </c>
      <c r="D172" s="429" t="s">
        <v>2919</v>
      </c>
      <c r="E172" s="476" t="s">
        <v>1409</v>
      </c>
      <c r="F172" s="480" t="s">
        <v>1886</v>
      </c>
      <c r="G172" s="476" t="s">
        <v>1886</v>
      </c>
      <c r="H172" s="476"/>
      <c r="I172" s="476"/>
      <c r="J172" s="476" t="s">
        <v>807</v>
      </c>
      <c r="K172" s="476" t="s">
        <v>807</v>
      </c>
      <c r="L172" s="476" t="s">
        <v>892</v>
      </c>
      <c r="M172" s="476" t="s">
        <v>804</v>
      </c>
      <c r="N172" s="476">
        <v>20.576577</v>
      </c>
      <c r="O172" s="476">
        <v>93.245551000000006</v>
      </c>
      <c r="P172" s="476" t="s">
        <v>808</v>
      </c>
      <c r="Q172" s="480"/>
      <c r="R172" s="482">
        <v>204</v>
      </c>
      <c r="S172" s="483">
        <v>1265</v>
      </c>
      <c r="T172" s="503"/>
      <c r="U172" s="484" t="s">
        <v>869</v>
      </c>
      <c r="V172" s="476" t="s">
        <v>918</v>
      </c>
      <c r="W172" s="476"/>
    </row>
    <row r="173" spans="1:23" s="69" customFormat="1" ht="14.25" customHeight="1">
      <c r="A173" s="483" t="s">
        <v>2827</v>
      </c>
      <c r="B173" s="476" t="s">
        <v>484</v>
      </c>
      <c r="C173" s="476" t="s">
        <v>2748</v>
      </c>
      <c r="D173" s="429"/>
      <c r="E173" s="476"/>
      <c r="F173" s="476"/>
      <c r="G173" s="476"/>
      <c r="H173" s="476"/>
      <c r="I173" s="476"/>
      <c r="J173" s="476" t="s">
        <v>2836</v>
      </c>
      <c r="K173" s="476" t="s">
        <v>2798</v>
      </c>
      <c r="L173" s="476" t="s">
        <v>2835</v>
      </c>
      <c r="M173" s="476"/>
      <c r="N173" s="476"/>
      <c r="O173" s="476"/>
      <c r="P173" s="476"/>
      <c r="Q173" s="476"/>
      <c r="R173" s="482"/>
      <c r="S173" s="483"/>
      <c r="T173" s="502"/>
      <c r="U173" s="484" t="s">
        <v>2739</v>
      </c>
      <c r="V173" s="476"/>
      <c r="W173" s="476"/>
    </row>
    <row r="174" spans="1:23" s="69" customFormat="1" ht="14.25" customHeight="1">
      <c r="A174" s="483" t="s">
        <v>2827</v>
      </c>
      <c r="B174" s="476" t="s">
        <v>484</v>
      </c>
      <c r="C174" s="476" t="s">
        <v>2744</v>
      </c>
      <c r="D174" s="429"/>
      <c r="E174" s="476"/>
      <c r="F174" s="476"/>
      <c r="G174" s="476"/>
      <c r="H174" s="476"/>
      <c r="I174" s="476"/>
      <c r="J174" s="476" t="s">
        <v>2836</v>
      </c>
      <c r="K174" s="476" t="s">
        <v>2798</v>
      </c>
      <c r="L174" s="476" t="s">
        <v>2835</v>
      </c>
      <c r="M174" s="476"/>
      <c r="N174" s="476"/>
      <c r="O174" s="476"/>
      <c r="P174" s="476"/>
      <c r="Q174" s="476"/>
      <c r="R174" s="482"/>
      <c r="S174" s="483"/>
      <c r="T174" s="502"/>
      <c r="U174" s="484" t="s">
        <v>2739</v>
      </c>
      <c r="V174" s="476"/>
      <c r="W174" s="476"/>
    </row>
    <row r="175" spans="1:23" s="69" customFormat="1" ht="14.25" customHeight="1">
      <c r="A175" s="486" t="s">
        <v>2827</v>
      </c>
      <c r="B175" s="486" t="s">
        <v>484</v>
      </c>
      <c r="C175" s="487" t="s">
        <v>2942</v>
      </c>
      <c r="D175" s="481"/>
      <c r="E175" s="476"/>
      <c r="F175" s="476"/>
      <c r="G175" s="476"/>
      <c r="H175" s="476"/>
      <c r="I175" s="476"/>
      <c r="J175" s="476" t="s">
        <v>2836</v>
      </c>
      <c r="K175" s="476" t="s">
        <v>2798</v>
      </c>
      <c r="L175" s="476" t="s">
        <v>2798</v>
      </c>
      <c r="M175" s="476"/>
      <c r="N175" s="476"/>
      <c r="O175" s="476"/>
      <c r="P175" s="476"/>
      <c r="Q175" s="476"/>
      <c r="R175" s="490"/>
      <c r="S175" s="483"/>
      <c r="T175" s="502">
        <v>43591</v>
      </c>
      <c r="U175" s="490"/>
      <c r="V175" s="476"/>
      <c r="W175" s="482"/>
    </row>
    <row r="176" spans="1:23" s="69" customFormat="1" ht="14.25" customHeight="1">
      <c r="A176" s="483" t="s">
        <v>2827</v>
      </c>
      <c r="B176" s="486" t="s">
        <v>484</v>
      </c>
      <c r="C176" s="480" t="s">
        <v>921</v>
      </c>
      <c r="D176" s="430" t="s">
        <v>1685</v>
      </c>
      <c r="E176" s="480">
        <v>196429</v>
      </c>
      <c r="F176" s="480"/>
      <c r="G176" s="480"/>
      <c r="H176" s="480"/>
      <c r="I176" s="480"/>
      <c r="J176" s="476" t="s">
        <v>807</v>
      </c>
      <c r="K176" s="476" t="s">
        <v>807</v>
      </c>
      <c r="L176" s="476" t="s">
        <v>807</v>
      </c>
      <c r="M176" s="480" t="s">
        <v>307</v>
      </c>
      <c r="N176" s="480">
        <v>20.58151054</v>
      </c>
      <c r="O176" s="480">
        <v>93.24609375</v>
      </c>
      <c r="P176" s="476" t="s">
        <v>808</v>
      </c>
      <c r="Q176" s="480"/>
      <c r="R176" s="491"/>
      <c r="S176" s="487"/>
      <c r="T176" s="503"/>
      <c r="U176" s="488"/>
      <c r="V176" s="480" t="s">
        <v>921</v>
      </c>
      <c r="W176" s="476"/>
    </row>
    <row r="177" spans="1:23" s="69" customFormat="1" ht="14.25" customHeight="1">
      <c r="A177" s="483" t="s">
        <v>2827</v>
      </c>
      <c r="B177" s="480" t="s">
        <v>484</v>
      </c>
      <c r="C177" s="480" t="s">
        <v>926</v>
      </c>
      <c r="D177" s="429" t="s">
        <v>2919</v>
      </c>
      <c r="E177" s="476" t="s">
        <v>1411</v>
      </c>
      <c r="F177" s="476" t="s">
        <v>504</v>
      </c>
      <c r="G177" s="476" t="s">
        <v>1887</v>
      </c>
      <c r="H177" s="476"/>
      <c r="I177" s="476"/>
      <c r="J177" s="476" t="s">
        <v>807</v>
      </c>
      <c r="K177" s="476" t="s">
        <v>807</v>
      </c>
      <c r="L177" s="476" t="s">
        <v>830</v>
      </c>
      <c r="M177" s="476" t="s">
        <v>307</v>
      </c>
      <c r="N177" s="476">
        <v>20.61692</v>
      </c>
      <c r="O177" s="476">
        <v>93.239519999999999</v>
      </c>
      <c r="P177" s="476" t="s">
        <v>808</v>
      </c>
      <c r="Q177" s="476"/>
      <c r="R177" s="482">
        <v>10</v>
      </c>
      <c r="S177" s="483">
        <v>64</v>
      </c>
      <c r="T177" s="502"/>
      <c r="U177" s="484" t="s">
        <v>869</v>
      </c>
      <c r="V177" s="476" t="s">
        <v>926</v>
      </c>
      <c r="W177" s="476"/>
    </row>
    <row r="178" spans="1:23" s="69" customFormat="1" ht="14.25" customHeight="1">
      <c r="A178" s="483" t="s">
        <v>2827</v>
      </c>
      <c r="B178" s="480" t="s">
        <v>484</v>
      </c>
      <c r="C178" s="480" t="s">
        <v>2741</v>
      </c>
      <c r="D178" s="429"/>
      <c r="E178" s="476">
        <v>196465</v>
      </c>
      <c r="F178" s="476"/>
      <c r="G178" s="476"/>
      <c r="H178" s="476"/>
      <c r="I178" s="476"/>
      <c r="J178" s="476" t="s">
        <v>2836</v>
      </c>
      <c r="K178" s="476" t="s">
        <v>2798</v>
      </c>
      <c r="L178" s="476" t="s">
        <v>2798</v>
      </c>
      <c r="M178" s="476"/>
      <c r="N178" s="476">
        <v>20.7270202636719</v>
      </c>
      <c r="O178" s="476">
        <v>93.249069213867202</v>
      </c>
      <c r="P178" s="476"/>
      <c r="Q178" s="476"/>
      <c r="R178" s="482"/>
      <c r="S178" s="483"/>
      <c r="T178" s="502"/>
      <c r="U178" s="484"/>
      <c r="V178" s="476"/>
      <c r="W178" s="476"/>
    </row>
    <row r="179" spans="1:23" s="69" customFormat="1" ht="14.25" customHeight="1">
      <c r="A179" s="483" t="s">
        <v>2827</v>
      </c>
      <c r="B179" s="480" t="s">
        <v>484</v>
      </c>
      <c r="C179" s="480" t="s">
        <v>2740</v>
      </c>
      <c r="D179" s="429"/>
      <c r="E179" s="476"/>
      <c r="F179" s="480"/>
      <c r="G179" s="476"/>
      <c r="H179" s="476"/>
      <c r="I179" s="476"/>
      <c r="J179" s="476" t="s">
        <v>2836</v>
      </c>
      <c r="K179" s="476" t="s">
        <v>2798</v>
      </c>
      <c r="L179" s="476" t="s">
        <v>2835</v>
      </c>
      <c r="M179" s="476"/>
      <c r="N179" s="476"/>
      <c r="O179" s="476"/>
      <c r="P179" s="476"/>
      <c r="Q179" s="476"/>
      <c r="R179" s="482"/>
      <c r="S179" s="483"/>
      <c r="T179" s="502"/>
      <c r="U179" s="484" t="s">
        <v>2739</v>
      </c>
      <c r="V179" s="476"/>
      <c r="W179" s="476"/>
    </row>
    <row r="180" spans="1:23" s="69" customFormat="1" ht="14.25" customHeight="1">
      <c r="A180" s="483" t="s">
        <v>2827</v>
      </c>
      <c r="B180" s="480" t="s">
        <v>484</v>
      </c>
      <c r="C180" s="480" t="s">
        <v>2747</v>
      </c>
      <c r="D180" s="429"/>
      <c r="E180" s="476"/>
      <c r="F180" s="476"/>
      <c r="G180" s="476"/>
      <c r="H180" s="476"/>
      <c r="I180" s="476"/>
      <c r="J180" s="476" t="s">
        <v>2836</v>
      </c>
      <c r="K180" s="476" t="s">
        <v>2798</v>
      </c>
      <c r="L180" s="476" t="s">
        <v>2798</v>
      </c>
      <c r="M180" s="476"/>
      <c r="N180" s="476"/>
      <c r="O180" s="476"/>
      <c r="P180" s="476"/>
      <c r="Q180" s="476"/>
      <c r="R180" s="482"/>
      <c r="S180" s="483"/>
      <c r="T180" s="502"/>
      <c r="U180" s="484"/>
      <c r="V180" s="476"/>
      <c r="W180" s="476"/>
    </row>
    <row r="181" spans="1:23" s="69" customFormat="1" ht="14.25" customHeight="1">
      <c r="A181" s="483" t="s">
        <v>2827</v>
      </c>
      <c r="B181" s="480" t="s">
        <v>484</v>
      </c>
      <c r="C181" s="480" t="s">
        <v>3001</v>
      </c>
      <c r="D181" s="429"/>
      <c r="E181" s="476">
        <v>196453</v>
      </c>
      <c r="F181" s="480"/>
      <c r="G181" s="476"/>
      <c r="H181" s="476"/>
      <c r="I181" s="476"/>
      <c r="J181" s="476" t="s">
        <v>2836</v>
      </c>
      <c r="K181" s="476" t="s">
        <v>2798</v>
      </c>
      <c r="L181" s="476" t="s">
        <v>2798</v>
      </c>
      <c r="M181" s="476"/>
      <c r="N181" s="476">
        <v>20.686229705810501</v>
      </c>
      <c r="O181" s="476">
        <v>93.220001220703097</v>
      </c>
      <c r="P181" s="476"/>
      <c r="Q181" s="476"/>
      <c r="R181" s="486"/>
      <c r="S181" s="487"/>
      <c r="T181" s="502"/>
      <c r="U181" s="484"/>
      <c r="V181" s="476"/>
      <c r="W181" s="476"/>
    </row>
    <row r="182" spans="1:23" s="69" customFormat="1" ht="14.25" customHeight="1">
      <c r="A182" s="483" t="s">
        <v>2827</v>
      </c>
      <c r="B182" s="480" t="s">
        <v>484</v>
      </c>
      <c r="C182" s="480" t="s">
        <v>3002</v>
      </c>
      <c r="D182" s="429"/>
      <c r="E182" s="476">
        <v>196453</v>
      </c>
      <c r="F182" s="476"/>
      <c r="G182" s="476"/>
      <c r="H182" s="476"/>
      <c r="I182" s="476"/>
      <c r="J182" s="476" t="s">
        <v>2836</v>
      </c>
      <c r="K182" s="476" t="s">
        <v>2798</v>
      </c>
      <c r="L182" s="476" t="s">
        <v>2798</v>
      </c>
      <c r="M182" s="476"/>
      <c r="N182" s="476">
        <v>20.686229705810501</v>
      </c>
      <c r="O182" s="476">
        <v>93.220001220703097</v>
      </c>
      <c r="P182" s="476"/>
      <c r="Q182" s="476"/>
      <c r="R182" s="486"/>
      <c r="S182" s="487"/>
      <c r="T182" s="502"/>
      <c r="U182" s="484"/>
      <c r="V182" s="476"/>
      <c r="W182" s="476"/>
    </row>
    <row r="183" spans="1:23" s="69" customFormat="1" ht="14.25" customHeight="1">
      <c r="A183" s="483" t="s">
        <v>2827</v>
      </c>
      <c r="B183" s="480" t="s">
        <v>484</v>
      </c>
      <c r="C183" s="480" t="s">
        <v>2751</v>
      </c>
      <c r="D183" s="429"/>
      <c r="E183" s="476">
        <v>196464</v>
      </c>
      <c r="F183" s="476"/>
      <c r="G183" s="476"/>
      <c r="H183" s="476"/>
      <c r="I183" s="476"/>
      <c r="J183" s="476" t="s">
        <v>2836</v>
      </c>
      <c r="K183" s="476" t="s">
        <v>2798</v>
      </c>
      <c r="L183" s="476" t="s">
        <v>2798</v>
      </c>
      <c r="M183" s="476"/>
      <c r="N183" s="476">
        <v>20.7529296875</v>
      </c>
      <c r="O183" s="476">
        <v>93.267311096191406</v>
      </c>
      <c r="P183" s="476"/>
      <c r="Q183" s="476"/>
      <c r="R183" s="482"/>
      <c r="S183" s="483"/>
      <c r="T183" s="502"/>
      <c r="U183" s="484"/>
      <c r="V183" s="476"/>
      <c r="W183" s="476"/>
    </row>
    <row r="184" spans="1:23" s="69" customFormat="1" ht="14.25" customHeight="1">
      <c r="A184" s="483" t="s">
        <v>2827</v>
      </c>
      <c r="B184" s="480" t="s">
        <v>484</v>
      </c>
      <c r="C184" s="480" t="s">
        <v>2752</v>
      </c>
      <c r="D184" s="429"/>
      <c r="E184" s="476"/>
      <c r="F184" s="476"/>
      <c r="G184" s="476"/>
      <c r="H184" s="476"/>
      <c r="I184" s="476"/>
      <c r="J184" s="476" t="s">
        <v>2836</v>
      </c>
      <c r="K184" s="476" t="s">
        <v>2798</v>
      </c>
      <c r="L184" s="476" t="s">
        <v>2798</v>
      </c>
      <c r="M184" s="476"/>
      <c r="N184" s="476"/>
      <c r="O184" s="476"/>
      <c r="P184" s="476"/>
      <c r="Q184" s="476"/>
      <c r="R184" s="482"/>
      <c r="S184" s="483"/>
      <c r="T184" s="502"/>
      <c r="U184" s="484"/>
      <c r="V184" s="476"/>
      <c r="W184" s="476"/>
    </row>
    <row r="185" spans="1:23" s="69" customFormat="1" ht="14.25" customHeight="1">
      <c r="A185" s="486" t="s">
        <v>2827</v>
      </c>
      <c r="B185" s="486" t="s">
        <v>484</v>
      </c>
      <c r="C185" s="487" t="s">
        <v>2941</v>
      </c>
      <c r="D185" s="481"/>
      <c r="E185" s="476">
        <v>196645</v>
      </c>
      <c r="F185" s="476"/>
      <c r="G185" s="476"/>
      <c r="H185" s="476"/>
      <c r="I185" s="476"/>
      <c r="J185" s="476" t="s">
        <v>2836</v>
      </c>
      <c r="K185" s="476" t="s">
        <v>2798</v>
      </c>
      <c r="L185" s="476" t="s">
        <v>2798</v>
      </c>
      <c r="M185" s="476"/>
      <c r="N185" s="476">
        <v>20.718429565429702</v>
      </c>
      <c r="O185" s="476">
        <v>93.059432983398395</v>
      </c>
      <c r="P185" s="476"/>
      <c r="Q185" s="476"/>
      <c r="R185" s="490"/>
      <c r="S185" s="483"/>
      <c r="T185" s="502">
        <v>43591</v>
      </c>
      <c r="U185" s="490"/>
      <c r="V185" s="476"/>
      <c r="W185" s="482"/>
    </row>
    <row r="186" spans="1:23" s="69" customFormat="1" ht="14.25" customHeight="1">
      <c r="A186" s="486" t="s">
        <v>2827</v>
      </c>
      <c r="B186" s="486" t="s">
        <v>484</v>
      </c>
      <c r="C186" s="487" t="s">
        <v>2949</v>
      </c>
      <c r="D186" s="481"/>
      <c r="E186" s="476"/>
      <c r="F186" s="476"/>
      <c r="G186" s="476"/>
      <c r="H186" s="476"/>
      <c r="I186" s="476"/>
      <c r="J186" s="476" t="s">
        <v>2836</v>
      </c>
      <c r="K186" s="476" t="s">
        <v>2798</v>
      </c>
      <c r="L186" s="476" t="s">
        <v>2798</v>
      </c>
      <c r="M186" s="476"/>
      <c r="N186" s="476"/>
      <c r="O186" s="476"/>
      <c r="P186" s="476"/>
      <c r="Q186" s="476"/>
      <c r="R186" s="490"/>
      <c r="S186" s="483"/>
      <c r="T186" s="502">
        <v>43591</v>
      </c>
      <c r="U186" s="490"/>
      <c r="V186" s="476"/>
      <c r="W186" s="482"/>
    </row>
    <row r="187" spans="1:23" s="69" customFormat="1" ht="14.25" customHeight="1">
      <c r="A187" s="483" t="s">
        <v>2827</v>
      </c>
      <c r="B187" s="480" t="s">
        <v>484</v>
      </c>
      <c r="C187" s="480" t="s">
        <v>911</v>
      </c>
      <c r="D187" s="429" t="s">
        <v>2919</v>
      </c>
      <c r="E187" s="476" t="s">
        <v>1406</v>
      </c>
      <c r="F187" s="476" t="s">
        <v>1884</v>
      </c>
      <c r="G187" s="476" t="s">
        <v>911</v>
      </c>
      <c r="H187" s="476"/>
      <c r="I187" s="476"/>
      <c r="J187" s="476" t="s">
        <v>807</v>
      </c>
      <c r="K187" s="476" t="s">
        <v>807</v>
      </c>
      <c r="L187" s="476" t="s">
        <v>830</v>
      </c>
      <c r="M187" s="476" t="s">
        <v>307</v>
      </c>
      <c r="N187" s="476">
        <v>20.495086000000001</v>
      </c>
      <c r="O187" s="476">
        <v>93.246863000000005</v>
      </c>
      <c r="P187" s="476" t="s">
        <v>808</v>
      </c>
      <c r="Q187" s="476"/>
      <c r="R187" s="482">
        <v>32</v>
      </c>
      <c r="S187" s="483">
        <v>131</v>
      </c>
      <c r="T187" s="502"/>
      <c r="U187" s="484" t="s">
        <v>869</v>
      </c>
      <c r="V187" s="476" t="s">
        <v>912</v>
      </c>
      <c r="W187" s="476"/>
    </row>
    <row r="188" spans="1:23" s="69" customFormat="1" ht="14.25" customHeight="1">
      <c r="A188" s="486" t="s">
        <v>2827</v>
      </c>
      <c r="B188" s="486" t="s">
        <v>484</v>
      </c>
      <c r="C188" s="487" t="s">
        <v>2939</v>
      </c>
      <c r="D188" s="481"/>
      <c r="E188" s="476">
        <v>196626</v>
      </c>
      <c r="F188" s="476"/>
      <c r="G188" s="476"/>
      <c r="H188" s="476"/>
      <c r="I188" s="476"/>
      <c r="J188" s="476" t="s">
        <v>2836</v>
      </c>
      <c r="K188" s="476" t="s">
        <v>2798</v>
      </c>
      <c r="L188" s="476" t="s">
        <v>2798</v>
      </c>
      <c r="M188" s="476"/>
      <c r="N188" s="476">
        <v>20.648319244384801</v>
      </c>
      <c r="O188" s="476">
        <v>93.085273742675795</v>
      </c>
      <c r="P188" s="476"/>
      <c r="Q188" s="476"/>
      <c r="R188" s="490"/>
      <c r="S188" s="483"/>
      <c r="T188" s="502">
        <v>43591</v>
      </c>
      <c r="U188" s="490"/>
      <c r="V188" s="476"/>
      <c r="W188" s="482"/>
    </row>
    <row r="189" spans="1:23" s="69" customFormat="1" ht="14.25" customHeight="1">
      <c r="A189" s="486" t="s">
        <v>2827</v>
      </c>
      <c r="B189" s="486" t="s">
        <v>484</v>
      </c>
      <c r="C189" s="487" t="s">
        <v>2936</v>
      </c>
      <c r="D189" s="481"/>
      <c r="E189" s="476"/>
      <c r="F189" s="476"/>
      <c r="G189" s="476"/>
      <c r="H189" s="476"/>
      <c r="I189" s="476"/>
      <c r="J189" s="476" t="s">
        <v>2836</v>
      </c>
      <c r="K189" s="476" t="s">
        <v>2798</v>
      </c>
      <c r="L189" s="476" t="s">
        <v>2798</v>
      </c>
      <c r="M189" s="476"/>
      <c r="N189" s="476"/>
      <c r="O189" s="476"/>
      <c r="P189" s="476"/>
      <c r="Q189" s="476"/>
      <c r="R189" s="490"/>
      <c r="S189" s="483"/>
      <c r="T189" s="502">
        <v>43591</v>
      </c>
      <c r="U189" s="490"/>
      <c r="V189" s="476"/>
      <c r="W189" s="482"/>
    </row>
    <row r="190" spans="1:23" s="69" customFormat="1" ht="14.25" customHeight="1">
      <c r="A190" s="486" t="s">
        <v>2827</v>
      </c>
      <c r="B190" s="486" t="s">
        <v>484</v>
      </c>
      <c r="C190" s="487" t="s">
        <v>2938</v>
      </c>
      <c r="D190" s="481"/>
      <c r="E190" s="476">
        <v>196621</v>
      </c>
      <c r="F190" s="476"/>
      <c r="G190" s="476"/>
      <c r="H190" s="476"/>
      <c r="I190" s="476"/>
      <c r="J190" s="476" t="s">
        <v>2836</v>
      </c>
      <c r="K190" s="476" t="s">
        <v>2798</v>
      </c>
      <c r="L190" s="476" t="s">
        <v>2798</v>
      </c>
      <c r="M190" s="476"/>
      <c r="N190" s="476">
        <v>20.675979614257798</v>
      </c>
      <c r="O190" s="476">
        <v>93.098922729492202</v>
      </c>
      <c r="P190" s="476"/>
      <c r="Q190" s="476"/>
      <c r="R190" s="490"/>
      <c r="S190" s="483"/>
      <c r="T190" s="502">
        <v>43591</v>
      </c>
      <c r="U190" s="490"/>
      <c r="V190" s="476"/>
      <c r="W190" s="482"/>
    </row>
    <row r="191" spans="1:23" s="69" customFormat="1" ht="14.25" customHeight="1">
      <c r="A191" s="483" t="s">
        <v>2827</v>
      </c>
      <c r="B191" s="480" t="s">
        <v>484</v>
      </c>
      <c r="C191" s="480" t="s">
        <v>2745</v>
      </c>
      <c r="D191" s="429"/>
      <c r="E191" s="476"/>
      <c r="F191" s="476"/>
      <c r="G191" s="476"/>
      <c r="H191" s="476"/>
      <c r="I191" s="476"/>
      <c r="J191" s="476" t="s">
        <v>2836</v>
      </c>
      <c r="K191" s="476" t="s">
        <v>2798</v>
      </c>
      <c r="L191" s="476" t="s">
        <v>2798</v>
      </c>
      <c r="M191" s="476"/>
      <c r="N191" s="476"/>
      <c r="O191" s="476"/>
      <c r="P191" s="476"/>
      <c r="Q191" s="476"/>
      <c r="R191" s="482"/>
      <c r="S191" s="483"/>
      <c r="T191" s="502"/>
      <c r="U191" s="484"/>
      <c r="V191" s="476"/>
      <c r="W191" s="476"/>
    </row>
    <row r="192" spans="1:23" s="69" customFormat="1" ht="14.25" customHeight="1">
      <c r="A192" s="486" t="s">
        <v>2827</v>
      </c>
      <c r="B192" s="486" t="s">
        <v>484</v>
      </c>
      <c r="C192" s="487" t="s">
        <v>2935</v>
      </c>
      <c r="D192" s="481"/>
      <c r="E192" s="476"/>
      <c r="F192" s="476"/>
      <c r="G192" s="476"/>
      <c r="H192" s="476"/>
      <c r="I192" s="476"/>
      <c r="J192" s="476" t="s">
        <v>2836</v>
      </c>
      <c r="K192" s="476" t="s">
        <v>2798</v>
      </c>
      <c r="L192" s="476" t="s">
        <v>2798</v>
      </c>
      <c r="M192" s="476"/>
      <c r="N192" s="476"/>
      <c r="O192" s="476"/>
      <c r="P192" s="476"/>
      <c r="Q192" s="476"/>
      <c r="R192" s="490"/>
      <c r="S192" s="483"/>
      <c r="T192" s="502">
        <v>43591</v>
      </c>
      <c r="U192" s="490"/>
      <c r="V192" s="476"/>
      <c r="W192" s="482"/>
    </row>
    <row r="193" spans="1:23" s="69" customFormat="1" ht="14.25" customHeight="1">
      <c r="A193" s="486" t="s">
        <v>2827</v>
      </c>
      <c r="B193" s="486" t="s">
        <v>484</v>
      </c>
      <c r="C193" s="487" t="s">
        <v>2940</v>
      </c>
      <c r="D193" s="481"/>
      <c r="E193" s="476">
        <v>196636</v>
      </c>
      <c r="F193" s="476"/>
      <c r="G193" s="476"/>
      <c r="H193" s="476"/>
      <c r="I193" s="476"/>
      <c r="J193" s="476" t="s">
        <v>2836</v>
      </c>
      <c r="K193" s="476" t="s">
        <v>2798</v>
      </c>
      <c r="L193" s="476" t="s">
        <v>2798</v>
      </c>
      <c r="M193" s="476"/>
      <c r="N193" s="476">
        <v>20.6698608398438</v>
      </c>
      <c r="O193" s="476">
        <v>93.087516784667997</v>
      </c>
      <c r="P193" s="476"/>
      <c r="Q193" s="476"/>
      <c r="R193" s="490"/>
      <c r="S193" s="483"/>
      <c r="T193" s="502">
        <v>43591</v>
      </c>
      <c r="U193" s="490"/>
      <c r="V193" s="476"/>
      <c r="W193" s="482"/>
    </row>
    <row r="194" spans="1:23" s="69" customFormat="1" ht="14.25" customHeight="1">
      <c r="A194" s="483" t="s">
        <v>2827</v>
      </c>
      <c r="B194" s="480" t="s">
        <v>484</v>
      </c>
      <c r="C194" s="480" t="s">
        <v>913</v>
      </c>
      <c r="D194" s="429" t="s">
        <v>2919</v>
      </c>
      <c r="E194" s="476" t="s">
        <v>1407</v>
      </c>
      <c r="F194" s="476" t="s">
        <v>1885</v>
      </c>
      <c r="G194" s="476" t="s">
        <v>1885</v>
      </c>
      <c r="H194" s="476"/>
      <c r="I194" s="476"/>
      <c r="J194" s="476" t="s">
        <v>807</v>
      </c>
      <c r="K194" s="476" t="s">
        <v>807</v>
      </c>
      <c r="L194" s="476" t="s">
        <v>892</v>
      </c>
      <c r="M194" s="476" t="s">
        <v>804</v>
      </c>
      <c r="N194" s="476">
        <v>20.501757999999999</v>
      </c>
      <c r="O194" s="476">
        <v>93.217039999999997</v>
      </c>
      <c r="P194" s="476" t="s">
        <v>808</v>
      </c>
      <c r="Q194" s="476"/>
      <c r="R194" s="482">
        <v>365</v>
      </c>
      <c r="S194" s="483">
        <v>2366</v>
      </c>
      <c r="T194" s="502"/>
      <c r="U194" s="484" t="s">
        <v>869</v>
      </c>
      <c r="V194" s="476" t="s">
        <v>914</v>
      </c>
      <c r="W194" s="480"/>
    </row>
    <row r="195" spans="1:23" s="69" customFormat="1" ht="14.25" customHeight="1">
      <c r="A195" s="486" t="s">
        <v>2827</v>
      </c>
      <c r="B195" s="486" t="s">
        <v>484</v>
      </c>
      <c r="C195" s="487" t="s">
        <v>2937</v>
      </c>
      <c r="D195" s="481"/>
      <c r="E195" s="476">
        <v>196622</v>
      </c>
      <c r="F195" s="476"/>
      <c r="G195" s="476"/>
      <c r="H195" s="476"/>
      <c r="I195" s="476"/>
      <c r="J195" s="476" t="s">
        <v>2836</v>
      </c>
      <c r="K195" s="476" t="s">
        <v>2798</v>
      </c>
      <c r="L195" s="476" t="s">
        <v>2798</v>
      </c>
      <c r="M195" s="476"/>
      <c r="N195" s="476">
        <v>20.666166305541999</v>
      </c>
      <c r="O195" s="476">
        <v>93.094825744628906</v>
      </c>
      <c r="P195" s="476"/>
      <c r="Q195" s="476"/>
      <c r="R195" s="490"/>
      <c r="S195" s="483"/>
      <c r="T195" s="502">
        <v>43591</v>
      </c>
      <c r="U195" s="490"/>
      <c r="V195" s="476"/>
      <c r="W195" s="482"/>
    </row>
    <row r="196" spans="1:23" s="69" customFormat="1" ht="14.25" customHeight="1">
      <c r="A196" s="483" t="s">
        <v>2827</v>
      </c>
      <c r="B196" s="480" t="s">
        <v>412</v>
      </c>
      <c r="C196" s="480" t="s">
        <v>825</v>
      </c>
      <c r="D196" s="429" t="s">
        <v>1685</v>
      </c>
      <c r="E196" s="476">
        <v>197254</v>
      </c>
      <c r="F196" s="476"/>
      <c r="G196" s="476"/>
      <c r="H196" s="476"/>
      <c r="I196" s="476"/>
      <c r="J196" s="476" t="s">
        <v>807</v>
      </c>
      <c r="K196" s="476" t="s">
        <v>807</v>
      </c>
      <c r="L196" s="476" t="s">
        <v>807</v>
      </c>
      <c r="M196" s="476" t="s">
        <v>307</v>
      </c>
      <c r="N196" s="476">
        <v>20.021469119999999</v>
      </c>
      <c r="O196" s="476">
        <v>93.367980959999997</v>
      </c>
      <c r="P196" s="476" t="s">
        <v>808</v>
      </c>
      <c r="Q196" s="476"/>
      <c r="R196" s="486"/>
      <c r="S196" s="487"/>
      <c r="T196" s="502"/>
      <c r="U196" s="484"/>
      <c r="V196" s="476" t="s">
        <v>825</v>
      </c>
      <c r="W196" s="476"/>
    </row>
    <row r="197" spans="1:23" s="69" customFormat="1" ht="14.25" customHeight="1">
      <c r="A197" s="483" t="s">
        <v>2827</v>
      </c>
      <c r="B197" s="480" t="s">
        <v>412</v>
      </c>
      <c r="C197" s="480" t="s">
        <v>826</v>
      </c>
      <c r="D197" s="429" t="s">
        <v>1685</v>
      </c>
      <c r="E197" s="476">
        <v>197253</v>
      </c>
      <c r="F197" s="480"/>
      <c r="G197" s="476"/>
      <c r="H197" s="476"/>
      <c r="I197" s="476"/>
      <c r="J197" s="476" t="s">
        <v>807</v>
      </c>
      <c r="K197" s="476" t="s">
        <v>807</v>
      </c>
      <c r="L197" s="476" t="s">
        <v>807</v>
      </c>
      <c r="M197" s="476" t="s">
        <v>307</v>
      </c>
      <c r="N197" s="476">
        <v>20.023879999999998</v>
      </c>
      <c r="O197" s="476">
        <v>93.376663210000004</v>
      </c>
      <c r="P197" s="476" t="s">
        <v>808</v>
      </c>
      <c r="Q197" s="476"/>
      <c r="R197" s="486"/>
      <c r="S197" s="487"/>
      <c r="T197" s="502"/>
      <c r="U197" s="484"/>
      <c r="V197" s="476" t="s">
        <v>826</v>
      </c>
      <c r="W197" s="476"/>
    </row>
    <row r="198" spans="1:23" s="69" customFormat="1" ht="14.25" customHeight="1">
      <c r="A198" s="483" t="s">
        <v>2827</v>
      </c>
      <c r="B198" s="480" t="s">
        <v>412</v>
      </c>
      <c r="C198" s="480" t="s">
        <v>828</v>
      </c>
      <c r="D198" s="429" t="s">
        <v>1685</v>
      </c>
      <c r="E198" s="476">
        <v>217974</v>
      </c>
      <c r="F198" s="480"/>
      <c r="G198" s="476"/>
      <c r="H198" s="476"/>
      <c r="I198" s="476"/>
      <c r="J198" s="476" t="s">
        <v>807</v>
      </c>
      <c r="K198" s="476" t="s">
        <v>807</v>
      </c>
      <c r="L198" s="476" t="s">
        <v>807</v>
      </c>
      <c r="M198" s="476" t="s">
        <v>307</v>
      </c>
      <c r="N198" s="476">
        <v>20.032299999999999</v>
      </c>
      <c r="O198" s="476">
        <v>93.375100000000003</v>
      </c>
      <c r="P198" s="476" t="s">
        <v>808</v>
      </c>
      <c r="Q198" s="476"/>
      <c r="R198" s="486"/>
      <c r="S198" s="487"/>
      <c r="T198" s="502"/>
      <c r="U198" s="484"/>
      <c r="V198" s="476" t="s">
        <v>828</v>
      </c>
      <c r="W198" s="476"/>
    </row>
    <row r="199" spans="1:23" s="69" customFormat="1" ht="14.25" customHeight="1">
      <c r="A199" s="483" t="s">
        <v>2827</v>
      </c>
      <c r="B199" s="480" t="s">
        <v>412</v>
      </c>
      <c r="C199" s="480" t="s">
        <v>843</v>
      </c>
      <c r="D199" s="429" t="s">
        <v>1685</v>
      </c>
      <c r="E199" s="476">
        <v>197279</v>
      </c>
      <c r="F199" s="476"/>
      <c r="G199" s="476"/>
      <c r="H199" s="476"/>
      <c r="I199" s="476"/>
      <c r="J199" s="476" t="s">
        <v>807</v>
      </c>
      <c r="K199" s="476" t="s">
        <v>807</v>
      </c>
      <c r="L199" s="476" t="s">
        <v>807</v>
      </c>
      <c r="M199" s="476" t="s">
        <v>307</v>
      </c>
      <c r="N199" s="476">
        <v>20.100000000000001</v>
      </c>
      <c r="O199" s="476">
        <v>93.35</v>
      </c>
      <c r="P199" s="476" t="s">
        <v>808</v>
      </c>
      <c r="Q199" s="476"/>
      <c r="R199" s="486"/>
      <c r="S199" s="487"/>
      <c r="T199" s="502"/>
      <c r="U199" s="484"/>
      <c r="V199" s="476" t="s">
        <v>843</v>
      </c>
      <c r="W199" s="476"/>
    </row>
    <row r="200" spans="1:23" s="69" customFormat="1" ht="14.25" customHeight="1">
      <c r="A200" s="483" t="s">
        <v>2827</v>
      </c>
      <c r="B200" s="480" t="s">
        <v>412</v>
      </c>
      <c r="C200" s="480" t="s">
        <v>841</v>
      </c>
      <c r="D200" s="429" t="s">
        <v>1685</v>
      </c>
      <c r="E200" s="476">
        <v>197277</v>
      </c>
      <c r="F200" s="476"/>
      <c r="G200" s="476"/>
      <c r="H200" s="476"/>
      <c r="I200" s="476"/>
      <c r="J200" s="476" t="s">
        <v>807</v>
      </c>
      <c r="K200" s="476" t="s">
        <v>807</v>
      </c>
      <c r="L200" s="476" t="s">
        <v>807</v>
      </c>
      <c r="M200" s="476" t="s">
        <v>307</v>
      </c>
      <c r="N200" s="476">
        <v>20.079999999999998</v>
      </c>
      <c r="O200" s="476">
        <v>93.36</v>
      </c>
      <c r="P200" s="476" t="s">
        <v>808</v>
      </c>
      <c r="Q200" s="476"/>
      <c r="R200" s="486"/>
      <c r="S200" s="487"/>
      <c r="T200" s="502"/>
      <c r="U200" s="484"/>
      <c r="V200" s="476" t="s">
        <v>841</v>
      </c>
      <c r="W200" s="476"/>
    </row>
    <row r="201" spans="1:23" s="69" customFormat="1" ht="14.25" customHeight="1">
      <c r="A201" s="483" t="s">
        <v>2827</v>
      </c>
      <c r="B201" s="480" t="s">
        <v>412</v>
      </c>
      <c r="C201" s="480" t="s">
        <v>414</v>
      </c>
      <c r="D201" s="429" t="s">
        <v>2919</v>
      </c>
      <c r="E201" s="476" t="s">
        <v>1366</v>
      </c>
      <c r="F201" s="476" t="s">
        <v>1715</v>
      </c>
      <c r="G201" s="476" t="s">
        <v>1766</v>
      </c>
      <c r="H201" s="476"/>
      <c r="I201" s="476"/>
      <c r="J201" s="476" t="s">
        <v>807</v>
      </c>
      <c r="K201" s="476" t="s">
        <v>807</v>
      </c>
      <c r="L201" s="476" t="s">
        <v>830</v>
      </c>
      <c r="M201" s="476" t="s">
        <v>307</v>
      </c>
      <c r="N201" s="476">
        <v>20.041981</v>
      </c>
      <c r="O201" s="476">
        <v>93.373951000000005</v>
      </c>
      <c r="P201" s="476" t="s">
        <v>808</v>
      </c>
      <c r="Q201" s="476" t="s">
        <v>789</v>
      </c>
      <c r="R201" s="482">
        <v>40</v>
      </c>
      <c r="S201" s="483">
        <v>204</v>
      </c>
      <c r="T201" s="502"/>
      <c r="U201" s="484"/>
      <c r="V201" s="476" t="s">
        <v>414</v>
      </c>
      <c r="W201" s="476"/>
    </row>
    <row r="202" spans="1:23" s="69" customFormat="1" ht="14.25" customHeight="1">
      <c r="A202" s="483" t="s">
        <v>2827</v>
      </c>
      <c r="B202" s="480" t="s">
        <v>412</v>
      </c>
      <c r="C202" s="480" t="s">
        <v>857</v>
      </c>
      <c r="D202" s="429" t="s">
        <v>1685</v>
      </c>
      <c r="E202" s="476">
        <v>197286</v>
      </c>
      <c r="F202" s="476"/>
      <c r="G202" s="476"/>
      <c r="H202" s="476"/>
      <c r="I202" s="476"/>
      <c r="J202" s="476" t="s">
        <v>807</v>
      </c>
      <c r="K202" s="476" t="s">
        <v>807</v>
      </c>
      <c r="L202" s="476" t="s">
        <v>807</v>
      </c>
      <c r="M202" s="476" t="s">
        <v>307</v>
      </c>
      <c r="N202" s="476">
        <v>20.149999999999999</v>
      </c>
      <c r="O202" s="476">
        <v>93.41</v>
      </c>
      <c r="P202" s="476" t="s">
        <v>808</v>
      </c>
      <c r="Q202" s="476"/>
      <c r="R202" s="486"/>
      <c r="S202" s="487"/>
      <c r="T202" s="502"/>
      <c r="U202" s="484"/>
      <c r="V202" s="476" t="s">
        <v>857</v>
      </c>
      <c r="W202" s="476"/>
    </row>
    <row r="203" spans="1:23" s="69" customFormat="1" ht="14.25" customHeight="1">
      <c r="A203" s="483" t="s">
        <v>2827</v>
      </c>
      <c r="B203" s="480" t="s">
        <v>412</v>
      </c>
      <c r="C203" s="480" t="s">
        <v>824</v>
      </c>
      <c r="D203" s="429" t="s">
        <v>1685</v>
      </c>
      <c r="E203" s="476">
        <v>197309</v>
      </c>
      <c r="F203" s="476"/>
      <c r="G203" s="476"/>
      <c r="H203" s="476"/>
      <c r="I203" s="476"/>
      <c r="J203" s="476" t="s">
        <v>807</v>
      </c>
      <c r="K203" s="476" t="s">
        <v>807</v>
      </c>
      <c r="L203" s="476" t="s">
        <v>807</v>
      </c>
      <c r="M203" s="476" t="s">
        <v>307</v>
      </c>
      <c r="N203" s="476">
        <v>20.010000000000002</v>
      </c>
      <c r="O203" s="476">
        <v>93.42</v>
      </c>
      <c r="P203" s="476" t="s">
        <v>808</v>
      </c>
      <c r="Q203" s="476"/>
      <c r="R203" s="486"/>
      <c r="S203" s="487"/>
      <c r="T203" s="502"/>
      <c r="U203" s="484"/>
      <c r="V203" s="476" t="s">
        <v>824</v>
      </c>
      <c r="W203" s="476"/>
    </row>
    <row r="204" spans="1:23" s="69" customFormat="1" ht="14.25" customHeight="1">
      <c r="A204" s="483" t="s">
        <v>2827</v>
      </c>
      <c r="B204" s="480" t="s">
        <v>412</v>
      </c>
      <c r="C204" s="480" t="s">
        <v>827</v>
      </c>
      <c r="D204" s="429" t="s">
        <v>1685</v>
      </c>
      <c r="E204" s="476">
        <v>197255</v>
      </c>
      <c r="F204" s="476"/>
      <c r="G204" s="476"/>
      <c r="H204" s="476"/>
      <c r="I204" s="476"/>
      <c r="J204" s="476" t="s">
        <v>807</v>
      </c>
      <c r="K204" s="476" t="s">
        <v>807</v>
      </c>
      <c r="L204" s="476" t="s">
        <v>807</v>
      </c>
      <c r="M204" s="476" t="s">
        <v>307</v>
      </c>
      <c r="N204" s="476">
        <v>20.03</v>
      </c>
      <c r="O204" s="476">
        <v>93.38</v>
      </c>
      <c r="P204" s="476" t="s">
        <v>808</v>
      </c>
      <c r="Q204" s="476"/>
      <c r="R204" s="486"/>
      <c r="S204" s="487"/>
      <c r="T204" s="502"/>
      <c r="U204" s="484"/>
      <c r="V204" s="476" t="s">
        <v>827</v>
      </c>
      <c r="W204" s="476"/>
    </row>
    <row r="205" spans="1:23" s="69" customFormat="1" ht="14.25" customHeight="1">
      <c r="A205" s="483" t="s">
        <v>2827</v>
      </c>
      <c r="B205" s="480" t="s">
        <v>412</v>
      </c>
      <c r="C205" s="480" t="s">
        <v>829</v>
      </c>
      <c r="D205" s="429" t="s">
        <v>1685</v>
      </c>
      <c r="E205" s="476">
        <v>217973</v>
      </c>
      <c r="F205" s="476"/>
      <c r="G205" s="476"/>
      <c r="H205" s="476"/>
      <c r="I205" s="476"/>
      <c r="J205" s="476" t="s">
        <v>807</v>
      </c>
      <c r="K205" s="476" t="s">
        <v>807</v>
      </c>
      <c r="L205" s="476" t="s">
        <v>807</v>
      </c>
      <c r="M205" s="476" t="s">
        <v>307</v>
      </c>
      <c r="N205" s="476">
        <v>20.032760620000001</v>
      </c>
      <c r="O205" s="476">
        <v>93.372978209999999</v>
      </c>
      <c r="P205" s="476" t="s">
        <v>808</v>
      </c>
      <c r="Q205" s="476"/>
      <c r="R205" s="486"/>
      <c r="S205" s="487"/>
      <c r="T205" s="502"/>
      <c r="U205" s="484"/>
      <c r="V205" s="476" t="s">
        <v>829</v>
      </c>
      <c r="W205" s="476"/>
    </row>
    <row r="206" spans="1:23" s="69" customFormat="1" ht="14.25" customHeight="1">
      <c r="A206" s="483" t="s">
        <v>2827</v>
      </c>
      <c r="B206" s="480" t="s">
        <v>412</v>
      </c>
      <c r="C206" s="480" t="s">
        <v>413</v>
      </c>
      <c r="D206" s="429" t="s">
        <v>2919</v>
      </c>
      <c r="E206" s="476" t="s">
        <v>1365</v>
      </c>
      <c r="F206" s="476"/>
      <c r="G206" s="476"/>
      <c r="H206" s="476" t="s">
        <v>43</v>
      </c>
      <c r="I206" s="476"/>
      <c r="J206" s="476" t="s">
        <v>45</v>
      </c>
      <c r="K206" s="476" t="s">
        <v>45</v>
      </c>
      <c r="L206" s="476" t="s">
        <v>803</v>
      </c>
      <c r="M206" s="476" t="s">
        <v>804</v>
      </c>
      <c r="N206" s="476">
        <v>20.037655000000001</v>
      </c>
      <c r="O206" s="476">
        <v>93.370037999999994</v>
      </c>
      <c r="P206" s="476" t="s">
        <v>770</v>
      </c>
      <c r="Q206" s="476" t="s">
        <v>789</v>
      </c>
      <c r="R206" s="482">
        <v>655</v>
      </c>
      <c r="S206" s="483">
        <v>2690</v>
      </c>
      <c r="T206" s="502"/>
      <c r="U206" s="484"/>
      <c r="V206" s="476" t="s">
        <v>413</v>
      </c>
      <c r="W206" s="476"/>
    </row>
    <row r="207" spans="1:23" s="69" customFormat="1" ht="14.25" customHeight="1">
      <c r="A207" s="483" t="s">
        <v>2827</v>
      </c>
      <c r="B207" s="480" t="s">
        <v>412</v>
      </c>
      <c r="C207" s="480" t="s">
        <v>834</v>
      </c>
      <c r="D207" s="429" t="s">
        <v>1685</v>
      </c>
      <c r="E207" s="476">
        <v>197378</v>
      </c>
      <c r="F207" s="480"/>
      <c r="G207" s="476"/>
      <c r="H207" s="476"/>
      <c r="I207" s="476"/>
      <c r="J207" s="476" t="s">
        <v>807</v>
      </c>
      <c r="K207" s="476" t="s">
        <v>807</v>
      </c>
      <c r="L207" s="476" t="s">
        <v>807</v>
      </c>
      <c r="M207" s="476" t="s">
        <v>307</v>
      </c>
      <c r="N207" s="476">
        <v>20.061309810000001</v>
      </c>
      <c r="O207" s="476">
        <v>93.540641780000001</v>
      </c>
      <c r="P207" s="476" t="s">
        <v>808</v>
      </c>
      <c r="Q207" s="476"/>
      <c r="R207" s="486"/>
      <c r="S207" s="487"/>
      <c r="T207" s="502"/>
      <c r="U207" s="484"/>
      <c r="V207" s="476" t="s">
        <v>834</v>
      </c>
      <c r="W207" s="476"/>
    </row>
    <row r="208" spans="1:23" s="69" customFormat="1" ht="14.25" customHeight="1">
      <c r="A208" s="483" t="s">
        <v>2827</v>
      </c>
      <c r="B208" s="480" t="s">
        <v>412</v>
      </c>
      <c r="C208" s="480" t="s">
        <v>847</v>
      </c>
      <c r="D208" s="429" t="s">
        <v>1685</v>
      </c>
      <c r="E208" s="476">
        <v>197280</v>
      </c>
      <c r="F208" s="476"/>
      <c r="G208" s="476"/>
      <c r="H208" s="476"/>
      <c r="I208" s="476"/>
      <c r="J208" s="476" t="s">
        <v>807</v>
      </c>
      <c r="K208" s="476" t="s">
        <v>807</v>
      </c>
      <c r="L208" s="476" t="s">
        <v>807</v>
      </c>
      <c r="M208" s="476" t="s">
        <v>307</v>
      </c>
      <c r="N208" s="476">
        <v>20.12</v>
      </c>
      <c r="O208" s="476">
        <v>93.34</v>
      </c>
      <c r="P208" s="476" t="s">
        <v>808</v>
      </c>
      <c r="Q208" s="476"/>
      <c r="R208" s="486"/>
      <c r="S208" s="487"/>
      <c r="T208" s="502"/>
      <c r="U208" s="484"/>
      <c r="V208" s="476" t="s">
        <v>847</v>
      </c>
      <c r="W208" s="476"/>
    </row>
    <row r="209" spans="1:23" s="69" customFormat="1" ht="14.25" customHeight="1">
      <c r="A209" s="483" t="s">
        <v>2827</v>
      </c>
      <c r="B209" s="480" t="s">
        <v>412</v>
      </c>
      <c r="C209" s="480" t="s">
        <v>842</v>
      </c>
      <c r="D209" s="429" t="s">
        <v>1685</v>
      </c>
      <c r="E209" s="476">
        <v>197366</v>
      </c>
      <c r="F209" s="480"/>
      <c r="G209" s="476"/>
      <c r="H209" s="476"/>
      <c r="I209" s="476"/>
      <c r="J209" s="476" t="s">
        <v>807</v>
      </c>
      <c r="K209" s="476" t="s">
        <v>807</v>
      </c>
      <c r="L209" s="476" t="s">
        <v>807</v>
      </c>
      <c r="M209" s="476" t="s">
        <v>307</v>
      </c>
      <c r="N209" s="476">
        <v>20.084</v>
      </c>
      <c r="O209" s="476">
        <v>93.483999999999995</v>
      </c>
      <c r="P209" s="476" t="s">
        <v>808</v>
      </c>
      <c r="Q209" s="476"/>
      <c r="R209" s="486"/>
      <c r="S209" s="487"/>
      <c r="T209" s="502"/>
      <c r="U209" s="484"/>
      <c r="V209" s="476" t="s">
        <v>842</v>
      </c>
      <c r="W209" s="476"/>
    </row>
    <row r="210" spans="1:23" s="69" customFormat="1" ht="14.25" customHeight="1">
      <c r="A210" s="483" t="s">
        <v>2827</v>
      </c>
      <c r="B210" s="480" t="s">
        <v>415</v>
      </c>
      <c r="C210" s="480" t="s">
        <v>3006</v>
      </c>
      <c r="D210" s="429"/>
      <c r="E210" s="480">
        <v>196310</v>
      </c>
      <c r="F210" s="476"/>
      <c r="G210" s="476"/>
      <c r="H210" s="476"/>
      <c r="I210" s="476"/>
      <c r="J210" s="476" t="s">
        <v>2836</v>
      </c>
      <c r="K210" s="476" t="s">
        <v>2798</v>
      </c>
      <c r="L210" s="476" t="s">
        <v>2798</v>
      </c>
      <c r="M210" s="476" t="s">
        <v>2800</v>
      </c>
      <c r="N210" s="476">
        <v>20.61741065979</v>
      </c>
      <c r="O210" s="476">
        <v>92.932502746582003</v>
      </c>
      <c r="P210" s="476"/>
      <c r="Q210" s="476"/>
      <c r="R210" s="482"/>
      <c r="S210" s="483"/>
      <c r="T210" s="502"/>
      <c r="U210" s="484"/>
      <c r="V210" s="476" t="s">
        <v>2715</v>
      </c>
      <c r="W210" s="476"/>
    </row>
    <row r="211" spans="1:23" s="69" customFormat="1" ht="14.25" customHeight="1">
      <c r="A211" s="483" t="s">
        <v>2827</v>
      </c>
      <c r="B211" s="480" t="s">
        <v>415</v>
      </c>
      <c r="C211" s="480" t="s">
        <v>424</v>
      </c>
      <c r="D211" s="429" t="s">
        <v>1685</v>
      </c>
      <c r="E211" s="476">
        <v>197558</v>
      </c>
      <c r="F211" s="476"/>
      <c r="G211" s="476"/>
      <c r="H211" s="476"/>
      <c r="I211" s="476"/>
      <c r="J211" s="476" t="s">
        <v>807</v>
      </c>
      <c r="K211" s="476" t="s">
        <v>807</v>
      </c>
      <c r="L211" s="476" t="s">
        <v>807</v>
      </c>
      <c r="M211" s="476" t="s">
        <v>804</v>
      </c>
      <c r="N211" s="476">
        <v>20.099340439999999</v>
      </c>
      <c r="O211" s="476">
        <v>92.989143369999994</v>
      </c>
      <c r="P211" s="476" t="s">
        <v>808</v>
      </c>
      <c r="Q211" s="476" t="s">
        <v>789</v>
      </c>
      <c r="R211" s="486"/>
      <c r="S211" s="487"/>
      <c r="T211" s="502"/>
      <c r="U211" s="484"/>
      <c r="V211" s="476"/>
      <c r="W211" s="476"/>
    </row>
    <row r="212" spans="1:23" s="69" customFormat="1" ht="14.25" customHeight="1">
      <c r="A212" s="483" t="s">
        <v>2827</v>
      </c>
      <c r="B212" s="480" t="s">
        <v>415</v>
      </c>
      <c r="C212" s="480" t="s">
        <v>425</v>
      </c>
      <c r="D212" s="429" t="s">
        <v>2919</v>
      </c>
      <c r="E212" s="476" t="s">
        <v>1371</v>
      </c>
      <c r="F212" s="476" t="s">
        <v>844</v>
      </c>
      <c r="G212" s="476" t="s">
        <v>545</v>
      </c>
      <c r="H212" s="476" t="s">
        <v>43</v>
      </c>
      <c r="I212" s="476"/>
      <c r="J212" s="476" t="s">
        <v>45</v>
      </c>
      <c r="K212" s="480" t="s">
        <v>45</v>
      </c>
      <c r="L212" s="480" t="s">
        <v>803</v>
      </c>
      <c r="M212" s="476" t="s">
        <v>804</v>
      </c>
      <c r="N212" s="476">
        <v>20.108101999999999</v>
      </c>
      <c r="O212" s="476">
        <v>92.985095000000001</v>
      </c>
      <c r="P212" s="476" t="s">
        <v>770</v>
      </c>
      <c r="Q212" s="476" t="s">
        <v>789</v>
      </c>
      <c r="R212" s="482">
        <v>1244</v>
      </c>
      <c r="S212" s="483">
        <v>4757</v>
      </c>
      <c r="T212" s="502"/>
      <c r="U212" s="484"/>
      <c r="V212" s="476" t="s">
        <v>846</v>
      </c>
      <c r="W212" s="476"/>
    </row>
    <row r="213" spans="1:23" s="69" customFormat="1" ht="14.25" customHeight="1">
      <c r="A213" s="483" t="s">
        <v>2827</v>
      </c>
      <c r="B213" s="480" t="s">
        <v>415</v>
      </c>
      <c r="C213" s="480" t="s">
        <v>2714</v>
      </c>
      <c r="D213" s="429"/>
      <c r="E213" s="480">
        <v>220611</v>
      </c>
      <c r="F213" s="476"/>
      <c r="G213" s="476"/>
      <c r="H213" s="476"/>
      <c r="I213" s="476"/>
      <c r="J213" s="476" t="s">
        <v>2836</v>
      </c>
      <c r="K213" s="476" t="s">
        <v>2798</v>
      </c>
      <c r="L213" s="476" t="s">
        <v>2798</v>
      </c>
      <c r="M213" s="476" t="s">
        <v>2800</v>
      </c>
      <c r="N213" s="476"/>
      <c r="O213" s="476"/>
      <c r="P213" s="476"/>
      <c r="Q213" s="476"/>
      <c r="R213" s="482"/>
      <c r="S213" s="483"/>
      <c r="T213" s="502"/>
      <c r="U213" s="484"/>
      <c r="V213" s="476"/>
      <c r="W213" s="476"/>
    </row>
    <row r="214" spans="1:23" s="69" customFormat="1" ht="14.25" customHeight="1">
      <c r="A214" s="483" t="s">
        <v>2827</v>
      </c>
      <c r="B214" s="480" t="s">
        <v>415</v>
      </c>
      <c r="C214" s="480" t="s">
        <v>868</v>
      </c>
      <c r="D214" s="429" t="s">
        <v>2919</v>
      </c>
      <c r="E214" s="476" t="s">
        <v>1383</v>
      </c>
      <c r="F214" s="476" t="s">
        <v>1715</v>
      </c>
      <c r="G214" s="476" t="s">
        <v>1879</v>
      </c>
      <c r="H214" s="476"/>
      <c r="I214" s="476"/>
      <c r="J214" s="476" t="s">
        <v>807</v>
      </c>
      <c r="K214" s="480" t="s">
        <v>807</v>
      </c>
      <c r="L214" s="480" t="s">
        <v>830</v>
      </c>
      <c r="M214" s="476" t="s">
        <v>307</v>
      </c>
      <c r="N214" s="476">
        <v>20.173468</v>
      </c>
      <c r="O214" s="476">
        <v>93.067891000000003</v>
      </c>
      <c r="P214" s="476" t="s">
        <v>808</v>
      </c>
      <c r="Q214" s="476"/>
      <c r="R214" s="482">
        <v>21</v>
      </c>
      <c r="S214" s="483">
        <v>122</v>
      </c>
      <c r="T214" s="502"/>
      <c r="U214" s="484" t="s">
        <v>869</v>
      </c>
      <c r="V214" s="476" t="s">
        <v>870</v>
      </c>
      <c r="W214" s="476"/>
    </row>
    <row r="215" spans="1:23" s="69" customFormat="1" ht="14.25" customHeight="1">
      <c r="A215" s="486" t="s">
        <v>2827</v>
      </c>
      <c r="B215" s="486" t="s">
        <v>415</v>
      </c>
      <c r="C215" s="487" t="s">
        <v>2982</v>
      </c>
      <c r="D215" s="481"/>
      <c r="E215" s="476" t="s">
        <v>3005</v>
      </c>
      <c r="F215" s="476"/>
      <c r="G215" s="476"/>
      <c r="H215" s="476"/>
      <c r="I215" s="476"/>
      <c r="J215" s="476" t="s">
        <v>2836</v>
      </c>
      <c r="K215" s="476" t="s">
        <v>2798</v>
      </c>
      <c r="L215" s="476" t="s">
        <v>2798</v>
      </c>
      <c r="M215" s="476"/>
      <c r="N215" s="476"/>
      <c r="O215" s="476"/>
      <c r="P215" s="476"/>
      <c r="Q215" s="476"/>
      <c r="R215" s="490"/>
      <c r="S215" s="483"/>
      <c r="T215" s="502">
        <v>43591</v>
      </c>
      <c r="U215" s="490"/>
      <c r="V215" s="476"/>
      <c r="W215" s="482"/>
    </row>
    <row r="216" spans="1:23" s="69" customFormat="1" ht="14.25" customHeight="1">
      <c r="A216" s="483" t="s">
        <v>2827</v>
      </c>
      <c r="B216" s="480" t="s">
        <v>415</v>
      </c>
      <c r="C216" s="480" t="s">
        <v>831</v>
      </c>
      <c r="D216" s="429" t="s">
        <v>1685</v>
      </c>
      <c r="E216" s="476">
        <v>197486</v>
      </c>
      <c r="F216" s="476"/>
      <c r="G216" s="476"/>
      <c r="H216" s="476"/>
      <c r="I216" s="476"/>
      <c r="J216" s="476" t="s">
        <v>807</v>
      </c>
      <c r="K216" s="480" t="s">
        <v>807</v>
      </c>
      <c r="L216" s="480" t="s">
        <v>807</v>
      </c>
      <c r="M216" s="476" t="s">
        <v>832</v>
      </c>
      <c r="N216" s="476">
        <v>20.05117035</v>
      </c>
      <c r="O216" s="476">
        <v>93.040992739999993</v>
      </c>
      <c r="P216" s="476" t="s">
        <v>808</v>
      </c>
      <c r="Q216" s="476"/>
      <c r="R216" s="482"/>
      <c r="S216" s="483"/>
      <c r="T216" s="502"/>
      <c r="U216" s="484"/>
      <c r="V216" s="476" t="s">
        <v>831</v>
      </c>
      <c r="W216" s="476"/>
    </row>
    <row r="217" spans="1:23" s="69" customFormat="1" ht="14.25" customHeight="1">
      <c r="A217" s="483" t="s">
        <v>2827</v>
      </c>
      <c r="B217" s="480" t="s">
        <v>415</v>
      </c>
      <c r="C217" s="480" t="s">
        <v>833</v>
      </c>
      <c r="D217" s="429" t="s">
        <v>1685</v>
      </c>
      <c r="E217" s="476">
        <v>197479</v>
      </c>
      <c r="F217" s="485"/>
      <c r="G217" s="476"/>
      <c r="H217" s="476"/>
      <c r="I217" s="476"/>
      <c r="J217" s="476" t="s">
        <v>807</v>
      </c>
      <c r="K217" s="480" t="s">
        <v>807</v>
      </c>
      <c r="L217" s="480" t="s">
        <v>807</v>
      </c>
      <c r="M217" s="476" t="s">
        <v>307</v>
      </c>
      <c r="N217" s="476">
        <v>20.05978966</v>
      </c>
      <c r="O217" s="476">
        <v>93.034988400000003</v>
      </c>
      <c r="P217" s="476" t="s">
        <v>808</v>
      </c>
      <c r="Q217" s="476"/>
      <c r="R217" s="482"/>
      <c r="S217" s="483"/>
      <c r="T217" s="502"/>
      <c r="U217" s="484"/>
      <c r="V217" s="476" t="s">
        <v>833</v>
      </c>
      <c r="W217" s="476"/>
    </row>
    <row r="218" spans="1:23" s="69" customFormat="1" ht="14.25" customHeight="1">
      <c r="A218" s="486" t="s">
        <v>2827</v>
      </c>
      <c r="B218" s="486" t="s">
        <v>415</v>
      </c>
      <c r="C218" s="487" t="s">
        <v>2981</v>
      </c>
      <c r="D218" s="481"/>
      <c r="E218" s="476">
        <v>197470</v>
      </c>
      <c r="F218" s="476"/>
      <c r="G218" s="476"/>
      <c r="H218" s="476"/>
      <c r="I218" s="476"/>
      <c r="J218" s="476" t="s">
        <v>2836</v>
      </c>
      <c r="K218" s="476" t="s">
        <v>2798</v>
      </c>
      <c r="L218" s="476" t="s">
        <v>2798</v>
      </c>
      <c r="M218" s="476"/>
      <c r="N218" s="476">
        <v>20.343349456787099</v>
      </c>
      <c r="O218" s="476">
        <v>93.121322631835895</v>
      </c>
      <c r="P218" s="476"/>
      <c r="Q218" s="476"/>
      <c r="R218" s="490"/>
      <c r="S218" s="483"/>
      <c r="T218" s="502">
        <v>43591</v>
      </c>
      <c r="U218" s="490"/>
      <c r="V218" s="476"/>
      <c r="W218" s="482"/>
    </row>
    <row r="219" spans="1:23" s="69" customFormat="1" ht="14.25" customHeight="1">
      <c r="A219" s="483" t="s">
        <v>2827</v>
      </c>
      <c r="B219" s="480" t="s">
        <v>415</v>
      </c>
      <c r="C219" s="480" t="s">
        <v>2705</v>
      </c>
      <c r="D219" s="429"/>
      <c r="E219" s="476">
        <v>197561</v>
      </c>
      <c r="F219" s="476" t="s">
        <v>2705</v>
      </c>
      <c r="G219" s="476"/>
      <c r="H219" s="476"/>
      <c r="I219" s="476"/>
      <c r="J219" s="476" t="s">
        <v>807</v>
      </c>
      <c r="K219" s="476" t="s">
        <v>807</v>
      </c>
      <c r="L219" s="476" t="s">
        <v>807</v>
      </c>
      <c r="M219" s="476"/>
      <c r="N219" s="476">
        <v>20.072999954223601</v>
      </c>
      <c r="O219" s="476">
        <v>92.924957275390597</v>
      </c>
      <c r="P219" s="476"/>
      <c r="Q219" s="476"/>
      <c r="R219" s="486"/>
      <c r="S219" s="487"/>
      <c r="T219" s="502"/>
      <c r="U219" s="484"/>
      <c r="V219" s="476"/>
      <c r="W219" s="476"/>
    </row>
    <row r="220" spans="1:23" s="69" customFormat="1" ht="14.25" customHeight="1">
      <c r="A220" s="483" t="s">
        <v>2827</v>
      </c>
      <c r="B220" s="480" t="s">
        <v>415</v>
      </c>
      <c r="C220" s="480" t="s">
        <v>2736</v>
      </c>
      <c r="D220" s="429" t="s">
        <v>1685</v>
      </c>
      <c r="E220" s="476">
        <v>197461</v>
      </c>
      <c r="F220" s="476"/>
      <c r="G220" s="476"/>
      <c r="H220" s="476"/>
      <c r="I220" s="476"/>
      <c r="J220" s="476" t="s">
        <v>807</v>
      </c>
      <c r="K220" s="476" t="s">
        <v>807</v>
      </c>
      <c r="L220" s="476" t="s">
        <v>807</v>
      </c>
      <c r="M220" s="476" t="s">
        <v>307</v>
      </c>
      <c r="N220" s="476"/>
      <c r="O220" s="476"/>
      <c r="P220" s="476"/>
      <c r="Q220" s="476"/>
      <c r="R220" s="486"/>
      <c r="S220" s="487"/>
      <c r="T220" s="502"/>
      <c r="U220" s="484"/>
      <c r="V220" s="476"/>
      <c r="W220" s="476"/>
    </row>
    <row r="221" spans="1:23" s="69" customFormat="1" ht="14.25" customHeight="1">
      <c r="A221" s="483" t="s">
        <v>2827</v>
      </c>
      <c r="B221" s="480" t="s">
        <v>415</v>
      </c>
      <c r="C221" s="480" t="s">
        <v>2728</v>
      </c>
      <c r="D221" s="429" t="s">
        <v>1685</v>
      </c>
      <c r="E221" s="476">
        <v>197441</v>
      </c>
      <c r="F221" s="476"/>
      <c r="G221" s="476"/>
      <c r="H221" s="476"/>
      <c r="I221" s="476"/>
      <c r="J221" s="476" t="s">
        <v>807</v>
      </c>
      <c r="K221" s="476" t="s">
        <v>807</v>
      </c>
      <c r="L221" s="476" t="s">
        <v>807</v>
      </c>
      <c r="M221" s="476" t="s">
        <v>307</v>
      </c>
      <c r="N221" s="476"/>
      <c r="O221" s="476"/>
      <c r="P221" s="476"/>
      <c r="Q221" s="476"/>
      <c r="R221" s="482"/>
      <c r="S221" s="483"/>
      <c r="T221" s="502"/>
      <c r="U221" s="484"/>
      <c r="V221" s="476"/>
      <c r="W221" s="476"/>
    </row>
    <row r="222" spans="1:23" s="69" customFormat="1" ht="14.25" customHeight="1">
      <c r="A222" s="483" t="s">
        <v>2827</v>
      </c>
      <c r="B222" s="480" t="s">
        <v>415</v>
      </c>
      <c r="C222" s="480" t="s">
        <v>2713</v>
      </c>
      <c r="D222" s="429"/>
      <c r="E222" s="476">
        <v>197546</v>
      </c>
      <c r="F222" s="476" t="s">
        <v>534</v>
      </c>
      <c r="G222" s="476"/>
      <c r="H222" s="476"/>
      <c r="I222" s="476"/>
      <c r="J222" s="476" t="s">
        <v>807</v>
      </c>
      <c r="K222" s="476" t="s">
        <v>807</v>
      </c>
      <c r="L222" s="476" t="s">
        <v>807</v>
      </c>
      <c r="M222" s="476"/>
      <c r="N222" s="476">
        <v>19.986650466918899</v>
      </c>
      <c r="O222" s="476">
        <v>92.986160278320298</v>
      </c>
      <c r="P222" s="476"/>
      <c r="Q222" s="476"/>
      <c r="R222" s="482"/>
      <c r="S222" s="483"/>
      <c r="T222" s="502"/>
      <c r="U222" s="484"/>
      <c r="V222" s="476"/>
      <c r="W222" s="476"/>
    </row>
    <row r="223" spans="1:23" s="69" customFormat="1" ht="14.25" customHeight="1">
      <c r="A223" s="483" t="s">
        <v>2827</v>
      </c>
      <c r="B223" s="480" t="s">
        <v>415</v>
      </c>
      <c r="C223" s="480" t="s">
        <v>2710</v>
      </c>
      <c r="D223" s="429"/>
      <c r="E223" s="476"/>
      <c r="F223" s="476"/>
      <c r="G223" s="476"/>
      <c r="H223" s="476"/>
      <c r="I223" s="476"/>
      <c r="J223" s="476" t="s">
        <v>807</v>
      </c>
      <c r="K223" s="476" t="s">
        <v>807</v>
      </c>
      <c r="L223" s="476" t="s">
        <v>807</v>
      </c>
      <c r="M223" s="476"/>
      <c r="N223" s="476"/>
      <c r="O223" s="476"/>
      <c r="P223" s="476"/>
      <c r="Q223" s="476"/>
      <c r="R223" s="486"/>
      <c r="S223" s="487"/>
      <c r="T223" s="502"/>
      <c r="U223" s="484"/>
      <c r="V223" s="476"/>
      <c r="W223" s="476"/>
    </row>
    <row r="224" spans="1:23" s="69" customFormat="1" ht="14.25" customHeight="1">
      <c r="A224" s="483" t="s">
        <v>2827</v>
      </c>
      <c r="B224" s="480" t="s">
        <v>415</v>
      </c>
      <c r="C224" s="480" t="s">
        <v>545</v>
      </c>
      <c r="D224" s="429" t="s">
        <v>1685</v>
      </c>
      <c r="E224" s="476">
        <v>197537</v>
      </c>
      <c r="F224" s="476" t="s">
        <v>844</v>
      </c>
      <c r="G224" s="476"/>
      <c r="H224" s="476"/>
      <c r="I224" s="476"/>
      <c r="J224" s="476" t="s">
        <v>807</v>
      </c>
      <c r="K224" s="480" t="s">
        <v>807</v>
      </c>
      <c r="L224" s="480" t="s">
        <v>807</v>
      </c>
      <c r="M224" s="476"/>
      <c r="N224" s="476">
        <v>20.109220499999999</v>
      </c>
      <c r="O224" s="476">
        <v>92.995483399999998</v>
      </c>
      <c r="P224" s="476" t="s">
        <v>808</v>
      </c>
      <c r="Q224" s="476"/>
      <c r="R224" s="482"/>
      <c r="S224" s="483"/>
      <c r="T224" s="502"/>
      <c r="U224" s="484"/>
      <c r="V224" s="476" t="s">
        <v>545</v>
      </c>
      <c r="W224" s="476"/>
    </row>
    <row r="225" spans="1:23" s="69" customFormat="1" ht="14.25" customHeight="1">
      <c r="A225" s="483" t="s">
        <v>2827</v>
      </c>
      <c r="B225" s="480" t="s">
        <v>415</v>
      </c>
      <c r="C225" s="480" t="s">
        <v>423</v>
      </c>
      <c r="D225" s="429" t="s">
        <v>2919</v>
      </c>
      <c r="E225" s="476" t="s">
        <v>1370</v>
      </c>
      <c r="F225" s="476" t="s">
        <v>844</v>
      </c>
      <c r="G225" s="476" t="s">
        <v>423</v>
      </c>
      <c r="H225" s="476" t="s">
        <v>43</v>
      </c>
      <c r="I225" s="476"/>
      <c r="J225" s="476" t="s">
        <v>45</v>
      </c>
      <c r="K225" s="480" t="s">
        <v>45</v>
      </c>
      <c r="L225" s="480" t="s">
        <v>803</v>
      </c>
      <c r="M225" s="476" t="s">
        <v>804</v>
      </c>
      <c r="N225" s="476">
        <v>20.090183</v>
      </c>
      <c r="O225" s="476">
        <v>93.010368999999997</v>
      </c>
      <c r="P225" s="476" t="s">
        <v>770</v>
      </c>
      <c r="Q225" s="476" t="s">
        <v>789</v>
      </c>
      <c r="R225" s="482">
        <v>1320</v>
      </c>
      <c r="S225" s="483">
        <v>6116</v>
      </c>
      <c r="T225" s="502"/>
      <c r="U225" s="484"/>
      <c r="V225" s="476" t="s">
        <v>423</v>
      </c>
      <c r="W225" s="476"/>
    </row>
    <row r="226" spans="1:23" s="69" customFormat="1" ht="14.25" customHeight="1">
      <c r="A226" s="483" t="s">
        <v>2827</v>
      </c>
      <c r="B226" s="480" t="s">
        <v>415</v>
      </c>
      <c r="C226" s="480" t="s">
        <v>3004</v>
      </c>
      <c r="D226" s="429"/>
      <c r="E226" s="476">
        <v>197547</v>
      </c>
      <c r="F226" s="476"/>
      <c r="G226" s="476"/>
      <c r="H226" s="476"/>
      <c r="I226" s="476"/>
      <c r="J226" s="476" t="s">
        <v>807</v>
      </c>
      <c r="K226" s="476" t="s">
        <v>807</v>
      </c>
      <c r="L226" s="476" t="s">
        <v>807</v>
      </c>
      <c r="M226" s="476"/>
      <c r="N226" s="476">
        <v>19.9233303070068</v>
      </c>
      <c r="O226" s="476">
        <v>93.018592834472699</v>
      </c>
      <c r="P226" s="476"/>
      <c r="Q226" s="476"/>
      <c r="R226" s="486"/>
      <c r="S226" s="487"/>
      <c r="T226" s="502"/>
      <c r="U226" s="484"/>
      <c r="V226" s="480" t="s">
        <v>2712</v>
      </c>
      <c r="W226" s="476"/>
    </row>
    <row r="227" spans="1:23" s="69" customFormat="1" ht="14.25" customHeight="1">
      <c r="A227" s="483" t="s">
        <v>2827</v>
      </c>
      <c r="B227" s="480" t="s">
        <v>415</v>
      </c>
      <c r="C227" s="480" t="s">
        <v>819</v>
      </c>
      <c r="D227" s="429" t="s">
        <v>1685</v>
      </c>
      <c r="E227" s="476">
        <v>197566</v>
      </c>
      <c r="F227" s="476"/>
      <c r="G227" s="476"/>
      <c r="H227" s="476"/>
      <c r="I227" s="476"/>
      <c r="J227" s="476" t="s">
        <v>807</v>
      </c>
      <c r="K227" s="476" t="s">
        <v>807</v>
      </c>
      <c r="L227" s="480" t="s">
        <v>807</v>
      </c>
      <c r="M227" s="476"/>
      <c r="N227" s="476">
        <v>19.94882965</v>
      </c>
      <c r="O227" s="476">
        <v>92.978782649999999</v>
      </c>
      <c r="P227" s="476" t="s">
        <v>808</v>
      </c>
      <c r="Q227" s="476"/>
      <c r="R227" s="482"/>
      <c r="S227" s="483"/>
      <c r="T227" s="502"/>
      <c r="U227" s="484"/>
      <c r="V227" s="476" t="s">
        <v>819</v>
      </c>
      <c r="W227" s="476"/>
    </row>
    <row r="228" spans="1:23" s="69" customFormat="1" ht="14.25" customHeight="1">
      <c r="A228" s="483" t="s">
        <v>2827</v>
      </c>
      <c r="B228" s="480" t="s">
        <v>415</v>
      </c>
      <c r="C228" s="480" t="s">
        <v>2727</v>
      </c>
      <c r="D228" s="481" t="s">
        <v>1685</v>
      </c>
      <c r="E228" s="476">
        <v>197450</v>
      </c>
      <c r="F228" s="476"/>
      <c r="G228" s="476"/>
      <c r="H228" s="476"/>
      <c r="I228" s="476"/>
      <c r="J228" s="476" t="s">
        <v>807</v>
      </c>
      <c r="K228" s="476" t="s">
        <v>807</v>
      </c>
      <c r="L228" s="476" t="s">
        <v>807</v>
      </c>
      <c r="M228" s="476" t="s">
        <v>307</v>
      </c>
      <c r="N228" s="476"/>
      <c r="O228" s="476"/>
      <c r="P228" s="476"/>
      <c r="Q228" s="476"/>
      <c r="R228" s="480"/>
      <c r="S228" s="480"/>
      <c r="T228" s="502"/>
      <c r="U228" s="484"/>
      <c r="V228" s="476"/>
      <c r="W228" s="476"/>
    </row>
    <row r="229" spans="1:23" s="69" customFormat="1" ht="14.25" customHeight="1">
      <c r="A229" s="483" t="s">
        <v>2827</v>
      </c>
      <c r="B229" s="480" t="s">
        <v>415</v>
      </c>
      <c r="C229" s="480" t="s">
        <v>2737</v>
      </c>
      <c r="D229" s="429" t="s">
        <v>1685</v>
      </c>
      <c r="E229" s="476">
        <v>197463</v>
      </c>
      <c r="F229" s="476"/>
      <c r="G229" s="476"/>
      <c r="H229" s="476"/>
      <c r="I229" s="476"/>
      <c r="J229" s="476" t="s">
        <v>807</v>
      </c>
      <c r="K229" s="476" t="s">
        <v>807</v>
      </c>
      <c r="L229" s="476" t="s">
        <v>807</v>
      </c>
      <c r="M229" s="476" t="s">
        <v>307</v>
      </c>
      <c r="N229" s="476"/>
      <c r="O229" s="476"/>
      <c r="P229" s="476"/>
      <c r="Q229" s="476"/>
      <c r="R229" s="482"/>
      <c r="S229" s="483"/>
      <c r="T229" s="502"/>
      <c r="U229" s="484"/>
      <c r="V229" s="476"/>
      <c r="W229" s="476"/>
    </row>
    <row r="230" spans="1:23" s="69" customFormat="1" ht="14.25" customHeight="1">
      <c r="A230" s="483" t="s">
        <v>2827</v>
      </c>
      <c r="B230" s="480" t="s">
        <v>415</v>
      </c>
      <c r="C230" s="480" t="s">
        <v>2708</v>
      </c>
      <c r="D230" s="429"/>
      <c r="E230" s="476">
        <v>197565</v>
      </c>
      <c r="F230" s="476" t="s">
        <v>2705</v>
      </c>
      <c r="G230" s="476"/>
      <c r="H230" s="476"/>
      <c r="I230" s="476"/>
      <c r="J230" s="476" t="s">
        <v>807</v>
      </c>
      <c r="K230" s="476" t="s">
        <v>807</v>
      </c>
      <c r="L230" s="476" t="s">
        <v>807</v>
      </c>
      <c r="M230" s="476"/>
      <c r="N230" s="476">
        <v>20.005199432373001</v>
      </c>
      <c r="O230" s="476">
        <v>92.948463439941406</v>
      </c>
      <c r="P230" s="476"/>
      <c r="Q230" s="476"/>
      <c r="R230" s="486"/>
      <c r="S230" s="487"/>
      <c r="T230" s="502"/>
      <c r="U230" s="484"/>
      <c r="V230" s="476"/>
      <c r="W230" s="476"/>
    </row>
    <row r="231" spans="1:23" s="69" customFormat="1" ht="14.25" customHeight="1">
      <c r="A231" s="483" t="s">
        <v>2827</v>
      </c>
      <c r="B231" s="480" t="s">
        <v>415</v>
      </c>
      <c r="C231" s="480" t="s">
        <v>2731</v>
      </c>
      <c r="D231" s="429" t="s">
        <v>1685</v>
      </c>
      <c r="E231" s="476">
        <v>197404</v>
      </c>
      <c r="F231" s="476"/>
      <c r="G231" s="476"/>
      <c r="H231" s="476"/>
      <c r="I231" s="476"/>
      <c r="J231" s="476" t="s">
        <v>807</v>
      </c>
      <c r="K231" s="476" t="s">
        <v>807</v>
      </c>
      <c r="L231" s="476" t="s">
        <v>807</v>
      </c>
      <c r="M231" s="476" t="s">
        <v>307</v>
      </c>
      <c r="N231" s="476"/>
      <c r="O231" s="476"/>
      <c r="P231" s="476"/>
      <c r="Q231" s="476"/>
      <c r="R231" s="482"/>
      <c r="S231" s="483"/>
      <c r="T231" s="502"/>
      <c r="U231" s="484"/>
      <c r="V231" s="476"/>
      <c r="W231" s="476"/>
    </row>
    <row r="232" spans="1:23" s="69" customFormat="1" ht="14.25" customHeight="1">
      <c r="A232" s="483" t="s">
        <v>2827</v>
      </c>
      <c r="B232" s="480" t="s">
        <v>415</v>
      </c>
      <c r="C232" s="480" t="s">
        <v>2735</v>
      </c>
      <c r="D232" s="429" t="s">
        <v>1685</v>
      </c>
      <c r="E232" s="476">
        <v>197464</v>
      </c>
      <c r="F232" s="476"/>
      <c r="G232" s="476"/>
      <c r="H232" s="476"/>
      <c r="I232" s="476"/>
      <c r="J232" s="476" t="s">
        <v>807</v>
      </c>
      <c r="K232" s="476" t="s">
        <v>807</v>
      </c>
      <c r="L232" s="476" t="s">
        <v>807</v>
      </c>
      <c r="M232" s="476" t="s">
        <v>307</v>
      </c>
      <c r="N232" s="476"/>
      <c r="O232" s="476"/>
      <c r="P232" s="476"/>
      <c r="Q232" s="476"/>
      <c r="R232" s="482"/>
      <c r="S232" s="483"/>
      <c r="T232" s="502"/>
      <c r="U232" s="484"/>
      <c r="V232" s="476"/>
      <c r="W232" s="476"/>
    </row>
    <row r="233" spans="1:23" s="69" customFormat="1" ht="14.25" customHeight="1">
      <c r="A233" s="483" t="s">
        <v>2827</v>
      </c>
      <c r="B233" s="486" t="s">
        <v>415</v>
      </c>
      <c r="C233" s="487" t="s">
        <v>840</v>
      </c>
      <c r="D233" s="481" t="s">
        <v>1685</v>
      </c>
      <c r="E233" s="476" t="s">
        <v>1369</v>
      </c>
      <c r="F233" s="508"/>
      <c r="G233" s="476"/>
      <c r="H233" s="476"/>
      <c r="I233" s="476"/>
      <c r="J233" s="476" t="s">
        <v>45</v>
      </c>
      <c r="K233" s="480" t="s">
        <v>45</v>
      </c>
      <c r="L233" s="480" t="s">
        <v>769</v>
      </c>
      <c r="M233" s="476" t="s">
        <v>804</v>
      </c>
      <c r="N233" s="476">
        <v>20.073437999999999</v>
      </c>
      <c r="O233" s="476">
        <v>93.154551999999995</v>
      </c>
      <c r="P233" s="476" t="s">
        <v>770</v>
      </c>
      <c r="Q233" s="476"/>
      <c r="R233" s="490"/>
      <c r="S233" s="483"/>
      <c r="T233" s="502"/>
      <c r="U233" s="484"/>
      <c r="V233" s="476"/>
      <c r="W233" s="476"/>
    </row>
    <row r="234" spans="1:23" s="69" customFormat="1" ht="14.25" customHeight="1">
      <c r="A234" s="483" t="s">
        <v>2827</v>
      </c>
      <c r="B234" s="480" t="s">
        <v>415</v>
      </c>
      <c r="C234" s="480" t="s">
        <v>419</v>
      </c>
      <c r="D234" s="429" t="s">
        <v>2919</v>
      </c>
      <c r="E234" s="476" t="s">
        <v>1369</v>
      </c>
      <c r="F234" s="480" t="s">
        <v>1767</v>
      </c>
      <c r="G234" s="476" t="s">
        <v>1768</v>
      </c>
      <c r="H234" s="476" t="s">
        <v>43</v>
      </c>
      <c r="I234" s="476"/>
      <c r="J234" s="476" t="s">
        <v>45</v>
      </c>
      <c r="K234" s="480" t="s">
        <v>45</v>
      </c>
      <c r="L234" s="480" t="s">
        <v>1903</v>
      </c>
      <c r="M234" s="476" t="s">
        <v>804</v>
      </c>
      <c r="N234" s="476">
        <v>20.073437999999999</v>
      </c>
      <c r="O234" s="476">
        <v>93.154551999999995</v>
      </c>
      <c r="P234" s="476" t="s">
        <v>808</v>
      </c>
      <c r="Q234" s="476" t="s">
        <v>789</v>
      </c>
      <c r="R234" s="482">
        <v>1010</v>
      </c>
      <c r="S234" s="483">
        <v>4686</v>
      </c>
      <c r="T234" s="502"/>
      <c r="U234" s="484"/>
      <c r="V234" s="476" t="s">
        <v>419</v>
      </c>
      <c r="W234" s="476"/>
    </row>
    <row r="235" spans="1:23" s="69" customFormat="1" ht="14.25" customHeight="1">
      <c r="A235" s="483" t="s">
        <v>2827</v>
      </c>
      <c r="B235" s="480" t="s">
        <v>415</v>
      </c>
      <c r="C235" s="480" t="s">
        <v>420</v>
      </c>
      <c r="D235" s="429" t="s">
        <v>2919</v>
      </c>
      <c r="E235" s="476" t="s">
        <v>1369</v>
      </c>
      <c r="F235" s="476" t="s">
        <v>1767</v>
      </c>
      <c r="G235" s="476" t="s">
        <v>1768</v>
      </c>
      <c r="H235" s="476" t="s">
        <v>43</v>
      </c>
      <c r="I235" s="476"/>
      <c r="J235" s="476" t="s">
        <v>45</v>
      </c>
      <c r="K235" s="480" t="s">
        <v>45</v>
      </c>
      <c r="L235" s="480" t="s">
        <v>803</v>
      </c>
      <c r="M235" s="476" t="s">
        <v>804</v>
      </c>
      <c r="N235" s="476">
        <v>20.073437999999999</v>
      </c>
      <c r="O235" s="480">
        <v>93.154551999999995</v>
      </c>
      <c r="P235" s="476" t="s">
        <v>770</v>
      </c>
      <c r="Q235" s="476" t="s">
        <v>789</v>
      </c>
      <c r="R235" s="482">
        <v>905</v>
      </c>
      <c r="S235" s="483">
        <v>4124</v>
      </c>
      <c r="T235" s="502"/>
      <c r="U235" s="484"/>
      <c r="V235" s="476" t="s">
        <v>420</v>
      </c>
      <c r="W235" s="476"/>
    </row>
    <row r="236" spans="1:23" s="69" customFormat="1" ht="14.25" customHeight="1">
      <c r="A236" s="483" t="s">
        <v>2827</v>
      </c>
      <c r="B236" s="480" t="s">
        <v>415</v>
      </c>
      <c r="C236" s="480" t="s">
        <v>2734</v>
      </c>
      <c r="D236" s="429" t="s">
        <v>1685</v>
      </c>
      <c r="E236" s="476">
        <v>197460</v>
      </c>
      <c r="F236" s="476"/>
      <c r="G236" s="476"/>
      <c r="H236" s="476"/>
      <c r="I236" s="476"/>
      <c r="J236" s="476" t="s">
        <v>807</v>
      </c>
      <c r="K236" s="476" t="s">
        <v>807</v>
      </c>
      <c r="L236" s="476" t="s">
        <v>807</v>
      </c>
      <c r="M236" s="476" t="s">
        <v>307</v>
      </c>
      <c r="N236" s="476"/>
      <c r="O236" s="476"/>
      <c r="P236" s="476"/>
      <c r="Q236" s="476"/>
      <c r="R236" s="482"/>
      <c r="S236" s="483"/>
      <c r="T236" s="502"/>
      <c r="U236" s="484"/>
      <c r="V236" s="476"/>
      <c r="W236" s="476"/>
    </row>
    <row r="237" spans="1:23" s="69" customFormat="1" ht="14.25" customHeight="1">
      <c r="A237" s="483" t="s">
        <v>2827</v>
      </c>
      <c r="B237" s="480" t="s">
        <v>415</v>
      </c>
      <c r="C237" s="480" t="s">
        <v>2725</v>
      </c>
      <c r="D237" s="429" t="s">
        <v>1685</v>
      </c>
      <c r="E237" s="476">
        <v>197449</v>
      </c>
      <c r="F237" s="476"/>
      <c r="G237" s="476"/>
      <c r="H237" s="476"/>
      <c r="I237" s="476"/>
      <c r="J237" s="476" t="s">
        <v>807</v>
      </c>
      <c r="K237" s="476" t="s">
        <v>807</v>
      </c>
      <c r="L237" s="476" t="s">
        <v>807</v>
      </c>
      <c r="M237" s="476" t="s">
        <v>307</v>
      </c>
      <c r="N237" s="476"/>
      <c r="O237" s="476"/>
      <c r="P237" s="476"/>
      <c r="Q237" s="476"/>
      <c r="R237" s="486"/>
      <c r="S237" s="487"/>
      <c r="T237" s="502"/>
      <c r="U237" s="484"/>
      <c r="V237" s="476"/>
      <c r="W237" s="476"/>
    </row>
    <row r="238" spans="1:23" s="69" customFormat="1" ht="14.25" customHeight="1">
      <c r="A238" s="483" t="s">
        <v>2827</v>
      </c>
      <c r="B238" s="480" t="s">
        <v>415</v>
      </c>
      <c r="C238" s="480" t="s">
        <v>844</v>
      </c>
      <c r="D238" s="429" t="s">
        <v>1685</v>
      </c>
      <c r="E238" s="476">
        <v>197531</v>
      </c>
      <c r="F238" s="476" t="s">
        <v>844</v>
      </c>
      <c r="G238" s="476"/>
      <c r="H238" s="476"/>
      <c r="I238" s="476"/>
      <c r="J238" s="476" t="s">
        <v>807</v>
      </c>
      <c r="K238" s="480" t="s">
        <v>807</v>
      </c>
      <c r="L238" s="480" t="s">
        <v>807</v>
      </c>
      <c r="M238" s="476"/>
      <c r="N238" s="476">
        <v>20.10293961</v>
      </c>
      <c r="O238" s="476">
        <v>93.000679020000007</v>
      </c>
      <c r="P238" s="476" t="s">
        <v>808</v>
      </c>
      <c r="Q238" s="476"/>
      <c r="R238" s="482"/>
      <c r="S238" s="483"/>
      <c r="T238" s="502"/>
      <c r="U238" s="484"/>
      <c r="V238" s="476" t="s">
        <v>845</v>
      </c>
      <c r="W238" s="476"/>
    </row>
    <row r="239" spans="1:23" s="69" customFormat="1" ht="14.25" customHeight="1">
      <c r="A239" s="483" t="s">
        <v>2827</v>
      </c>
      <c r="B239" s="480" t="s">
        <v>415</v>
      </c>
      <c r="C239" s="480" t="s">
        <v>837</v>
      </c>
      <c r="D239" s="429" t="s">
        <v>1685</v>
      </c>
      <c r="E239" s="476">
        <v>197430</v>
      </c>
      <c r="F239" s="480"/>
      <c r="G239" s="476"/>
      <c r="H239" s="476"/>
      <c r="I239" s="476"/>
      <c r="J239" s="476" t="s">
        <v>807</v>
      </c>
      <c r="K239" s="480" t="s">
        <v>807</v>
      </c>
      <c r="L239" s="480" t="s">
        <v>807</v>
      </c>
      <c r="M239" s="476" t="s">
        <v>307</v>
      </c>
      <c r="N239" s="476">
        <v>20.065919000000001</v>
      </c>
      <c r="O239" s="476">
        <v>93.004040000000003</v>
      </c>
      <c r="P239" s="476" t="s">
        <v>808</v>
      </c>
      <c r="Q239" s="476"/>
      <c r="R239" s="482"/>
      <c r="S239" s="483"/>
      <c r="T239" s="502"/>
      <c r="U239" s="484"/>
      <c r="V239" s="476" t="s">
        <v>837</v>
      </c>
      <c r="W239" s="476"/>
    </row>
    <row r="240" spans="1:23" s="69" customFormat="1" ht="14.25" customHeight="1">
      <c r="A240" s="483" t="s">
        <v>2827</v>
      </c>
      <c r="B240" s="480" t="s">
        <v>415</v>
      </c>
      <c r="C240" s="480" t="s">
        <v>2816</v>
      </c>
      <c r="D240" s="429" t="s">
        <v>1685</v>
      </c>
      <c r="E240" s="476">
        <v>197462</v>
      </c>
      <c r="F240" s="476"/>
      <c r="G240" s="476"/>
      <c r="H240" s="476"/>
      <c r="I240" s="476"/>
      <c r="J240" s="476" t="s">
        <v>807</v>
      </c>
      <c r="K240" s="476" t="s">
        <v>807</v>
      </c>
      <c r="L240" s="476" t="s">
        <v>807</v>
      </c>
      <c r="M240" s="476" t="s">
        <v>307</v>
      </c>
      <c r="N240" s="476"/>
      <c r="O240" s="476"/>
      <c r="P240" s="476"/>
      <c r="Q240" s="476"/>
      <c r="R240" s="486"/>
      <c r="S240" s="487"/>
      <c r="T240" s="502"/>
      <c r="U240" s="484"/>
      <c r="V240" s="476"/>
      <c r="W240" s="476"/>
    </row>
    <row r="241" spans="1:23" s="69" customFormat="1" ht="14.25" customHeight="1">
      <c r="A241" s="483" t="s">
        <v>2827</v>
      </c>
      <c r="B241" s="480" t="s">
        <v>415</v>
      </c>
      <c r="C241" s="480" t="s">
        <v>2729</v>
      </c>
      <c r="D241" s="481" t="s">
        <v>1685</v>
      </c>
      <c r="E241" s="476">
        <v>197442</v>
      </c>
      <c r="F241" s="476"/>
      <c r="G241" s="476"/>
      <c r="H241" s="476"/>
      <c r="I241" s="476"/>
      <c r="J241" s="476" t="s">
        <v>807</v>
      </c>
      <c r="K241" s="476" t="s">
        <v>807</v>
      </c>
      <c r="L241" s="476" t="s">
        <v>807</v>
      </c>
      <c r="M241" s="476" t="s">
        <v>2815</v>
      </c>
      <c r="N241" s="476"/>
      <c r="O241" s="476"/>
      <c r="P241" s="476"/>
      <c r="Q241" s="476"/>
      <c r="R241" s="480"/>
      <c r="S241" s="480"/>
      <c r="T241" s="502"/>
      <c r="U241" s="484"/>
      <c r="V241" s="476"/>
      <c r="W241" s="476"/>
    </row>
    <row r="242" spans="1:23" s="69" customFormat="1" ht="14.25" customHeight="1">
      <c r="A242" s="483" t="s">
        <v>2827</v>
      </c>
      <c r="B242" s="480" t="s">
        <v>415</v>
      </c>
      <c r="C242" s="480" t="s">
        <v>2730</v>
      </c>
      <c r="D242" s="429" t="s">
        <v>1685</v>
      </c>
      <c r="E242" s="476">
        <v>197405</v>
      </c>
      <c r="F242" s="476"/>
      <c r="G242" s="476"/>
      <c r="H242" s="476"/>
      <c r="I242" s="476"/>
      <c r="J242" s="476" t="s">
        <v>807</v>
      </c>
      <c r="K242" s="476" t="s">
        <v>807</v>
      </c>
      <c r="L242" s="476" t="s">
        <v>807</v>
      </c>
      <c r="M242" s="476" t="s">
        <v>307</v>
      </c>
      <c r="N242" s="476"/>
      <c r="O242" s="476"/>
      <c r="P242" s="476"/>
      <c r="Q242" s="476"/>
      <c r="R242" s="482"/>
      <c r="S242" s="483"/>
      <c r="T242" s="502"/>
      <c r="U242" s="484"/>
      <c r="V242" s="476"/>
      <c r="W242" s="476"/>
    </row>
    <row r="243" spans="1:23" s="69" customFormat="1" ht="14.25" customHeight="1">
      <c r="A243" s="483" t="s">
        <v>2827</v>
      </c>
      <c r="B243" s="480" t="s">
        <v>415</v>
      </c>
      <c r="C243" s="480" t="s">
        <v>421</v>
      </c>
      <c r="D243" s="481" t="s">
        <v>1685</v>
      </c>
      <c r="E243" s="489">
        <v>197557</v>
      </c>
      <c r="F243" s="406"/>
      <c r="G243" s="489"/>
      <c r="H243" s="489"/>
      <c r="I243" s="489"/>
      <c r="J243" s="476" t="s">
        <v>807</v>
      </c>
      <c r="K243" s="480" t="s">
        <v>807</v>
      </c>
      <c r="L243" s="480" t="s">
        <v>807</v>
      </c>
      <c r="M243" s="476" t="s">
        <v>307</v>
      </c>
      <c r="N243" s="476">
        <v>20.0839</v>
      </c>
      <c r="O243" s="476">
        <v>92.993799999999993</v>
      </c>
      <c r="P243" s="476" t="s">
        <v>808</v>
      </c>
      <c r="Q243" s="476" t="s">
        <v>789</v>
      </c>
      <c r="R243" s="480"/>
      <c r="S243" s="480"/>
      <c r="T243" s="502"/>
      <c r="U243" s="484"/>
      <c r="V243" s="476" t="s">
        <v>421</v>
      </c>
      <c r="W243" s="476"/>
    </row>
    <row r="244" spans="1:23" s="69" customFormat="1" ht="14.25" customHeight="1">
      <c r="A244" s="483" t="s">
        <v>2827</v>
      </c>
      <c r="B244" s="480" t="s">
        <v>415</v>
      </c>
      <c r="C244" s="480" t="s">
        <v>418</v>
      </c>
      <c r="D244" s="429" t="s">
        <v>2919</v>
      </c>
      <c r="E244" s="476" t="s">
        <v>1367</v>
      </c>
      <c r="F244" s="476" t="s">
        <v>418</v>
      </c>
      <c r="G244" s="476" t="s">
        <v>1714</v>
      </c>
      <c r="H244" s="476" t="s">
        <v>43</v>
      </c>
      <c r="I244" s="476"/>
      <c r="J244" s="476" t="s">
        <v>45</v>
      </c>
      <c r="K244" s="480" t="s">
        <v>45</v>
      </c>
      <c r="L244" s="480" t="s">
        <v>803</v>
      </c>
      <c r="M244" s="476" t="s">
        <v>804</v>
      </c>
      <c r="N244" s="476">
        <v>20.064226000000001</v>
      </c>
      <c r="O244" s="476">
        <v>92.993758999999997</v>
      </c>
      <c r="P244" s="476" t="s">
        <v>770</v>
      </c>
      <c r="Q244" s="476" t="s">
        <v>789</v>
      </c>
      <c r="R244" s="482">
        <v>617</v>
      </c>
      <c r="S244" s="483">
        <v>2852</v>
      </c>
      <c r="T244" s="502"/>
      <c r="U244" s="484"/>
      <c r="V244" s="476" t="s">
        <v>418</v>
      </c>
      <c r="W244" s="476"/>
    </row>
    <row r="245" spans="1:23" s="69" customFormat="1" ht="14.25" customHeight="1">
      <c r="A245" s="483" t="s">
        <v>2827</v>
      </c>
      <c r="B245" s="486" t="s">
        <v>415</v>
      </c>
      <c r="C245" s="486" t="s">
        <v>835</v>
      </c>
      <c r="D245" s="481" t="s">
        <v>1686</v>
      </c>
      <c r="E245" s="476" t="s">
        <v>1368</v>
      </c>
      <c r="F245" s="476" t="s">
        <v>418</v>
      </c>
      <c r="G245" s="476" t="s">
        <v>1714</v>
      </c>
      <c r="H245" s="476"/>
      <c r="I245" s="476"/>
      <c r="J245" s="476" t="s">
        <v>45</v>
      </c>
      <c r="K245" s="480" t="s">
        <v>45</v>
      </c>
      <c r="L245" s="480" t="s">
        <v>769</v>
      </c>
      <c r="M245" s="476" t="s">
        <v>804</v>
      </c>
      <c r="N245" s="476">
        <v>20.064226000000001</v>
      </c>
      <c r="O245" s="476">
        <v>92.993758999999997</v>
      </c>
      <c r="P245" s="476" t="s">
        <v>770</v>
      </c>
      <c r="Q245" s="476"/>
      <c r="R245" s="490"/>
      <c r="S245" s="483"/>
      <c r="T245" s="502"/>
      <c r="U245" s="484"/>
      <c r="V245" s="476" t="s">
        <v>836</v>
      </c>
      <c r="W245" s="476"/>
    </row>
    <row r="246" spans="1:23" s="69" customFormat="1" ht="14.25" customHeight="1">
      <c r="A246" s="483" t="s">
        <v>2827</v>
      </c>
      <c r="B246" s="480" t="s">
        <v>415</v>
      </c>
      <c r="C246" s="480" t="s">
        <v>417</v>
      </c>
      <c r="D246" s="429" t="s">
        <v>1685</v>
      </c>
      <c r="E246" s="476">
        <v>197548</v>
      </c>
      <c r="F246" s="476"/>
      <c r="G246" s="476"/>
      <c r="H246" s="476"/>
      <c r="I246" s="476"/>
      <c r="J246" s="476" t="s">
        <v>807</v>
      </c>
      <c r="K246" s="480" t="s">
        <v>807</v>
      </c>
      <c r="L246" s="480" t="s">
        <v>807</v>
      </c>
      <c r="M246" s="476" t="s">
        <v>804</v>
      </c>
      <c r="N246" s="476">
        <v>20.0641</v>
      </c>
      <c r="O246" s="480">
        <v>92.994600000000005</v>
      </c>
      <c r="P246" s="476" t="s">
        <v>808</v>
      </c>
      <c r="Q246" s="476" t="s">
        <v>789</v>
      </c>
      <c r="R246" s="482"/>
      <c r="S246" s="483"/>
      <c r="T246" s="502"/>
      <c r="U246" s="484"/>
      <c r="V246" s="476" t="s">
        <v>417</v>
      </c>
      <c r="W246" s="476"/>
    </row>
    <row r="247" spans="1:23" s="69" customFormat="1" ht="14.25" customHeight="1">
      <c r="A247" s="483" t="s">
        <v>2827</v>
      </c>
      <c r="B247" s="480" t="s">
        <v>415</v>
      </c>
      <c r="C247" s="480" t="s">
        <v>416</v>
      </c>
      <c r="D247" s="429" t="s">
        <v>1685</v>
      </c>
      <c r="E247" s="476">
        <v>197550</v>
      </c>
      <c r="F247" s="476"/>
      <c r="G247" s="476"/>
      <c r="H247" s="476"/>
      <c r="I247" s="476"/>
      <c r="J247" s="476" t="s">
        <v>807</v>
      </c>
      <c r="K247" s="480" t="s">
        <v>807</v>
      </c>
      <c r="L247" s="480" t="s">
        <v>807</v>
      </c>
      <c r="M247" s="476" t="s">
        <v>307</v>
      </c>
      <c r="N247" s="476">
        <v>20.057860999999999</v>
      </c>
      <c r="O247" s="480">
        <v>92.995181000000002</v>
      </c>
      <c r="P247" s="476" t="s">
        <v>808</v>
      </c>
      <c r="Q247" s="476" t="s">
        <v>789</v>
      </c>
      <c r="R247" s="482"/>
      <c r="S247" s="483"/>
      <c r="T247" s="502"/>
      <c r="U247" s="484"/>
      <c r="V247" s="476" t="s">
        <v>416</v>
      </c>
      <c r="W247" s="482"/>
    </row>
    <row r="248" spans="1:23" s="69" customFormat="1" ht="14.25" customHeight="1">
      <c r="A248" s="483" t="s">
        <v>2827</v>
      </c>
      <c r="B248" s="480" t="s">
        <v>415</v>
      </c>
      <c r="C248" s="480" t="s">
        <v>1154</v>
      </c>
      <c r="D248" s="429" t="s">
        <v>1685</v>
      </c>
      <c r="E248" s="476">
        <v>220691</v>
      </c>
      <c r="F248" s="480"/>
      <c r="G248" s="476"/>
      <c r="H248" s="476"/>
      <c r="I248" s="476"/>
      <c r="J248" s="476" t="s">
        <v>807</v>
      </c>
      <c r="K248" s="480" t="s">
        <v>807</v>
      </c>
      <c r="L248" s="480" t="s">
        <v>807</v>
      </c>
      <c r="M248" s="476"/>
      <c r="N248" s="476"/>
      <c r="O248" s="476"/>
      <c r="P248" s="476" t="s">
        <v>808</v>
      </c>
      <c r="Q248" s="476"/>
      <c r="R248" s="486"/>
      <c r="S248" s="487"/>
      <c r="T248" s="502"/>
      <c r="U248" s="484"/>
      <c r="V248" s="476" t="s">
        <v>1154</v>
      </c>
      <c r="W248" s="482"/>
    </row>
    <row r="249" spans="1:23" s="69" customFormat="1" ht="14.25" customHeight="1">
      <c r="A249" s="483" t="s">
        <v>2827</v>
      </c>
      <c r="B249" s="480" t="s">
        <v>415</v>
      </c>
      <c r="C249" s="480" t="s">
        <v>2733</v>
      </c>
      <c r="D249" s="429" t="s">
        <v>1685</v>
      </c>
      <c r="E249" s="476">
        <v>197403</v>
      </c>
      <c r="F249" s="476"/>
      <c r="G249" s="476"/>
      <c r="H249" s="476"/>
      <c r="I249" s="476"/>
      <c r="J249" s="476" t="s">
        <v>807</v>
      </c>
      <c r="K249" s="476" t="s">
        <v>807</v>
      </c>
      <c r="L249" s="476" t="s">
        <v>807</v>
      </c>
      <c r="M249" s="476" t="s">
        <v>307</v>
      </c>
      <c r="N249" s="476"/>
      <c r="O249" s="476"/>
      <c r="P249" s="476"/>
      <c r="Q249" s="476"/>
      <c r="R249" s="482"/>
      <c r="S249" s="483"/>
      <c r="T249" s="502"/>
      <c r="U249" s="484"/>
      <c r="V249" s="476"/>
      <c r="W249" s="476"/>
    </row>
    <row r="250" spans="1:23" s="69" customFormat="1" ht="14.25" customHeight="1">
      <c r="A250" s="483" t="s">
        <v>2827</v>
      </c>
      <c r="B250" s="480" t="s">
        <v>415</v>
      </c>
      <c r="C250" s="480" t="s">
        <v>2732</v>
      </c>
      <c r="D250" s="429" t="s">
        <v>1685</v>
      </c>
      <c r="E250" s="476">
        <v>197401</v>
      </c>
      <c r="F250" s="476" t="s">
        <v>2732</v>
      </c>
      <c r="G250" s="476"/>
      <c r="H250" s="476"/>
      <c r="I250" s="476"/>
      <c r="J250" s="476" t="s">
        <v>807</v>
      </c>
      <c r="K250" s="476" t="s">
        <v>807</v>
      </c>
      <c r="L250" s="476" t="s">
        <v>807</v>
      </c>
      <c r="M250" s="476" t="s">
        <v>307</v>
      </c>
      <c r="N250" s="476">
        <v>20.260679244995099</v>
      </c>
      <c r="O250" s="476">
        <v>93.051597595214801</v>
      </c>
      <c r="P250" s="476"/>
      <c r="Q250" s="476"/>
      <c r="R250" s="482"/>
      <c r="S250" s="483"/>
      <c r="T250" s="502"/>
      <c r="U250" s="484"/>
      <c r="V250" s="476"/>
      <c r="W250" s="476"/>
    </row>
    <row r="251" spans="1:23" s="69" customFormat="1" ht="14.25" customHeight="1">
      <c r="A251" s="483" t="s">
        <v>2827</v>
      </c>
      <c r="B251" s="480" t="s">
        <v>415</v>
      </c>
      <c r="C251" s="480" t="s">
        <v>838</v>
      </c>
      <c r="D251" s="429" t="s">
        <v>1685</v>
      </c>
      <c r="E251" s="476">
        <v>197562</v>
      </c>
      <c r="F251" s="480"/>
      <c r="G251" s="476"/>
      <c r="H251" s="476"/>
      <c r="I251" s="476"/>
      <c r="J251" s="476" t="s">
        <v>807</v>
      </c>
      <c r="K251" s="480" t="s">
        <v>807</v>
      </c>
      <c r="L251" s="480" t="s">
        <v>807</v>
      </c>
      <c r="M251" s="476"/>
      <c r="N251" s="476">
        <v>20.06903076</v>
      </c>
      <c r="O251" s="476">
        <v>92.930137630000004</v>
      </c>
      <c r="P251" s="476" t="s">
        <v>808</v>
      </c>
      <c r="Q251" s="476"/>
      <c r="R251" s="482"/>
      <c r="S251" s="483"/>
      <c r="T251" s="502"/>
      <c r="U251" s="484"/>
      <c r="V251" s="476" t="s">
        <v>839</v>
      </c>
      <c r="W251" s="482"/>
    </row>
    <row r="252" spans="1:23" s="69" customFormat="1" ht="14.25" customHeight="1">
      <c r="A252" s="483" t="s">
        <v>2827</v>
      </c>
      <c r="B252" s="480" t="s">
        <v>415</v>
      </c>
      <c r="C252" s="480" t="s">
        <v>3003</v>
      </c>
      <c r="D252" s="429"/>
      <c r="E252" s="476">
        <v>217986</v>
      </c>
      <c r="F252" s="476"/>
      <c r="G252" s="476"/>
      <c r="H252" s="476"/>
      <c r="I252" s="476"/>
      <c r="J252" s="476" t="s">
        <v>807</v>
      </c>
      <c r="K252" s="476" t="s">
        <v>807</v>
      </c>
      <c r="L252" s="476" t="s">
        <v>807</v>
      </c>
      <c r="M252" s="476"/>
      <c r="N252" s="476">
        <v>19.9964408874512</v>
      </c>
      <c r="O252" s="480">
        <v>92.951683044433594</v>
      </c>
      <c r="P252" s="476"/>
      <c r="Q252" s="476"/>
      <c r="R252" s="486"/>
      <c r="S252" s="487"/>
      <c r="T252" s="502"/>
      <c r="U252" s="484"/>
      <c r="V252" s="476"/>
      <c r="W252" s="476"/>
    </row>
    <row r="253" spans="1:23" s="69" customFormat="1" ht="14.25" customHeight="1">
      <c r="A253" s="483" t="s">
        <v>2827</v>
      </c>
      <c r="B253" s="480" t="s">
        <v>415</v>
      </c>
      <c r="C253" s="480" t="s">
        <v>2726</v>
      </c>
      <c r="D253" s="429" t="s">
        <v>1685</v>
      </c>
      <c r="E253" s="476">
        <v>197451</v>
      </c>
      <c r="F253" s="476"/>
      <c r="G253" s="476"/>
      <c r="H253" s="476"/>
      <c r="I253" s="476"/>
      <c r="J253" s="476" t="s">
        <v>807</v>
      </c>
      <c r="K253" s="476" t="s">
        <v>807</v>
      </c>
      <c r="L253" s="476" t="s">
        <v>807</v>
      </c>
      <c r="M253" s="476" t="s">
        <v>307</v>
      </c>
      <c r="N253" s="476"/>
      <c r="O253" s="476"/>
      <c r="P253" s="476"/>
      <c r="Q253" s="476"/>
      <c r="R253" s="482"/>
      <c r="S253" s="483"/>
      <c r="T253" s="502"/>
      <c r="U253" s="484"/>
      <c r="V253" s="476"/>
      <c r="W253" s="476"/>
    </row>
    <row r="254" spans="1:23" s="69" customFormat="1" ht="14.25" customHeight="1">
      <c r="A254" s="483" t="s">
        <v>2827</v>
      </c>
      <c r="B254" s="480" t="s">
        <v>415</v>
      </c>
      <c r="C254" s="480" t="s">
        <v>2706</v>
      </c>
      <c r="D254" s="429"/>
      <c r="E254" s="476"/>
      <c r="F254" s="480"/>
      <c r="G254" s="476"/>
      <c r="H254" s="476"/>
      <c r="I254" s="476"/>
      <c r="J254" s="476" t="s">
        <v>807</v>
      </c>
      <c r="K254" s="476" t="s">
        <v>807</v>
      </c>
      <c r="L254" s="476" t="s">
        <v>807</v>
      </c>
      <c r="M254" s="476"/>
      <c r="N254" s="476"/>
      <c r="O254" s="476"/>
      <c r="P254" s="476"/>
      <c r="Q254" s="476"/>
      <c r="R254" s="486"/>
      <c r="S254" s="487"/>
      <c r="T254" s="502"/>
      <c r="U254" s="484"/>
      <c r="V254" s="476"/>
      <c r="W254" s="476"/>
    </row>
    <row r="255" spans="1:23" s="69" customFormat="1" ht="14.25" customHeight="1">
      <c r="A255" s="483" t="s">
        <v>2827</v>
      </c>
      <c r="B255" s="480" t="s">
        <v>415</v>
      </c>
      <c r="C255" s="480" t="s">
        <v>2707</v>
      </c>
      <c r="D255" s="429"/>
      <c r="E255" s="476"/>
      <c r="F255" s="480"/>
      <c r="G255" s="476"/>
      <c r="H255" s="476"/>
      <c r="I255" s="476"/>
      <c r="J255" s="476" t="s">
        <v>807</v>
      </c>
      <c r="K255" s="476" t="s">
        <v>807</v>
      </c>
      <c r="L255" s="476" t="s">
        <v>807</v>
      </c>
      <c r="M255" s="476"/>
      <c r="N255" s="476"/>
      <c r="O255" s="476"/>
      <c r="P255" s="476"/>
      <c r="Q255" s="476"/>
      <c r="R255" s="486"/>
      <c r="S255" s="487"/>
      <c r="T255" s="502"/>
      <c r="U255" s="484"/>
      <c r="V255" s="476"/>
      <c r="W255" s="476"/>
    </row>
    <row r="256" spans="1:23" s="69" customFormat="1" ht="14.25" customHeight="1">
      <c r="A256" s="483" t="s">
        <v>2827</v>
      </c>
      <c r="B256" s="480" t="s">
        <v>415</v>
      </c>
      <c r="C256" s="480" t="s">
        <v>2711</v>
      </c>
      <c r="D256" s="429"/>
      <c r="E256" s="476">
        <v>197543</v>
      </c>
      <c r="F256" s="476" t="s">
        <v>534</v>
      </c>
      <c r="G256" s="476"/>
      <c r="H256" s="476"/>
      <c r="I256" s="476"/>
      <c r="J256" s="476" t="s">
        <v>807</v>
      </c>
      <c r="K256" s="476" t="s">
        <v>807</v>
      </c>
      <c r="L256" s="476" t="s">
        <v>807</v>
      </c>
      <c r="M256" s="476"/>
      <c r="N256" s="476">
        <v>19.9403591156006</v>
      </c>
      <c r="O256" s="476">
        <v>93.009452819824205</v>
      </c>
      <c r="P256" s="476"/>
      <c r="Q256" s="476"/>
      <c r="R256" s="486"/>
      <c r="S256" s="487"/>
      <c r="T256" s="502"/>
      <c r="U256" s="484"/>
      <c r="V256" s="476"/>
      <c r="W256" s="476"/>
    </row>
    <row r="257" spans="1:23" s="69" customFormat="1" ht="14.25" customHeight="1">
      <c r="A257" s="483" t="s">
        <v>2827</v>
      </c>
      <c r="B257" s="480" t="s">
        <v>415</v>
      </c>
      <c r="C257" s="480" t="s">
        <v>2709</v>
      </c>
      <c r="D257" s="429"/>
      <c r="E257" s="476">
        <v>197574</v>
      </c>
      <c r="F257" s="476" t="s">
        <v>2891</v>
      </c>
      <c r="G257" s="476"/>
      <c r="H257" s="476"/>
      <c r="I257" s="476"/>
      <c r="J257" s="476" t="s">
        <v>807</v>
      </c>
      <c r="K257" s="476" t="s">
        <v>807</v>
      </c>
      <c r="L257" s="476" t="s">
        <v>807</v>
      </c>
      <c r="M257" s="476"/>
      <c r="N257" s="476">
        <v>20.068620681762699</v>
      </c>
      <c r="O257" s="476">
        <v>92.934440612792997</v>
      </c>
      <c r="P257" s="476"/>
      <c r="Q257" s="476"/>
      <c r="R257" s="486"/>
      <c r="S257" s="487"/>
      <c r="T257" s="502"/>
      <c r="U257" s="484"/>
      <c r="V257" s="476"/>
      <c r="W257" s="476"/>
    </row>
    <row r="258" spans="1:23" s="69" customFormat="1" ht="14.25" customHeight="1">
      <c r="A258" s="483" t="s">
        <v>2827</v>
      </c>
      <c r="B258" s="480" t="s">
        <v>415</v>
      </c>
      <c r="C258" s="480" t="s">
        <v>2724</v>
      </c>
      <c r="D258" s="481" t="s">
        <v>1685</v>
      </c>
      <c r="E258" s="489">
        <v>197447</v>
      </c>
      <c r="F258" s="489"/>
      <c r="G258" s="489"/>
      <c r="H258" s="489"/>
      <c r="I258" s="489"/>
      <c r="J258" s="476" t="s">
        <v>807</v>
      </c>
      <c r="K258" s="476" t="s">
        <v>807</v>
      </c>
      <c r="L258" s="476" t="s">
        <v>807</v>
      </c>
      <c r="M258" s="476" t="s">
        <v>307</v>
      </c>
      <c r="N258" s="476"/>
      <c r="O258" s="476"/>
      <c r="P258" s="476"/>
      <c r="Q258" s="476"/>
      <c r="R258" s="480"/>
      <c r="S258" s="480"/>
      <c r="T258" s="502"/>
      <c r="U258" s="484"/>
      <c r="V258" s="476"/>
      <c r="W258" s="476"/>
    </row>
    <row r="259" spans="1:23" s="69" customFormat="1" ht="14.25" customHeight="1">
      <c r="A259" s="483" t="s">
        <v>2827</v>
      </c>
      <c r="B259" s="486" t="s">
        <v>465</v>
      </c>
      <c r="C259" s="487" t="s">
        <v>2923</v>
      </c>
      <c r="D259" s="481"/>
      <c r="E259" s="476">
        <v>196217</v>
      </c>
      <c r="F259" s="476"/>
      <c r="G259" s="476"/>
      <c r="H259" s="476"/>
      <c r="I259" s="476"/>
      <c r="J259" s="476" t="s">
        <v>2836</v>
      </c>
      <c r="K259" s="476" t="s">
        <v>2798</v>
      </c>
      <c r="L259" s="476" t="s">
        <v>2798</v>
      </c>
      <c r="M259" s="476"/>
      <c r="N259" s="476">
        <v>20.643140792846701</v>
      </c>
      <c r="O259" s="476">
        <v>92.851875305175795</v>
      </c>
      <c r="P259" s="476"/>
      <c r="Q259" s="476"/>
      <c r="R259" s="490"/>
      <c r="S259" s="483"/>
      <c r="T259" s="502">
        <v>43591</v>
      </c>
      <c r="U259" s="490"/>
      <c r="V259" s="476"/>
      <c r="W259" s="482"/>
    </row>
    <row r="260" spans="1:23" s="69" customFormat="1" ht="14.25" customHeight="1">
      <c r="A260" s="486" t="s">
        <v>2827</v>
      </c>
      <c r="B260" s="486" t="s">
        <v>465</v>
      </c>
      <c r="C260" s="487" t="s">
        <v>3007</v>
      </c>
      <c r="D260" s="481"/>
      <c r="E260" s="476">
        <v>196309</v>
      </c>
      <c r="F260" s="476"/>
      <c r="G260" s="476"/>
      <c r="H260" s="476"/>
      <c r="I260" s="476"/>
      <c r="J260" s="476" t="s">
        <v>2836</v>
      </c>
      <c r="K260" s="476" t="s">
        <v>2798</v>
      </c>
      <c r="L260" s="476" t="s">
        <v>2798</v>
      </c>
      <c r="M260" s="476"/>
      <c r="N260" s="476">
        <v>20.623949050903299</v>
      </c>
      <c r="O260" s="476">
        <v>92.950813293457003</v>
      </c>
      <c r="P260" s="476"/>
      <c r="Q260" s="476"/>
      <c r="R260" s="490"/>
      <c r="S260" s="483"/>
      <c r="T260" s="502">
        <v>43591</v>
      </c>
      <c r="U260" s="490"/>
      <c r="V260" s="476" t="s">
        <v>2958</v>
      </c>
      <c r="W260" s="482"/>
    </row>
    <row r="261" spans="1:23" s="69" customFormat="1" ht="14.25" customHeight="1">
      <c r="A261" s="486" t="s">
        <v>2827</v>
      </c>
      <c r="B261" s="486" t="s">
        <v>465</v>
      </c>
      <c r="C261" s="487" t="s">
        <v>2957</v>
      </c>
      <c r="D261" s="481"/>
      <c r="E261" s="476"/>
      <c r="F261" s="476"/>
      <c r="G261" s="476"/>
      <c r="H261" s="476"/>
      <c r="I261" s="476"/>
      <c r="J261" s="476" t="s">
        <v>2836</v>
      </c>
      <c r="K261" s="476" t="s">
        <v>2798</v>
      </c>
      <c r="L261" s="476" t="s">
        <v>2798</v>
      </c>
      <c r="M261" s="476"/>
      <c r="N261" s="476"/>
      <c r="O261" s="476"/>
      <c r="P261" s="476"/>
      <c r="Q261" s="476"/>
      <c r="R261" s="490"/>
      <c r="S261" s="483"/>
      <c r="T261" s="502">
        <v>43591</v>
      </c>
      <c r="U261" s="490"/>
      <c r="V261" s="476"/>
      <c r="W261" s="482"/>
    </row>
    <row r="262" spans="1:23" s="69" customFormat="1" ht="14.25" customHeight="1">
      <c r="A262" s="486" t="s">
        <v>2827</v>
      </c>
      <c r="B262" s="486" t="s">
        <v>465</v>
      </c>
      <c r="C262" s="487" t="s">
        <v>2961</v>
      </c>
      <c r="D262" s="481"/>
      <c r="E262" s="476">
        <v>196329</v>
      </c>
      <c r="F262" s="476"/>
      <c r="G262" s="476"/>
      <c r="H262" s="476"/>
      <c r="I262" s="476"/>
      <c r="J262" s="476" t="s">
        <v>2836</v>
      </c>
      <c r="K262" s="476" t="s">
        <v>2798</v>
      </c>
      <c r="L262" s="476" t="s">
        <v>2798</v>
      </c>
      <c r="M262" s="476"/>
      <c r="N262" s="476">
        <v>20.5511798858643</v>
      </c>
      <c r="O262" s="476">
        <v>93.065322875976605</v>
      </c>
      <c r="P262" s="476"/>
      <c r="Q262" s="476"/>
      <c r="R262" s="490"/>
      <c r="S262" s="483"/>
      <c r="T262" s="502">
        <v>43591</v>
      </c>
      <c r="U262" s="490"/>
      <c r="V262" s="476"/>
      <c r="W262" s="482"/>
    </row>
    <row r="263" spans="1:23" s="69" customFormat="1" ht="14.25" customHeight="1">
      <c r="A263" s="483" t="s">
        <v>2827</v>
      </c>
      <c r="B263" s="480" t="s">
        <v>465</v>
      </c>
      <c r="C263" s="480" t="s">
        <v>497</v>
      </c>
      <c r="D263" s="429" t="s">
        <v>1685</v>
      </c>
      <c r="E263" s="476">
        <v>196350</v>
      </c>
      <c r="F263" s="480"/>
      <c r="G263" s="476"/>
      <c r="H263" s="476"/>
      <c r="I263" s="476"/>
      <c r="J263" s="476" t="s">
        <v>807</v>
      </c>
      <c r="K263" s="480" t="s">
        <v>807</v>
      </c>
      <c r="L263" s="480" t="s">
        <v>807</v>
      </c>
      <c r="M263" s="476" t="s">
        <v>804</v>
      </c>
      <c r="N263" s="476">
        <v>20.494340900000001</v>
      </c>
      <c r="O263" s="476">
        <v>93.054298399999993</v>
      </c>
      <c r="P263" s="476" t="s">
        <v>808</v>
      </c>
      <c r="Q263" s="476" t="s">
        <v>789</v>
      </c>
      <c r="R263" s="482"/>
      <c r="S263" s="483"/>
      <c r="T263" s="502"/>
      <c r="U263" s="484"/>
      <c r="V263" s="476" t="s">
        <v>910</v>
      </c>
      <c r="W263" s="482"/>
    </row>
    <row r="264" spans="1:23" s="69" customFormat="1" ht="14.25" customHeight="1">
      <c r="A264" s="486" t="s">
        <v>2827</v>
      </c>
      <c r="B264" s="486" t="s">
        <v>465</v>
      </c>
      <c r="C264" s="487" t="s">
        <v>2954</v>
      </c>
      <c r="D264" s="481"/>
      <c r="E264" s="476">
        <v>196218</v>
      </c>
      <c r="F264" s="476"/>
      <c r="G264" s="476"/>
      <c r="H264" s="476"/>
      <c r="I264" s="476"/>
      <c r="J264" s="476" t="s">
        <v>2836</v>
      </c>
      <c r="K264" s="476" t="s">
        <v>2798</v>
      </c>
      <c r="L264" s="476" t="s">
        <v>2798</v>
      </c>
      <c r="M264" s="476"/>
      <c r="N264" s="476">
        <v>20.709392547607401</v>
      </c>
      <c r="O264" s="476">
        <v>92.815086364746094</v>
      </c>
      <c r="P264" s="476"/>
      <c r="Q264" s="476"/>
      <c r="R264" s="490"/>
      <c r="S264" s="483"/>
      <c r="T264" s="502">
        <v>43591</v>
      </c>
      <c r="U264" s="490"/>
      <c r="V264" s="476"/>
      <c r="W264" s="482"/>
    </row>
    <row r="265" spans="1:23" s="69" customFormat="1" ht="14.25" customHeight="1">
      <c r="A265" s="483" t="s">
        <v>2827</v>
      </c>
      <c r="B265" s="480" t="s">
        <v>465</v>
      </c>
      <c r="C265" s="480" t="s">
        <v>521</v>
      </c>
      <c r="D265" s="429" t="s">
        <v>1685</v>
      </c>
      <c r="E265" s="476">
        <v>196318</v>
      </c>
      <c r="F265" s="508" t="s">
        <v>521</v>
      </c>
      <c r="G265" s="476"/>
      <c r="H265" s="476"/>
      <c r="I265" s="476"/>
      <c r="J265" s="476" t="s">
        <v>807</v>
      </c>
      <c r="K265" s="480" t="s">
        <v>807</v>
      </c>
      <c r="L265" s="480" t="s">
        <v>807</v>
      </c>
      <c r="M265" s="476" t="s">
        <v>804</v>
      </c>
      <c r="N265" s="476">
        <v>20.608819960000002</v>
      </c>
      <c r="O265" s="476">
        <v>93.022407529999995</v>
      </c>
      <c r="P265" s="476" t="s">
        <v>808</v>
      </c>
      <c r="Q265" s="476" t="s">
        <v>789</v>
      </c>
      <c r="R265" s="482"/>
      <c r="S265" s="483"/>
      <c r="T265" s="502"/>
      <c r="U265" s="484"/>
      <c r="V265" s="476" t="s">
        <v>925</v>
      </c>
      <c r="W265" s="482"/>
    </row>
    <row r="266" spans="1:23" s="69" customFormat="1" ht="14.25" customHeight="1">
      <c r="A266" s="486" t="s">
        <v>2827</v>
      </c>
      <c r="B266" s="486" t="s">
        <v>465</v>
      </c>
      <c r="C266" s="487" t="s">
        <v>2955</v>
      </c>
      <c r="D266" s="481"/>
      <c r="E266" s="476">
        <v>196403</v>
      </c>
      <c r="F266" s="476"/>
      <c r="G266" s="476"/>
      <c r="H266" s="476"/>
      <c r="I266" s="476"/>
      <c r="J266" s="476" t="s">
        <v>2836</v>
      </c>
      <c r="K266" s="476" t="s">
        <v>2798</v>
      </c>
      <c r="L266" s="476" t="s">
        <v>2798</v>
      </c>
      <c r="M266" s="476"/>
      <c r="N266" s="476">
        <v>20.303350448608398</v>
      </c>
      <c r="O266" s="476">
        <v>92.927062988281307</v>
      </c>
      <c r="P266" s="476"/>
      <c r="Q266" s="476"/>
      <c r="R266" s="490"/>
      <c r="S266" s="483"/>
      <c r="T266" s="502">
        <v>43591</v>
      </c>
      <c r="U266" s="490"/>
      <c r="V266" s="476"/>
      <c r="W266" s="482"/>
    </row>
    <row r="267" spans="1:23" s="69" customFormat="1" ht="14.25" customHeight="1">
      <c r="A267" s="483" t="s">
        <v>2827</v>
      </c>
      <c r="B267" s="480" t="s">
        <v>465</v>
      </c>
      <c r="C267" s="480" t="s">
        <v>894</v>
      </c>
      <c r="D267" s="429" t="s">
        <v>1685</v>
      </c>
      <c r="E267" s="476">
        <v>196357</v>
      </c>
      <c r="F267" s="476" t="s">
        <v>894</v>
      </c>
      <c r="G267" s="476"/>
      <c r="H267" s="476"/>
      <c r="I267" s="476"/>
      <c r="J267" s="476" t="s">
        <v>807</v>
      </c>
      <c r="K267" s="480" t="s">
        <v>807</v>
      </c>
      <c r="L267" s="480" t="s">
        <v>807</v>
      </c>
      <c r="M267" s="476" t="s">
        <v>307</v>
      </c>
      <c r="N267" s="476">
        <v>20.369959999999999</v>
      </c>
      <c r="O267" s="476">
        <v>93.019220000000004</v>
      </c>
      <c r="P267" s="476" t="s">
        <v>808</v>
      </c>
      <c r="Q267" s="476"/>
      <c r="R267" s="482"/>
      <c r="S267" s="483"/>
      <c r="T267" s="502"/>
      <c r="U267" s="484"/>
      <c r="V267" s="476" t="s">
        <v>894</v>
      </c>
      <c r="W267" s="482"/>
    </row>
    <row r="268" spans="1:23" s="69" customFormat="1" ht="14.25" customHeight="1">
      <c r="A268" s="483" t="s">
        <v>2827</v>
      </c>
      <c r="B268" s="480" t="s">
        <v>465</v>
      </c>
      <c r="C268" s="480" t="s">
        <v>522</v>
      </c>
      <c r="D268" s="429" t="s">
        <v>1685</v>
      </c>
      <c r="E268" s="476">
        <v>196316</v>
      </c>
      <c r="F268" s="476"/>
      <c r="G268" s="476"/>
      <c r="H268" s="476"/>
      <c r="I268" s="476"/>
      <c r="J268" s="476" t="s">
        <v>807</v>
      </c>
      <c r="K268" s="480" t="s">
        <v>807</v>
      </c>
      <c r="L268" s="480" t="s">
        <v>807</v>
      </c>
      <c r="M268" s="476" t="s">
        <v>307</v>
      </c>
      <c r="N268" s="476">
        <v>20.630609509999999</v>
      </c>
      <c r="O268" s="476">
        <v>92.998641969999994</v>
      </c>
      <c r="P268" s="476" t="s">
        <v>808</v>
      </c>
      <c r="Q268" s="476" t="s">
        <v>789</v>
      </c>
      <c r="R268" s="482"/>
      <c r="S268" s="483"/>
      <c r="T268" s="502"/>
      <c r="U268" s="484"/>
      <c r="V268" s="476" t="s">
        <v>927</v>
      </c>
      <c r="W268" s="482"/>
    </row>
    <row r="269" spans="1:23" s="69" customFormat="1" ht="14.25" customHeight="1">
      <c r="A269" s="486" t="s">
        <v>2827</v>
      </c>
      <c r="B269" s="486" t="s">
        <v>465</v>
      </c>
      <c r="C269" s="487" t="s">
        <v>2959</v>
      </c>
      <c r="D269" s="481"/>
      <c r="E269" s="476">
        <v>196317</v>
      </c>
      <c r="F269" s="476"/>
      <c r="G269" s="476"/>
      <c r="H269" s="476"/>
      <c r="I269" s="476"/>
      <c r="J269" s="476" t="s">
        <v>2836</v>
      </c>
      <c r="K269" s="476" t="s">
        <v>2798</v>
      </c>
      <c r="L269" s="476" t="s">
        <v>2798</v>
      </c>
      <c r="M269" s="476"/>
      <c r="N269" s="476">
        <v>20.616569519043001</v>
      </c>
      <c r="O269" s="476">
        <v>92.991638183593807</v>
      </c>
      <c r="P269" s="476"/>
      <c r="Q269" s="476"/>
      <c r="R269" s="490"/>
      <c r="S269" s="483"/>
      <c r="T269" s="502">
        <v>43591</v>
      </c>
      <c r="U269" s="490"/>
      <c r="V269" s="476"/>
      <c r="W269" s="482"/>
    </row>
    <row r="270" spans="1:23" s="69" customFormat="1" ht="14.25" customHeight="1">
      <c r="A270" s="483" t="s">
        <v>2827</v>
      </c>
      <c r="B270" s="480" t="s">
        <v>465</v>
      </c>
      <c r="C270" s="480" t="s">
        <v>528</v>
      </c>
      <c r="D270" s="429" t="s">
        <v>1685</v>
      </c>
      <c r="E270" s="476">
        <v>196313</v>
      </c>
      <c r="F270" s="476" t="s">
        <v>523</v>
      </c>
      <c r="G270" s="476"/>
      <c r="H270" s="476"/>
      <c r="I270" s="476"/>
      <c r="J270" s="476" t="s">
        <v>807</v>
      </c>
      <c r="K270" s="476" t="s">
        <v>807</v>
      </c>
      <c r="L270" s="476" t="s">
        <v>807</v>
      </c>
      <c r="M270" s="476" t="s">
        <v>307</v>
      </c>
      <c r="N270" s="476">
        <v>20.645240780000002</v>
      </c>
      <c r="O270" s="476">
        <v>92.939758299999994</v>
      </c>
      <c r="P270" s="476" t="s">
        <v>808</v>
      </c>
      <c r="Q270" s="476" t="s">
        <v>789</v>
      </c>
      <c r="R270" s="482"/>
      <c r="S270" s="483"/>
      <c r="T270" s="502"/>
      <c r="U270" s="484"/>
      <c r="V270" s="476" t="s">
        <v>528</v>
      </c>
      <c r="W270" s="482"/>
    </row>
    <row r="271" spans="1:23" s="69" customFormat="1" ht="14.25" customHeight="1">
      <c r="A271" s="483" t="s">
        <v>2827</v>
      </c>
      <c r="B271" s="480" t="s">
        <v>465</v>
      </c>
      <c r="C271" s="480" t="s">
        <v>891</v>
      </c>
      <c r="D271" s="429" t="s">
        <v>1685</v>
      </c>
      <c r="E271" s="476">
        <v>196401</v>
      </c>
      <c r="F271" s="476"/>
      <c r="G271" s="476"/>
      <c r="H271" s="476"/>
      <c r="I271" s="476"/>
      <c r="J271" s="476" t="s">
        <v>807</v>
      </c>
      <c r="K271" s="476" t="s">
        <v>807</v>
      </c>
      <c r="L271" s="476" t="s">
        <v>807</v>
      </c>
      <c r="M271" s="476" t="s">
        <v>307</v>
      </c>
      <c r="N271" s="476">
        <v>20.327500000000001</v>
      </c>
      <c r="O271" s="476">
        <v>92.8947</v>
      </c>
      <c r="P271" s="476" t="s">
        <v>808</v>
      </c>
      <c r="Q271" s="476"/>
      <c r="R271" s="482"/>
      <c r="S271" s="483"/>
      <c r="T271" s="502"/>
      <c r="U271" s="484"/>
      <c r="V271" s="476" t="s">
        <v>891</v>
      </c>
      <c r="W271" s="482"/>
    </row>
    <row r="272" spans="1:23" s="69" customFormat="1" ht="14.25" customHeight="1">
      <c r="A272" s="483" t="s">
        <v>2827</v>
      </c>
      <c r="B272" s="480" t="s">
        <v>465</v>
      </c>
      <c r="C272" s="480" t="s">
        <v>494</v>
      </c>
      <c r="D272" s="429" t="s">
        <v>1685</v>
      </c>
      <c r="E272" s="476">
        <v>196349</v>
      </c>
      <c r="F272" s="476"/>
      <c r="G272" s="476"/>
      <c r="H272" s="476"/>
      <c r="I272" s="476"/>
      <c r="J272" s="476" t="s">
        <v>807</v>
      </c>
      <c r="K272" s="476" t="s">
        <v>807</v>
      </c>
      <c r="L272" s="476" t="s">
        <v>807</v>
      </c>
      <c r="M272" s="476" t="s">
        <v>307</v>
      </c>
      <c r="N272" s="476">
        <v>20.482030869999999</v>
      </c>
      <c r="O272" s="480">
        <v>93.045410160000003</v>
      </c>
      <c r="P272" s="476" t="s">
        <v>808</v>
      </c>
      <c r="Q272" s="476" t="s">
        <v>789</v>
      </c>
      <c r="R272" s="482"/>
      <c r="S272" s="483"/>
      <c r="T272" s="502"/>
      <c r="U272" s="484"/>
      <c r="V272" s="476" t="s">
        <v>494</v>
      </c>
      <c r="W272" s="482"/>
    </row>
    <row r="273" spans="1:23" s="69" customFormat="1" ht="14.25" customHeight="1">
      <c r="A273" s="483" t="s">
        <v>2827</v>
      </c>
      <c r="B273" s="480" t="s">
        <v>465</v>
      </c>
      <c r="C273" s="480" t="s">
        <v>890</v>
      </c>
      <c r="D273" s="429" t="s">
        <v>1685</v>
      </c>
      <c r="E273" s="476">
        <v>196375</v>
      </c>
      <c r="F273" s="476" t="s">
        <v>890</v>
      </c>
      <c r="G273" s="476"/>
      <c r="H273" s="476"/>
      <c r="I273" s="476"/>
      <c r="J273" s="476" t="s">
        <v>807</v>
      </c>
      <c r="K273" s="476" t="s">
        <v>807</v>
      </c>
      <c r="L273" s="476" t="s">
        <v>807</v>
      </c>
      <c r="M273" s="476" t="s">
        <v>307</v>
      </c>
      <c r="N273" s="476">
        <v>20.308</v>
      </c>
      <c r="O273" s="476">
        <v>93.01</v>
      </c>
      <c r="P273" s="476" t="s">
        <v>808</v>
      </c>
      <c r="Q273" s="476"/>
      <c r="R273" s="482"/>
      <c r="S273" s="483"/>
      <c r="T273" s="502"/>
      <c r="U273" s="484"/>
      <c r="V273" s="476" t="s">
        <v>890</v>
      </c>
      <c r="W273" s="482"/>
    </row>
    <row r="274" spans="1:23" s="69" customFormat="1" ht="14.25" customHeight="1">
      <c r="A274" s="486" t="s">
        <v>2827</v>
      </c>
      <c r="B274" s="486" t="s">
        <v>465</v>
      </c>
      <c r="C274" s="487" t="s">
        <v>2960</v>
      </c>
      <c r="D274" s="481"/>
      <c r="E274" s="476">
        <v>196315</v>
      </c>
      <c r="F274" s="476"/>
      <c r="G274" s="476"/>
      <c r="H274" s="476"/>
      <c r="I274" s="476"/>
      <c r="J274" s="476" t="s">
        <v>2836</v>
      </c>
      <c r="K274" s="476" t="s">
        <v>2798</v>
      </c>
      <c r="L274" s="476" t="s">
        <v>2798</v>
      </c>
      <c r="M274" s="476"/>
      <c r="N274" s="476">
        <v>20.622760772705099</v>
      </c>
      <c r="O274" s="476">
        <v>92.954826354980497</v>
      </c>
      <c r="P274" s="476"/>
      <c r="Q274" s="476"/>
      <c r="R274" s="490"/>
      <c r="S274" s="483"/>
      <c r="T274" s="502">
        <v>43591</v>
      </c>
      <c r="U274" s="490"/>
      <c r="V274" s="476"/>
      <c r="W274" s="482"/>
    </row>
    <row r="275" spans="1:23" s="69" customFormat="1" ht="14.25" customHeight="1">
      <c r="A275" s="483" t="s">
        <v>2827</v>
      </c>
      <c r="B275" s="480" t="s">
        <v>465</v>
      </c>
      <c r="C275" s="480" t="s">
        <v>523</v>
      </c>
      <c r="D275" s="429" t="s">
        <v>1685</v>
      </c>
      <c r="E275" s="476">
        <v>196312</v>
      </c>
      <c r="F275" s="480"/>
      <c r="G275" s="476"/>
      <c r="H275" s="476"/>
      <c r="I275" s="476"/>
      <c r="J275" s="476" t="s">
        <v>807</v>
      </c>
      <c r="K275" s="476" t="s">
        <v>807</v>
      </c>
      <c r="L275" s="476" t="s">
        <v>807</v>
      </c>
      <c r="M275" s="476" t="s">
        <v>307</v>
      </c>
      <c r="N275" s="476">
        <v>20.63272095</v>
      </c>
      <c r="O275" s="480">
        <v>92.940132140000003</v>
      </c>
      <c r="P275" s="476" t="s">
        <v>808</v>
      </c>
      <c r="Q275" s="476" t="s">
        <v>789</v>
      </c>
      <c r="R275" s="486"/>
      <c r="S275" s="487"/>
      <c r="T275" s="502"/>
      <c r="U275" s="484"/>
      <c r="V275" s="476" t="s">
        <v>928</v>
      </c>
      <c r="W275" s="482"/>
    </row>
    <row r="276" spans="1:23" s="69" customFormat="1" ht="14.25" customHeight="1">
      <c r="A276" s="483" t="s">
        <v>2827</v>
      </c>
      <c r="B276" s="480" t="s">
        <v>465</v>
      </c>
      <c r="C276" s="480" t="s">
        <v>520</v>
      </c>
      <c r="D276" s="429" t="s">
        <v>1685</v>
      </c>
      <c r="E276" s="476">
        <v>196321</v>
      </c>
      <c r="F276" s="480"/>
      <c r="G276" s="476"/>
      <c r="H276" s="476"/>
      <c r="I276" s="476"/>
      <c r="J276" s="476" t="s">
        <v>807</v>
      </c>
      <c r="K276" s="476" t="s">
        <v>807</v>
      </c>
      <c r="L276" s="476" t="s">
        <v>807</v>
      </c>
      <c r="M276" s="476" t="s">
        <v>307</v>
      </c>
      <c r="N276" s="476">
        <v>20.59627914</v>
      </c>
      <c r="O276" s="476">
        <v>92.987480160000004</v>
      </c>
      <c r="P276" s="476" t="s">
        <v>808</v>
      </c>
      <c r="Q276" s="476" t="s">
        <v>789</v>
      </c>
      <c r="R276" s="482"/>
      <c r="S276" s="483"/>
      <c r="T276" s="502"/>
      <c r="U276" s="484"/>
      <c r="V276" s="476" t="s">
        <v>520</v>
      </c>
      <c r="W276" s="482"/>
    </row>
    <row r="277" spans="1:23" s="69" customFormat="1" ht="14.25" customHeight="1">
      <c r="A277" s="483" t="s">
        <v>2827</v>
      </c>
      <c r="B277" s="480" t="s">
        <v>465</v>
      </c>
      <c r="C277" s="480" t="s">
        <v>889</v>
      </c>
      <c r="D277" s="429" t="s">
        <v>1685</v>
      </c>
      <c r="E277" s="476">
        <v>196412</v>
      </c>
      <c r="F277" s="480" t="s">
        <v>889</v>
      </c>
      <c r="G277" s="476"/>
      <c r="H277" s="476"/>
      <c r="I277" s="476"/>
      <c r="J277" s="476" t="s">
        <v>807</v>
      </c>
      <c r="K277" s="476" t="s">
        <v>807</v>
      </c>
      <c r="L277" s="476" t="s">
        <v>807</v>
      </c>
      <c r="M277" s="476" t="s">
        <v>307</v>
      </c>
      <c r="N277" s="476">
        <v>20.242139999999999</v>
      </c>
      <c r="O277" s="476">
        <v>92.921729999999997</v>
      </c>
      <c r="P277" s="476" t="s">
        <v>808</v>
      </c>
      <c r="Q277" s="476"/>
      <c r="R277" s="486"/>
      <c r="S277" s="487"/>
      <c r="T277" s="502"/>
      <c r="U277" s="484"/>
      <c r="V277" s="476" t="s">
        <v>889</v>
      </c>
      <c r="W277" s="482"/>
    </row>
    <row r="278" spans="1:23" s="69" customFormat="1" ht="14.25" customHeight="1">
      <c r="A278" s="483" t="s">
        <v>2827</v>
      </c>
      <c r="B278" s="486" t="s">
        <v>465</v>
      </c>
      <c r="C278" s="487" t="s">
        <v>3009</v>
      </c>
      <c r="D278" s="481"/>
      <c r="E278" s="476">
        <v>196234</v>
      </c>
      <c r="F278" s="476"/>
      <c r="G278" s="476"/>
      <c r="H278" s="476"/>
      <c r="I278" s="476"/>
      <c r="J278" s="476" t="s">
        <v>2836</v>
      </c>
      <c r="K278" s="476" t="s">
        <v>2798</v>
      </c>
      <c r="L278" s="476" t="s">
        <v>2798</v>
      </c>
      <c r="M278" s="476"/>
      <c r="N278" s="476">
        <v>20.580810546875</v>
      </c>
      <c r="O278" s="476">
        <v>92.869346618652301</v>
      </c>
      <c r="P278" s="476"/>
      <c r="Q278" s="476"/>
      <c r="R278" s="490"/>
      <c r="S278" s="483"/>
      <c r="T278" s="502">
        <v>43591</v>
      </c>
      <c r="U278" s="490"/>
      <c r="V278" s="476" t="s">
        <v>2925</v>
      </c>
      <c r="W278" s="482"/>
    </row>
    <row r="279" spans="1:23" s="69" customFormat="1" ht="14.25" customHeight="1">
      <c r="A279" s="483" t="s">
        <v>2827</v>
      </c>
      <c r="B279" s="480" t="s">
        <v>465</v>
      </c>
      <c r="C279" s="480" t="s">
        <v>466</v>
      </c>
      <c r="D279" s="429" t="s">
        <v>1685</v>
      </c>
      <c r="E279" s="476">
        <v>196408</v>
      </c>
      <c r="F279" s="480"/>
      <c r="G279" s="476"/>
      <c r="H279" s="476"/>
      <c r="I279" s="476"/>
      <c r="J279" s="476" t="s">
        <v>807</v>
      </c>
      <c r="K279" s="476" t="s">
        <v>807</v>
      </c>
      <c r="L279" s="476" t="s">
        <v>807</v>
      </c>
      <c r="M279" s="476" t="s">
        <v>307</v>
      </c>
      <c r="N279" s="476">
        <v>20.268000000000001</v>
      </c>
      <c r="O279" s="476">
        <v>92.977999999999994</v>
      </c>
      <c r="P279" s="476" t="s">
        <v>808</v>
      </c>
      <c r="Q279" s="476" t="s">
        <v>789</v>
      </c>
      <c r="R279" s="482"/>
      <c r="S279" s="483"/>
      <c r="T279" s="502"/>
      <c r="U279" s="484"/>
      <c r="V279" s="476" t="s">
        <v>466</v>
      </c>
      <c r="W279" s="482"/>
    </row>
    <row r="280" spans="1:23" s="69" customFormat="1" ht="14.25" customHeight="1">
      <c r="A280" s="483" t="s">
        <v>2827</v>
      </c>
      <c r="B280" s="486" t="s">
        <v>465</v>
      </c>
      <c r="C280" s="487" t="s">
        <v>469</v>
      </c>
      <c r="D280" s="481" t="s">
        <v>1685</v>
      </c>
      <c r="E280" s="476">
        <v>196377</v>
      </c>
      <c r="F280" s="476"/>
      <c r="G280" s="476"/>
      <c r="H280" s="476"/>
      <c r="I280" s="476"/>
      <c r="J280" s="476" t="s">
        <v>807</v>
      </c>
      <c r="K280" s="476" t="s">
        <v>807</v>
      </c>
      <c r="L280" s="476" t="s">
        <v>807</v>
      </c>
      <c r="M280" s="476" t="s">
        <v>307</v>
      </c>
      <c r="N280" s="476">
        <v>20.292100000000001</v>
      </c>
      <c r="O280" s="476">
        <v>92.994100000000003</v>
      </c>
      <c r="P280" s="476" t="s">
        <v>808</v>
      </c>
      <c r="Q280" s="476" t="s">
        <v>789</v>
      </c>
      <c r="R280" s="490"/>
      <c r="S280" s="483"/>
      <c r="T280" s="502"/>
      <c r="U280" s="484"/>
      <c r="V280" s="476" t="s">
        <v>469</v>
      </c>
      <c r="W280" s="482"/>
    </row>
    <row r="281" spans="1:23" s="69" customFormat="1" ht="14.25" customHeight="1">
      <c r="A281" s="483" t="s">
        <v>2827</v>
      </c>
      <c r="B281" s="480" t="s">
        <v>465</v>
      </c>
      <c r="C281" s="480" t="s">
        <v>500</v>
      </c>
      <c r="D281" s="429" t="s">
        <v>1685</v>
      </c>
      <c r="E281" s="476">
        <v>196337</v>
      </c>
      <c r="F281" s="476"/>
      <c r="G281" s="476"/>
      <c r="H281" s="476"/>
      <c r="I281" s="476"/>
      <c r="J281" s="476" t="s">
        <v>807</v>
      </c>
      <c r="K281" s="476" t="s">
        <v>807</v>
      </c>
      <c r="L281" s="476" t="s">
        <v>807</v>
      </c>
      <c r="M281" s="476" t="s">
        <v>307</v>
      </c>
      <c r="N281" s="476">
        <v>20.509660719999999</v>
      </c>
      <c r="O281" s="476">
        <v>92.997230529999996</v>
      </c>
      <c r="P281" s="476" t="s">
        <v>808</v>
      </c>
      <c r="Q281" s="476" t="s">
        <v>789</v>
      </c>
      <c r="R281" s="482"/>
      <c r="S281" s="483"/>
      <c r="T281" s="502"/>
      <c r="U281" s="484"/>
      <c r="V281" s="476" t="s">
        <v>500</v>
      </c>
      <c r="W281" s="482"/>
    </row>
    <row r="282" spans="1:23" s="69" customFormat="1" ht="14.25" customHeight="1">
      <c r="A282" s="486" t="s">
        <v>2827</v>
      </c>
      <c r="B282" s="486" t="s">
        <v>465</v>
      </c>
      <c r="C282" s="487" t="s">
        <v>1763</v>
      </c>
      <c r="D282" s="481"/>
      <c r="E282" s="476">
        <v>196369</v>
      </c>
      <c r="F282" s="476"/>
      <c r="G282" s="476"/>
      <c r="H282" s="476"/>
      <c r="I282" s="476"/>
      <c r="J282" s="476" t="s">
        <v>2836</v>
      </c>
      <c r="K282" s="476" t="s">
        <v>2798</v>
      </c>
      <c r="L282" s="476" t="s">
        <v>2798</v>
      </c>
      <c r="M282" s="476"/>
      <c r="N282" s="476">
        <v>20.337610244751001</v>
      </c>
      <c r="O282" s="476">
        <v>92.969711303710895</v>
      </c>
      <c r="P282" s="476"/>
      <c r="Q282" s="476"/>
      <c r="R282" s="490"/>
      <c r="S282" s="483"/>
      <c r="T282" s="502">
        <v>43591</v>
      </c>
      <c r="U282" s="490"/>
      <c r="V282" s="476"/>
      <c r="W282" s="482"/>
    </row>
    <row r="283" spans="1:23" s="69" customFormat="1" ht="14.25" customHeight="1">
      <c r="A283" s="486" t="s">
        <v>2827</v>
      </c>
      <c r="B283" s="486" t="s">
        <v>465</v>
      </c>
      <c r="C283" s="487" t="s">
        <v>2956</v>
      </c>
      <c r="D283" s="481"/>
      <c r="E283" s="476">
        <v>196369</v>
      </c>
      <c r="F283" s="476"/>
      <c r="G283" s="476"/>
      <c r="H283" s="476"/>
      <c r="I283" s="476"/>
      <c r="J283" s="476" t="s">
        <v>2836</v>
      </c>
      <c r="K283" s="476" t="s">
        <v>2798</v>
      </c>
      <c r="L283" s="476" t="s">
        <v>2798</v>
      </c>
      <c r="M283" s="476"/>
      <c r="N283" s="476">
        <v>20.337610244751001</v>
      </c>
      <c r="O283" s="476">
        <v>92.969711303710895</v>
      </c>
      <c r="P283" s="476"/>
      <c r="Q283" s="476"/>
      <c r="R283" s="490"/>
      <c r="S283" s="483"/>
      <c r="T283" s="502">
        <v>43591</v>
      </c>
      <c r="U283" s="490"/>
      <c r="V283" s="476"/>
      <c r="W283" s="482"/>
    </row>
    <row r="284" spans="1:23" s="69" customFormat="1" ht="14.25" customHeight="1">
      <c r="A284" s="483" t="s">
        <v>2827</v>
      </c>
      <c r="B284" s="480" t="s">
        <v>465</v>
      </c>
      <c r="C284" s="480" t="s">
        <v>472</v>
      </c>
      <c r="D284" s="429" t="s">
        <v>1685</v>
      </c>
      <c r="E284" s="476">
        <v>196359</v>
      </c>
      <c r="F284" s="476" t="s">
        <v>472</v>
      </c>
      <c r="G284" s="476"/>
      <c r="H284" s="476"/>
      <c r="I284" s="476"/>
      <c r="J284" s="476" t="s">
        <v>807</v>
      </c>
      <c r="K284" s="476" t="s">
        <v>807</v>
      </c>
      <c r="L284" s="476" t="s">
        <v>807</v>
      </c>
      <c r="M284" s="476" t="s">
        <v>307</v>
      </c>
      <c r="N284" s="476">
        <v>20.361530299999998</v>
      </c>
      <c r="O284" s="476">
        <v>92.992073059999996</v>
      </c>
      <c r="P284" s="476" t="s">
        <v>808</v>
      </c>
      <c r="Q284" s="476" t="s">
        <v>789</v>
      </c>
      <c r="R284" s="482"/>
      <c r="S284" s="483"/>
      <c r="T284" s="502"/>
      <c r="U284" s="484"/>
      <c r="V284" s="476" t="s">
        <v>472</v>
      </c>
      <c r="W284" s="482"/>
    </row>
    <row r="285" spans="1:23" s="69" customFormat="1" ht="14.25" customHeight="1">
      <c r="A285" s="483" t="s">
        <v>2827</v>
      </c>
      <c r="B285" s="480" t="s">
        <v>465</v>
      </c>
      <c r="C285" s="480" t="s">
        <v>499</v>
      </c>
      <c r="D285" s="429" t="s">
        <v>1685</v>
      </c>
      <c r="E285" s="476">
        <v>196351</v>
      </c>
      <c r="F285" s="476"/>
      <c r="G285" s="476"/>
      <c r="H285" s="476"/>
      <c r="I285" s="476"/>
      <c r="J285" s="476" t="s">
        <v>807</v>
      </c>
      <c r="K285" s="476" t="s">
        <v>807</v>
      </c>
      <c r="L285" s="476" t="s">
        <v>807</v>
      </c>
      <c r="M285" s="476" t="s">
        <v>307</v>
      </c>
      <c r="N285" s="476">
        <v>20.50658035</v>
      </c>
      <c r="O285" s="476">
        <v>93.0434494</v>
      </c>
      <c r="P285" s="476" t="s">
        <v>808</v>
      </c>
      <c r="Q285" s="476" t="s">
        <v>789</v>
      </c>
      <c r="R285" s="482"/>
      <c r="S285" s="483"/>
      <c r="T285" s="502"/>
      <c r="U285" s="484"/>
      <c r="V285" s="476" t="s">
        <v>499</v>
      </c>
      <c r="W285" s="482"/>
    </row>
    <row r="286" spans="1:23" s="69" customFormat="1" ht="14.25" customHeight="1">
      <c r="A286" s="483" t="s">
        <v>2827</v>
      </c>
      <c r="B286" s="480" t="s">
        <v>465</v>
      </c>
      <c r="C286" s="480" t="s">
        <v>513</v>
      </c>
      <c r="D286" s="429" t="s">
        <v>1685</v>
      </c>
      <c r="E286" s="476">
        <v>196331</v>
      </c>
      <c r="F286" s="476" t="s">
        <v>513</v>
      </c>
      <c r="G286" s="476"/>
      <c r="H286" s="476"/>
      <c r="I286" s="476"/>
      <c r="J286" s="476" t="s">
        <v>807</v>
      </c>
      <c r="K286" s="476" t="s">
        <v>807</v>
      </c>
      <c r="L286" s="476" t="s">
        <v>807</v>
      </c>
      <c r="M286" s="476" t="s">
        <v>307</v>
      </c>
      <c r="N286" s="476">
        <v>20.564739230000001</v>
      </c>
      <c r="O286" s="476">
        <v>93.064781190000005</v>
      </c>
      <c r="P286" s="476" t="s">
        <v>808</v>
      </c>
      <c r="Q286" s="476" t="s">
        <v>789</v>
      </c>
      <c r="R286" s="482"/>
      <c r="S286" s="483"/>
      <c r="T286" s="502"/>
      <c r="U286" s="484"/>
      <c r="V286" s="476" t="s">
        <v>513</v>
      </c>
      <c r="W286" s="482"/>
    </row>
    <row r="287" spans="1:23" s="69" customFormat="1" ht="14.25" customHeight="1">
      <c r="A287" s="483" t="s">
        <v>2827</v>
      </c>
      <c r="B287" s="480" t="s">
        <v>465</v>
      </c>
      <c r="C287" s="480" t="s">
        <v>481</v>
      </c>
      <c r="D287" s="429" t="s">
        <v>1685</v>
      </c>
      <c r="E287" s="476">
        <v>196356</v>
      </c>
      <c r="F287" s="476"/>
      <c r="G287" s="476"/>
      <c r="H287" s="476"/>
      <c r="I287" s="476"/>
      <c r="J287" s="476" t="s">
        <v>807</v>
      </c>
      <c r="K287" s="476" t="s">
        <v>807</v>
      </c>
      <c r="L287" s="476" t="s">
        <v>807</v>
      </c>
      <c r="M287" s="476" t="s">
        <v>307</v>
      </c>
      <c r="N287" s="476">
        <v>20.424389999999999</v>
      </c>
      <c r="O287" s="476">
        <v>93.012960000000007</v>
      </c>
      <c r="P287" s="476" t="s">
        <v>808</v>
      </c>
      <c r="Q287" s="476" t="s">
        <v>789</v>
      </c>
      <c r="R287" s="482"/>
      <c r="S287" s="483"/>
      <c r="T287" s="502"/>
      <c r="U287" s="484"/>
      <c r="V287" s="476" t="s">
        <v>481</v>
      </c>
      <c r="W287" s="482"/>
    </row>
    <row r="288" spans="1:23" s="69" customFormat="1" ht="14.25" customHeight="1">
      <c r="A288" s="483" t="s">
        <v>2827</v>
      </c>
      <c r="B288" s="486" t="s">
        <v>465</v>
      </c>
      <c r="C288" s="487" t="s">
        <v>3008</v>
      </c>
      <c r="D288" s="481"/>
      <c r="E288" s="476">
        <v>196302</v>
      </c>
      <c r="F288" s="476"/>
      <c r="G288" s="476"/>
      <c r="H288" s="476"/>
      <c r="I288" s="476"/>
      <c r="J288" s="476" t="s">
        <v>2836</v>
      </c>
      <c r="K288" s="476" t="s">
        <v>2798</v>
      </c>
      <c r="L288" s="476" t="s">
        <v>2798</v>
      </c>
      <c r="M288" s="476"/>
      <c r="N288" s="476">
        <v>20.5702304840088</v>
      </c>
      <c r="O288" s="476">
        <v>92.977378845214801</v>
      </c>
      <c r="P288" s="476"/>
      <c r="Q288" s="476"/>
      <c r="R288" s="490"/>
      <c r="S288" s="483"/>
      <c r="T288" s="502">
        <v>43591</v>
      </c>
      <c r="U288" s="490"/>
      <c r="V288" s="454" t="s">
        <v>2924</v>
      </c>
      <c r="W288" s="482"/>
    </row>
    <row r="289" spans="1:23" s="69" customFormat="1" ht="14.25" customHeight="1">
      <c r="A289" s="483" t="s">
        <v>2827</v>
      </c>
      <c r="B289" s="480" t="s">
        <v>367</v>
      </c>
      <c r="C289" s="480" t="s">
        <v>369</v>
      </c>
      <c r="D289" s="429" t="s">
        <v>1686</v>
      </c>
      <c r="E289" s="476" t="s">
        <v>1362</v>
      </c>
      <c r="F289" s="476" t="s">
        <v>1689</v>
      </c>
      <c r="G289" s="476" t="s">
        <v>1691</v>
      </c>
      <c r="H289" s="476" t="s">
        <v>43</v>
      </c>
      <c r="I289" s="476"/>
      <c r="J289" s="476" t="s">
        <v>45</v>
      </c>
      <c r="K289" s="476" t="s">
        <v>45</v>
      </c>
      <c r="L289" s="476" t="s">
        <v>769</v>
      </c>
      <c r="M289" s="476" t="s">
        <v>307</v>
      </c>
      <c r="N289" s="476">
        <v>19.091054</v>
      </c>
      <c r="O289" s="476">
        <v>93.865170000000006</v>
      </c>
      <c r="P289" s="476" t="s">
        <v>770</v>
      </c>
      <c r="Q289" s="476" t="s">
        <v>789</v>
      </c>
      <c r="R289" s="482"/>
      <c r="S289" s="483"/>
      <c r="T289" s="502"/>
      <c r="U289" s="484"/>
      <c r="V289" s="476" t="s">
        <v>369</v>
      </c>
      <c r="W289" s="482"/>
    </row>
    <row r="290" spans="1:23" s="69" customFormat="1" ht="14.25" customHeight="1">
      <c r="A290" s="483" t="s">
        <v>2827</v>
      </c>
      <c r="B290" s="480" t="s">
        <v>367</v>
      </c>
      <c r="C290" s="480" t="s">
        <v>368</v>
      </c>
      <c r="D290" s="429" t="s">
        <v>1686</v>
      </c>
      <c r="E290" s="476" t="s">
        <v>1361</v>
      </c>
      <c r="F290" s="476" t="s">
        <v>1689</v>
      </c>
      <c r="G290" s="476" t="s">
        <v>1690</v>
      </c>
      <c r="H290" s="476" t="s">
        <v>43</v>
      </c>
      <c r="I290" s="476"/>
      <c r="J290" s="476" t="s">
        <v>45</v>
      </c>
      <c r="K290" s="476" t="s">
        <v>45</v>
      </c>
      <c r="L290" s="476" t="s">
        <v>769</v>
      </c>
      <c r="M290" s="476" t="s">
        <v>804</v>
      </c>
      <c r="N290" s="476">
        <v>19.088283000000001</v>
      </c>
      <c r="O290" s="476">
        <v>93.857592999999994</v>
      </c>
      <c r="P290" s="476" t="s">
        <v>770</v>
      </c>
      <c r="Q290" s="476" t="s">
        <v>789</v>
      </c>
      <c r="R290" s="482"/>
      <c r="S290" s="483"/>
      <c r="T290" s="502"/>
      <c r="U290" s="484" t="s">
        <v>1686</v>
      </c>
      <c r="V290" s="476" t="s">
        <v>805</v>
      </c>
      <c r="W290" s="482"/>
    </row>
    <row r="291" spans="1:23" s="69" customFormat="1" ht="14.25" customHeight="1">
      <c r="A291" s="483" t="s">
        <v>2827</v>
      </c>
      <c r="B291" s="486" t="s">
        <v>308</v>
      </c>
      <c r="C291" s="487" t="s">
        <v>461</v>
      </c>
      <c r="D291" s="481" t="s">
        <v>1685</v>
      </c>
      <c r="E291" s="476">
        <v>196143</v>
      </c>
      <c r="F291" s="476" t="s">
        <v>1693</v>
      </c>
      <c r="G291" s="476"/>
      <c r="H291" s="476"/>
      <c r="I291" s="476"/>
      <c r="J291" s="476" t="s">
        <v>807</v>
      </c>
      <c r="K291" s="476" t="s">
        <v>807</v>
      </c>
      <c r="L291" s="476" t="s">
        <v>807</v>
      </c>
      <c r="M291" s="476" t="s">
        <v>804</v>
      </c>
      <c r="N291" s="476">
        <v>20.235199999999999</v>
      </c>
      <c r="O291" s="476">
        <v>92.805000000000007</v>
      </c>
      <c r="P291" s="476" t="s">
        <v>808</v>
      </c>
      <c r="Q291" s="476" t="s">
        <v>789</v>
      </c>
      <c r="R291" s="490"/>
      <c r="S291" s="483"/>
      <c r="T291" s="502"/>
      <c r="U291" s="484"/>
      <c r="V291" s="476" t="s">
        <v>461</v>
      </c>
      <c r="W291" s="482"/>
    </row>
    <row r="292" spans="1:23" s="69" customFormat="1" ht="14.25" customHeight="1">
      <c r="A292" s="483" t="s">
        <v>2827</v>
      </c>
      <c r="B292" s="486" t="s">
        <v>308</v>
      </c>
      <c r="C292" s="487" t="s">
        <v>1693</v>
      </c>
      <c r="D292" s="481" t="s">
        <v>1904</v>
      </c>
      <c r="E292" s="476">
        <v>196138</v>
      </c>
      <c r="F292" s="476"/>
      <c r="G292" s="476"/>
      <c r="H292" s="476"/>
      <c r="I292" s="476"/>
      <c r="J292" s="476" t="s">
        <v>807</v>
      </c>
      <c r="K292" s="476" t="s">
        <v>807</v>
      </c>
      <c r="L292" s="476" t="s">
        <v>807</v>
      </c>
      <c r="M292" s="476"/>
      <c r="N292" s="476">
        <v>20.2351894378662</v>
      </c>
      <c r="O292" s="476">
        <v>92.790191650390597</v>
      </c>
      <c r="P292" s="476" t="s">
        <v>808</v>
      </c>
      <c r="Q292" s="476"/>
      <c r="R292" s="490"/>
      <c r="S292" s="483"/>
      <c r="T292" s="502"/>
      <c r="U292" s="484"/>
      <c r="V292" s="476"/>
      <c r="W292" s="482"/>
    </row>
    <row r="293" spans="1:23" s="69" customFormat="1" ht="14.25" customHeight="1">
      <c r="A293" s="483" t="s">
        <v>2827</v>
      </c>
      <c r="B293" s="486" t="s">
        <v>308</v>
      </c>
      <c r="C293" s="487" t="s">
        <v>462</v>
      </c>
      <c r="D293" s="481" t="s">
        <v>1685</v>
      </c>
      <c r="E293" s="476">
        <v>196152</v>
      </c>
      <c r="F293" s="476"/>
      <c r="G293" s="476"/>
      <c r="H293" s="476"/>
      <c r="I293" s="476"/>
      <c r="J293" s="476" t="s">
        <v>807</v>
      </c>
      <c r="K293" s="476" t="s">
        <v>807</v>
      </c>
      <c r="L293" s="476" t="s">
        <v>807</v>
      </c>
      <c r="M293" s="476" t="s">
        <v>307</v>
      </c>
      <c r="N293" s="476">
        <v>20.235199999999999</v>
      </c>
      <c r="O293" s="476">
        <v>92.790199999999999</v>
      </c>
      <c r="P293" s="476" t="s">
        <v>808</v>
      </c>
      <c r="Q293" s="476" t="s">
        <v>789</v>
      </c>
      <c r="R293" s="490"/>
      <c r="S293" s="483"/>
      <c r="T293" s="502"/>
      <c r="U293" s="484"/>
      <c r="V293" s="476" t="s">
        <v>462</v>
      </c>
      <c r="W293" s="482"/>
    </row>
    <row r="294" spans="1:23" s="69" customFormat="1" ht="14.25" customHeight="1">
      <c r="A294" s="483" t="s">
        <v>2827</v>
      </c>
      <c r="B294" s="486" t="s">
        <v>308</v>
      </c>
      <c r="C294" s="487" t="s">
        <v>1909</v>
      </c>
      <c r="D294" s="481" t="s">
        <v>1904</v>
      </c>
      <c r="E294" s="476"/>
      <c r="F294" s="476"/>
      <c r="G294" s="476"/>
      <c r="H294" s="476"/>
      <c r="I294" s="476"/>
      <c r="J294" s="476" t="s">
        <v>807</v>
      </c>
      <c r="K294" s="476" t="s">
        <v>807</v>
      </c>
      <c r="L294" s="476" t="s">
        <v>807</v>
      </c>
      <c r="M294" s="476"/>
      <c r="N294" s="476"/>
      <c r="O294" s="476"/>
      <c r="P294" s="476" t="s">
        <v>808</v>
      </c>
      <c r="Q294" s="476"/>
      <c r="R294" s="490"/>
      <c r="S294" s="483"/>
      <c r="T294" s="502"/>
      <c r="U294" s="484"/>
      <c r="V294" s="476"/>
      <c r="W294" s="482"/>
    </row>
    <row r="295" spans="1:23" s="69" customFormat="1" ht="14.25" customHeight="1">
      <c r="A295" s="483" t="s">
        <v>2827</v>
      </c>
      <c r="B295" s="486" t="s">
        <v>308</v>
      </c>
      <c r="C295" s="487" t="s">
        <v>426</v>
      </c>
      <c r="D295" s="481" t="s">
        <v>1685</v>
      </c>
      <c r="E295" s="476"/>
      <c r="F295" s="476"/>
      <c r="G295" s="476"/>
      <c r="H295" s="476"/>
      <c r="I295" s="476"/>
      <c r="J295" s="476" t="s">
        <v>807</v>
      </c>
      <c r="K295" s="476" t="s">
        <v>807</v>
      </c>
      <c r="L295" s="476" t="s">
        <v>807</v>
      </c>
      <c r="M295" s="476" t="s">
        <v>804</v>
      </c>
      <c r="N295" s="476"/>
      <c r="O295" s="476"/>
      <c r="P295" s="476" t="s">
        <v>808</v>
      </c>
      <c r="Q295" s="476" t="s">
        <v>789</v>
      </c>
      <c r="R295" s="490"/>
      <c r="S295" s="483"/>
      <c r="T295" s="502"/>
      <c r="U295" s="484"/>
      <c r="V295" s="476" t="s">
        <v>426</v>
      </c>
      <c r="W295" s="482"/>
    </row>
    <row r="296" spans="1:23" s="69" customFormat="1" ht="14.25" customHeight="1">
      <c r="A296" s="483" t="s">
        <v>2827</v>
      </c>
      <c r="B296" s="486" t="s">
        <v>308</v>
      </c>
      <c r="C296" s="487" t="s">
        <v>427</v>
      </c>
      <c r="D296" s="429" t="s">
        <v>2919</v>
      </c>
      <c r="E296" s="476" t="s">
        <v>1372</v>
      </c>
      <c r="F296" s="476" t="s">
        <v>1769</v>
      </c>
      <c r="G296" s="476" t="s">
        <v>1770</v>
      </c>
      <c r="H296" s="476" t="s">
        <v>43</v>
      </c>
      <c r="I296" s="476"/>
      <c r="J296" s="476" t="s">
        <v>45</v>
      </c>
      <c r="K296" s="476" t="s">
        <v>45</v>
      </c>
      <c r="L296" s="476" t="s">
        <v>803</v>
      </c>
      <c r="M296" s="476" t="s">
        <v>804</v>
      </c>
      <c r="N296" s="476">
        <v>20.128488999999998</v>
      </c>
      <c r="O296" s="476">
        <v>92.875814000000005</v>
      </c>
      <c r="P296" s="476" t="s">
        <v>770</v>
      </c>
      <c r="Q296" s="476" t="s">
        <v>789</v>
      </c>
      <c r="R296" s="482">
        <v>396</v>
      </c>
      <c r="S296" s="483">
        <v>2285</v>
      </c>
      <c r="T296" s="502"/>
      <c r="U296" s="484"/>
      <c r="V296" s="476" t="s">
        <v>849</v>
      </c>
      <c r="W296" s="482"/>
    </row>
    <row r="297" spans="1:23" s="69" customFormat="1" ht="14.25" customHeight="1">
      <c r="A297" s="483" t="s">
        <v>2827</v>
      </c>
      <c r="B297" s="486" t="s">
        <v>308</v>
      </c>
      <c r="C297" s="487" t="s">
        <v>874</v>
      </c>
      <c r="D297" s="481" t="s">
        <v>1686</v>
      </c>
      <c r="E297" s="476" t="s">
        <v>1386</v>
      </c>
      <c r="F297" s="476" t="s">
        <v>1692</v>
      </c>
      <c r="G297" s="476" t="s">
        <v>1718</v>
      </c>
      <c r="H297" s="476"/>
      <c r="I297" s="476"/>
      <c r="J297" s="476" t="s">
        <v>45</v>
      </c>
      <c r="K297" s="476" t="s">
        <v>45</v>
      </c>
      <c r="L297" s="476" t="s">
        <v>769</v>
      </c>
      <c r="M297" s="476" t="s">
        <v>804</v>
      </c>
      <c r="N297" s="476">
        <v>20.181238</v>
      </c>
      <c r="O297" s="476">
        <v>92.807418999999996</v>
      </c>
      <c r="P297" s="476" t="s">
        <v>770</v>
      </c>
      <c r="Q297" s="476" t="s">
        <v>789</v>
      </c>
      <c r="R297" s="490"/>
      <c r="S297" s="483"/>
      <c r="T297" s="502"/>
      <c r="U297" s="484"/>
      <c r="V297" s="476" t="s">
        <v>874</v>
      </c>
      <c r="W297" s="482"/>
    </row>
    <row r="298" spans="1:23" s="69" customFormat="1" ht="14.25" customHeight="1">
      <c r="A298" s="483" t="s">
        <v>2827</v>
      </c>
      <c r="B298" s="486" t="s">
        <v>308</v>
      </c>
      <c r="C298" s="487" t="s">
        <v>438</v>
      </c>
      <c r="D298" s="429" t="s">
        <v>2919</v>
      </c>
      <c r="E298" s="476" t="s">
        <v>1384</v>
      </c>
      <c r="F298" s="476" t="s">
        <v>1692</v>
      </c>
      <c r="G298" s="476" t="s">
        <v>1718</v>
      </c>
      <c r="H298" s="476" t="s">
        <v>43</v>
      </c>
      <c r="I298" s="476"/>
      <c r="J298" s="476" t="s">
        <v>45</v>
      </c>
      <c r="K298" s="476" t="s">
        <v>45</v>
      </c>
      <c r="L298" s="476" t="s">
        <v>803</v>
      </c>
      <c r="M298" s="476" t="s">
        <v>804</v>
      </c>
      <c r="N298" s="476">
        <v>20.179417000000001</v>
      </c>
      <c r="O298" s="476">
        <v>92.813028000000003</v>
      </c>
      <c r="P298" s="476" t="s">
        <v>770</v>
      </c>
      <c r="Q298" s="476"/>
      <c r="R298" s="482">
        <v>1013</v>
      </c>
      <c r="S298" s="483">
        <v>4774</v>
      </c>
      <c r="T298" s="502"/>
      <c r="U298" s="484" t="s">
        <v>871</v>
      </c>
      <c r="V298" s="476"/>
      <c r="W298" s="482"/>
    </row>
    <row r="299" spans="1:23" s="69" customFormat="1" ht="14.25" customHeight="1">
      <c r="A299" s="483" t="s">
        <v>2827</v>
      </c>
      <c r="B299" s="486" t="s">
        <v>308</v>
      </c>
      <c r="C299" s="487" t="s">
        <v>440</v>
      </c>
      <c r="D299" s="429" t="s">
        <v>2919</v>
      </c>
      <c r="E299" s="476" t="s">
        <v>1387</v>
      </c>
      <c r="F299" s="476" t="s">
        <v>1692</v>
      </c>
      <c r="G299" s="476" t="s">
        <v>1718</v>
      </c>
      <c r="H299" s="476" t="s">
        <v>43</v>
      </c>
      <c r="I299" s="476"/>
      <c r="J299" s="476" t="s">
        <v>45</v>
      </c>
      <c r="K299" s="476" t="s">
        <v>45</v>
      </c>
      <c r="L299" s="476" t="s">
        <v>803</v>
      </c>
      <c r="M299" s="476" t="s">
        <v>804</v>
      </c>
      <c r="N299" s="476">
        <v>20.181405999999999</v>
      </c>
      <c r="O299" s="476">
        <v>92.807552000000001</v>
      </c>
      <c r="P299" s="476" t="s">
        <v>770</v>
      </c>
      <c r="Q299" s="476"/>
      <c r="R299" s="482">
        <v>1334</v>
      </c>
      <c r="S299" s="483">
        <v>6643</v>
      </c>
      <c r="T299" s="502"/>
      <c r="U299" s="484" t="s">
        <v>871</v>
      </c>
      <c r="V299" s="476"/>
      <c r="W299" s="482"/>
    </row>
    <row r="300" spans="1:23" s="69" customFormat="1" ht="14.25" customHeight="1">
      <c r="A300" s="483" t="s">
        <v>2827</v>
      </c>
      <c r="B300" s="486" t="s">
        <v>308</v>
      </c>
      <c r="C300" s="487" t="s">
        <v>1102</v>
      </c>
      <c r="D300" s="481" t="s">
        <v>1685</v>
      </c>
      <c r="E300" s="476"/>
      <c r="F300" s="476"/>
      <c r="G300" s="476"/>
      <c r="H300" s="476"/>
      <c r="I300" s="476"/>
      <c r="J300" s="476" t="s">
        <v>807</v>
      </c>
      <c r="K300" s="476" t="s">
        <v>807</v>
      </c>
      <c r="L300" s="476" t="s">
        <v>807</v>
      </c>
      <c r="M300" s="476" t="s">
        <v>804</v>
      </c>
      <c r="N300" s="476"/>
      <c r="O300" s="476"/>
      <c r="P300" s="476" t="s">
        <v>808</v>
      </c>
      <c r="Q300" s="476" t="s">
        <v>771</v>
      </c>
      <c r="R300" s="490"/>
      <c r="S300" s="483"/>
      <c r="T300" s="502">
        <v>42804</v>
      </c>
      <c r="U300" s="484"/>
      <c r="V300" s="476" t="s">
        <v>1102</v>
      </c>
      <c r="W300" s="482"/>
    </row>
    <row r="301" spans="1:23" s="69" customFormat="1" ht="14.25" customHeight="1">
      <c r="A301" s="483" t="s">
        <v>2827</v>
      </c>
      <c r="B301" s="486" t="s">
        <v>308</v>
      </c>
      <c r="C301" s="487" t="s">
        <v>2823</v>
      </c>
      <c r="D301" s="429" t="s">
        <v>2919</v>
      </c>
      <c r="E301" s="476" t="s">
        <v>1390</v>
      </c>
      <c r="F301" s="476" t="s">
        <v>1692</v>
      </c>
      <c r="G301" s="476" t="s">
        <v>1718</v>
      </c>
      <c r="H301" s="476" t="s">
        <v>43</v>
      </c>
      <c r="I301" s="476"/>
      <c r="J301" s="476" t="s">
        <v>45</v>
      </c>
      <c r="K301" s="476" t="s">
        <v>45</v>
      </c>
      <c r="L301" s="476" t="s">
        <v>781</v>
      </c>
      <c r="M301" s="476" t="s">
        <v>804</v>
      </c>
      <c r="N301" s="476">
        <v>20.182987000000001</v>
      </c>
      <c r="O301" s="476">
        <v>92.804803000000007</v>
      </c>
      <c r="P301" s="476" t="s">
        <v>782</v>
      </c>
      <c r="Q301" s="476" t="s">
        <v>789</v>
      </c>
      <c r="R301" s="482">
        <v>41</v>
      </c>
      <c r="S301" s="483">
        <v>226</v>
      </c>
      <c r="T301" s="502"/>
      <c r="U301" s="484"/>
      <c r="V301" s="476" t="s">
        <v>876</v>
      </c>
      <c r="W301" s="482"/>
    </row>
    <row r="302" spans="1:23" s="69" customFormat="1" ht="14.25" customHeight="1">
      <c r="A302" s="483" t="s">
        <v>2827</v>
      </c>
      <c r="B302" s="486" t="s">
        <v>308</v>
      </c>
      <c r="C302" s="487" t="s">
        <v>428</v>
      </c>
      <c r="D302" s="481" t="s">
        <v>1685</v>
      </c>
      <c r="E302" s="476">
        <v>196200</v>
      </c>
      <c r="F302" s="476"/>
      <c r="G302" s="476"/>
      <c r="H302" s="476"/>
      <c r="I302" s="476"/>
      <c r="J302" s="476" t="s">
        <v>813</v>
      </c>
      <c r="K302" s="476" t="s">
        <v>807</v>
      </c>
      <c r="L302" s="476" t="s">
        <v>813</v>
      </c>
      <c r="M302" s="476" t="s">
        <v>804</v>
      </c>
      <c r="N302" s="476">
        <v>20.143859859999999</v>
      </c>
      <c r="O302" s="476">
        <v>92.867576600000007</v>
      </c>
      <c r="P302" s="476" t="s">
        <v>932</v>
      </c>
      <c r="Q302" s="476" t="s">
        <v>771</v>
      </c>
      <c r="R302" s="490"/>
      <c r="S302" s="483"/>
      <c r="T302" s="502">
        <v>42811</v>
      </c>
      <c r="U302" s="484"/>
      <c r="V302" s="476"/>
      <c r="W302" s="482"/>
    </row>
    <row r="303" spans="1:23" s="69" customFormat="1" ht="14.25" customHeight="1">
      <c r="A303" s="483" t="s">
        <v>2827</v>
      </c>
      <c r="B303" s="480" t="s">
        <v>308</v>
      </c>
      <c r="C303" s="480" t="s">
        <v>2766</v>
      </c>
      <c r="D303" s="429"/>
      <c r="E303" s="476">
        <v>196203</v>
      </c>
      <c r="F303" s="480"/>
      <c r="G303" s="476"/>
      <c r="H303" s="476"/>
      <c r="I303" s="476"/>
      <c r="J303" s="476" t="s">
        <v>807</v>
      </c>
      <c r="K303" s="480" t="s">
        <v>807</v>
      </c>
      <c r="L303" s="480" t="s">
        <v>807</v>
      </c>
      <c r="M303" s="476"/>
      <c r="N303" s="476">
        <v>20.142469406127901</v>
      </c>
      <c r="O303" s="476">
        <v>92.863967895507798</v>
      </c>
      <c r="P303" s="476"/>
      <c r="Q303" s="476"/>
      <c r="R303" s="486"/>
      <c r="S303" s="487"/>
      <c r="T303" s="502"/>
      <c r="U303" s="484"/>
      <c r="V303" s="476"/>
      <c r="W303" s="482"/>
    </row>
    <row r="304" spans="1:23" s="69" customFormat="1" ht="14.25" customHeight="1">
      <c r="A304" s="483" t="s">
        <v>2827</v>
      </c>
      <c r="B304" s="480" t="s">
        <v>308</v>
      </c>
      <c r="C304" s="480" t="s">
        <v>2753</v>
      </c>
      <c r="D304" s="429"/>
      <c r="E304" s="476">
        <v>196132</v>
      </c>
      <c r="F304" s="476"/>
      <c r="G304" s="476"/>
      <c r="H304" s="476"/>
      <c r="I304" s="476"/>
      <c r="J304" s="476" t="s">
        <v>807</v>
      </c>
      <c r="K304" s="476" t="s">
        <v>807</v>
      </c>
      <c r="L304" s="476" t="s">
        <v>807</v>
      </c>
      <c r="M304" s="476"/>
      <c r="N304" s="476"/>
      <c r="O304" s="476"/>
      <c r="P304" s="476"/>
      <c r="Q304" s="476"/>
      <c r="R304" s="482"/>
      <c r="S304" s="482"/>
      <c r="T304" s="502"/>
      <c r="U304" s="484"/>
      <c r="V304" s="476"/>
      <c r="W304" s="482"/>
    </row>
    <row r="305" spans="1:23" s="69" customFormat="1" ht="14.25" customHeight="1">
      <c r="A305" s="483" t="s">
        <v>2827</v>
      </c>
      <c r="B305" s="486" t="s">
        <v>308</v>
      </c>
      <c r="C305" s="487" t="s">
        <v>468</v>
      </c>
      <c r="D305" s="481" t="s">
        <v>1685</v>
      </c>
      <c r="E305" s="476">
        <v>196172</v>
      </c>
      <c r="F305" s="476"/>
      <c r="G305" s="476"/>
      <c r="H305" s="476"/>
      <c r="I305" s="476"/>
      <c r="J305" s="476" t="s">
        <v>813</v>
      </c>
      <c r="K305" s="476" t="s">
        <v>807</v>
      </c>
      <c r="L305" s="476" t="s">
        <v>813</v>
      </c>
      <c r="M305" s="476" t="s">
        <v>307</v>
      </c>
      <c r="N305" s="476">
        <v>20.286720280000001</v>
      </c>
      <c r="O305" s="476">
        <v>92.882843019999996</v>
      </c>
      <c r="P305" s="476" t="s">
        <v>932</v>
      </c>
      <c r="Q305" s="476" t="s">
        <v>771</v>
      </c>
      <c r="R305" s="490"/>
      <c r="S305" s="483"/>
      <c r="T305" s="502">
        <v>42811</v>
      </c>
      <c r="U305" s="484"/>
      <c r="V305" s="476"/>
      <c r="W305" s="482"/>
    </row>
    <row r="306" spans="1:23" s="69" customFormat="1" ht="14.25" customHeight="1">
      <c r="A306" s="483" t="s">
        <v>2827</v>
      </c>
      <c r="B306" s="486" t="s">
        <v>308</v>
      </c>
      <c r="C306" s="487" t="s">
        <v>437</v>
      </c>
      <c r="D306" s="429" t="s">
        <v>2919</v>
      </c>
      <c r="E306" s="476" t="s">
        <v>1382</v>
      </c>
      <c r="F306" s="476" t="s">
        <v>428</v>
      </c>
      <c r="G306" s="476" t="s">
        <v>1771</v>
      </c>
      <c r="H306" s="476" t="s">
        <v>43</v>
      </c>
      <c r="I306" s="476"/>
      <c r="J306" s="476" t="s">
        <v>45</v>
      </c>
      <c r="K306" s="476" t="s">
        <v>45</v>
      </c>
      <c r="L306" s="476" t="s">
        <v>803</v>
      </c>
      <c r="M306" s="476" t="s">
        <v>804</v>
      </c>
      <c r="N306" s="476">
        <v>20.16846</v>
      </c>
      <c r="O306" s="476">
        <v>92.827427</v>
      </c>
      <c r="P306" s="476" t="s">
        <v>770</v>
      </c>
      <c r="Q306" s="476" t="s">
        <v>789</v>
      </c>
      <c r="R306" s="482">
        <v>1983</v>
      </c>
      <c r="S306" s="483">
        <v>11391</v>
      </c>
      <c r="T306" s="502"/>
      <c r="U306" s="484"/>
      <c r="V306" s="476" t="s">
        <v>437</v>
      </c>
      <c r="W306" s="482"/>
    </row>
    <row r="307" spans="1:23" s="69" customFormat="1" ht="14.25" customHeight="1">
      <c r="A307" s="483" t="s">
        <v>2827</v>
      </c>
      <c r="B307" s="486" t="s">
        <v>308</v>
      </c>
      <c r="C307" s="487" t="s">
        <v>436</v>
      </c>
      <c r="D307" s="429" t="s">
        <v>2919</v>
      </c>
      <c r="E307" s="476" t="s">
        <v>1381</v>
      </c>
      <c r="F307" s="476" t="s">
        <v>428</v>
      </c>
      <c r="G307" s="476" t="s">
        <v>1771</v>
      </c>
      <c r="H307" s="476" t="s">
        <v>43</v>
      </c>
      <c r="I307" s="476"/>
      <c r="J307" s="476" t="s">
        <v>45</v>
      </c>
      <c r="K307" s="476" t="s">
        <v>45</v>
      </c>
      <c r="L307" s="476" t="s">
        <v>781</v>
      </c>
      <c r="M307" s="476" t="s">
        <v>804</v>
      </c>
      <c r="N307" s="476">
        <v>20.167421999999998</v>
      </c>
      <c r="O307" s="476">
        <v>92.830074999999994</v>
      </c>
      <c r="P307" s="476" t="s">
        <v>782</v>
      </c>
      <c r="Q307" s="476"/>
      <c r="R307" s="482">
        <v>518</v>
      </c>
      <c r="S307" s="483">
        <v>2951</v>
      </c>
      <c r="T307" s="502"/>
      <c r="U307" s="484" t="s">
        <v>866</v>
      </c>
      <c r="V307" s="476" t="s">
        <v>867</v>
      </c>
      <c r="W307" s="482"/>
    </row>
    <row r="308" spans="1:23" s="69" customFormat="1" ht="14.25" customHeight="1">
      <c r="A308" s="483" t="s">
        <v>2827</v>
      </c>
      <c r="B308" s="486" t="s">
        <v>308</v>
      </c>
      <c r="C308" s="487" t="s">
        <v>311</v>
      </c>
      <c r="D308" s="481" t="s">
        <v>1685</v>
      </c>
      <c r="E308" s="476"/>
      <c r="F308" s="476"/>
      <c r="G308" s="476"/>
      <c r="H308" s="476"/>
      <c r="I308" s="476"/>
      <c r="J308" s="476" t="s">
        <v>807</v>
      </c>
      <c r="K308" s="476" t="s">
        <v>807</v>
      </c>
      <c r="L308" s="476" t="s">
        <v>807</v>
      </c>
      <c r="M308" s="476" t="s">
        <v>804</v>
      </c>
      <c r="N308" s="476"/>
      <c r="O308" s="476"/>
      <c r="P308" s="476" t="s">
        <v>808</v>
      </c>
      <c r="Q308" s="476" t="s">
        <v>789</v>
      </c>
      <c r="R308" s="490"/>
      <c r="S308" s="483"/>
      <c r="T308" s="502"/>
      <c r="U308" s="484"/>
      <c r="V308" s="476" t="s">
        <v>311</v>
      </c>
      <c r="W308" s="482"/>
    </row>
    <row r="309" spans="1:23" s="69" customFormat="1" ht="14.25" customHeight="1">
      <c r="A309" s="483" t="s">
        <v>2827</v>
      </c>
      <c r="B309" s="480" t="s">
        <v>308</v>
      </c>
      <c r="C309" s="487" t="s">
        <v>2767</v>
      </c>
      <c r="D309" s="481"/>
      <c r="E309" s="476">
        <v>196202</v>
      </c>
      <c r="F309" s="476" t="s">
        <v>428</v>
      </c>
      <c r="G309" s="476"/>
      <c r="H309" s="476"/>
      <c r="I309" s="476"/>
      <c r="J309" s="476" t="s">
        <v>807</v>
      </c>
      <c r="K309" s="476" t="s">
        <v>807</v>
      </c>
      <c r="L309" s="480" t="s">
        <v>807</v>
      </c>
      <c r="M309" s="476"/>
      <c r="N309" s="476">
        <v>20.170469284057599</v>
      </c>
      <c r="O309" s="476">
        <v>92.8343505859375</v>
      </c>
      <c r="P309" s="476"/>
      <c r="Q309" s="476"/>
      <c r="R309" s="490"/>
      <c r="S309" s="483"/>
      <c r="T309" s="502"/>
      <c r="U309" s="484"/>
      <c r="V309" s="476"/>
      <c r="W309" s="482"/>
    </row>
    <row r="310" spans="1:23" s="69" customFormat="1" ht="14.25" customHeight="1">
      <c r="A310" s="483" t="s">
        <v>2827</v>
      </c>
      <c r="B310" s="480" t="s">
        <v>308</v>
      </c>
      <c r="C310" s="480" t="s">
        <v>1771</v>
      </c>
      <c r="D310" s="429"/>
      <c r="E310" s="476">
        <v>196206</v>
      </c>
      <c r="F310" s="480" t="s">
        <v>428</v>
      </c>
      <c r="G310" s="476"/>
      <c r="H310" s="476"/>
      <c r="I310" s="476"/>
      <c r="J310" s="476" t="s">
        <v>807</v>
      </c>
      <c r="K310" s="480" t="s">
        <v>807</v>
      </c>
      <c r="L310" s="480" t="s">
        <v>807</v>
      </c>
      <c r="M310" s="476"/>
      <c r="N310" s="476">
        <v>20.168970108032202</v>
      </c>
      <c r="O310" s="476">
        <v>92.826896667480497</v>
      </c>
      <c r="P310" s="476"/>
      <c r="Q310" s="476"/>
      <c r="R310" s="482"/>
      <c r="S310" s="483"/>
      <c r="T310" s="502"/>
      <c r="U310" s="484"/>
      <c r="V310" s="476"/>
      <c r="W310" s="482"/>
    </row>
    <row r="311" spans="1:23" s="69" customFormat="1" ht="14.25" customHeight="1">
      <c r="A311" s="483" t="s">
        <v>2827</v>
      </c>
      <c r="B311" s="486" t="s">
        <v>308</v>
      </c>
      <c r="C311" s="487" t="s">
        <v>1907</v>
      </c>
      <c r="D311" s="481" t="s">
        <v>1904</v>
      </c>
      <c r="E311" s="476"/>
      <c r="F311" s="476"/>
      <c r="G311" s="476"/>
      <c r="H311" s="476"/>
      <c r="I311" s="476"/>
      <c r="J311" s="476" t="s">
        <v>807</v>
      </c>
      <c r="K311" s="476" t="s">
        <v>807</v>
      </c>
      <c r="L311" s="476" t="s">
        <v>807</v>
      </c>
      <c r="M311" s="476"/>
      <c r="N311" s="476"/>
      <c r="O311" s="476"/>
      <c r="P311" s="476" t="s">
        <v>808</v>
      </c>
      <c r="Q311" s="476"/>
      <c r="R311" s="490"/>
      <c r="S311" s="483"/>
      <c r="T311" s="502"/>
      <c r="U311" s="484"/>
      <c r="V311" s="476"/>
      <c r="W311" s="482"/>
    </row>
    <row r="312" spans="1:23" s="69" customFormat="1" ht="14.25" customHeight="1">
      <c r="A312" s="483" t="s">
        <v>2827</v>
      </c>
      <c r="B312" s="486" t="s">
        <v>308</v>
      </c>
      <c r="C312" s="487" t="s">
        <v>456</v>
      </c>
      <c r="D312" s="481" t="s">
        <v>1685</v>
      </c>
      <c r="E312" s="476">
        <v>196140</v>
      </c>
      <c r="F312" s="476"/>
      <c r="G312" s="476"/>
      <c r="H312" s="476"/>
      <c r="I312" s="476"/>
      <c r="J312" s="476" t="s">
        <v>807</v>
      </c>
      <c r="K312" s="476" t="s">
        <v>807</v>
      </c>
      <c r="L312" s="476" t="s">
        <v>807</v>
      </c>
      <c r="M312" s="476" t="s">
        <v>307</v>
      </c>
      <c r="N312" s="476">
        <v>20.218299999999999</v>
      </c>
      <c r="O312" s="476">
        <v>92.805999999999997</v>
      </c>
      <c r="P312" s="476" t="s">
        <v>808</v>
      </c>
      <c r="Q312" s="476" t="s">
        <v>789</v>
      </c>
      <c r="R312" s="490"/>
      <c r="S312" s="483"/>
      <c r="T312" s="502"/>
      <c r="U312" s="484"/>
      <c r="V312" s="476" t="s">
        <v>456</v>
      </c>
      <c r="W312" s="482"/>
    </row>
    <row r="313" spans="1:23" s="69" customFormat="1" ht="14.25" customHeight="1">
      <c r="A313" s="483" t="s">
        <v>2827</v>
      </c>
      <c r="B313" s="486" t="s">
        <v>308</v>
      </c>
      <c r="C313" s="487" t="s">
        <v>859</v>
      </c>
      <c r="D313" s="481" t="s">
        <v>1686</v>
      </c>
      <c r="E313" s="476" t="s">
        <v>1377</v>
      </c>
      <c r="F313" s="476" t="s">
        <v>1717</v>
      </c>
      <c r="G313" s="476">
        <v>0</v>
      </c>
      <c r="H313" s="476"/>
      <c r="I313" s="476"/>
      <c r="J313" s="476" t="s">
        <v>45</v>
      </c>
      <c r="K313" s="476" t="s">
        <v>45</v>
      </c>
      <c r="L313" s="476" t="s">
        <v>769</v>
      </c>
      <c r="M313" s="476"/>
      <c r="N313" s="476">
        <v>20.153129</v>
      </c>
      <c r="O313" s="476">
        <v>92.897177999999997</v>
      </c>
      <c r="P313" s="476" t="s">
        <v>770</v>
      </c>
      <c r="Q313" s="476"/>
      <c r="R313" s="490"/>
      <c r="S313" s="483"/>
      <c r="T313" s="502"/>
      <c r="U313" s="484"/>
      <c r="V313" s="476" t="s">
        <v>860</v>
      </c>
      <c r="W313" s="482"/>
    </row>
    <row r="314" spans="1:23" s="69" customFormat="1" ht="14.25" customHeight="1">
      <c r="A314" s="483" t="s">
        <v>2827</v>
      </c>
      <c r="B314" s="480" t="s">
        <v>308</v>
      </c>
      <c r="C314" s="480" t="s">
        <v>2760</v>
      </c>
      <c r="D314" s="429"/>
      <c r="E314" s="480">
        <v>196126</v>
      </c>
      <c r="F314" s="476" t="s">
        <v>2762</v>
      </c>
      <c r="G314" s="476"/>
      <c r="H314" s="476"/>
      <c r="I314" s="476"/>
      <c r="J314" s="476" t="s">
        <v>807</v>
      </c>
      <c r="K314" s="480" t="s">
        <v>807</v>
      </c>
      <c r="L314" s="480" t="s">
        <v>807</v>
      </c>
      <c r="M314" s="476"/>
      <c r="N314" s="476">
        <v>20.199499130248999</v>
      </c>
      <c r="O314" s="476">
        <v>92.834327697753906</v>
      </c>
      <c r="P314" s="476"/>
      <c r="Q314" s="476"/>
      <c r="R314" s="482"/>
      <c r="S314" s="483"/>
      <c r="T314" s="502"/>
      <c r="U314" s="484"/>
      <c r="V314" s="476"/>
      <c r="W314" s="482"/>
    </row>
    <row r="315" spans="1:23" s="69" customFormat="1" ht="14.25" customHeight="1">
      <c r="A315" s="483" t="s">
        <v>2827</v>
      </c>
      <c r="B315" s="480" t="s">
        <v>308</v>
      </c>
      <c r="C315" s="480" t="s">
        <v>2761</v>
      </c>
      <c r="D315" s="429"/>
      <c r="E315" s="476">
        <v>196128</v>
      </c>
      <c r="F315" s="476" t="s">
        <v>2762</v>
      </c>
      <c r="G315" s="476"/>
      <c r="H315" s="476"/>
      <c r="I315" s="476"/>
      <c r="J315" s="476" t="s">
        <v>807</v>
      </c>
      <c r="K315" s="480" t="s">
        <v>807</v>
      </c>
      <c r="L315" s="480" t="s">
        <v>807</v>
      </c>
      <c r="M315" s="476"/>
      <c r="N315" s="476">
        <v>20.194370269775401</v>
      </c>
      <c r="O315" s="476">
        <v>92.834007263183594</v>
      </c>
      <c r="P315" s="476"/>
      <c r="Q315" s="476"/>
      <c r="R315" s="482"/>
      <c r="S315" s="482"/>
      <c r="T315" s="502"/>
      <c r="U315" s="484"/>
      <c r="V315" s="476"/>
      <c r="W315" s="482"/>
    </row>
    <row r="316" spans="1:23" s="69" customFormat="1" ht="14.25" customHeight="1">
      <c r="A316" s="483" t="s">
        <v>2827</v>
      </c>
      <c r="B316" s="486" t="s">
        <v>308</v>
      </c>
      <c r="C316" s="487" t="s">
        <v>448</v>
      </c>
      <c r="D316" s="481" t="s">
        <v>1685</v>
      </c>
      <c r="E316" s="480">
        <v>196128</v>
      </c>
      <c r="F316" s="476"/>
      <c r="G316" s="476"/>
      <c r="H316" s="476"/>
      <c r="I316" s="476"/>
      <c r="J316" s="476" t="s">
        <v>813</v>
      </c>
      <c r="K316" s="476" t="s">
        <v>807</v>
      </c>
      <c r="L316" s="476" t="s">
        <v>813</v>
      </c>
      <c r="M316" s="476" t="s">
        <v>804</v>
      </c>
      <c r="N316" s="476">
        <v>20.19437027</v>
      </c>
      <c r="O316" s="476">
        <v>92.834007260000007</v>
      </c>
      <c r="P316" s="476" t="s">
        <v>932</v>
      </c>
      <c r="Q316" s="476" t="s">
        <v>771</v>
      </c>
      <c r="R316" s="490"/>
      <c r="S316" s="483"/>
      <c r="T316" s="502">
        <v>42811</v>
      </c>
      <c r="U316" s="484"/>
      <c r="V316" s="476"/>
      <c r="W316" s="482"/>
    </row>
    <row r="317" spans="1:23" s="69" customFormat="1" ht="14.25" customHeight="1">
      <c r="A317" s="483" t="s">
        <v>2827</v>
      </c>
      <c r="B317" s="486" t="s">
        <v>308</v>
      </c>
      <c r="C317" s="487" t="s">
        <v>442</v>
      </c>
      <c r="D317" s="481" t="s">
        <v>1904</v>
      </c>
      <c r="E317" s="476">
        <v>196197</v>
      </c>
      <c r="F317" s="476"/>
      <c r="G317" s="476"/>
      <c r="H317" s="476"/>
      <c r="I317" s="476"/>
      <c r="J317" s="476" t="s">
        <v>807</v>
      </c>
      <c r="K317" s="476" t="s">
        <v>807</v>
      </c>
      <c r="L317" s="476" t="s">
        <v>807</v>
      </c>
      <c r="M317" s="476"/>
      <c r="N317" s="476">
        <v>20.183790210000002</v>
      </c>
      <c r="O317" s="476">
        <v>92.864143369999994</v>
      </c>
      <c r="P317" s="476" t="s">
        <v>808</v>
      </c>
      <c r="Q317" s="476"/>
      <c r="R317" s="490"/>
      <c r="S317" s="483"/>
      <c r="T317" s="502"/>
      <c r="U317" s="484"/>
      <c r="V317" s="476"/>
      <c r="W317" s="482"/>
    </row>
    <row r="318" spans="1:23" s="69" customFormat="1" ht="14.25" customHeight="1">
      <c r="A318" s="483" t="s">
        <v>2827</v>
      </c>
      <c r="B318" s="480" t="s">
        <v>308</v>
      </c>
      <c r="C318" s="480" t="s">
        <v>2754</v>
      </c>
      <c r="D318" s="429"/>
      <c r="E318" s="476">
        <v>196135</v>
      </c>
      <c r="F318" s="476"/>
      <c r="G318" s="476"/>
      <c r="H318" s="476"/>
      <c r="I318" s="476"/>
      <c r="J318" s="476" t="s">
        <v>807</v>
      </c>
      <c r="K318" s="476" t="s">
        <v>807</v>
      </c>
      <c r="L318" s="476" t="s">
        <v>807</v>
      </c>
      <c r="M318" s="476"/>
      <c r="N318" s="476"/>
      <c r="O318" s="476"/>
      <c r="P318" s="476"/>
      <c r="Q318" s="476"/>
      <c r="R318" s="482"/>
      <c r="S318" s="482"/>
      <c r="T318" s="502"/>
      <c r="U318" s="484"/>
      <c r="V318" s="476"/>
      <c r="W318" s="482"/>
    </row>
    <row r="319" spans="1:23" s="69" customFormat="1" ht="14.25" customHeight="1">
      <c r="A319" s="483" t="s">
        <v>2827</v>
      </c>
      <c r="B319" s="480" t="s">
        <v>308</v>
      </c>
      <c r="C319" s="480" t="s">
        <v>2755</v>
      </c>
      <c r="D319" s="429"/>
      <c r="E319" s="476">
        <v>196134</v>
      </c>
      <c r="F319" s="476" t="s">
        <v>2895</v>
      </c>
      <c r="G319" s="476"/>
      <c r="H319" s="476"/>
      <c r="I319" s="476"/>
      <c r="J319" s="476" t="s">
        <v>807</v>
      </c>
      <c r="K319" s="476" t="s">
        <v>807</v>
      </c>
      <c r="L319" s="476" t="s">
        <v>807</v>
      </c>
      <c r="M319" s="476"/>
      <c r="N319" s="476">
        <v>20.187860488891602</v>
      </c>
      <c r="O319" s="476">
        <v>92.903419494628906</v>
      </c>
      <c r="P319" s="476"/>
      <c r="Q319" s="476"/>
      <c r="R319" s="482"/>
      <c r="S319" s="483"/>
      <c r="T319" s="502"/>
      <c r="U319" s="484"/>
      <c r="V319" s="476"/>
      <c r="W319" s="482"/>
    </row>
    <row r="320" spans="1:23" s="69" customFormat="1" ht="14.25" customHeight="1">
      <c r="A320" s="483" t="s">
        <v>2827</v>
      </c>
      <c r="B320" s="480" t="s">
        <v>308</v>
      </c>
      <c r="C320" s="480" t="s">
        <v>2065</v>
      </c>
      <c r="D320" s="429"/>
      <c r="E320" s="476">
        <v>196160</v>
      </c>
      <c r="F320" s="476" t="s">
        <v>2065</v>
      </c>
      <c r="G320" s="476"/>
      <c r="H320" s="476"/>
      <c r="I320" s="476"/>
      <c r="J320" s="476" t="s">
        <v>807</v>
      </c>
      <c r="K320" s="480" t="s">
        <v>807</v>
      </c>
      <c r="L320" s="480" t="s">
        <v>807</v>
      </c>
      <c r="M320" s="476"/>
      <c r="N320" s="476">
        <v>20.246250152587901</v>
      </c>
      <c r="O320" s="476">
        <v>92.822059631347699</v>
      </c>
      <c r="P320" s="476"/>
      <c r="Q320" s="476"/>
      <c r="R320" s="482"/>
      <c r="S320" s="483"/>
      <c r="T320" s="502"/>
      <c r="U320" s="484"/>
      <c r="V320" s="476" t="s">
        <v>2902</v>
      </c>
      <c r="W320" s="482"/>
    </row>
    <row r="321" spans="1:23" s="69" customFormat="1" ht="14.25" customHeight="1">
      <c r="A321" s="483" t="s">
        <v>2827</v>
      </c>
      <c r="B321" s="486" t="s">
        <v>308</v>
      </c>
      <c r="C321" s="487" t="s">
        <v>2349</v>
      </c>
      <c r="D321" s="429" t="s">
        <v>2919</v>
      </c>
      <c r="E321" s="476" t="s">
        <v>1389</v>
      </c>
      <c r="F321" s="476" t="s">
        <v>1692</v>
      </c>
      <c r="G321" s="476" t="s">
        <v>1692</v>
      </c>
      <c r="H321" s="476" t="s">
        <v>43</v>
      </c>
      <c r="I321" s="476"/>
      <c r="J321" s="476" t="s">
        <v>45</v>
      </c>
      <c r="K321" s="476" t="s">
        <v>45</v>
      </c>
      <c r="L321" s="476" t="s">
        <v>803</v>
      </c>
      <c r="M321" s="476" t="s">
        <v>804</v>
      </c>
      <c r="N321" s="476">
        <v>20.181778000000001</v>
      </c>
      <c r="O321" s="476">
        <v>92.823166999999998</v>
      </c>
      <c r="P321" s="476" t="s">
        <v>770</v>
      </c>
      <c r="Q321" s="476" t="s">
        <v>789</v>
      </c>
      <c r="R321" s="482">
        <v>400</v>
      </c>
      <c r="S321" s="483">
        <v>2325</v>
      </c>
      <c r="T321" s="502"/>
      <c r="U321" s="484"/>
      <c r="V321" s="476" t="s">
        <v>875</v>
      </c>
      <c r="W321" s="482"/>
    </row>
    <row r="322" spans="1:23" s="69" customFormat="1" ht="14.25" customHeight="1">
      <c r="A322" s="483" t="s">
        <v>2827</v>
      </c>
      <c r="B322" s="486" t="s">
        <v>308</v>
      </c>
      <c r="C322" s="487" t="s">
        <v>2350</v>
      </c>
      <c r="D322" s="429" t="s">
        <v>2919</v>
      </c>
      <c r="E322" s="476" t="s">
        <v>1389</v>
      </c>
      <c r="F322" s="476" t="s">
        <v>1692</v>
      </c>
      <c r="G322" s="476">
        <v>0</v>
      </c>
      <c r="H322" s="476"/>
      <c r="I322" s="476"/>
      <c r="J322" s="476" t="s">
        <v>45</v>
      </c>
      <c r="K322" s="476" t="s">
        <v>45</v>
      </c>
      <c r="L322" s="476" t="s">
        <v>803</v>
      </c>
      <c r="M322" s="476" t="s">
        <v>804</v>
      </c>
      <c r="N322" s="476">
        <v>20.180194</v>
      </c>
      <c r="O322" s="476">
        <v>92.816638999999995</v>
      </c>
      <c r="P322" s="476" t="s">
        <v>770</v>
      </c>
      <c r="Q322" s="476" t="s">
        <v>789</v>
      </c>
      <c r="R322" s="482">
        <v>399</v>
      </c>
      <c r="S322" s="483">
        <v>2230</v>
      </c>
      <c r="T322" s="502">
        <v>43488</v>
      </c>
      <c r="U322" s="484"/>
      <c r="V322" s="476" t="s">
        <v>873</v>
      </c>
      <c r="W322" s="482"/>
    </row>
    <row r="323" spans="1:23" s="69" customFormat="1" ht="14.25" customHeight="1">
      <c r="A323" s="483" t="s">
        <v>2827</v>
      </c>
      <c r="B323" s="486" t="s">
        <v>308</v>
      </c>
      <c r="C323" s="487" t="s">
        <v>2769</v>
      </c>
      <c r="D323" s="481"/>
      <c r="E323" s="476">
        <v>196195</v>
      </c>
      <c r="F323" s="476"/>
      <c r="G323" s="476"/>
      <c r="H323" s="476"/>
      <c r="I323" s="476"/>
      <c r="J323" s="476" t="s">
        <v>807</v>
      </c>
      <c r="K323" s="476" t="s">
        <v>807</v>
      </c>
      <c r="L323" s="476" t="s">
        <v>807</v>
      </c>
      <c r="M323" s="476"/>
      <c r="N323" s="476">
        <v>20.172649383544901</v>
      </c>
      <c r="O323" s="476">
        <v>92.874351501464801</v>
      </c>
      <c r="P323" s="476"/>
      <c r="Q323" s="476"/>
      <c r="R323" s="490"/>
      <c r="S323" s="483"/>
      <c r="T323" s="502"/>
      <c r="U323" s="484"/>
      <c r="V323" s="476"/>
      <c r="W323" s="482"/>
    </row>
    <row r="324" spans="1:23" s="69" customFormat="1" ht="14.25" customHeight="1">
      <c r="A324" s="483" t="s">
        <v>2827</v>
      </c>
      <c r="B324" s="486" t="s">
        <v>308</v>
      </c>
      <c r="C324" s="487" t="s">
        <v>2770</v>
      </c>
      <c r="D324" s="481"/>
      <c r="E324" s="476"/>
      <c r="F324" s="476"/>
      <c r="G324" s="476"/>
      <c r="H324" s="476"/>
      <c r="I324" s="476"/>
      <c r="J324" s="476" t="s">
        <v>807</v>
      </c>
      <c r="K324" s="476" t="s">
        <v>807</v>
      </c>
      <c r="L324" s="476" t="s">
        <v>807</v>
      </c>
      <c r="M324" s="476"/>
      <c r="N324" s="476"/>
      <c r="O324" s="476"/>
      <c r="P324" s="476"/>
      <c r="Q324" s="476"/>
      <c r="R324" s="490"/>
      <c r="S324" s="483"/>
      <c r="T324" s="502"/>
      <c r="U324" s="484"/>
      <c r="V324" s="476"/>
      <c r="W324" s="482"/>
    </row>
    <row r="325" spans="1:23" s="69" customFormat="1" ht="14.25" customHeight="1">
      <c r="A325" s="483" t="s">
        <v>2827</v>
      </c>
      <c r="B325" s="486" t="s">
        <v>308</v>
      </c>
      <c r="C325" s="487" t="s">
        <v>2061</v>
      </c>
      <c r="D325" s="481"/>
      <c r="E325" s="476">
        <v>196180</v>
      </c>
      <c r="F325" s="476" t="s">
        <v>2062</v>
      </c>
      <c r="G325" s="476"/>
      <c r="H325" s="476"/>
      <c r="I325" s="476"/>
      <c r="J325" s="476" t="s">
        <v>807</v>
      </c>
      <c r="K325" s="476" t="s">
        <v>807</v>
      </c>
      <c r="L325" s="476" t="s">
        <v>807</v>
      </c>
      <c r="M325" s="476" t="s">
        <v>1943</v>
      </c>
      <c r="N325" s="476">
        <v>20.2315197</v>
      </c>
      <c r="O325" s="476">
        <v>92.876129149999997</v>
      </c>
      <c r="P325" s="476" t="s">
        <v>808</v>
      </c>
      <c r="Q325" s="476"/>
      <c r="R325" s="490"/>
      <c r="S325" s="483"/>
      <c r="T325" s="502">
        <v>43294</v>
      </c>
      <c r="U325" s="484"/>
      <c r="V325" s="476"/>
      <c r="W325" s="482"/>
    </row>
    <row r="326" spans="1:23" s="69" customFormat="1" ht="14.25" customHeight="1">
      <c r="A326" s="483" t="s">
        <v>2827</v>
      </c>
      <c r="B326" s="480" t="s">
        <v>308</v>
      </c>
      <c r="C326" s="480" t="s">
        <v>2759</v>
      </c>
      <c r="D326" s="429"/>
      <c r="E326" s="476">
        <v>196169</v>
      </c>
      <c r="F326" s="476" t="s">
        <v>2759</v>
      </c>
      <c r="G326" s="476"/>
      <c r="H326" s="476"/>
      <c r="I326" s="476"/>
      <c r="J326" s="476" t="s">
        <v>807</v>
      </c>
      <c r="K326" s="476" t="s">
        <v>807</v>
      </c>
      <c r="L326" s="476" t="s">
        <v>807</v>
      </c>
      <c r="M326" s="476"/>
      <c r="N326" s="476">
        <v>20.2375602722168</v>
      </c>
      <c r="O326" s="476">
        <v>92.861152648925795</v>
      </c>
      <c r="P326" s="476"/>
      <c r="Q326" s="476"/>
      <c r="R326" s="482"/>
      <c r="S326" s="483"/>
      <c r="T326" s="502"/>
      <c r="U326" s="484"/>
      <c r="V326" s="476"/>
      <c r="W326" s="482"/>
    </row>
    <row r="327" spans="1:23" s="69" customFormat="1" ht="14.25" customHeight="1">
      <c r="A327" s="483" t="s">
        <v>2827</v>
      </c>
      <c r="B327" s="480" t="s">
        <v>308</v>
      </c>
      <c r="C327" s="480" t="s">
        <v>2758</v>
      </c>
      <c r="D327" s="429"/>
      <c r="E327" s="476">
        <v>196170</v>
      </c>
      <c r="F327" s="476" t="s">
        <v>2759</v>
      </c>
      <c r="G327" s="476"/>
      <c r="H327" s="476"/>
      <c r="I327" s="476"/>
      <c r="J327" s="476" t="s">
        <v>807</v>
      </c>
      <c r="K327" s="476" t="s">
        <v>807</v>
      </c>
      <c r="L327" s="476" t="s">
        <v>807</v>
      </c>
      <c r="M327" s="476"/>
      <c r="N327" s="476">
        <v>20.248519897460898</v>
      </c>
      <c r="O327" s="476">
        <v>92.8621826171875</v>
      </c>
      <c r="P327" s="476"/>
      <c r="Q327" s="476"/>
      <c r="R327" s="482"/>
      <c r="S327" s="483"/>
      <c r="T327" s="502"/>
      <c r="U327" s="484"/>
      <c r="V327" s="476"/>
      <c r="W327" s="482"/>
    </row>
    <row r="328" spans="1:23" s="69" customFormat="1" ht="14.25" customHeight="1">
      <c r="A328" s="483" t="s">
        <v>2827</v>
      </c>
      <c r="B328" s="480" t="s">
        <v>308</v>
      </c>
      <c r="C328" s="480" t="s">
        <v>2757</v>
      </c>
      <c r="D328" s="429"/>
      <c r="E328" s="476">
        <v>196166</v>
      </c>
      <c r="F328" s="476" t="s">
        <v>467</v>
      </c>
      <c r="G328" s="476"/>
      <c r="H328" s="476"/>
      <c r="I328" s="476"/>
      <c r="J328" s="476" t="s">
        <v>807</v>
      </c>
      <c r="K328" s="476" t="s">
        <v>807</v>
      </c>
      <c r="L328" s="476" t="s">
        <v>807</v>
      </c>
      <c r="M328" s="476"/>
      <c r="N328" s="476">
        <v>20.2630290985107</v>
      </c>
      <c r="O328" s="476">
        <v>92.858856201171903</v>
      </c>
      <c r="P328" s="476"/>
      <c r="Q328" s="476"/>
      <c r="R328" s="482"/>
      <c r="S328" s="483"/>
      <c r="T328" s="502"/>
      <c r="U328" s="484"/>
      <c r="V328" s="476"/>
      <c r="W328" s="482"/>
    </row>
    <row r="329" spans="1:23" s="69" customFormat="1" ht="14.25" customHeight="1">
      <c r="A329" s="483" t="s">
        <v>2827</v>
      </c>
      <c r="B329" s="486" t="s">
        <v>308</v>
      </c>
      <c r="C329" s="487" t="s">
        <v>463</v>
      </c>
      <c r="D329" s="481" t="s">
        <v>1685</v>
      </c>
      <c r="E329" s="476">
        <v>196137</v>
      </c>
      <c r="F329" s="480" t="s">
        <v>463</v>
      </c>
      <c r="G329" s="476"/>
      <c r="H329" s="476"/>
      <c r="I329" s="476"/>
      <c r="J329" s="476" t="s">
        <v>807</v>
      </c>
      <c r="K329" s="476" t="s">
        <v>807</v>
      </c>
      <c r="L329" s="476" t="s">
        <v>807</v>
      </c>
      <c r="M329" s="476" t="s">
        <v>307</v>
      </c>
      <c r="N329" s="476">
        <v>20.245159149999999</v>
      </c>
      <c r="O329" s="476">
        <v>92.807418819999995</v>
      </c>
      <c r="P329" s="476" t="s">
        <v>808</v>
      </c>
      <c r="Q329" s="476" t="s">
        <v>789</v>
      </c>
      <c r="R329" s="490"/>
      <c r="S329" s="483"/>
      <c r="T329" s="502"/>
      <c r="U329" s="484"/>
      <c r="V329" s="476" t="s">
        <v>463</v>
      </c>
      <c r="W329" s="482"/>
    </row>
    <row r="330" spans="1:23" s="69" customFormat="1" ht="14.25" customHeight="1">
      <c r="A330" s="483" t="s">
        <v>2827</v>
      </c>
      <c r="B330" s="486" t="s">
        <v>308</v>
      </c>
      <c r="C330" s="487" t="s">
        <v>467</v>
      </c>
      <c r="D330" s="481" t="s">
        <v>1685</v>
      </c>
      <c r="E330" s="476">
        <v>196163</v>
      </c>
      <c r="F330" s="476"/>
      <c r="G330" s="476"/>
      <c r="H330" s="476"/>
      <c r="I330" s="476"/>
      <c r="J330" s="476" t="s">
        <v>813</v>
      </c>
      <c r="K330" s="476" t="s">
        <v>807</v>
      </c>
      <c r="L330" s="476" t="s">
        <v>813</v>
      </c>
      <c r="M330" s="476" t="s">
        <v>307</v>
      </c>
      <c r="N330" s="476">
        <v>20.27263069</v>
      </c>
      <c r="O330" s="476">
        <v>92.843261720000001</v>
      </c>
      <c r="P330" s="476" t="s">
        <v>932</v>
      </c>
      <c r="Q330" s="476" t="s">
        <v>771</v>
      </c>
      <c r="R330" s="490"/>
      <c r="S330" s="483"/>
      <c r="T330" s="502">
        <v>42811</v>
      </c>
      <c r="U330" s="484"/>
      <c r="V330" s="476"/>
      <c r="W330" s="482"/>
    </row>
    <row r="331" spans="1:23" s="69" customFormat="1" ht="14.25" customHeight="1">
      <c r="A331" s="483" t="s">
        <v>2827</v>
      </c>
      <c r="B331" s="480" t="s">
        <v>308</v>
      </c>
      <c r="C331" s="480" t="s">
        <v>2762</v>
      </c>
      <c r="D331" s="429"/>
      <c r="E331" s="476">
        <v>196125</v>
      </c>
      <c r="F331" s="476" t="s">
        <v>2762</v>
      </c>
      <c r="G331" s="476"/>
      <c r="H331" s="476"/>
      <c r="I331" s="476"/>
      <c r="J331" s="476" t="s">
        <v>807</v>
      </c>
      <c r="K331" s="480" t="s">
        <v>807</v>
      </c>
      <c r="L331" s="476" t="s">
        <v>807</v>
      </c>
      <c r="M331" s="476"/>
      <c r="N331" s="476">
        <v>20.2105598449707</v>
      </c>
      <c r="O331" s="476">
        <v>92.836456298828097</v>
      </c>
      <c r="P331" s="476"/>
      <c r="Q331" s="476"/>
      <c r="R331" s="482"/>
      <c r="S331" s="482"/>
      <c r="T331" s="502"/>
      <c r="U331" s="484"/>
      <c r="V331" s="476"/>
      <c r="W331" s="482"/>
    </row>
    <row r="332" spans="1:23" s="69" customFormat="1" ht="14.25" customHeight="1">
      <c r="A332" s="483" t="s">
        <v>2827</v>
      </c>
      <c r="B332" s="486" t="s">
        <v>308</v>
      </c>
      <c r="C332" s="487" t="s">
        <v>444</v>
      </c>
      <c r="D332" s="429" t="s">
        <v>2919</v>
      </c>
      <c r="E332" s="476" t="s">
        <v>1392</v>
      </c>
      <c r="F332" s="476" t="s">
        <v>428</v>
      </c>
      <c r="G332" s="476" t="s">
        <v>428</v>
      </c>
      <c r="H332" s="476" t="s">
        <v>43</v>
      </c>
      <c r="I332" s="476"/>
      <c r="J332" s="476" t="s">
        <v>45</v>
      </c>
      <c r="K332" s="476" t="s">
        <v>45</v>
      </c>
      <c r="L332" s="476" t="s">
        <v>803</v>
      </c>
      <c r="M332" s="476" t="s">
        <v>804</v>
      </c>
      <c r="N332" s="476">
        <v>20.185917</v>
      </c>
      <c r="O332" s="476">
        <v>92.831000000000003</v>
      </c>
      <c r="P332" s="476" t="s">
        <v>770</v>
      </c>
      <c r="Q332" s="476" t="s">
        <v>789</v>
      </c>
      <c r="R332" s="482">
        <v>621</v>
      </c>
      <c r="S332" s="483">
        <v>3379</v>
      </c>
      <c r="T332" s="502"/>
      <c r="U332" s="484"/>
      <c r="V332" s="476" t="s">
        <v>878</v>
      </c>
      <c r="W332" s="482"/>
    </row>
    <row r="333" spans="1:23" s="69" customFormat="1" ht="14.25" customHeight="1">
      <c r="A333" s="483" t="s">
        <v>2827</v>
      </c>
      <c r="B333" s="486" t="s">
        <v>308</v>
      </c>
      <c r="C333" s="487" t="s">
        <v>460</v>
      </c>
      <c r="D333" s="481" t="s">
        <v>1685</v>
      </c>
      <c r="E333" s="476">
        <v>196139</v>
      </c>
      <c r="F333" s="476"/>
      <c r="G333" s="476"/>
      <c r="H333" s="476"/>
      <c r="I333" s="476"/>
      <c r="J333" s="476" t="s">
        <v>807</v>
      </c>
      <c r="K333" s="476" t="s">
        <v>807</v>
      </c>
      <c r="L333" s="476" t="s">
        <v>807</v>
      </c>
      <c r="M333" s="476" t="s">
        <v>804</v>
      </c>
      <c r="N333" s="476">
        <v>20.2302</v>
      </c>
      <c r="O333" s="476">
        <v>92.817999999999998</v>
      </c>
      <c r="P333" s="476" t="s">
        <v>808</v>
      </c>
      <c r="Q333" s="476" t="s">
        <v>789</v>
      </c>
      <c r="R333" s="490"/>
      <c r="S333" s="483"/>
      <c r="T333" s="502"/>
      <c r="U333" s="484"/>
      <c r="V333" s="476" t="s">
        <v>460</v>
      </c>
      <c r="W333" s="482"/>
    </row>
    <row r="334" spans="1:23" s="69" customFormat="1" ht="14.25" customHeight="1">
      <c r="A334" s="483" t="s">
        <v>2827</v>
      </c>
      <c r="B334" s="486" t="s">
        <v>308</v>
      </c>
      <c r="C334" s="487" t="s">
        <v>1910</v>
      </c>
      <c r="D334" s="481" t="s">
        <v>1904</v>
      </c>
      <c r="E334" s="476"/>
      <c r="F334" s="476"/>
      <c r="G334" s="476"/>
      <c r="H334" s="476"/>
      <c r="I334" s="476"/>
      <c r="J334" s="476" t="s">
        <v>807</v>
      </c>
      <c r="K334" s="476" t="s">
        <v>807</v>
      </c>
      <c r="L334" s="476" t="s">
        <v>807</v>
      </c>
      <c r="M334" s="476"/>
      <c r="N334" s="476"/>
      <c r="O334" s="476"/>
      <c r="P334" s="476" t="s">
        <v>808</v>
      </c>
      <c r="Q334" s="476"/>
      <c r="R334" s="490"/>
      <c r="S334" s="483"/>
      <c r="T334" s="502"/>
      <c r="U334" s="484"/>
      <c r="V334" s="476"/>
      <c r="W334" s="482"/>
    </row>
    <row r="335" spans="1:23" s="69" customFormat="1" ht="14.25" customHeight="1">
      <c r="A335" s="483" t="s">
        <v>2827</v>
      </c>
      <c r="B335" s="486" t="s">
        <v>308</v>
      </c>
      <c r="C335" s="487" t="s">
        <v>1908</v>
      </c>
      <c r="D335" s="481" t="s">
        <v>1904</v>
      </c>
      <c r="E335" s="476"/>
      <c r="F335" s="476"/>
      <c r="G335" s="476"/>
      <c r="H335" s="476"/>
      <c r="I335" s="476"/>
      <c r="J335" s="476" t="s">
        <v>807</v>
      </c>
      <c r="K335" s="476" t="s">
        <v>807</v>
      </c>
      <c r="L335" s="476" t="s">
        <v>807</v>
      </c>
      <c r="M335" s="476"/>
      <c r="N335" s="476"/>
      <c r="O335" s="476"/>
      <c r="P335" s="476" t="s">
        <v>808</v>
      </c>
      <c r="Q335" s="476"/>
      <c r="R335" s="490"/>
      <c r="S335" s="483"/>
      <c r="T335" s="502"/>
      <c r="U335" s="484"/>
      <c r="V335" s="476"/>
      <c r="W335" s="482"/>
    </row>
    <row r="336" spans="1:23" s="69" customFormat="1" ht="14.25" customHeight="1">
      <c r="A336" s="483" t="s">
        <v>2827</v>
      </c>
      <c r="B336" s="486" t="s">
        <v>308</v>
      </c>
      <c r="C336" s="487" t="s">
        <v>2068</v>
      </c>
      <c r="D336" s="481"/>
      <c r="E336" s="476"/>
      <c r="F336" s="476"/>
      <c r="G336" s="476"/>
      <c r="H336" s="476"/>
      <c r="I336" s="476"/>
      <c r="J336" s="476" t="s">
        <v>807</v>
      </c>
      <c r="K336" s="476" t="s">
        <v>807</v>
      </c>
      <c r="L336" s="476" t="s">
        <v>807</v>
      </c>
      <c r="M336" s="476"/>
      <c r="N336" s="476"/>
      <c r="O336" s="476"/>
      <c r="P336" s="476" t="s">
        <v>808</v>
      </c>
      <c r="Q336" s="476"/>
      <c r="R336" s="490"/>
      <c r="S336" s="483"/>
      <c r="T336" s="502">
        <v>43297</v>
      </c>
      <c r="U336" s="484"/>
      <c r="V336" s="476"/>
      <c r="W336" s="482"/>
    </row>
    <row r="337" spans="1:23" s="69" customFormat="1" ht="14.25" customHeight="1">
      <c r="A337" s="483" t="s">
        <v>2827</v>
      </c>
      <c r="B337" s="486" t="s">
        <v>308</v>
      </c>
      <c r="C337" s="487" t="s">
        <v>455</v>
      </c>
      <c r="D337" s="481" t="s">
        <v>1685</v>
      </c>
      <c r="E337" s="476">
        <v>196144</v>
      </c>
      <c r="F337" s="476"/>
      <c r="G337" s="476"/>
      <c r="H337" s="476"/>
      <c r="I337" s="476"/>
      <c r="J337" s="476" t="s">
        <v>807</v>
      </c>
      <c r="K337" s="476" t="s">
        <v>807</v>
      </c>
      <c r="L337" s="476" t="s">
        <v>807</v>
      </c>
      <c r="M337" s="476" t="s">
        <v>804</v>
      </c>
      <c r="N337" s="476">
        <v>20.212700000000002</v>
      </c>
      <c r="O337" s="476">
        <v>92.820800000000006</v>
      </c>
      <c r="P337" s="476" t="s">
        <v>808</v>
      </c>
      <c r="Q337" s="476" t="s">
        <v>789</v>
      </c>
      <c r="R337" s="490"/>
      <c r="S337" s="483"/>
      <c r="T337" s="502"/>
      <c r="U337" s="484"/>
      <c r="V337" s="476" t="s">
        <v>455</v>
      </c>
      <c r="W337" s="482"/>
    </row>
    <row r="338" spans="1:23" s="69" customFormat="1" ht="14.25" customHeight="1">
      <c r="A338" s="483" t="s">
        <v>2827</v>
      </c>
      <c r="B338" s="486" t="s">
        <v>308</v>
      </c>
      <c r="C338" s="487" t="s">
        <v>884</v>
      </c>
      <c r="D338" s="481" t="s">
        <v>1685</v>
      </c>
      <c r="E338" s="476">
        <v>196145</v>
      </c>
      <c r="F338" s="476"/>
      <c r="G338" s="476"/>
      <c r="H338" s="476"/>
      <c r="I338" s="476"/>
      <c r="J338" s="476" t="s">
        <v>807</v>
      </c>
      <c r="K338" s="476" t="s">
        <v>807</v>
      </c>
      <c r="L338" s="476" t="s">
        <v>807</v>
      </c>
      <c r="M338" s="476" t="s">
        <v>804</v>
      </c>
      <c r="N338" s="476">
        <v>20.219509120000001</v>
      </c>
      <c r="O338" s="476">
        <v>92.811332699999994</v>
      </c>
      <c r="P338" s="476" t="s">
        <v>808</v>
      </c>
      <c r="Q338" s="476" t="s">
        <v>771</v>
      </c>
      <c r="R338" s="490"/>
      <c r="S338" s="483"/>
      <c r="T338" s="502">
        <v>42811</v>
      </c>
      <c r="U338" s="484"/>
      <c r="V338" s="476"/>
      <c r="W338" s="482"/>
    </row>
    <row r="339" spans="1:23" s="69" customFormat="1" ht="14.25" customHeight="1">
      <c r="A339" s="483" t="s">
        <v>2827</v>
      </c>
      <c r="B339" s="486" t="s">
        <v>308</v>
      </c>
      <c r="C339" s="487" t="s">
        <v>464</v>
      </c>
      <c r="D339" s="481" t="s">
        <v>1685</v>
      </c>
      <c r="E339" s="476">
        <v>196178</v>
      </c>
      <c r="F339" s="476"/>
      <c r="G339" s="476"/>
      <c r="H339" s="476"/>
      <c r="I339" s="476"/>
      <c r="J339" s="476" t="s">
        <v>813</v>
      </c>
      <c r="K339" s="476" t="s">
        <v>807</v>
      </c>
      <c r="L339" s="476" t="s">
        <v>813</v>
      </c>
      <c r="M339" s="476" t="s">
        <v>307</v>
      </c>
      <c r="N339" s="476">
        <v>20.26078987</v>
      </c>
      <c r="O339" s="476">
        <v>92.878593440000003</v>
      </c>
      <c r="P339" s="476" t="s">
        <v>932</v>
      </c>
      <c r="Q339" s="476" t="s">
        <v>771</v>
      </c>
      <c r="R339" s="490"/>
      <c r="S339" s="483"/>
      <c r="T339" s="502">
        <v>42811</v>
      </c>
      <c r="U339" s="484"/>
      <c r="V339" s="476"/>
      <c r="W339" s="482"/>
    </row>
    <row r="340" spans="1:23" s="69" customFormat="1" ht="14.25" customHeight="1">
      <c r="A340" s="483" t="s">
        <v>2827</v>
      </c>
      <c r="B340" s="486" t="s">
        <v>308</v>
      </c>
      <c r="C340" s="487" t="s">
        <v>454</v>
      </c>
      <c r="D340" s="429" t="s">
        <v>2919</v>
      </c>
      <c r="E340" s="476" t="s">
        <v>1395</v>
      </c>
      <c r="F340" s="476" t="s">
        <v>1773</v>
      </c>
      <c r="G340" s="476" t="s">
        <v>453</v>
      </c>
      <c r="H340" s="476" t="s">
        <v>43</v>
      </c>
      <c r="I340" s="476"/>
      <c r="J340" s="476" t="s">
        <v>45</v>
      </c>
      <c r="K340" s="476" t="s">
        <v>45</v>
      </c>
      <c r="L340" s="476" t="s">
        <v>803</v>
      </c>
      <c r="M340" s="476" t="s">
        <v>804</v>
      </c>
      <c r="N340" s="476">
        <v>20.206778</v>
      </c>
      <c r="O340" s="476">
        <v>92.774193999999994</v>
      </c>
      <c r="P340" s="476" t="s">
        <v>770</v>
      </c>
      <c r="Q340" s="476" t="s">
        <v>789</v>
      </c>
      <c r="R340" s="482">
        <v>729</v>
      </c>
      <c r="S340" s="483">
        <v>4175</v>
      </c>
      <c r="T340" s="502"/>
      <c r="U340" s="484"/>
      <c r="V340" s="476" t="s">
        <v>454</v>
      </c>
      <c r="W340" s="482"/>
    </row>
    <row r="341" spans="1:23" s="69" customFormat="1" ht="14.25" customHeight="1">
      <c r="A341" s="483" t="s">
        <v>2827</v>
      </c>
      <c r="B341" s="486" t="s">
        <v>308</v>
      </c>
      <c r="C341" s="487" t="s">
        <v>449</v>
      </c>
      <c r="D341" s="481" t="s">
        <v>1685</v>
      </c>
      <c r="E341" s="476">
        <v>196156</v>
      </c>
      <c r="F341" s="476" t="s">
        <v>1773</v>
      </c>
      <c r="G341" s="476"/>
      <c r="H341" s="476"/>
      <c r="I341" s="476"/>
      <c r="J341" s="476" t="s">
        <v>807</v>
      </c>
      <c r="K341" s="476" t="s">
        <v>807</v>
      </c>
      <c r="L341" s="476" t="s">
        <v>807</v>
      </c>
      <c r="M341" s="476" t="s">
        <v>804</v>
      </c>
      <c r="N341" s="476">
        <v>20.197549819999999</v>
      </c>
      <c r="O341" s="476">
        <v>92.785682679999994</v>
      </c>
      <c r="P341" s="476" t="s">
        <v>808</v>
      </c>
      <c r="Q341" s="476" t="s">
        <v>789</v>
      </c>
      <c r="R341" s="490"/>
      <c r="S341" s="483"/>
      <c r="T341" s="502"/>
      <c r="U341" s="484"/>
      <c r="V341" s="476" t="s">
        <v>449</v>
      </c>
      <c r="W341" s="482"/>
    </row>
    <row r="342" spans="1:23" s="69" customFormat="1" ht="14.25" customHeight="1">
      <c r="A342" s="483" t="s">
        <v>2827</v>
      </c>
      <c r="B342" s="486" t="s">
        <v>308</v>
      </c>
      <c r="C342" s="487" t="s">
        <v>445</v>
      </c>
      <c r="D342" s="429" t="s">
        <v>2919</v>
      </c>
      <c r="E342" s="476" t="s">
        <v>1393</v>
      </c>
      <c r="F342" s="476" t="s">
        <v>1692</v>
      </c>
      <c r="G342" s="476" t="s">
        <v>1718</v>
      </c>
      <c r="H342" s="476" t="s">
        <v>43</v>
      </c>
      <c r="I342" s="476"/>
      <c r="J342" s="476" t="s">
        <v>45</v>
      </c>
      <c r="K342" s="476" t="s">
        <v>45</v>
      </c>
      <c r="L342" s="476" t="s">
        <v>803</v>
      </c>
      <c r="M342" s="476" t="s">
        <v>804</v>
      </c>
      <c r="N342" s="476">
        <v>20.18994</v>
      </c>
      <c r="O342" s="476">
        <v>92.798880999999994</v>
      </c>
      <c r="P342" s="476" t="s">
        <v>770</v>
      </c>
      <c r="Q342" s="476" t="s">
        <v>789</v>
      </c>
      <c r="R342" s="482">
        <v>2728</v>
      </c>
      <c r="S342" s="483">
        <v>13812</v>
      </c>
      <c r="T342" s="502"/>
      <c r="U342" s="484"/>
      <c r="V342" s="476" t="s">
        <v>879</v>
      </c>
      <c r="W342" s="482"/>
    </row>
    <row r="343" spans="1:23" s="69" customFormat="1" ht="14.25" customHeight="1">
      <c r="A343" s="483" t="s">
        <v>2827</v>
      </c>
      <c r="B343" s="486" t="s">
        <v>308</v>
      </c>
      <c r="C343" s="487" t="s">
        <v>443</v>
      </c>
      <c r="D343" s="429" t="s">
        <v>2919</v>
      </c>
      <c r="E343" s="476" t="s">
        <v>1391</v>
      </c>
      <c r="F343" s="476" t="s">
        <v>1692</v>
      </c>
      <c r="G343" s="476" t="s">
        <v>1718</v>
      </c>
      <c r="H343" s="476" t="s">
        <v>43</v>
      </c>
      <c r="I343" s="476"/>
      <c r="J343" s="476" t="s">
        <v>45</v>
      </c>
      <c r="K343" s="476" t="s">
        <v>45</v>
      </c>
      <c r="L343" s="476" t="s">
        <v>803</v>
      </c>
      <c r="M343" s="476" t="s">
        <v>804</v>
      </c>
      <c r="N343" s="476">
        <v>20.185092000000001</v>
      </c>
      <c r="O343" s="476">
        <v>92.802295999999998</v>
      </c>
      <c r="P343" s="476" t="s">
        <v>770</v>
      </c>
      <c r="Q343" s="476" t="s">
        <v>789</v>
      </c>
      <c r="R343" s="482">
        <v>2259</v>
      </c>
      <c r="S343" s="483">
        <v>11375</v>
      </c>
      <c r="T343" s="502"/>
      <c r="U343" s="484"/>
      <c r="V343" s="476" t="s">
        <v>877</v>
      </c>
      <c r="W343" s="482"/>
    </row>
    <row r="344" spans="1:23" s="69" customFormat="1" ht="14.25" customHeight="1">
      <c r="A344" s="483" t="s">
        <v>2827</v>
      </c>
      <c r="B344" s="486" t="s">
        <v>308</v>
      </c>
      <c r="C344" s="487" t="s">
        <v>453</v>
      </c>
      <c r="D344" s="481" t="s">
        <v>1685</v>
      </c>
      <c r="E344" s="476">
        <v>196158</v>
      </c>
      <c r="F344" s="476"/>
      <c r="G344" s="476"/>
      <c r="H344" s="476"/>
      <c r="I344" s="476"/>
      <c r="J344" s="476" t="s">
        <v>813</v>
      </c>
      <c r="K344" s="476" t="s">
        <v>807</v>
      </c>
      <c r="L344" s="476" t="s">
        <v>813</v>
      </c>
      <c r="M344" s="476" t="s">
        <v>804</v>
      </c>
      <c r="N344" s="476">
        <v>20.2043705</v>
      </c>
      <c r="O344" s="476">
        <v>92.780357359999996</v>
      </c>
      <c r="P344" s="476" t="s">
        <v>932</v>
      </c>
      <c r="Q344" s="476" t="s">
        <v>771</v>
      </c>
      <c r="R344" s="490"/>
      <c r="S344" s="483"/>
      <c r="T344" s="502">
        <v>42811</v>
      </c>
      <c r="U344" s="484"/>
      <c r="V344" s="476"/>
      <c r="W344" s="482"/>
    </row>
    <row r="345" spans="1:23" s="69" customFormat="1" ht="14.25" customHeight="1">
      <c r="A345" s="483" t="s">
        <v>2827</v>
      </c>
      <c r="B345" s="480" t="s">
        <v>308</v>
      </c>
      <c r="C345" s="480" t="s">
        <v>2764</v>
      </c>
      <c r="D345" s="429"/>
      <c r="E345" s="476">
        <v>220593</v>
      </c>
      <c r="F345" s="480" t="s">
        <v>463</v>
      </c>
      <c r="G345" s="476"/>
      <c r="H345" s="476"/>
      <c r="I345" s="476"/>
      <c r="J345" s="476" t="s">
        <v>807</v>
      </c>
      <c r="K345" s="480" t="s">
        <v>807</v>
      </c>
      <c r="L345" s="480" t="s">
        <v>807</v>
      </c>
      <c r="M345" s="476"/>
      <c r="N345" s="476">
        <v>20.261358000000001</v>
      </c>
      <c r="O345" s="476">
        <v>92.805672999999999</v>
      </c>
      <c r="P345" s="476"/>
      <c r="Q345" s="476"/>
      <c r="R345" s="482"/>
      <c r="S345" s="482"/>
      <c r="T345" s="502"/>
      <c r="U345" s="484"/>
      <c r="V345" s="476"/>
      <c r="W345" s="482"/>
    </row>
    <row r="346" spans="1:23" s="69" customFormat="1" ht="14.25" customHeight="1">
      <c r="A346" s="483" t="s">
        <v>2827</v>
      </c>
      <c r="B346" s="486" t="s">
        <v>308</v>
      </c>
      <c r="C346" s="487" t="s">
        <v>848</v>
      </c>
      <c r="D346" s="481" t="s">
        <v>1685</v>
      </c>
      <c r="E346" s="476">
        <v>196142</v>
      </c>
      <c r="F346" s="476"/>
      <c r="G346" s="476"/>
      <c r="H346" s="476"/>
      <c r="I346" s="476"/>
      <c r="J346" s="476" t="s">
        <v>807</v>
      </c>
      <c r="K346" s="476" t="s">
        <v>807</v>
      </c>
      <c r="L346" s="476" t="s">
        <v>807</v>
      </c>
      <c r="M346" s="476" t="s">
        <v>804</v>
      </c>
      <c r="N346" s="476">
        <v>20.122990000000001</v>
      </c>
      <c r="O346" s="476">
        <v>92.474298000000005</v>
      </c>
      <c r="P346" s="476" t="s">
        <v>808</v>
      </c>
      <c r="Q346" s="476"/>
      <c r="R346" s="490"/>
      <c r="S346" s="483"/>
      <c r="T346" s="502"/>
      <c r="U346" s="484"/>
      <c r="V346" s="476" t="s">
        <v>848</v>
      </c>
      <c r="W346" s="482"/>
    </row>
    <row r="347" spans="1:23" s="69" customFormat="1" ht="14.25" customHeight="1">
      <c r="A347" s="483" t="s">
        <v>2827</v>
      </c>
      <c r="B347" s="486" t="s">
        <v>308</v>
      </c>
      <c r="C347" s="487" t="s">
        <v>850</v>
      </c>
      <c r="D347" s="481" t="s">
        <v>1685</v>
      </c>
      <c r="E347" s="476">
        <v>196141</v>
      </c>
      <c r="F347" s="476"/>
      <c r="G347" s="476"/>
      <c r="H347" s="476"/>
      <c r="I347" s="476"/>
      <c r="J347" s="476" t="s">
        <v>807</v>
      </c>
      <c r="K347" s="476" t="s">
        <v>807</v>
      </c>
      <c r="L347" s="476" t="s">
        <v>807</v>
      </c>
      <c r="M347" s="476" t="s">
        <v>307</v>
      </c>
      <c r="N347" s="476">
        <v>20.131148</v>
      </c>
      <c r="O347" s="476">
        <v>92.462236000000004</v>
      </c>
      <c r="P347" s="476" t="s">
        <v>808</v>
      </c>
      <c r="Q347" s="476"/>
      <c r="R347" s="490"/>
      <c r="S347" s="483"/>
      <c r="T347" s="502"/>
      <c r="U347" s="484"/>
      <c r="V347" s="476" t="s">
        <v>850</v>
      </c>
      <c r="W347" s="482"/>
    </row>
    <row r="348" spans="1:23" s="69" customFormat="1" ht="14.25" customHeight="1">
      <c r="A348" s="483" t="s">
        <v>2827</v>
      </c>
      <c r="B348" s="486" t="s">
        <v>308</v>
      </c>
      <c r="C348" s="487" t="s">
        <v>851</v>
      </c>
      <c r="D348" s="481" t="s">
        <v>1685</v>
      </c>
      <c r="E348" s="476">
        <v>196141</v>
      </c>
      <c r="F348" s="476"/>
      <c r="G348" s="476"/>
      <c r="H348" s="476"/>
      <c r="I348" s="476"/>
      <c r="J348" s="476" t="s">
        <v>807</v>
      </c>
      <c r="K348" s="476" t="s">
        <v>807</v>
      </c>
      <c r="L348" s="476" t="s">
        <v>807</v>
      </c>
      <c r="M348" s="476" t="s">
        <v>307</v>
      </c>
      <c r="N348" s="476">
        <v>20.131148</v>
      </c>
      <c r="O348" s="476">
        <v>92.462236000000004</v>
      </c>
      <c r="P348" s="476" t="s">
        <v>808</v>
      </c>
      <c r="Q348" s="476"/>
      <c r="R348" s="490"/>
      <c r="S348" s="483"/>
      <c r="T348" s="502"/>
      <c r="U348" s="484"/>
      <c r="V348" s="476" t="s">
        <v>851</v>
      </c>
      <c r="W348" s="482"/>
    </row>
    <row r="349" spans="1:23" s="69" customFormat="1" ht="14.25" customHeight="1">
      <c r="A349" s="483" t="s">
        <v>2827</v>
      </c>
      <c r="B349" s="486" t="s">
        <v>308</v>
      </c>
      <c r="C349" s="487" t="s">
        <v>313</v>
      </c>
      <c r="D349" s="481" t="s">
        <v>1685</v>
      </c>
      <c r="E349" s="476"/>
      <c r="F349" s="476"/>
      <c r="G349" s="476"/>
      <c r="H349" s="476"/>
      <c r="I349" s="476"/>
      <c r="J349" s="476" t="s">
        <v>807</v>
      </c>
      <c r="K349" s="476" t="s">
        <v>807</v>
      </c>
      <c r="L349" s="476" t="s">
        <v>807</v>
      </c>
      <c r="M349" s="476" t="s">
        <v>804</v>
      </c>
      <c r="N349" s="476"/>
      <c r="O349" s="476"/>
      <c r="P349" s="476" t="s">
        <v>808</v>
      </c>
      <c r="Q349" s="476" t="s">
        <v>789</v>
      </c>
      <c r="R349" s="490"/>
      <c r="S349" s="483"/>
      <c r="T349" s="502"/>
      <c r="U349" s="484"/>
      <c r="V349" s="476" t="s">
        <v>882</v>
      </c>
      <c r="W349" s="482"/>
    </row>
    <row r="350" spans="1:23" s="69" customFormat="1" ht="14.25" customHeight="1">
      <c r="A350" s="483" t="s">
        <v>2827</v>
      </c>
      <c r="B350" s="486" t="s">
        <v>308</v>
      </c>
      <c r="C350" s="487" t="s">
        <v>2351</v>
      </c>
      <c r="D350" s="481"/>
      <c r="E350" s="476" t="s">
        <v>1394</v>
      </c>
      <c r="F350" s="476" t="s">
        <v>1693</v>
      </c>
      <c r="G350" s="476" t="s">
        <v>1694</v>
      </c>
      <c r="H350" s="476"/>
      <c r="I350" s="476"/>
      <c r="J350" s="476" t="s">
        <v>45</v>
      </c>
      <c r="K350" s="476" t="s">
        <v>45</v>
      </c>
      <c r="L350" s="476" t="s">
        <v>803</v>
      </c>
      <c r="M350" s="476" t="s">
        <v>804</v>
      </c>
      <c r="N350" s="476">
        <v>20.207284999999999</v>
      </c>
      <c r="O350" s="476">
        <v>92.788177000000005</v>
      </c>
      <c r="P350" s="476" t="s">
        <v>770</v>
      </c>
      <c r="Q350" s="476" t="s">
        <v>789</v>
      </c>
      <c r="R350" s="490"/>
      <c r="S350" s="483"/>
      <c r="T350" s="502">
        <v>43488</v>
      </c>
      <c r="U350" s="484"/>
      <c r="V350" s="476" t="s">
        <v>882</v>
      </c>
      <c r="W350" s="482"/>
    </row>
    <row r="351" spans="1:23" s="69" customFormat="1" ht="14.25" customHeight="1">
      <c r="A351" s="483" t="s">
        <v>2827</v>
      </c>
      <c r="B351" s="486" t="s">
        <v>308</v>
      </c>
      <c r="C351" s="487" t="s">
        <v>852</v>
      </c>
      <c r="D351" s="481" t="s">
        <v>1685</v>
      </c>
      <c r="E351" s="476">
        <v>196130</v>
      </c>
      <c r="F351" s="476"/>
      <c r="G351" s="476"/>
      <c r="H351" s="476"/>
      <c r="I351" s="476"/>
      <c r="J351" s="476" t="s">
        <v>807</v>
      </c>
      <c r="K351" s="476" t="s">
        <v>807</v>
      </c>
      <c r="L351" s="476" t="s">
        <v>807</v>
      </c>
      <c r="M351" s="476" t="s">
        <v>307</v>
      </c>
      <c r="N351" s="476">
        <v>20.142474</v>
      </c>
      <c r="O351" s="476">
        <v>92.494243999999995</v>
      </c>
      <c r="P351" s="476" t="s">
        <v>808</v>
      </c>
      <c r="Q351" s="476"/>
      <c r="R351" s="490"/>
      <c r="S351" s="483"/>
      <c r="T351" s="502"/>
      <c r="U351" s="484"/>
      <c r="V351" s="476" t="s">
        <v>852</v>
      </c>
      <c r="W351" s="482"/>
    </row>
    <row r="352" spans="1:23" s="69" customFormat="1" ht="14.25" customHeight="1">
      <c r="A352" s="483" t="s">
        <v>2827</v>
      </c>
      <c r="B352" s="480" t="s">
        <v>308</v>
      </c>
      <c r="C352" s="480" t="s">
        <v>2763</v>
      </c>
      <c r="D352" s="429"/>
      <c r="E352" s="476">
        <v>196130</v>
      </c>
      <c r="F352" s="476"/>
      <c r="G352" s="476"/>
      <c r="H352" s="476"/>
      <c r="I352" s="476"/>
      <c r="J352" s="476" t="s">
        <v>807</v>
      </c>
      <c r="K352" s="480" t="s">
        <v>807</v>
      </c>
      <c r="L352" s="480" t="s">
        <v>807</v>
      </c>
      <c r="M352" s="476" t="s">
        <v>307</v>
      </c>
      <c r="N352" s="476">
        <v>20.142474</v>
      </c>
      <c r="O352" s="476">
        <v>92.494243999999995</v>
      </c>
      <c r="P352" s="476" t="s">
        <v>808</v>
      </c>
      <c r="Q352" s="476"/>
      <c r="R352" s="486"/>
      <c r="S352" s="487"/>
      <c r="T352" s="502"/>
      <c r="U352" s="484"/>
      <c r="V352" s="476"/>
      <c r="W352" s="482"/>
    </row>
    <row r="353" spans="1:23" s="69" customFormat="1" ht="14.25" customHeight="1">
      <c r="A353" s="483" t="s">
        <v>2827</v>
      </c>
      <c r="B353" s="486" t="s">
        <v>308</v>
      </c>
      <c r="C353" s="487" t="s">
        <v>2066</v>
      </c>
      <c r="D353" s="481"/>
      <c r="E353" s="476">
        <v>196162</v>
      </c>
      <c r="F353" s="476" t="s">
        <v>2065</v>
      </c>
      <c r="G353" s="476"/>
      <c r="H353" s="476"/>
      <c r="I353" s="476"/>
      <c r="J353" s="476" t="s">
        <v>807</v>
      </c>
      <c r="K353" s="476" t="s">
        <v>807</v>
      </c>
      <c r="L353" s="476" t="s">
        <v>807</v>
      </c>
      <c r="M353" s="476" t="s">
        <v>804</v>
      </c>
      <c r="N353" s="476">
        <v>20.239929199999999</v>
      </c>
      <c r="O353" s="476">
        <v>92.827529909999996</v>
      </c>
      <c r="P353" s="476" t="s">
        <v>808</v>
      </c>
      <c r="Q353" s="476"/>
      <c r="R353" s="490"/>
      <c r="S353" s="483"/>
      <c r="T353" s="502">
        <v>43294</v>
      </c>
      <c r="U353" s="484"/>
      <c r="V353" s="476"/>
      <c r="W353" s="482"/>
    </row>
    <row r="354" spans="1:23" s="69" customFormat="1" ht="14.25" customHeight="1">
      <c r="A354" s="483" t="s">
        <v>2827</v>
      </c>
      <c r="B354" s="480" t="s">
        <v>308</v>
      </c>
      <c r="C354" s="480" t="s">
        <v>2765</v>
      </c>
      <c r="D354" s="429"/>
      <c r="E354" s="480">
        <v>196131</v>
      </c>
      <c r="F354" s="480" t="s">
        <v>887</v>
      </c>
      <c r="G354" s="476"/>
      <c r="H354" s="476"/>
      <c r="I354" s="476"/>
      <c r="J354" s="476" t="s">
        <v>807</v>
      </c>
      <c r="K354" s="480" t="s">
        <v>807</v>
      </c>
      <c r="L354" s="480" t="s">
        <v>807</v>
      </c>
      <c r="M354" s="476"/>
      <c r="N354" s="476">
        <v>20.239799499511701</v>
      </c>
      <c r="O354" s="476">
        <v>92.825088500976605</v>
      </c>
      <c r="P354" s="476"/>
      <c r="Q354" s="476"/>
      <c r="R354" s="482"/>
      <c r="S354" s="483"/>
      <c r="T354" s="502"/>
      <c r="U354" s="484"/>
      <c r="V354" s="476"/>
      <c r="W354" s="482"/>
    </row>
    <row r="355" spans="1:23" s="69" customFormat="1" ht="14.25" customHeight="1">
      <c r="A355" s="483" t="s">
        <v>2827</v>
      </c>
      <c r="B355" s="480" t="s">
        <v>308</v>
      </c>
      <c r="C355" s="480" t="s">
        <v>2768</v>
      </c>
      <c r="D355" s="481"/>
      <c r="E355" s="476"/>
      <c r="F355" s="476"/>
      <c r="G355" s="476"/>
      <c r="H355" s="476"/>
      <c r="I355" s="476"/>
      <c r="J355" s="476" t="s">
        <v>807</v>
      </c>
      <c r="K355" s="480" t="s">
        <v>807</v>
      </c>
      <c r="L355" s="480" t="s">
        <v>807</v>
      </c>
      <c r="M355" s="476"/>
      <c r="N355" s="476"/>
      <c r="O355" s="476"/>
      <c r="P355" s="476"/>
      <c r="Q355" s="476"/>
      <c r="R355" s="480"/>
      <c r="S355" s="480"/>
      <c r="T355" s="502"/>
      <c r="U355" s="484"/>
      <c r="V355" s="476"/>
      <c r="W355" s="482"/>
    </row>
    <row r="356" spans="1:23" s="69" customFormat="1" ht="14.25" customHeight="1">
      <c r="A356" s="483" t="s">
        <v>2827</v>
      </c>
      <c r="B356" s="486" t="s">
        <v>308</v>
      </c>
      <c r="C356" s="487" t="s">
        <v>858</v>
      </c>
      <c r="D356" s="481" t="s">
        <v>1686</v>
      </c>
      <c r="E356" s="476" t="s">
        <v>1374</v>
      </c>
      <c r="F356" s="476" t="s">
        <v>1715</v>
      </c>
      <c r="G356" s="476" t="s">
        <v>1716</v>
      </c>
      <c r="H356" s="476"/>
      <c r="I356" s="476"/>
      <c r="J356" s="476" t="s">
        <v>45</v>
      </c>
      <c r="K356" s="476" t="s">
        <v>45</v>
      </c>
      <c r="L356" s="476" t="s">
        <v>769</v>
      </c>
      <c r="M356" s="476" t="s">
        <v>307</v>
      </c>
      <c r="N356" s="476">
        <v>20.151471999999998</v>
      </c>
      <c r="O356" s="476">
        <v>92.887277999999995</v>
      </c>
      <c r="P356" s="476" t="s">
        <v>770</v>
      </c>
      <c r="Q356" s="476"/>
      <c r="R356" s="490"/>
      <c r="S356" s="483"/>
      <c r="T356" s="502"/>
      <c r="U356" s="484"/>
      <c r="V356" s="476" t="s">
        <v>858</v>
      </c>
      <c r="W356" s="482"/>
    </row>
    <row r="357" spans="1:23" s="69" customFormat="1" ht="14.25" customHeight="1">
      <c r="A357" s="483" t="s">
        <v>2827</v>
      </c>
      <c r="B357" s="486" t="s">
        <v>308</v>
      </c>
      <c r="C357" s="487" t="s">
        <v>431</v>
      </c>
      <c r="D357" s="429" t="s">
        <v>2919</v>
      </c>
      <c r="E357" s="476" t="s">
        <v>1375</v>
      </c>
      <c r="F357" s="476" t="s">
        <v>1715</v>
      </c>
      <c r="G357" s="476" t="s">
        <v>1716</v>
      </c>
      <c r="H357" s="476"/>
      <c r="I357" s="476"/>
      <c r="J357" s="476" t="s">
        <v>807</v>
      </c>
      <c r="K357" s="476" t="s">
        <v>807</v>
      </c>
      <c r="L357" s="476" t="s">
        <v>830</v>
      </c>
      <c r="M357" s="476" t="s">
        <v>307</v>
      </c>
      <c r="N357" s="476">
        <v>20.151471999999998</v>
      </c>
      <c r="O357" s="476">
        <v>92.887277999999995</v>
      </c>
      <c r="P357" s="476" t="s">
        <v>808</v>
      </c>
      <c r="Q357" s="476" t="s">
        <v>789</v>
      </c>
      <c r="R357" s="482">
        <v>249</v>
      </c>
      <c r="S357" s="483">
        <v>1282</v>
      </c>
      <c r="T357" s="502"/>
      <c r="U357" s="484"/>
      <c r="V357" s="476" t="s">
        <v>431</v>
      </c>
      <c r="W357" s="482"/>
    </row>
    <row r="358" spans="1:23" s="69" customFormat="1" ht="14.25" customHeight="1">
      <c r="A358" s="483" t="s">
        <v>2827</v>
      </c>
      <c r="B358" s="486" t="s">
        <v>308</v>
      </c>
      <c r="C358" s="487" t="s">
        <v>432</v>
      </c>
      <c r="D358" s="429" t="s">
        <v>2919</v>
      </c>
      <c r="E358" s="476" t="s">
        <v>1376</v>
      </c>
      <c r="F358" s="476" t="s">
        <v>1715</v>
      </c>
      <c r="G358" s="476" t="s">
        <v>1716</v>
      </c>
      <c r="H358" s="476"/>
      <c r="I358" s="476"/>
      <c r="J358" s="476" t="s">
        <v>807</v>
      </c>
      <c r="K358" s="476" t="s">
        <v>807</v>
      </c>
      <c r="L358" s="476" t="s">
        <v>830</v>
      </c>
      <c r="M358" s="476" t="s">
        <v>307</v>
      </c>
      <c r="N358" s="476">
        <v>20.151471999999998</v>
      </c>
      <c r="O358" s="476">
        <v>92.887277999999995</v>
      </c>
      <c r="P358" s="476" t="s">
        <v>808</v>
      </c>
      <c r="Q358" s="476" t="s">
        <v>789</v>
      </c>
      <c r="R358" s="482">
        <v>420</v>
      </c>
      <c r="S358" s="483">
        <v>2200</v>
      </c>
      <c r="T358" s="502"/>
      <c r="U358" s="484"/>
      <c r="V358" s="476" t="s">
        <v>432</v>
      </c>
      <c r="W358" s="482"/>
    </row>
    <row r="359" spans="1:23" s="69" customFormat="1" ht="14.25" customHeight="1">
      <c r="A359" s="483" t="s">
        <v>2827</v>
      </c>
      <c r="B359" s="486" t="s">
        <v>308</v>
      </c>
      <c r="C359" s="487" t="s">
        <v>452</v>
      </c>
      <c r="D359" s="429" t="s">
        <v>2919</v>
      </c>
      <c r="E359" s="476" t="s">
        <v>1394</v>
      </c>
      <c r="F359" s="476" t="s">
        <v>1773</v>
      </c>
      <c r="G359" s="476" t="s">
        <v>452</v>
      </c>
      <c r="H359" s="476" t="s">
        <v>43</v>
      </c>
      <c r="I359" s="476"/>
      <c r="J359" s="476" t="s">
        <v>45</v>
      </c>
      <c r="K359" s="476" t="s">
        <v>45</v>
      </c>
      <c r="L359" s="476" t="s">
        <v>803</v>
      </c>
      <c r="M359" s="476" t="s">
        <v>804</v>
      </c>
      <c r="N359" s="476">
        <v>20.202525000000001</v>
      </c>
      <c r="O359" s="476">
        <v>92.792479999999998</v>
      </c>
      <c r="P359" s="476" t="s">
        <v>770</v>
      </c>
      <c r="Q359" s="476" t="s">
        <v>789</v>
      </c>
      <c r="R359" s="482">
        <v>2682</v>
      </c>
      <c r="S359" s="483">
        <v>13653</v>
      </c>
      <c r="T359" s="502"/>
      <c r="U359" s="484"/>
      <c r="V359" s="476" t="s">
        <v>452</v>
      </c>
      <c r="W359" s="482"/>
    </row>
    <row r="360" spans="1:23" s="69" customFormat="1" ht="14.25" customHeight="1">
      <c r="A360" s="483" t="s">
        <v>2827</v>
      </c>
      <c r="B360" s="480" t="s">
        <v>308</v>
      </c>
      <c r="C360" s="487" t="s">
        <v>450</v>
      </c>
      <c r="D360" s="429"/>
      <c r="E360" s="476">
        <v>196154</v>
      </c>
      <c r="F360" s="476"/>
      <c r="G360" s="476"/>
      <c r="H360" s="476"/>
      <c r="I360" s="476"/>
      <c r="J360" s="476" t="s">
        <v>807</v>
      </c>
      <c r="K360" s="480" t="s">
        <v>807</v>
      </c>
      <c r="L360" s="480" t="s">
        <v>807</v>
      </c>
      <c r="M360" s="476"/>
      <c r="N360" s="476"/>
      <c r="O360" s="476"/>
      <c r="P360" s="476"/>
      <c r="Q360" s="476"/>
      <c r="R360" s="482"/>
      <c r="S360" s="482"/>
      <c r="T360" s="502"/>
      <c r="U360" s="484"/>
      <c r="V360" s="476"/>
      <c r="W360" s="482"/>
    </row>
    <row r="361" spans="1:23" s="69" customFormat="1" ht="14.25" customHeight="1">
      <c r="A361" s="483" t="s">
        <v>2827</v>
      </c>
      <c r="B361" s="486" t="s">
        <v>308</v>
      </c>
      <c r="C361" s="487" t="s">
        <v>450</v>
      </c>
      <c r="D361" s="481" t="s">
        <v>1685</v>
      </c>
      <c r="E361" s="476">
        <v>196154</v>
      </c>
      <c r="F361" s="476"/>
      <c r="G361" s="476"/>
      <c r="H361" s="476"/>
      <c r="I361" s="476"/>
      <c r="J361" s="476" t="s">
        <v>807</v>
      </c>
      <c r="K361" s="476" t="s">
        <v>807</v>
      </c>
      <c r="L361" s="476" t="s">
        <v>807</v>
      </c>
      <c r="M361" s="476" t="s">
        <v>804</v>
      </c>
      <c r="N361" s="476">
        <v>20.201499999999999</v>
      </c>
      <c r="O361" s="476">
        <v>92.796599999999998</v>
      </c>
      <c r="P361" s="476" t="s">
        <v>808</v>
      </c>
      <c r="Q361" s="476" t="s">
        <v>789</v>
      </c>
      <c r="R361" s="490"/>
      <c r="S361" s="483"/>
      <c r="T361" s="502">
        <v>42745</v>
      </c>
      <c r="U361" s="484"/>
      <c r="V361" s="476"/>
      <c r="W361" s="482"/>
    </row>
    <row r="362" spans="1:23" s="69" customFormat="1" ht="14.25" customHeight="1">
      <c r="A362" s="483" t="s">
        <v>2827</v>
      </c>
      <c r="B362" s="486" t="s">
        <v>308</v>
      </c>
      <c r="C362" s="487" t="s">
        <v>446</v>
      </c>
      <c r="D362" s="481" t="s">
        <v>1685</v>
      </c>
      <c r="E362" s="476">
        <v>196155</v>
      </c>
      <c r="F362" s="476"/>
      <c r="G362" s="476"/>
      <c r="H362" s="476"/>
      <c r="I362" s="476"/>
      <c r="J362" s="476" t="s">
        <v>807</v>
      </c>
      <c r="K362" s="476" t="s">
        <v>807</v>
      </c>
      <c r="L362" s="476" t="s">
        <v>807</v>
      </c>
      <c r="M362" s="476" t="s">
        <v>804</v>
      </c>
      <c r="N362" s="476">
        <v>20.19171906</v>
      </c>
      <c r="O362" s="476">
        <v>92.808166499999999</v>
      </c>
      <c r="P362" s="476" t="s">
        <v>808</v>
      </c>
      <c r="Q362" s="476" t="s">
        <v>789</v>
      </c>
      <c r="R362" s="490"/>
      <c r="S362" s="483"/>
      <c r="T362" s="502"/>
      <c r="U362" s="484"/>
      <c r="V362" s="476" t="s">
        <v>446</v>
      </c>
      <c r="W362" s="482"/>
    </row>
    <row r="363" spans="1:23" s="69" customFormat="1" ht="14.25" customHeight="1">
      <c r="A363" s="483" t="s">
        <v>2827</v>
      </c>
      <c r="B363" s="486" t="s">
        <v>308</v>
      </c>
      <c r="C363" s="487" t="s">
        <v>429</v>
      </c>
      <c r="D363" s="429" t="s">
        <v>2919</v>
      </c>
      <c r="E363" s="476" t="s">
        <v>1373</v>
      </c>
      <c r="F363" s="476" t="s">
        <v>1902</v>
      </c>
      <c r="G363" s="476" t="s">
        <v>1902</v>
      </c>
      <c r="H363" s="476"/>
      <c r="I363" s="476"/>
      <c r="J363" s="476" t="s">
        <v>807</v>
      </c>
      <c r="K363" s="476" t="s">
        <v>807</v>
      </c>
      <c r="L363" s="476" t="s">
        <v>830</v>
      </c>
      <c r="M363" s="476" t="s">
        <v>855</v>
      </c>
      <c r="N363" s="476">
        <v>20.148584</v>
      </c>
      <c r="O363" s="476">
        <v>92.880319999999998</v>
      </c>
      <c r="P363" s="476" t="s">
        <v>808</v>
      </c>
      <c r="Q363" s="476" t="s">
        <v>789</v>
      </c>
      <c r="R363" s="482">
        <v>72</v>
      </c>
      <c r="S363" s="483">
        <v>462</v>
      </c>
      <c r="T363" s="502"/>
      <c r="U363" s="484"/>
      <c r="V363" s="476" t="s">
        <v>429</v>
      </c>
      <c r="W363" s="482"/>
    </row>
    <row r="364" spans="1:23" s="69" customFormat="1" ht="14.25" customHeight="1">
      <c r="A364" s="483" t="s">
        <v>2827</v>
      </c>
      <c r="B364" s="486" t="s">
        <v>308</v>
      </c>
      <c r="C364" s="487" t="s">
        <v>1935</v>
      </c>
      <c r="D364" s="429" t="s">
        <v>2919</v>
      </c>
      <c r="E364" s="476" t="s">
        <v>1378</v>
      </c>
      <c r="F364" s="476" t="s">
        <v>1902</v>
      </c>
      <c r="G364" s="476" t="s">
        <v>1902</v>
      </c>
      <c r="H364" s="476"/>
      <c r="I364" s="476"/>
      <c r="J364" s="476" t="s">
        <v>807</v>
      </c>
      <c r="K364" s="476" t="s">
        <v>807</v>
      </c>
      <c r="L364" s="476" t="s">
        <v>830</v>
      </c>
      <c r="M364" s="476" t="s">
        <v>307</v>
      </c>
      <c r="N364" s="476">
        <v>20.155805999999998</v>
      </c>
      <c r="O364" s="476">
        <v>92.879138999999995</v>
      </c>
      <c r="P364" s="476" t="s">
        <v>808</v>
      </c>
      <c r="Q364" s="476" t="s">
        <v>789</v>
      </c>
      <c r="R364" s="482">
        <v>151</v>
      </c>
      <c r="S364" s="483">
        <v>654</v>
      </c>
      <c r="T364" s="502"/>
      <c r="U364" s="484"/>
      <c r="V364" s="476" t="s">
        <v>433</v>
      </c>
      <c r="W364" s="482"/>
    </row>
    <row r="365" spans="1:23" s="69" customFormat="1" ht="14.25" customHeight="1">
      <c r="A365" s="483" t="s">
        <v>2827</v>
      </c>
      <c r="B365" s="486" t="s">
        <v>308</v>
      </c>
      <c r="C365" s="487" t="s">
        <v>2062</v>
      </c>
      <c r="D365" s="481"/>
      <c r="E365" s="476">
        <v>196179</v>
      </c>
      <c r="F365" s="476" t="s">
        <v>2062</v>
      </c>
      <c r="G365" s="476"/>
      <c r="H365" s="476"/>
      <c r="I365" s="476"/>
      <c r="J365" s="476" t="s">
        <v>807</v>
      </c>
      <c r="K365" s="476" t="s">
        <v>807</v>
      </c>
      <c r="L365" s="476" t="s">
        <v>807</v>
      </c>
      <c r="M365" s="476" t="s">
        <v>1943</v>
      </c>
      <c r="N365" s="476">
        <v>20.236970899999999</v>
      </c>
      <c r="O365" s="476">
        <v>92.877876279999995</v>
      </c>
      <c r="P365" s="476" t="s">
        <v>808</v>
      </c>
      <c r="Q365" s="476"/>
      <c r="R365" s="490"/>
      <c r="S365" s="483"/>
      <c r="T365" s="502">
        <v>43294</v>
      </c>
      <c r="U365" s="484"/>
      <c r="V365" s="476"/>
      <c r="W365" s="482"/>
    </row>
    <row r="366" spans="1:23" s="69" customFormat="1" ht="14.25" customHeight="1">
      <c r="A366" s="483" t="s">
        <v>2827</v>
      </c>
      <c r="B366" s="486" t="s">
        <v>308</v>
      </c>
      <c r="C366" s="487" t="s">
        <v>435</v>
      </c>
      <c r="D366" s="429" t="s">
        <v>2919</v>
      </c>
      <c r="E366" s="476" t="s">
        <v>1380</v>
      </c>
      <c r="F366" s="476" t="s">
        <v>428</v>
      </c>
      <c r="G366" s="476" t="s">
        <v>434</v>
      </c>
      <c r="H366" s="476" t="s">
        <v>43</v>
      </c>
      <c r="I366" s="476"/>
      <c r="J366" s="476" t="s">
        <v>45</v>
      </c>
      <c r="K366" s="476" t="s">
        <v>45</v>
      </c>
      <c r="L366" s="476" t="s">
        <v>806</v>
      </c>
      <c r="M366" s="476" t="s">
        <v>804</v>
      </c>
      <c r="N366" s="476">
        <v>20.1585</v>
      </c>
      <c r="O366" s="476">
        <v>92.839416999999997</v>
      </c>
      <c r="P366" s="476" t="s">
        <v>770</v>
      </c>
      <c r="Q366" s="476" t="s">
        <v>789</v>
      </c>
      <c r="R366" s="482">
        <v>2270</v>
      </c>
      <c r="S366" s="483">
        <v>13069</v>
      </c>
      <c r="T366" s="502"/>
      <c r="U366" s="484"/>
      <c r="V366" s="476" t="s">
        <v>865</v>
      </c>
      <c r="W366" s="482"/>
    </row>
    <row r="367" spans="1:23" s="69" customFormat="1" ht="14.25" customHeight="1">
      <c r="A367" s="483" t="s">
        <v>2827</v>
      </c>
      <c r="B367" s="486" t="s">
        <v>308</v>
      </c>
      <c r="C367" s="487" t="s">
        <v>861</v>
      </c>
      <c r="D367" s="481" t="s">
        <v>1686</v>
      </c>
      <c r="E367" s="476" t="s">
        <v>1379</v>
      </c>
      <c r="F367" s="476" t="s">
        <v>428</v>
      </c>
      <c r="G367" s="476" t="s">
        <v>434</v>
      </c>
      <c r="H367" s="476"/>
      <c r="I367" s="476"/>
      <c r="J367" s="476" t="s">
        <v>45</v>
      </c>
      <c r="K367" s="476" t="s">
        <v>45</v>
      </c>
      <c r="L367" s="476" t="s">
        <v>769</v>
      </c>
      <c r="M367" s="476"/>
      <c r="N367" s="476">
        <v>20.156842000000001</v>
      </c>
      <c r="O367" s="476">
        <v>92.837576999999996</v>
      </c>
      <c r="P367" s="476" t="s">
        <v>770</v>
      </c>
      <c r="Q367" s="476"/>
      <c r="R367" s="490"/>
      <c r="S367" s="483"/>
      <c r="T367" s="502"/>
      <c r="U367" s="484"/>
      <c r="V367" s="476" t="s">
        <v>862</v>
      </c>
      <c r="W367" s="482"/>
    </row>
    <row r="368" spans="1:23" s="69" customFormat="1" ht="14.25" customHeight="1">
      <c r="A368" s="483" t="s">
        <v>2827</v>
      </c>
      <c r="B368" s="486" t="s">
        <v>308</v>
      </c>
      <c r="C368" s="487" t="s">
        <v>702</v>
      </c>
      <c r="D368" s="481" t="s">
        <v>1685</v>
      </c>
      <c r="E368" s="476">
        <v>196210</v>
      </c>
      <c r="F368" s="476"/>
      <c r="G368" s="476"/>
      <c r="H368" s="476"/>
      <c r="I368" s="476"/>
      <c r="J368" s="476" t="s">
        <v>807</v>
      </c>
      <c r="K368" s="476" t="s">
        <v>807</v>
      </c>
      <c r="L368" s="476" t="s">
        <v>807</v>
      </c>
      <c r="M368" s="476" t="s">
        <v>307</v>
      </c>
      <c r="N368" s="476">
        <v>20.16259956</v>
      </c>
      <c r="O368" s="476">
        <v>92.834457400000005</v>
      </c>
      <c r="P368" s="476" t="s">
        <v>808</v>
      </c>
      <c r="Q368" s="476" t="s">
        <v>789</v>
      </c>
      <c r="R368" s="490"/>
      <c r="S368" s="483"/>
      <c r="T368" s="502"/>
      <c r="U368" s="484"/>
      <c r="V368" s="476"/>
      <c r="W368" s="482"/>
    </row>
    <row r="369" spans="1:23" s="69" customFormat="1" ht="14.25" customHeight="1">
      <c r="A369" s="483" t="s">
        <v>2827</v>
      </c>
      <c r="B369" s="486" t="s">
        <v>308</v>
      </c>
      <c r="C369" s="487" t="s">
        <v>314</v>
      </c>
      <c r="D369" s="481" t="s">
        <v>1685</v>
      </c>
      <c r="E369" s="476"/>
      <c r="F369" s="476"/>
      <c r="G369" s="476"/>
      <c r="H369" s="476"/>
      <c r="I369" s="476"/>
      <c r="J369" s="476" t="s">
        <v>807</v>
      </c>
      <c r="K369" s="476" t="s">
        <v>807</v>
      </c>
      <c r="L369" s="476" t="s">
        <v>807</v>
      </c>
      <c r="M369" s="476" t="s">
        <v>804</v>
      </c>
      <c r="N369" s="476"/>
      <c r="O369" s="476"/>
      <c r="P369" s="476" t="s">
        <v>808</v>
      </c>
      <c r="Q369" s="476" t="s">
        <v>771</v>
      </c>
      <c r="R369" s="490"/>
      <c r="S369" s="483"/>
      <c r="T369" s="502">
        <v>42811</v>
      </c>
      <c r="U369" s="484"/>
      <c r="V369" s="476"/>
      <c r="W369" s="482"/>
    </row>
    <row r="370" spans="1:23" s="69" customFormat="1" ht="14.25" customHeight="1">
      <c r="A370" s="483" t="s">
        <v>2827</v>
      </c>
      <c r="B370" s="486" t="s">
        <v>308</v>
      </c>
      <c r="C370" s="487" t="s">
        <v>434</v>
      </c>
      <c r="D370" s="481" t="s">
        <v>1685</v>
      </c>
      <c r="E370" s="476">
        <v>196211</v>
      </c>
      <c r="F370" s="476"/>
      <c r="G370" s="476"/>
      <c r="H370" s="476"/>
      <c r="I370" s="476"/>
      <c r="J370" s="476" t="s">
        <v>807</v>
      </c>
      <c r="K370" s="476" t="s">
        <v>807</v>
      </c>
      <c r="L370" s="476" t="s">
        <v>807</v>
      </c>
      <c r="M370" s="476" t="s">
        <v>804</v>
      </c>
      <c r="N370" s="476">
        <v>20.15736008</v>
      </c>
      <c r="O370" s="476">
        <v>92.838653559999997</v>
      </c>
      <c r="P370" s="476" t="s">
        <v>808</v>
      </c>
      <c r="Q370" s="476" t="s">
        <v>789</v>
      </c>
      <c r="R370" s="490"/>
      <c r="S370" s="483"/>
      <c r="T370" s="502"/>
      <c r="U370" s="484"/>
      <c r="V370" s="476" t="s">
        <v>863</v>
      </c>
      <c r="W370" s="482"/>
    </row>
    <row r="371" spans="1:23" s="69" customFormat="1" ht="14.25" customHeight="1">
      <c r="A371" s="483" t="s">
        <v>2827</v>
      </c>
      <c r="B371" s="486" t="s">
        <v>308</v>
      </c>
      <c r="C371" s="487" t="s">
        <v>430</v>
      </c>
      <c r="D371" s="481" t="s">
        <v>1685</v>
      </c>
      <c r="E371" s="476">
        <v>196209</v>
      </c>
      <c r="F371" s="480" t="s">
        <v>428</v>
      </c>
      <c r="G371" s="476"/>
      <c r="H371" s="476"/>
      <c r="I371" s="476"/>
      <c r="J371" s="476" t="s">
        <v>807</v>
      </c>
      <c r="K371" s="476" t="s">
        <v>807</v>
      </c>
      <c r="L371" s="476" t="s">
        <v>807</v>
      </c>
      <c r="M371" s="476" t="s">
        <v>804</v>
      </c>
      <c r="N371" s="476">
        <v>20.147863431600001</v>
      </c>
      <c r="O371" s="476">
        <v>92.846768572000002</v>
      </c>
      <c r="P371" s="476" t="s">
        <v>808</v>
      </c>
      <c r="Q371" s="476" t="s">
        <v>771</v>
      </c>
      <c r="R371" s="490"/>
      <c r="S371" s="483"/>
      <c r="T371" s="502"/>
      <c r="U371" s="484"/>
      <c r="V371" s="476" t="s">
        <v>856</v>
      </c>
      <c r="W371" s="482"/>
    </row>
    <row r="372" spans="1:23" s="69" customFormat="1" ht="14.25" customHeight="1">
      <c r="A372" s="483" t="s">
        <v>2827</v>
      </c>
      <c r="B372" s="486" t="s">
        <v>308</v>
      </c>
      <c r="C372" s="487" t="s">
        <v>864</v>
      </c>
      <c r="D372" s="481" t="s">
        <v>1685</v>
      </c>
      <c r="E372" s="476">
        <v>196211</v>
      </c>
      <c r="F372" s="476"/>
      <c r="G372" s="476"/>
      <c r="H372" s="476"/>
      <c r="I372" s="476"/>
      <c r="J372" s="476" t="s">
        <v>807</v>
      </c>
      <c r="K372" s="476" t="s">
        <v>807</v>
      </c>
      <c r="L372" s="476" t="s">
        <v>807</v>
      </c>
      <c r="M372" s="476" t="s">
        <v>804</v>
      </c>
      <c r="N372" s="476">
        <v>20.15736008</v>
      </c>
      <c r="O372" s="476">
        <v>92.838653559999997</v>
      </c>
      <c r="P372" s="476" t="s">
        <v>808</v>
      </c>
      <c r="Q372" s="476"/>
      <c r="R372" s="490"/>
      <c r="S372" s="483"/>
      <c r="T372" s="502"/>
      <c r="U372" s="484"/>
      <c r="V372" s="476" t="s">
        <v>864</v>
      </c>
      <c r="W372" s="482"/>
    </row>
    <row r="373" spans="1:23" s="69" customFormat="1" ht="14.25" customHeight="1">
      <c r="A373" s="483" t="s">
        <v>2827</v>
      </c>
      <c r="B373" s="486" t="s">
        <v>308</v>
      </c>
      <c r="C373" s="487" t="s">
        <v>459</v>
      </c>
      <c r="D373" s="481" t="s">
        <v>1685</v>
      </c>
      <c r="E373" s="476">
        <v>196167</v>
      </c>
      <c r="F373" s="476" t="s">
        <v>459</v>
      </c>
      <c r="G373" s="476"/>
      <c r="H373" s="476"/>
      <c r="I373" s="476"/>
      <c r="J373" s="476" t="s">
        <v>807</v>
      </c>
      <c r="K373" s="476" t="s">
        <v>807</v>
      </c>
      <c r="L373" s="476" t="s">
        <v>807</v>
      </c>
      <c r="M373" s="476" t="s">
        <v>307</v>
      </c>
      <c r="N373" s="476">
        <v>20.22929001</v>
      </c>
      <c r="O373" s="476">
        <v>92.864669800000001</v>
      </c>
      <c r="P373" s="476" t="s">
        <v>808</v>
      </c>
      <c r="Q373" s="476" t="s">
        <v>771</v>
      </c>
      <c r="R373" s="490"/>
      <c r="S373" s="483"/>
      <c r="T373" s="502">
        <v>42811</v>
      </c>
      <c r="U373" s="484"/>
      <c r="V373" s="476"/>
      <c r="W373" s="482"/>
    </row>
    <row r="374" spans="1:23" s="69" customFormat="1" ht="14.25" customHeight="1">
      <c r="A374" s="483" t="s">
        <v>2827</v>
      </c>
      <c r="B374" s="486" t="s">
        <v>308</v>
      </c>
      <c r="C374" s="487" t="s">
        <v>439</v>
      </c>
      <c r="D374" s="429" t="s">
        <v>2919</v>
      </c>
      <c r="E374" s="476" t="s">
        <v>1385</v>
      </c>
      <c r="F374" s="476" t="s">
        <v>428</v>
      </c>
      <c r="G374" s="476" t="s">
        <v>1772</v>
      </c>
      <c r="H374" s="476" t="s">
        <v>43</v>
      </c>
      <c r="I374" s="476"/>
      <c r="J374" s="476" t="s">
        <v>45</v>
      </c>
      <c r="K374" s="476" t="s">
        <v>45</v>
      </c>
      <c r="L374" s="476" t="s">
        <v>803</v>
      </c>
      <c r="M374" s="476" t="s">
        <v>804</v>
      </c>
      <c r="N374" s="476">
        <v>20.179939999999998</v>
      </c>
      <c r="O374" s="476">
        <v>92.831879000000001</v>
      </c>
      <c r="P374" s="476" t="s">
        <v>770</v>
      </c>
      <c r="Q374" s="476" t="s">
        <v>789</v>
      </c>
      <c r="R374" s="482">
        <v>981</v>
      </c>
      <c r="S374" s="483">
        <v>5936</v>
      </c>
      <c r="T374" s="502"/>
      <c r="U374" s="484"/>
      <c r="V374" s="476" t="s">
        <v>872</v>
      </c>
      <c r="W374" s="482"/>
    </row>
    <row r="375" spans="1:23" s="69" customFormat="1" ht="14.25" customHeight="1">
      <c r="A375" s="483" t="s">
        <v>2827</v>
      </c>
      <c r="B375" s="486" t="s">
        <v>308</v>
      </c>
      <c r="C375" s="487" t="s">
        <v>441</v>
      </c>
      <c r="D375" s="429" t="s">
        <v>2919</v>
      </c>
      <c r="E375" s="476" t="s">
        <v>1388</v>
      </c>
      <c r="F375" s="476"/>
      <c r="G375" s="476"/>
      <c r="H375" s="476" t="s">
        <v>43</v>
      </c>
      <c r="I375" s="476"/>
      <c r="J375" s="476" t="s">
        <v>45</v>
      </c>
      <c r="K375" s="476" t="s">
        <v>45</v>
      </c>
      <c r="L375" s="476" t="s">
        <v>781</v>
      </c>
      <c r="M375" s="476" t="s">
        <v>804</v>
      </c>
      <c r="N375" s="476">
        <v>20.181742</v>
      </c>
      <c r="O375" s="476">
        <v>92.842230000000001</v>
      </c>
      <c r="P375" s="476" t="s">
        <v>782</v>
      </c>
      <c r="Q375" s="476"/>
      <c r="R375" s="482">
        <v>496</v>
      </c>
      <c r="S375" s="483">
        <v>2942</v>
      </c>
      <c r="T375" s="502">
        <v>42745</v>
      </c>
      <c r="U375" s="484" t="s">
        <v>866</v>
      </c>
      <c r="V375" s="476"/>
      <c r="W375" s="482"/>
    </row>
    <row r="376" spans="1:23" s="69" customFormat="1" ht="14.25" customHeight="1">
      <c r="A376" s="483" t="s">
        <v>2827</v>
      </c>
      <c r="B376" s="486" t="s">
        <v>308</v>
      </c>
      <c r="C376" s="487" t="s">
        <v>2771</v>
      </c>
      <c r="D376" s="481" t="s">
        <v>1685</v>
      </c>
      <c r="E376" s="476"/>
      <c r="F376" s="476"/>
      <c r="G376" s="476"/>
      <c r="H376" s="476"/>
      <c r="I376" s="476"/>
      <c r="J376" s="476" t="s">
        <v>807</v>
      </c>
      <c r="K376" s="476" t="s">
        <v>807</v>
      </c>
      <c r="L376" s="476" t="s">
        <v>807</v>
      </c>
      <c r="M376" s="476" t="s">
        <v>804</v>
      </c>
      <c r="N376" s="476"/>
      <c r="O376" s="476"/>
      <c r="P376" s="476" t="s">
        <v>932</v>
      </c>
      <c r="Q376" s="476" t="s">
        <v>771</v>
      </c>
      <c r="R376" s="490"/>
      <c r="S376" s="483"/>
      <c r="T376" s="502">
        <v>42811</v>
      </c>
      <c r="U376" s="484"/>
      <c r="V376" s="476"/>
      <c r="W376" s="482"/>
    </row>
    <row r="377" spans="1:23" s="69" customFormat="1" ht="14.25" customHeight="1">
      <c r="A377" s="483" t="s">
        <v>2827</v>
      </c>
      <c r="B377" s="486" t="s">
        <v>308</v>
      </c>
      <c r="C377" s="487" t="s">
        <v>447</v>
      </c>
      <c r="D377" s="481" t="s">
        <v>1685</v>
      </c>
      <c r="E377" s="476">
        <v>196147</v>
      </c>
      <c r="F377" s="476"/>
      <c r="G377" s="476"/>
      <c r="H377" s="476"/>
      <c r="I377" s="476"/>
      <c r="J377" s="476" t="s">
        <v>807</v>
      </c>
      <c r="K377" s="476" t="s">
        <v>807</v>
      </c>
      <c r="L377" s="476" t="s">
        <v>807</v>
      </c>
      <c r="M377" s="476" t="s">
        <v>804</v>
      </c>
      <c r="N377" s="476">
        <v>20.193460460000001</v>
      </c>
      <c r="O377" s="476">
        <v>92.867782590000004</v>
      </c>
      <c r="P377" s="476" t="s">
        <v>808</v>
      </c>
      <c r="Q377" s="476" t="s">
        <v>771</v>
      </c>
      <c r="R377" s="490"/>
      <c r="S377" s="483"/>
      <c r="T377" s="502">
        <v>42811</v>
      </c>
      <c r="U377" s="484"/>
      <c r="V377" s="476"/>
      <c r="W377" s="482"/>
    </row>
    <row r="378" spans="1:23" s="69" customFormat="1" ht="14.25" customHeight="1">
      <c r="A378" s="483" t="s">
        <v>2827</v>
      </c>
      <c r="B378" s="486" t="s">
        <v>308</v>
      </c>
      <c r="C378" s="487" t="s">
        <v>1155</v>
      </c>
      <c r="D378" s="481" t="s">
        <v>1685</v>
      </c>
      <c r="E378" s="476"/>
      <c r="F378" s="476"/>
      <c r="G378" s="476"/>
      <c r="H378" s="476"/>
      <c r="I378" s="476"/>
      <c r="J378" s="476" t="s">
        <v>807</v>
      </c>
      <c r="K378" s="476" t="s">
        <v>807</v>
      </c>
      <c r="L378" s="476" t="s">
        <v>807</v>
      </c>
      <c r="M378" s="476" t="s">
        <v>804</v>
      </c>
      <c r="N378" s="476"/>
      <c r="O378" s="476"/>
      <c r="P378" s="476" t="s">
        <v>808</v>
      </c>
      <c r="Q378" s="476" t="s">
        <v>789</v>
      </c>
      <c r="R378" s="490"/>
      <c r="S378" s="483"/>
      <c r="T378" s="502"/>
      <c r="U378" s="484"/>
      <c r="V378" s="476" t="s">
        <v>1155</v>
      </c>
      <c r="W378" s="482"/>
    </row>
    <row r="379" spans="1:23" s="69" customFormat="1" ht="14.25" customHeight="1">
      <c r="A379" s="483" t="s">
        <v>2827</v>
      </c>
      <c r="B379" s="486" t="s">
        <v>308</v>
      </c>
      <c r="C379" s="487" t="s">
        <v>2292</v>
      </c>
      <c r="D379" s="481"/>
      <c r="E379" s="476">
        <v>196193</v>
      </c>
      <c r="F379" s="476" t="s">
        <v>2292</v>
      </c>
      <c r="G379" s="476"/>
      <c r="H379" s="476"/>
      <c r="I379" s="476"/>
      <c r="J379" s="476" t="s">
        <v>807</v>
      </c>
      <c r="K379" s="476" t="s">
        <v>807</v>
      </c>
      <c r="L379" s="476" t="s">
        <v>807</v>
      </c>
      <c r="M379" s="476"/>
      <c r="N379" s="476">
        <v>20.1663494110107</v>
      </c>
      <c r="O379" s="476">
        <v>92.871902465820298</v>
      </c>
      <c r="P379" s="476"/>
      <c r="Q379" s="476"/>
      <c r="R379" s="490"/>
      <c r="S379" s="483"/>
      <c r="T379" s="502"/>
      <c r="U379" s="484"/>
      <c r="V379" s="476"/>
      <c r="W379" s="482"/>
    </row>
    <row r="380" spans="1:23" s="69" customFormat="1" ht="14.25" customHeight="1">
      <c r="A380" s="483" t="s">
        <v>2827</v>
      </c>
      <c r="B380" s="486" t="s">
        <v>308</v>
      </c>
      <c r="C380" s="487" t="s">
        <v>887</v>
      </c>
      <c r="D380" s="481" t="s">
        <v>1685</v>
      </c>
      <c r="E380" s="476">
        <v>196129</v>
      </c>
      <c r="F380" s="476" t="s">
        <v>887</v>
      </c>
      <c r="G380" s="476"/>
      <c r="H380" s="476"/>
      <c r="I380" s="476"/>
      <c r="J380" s="476" t="s">
        <v>888</v>
      </c>
      <c r="K380" s="476" t="s">
        <v>807</v>
      </c>
      <c r="L380" s="476" t="s">
        <v>888</v>
      </c>
      <c r="M380" s="476" t="s">
        <v>307</v>
      </c>
      <c r="N380" s="476">
        <v>20.226730346679702</v>
      </c>
      <c r="O380" s="476">
        <v>92.836929321289105</v>
      </c>
      <c r="P380" s="476" t="s">
        <v>808</v>
      </c>
      <c r="Q380" s="476" t="s">
        <v>811</v>
      </c>
      <c r="R380" s="490"/>
      <c r="S380" s="483"/>
      <c r="T380" s="502">
        <v>42926</v>
      </c>
      <c r="U380" s="484"/>
      <c r="V380" s="476" t="s">
        <v>887</v>
      </c>
      <c r="W380" s="482"/>
    </row>
    <row r="381" spans="1:23" s="69" customFormat="1" ht="14.25" customHeight="1">
      <c r="A381" s="483" t="s">
        <v>2827</v>
      </c>
      <c r="B381" s="480" t="s">
        <v>308</v>
      </c>
      <c r="C381" s="480" t="s">
        <v>2756</v>
      </c>
      <c r="D381" s="429"/>
      <c r="E381" s="476">
        <v>196136</v>
      </c>
      <c r="F381" s="476" t="s">
        <v>2895</v>
      </c>
      <c r="G381" s="476"/>
      <c r="H381" s="476"/>
      <c r="I381" s="476"/>
      <c r="J381" s="476" t="s">
        <v>807</v>
      </c>
      <c r="K381" s="476" t="s">
        <v>807</v>
      </c>
      <c r="L381" s="476" t="s">
        <v>807</v>
      </c>
      <c r="M381" s="476"/>
      <c r="N381" s="476">
        <v>20.1899604797363</v>
      </c>
      <c r="O381" s="476">
        <v>92.895767211914105</v>
      </c>
      <c r="P381" s="476"/>
      <c r="Q381" s="476"/>
      <c r="R381" s="482"/>
      <c r="S381" s="483"/>
      <c r="T381" s="502"/>
      <c r="U381" s="484"/>
      <c r="V381" s="476"/>
      <c r="W381" s="482"/>
    </row>
    <row r="382" spans="1:23" s="69" customFormat="1" ht="14.25" customHeight="1">
      <c r="A382" s="483" t="s">
        <v>2827</v>
      </c>
      <c r="B382" s="486" t="s">
        <v>308</v>
      </c>
      <c r="C382" s="487" t="s">
        <v>2069</v>
      </c>
      <c r="D382" s="481"/>
      <c r="E382" s="476">
        <v>196181</v>
      </c>
      <c r="F382" s="476" t="s">
        <v>2069</v>
      </c>
      <c r="G382" s="476"/>
      <c r="H382" s="476"/>
      <c r="I382" s="476"/>
      <c r="J382" s="476" t="s">
        <v>807</v>
      </c>
      <c r="K382" s="476" t="s">
        <v>807</v>
      </c>
      <c r="L382" s="476" t="s">
        <v>807</v>
      </c>
      <c r="M382" s="476"/>
      <c r="N382" s="476">
        <v>20.227340699999999</v>
      </c>
      <c r="O382" s="476">
        <v>92.893341059999997</v>
      </c>
      <c r="P382" s="476" t="s">
        <v>808</v>
      </c>
      <c r="Q382" s="476"/>
      <c r="R382" s="490"/>
      <c r="S382" s="483"/>
      <c r="T382" s="502">
        <v>43297</v>
      </c>
      <c r="U382" s="484"/>
      <c r="V382" s="476"/>
      <c r="W382" s="482"/>
    </row>
    <row r="383" spans="1:23" s="69" customFormat="1" ht="14.25" customHeight="1">
      <c r="A383" s="483" t="s">
        <v>2827</v>
      </c>
      <c r="B383" s="486" t="s">
        <v>308</v>
      </c>
      <c r="C383" s="487" t="s">
        <v>2064</v>
      </c>
      <c r="D383" s="481"/>
      <c r="E383" s="476">
        <v>196161</v>
      </c>
      <c r="F383" s="476" t="s">
        <v>2065</v>
      </c>
      <c r="G383" s="476"/>
      <c r="H383" s="476"/>
      <c r="I383" s="476"/>
      <c r="J383" s="476" t="s">
        <v>807</v>
      </c>
      <c r="K383" s="476" t="s">
        <v>807</v>
      </c>
      <c r="L383" s="476" t="s">
        <v>807</v>
      </c>
      <c r="M383" s="476" t="s">
        <v>307</v>
      </c>
      <c r="N383" s="476">
        <v>20.257850650000002</v>
      </c>
      <c r="O383" s="476">
        <v>92.811126709999996</v>
      </c>
      <c r="P383" s="476" t="s">
        <v>808</v>
      </c>
      <c r="Q383" s="476"/>
      <c r="R383" s="490"/>
      <c r="S383" s="483"/>
      <c r="T383" s="502">
        <v>43294</v>
      </c>
      <c r="U383" s="484"/>
      <c r="V383" s="476"/>
      <c r="W383" s="482"/>
    </row>
    <row r="384" spans="1:23" s="69" customFormat="1" ht="14.25" customHeight="1">
      <c r="A384" s="483" t="s">
        <v>2827</v>
      </c>
      <c r="B384" s="486" t="s">
        <v>308</v>
      </c>
      <c r="C384" s="487" t="s">
        <v>2063</v>
      </c>
      <c r="D384" s="481"/>
      <c r="E384" s="476">
        <v>196168</v>
      </c>
      <c r="F384" s="476" t="s">
        <v>459</v>
      </c>
      <c r="G384" s="476"/>
      <c r="H384" s="476"/>
      <c r="I384" s="476"/>
      <c r="J384" s="476" t="s">
        <v>807</v>
      </c>
      <c r="K384" s="476" t="s">
        <v>807</v>
      </c>
      <c r="L384" s="476" t="s">
        <v>807</v>
      </c>
      <c r="M384" s="476" t="s">
        <v>1943</v>
      </c>
      <c r="N384" s="476">
        <v>20.223510739999998</v>
      </c>
      <c r="O384" s="476">
        <v>92.86984253</v>
      </c>
      <c r="P384" s="476" t="s">
        <v>808</v>
      </c>
      <c r="Q384" s="476"/>
      <c r="R384" s="490"/>
      <c r="S384" s="483"/>
      <c r="T384" s="502">
        <v>43294</v>
      </c>
      <c r="U384" s="484"/>
      <c r="V384" s="476"/>
      <c r="W384" s="482"/>
    </row>
    <row r="385" spans="1:23" s="69" customFormat="1" ht="14.25" customHeight="1">
      <c r="A385" s="483" t="s">
        <v>2827</v>
      </c>
      <c r="B385" s="480" t="s">
        <v>308</v>
      </c>
      <c r="C385" s="480" t="s">
        <v>682</v>
      </c>
      <c r="D385" s="429"/>
      <c r="E385" s="480">
        <v>196208</v>
      </c>
      <c r="F385" s="480" t="s">
        <v>682</v>
      </c>
      <c r="G385" s="476"/>
      <c r="H385" s="476"/>
      <c r="I385" s="476"/>
      <c r="J385" s="476" t="s">
        <v>807</v>
      </c>
      <c r="K385" s="480" t="s">
        <v>807</v>
      </c>
      <c r="L385" s="480" t="s">
        <v>807</v>
      </c>
      <c r="M385" s="476"/>
      <c r="N385" s="476">
        <v>20.128850936889599</v>
      </c>
      <c r="O385" s="480">
        <v>92.872497558593807</v>
      </c>
      <c r="P385" s="476"/>
      <c r="Q385" s="476"/>
      <c r="R385" s="482"/>
      <c r="S385" s="482"/>
      <c r="T385" s="502"/>
      <c r="U385" s="484"/>
      <c r="V385" s="476"/>
      <c r="W385" s="482"/>
    </row>
    <row r="386" spans="1:23" s="69" customFormat="1" ht="14.25" customHeight="1">
      <c r="A386" s="483" t="s">
        <v>2827</v>
      </c>
      <c r="B386" s="486" t="s">
        <v>308</v>
      </c>
      <c r="C386" s="487" t="s">
        <v>1906</v>
      </c>
      <c r="D386" s="481" t="s">
        <v>1904</v>
      </c>
      <c r="E386" s="476"/>
      <c r="F386" s="476"/>
      <c r="G386" s="476"/>
      <c r="H386" s="476"/>
      <c r="I386" s="476"/>
      <c r="J386" s="476" t="s">
        <v>807</v>
      </c>
      <c r="K386" s="476" t="s">
        <v>807</v>
      </c>
      <c r="L386" s="476" t="s">
        <v>807</v>
      </c>
      <c r="M386" s="476"/>
      <c r="N386" s="476"/>
      <c r="O386" s="476"/>
      <c r="P386" s="476" t="s">
        <v>808</v>
      </c>
      <c r="Q386" s="476"/>
      <c r="R386" s="490"/>
      <c r="S386" s="483"/>
      <c r="T386" s="502"/>
      <c r="U386" s="484"/>
      <c r="V386" s="476"/>
      <c r="W386" s="482"/>
    </row>
    <row r="387" spans="1:23" s="69" customFormat="1" ht="14.25" customHeight="1">
      <c r="A387" s="483" t="s">
        <v>2827</v>
      </c>
      <c r="B387" s="486" t="s">
        <v>308</v>
      </c>
      <c r="C387" s="487" t="s">
        <v>451</v>
      </c>
      <c r="D387" s="481" t="s">
        <v>1685</v>
      </c>
      <c r="E387" s="476">
        <v>196159</v>
      </c>
      <c r="F387" s="476"/>
      <c r="G387" s="476"/>
      <c r="H387" s="476"/>
      <c r="I387" s="476"/>
      <c r="J387" s="476" t="s">
        <v>807</v>
      </c>
      <c r="K387" s="476" t="s">
        <v>807</v>
      </c>
      <c r="L387" s="476" t="s">
        <v>807</v>
      </c>
      <c r="M387" s="476" t="s">
        <v>307</v>
      </c>
      <c r="N387" s="476">
        <v>20.2023601531982</v>
      </c>
      <c r="O387" s="476">
        <v>92.812782287597699</v>
      </c>
      <c r="P387" s="476" t="s">
        <v>808</v>
      </c>
      <c r="Q387" s="476" t="s">
        <v>789</v>
      </c>
      <c r="R387" s="490"/>
      <c r="S387" s="483"/>
      <c r="T387" s="502"/>
      <c r="U387" s="484"/>
      <c r="V387" s="476" t="s">
        <v>451</v>
      </c>
      <c r="W387" s="482"/>
    </row>
    <row r="388" spans="1:23" s="69" customFormat="1" ht="14.25" customHeight="1">
      <c r="A388" s="483" t="s">
        <v>39</v>
      </c>
      <c r="B388" s="486" t="s">
        <v>198</v>
      </c>
      <c r="C388" s="487" t="s">
        <v>3089</v>
      </c>
      <c r="D388" s="481"/>
      <c r="E388" s="476"/>
      <c r="F388" s="476"/>
      <c r="G388" s="476"/>
      <c r="H388" s="476"/>
      <c r="I388" s="476"/>
      <c r="J388" s="480" t="s">
        <v>1476</v>
      </c>
      <c r="K388" s="476" t="s">
        <v>45</v>
      </c>
      <c r="L388" s="476" t="s">
        <v>1108</v>
      </c>
      <c r="M388" s="476" t="s">
        <v>46</v>
      </c>
      <c r="N388" s="476"/>
      <c r="O388" s="476"/>
      <c r="P388" s="476" t="s">
        <v>770</v>
      </c>
      <c r="Q388" s="476" t="s">
        <v>3061</v>
      </c>
      <c r="R388" s="490"/>
      <c r="S388" s="483"/>
      <c r="T388" s="502">
        <v>43749</v>
      </c>
      <c r="U388" s="490"/>
      <c r="V388" s="476"/>
      <c r="W388" s="482"/>
    </row>
    <row r="389" spans="1:23" s="69" customFormat="1" ht="14.25" customHeight="1">
      <c r="A389" s="476" t="s">
        <v>39</v>
      </c>
      <c r="B389" s="476" t="s">
        <v>198</v>
      </c>
      <c r="C389" s="476" t="s">
        <v>1095</v>
      </c>
      <c r="D389" s="429"/>
      <c r="E389" s="476"/>
      <c r="F389" s="476"/>
      <c r="G389" s="476"/>
      <c r="H389" s="476"/>
      <c r="I389" s="476"/>
      <c r="J389" s="476" t="s">
        <v>1476</v>
      </c>
      <c r="K389" s="476" t="s">
        <v>45</v>
      </c>
      <c r="L389" s="476" t="s">
        <v>1096</v>
      </c>
      <c r="M389" s="476" t="s">
        <v>46</v>
      </c>
      <c r="N389" s="476"/>
      <c r="O389" s="476"/>
      <c r="P389" s="476" t="s">
        <v>770</v>
      </c>
      <c r="Q389" s="476"/>
      <c r="R389" s="482"/>
      <c r="S389" s="483"/>
      <c r="T389" s="502"/>
      <c r="U389" s="484"/>
      <c r="V389" s="476" t="s">
        <v>1095</v>
      </c>
      <c r="W389" s="476"/>
    </row>
    <row r="390" spans="1:23" s="69" customFormat="1" ht="14.25" customHeight="1">
      <c r="A390" s="476" t="s">
        <v>39</v>
      </c>
      <c r="B390" s="476" t="s">
        <v>198</v>
      </c>
      <c r="C390" s="476" t="s">
        <v>280</v>
      </c>
      <c r="D390" s="429" t="s">
        <v>3135</v>
      </c>
      <c r="E390" s="476" t="s">
        <v>1509</v>
      </c>
      <c r="F390" s="476" t="s">
        <v>1814</v>
      </c>
      <c r="G390" s="476" t="s">
        <v>1814</v>
      </c>
      <c r="H390" s="476" t="s">
        <v>43</v>
      </c>
      <c r="I390" s="476" t="s">
        <v>44</v>
      </c>
      <c r="J390" s="476" t="s">
        <v>45</v>
      </c>
      <c r="K390" s="476" t="s">
        <v>45</v>
      </c>
      <c r="L390" s="476" t="s">
        <v>45</v>
      </c>
      <c r="M390" s="476" t="s">
        <v>46</v>
      </c>
      <c r="N390" s="476">
        <v>24.260719999999999</v>
      </c>
      <c r="O390" s="476">
        <v>97.238829999999993</v>
      </c>
      <c r="P390" s="476" t="s">
        <v>770</v>
      </c>
      <c r="Q390" s="476" t="s">
        <v>789</v>
      </c>
      <c r="R390" s="482">
        <v>217</v>
      </c>
      <c r="S390" s="482">
        <v>1059</v>
      </c>
      <c r="T390" s="502"/>
      <c r="U390" s="484"/>
      <c r="V390" s="476" t="s">
        <v>280</v>
      </c>
      <c r="W390" s="476"/>
    </row>
    <row r="391" spans="1:23" s="69" customFormat="1" ht="14.25" customHeight="1">
      <c r="A391" s="476" t="s">
        <v>39</v>
      </c>
      <c r="B391" s="476" t="s">
        <v>198</v>
      </c>
      <c r="C391" s="476" t="s">
        <v>199</v>
      </c>
      <c r="D391" s="429" t="s">
        <v>3135</v>
      </c>
      <c r="E391" s="476" t="s">
        <v>1508</v>
      </c>
      <c r="F391" s="476" t="s">
        <v>1813</v>
      </c>
      <c r="G391" s="476" t="s">
        <v>1813</v>
      </c>
      <c r="H391" s="476" t="s">
        <v>43</v>
      </c>
      <c r="I391" s="476" t="s">
        <v>2854</v>
      </c>
      <c r="J391" s="476" t="s">
        <v>45</v>
      </c>
      <c r="K391" s="476" t="s">
        <v>45</v>
      </c>
      <c r="L391" s="476" t="s">
        <v>45</v>
      </c>
      <c r="M391" s="476" t="s">
        <v>46</v>
      </c>
      <c r="N391" s="476">
        <v>24.260466999999998</v>
      </c>
      <c r="O391" s="476">
        <v>97.252650000000003</v>
      </c>
      <c r="P391" s="476" t="s">
        <v>770</v>
      </c>
      <c r="Q391" s="476" t="s">
        <v>789</v>
      </c>
      <c r="R391" s="482">
        <v>12</v>
      </c>
      <c r="S391" s="482">
        <v>52</v>
      </c>
      <c r="T391" s="502"/>
      <c r="U391" s="484"/>
      <c r="V391" s="476" t="s">
        <v>199</v>
      </c>
      <c r="W391" s="476"/>
    </row>
    <row r="392" spans="1:23" s="69" customFormat="1" ht="14.25" customHeight="1">
      <c r="A392" s="476" t="s">
        <v>39</v>
      </c>
      <c r="B392" s="476" t="s">
        <v>198</v>
      </c>
      <c r="C392" s="476" t="s">
        <v>1103</v>
      </c>
      <c r="D392" s="429" t="s">
        <v>1685</v>
      </c>
      <c r="E392" s="476"/>
      <c r="F392" s="476"/>
      <c r="G392" s="476"/>
      <c r="H392" s="476"/>
      <c r="I392" s="476"/>
      <c r="J392" s="476" t="s">
        <v>807</v>
      </c>
      <c r="K392" s="476" t="s">
        <v>807</v>
      </c>
      <c r="L392" s="476" t="s">
        <v>807</v>
      </c>
      <c r="M392" s="476" t="s">
        <v>46</v>
      </c>
      <c r="N392" s="476"/>
      <c r="O392" s="476"/>
      <c r="P392" s="476" t="s">
        <v>808</v>
      </c>
      <c r="Q392" s="476"/>
      <c r="R392" s="482"/>
      <c r="S392" s="483"/>
      <c r="T392" s="502"/>
      <c r="U392" s="484"/>
      <c r="V392" s="476"/>
      <c r="W392" s="476"/>
    </row>
    <row r="393" spans="1:23" s="69" customFormat="1" ht="14.25" customHeight="1">
      <c r="A393" s="476" t="s">
        <v>39</v>
      </c>
      <c r="B393" s="476" t="s">
        <v>198</v>
      </c>
      <c r="C393" s="476" t="s">
        <v>1018</v>
      </c>
      <c r="D393" s="429" t="s">
        <v>3135</v>
      </c>
      <c r="E393" s="476" t="s">
        <v>1512</v>
      </c>
      <c r="F393" s="476"/>
      <c r="G393" s="476"/>
      <c r="H393" s="476"/>
      <c r="I393" s="476" t="s">
        <v>2181</v>
      </c>
      <c r="J393" s="476" t="s">
        <v>45</v>
      </c>
      <c r="K393" s="476" t="s">
        <v>45</v>
      </c>
      <c r="L393" s="476" t="s">
        <v>781</v>
      </c>
      <c r="M393" s="476" t="s">
        <v>46</v>
      </c>
      <c r="N393" s="476">
        <v>24.263786</v>
      </c>
      <c r="O393" s="476">
        <v>97.228835000000004</v>
      </c>
      <c r="P393" s="476" t="s">
        <v>782</v>
      </c>
      <c r="Q393" s="476" t="s">
        <v>771</v>
      </c>
      <c r="R393" s="482">
        <v>181</v>
      </c>
      <c r="S393" s="482">
        <v>906</v>
      </c>
      <c r="T393" s="502"/>
      <c r="U393" s="484" t="s">
        <v>1019</v>
      </c>
      <c r="V393" s="476" t="s">
        <v>781</v>
      </c>
      <c r="W393" s="476"/>
    </row>
    <row r="394" spans="1:23" s="69" customFormat="1" ht="14.25" customHeight="1">
      <c r="A394" s="476" t="s">
        <v>39</v>
      </c>
      <c r="B394" s="476" t="s">
        <v>198</v>
      </c>
      <c r="C394" s="476" t="s">
        <v>777</v>
      </c>
      <c r="D394" s="429" t="s">
        <v>1686</v>
      </c>
      <c r="E394" s="476" t="s">
        <v>1339</v>
      </c>
      <c r="F394" s="476">
        <v>0</v>
      </c>
      <c r="G394" s="476">
        <v>0</v>
      </c>
      <c r="H394" s="476"/>
      <c r="I394" s="476">
        <v>0</v>
      </c>
      <c r="J394" s="476" t="s">
        <v>45</v>
      </c>
      <c r="K394" s="476" t="s">
        <v>45</v>
      </c>
      <c r="L394" s="476" t="s">
        <v>769</v>
      </c>
      <c r="M394" s="476" t="s">
        <v>46</v>
      </c>
      <c r="N394" s="476"/>
      <c r="O394" s="476"/>
      <c r="P394" s="476" t="s">
        <v>770</v>
      </c>
      <c r="Q394" s="476"/>
      <c r="R394" s="482"/>
      <c r="S394" s="483"/>
      <c r="T394" s="502"/>
      <c r="U394" s="484"/>
      <c r="V394" s="476" t="s">
        <v>777</v>
      </c>
      <c r="W394" s="476" t="s">
        <v>2182</v>
      </c>
    </row>
    <row r="395" spans="1:23" s="69" customFormat="1" ht="14.25" customHeight="1">
      <c r="A395" s="476" t="s">
        <v>39</v>
      </c>
      <c r="B395" s="476" t="s">
        <v>198</v>
      </c>
      <c r="C395" s="476" t="s">
        <v>201</v>
      </c>
      <c r="D395" s="429" t="s">
        <v>3135</v>
      </c>
      <c r="E395" s="476" t="s">
        <v>1500</v>
      </c>
      <c r="F395" s="476" t="s">
        <v>1811</v>
      </c>
      <c r="G395" s="476" t="s">
        <v>1812</v>
      </c>
      <c r="H395" s="476" t="s">
        <v>43</v>
      </c>
      <c r="I395" s="476" t="s">
        <v>2854</v>
      </c>
      <c r="J395" s="476" t="s">
        <v>45</v>
      </c>
      <c r="K395" s="476" t="s">
        <v>45</v>
      </c>
      <c r="L395" s="476" t="s">
        <v>45</v>
      </c>
      <c r="M395" s="476" t="s">
        <v>46</v>
      </c>
      <c r="N395" s="476">
        <v>24.24766</v>
      </c>
      <c r="O395" s="476">
        <v>97.236919999999998</v>
      </c>
      <c r="P395" s="476" t="s">
        <v>770</v>
      </c>
      <c r="Q395" s="476" t="s">
        <v>789</v>
      </c>
      <c r="R395" s="482">
        <v>40</v>
      </c>
      <c r="S395" s="482">
        <v>234</v>
      </c>
      <c r="T395" s="502"/>
      <c r="U395" s="484"/>
      <c r="V395" s="476" t="s">
        <v>201</v>
      </c>
      <c r="W395" s="476"/>
    </row>
    <row r="396" spans="1:23" s="69" customFormat="1" ht="14.25" customHeight="1">
      <c r="A396" s="476" t="s">
        <v>39</v>
      </c>
      <c r="B396" s="476" t="s">
        <v>198</v>
      </c>
      <c r="C396" s="476" t="s">
        <v>1017</v>
      </c>
      <c r="D396" s="429" t="s">
        <v>1686</v>
      </c>
      <c r="E396" s="476" t="s">
        <v>1510</v>
      </c>
      <c r="F396" s="476">
        <v>0</v>
      </c>
      <c r="G396" s="476">
        <v>0</v>
      </c>
      <c r="H396" s="476"/>
      <c r="I396" s="476">
        <v>0</v>
      </c>
      <c r="J396" s="476" t="s">
        <v>45</v>
      </c>
      <c r="K396" s="476" t="s">
        <v>45</v>
      </c>
      <c r="L396" s="476" t="s">
        <v>769</v>
      </c>
      <c r="M396" s="476" t="s">
        <v>46</v>
      </c>
      <c r="N396" s="476">
        <v>24.262418019999998</v>
      </c>
      <c r="O396" s="476">
        <v>97.221556500000005</v>
      </c>
      <c r="P396" s="476" t="s">
        <v>770</v>
      </c>
      <c r="Q396" s="476"/>
      <c r="R396" s="482"/>
      <c r="S396" s="483"/>
      <c r="T396" s="502"/>
      <c r="U396" s="484"/>
      <c r="V396" s="476" t="s">
        <v>1017</v>
      </c>
      <c r="W396" s="476" t="s">
        <v>2183</v>
      </c>
    </row>
    <row r="397" spans="1:23" s="69" customFormat="1" ht="14.25" customHeight="1">
      <c r="A397" s="476" t="s">
        <v>39</v>
      </c>
      <c r="B397" s="476" t="s">
        <v>198</v>
      </c>
      <c r="C397" s="476" t="s">
        <v>203</v>
      </c>
      <c r="D397" s="429" t="s">
        <v>3135</v>
      </c>
      <c r="E397" s="476" t="s">
        <v>1511</v>
      </c>
      <c r="F397" s="476" t="s">
        <v>1814</v>
      </c>
      <c r="G397" s="476" t="s">
        <v>1814</v>
      </c>
      <c r="H397" s="476" t="s">
        <v>43</v>
      </c>
      <c r="I397" s="476" t="s">
        <v>245</v>
      </c>
      <c r="J397" s="476" t="s">
        <v>45</v>
      </c>
      <c r="K397" s="476" t="s">
        <v>45</v>
      </c>
      <c r="L397" s="476" t="s">
        <v>45</v>
      </c>
      <c r="M397" s="476" t="s">
        <v>46</v>
      </c>
      <c r="N397" s="476">
        <v>24.2631743589744</v>
      </c>
      <c r="O397" s="476">
        <v>97.240183461538507</v>
      </c>
      <c r="P397" s="476" t="s">
        <v>770</v>
      </c>
      <c r="Q397" s="476" t="s">
        <v>789</v>
      </c>
      <c r="R397" s="482">
        <v>139</v>
      </c>
      <c r="S397" s="482">
        <v>779</v>
      </c>
      <c r="T397" s="502"/>
      <c r="U397" s="484"/>
      <c r="V397" s="476" t="s">
        <v>203</v>
      </c>
      <c r="W397" s="476"/>
    </row>
    <row r="398" spans="1:23" s="69" customFormat="1" ht="14.25" customHeight="1">
      <c r="A398" s="483" t="s">
        <v>39</v>
      </c>
      <c r="B398" s="476" t="s">
        <v>198</v>
      </c>
      <c r="C398" s="393" t="s">
        <v>3128</v>
      </c>
      <c r="D398" s="481"/>
      <c r="E398" s="476"/>
      <c r="F398" s="476"/>
      <c r="G398" s="476"/>
      <c r="H398" s="476"/>
      <c r="I398" s="476"/>
      <c r="J398" s="476" t="s">
        <v>1476</v>
      </c>
      <c r="K398" s="476" t="s">
        <v>45</v>
      </c>
      <c r="L398" s="476" t="s">
        <v>785</v>
      </c>
      <c r="M398" s="476" t="s">
        <v>46</v>
      </c>
      <c r="N398" s="476"/>
      <c r="O398" s="476"/>
      <c r="P398" s="476" t="s">
        <v>770</v>
      </c>
      <c r="Q398" s="476"/>
      <c r="R398" s="490"/>
      <c r="S398" s="483"/>
      <c r="T398" s="502">
        <v>43774</v>
      </c>
      <c r="U398" s="484" t="s">
        <v>3129</v>
      </c>
      <c r="V398" s="393" t="s">
        <v>2072</v>
      </c>
      <c r="W398" s="476"/>
    </row>
    <row r="399" spans="1:23" s="69" customFormat="1" ht="14.25" customHeight="1">
      <c r="A399" s="476" t="s">
        <v>39</v>
      </c>
      <c r="B399" s="476" t="s">
        <v>198</v>
      </c>
      <c r="C399" s="476" t="s">
        <v>204</v>
      </c>
      <c r="D399" s="429" t="s">
        <v>3135</v>
      </c>
      <c r="E399" s="476" t="s">
        <v>1506</v>
      </c>
      <c r="F399" s="476" t="s">
        <v>1811</v>
      </c>
      <c r="G399" s="476" t="s">
        <v>1812</v>
      </c>
      <c r="H399" s="476" t="s">
        <v>43</v>
      </c>
      <c r="I399" s="476" t="s">
        <v>245</v>
      </c>
      <c r="J399" s="476" t="s">
        <v>45</v>
      </c>
      <c r="K399" s="476" t="s">
        <v>45</v>
      </c>
      <c r="L399" s="476" t="s">
        <v>45</v>
      </c>
      <c r="M399" s="476" t="s">
        <v>46</v>
      </c>
      <c r="N399" s="476">
        <v>24.253067000000001</v>
      </c>
      <c r="O399" s="476">
        <v>97.234200000000001</v>
      </c>
      <c r="P399" s="476" t="s">
        <v>770</v>
      </c>
      <c r="Q399" s="476" t="s">
        <v>789</v>
      </c>
      <c r="R399" s="482">
        <v>14</v>
      </c>
      <c r="S399" s="482">
        <v>55</v>
      </c>
      <c r="T399" s="502"/>
      <c r="U399" s="484"/>
      <c r="V399" s="476" t="s">
        <v>204</v>
      </c>
      <c r="W399" s="476"/>
    </row>
    <row r="400" spans="1:23" s="69" customFormat="1" ht="14.25" customHeight="1">
      <c r="A400" s="476" t="s">
        <v>39</v>
      </c>
      <c r="B400" s="476" t="s">
        <v>198</v>
      </c>
      <c r="C400" s="476" t="s">
        <v>206</v>
      </c>
      <c r="D400" s="560" t="s">
        <v>3159</v>
      </c>
      <c r="E400" s="476" t="s">
        <v>1516</v>
      </c>
      <c r="F400" s="476" t="s">
        <v>1818</v>
      </c>
      <c r="G400" s="476" t="s">
        <v>1818</v>
      </c>
      <c r="H400" s="476" t="s">
        <v>43</v>
      </c>
      <c r="I400" s="476" t="s">
        <v>44</v>
      </c>
      <c r="J400" s="476" t="s">
        <v>45</v>
      </c>
      <c r="K400" s="476" t="s">
        <v>45</v>
      </c>
      <c r="L400" s="476" t="s">
        <v>45</v>
      </c>
      <c r="M400" s="476" t="s">
        <v>46</v>
      </c>
      <c r="N400" s="476">
        <v>24.32638</v>
      </c>
      <c r="O400" s="476">
        <v>97.315860000000001</v>
      </c>
      <c r="P400" s="476" t="s">
        <v>770</v>
      </c>
      <c r="Q400" s="476" t="s">
        <v>789</v>
      </c>
      <c r="R400" s="482"/>
      <c r="S400" s="482"/>
      <c r="T400" s="502"/>
      <c r="U400" s="484"/>
      <c r="V400" s="476" t="s">
        <v>206</v>
      </c>
      <c r="W400" s="476"/>
    </row>
    <row r="401" spans="1:23" s="69" customFormat="1" ht="14.25" customHeight="1">
      <c r="A401" s="476" t="s">
        <v>39</v>
      </c>
      <c r="B401" s="476" t="s">
        <v>198</v>
      </c>
      <c r="C401" s="476" t="s">
        <v>282</v>
      </c>
      <c r="D401" s="429" t="s">
        <v>3135</v>
      </c>
      <c r="E401" s="476" t="s">
        <v>1497</v>
      </c>
      <c r="F401" s="476" t="s">
        <v>1808</v>
      </c>
      <c r="G401" s="476" t="s">
        <v>1809</v>
      </c>
      <c r="H401" s="476" t="s">
        <v>43</v>
      </c>
      <c r="I401" s="476" t="s">
        <v>2854</v>
      </c>
      <c r="J401" s="476" t="s">
        <v>45</v>
      </c>
      <c r="K401" s="476" t="s">
        <v>45</v>
      </c>
      <c r="L401" s="476" t="s">
        <v>45</v>
      </c>
      <c r="M401" s="476" t="s">
        <v>46</v>
      </c>
      <c r="N401" s="476">
        <v>24.222349999999999</v>
      </c>
      <c r="O401" s="476">
        <v>97.252650000000003</v>
      </c>
      <c r="P401" s="476" t="s">
        <v>770</v>
      </c>
      <c r="Q401" s="476" t="s">
        <v>789</v>
      </c>
      <c r="R401" s="482">
        <v>100</v>
      </c>
      <c r="S401" s="482">
        <v>514</v>
      </c>
      <c r="T401" s="502"/>
      <c r="U401" s="484"/>
      <c r="V401" s="476" t="s">
        <v>282</v>
      </c>
      <c r="W401" s="476"/>
    </row>
    <row r="402" spans="1:23" s="69" customFormat="1" ht="14.25" customHeight="1">
      <c r="A402" s="476" t="s">
        <v>39</v>
      </c>
      <c r="B402" s="480" t="s">
        <v>198</v>
      </c>
      <c r="C402" s="480" t="s">
        <v>283</v>
      </c>
      <c r="D402" s="429" t="s">
        <v>3135</v>
      </c>
      <c r="E402" s="476" t="s">
        <v>1513</v>
      </c>
      <c r="F402" s="480" t="s">
        <v>1811</v>
      </c>
      <c r="G402" s="476" t="s">
        <v>1815</v>
      </c>
      <c r="H402" s="476" t="s">
        <v>43</v>
      </c>
      <c r="I402" s="476" t="s">
        <v>2854</v>
      </c>
      <c r="J402" s="476" t="s">
        <v>45</v>
      </c>
      <c r="K402" s="476" t="s">
        <v>45</v>
      </c>
      <c r="L402" s="476" t="s">
        <v>45</v>
      </c>
      <c r="M402" s="476" t="s">
        <v>46</v>
      </c>
      <c r="N402" s="476">
        <v>24.268292826086999</v>
      </c>
      <c r="O402" s="476">
        <v>97.229116811594196</v>
      </c>
      <c r="P402" s="476" t="s">
        <v>770</v>
      </c>
      <c r="Q402" s="476" t="s">
        <v>789</v>
      </c>
      <c r="R402" s="482">
        <v>639</v>
      </c>
      <c r="S402" s="482">
        <v>4024</v>
      </c>
      <c r="T402" s="502"/>
      <c r="U402" s="484"/>
      <c r="V402" s="476" t="s">
        <v>283</v>
      </c>
      <c r="W402" s="394" t="s">
        <v>2312</v>
      </c>
    </row>
    <row r="403" spans="1:23" s="476" customFormat="1" ht="14.25" customHeight="1">
      <c r="A403" s="487" t="s">
        <v>39</v>
      </c>
      <c r="B403" s="486" t="s">
        <v>198</v>
      </c>
      <c r="C403" s="492" t="s">
        <v>3088</v>
      </c>
      <c r="D403" s="429"/>
      <c r="E403" s="480"/>
      <c r="F403" s="480"/>
      <c r="G403" s="480"/>
      <c r="H403" s="480" t="s">
        <v>139</v>
      </c>
      <c r="I403" s="480"/>
      <c r="J403" s="480" t="s">
        <v>1476</v>
      </c>
      <c r="K403" s="476" t="s">
        <v>45</v>
      </c>
      <c r="L403" s="476" t="s">
        <v>45</v>
      </c>
      <c r="M403" s="476" t="s">
        <v>46</v>
      </c>
      <c r="N403" s="480"/>
      <c r="O403" s="480"/>
      <c r="P403" s="476" t="s">
        <v>770</v>
      </c>
      <c r="Q403" s="480"/>
      <c r="R403" s="491"/>
      <c r="S403" s="487"/>
      <c r="T403" s="503">
        <v>43749</v>
      </c>
      <c r="U403" s="488"/>
      <c r="V403" s="480"/>
    </row>
    <row r="404" spans="1:23" s="69" customFormat="1" ht="14.25" customHeight="1">
      <c r="A404" s="487" t="s">
        <v>39</v>
      </c>
      <c r="B404" s="486" t="s">
        <v>198</v>
      </c>
      <c r="C404" s="492" t="s">
        <v>1678</v>
      </c>
      <c r="D404" s="429"/>
      <c r="E404" s="480"/>
      <c r="F404" s="480"/>
      <c r="G404" s="480"/>
      <c r="H404" s="480" t="s">
        <v>139</v>
      </c>
      <c r="I404" s="480"/>
      <c r="J404" s="480" t="s">
        <v>1476</v>
      </c>
      <c r="K404" s="476" t="s">
        <v>45</v>
      </c>
      <c r="L404" s="476" t="s">
        <v>45</v>
      </c>
      <c r="M404" s="476" t="s">
        <v>46</v>
      </c>
      <c r="N404" s="480"/>
      <c r="O404" s="480"/>
      <c r="P404" s="476" t="s">
        <v>770</v>
      </c>
      <c r="Q404" s="480"/>
      <c r="R404" s="491"/>
      <c r="S404" s="487"/>
      <c r="T404" s="503"/>
      <c r="U404" s="488"/>
      <c r="V404" s="480"/>
      <c r="W404" s="476"/>
    </row>
    <row r="405" spans="1:23" s="69" customFormat="1" ht="14.25" customHeight="1">
      <c r="A405" s="476" t="s">
        <v>39</v>
      </c>
      <c r="B405" s="480" t="s">
        <v>198</v>
      </c>
      <c r="C405" s="480" t="s">
        <v>1020</v>
      </c>
      <c r="D405" s="429" t="s">
        <v>1999</v>
      </c>
      <c r="E405" s="480" t="s">
        <v>1515</v>
      </c>
      <c r="F405" s="476" t="s">
        <v>1811</v>
      </c>
      <c r="G405" s="476" t="s">
        <v>1891</v>
      </c>
      <c r="H405" s="476" t="s">
        <v>43</v>
      </c>
      <c r="I405" s="476" t="s">
        <v>245</v>
      </c>
      <c r="J405" s="476" t="s">
        <v>45</v>
      </c>
      <c r="K405" s="476" t="s">
        <v>45</v>
      </c>
      <c r="L405" s="476" t="s">
        <v>769</v>
      </c>
      <c r="M405" s="476" t="s">
        <v>46</v>
      </c>
      <c r="N405" s="476">
        <v>24.29138</v>
      </c>
      <c r="O405" s="476">
        <v>97.227789999999999</v>
      </c>
      <c r="P405" s="476" t="s">
        <v>770</v>
      </c>
      <c r="Q405" s="476" t="s">
        <v>771</v>
      </c>
      <c r="R405" s="482"/>
      <c r="S405" s="483"/>
      <c r="T405" s="502">
        <v>43276</v>
      </c>
      <c r="U405" s="484" t="s">
        <v>2000</v>
      </c>
      <c r="V405" s="476" t="s">
        <v>1020</v>
      </c>
      <c r="W405" s="394" t="s">
        <v>2184</v>
      </c>
    </row>
    <row r="406" spans="1:23" s="69" customFormat="1" ht="14.25" customHeight="1">
      <c r="A406" s="476" t="s">
        <v>39</v>
      </c>
      <c r="B406" s="480" t="s">
        <v>198</v>
      </c>
      <c r="C406" s="480" t="s">
        <v>800</v>
      </c>
      <c r="D406" s="429" t="s">
        <v>1686</v>
      </c>
      <c r="E406" s="480" t="s">
        <v>1359</v>
      </c>
      <c r="F406" s="476">
        <v>0</v>
      </c>
      <c r="G406" s="476">
        <v>0</v>
      </c>
      <c r="H406" s="476"/>
      <c r="I406" s="476">
        <v>0</v>
      </c>
      <c r="J406" s="476" t="s">
        <v>45</v>
      </c>
      <c r="K406" s="476" t="s">
        <v>45</v>
      </c>
      <c r="L406" s="476" t="s">
        <v>769</v>
      </c>
      <c r="M406" s="476" t="s">
        <v>46</v>
      </c>
      <c r="N406" s="476"/>
      <c r="O406" s="476"/>
      <c r="P406" s="476" t="s">
        <v>770</v>
      </c>
      <c r="Q406" s="476"/>
      <c r="R406" s="482"/>
      <c r="S406" s="483"/>
      <c r="T406" s="502"/>
      <c r="U406" s="484"/>
      <c r="V406" s="476" t="s">
        <v>800</v>
      </c>
      <c r="W406" s="476" t="s">
        <v>2185</v>
      </c>
    </row>
    <row r="407" spans="1:23" s="69" customFormat="1" ht="14.25" customHeight="1">
      <c r="A407" s="476" t="s">
        <v>39</v>
      </c>
      <c r="B407" s="480" t="s">
        <v>198</v>
      </c>
      <c r="C407" s="480" t="s">
        <v>207</v>
      </c>
      <c r="D407" s="429" t="s">
        <v>2851</v>
      </c>
      <c r="E407" s="480" t="s">
        <v>1501</v>
      </c>
      <c r="F407" s="476" t="s">
        <v>1808</v>
      </c>
      <c r="G407" s="476" t="s">
        <v>1808</v>
      </c>
      <c r="H407" s="476" t="s">
        <v>43</v>
      </c>
      <c r="I407" s="476" t="s">
        <v>245</v>
      </c>
      <c r="J407" s="476" t="s">
        <v>45</v>
      </c>
      <c r="K407" s="476" t="s">
        <v>45</v>
      </c>
      <c r="L407" s="476" t="s">
        <v>45</v>
      </c>
      <c r="M407" s="476" t="s">
        <v>46</v>
      </c>
      <c r="N407" s="476">
        <v>24.24953</v>
      </c>
      <c r="O407" s="476">
        <v>97.240639999999999</v>
      </c>
      <c r="P407" s="476" t="s">
        <v>770</v>
      </c>
      <c r="Q407" s="476" t="s">
        <v>789</v>
      </c>
      <c r="R407" s="482"/>
      <c r="S407" s="482"/>
      <c r="T407" s="502"/>
      <c r="U407" s="484"/>
      <c r="V407" s="476" t="s">
        <v>207</v>
      </c>
      <c r="W407" s="476"/>
    </row>
    <row r="408" spans="1:23" s="69" customFormat="1" ht="14.25" customHeight="1">
      <c r="A408" s="476" t="s">
        <v>39</v>
      </c>
      <c r="B408" s="476" t="s">
        <v>149</v>
      </c>
      <c r="C408" s="476" t="s">
        <v>1107</v>
      </c>
      <c r="D408" s="429" t="s">
        <v>1685</v>
      </c>
      <c r="E408" s="476"/>
      <c r="F408" s="476"/>
      <c r="G408" s="476"/>
      <c r="H408" s="476"/>
      <c r="I408" s="476"/>
      <c r="J408" s="476" t="s">
        <v>45</v>
      </c>
      <c r="K408" s="476" t="s">
        <v>45</v>
      </c>
      <c r="L408" s="476" t="s">
        <v>1108</v>
      </c>
      <c r="M408" s="476" t="s">
        <v>46</v>
      </c>
      <c r="N408" s="476"/>
      <c r="O408" s="476"/>
      <c r="P408" s="476" t="s">
        <v>770</v>
      </c>
      <c r="Q408" s="476"/>
      <c r="R408" s="482"/>
      <c r="S408" s="483"/>
      <c r="T408" s="502"/>
      <c r="U408" s="484"/>
      <c r="V408" s="476" t="s">
        <v>1107</v>
      </c>
      <c r="W408" s="476"/>
    </row>
    <row r="409" spans="1:23" s="69" customFormat="1" ht="14.25" customHeight="1">
      <c r="A409" s="476" t="s">
        <v>39</v>
      </c>
      <c r="B409" s="476" t="s">
        <v>149</v>
      </c>
      <c r="C409" s="476" t="s">
        <v>248</v>
      </c>
      <c r="D409" s="429" t="s">
        <v>3135</v>
      </c>
      <c r="E409" s="476" t="s">
        <v>1621</v>
      </c>
      <c r="F409" s="476" t="s">
        <v>1872</v>
      </c>
      <c r="G409" s="476" t="s">
        <v>1873</v>
      </c>
      <c r="H409" s="476" t="s">
        <v>43</v>
      </c>
      <c r="I409" s="476" t="s">
        <v>245</v>
      </c>
      <c r="J409" s="476" t="s">
        <v>45</v>
      </c>
      <c r="K409" s="476" t="s">
        <v>45</v>
      </c>
      <c r="L409" s="476" t="s">
        <v>45</v>
      </c>
      <c r="M409" s="476" t="s">
        <v>46</v>
      </c>
      <c r="N409" s="476">
        <v>25.889410000000002</v>
      </c>
      <c r="O409" s="476">
        <v>98.131550000000004</v>
      </c>
      <c r="P409" s="476" t="s">
        <v>770</v>
      </c>
      <c r="Q409" s="476" t="s">
        <v>789</v>
      </c>
      <c r="R409" s="482">
        <v>162</v>
      </c>
      <c r="S409" s="482">
        <v>851</v>
      </c>
      <c r="T409" s="502"/>
      <c r="U409" s="484"/>
      <c r="V409" s="476" t="s">
        <v>248</v>
      </c>
      <c r="W409" s="476"/>
    </row>
    <row r="410" spans="1:23" s="69" customFormat="1" ht="14.25" customHeight="1">
      <c r="A410" s="476" t="s">
        <v>39</v>
      </c>
      <c r="B410" s="476" t="s">
        <v>149</v>
      </c>
      <c r="C410" s="476" t="s">
        <v>778</v>
      </c>
      <c r="D410" s="429" t="s">
        <v>1686</v>
      </c>
      <c r="E410" s="476" t="s">
        <v>1340</v>
      </c>
      <c r="F410" s="476">
        <v>0</v>
      </c>
      <c r="G410" s="476">
        <v>0</v>
      </c>
      <c r="H410" s="476" t="s">
        <v>43</v>
      </c>
      <c r="I410" s="476" t="s">
        <v>1341</v>
      </c>
      <c r="J410" s="476" t="s">
        <v>45</v>
      </c>
      <c r="K410" s="476" t="s">
        <v>45</v>
      </c>
      <c r="L410" s="476" t="s">
        <v>769</v>
      </c>
      <c r="M410" s="476" t="s">
        <v>46</v>
      </c>
      <c r="N410" s="476"/>
      <c r="O410" s="476"/>
      <c r="P410" s="476" t="s">
        <v>770</v>
      </c>
      <c r="Q410" s="476"/>
      <c r="R410" s="482"/>
      <c r="S410" s="483"/>
      <c r="T410" s="502"/>
      <c r="U410" s="484"/>
      <c r="V410" s="476" t="s">
        <v>778</v>
      </c>
      <c r="W410" s="394" t="s">
        <v>2186</v>
      </c>
    </row>
    <row r="411" spans="1:23" s="69" customFormat="1" ht="14.25" customHeight="1">
      <c r="A411" s="476" t="s">
        <v>39</v>
      </c>
      <c r="B411" s="476" t="s">
        <v>149</v>
      </c>
      <c r="C411" s="476" t="s">
        <v>150</v>
      </c>
      <c r="D411" s="429" t="s">
        <v>3135</v>
      </c>
      <c r="E411" s="476" t="s">
        <v>1617</v>
      </c>
      <c r="F411" s="476" t="s">
        <v>1869</v>
      </c>
      <c r="G411" s="476" t="s">
        <v>1870</v>
      </c>
      <c r="H411" s="476" t="s">
        <v>43</v>
      </c>
      <c r="I411" s="476" t="s">
        <v>2855</v>
      </c>
      <c r="J411" s="476" t="s">
        <v>45</v>
      </c>
      <c r="K411" s="476" t="s">
        <v>45</v>
      </c>
      <c r="L411" s="476" t="s">
        <v>45</v>
      </c>
      <c r="M411" s="476" t="s">
        <v>787</v>
      </c>
      <c r="N411" s="476">
        <v>25.754110000000001</v>
      </c>
      <c r="O411" s="476">
        <v>98.475719999999995</v>
      </c>
      <c r="P411" s="476" t="s">
        <v>770</v>
      </c>
      <c r="Q411" s="476" t="s">
        <v>789</v>
      </c>
      <c r="R411" s="482">
        <v>163</v>
      </c>
      <c r="S411" s="482">
        <v>967</v>
      </c>
      <c r="T411" s="502"/>
      <c r="U411" s="484"/>
      <c r="V411" s="476" t="s">
        <v>150</v>
      </c>
      <c r="W411" s="394" t="s">
        <v>2313</v>
      </c>
    </row>
    <row r="412" spans="1:23" s="69" customFormat="1" ht="14.25" customHeight="1">
      <c r="A412" s="476" t="s">
        <v>39</v>
      </c>
      <c r="B412" s="476" t="s">
        <v>149</v>
      </c>
      <c r="C412" s="476" t="s">
        <v>1071</v>
      </c>
      <c r="D412" s="429" t="s">
        <v>1686</v>
      </c>
      <c r="E412" s="476" t="s">
        <v>1615</v>
      </c>
      <c r="F412" s="476" t="s">
        <v>1751</v>
      </c>
      <c r="G412" s="476" t="s">
        <v>1752</v>
      </c>
      <c r="H412" s="476"/>
      <c r="I412" s="476">
        <v>0</v>
      </c>
      <c r="J412" s="476" t="s">
        <v>45</v>
      </c>
      <c r="K412" s="476" t="s">
        <v>45</v>
      </c>
      <c r="L412" s="476" t="s">
        <v>769</v>
      </c>
      <c r="M412" s="476" t="s">
        <v>46</v>
      </c>
      <c r="N412" s="476">
        <v>25.708763000000001</v>
      </c>
      <c r="O412" s="476">
        <v>98.354146999999998</v>
      </c>
      <c r="P412" s="476" t="s">
        <v>782</v>
      </c>
      <c r="Q412" s="476" t="s">
        <v>771</v>
      </c>
      <c r="R412" s="482"/>
      <c r="S412" s="483"/>
      <c r="T412" s="502">
        <v>42983</v>
      </c>
      <c r="U412" s="484" t="s">
        <v>1072</v>
      </c>
      <c r="V412" s="476" t="s">
        <v>1071</v>
      </c>
      <c r="W412" s="476" t="s">
        <v>2187</v>
      </c>
    </row>
    <row r="413" spans="1:23" s="69" customFormat="1" ht="14.25" customHeight="1">
      <c r="A413" s="476" t="s">
        <v>39</v>
      </c>
      <c r="B413" s="476" t="s">
        <v>149</v>
      </c>
      <c r="C413" s="476" t="s">
        <v>250</v>
      </c>
      <c r="D413" s="429" t="s">
        <v>3135</v>
      </c>
      <c r="E413" s="476" t="s">
        <v>1620</v>
      </c>
      <c r="F413" s="476" t="s">
        <v>1715</v>
      </c>
      <c r="G413" s="476" t="s">
        <v>1871</v>
      </c>
      <c r="H413" s="476" t="s">
        <v>43</v>
      </c>
      <c r="I413" s="476" t="s">
        <v>245</v>
      </c>
      <c r="J413" s="476" t="s">
        <v>45</v>
      </c>
      <c r="K413" s="476" t="s">
        <v>45</v>
      </c>
      <c r="L413" s="476" t="s">
        <v>45</v>
      </c>
      <c r="M413" s="476" t="s">
        <v>46</v>
      </c>
      <c r="N413" s="476">
        <v>25.887339999999998</v>
      </c>
      <c r="O413" s="476">
        <v>98.129990000000006</v>
      </c>
      <c r="P413" s="476" t="s">
        <v>770</v>
      </c>
      <c r="Q413" s="476" t="s">
        <v>789</v>
      </c>
      <c r="R413" s="482">
        <v>199</v>
      </c>
      <c r="S413" s="482">
        <v>839</v>
      </c>
      <c r="T413" s="502"/>
      <c r="U413" s="484"/>
      <c r="V413" s="476" t="s">
        <v>250</v>
      </c>
      <c r="W413" s="476"/>
    </row>
    <row r="414" spans="1:23" s="69" customFormat="1" ht="14.25" customHeight="1">
      <c r="A414" s="476" t="s">
        <v>39</v>
      </c>
      <c r="B414" s="476" t="s">
        <v>149</v>
      </c>
      <c r="C414" s="476" t="s">
        <v>228</v>
      </c>
      <c r="D414" s="429" t="s">
        <v>3135</v>
      </c>
      <c r="E414" s="476" t="s">
        <v>1598</v>
      </c>
      <c r="F414" s="476" t="s">
        <v>1864</v>
      </c>
      <c r="G414" s="476" t="s">
        <v>1735</v>
      </c>
      <c r="H414" s="476" t="s">
        <v>43</v>
      </c>
      <c r="I414" s="476" t="s">
        <v>1341</v>
      </c>
      <c r="J414" s="476" t="s">
        <v>45</v>
      </c>
      <c r="K414" s="476" t="s">
        <v>45</v>
      </c>
      <c r="L414" s="476" t="s">
        <v>45</v>
      </c>
      <c r="M414" s="476" t="s">
        <v>46</v>
      </c>
      <c r="N414" s="476">
        <v>25.60867</v>
      </c>
      <c r="O414" s="476">
        <v>98.377780000000001</v>
      </c>
      <c r="P414" s="476" t="s">
        <v>770</v>
      </c>
      <c r="Q414" s="476" t="s">
        <v>789</v>
      </c>
      <c r="R414" s="482">
        <v>57</v>
      </c>
      <c r="S414" s="482">
        <v>277</v>
      </c>
      <c r="T414" s="502"/>
      <c r="U414" s="484"/>
      <c r="V414" s="476" t="s">
        <v>228</v>
      </c>
      <c r="W414" s="476"/>
    </row>
    <row r="415" spans="1:23" s="69" customFormat="1" ht="14.25" customHeight="1">
      <c r="A415" s="476" t="s">
        <v>39</v>
      </c>
      <c r="B415" s="480" t="s">
        <v>149</v>
      </c>
      <c r="C415" s="480" t="s">
        <v>230</v>
      </c>
      <c r="D415" s="429" t="s">
        <v>3135</v>
      </c>
      <c r="E415" s="476" t="s">
        <v>1608</v>
      </c>
      <c r="F415" s="476" t="s">
        <v>1752</v>
      </c>
      <c r="G415" s="476" t="s">
        <v>230</v>
      </c>
      <c r="H415" s="476" t="s">
        <v>43</v>
      </c>
      <c r="I415" s="476" t="s">
        <v>1341</v>
      </c>
      <c r="J415" s="476" t="s">
        <v>45</v>
      </c>
      <c r="K415" s="476" t="s">
        <v>45</v>
      </c>
      <c r="L415" s="476" t="s">
        <v>45</v>
      </c>
      <c r="M415" s="476" t="s">
        <v>46</v>
      </c>
      <c r="N415" s="476">
        <v>25.645959999999999</v>
      </c>
      <c r="O415" s="476">
        <v>98.356260000000006</v>
      </c>
      <c r="P415" s="476" t="s">
        <v>770</v>
      </c>
      <c r="Q415" s="476" t="s">
        <v>789</v>
      </c>
      <c r="R415" s="482">
        <v>27</v>
      </c>
      <c r="S415" s="482">
        <v>152</v>
      </c>
      <c r="T415" s="502"/>
      <c r="U415" s="484"/>
      <c r="V415" s="476" t="s">
        <v>1066</v>
      </c>
      <c r="W415" s="476"/>
    </row>
    <row r="416" spans="1:23" s="69" customFormat="1" ht="14.25" customHeight="1">
      <c r="A416" s="476" t="s">
        <v>39</v>
      </c>
      <c r="B416" s="476" t="s">
        <v>151</v>
      </c>
      <c r="C416" s="476" t="s">
        <v>1067</v>
      </c>
      <c r="D416" s="429" t="s">
        <v>1686</v>
      </c>
      <c r="E416" s="476" t="s">
        <v>1611</v>
      </c>
      <c r="F416" s="476" t="s">
        <v>1749</v>
      </c>
      <c r="G416" s="476" t="s">
        <v>1749</v>
      </c>
      <c r="H416" s="476" t="s">
        <v>43</v>
      </c>
      <c r="I416" s="476" t="s">
        <v>144</v>
      </c>
      <c r="J416" s="476" t="s">
        <v>45</v>
      </c>
      <c r="K416" s="476" t="s">
        <v>45</v>
      </c>
      <c r="L416" s="476" t="s">
        <v>769</v>
      </c>
      <c r="M416" s="476" t="s">
        <v>46</v>
      </c>
      <c r="N416" s="476">
        <v>25.656130000000001</v>
      </c>
      <c r="O416" s="476">
        <v>96.355270000000004</v>
      </c>
      <c r="P416" s="476" t="s">
        <v>770</v>
      </c>
      <c r="Q416" s="476" t="s">
        <v>789</v>
      </c>
      <c r="R416" s="482"/>
      <c r="S416" s="483"/>
      <c r="T416" s="502">
        <v>42983</v>
      </c>
      <c r="U416" s="484" t="s">
        <v>1068</v>
      </c>
      <c r="V416" s="476" t="s">
        <v>1067</v>
      </c>
      <c r="W416" s="394" t="s">
        <v>2188</v>
      </c>
    </row>
    <row r="417" spans="1:23" s="69" customFormat="1" ht="14.25" customHeight="1">
      <c r="A417" s="476" t="s">
        <v>39</v>
      </c>
      <c r="B417" s="476" t="s">
        <v>151</v>
      </c>
      <c r="C417" s="476" t="s">
        <v>233</v>
      </c>
      <c r="D417" s="429" t="s">
        <v>3135</v>
      </c>
      <c r="E417" s="476" t="s">
        <v>1610</v>
      </c>
      <c r="F417" s="476" t="s">
        <v>1749</v>
      </c>
      <c r="G417" s="476" t="s">
        <v>1749</v>
      </c>
      <c r="H417" s="476" t="s">
        <v>43</v>
      </c>
      <c r="I417" s="476" t="s">
        <v>1341</v>
      </c>
      <c r="J417" s="476" t="s">
        <v>45</v>
      </c>
      <c r="K417" s="476" t="s">
        <v>45</v>
      </c>
      <c r="L417" s="476" t="s">
        <v>45</v>
      </c>
      <c r="M417" s="476" t="s">
        <v>46</v>
      </c>
      <c r="N417" s="476">
        <v>25.656009999999998</v>
      </c>
      <c r="O417" s="476">
        <v>96.361609999999999</v>
      </c>
      <c r="P417" s="476" t="s">
        <v>770</v>
      </c>
      <c r="Q417" s="476" t="s">
        <v>789</v>
      </c>
      <c r="R417" s="482">
        <v>68</v>
      </c>
      <c r="S417" s="482">
        <v>343</v>
      </c>
      <c r="T417" s="502"/>
      <c r="U417" s="484"/>
      <c r="V417" s="476" t="s">
        <v>233</v>
      </c>
      <c r="W417" s="476"/>
    </row>
    <row r="418" spans="1:23" s="69" customFormat="1" ht="14.25" customHeight="1">
      <c r="A418" s="476" t="s">
        <v>39</v>
      </c>
      <c r="B418" s="476" t="s">
        <v>151</v>
      </c>
      <c r="C418" s="476" t="s">
        <v>1077</v>
      </c>
      <c r="D418" s="429" t="s">
        <v>1686</v>
      </c>
      <c r="E418" s="476" t="s">
        <v>1622</v>
      </c>
      <c r="F418" s="476" t="s">
        <v>1756</v>
      </c>
      <c r="G418" s="476" t="s">
        <v>1757</v>
      </c>
      <c r="H418" s="476"/>
      <c r="I418" s="476">
        <v>0</v>
      </c>
      <c r="J418" s="476" t="s">
        <v>45</v>
      </c>
      <c r="K418" s="476" t="s">
        <v>45</v>
      </c>
      <c r="L418" s="476" t="s">
        <v>769</v>
      </c>
      <c r="M418" s="476" t="s">
        <v>46</v>
      </c>
      <c r="N418" s="476">
        <v>25.920006000000001</v>
      </c>
      <c r="O418" s="476">
        <v>96.662092000000001</v>
      </c>
      <c r="P418" s="476" t="s">
        <v>770</v>
      </c>
      <c r="Q418" s="476" t="s">
        <v>771</v>
      </c>
      <c r="R418" s="482"/>
      <c r="S418" s="483"/>
      <c r="T418" s="502"/>
      <c r="U418" s="484"/>
      <c r="V418" s="476"/>
      <c r="W418" s="394" t="s">
        <v>2189</v>
      </c>
    </row>
    <row r="419" spans="1:23" s="69" customFormat="1" ht="14.25" customHeight="1">
      <c r="A419" s="476" t="s">
        <v>39</v>
      </c>
      <c r="B419" s="476" t="s">
        <v>151</v>
      </c>
      <c r="C419" s="476" t="s">
        <v>251</v>
      </c>
      <c r="D419" s="429" t="s">
        <v>3135</v>
      </c>
      <c r="E419" s="476" t="s">
        <v>1606</v>
      </c>
      <c r="F419" s="476" t="s">
        <v>1749</v>
      </c>
      <c r="G419" s="476" t="s">
        <v>1749</v>
      </c>
      <c r="H419" s="476" t="s">
        <v>43</v>
      </c>
      <c r="I419" s="476" t="s">
        <v>245</v>
      </c>
      <c r="J419" s="476" t="s">
        <v>45</v>
      </c>
      <c r="K419" s="476" t="s">
        <v>45</v>
      </c>
      <c r="L419" s="476" t="s">
        <v>45</v>
      </c>
      <c r="M419" s="476" t="s">
        <v>46</v>
      </c>
      <c r="N419" s="476">
        <v>25.635300000000001</v>
      </c>
      <c r="O419" s="476">
        <v>96.345569999999995</v>
      </c>
      <c r="P419" s="476" t="s">
        <v>770</v>
      </c>
      <c r="Q419" s="476" t="s">
        <v>789</v>
      </c>
      <c r="R419" s="482">
        <v>72</v>
      </c>
      <c r="S419" s="482">
        <v>370</v>
      </c>
      <c r="T419" s="502"/>
      <c r="U419" s="484"/>
      <c r="V419" s="476" t="s">
        <v>251</v>
      </c>
      <c r="W419" s="476"/>
    </row>
    <row r="420" spans="1:23" s="69" customFormat="1" ht="14.25" customHeight="1">
      <c r="A420" s="476" t="s">
        <v>39</v>
      </c>
      <c r="B420" s="476" t="s">
        <v>151</v>
      </c>
      <c r="C420" s="476" t="s">
        <v>252</v>
      </c>
      <c r="D420" s="429" t="s">
        <v>3135</v>
      </c>
      <c r="E420" s="476" t="s">
        <v>1603</v>
      </c>
      <c r="F420" s="476" t="s">
        <v>1865</v>
      </c>
      <c r="G420" s="476" t="s">
        <v>1866</v>
      </c>
      <c r="H420" s="476" t="s">
        <v>43</v>
      </c>
      <c r="I420" s="476" t="s">
        <v>245</v>
      </c>
      <c r="J420" s="476" t="s">
        <v>45</v>
      </c>
      <c r="K420" s="476" t="s">
        <v>45</v>
      </c>
      <c r="L420" s="476" t="s">
        <v>45</v>
      </c>
      <c r="M420" s="476" t="s">
        <v>46</v>
      </c>
      <c r="N420" s="476">
        <v>25.616509000000001</v>
      </c>
      <c r="O420" s="476">
        <v>96.317350000000005</v>
      </c>
      <c r="P420" s="476" t="s">
        <v>770</v>
      </c>
      <c r="Q420" s="476" t="s">
        <v>789</v>
      </c>
      <c r="R420" s="482">
        <v>13</v>
      </c>
      <c r="S420" s="482">
        <v>84</v>
      </c>
      <c r="T420" s="502"/>
      <c r="U420" s="484"/>
      <c r="V420" s="476" t="s">
        <v>252</v>
      </c>
      <c r="W420" s="476"/>
    </row>
    <row r="421" spans="1:23" s="69" customFormat="1" ht="14.25" customHeight="1">
      <c r="A421" s="476" t="s">
        <v>39</v>
      </c>
      <c r="B421" s="476" t="s">
        <v>151</v>
      </c>
      <c r="C421" s="476" t="s">
        <v>253</v>
      </c>
      <c r="D421" s="429" t="s">
        <v>3135</v>
      </c>
      <c r="E421" s="476" t="s">
        <v>1609</v>
      </c>
      <c r="F421" s="476" t="s">
        <v>1749</v>
      </c>
      <c r="G421" s="476" t="s">
        <v>1868</v>
      </c>
      <c r="H421" s="476" t="s">
        <v>43</v>
      </c>
      <c r="I421" s="476" t="s">
        <v>2855</v>
      </c>
      <c r="J421" s="476" t="s">
        <v>45</v>
      </c>
      <c r="K421" s="476" t="s">
        <v>45</v>
      </c>
      <c r="L421" s="476" t="s">
        <v>45</v>
      </c>
      <c r="M421" s="476" t="s">
        <v>46</v>
      </c>
      <c r="N421" s="476">
        <v>25.647649999999999</v>
      </c>
      <c r="O421" s="476">
        <v>96.346469999999997</v>
      </c>
      <c r="P421" s="476" t="s">
        <v>770</v>
      </c>
      <c r="Q421" s="476" t="s">
        <v>789</v>
      </c>
      <c r="R421" s="482">
        <v>36</v>
      </c>
      <c r="S421" s="482">
        <v>238</v>
      </c>
      <c r="T421" s="502"/>
      <c r="U421" s="484"/>
      <c r="V421" s="476" t="s">
        <v>253</v>
      </c>
      <c r="W421" s="476"/>
    </row>
    <row r="422" spans="1:23" s="69" customFormat="1" ht="14.25" customHeight="1">
      <c r="A422" s="476" t="s">
        <v>39</v>
      </c>
      <c r="B422" s="476" t="s">
        <v>151</v>
      </c>
      <c r="C422" s="476" t="s">
        <v>1073</v>
      </c>
      <c r="D422" s="429" t="s">
        <v>1686</v>
      </c>
      <c r="E422" s="476" t="s">
        <v>1616</v>
      </c>
      <c r="F422" s="476" t="s">
        <v>1753</v>
      </c>
      <c r="G422" s="476" t="s">
        <v>1754</v>
      </c>
      <c r="H422" s="476" t="s">
        <v>43</v>
      </c>
      <c r="I422" s="476" t="s">
        <v>245</v>
      </c>
      <c r="J422" s="476" t="s">
        <v>45</v>
      </c>
      <c r="K422" s="476" t="s">
        <v>45</v>
      </c>
      <c r="L422" s="476" t="s">
        <v>769</v>
      </c>
      <c r="M422" s="476" t="s">
        <v>46</v>
      </c>
      <c r="N422" s="476">
        <v>25.728653000000001</v>
      </c>
      <c r="O422" s="476">
        <v>96.673805000000002</v>
      </c>
      <c r="P422" s="476" t="s">
        <v>770</v>
      </c>
      <c r="Q422" s="476"/>
      <c r="R422" s="482"/>
      <c r="S422" s="483"/>
      <c r="T422" s="502"/>
      <c r="U422" s="484"/>
      <c r="V422" s="476" t="s">
        <v>1073</v>
      </c>
      <c r="W422" s="394" t="s">
        <v>2190</v>
      </c>
    </row>
    <row r="423" spans="1:23" s="69" customFormat="1" ht="14.25" customHeight="1">
      <c r="A423" s="476" t="s">
        <v>39</v>
      </c>
      <c r="B423" s="476" t="s">
        <v>151</v>
      </c>
      <c r="C423" s="476" t="s">
        <v>1070</v>
      </c>
      <c r="D423" s="429" t="s">
        <v>1686</v>
      </c>
      <c r="E423" s="476" t="s">
        <v>1614</v>
      </c>
      <c r="F423" s="476" t="s">
        <v>1749</v>
      </c>
      <c r="G423" s="476" t="s">
        <v>1750</v>
      </c>
      <c r="H423" s="476"/>
      <c r="I423" s="476">
        <v>0</v>
      </c>
      <c r="J423" s="476" t="s">
        <v>45</v>
      </c>
      <c r="K423" s="476" t="s">
        <v>45</v>
      </c>
      <c r="L423" s="476" t="s">
        <v>769</v>
      </c>
      <c r="M423" s="476" t="s">
        <v>46</v>
      </c>
      <c r="N423" s="476">
        <v>25.668469999999999</v>
      </c>
      <c r="O423" s="476">
        <v>96.353070000000002</v>
      </c>
      <c r="P423" s="476" t="s">
        <v>770</v>
      </c>
      <c r="Q423" s="476"/>
      <c r="R423" s="482"/>
      <c r="S423" s="483"/>
      <c r="T423" s="502"/>
      <c r="U423" s="484"/>
      <c r="V423" s="476" t="s">
        <v>1070</v>
      </c>
      <c r="W423" s="476" t="s">
        <v>2191</v>
      </c>
    </row>
    <row r="424" spans="1:23" s="69" customFormat="1" ht="14.25" customHeight="1">
      <c r="A424" s="476" t="s">
        <v>39</v>
      </c>
      <c r="B424" s="476" t="s">
        <v>151</v>
      </c>
      <c r="C424" s="476" t="s">
        <v>254</v>
      </c>
      <c r="D424" s="429" t="s">
        <v>3135</v>
      </c>
      <c r="E424" s="476" t="s">
        <v>1596</v>
      </c>
      <c r="F424" s="476" t="s">
        <v>1702</v>
      </c>
      <c r="G424" s="476" t="s">
        <v>1702</v>
      </c>
      <c r="H424" s="476" t="s">
        <v>43</v>
      </c>
      <c r="I424" s="476" t="s">
        <v>245</v>
      </c>
      <c r="J424" s="476" t="s">
        <v>45</v>
      </c>
      <c r="K424" s="476" t="s">
        <v>45</v>
      </c>
      <c r="L424" s="476" t="s">
        <v>785</v>
      </c>
      <c r="M424" s="476" t="s">
        <v>46</v>
      </c>
      <c r="N424" s="476">
        <v>25.582065</v>
      </c>
      <c r="O424" s="476">
        <v>96.283377000000002</v>
      </c>
      <c r="P424" s="476" t="s">
        <v>770</v>
      </c>
      <c r="Q424" s="476" t="s">
        <v>789</v>
      </c>
      <c r="R424" s="482">
        <v>6</v>
      </c>
      <c r="S424" s="482">
        <v>31</v>
      </c>
      <c r="T424" s="502"/>
      <c r="U424" s="484"/>
      <c r="V424" s="476" t="s">
        <v>254</v>
      </c>
      <c r="W424" s="476"/>
    </row>
    <row r="425" spans="1:23" s="69" customFormat="1" ht="14.25" customHeight="1">
      <c r="A425" s="476" t="s">
        <v>39</v>
      </c>
      <c r="B425" s="476" t="s">
        <v>151</v>
      </c>
      <c r="C425" s="476" t="s">
        <v>255</v>
      </c>
      <c r="D425" s="429" t="s">
        <v>3135</v>
      </c>
      <c r="E425" s="476" t="s">
        <v>1607</v>
      </c>
      <c r="F425" s="476" t="s">
        <v>1749</v>
      </c>
      <c r="G425" s="476" t="s">
        <v>1867</v>
      </c>
      <c r="H425" s="476" t="s">
        <v>43</v>
      </c>
      <c r="I425" s="476" t="s">
        <v>245</v>
      </c>
      <c r="J425" s="476" t="s">
        <v>45</v>
      </c>
      <c r="K425" s="476" t="s">
        <v>45</v>
      </c>
      <c r="L425" s="476" t="s">
        <v>45</v>
      </c>
      <c r="M425" s="476" t="s">
        <v>46</v>
      </c>
      <c r="N425" s="476">
        <v>25.637309999999999</v>
      </c>
      <c r="O425" s="476">
        <v>96.35257</v>
      </c>
      <c r="P425" s="476" t="s">
        <v>770</v>
      </c>
      <c r="Q425" s="476" t="s">
        <v>789</v>
      </c>
      <c r="R425" s="482">
        <v>70</v>
      </c>
      <c r="S425" s="482">
        <v>375</v>
      </c>
      <c r="T425" s="502"/>
      <c r="U425" s="484"/>
      <c r="V425" s="476" t="s">
        <v>255</v>
      </c>
      <c r="W425" s="476"/>
    </row>
    <row r="426" spans="1:23" s="69" customFormat="1" ht="14.25" customHeight="1">
      <c r="A426" s="476" t="s">
        <v>39</v>
      </c>
      <c r="B426" s="476" t="s">
        <v>151</v>
      </c>
      <c r="C426" s="476" t="s">
        <v>152</v>
      </c>
      <c r="D426" s="429" t="s">
        <v>3135</v>
      </c>
      <c r="E426" s="476" t="s">
        <v>1591</v>
      </c>
      <c r="F426" s="476" t="s">
        <v>1860</v>
      </c>
      <c r="G426" s="476" t="s">
        <v>1861</v>
      </c>
      <c r="H426" s="476" t="s">
        <v>43</v>
      </c>
      <c r="I426" s="476" t="s">
        <v>2855</v>
      </c>
      <c r="J426" s="476" t="s">
        <v>45</v>
      </c>
      <c r="K426" s="476" t="s">
        <v>45</v>
      </c>
      <c r="L426" s="476" t="s">
        <v>45</v>
      </c>
      <c r="M426" s="476" t="s">
        <v>46</v>
      </c>
      <c r="N426" s="476">
        <v>25.51352</v>
      </c>
      <c r="O426" s="476">
        <v>96.705960000000005</v>
      </c>
      <c r="P426" s="476" t="s">
        <v>770</v>
      </c>
      <c r="Q426" s="476" t="s">
        <v>789</v>
      </c>
      <c r="R426" s="482">
        <v>34</v>
      </c>
      <c r="S426" s="482">
        <v>137</v>
      </c>
      <c r="T426" s="502"/>
      <c r="U426" s="484"/>
      <c r="V426" s="476" t="s">
        <v>152</v>
      </c>
      <c r="W426" s="476"/>
    </row>
    <row r="427" spans="1:23" s="69" customFormat="1" ht="14.25" customHeight="1">
      <c r="A427" s="476" t="s">
        <v>39</v>
      </c>
      <c r="B427" s="476" t="s">
        <v>151</v>
      </c>
      <c r="C427" s="476" t="s">
        <v>256</v>
      </c>
      <c r="D427" s="429" t="s">
        <v>3135</v>
      </c>
      <c r="E427" s="476" t="s">
        <v>1602</v>
      </c>
      <c r="F427" s="476" t="s">
        <v>1865</v>
      </c>
      <c r="G427" s="476" t="s">
        <v>1866</v>
      </c>
      <c r="H427" s="476" t="s">
        <v>43</v>
      </c>
      <c r="I427" s="476" t="s">
        <v>245</v>
      </c>
      <c r="J427" s="476" t="s">
        <v>45</v>
      </c>
      <c r="K427" s="476" t="s">
        <v>45</v>
      </c>
      <c r="L427" s="476" t="s">
        <v>785</v>
      </c>
      <c r="M427" s="476" t="s">
        <v>46</v>
      </c>
      <c r="N427" s="476">
        <v>25.615960999999999</v>
      </c>
      <c r="O427" s="476">
        <v>96.316564</v>
      </c>
      <c r="P427" s="476" t="s">
        <v>770</v>
      </c>
      <c r="Q427" s="476" t="s">
        <v>789</v>
      </c>
      <c r="R427" s="482">
        <v>2</v>
      </c>
      <c r="S427" s="482">
        <v>14</v>
      </c>
      <c r="T427" s="502"/>
      <c r="U427" s="484"/>
      <c r="V427" s="476" t="s">
        <v>256</v>
      </c>
      <c r="W427" s="476"/>
    </row>
    <row r="428" spans="1:23" s="69" customFormat="1" ht="14.25" customHeight="1">
      <c r="A428" s="476" t="s">
        <v>39</v>
      </c>
      <c r="B428" s="476" t="s">
        <v>151</v>
      </c>
      <c r="C428" s="476" t="s">
        <v>257</v>
      </c>
      <c r="D428" s="429" t="s">
        <v>3135</v>
      </c>
      <c r="E428" s="476" t="s">
        <v>1599</v>
      </c>
      <c r="F428" s="476" t="s">
        <v>1863</v>
      </c>
      <c r="G428" s="476" t="s">
        <v>1863</v>
      </c>
      <c r="H428" s="476" t="s">
        <v>43</v>
      </c>
      <c r="I428" s="476" t="s">
        <v>2855</v>
      </c>
      <c r="J428" s="476" t="s">
        <v>45</v>
      </c>
      <c r="K428" s="476" t="s">
        <v>45</v>
      </c>
      <c r="L428" s="476" t="s">
        <v>45</v>
      </c>
      <c r="M428" s="476" t="s">
        <v>46</v>
      </c>
      <c r="N428" s="476">
        <v>25.611160000000002</v>
      </c>
      <c r="O428" s="476">
        <v>96.312790000000007</v>
      </c>
      <c r="P428" s="476" t="s">
        <v>770</v>
      </c>
      <c r="Q428" s="476" t="s">
        <v>789</v>
      </c>
      <c r="R428" s="482">
        <v>107</v>
      </c>
      <c r="S428" s="482">
        <v>519</v>
      </c>
      <c r="T428" s="502"/>
      <c r="U428" s="484"/>
      <c r="V428" s="476" t="s">
        <v>257</v>
      </c>
      <c r="W428" s="476"/>
    </row>
    <row r="429" spans="1:23" s="69" customFormat="1" ht="14.25" customHeight="1">
      <c r="A429" s="487" t="s">
        <v>39</v>
      </c>
      <c r="B429" s="486" t="s">
        <v>151</v>
      </c>
      <c r="C429" s="480" t="s">
        <v>1987</v>
      </c>
      <c r="D429" s="481"/>
      <c r="E429" s="476"/>
      <c r="F429" s="476"/>
      <c r="G429" s="476"/>
      <c r="H429" s="476"/>
      <c r="I429" s="476"/>
      <c r="J429" s="476" t="s">
        <v>1476</v>
      </c>
      <c r="K429" s="476" t="s">
        <v>45</v>
      </c>
      <c r="L429" s="476" t="s">
        <v>45</v>
      </c>
      <c r="M429" s="476" t="s">
        <v>46</v>
      </c>
      <c r="N429" s="476"/>
      <c r="O429" s="476"/>
      <c r="P429" s="476" t="s">
        <v>770</v>
      </c>
      <c r="Q429" s="476" t="s">
        <v>1988</v>
      </c>
      <c r="R429" s="490"/>
      <c r="S429" s="483"/>
      <c r="T429" s="502">
        <v>43270</v>
      </c>
      <c r="U429" s="484"/>
      <c r="V429" s="476"/>
      <c r="W429" s="476"/>
    </row>
    <row r="430" spans="1:23" s="69" customFormat="1" ht="14.25" customHeight="1">
      <c r="A430" s="487" t="s">
        <v>39</v>
      </c>
      <c r="B430" s="486" t="s">
        <v>151</v>
      </c>
      <c r="C430" s="480" t="s">
        <v>2021</v>
      </c>
      <c r="D430" s="429" t="s">
        <v>3135</v>
      </c>
      <c r="E430" s="480" t="s">
        <v>2022</v>
      </c>
      <c r="F430" s="480"/>
      <c r="G430" s="480"/>
      <c r="H430" s="480"/>
      <c r="I430" s="476" t="s">
        <v>1341</v>
      </c>
      <c r="J430" s="476" t="s">
        <v>45</v>
      </c>
      <c r="K430" s="476" t="s">
        <v>45</v>
      </c>
      <c r="L430" s="480" t="s">
        <v>45</v>
      </c>
      <c r="M430" s="476" t="s">
        <v>46</v>
      </c>
      <c r="N430" s="480"/>
      <c r="O430" s="480"/>
      <c r="P430" s="480" t="s">
        <v>770</v>
      </c>
      <c r="Q430" s="476" t="s">
        <v>1988</v>
      </c>
      <c r="R430" s="482">
        <v>15</v>
      </c>
      <c r="S430" s="482">
        <v>56</v>
      </c>
      <c r="T430" s="502">
        <v>43276</v>
      </c>
      <c r="U430" s="488" t="s">
        <v>2038</v>
      </c>
      <c r="V430" s="480"/>
      <c r="W430" s="394" t="s">
        <v>2314</v>
      </c>
    </row>
    <row r="431" spans="1:23" s="69" customFormat="1" ht="14.25" customHeight="1">
      <c r="A431" s="476" t="s">
        <v>39</v>
      </c>
      <c r="B431" s="476" t="s">
        <v>151</v>
      </c>
      <c r="C431" s="476" t="s">
        <v>1074</v>
      </c>
      <c r="D431" s="429" t="s">
        <v>1686</v>
      </c>
      <c r="E431" s="476" t="s">
        <v>1618</v>
      </c>
      <c r="F431" s="476" t="s">
        <v>1749</v>
      </c>
      <c r="G431" s="476" t="s">
        <v>1755</v>
      </c>
      <c r="H431" s="476" t="s">
        <v>43</v>
      </c>
      <c r="I431" s="476" t="s">
        <v>144</v>
      </c>
      <c r="J431" s="476" t="s">
        <v>45</v>
      </c>
      <c r="K431" s="476" t="s">
        <v>45</v>
      </c>
      <c r="L431" s="476" t="s">
        <v>769</v>
      </c>
      <c r="M431" s="476" t="s">
        <v>46</v>
      </c>
      <c r="N431" s="476">
        <v>25.806999999999999</v>
      </c>
      <c r="O431" s="476">
        <v>96.637</v>
      </c>
      <c r="P431" s="476" t="s">
        <v>770</v>
      </c>
      <c r="Q431" s="476" t="s">
        <v>789</v>
      </c>
      <c r="R431" s="482"/>
      <c r="S431" s="483"/>
      <c r="T431" s="502">
        <v>42983</v>
      </c>
      <c r="U431" s="484" t="s">
        <v>1068</v>
      </c>
      <c r="V431" s="476" t="s">
        <v>1074</v>
      </c>
      <c r="W431" s="394" t="s">
        <v>2193</v>
      </c>
    </row>
    <row r="432" spans="1:23" s="69" customFormat="1" ht="14.25" customHeight="1">
      <c r="A432" s="487" t="s">
        <v>39</v>
      </c>
      <c r="B432" s="486" t="s">
        <v>151</v>
      </c>
      <c r="C432" s="480" t="s">
        <v>2019</v>
      </c>
      <c r="D432" s="429" t="s">
        <v>3135</v>
      </c>
      <c r="E432" s="480" t="s">
        <v>2020</v>
      </c>
      <c r="F432" s="480"/>
      <c r="G432" s="480"/>
      <c r="H432" s="480"/>
      <c r="I432" s="476" t="s">
        <v>1341</v>
      </c>
      <c r="J432" s="476" t="s">
        <v>45</v>
      </c>
      <c r="K432" s="476" t="s">
        <v>45</v>
      </c>
      <c r="L432" s="480" t="s">
        <v>45</v>
      </c>
      <c r="M432" s="476" t="s">
        <v>46</v>
      </c>
      <c r="N432" s="480"/>
      <c r="O432" s="480"/>
      <c r="P432" s="480" t="s">
        <v>770</v>
      </c>
      <c r="Q432" s="476" t="s">
        <v>1988</v>
      </c>
      <c r="R432" s="482">
        <v>47</v>
      </c>
      <c r="S432" s="482">
        <v>220</v>
      </c>
      <c r="T432" s="502">
        <v>43276</v>
      </c>
      <c r="U432" s="488" t="s">
        <v>2038</v>
      </c>
      <c r="V432" s="480"/>
      <c r="W432" s="394" t="s">
        <v>2315</v>
      </c>
    </row>
    <row r="433" spans="1:23" s="69" customFormat="1" ht="14.25" customHeight="1">
      <c r="A433" s="487" t="s">
        <v>39</v>
      </c>
      <c r="B433" s="486" t="s">
        <v>151</v>
      </c>
      <c r="C433" s="480" t="s">
        <v>1989</v>
      </c>
      <c r="D433" s="481"/>
      <c r="E433" s="476"/>
      <c r="F433" s="476"/>
      <c r="G433" s="476"/>
      <c r="H433" s="476"/>
      <c r="I433" s="476"/>
      <c r="J433" s="476" t="s">
        <v>1476</v>
      </c>
      <c r="K433" s="476" t="s">
        <v>45</v>
      </c>
      <c r="L433" s="476" t="s">
        <v>45</v>
      </c>
      <c r="M433" s="476" t="s">
        <v>46</v>
      </c>
      <c r="N433" s="476"/>
      <c r="O433" s="476"/>
      <c r="P433" s="476" t="s">
        <v>770</v>
      </c>
      <c r="Q433" s="476" t="s">
        <v>1988</v>
      </c>
      <c r="R433" s="490"/>
      <c r="S433" s="483"/>
      <c r="T433" s="502">
        <v>43270</v>
      </c>
      <c r="U433" s="484"/>
      <c r="V433" s="476"/>
      <c r="W433" s="476"/>
    </row>
    <row r="434" spans="1:23" s="69" customFormat="1" ht="14.25" customHeight="1">
      <c r="A434" s="476" t="s">
        <v>39</v>
      </c>
      <c r="B434" s="476" t="s">
        <v>151</v>
      </c>
      <c r="C434" s="476" t="s">
        <v>246</v>
      </c>
      <c r="D434" s="429" t="s">
        <v>3135</v>
      </c>
      <c r="E434" s="476" t="s">
        <v>1637</v>
      </c>
      <c r="F434" s="476" t="s">
        <v>1749</v>
      </c>
      <c r="G434" s="476" t="s">
        <v>1877</v>
      </c>
      <c r="H434" s="476" t="s">
        <v>43</v>
      </c>
      <c r="I434" s="476" t="s">
        <v>2855</v>
      </c>
      <c r="J434" s="476" t="s">
        <v>45</v>
      </c>
      <c r="K434" s="476" t="s">
        <v>45</v>
      </c>
      <c r="L434" s="476" t="s">
        <v>1096</v>
      </c>
      <c r="M434" s="476" t="s">
        <v>46</v>
      </c>
      <c r="N434" s="476"/>
      <c r="O434" s="476"/>
      <c r="P434" s="17" t="s">
        <v>770</v>
      </c>
      <c r="Q434" s="476" t="s">
        <v>935</v>
      </c>
      <c r="R434" s="482">
        <v>124</v>
      </c>
      <c r="S434" s="482">
        <v>675</v>
      </c>
      <c r="T434" s="502">
        <v>42983</v>
      </c>
      <c r="U434" s="484" t="s">
        <v>1114</v>
      </c>
      <c r="V434" s="476"/>
      <c r="W434" s="394" t="s">
        <v>2801</v>
      </c>
    </row>
    <row r="435" spans="1:23" s="69" customFormat="1" ht="14.25" customHeight="1">
      <c r="A435" s="476" t="s">
        <v>39</v>
      </c>
      <c r="B435" s="476" t="s">
        <v>151</v>
      </c>
      <c r="C435" s="476" t="s">
        <v>258</v>
      </c>
      <c r="D435" s="429" t="s">
        <v>3135</v>
      </c>
      <c r="E435" s="476" t="s">
        <v>1593</v>
      </c>
      <c r="F435" s="476" t="s">
        <v>1702</v>
      </c>
      <c r="G435" s="476" t="s">
        <v>1703</v>
      </c>
      <c r="H435" s="476" t="s">
        <v>43</v>
      </c>
      <c r="I435" s="476" t="s">
        <v>245</v>
      </c>
      <c r="J435" s="476" t="s">
        <v>45</v>
      </c>
      <c r="K435" s="476" t="s">
        <v>45</v>
      </c>
      <c r="L435" s="476" t="s">
        <v>45</v>
      </c>
      <c r="M435" s="476" t="s">
        <v>46</v>
      </c>
      <c r="N435" s="476">
        <v>25.566510000000001</v>
      </c>
      <c r="O435" s="476">
        <v>96.269199999999998</v>
      </c>
      <c r="P435" s="476" t="s">
        <v>770</v>
      </c>
      <c r="Q435" s="476" t="s">
        <v>789</v>
      </c>
      <c r="R435" s="482">
        <v>19</v>
      </c>
      <c r="S435" s="482">
        <v>105</v>
      </c>
      <c r="T435" s="502"/>
      <c r="U435" s="484"/>
      <c r="V435" s="476" t="s">
        <v>258</v>
      </c>
      <c r="W435" s="476"/>
    </row>
    <row r="436" spans="1:23" s="69" customFormat="1" ht="14.25" customHeight="1">
      <c r="A436" s="476" t="s">
        <v>39</v>
      </c>
      <c r="B436" s="476" t="s">
        <v>151</v>
      </c>
      <c r="C436" s="476" t="s">
        <v>259</v>
      </c>
      <c r="D436" s="429" t="s">
        <v>3135</v>
      </c>
      <c r="E436" s="476" t="s">
        <v>1605</v>
      </c>
      <c r="F436" s="476" t="s">
        <v>1865</v>
      </c>
      <c r="G436" s="476" t="s">
        <v>1866</v>
      </c>
      <c r="H436" s="476" t="s">
        <v>43</v>
      </c>
      <c r="I436" s="476" t="s">
        <v>245</v>
      </c>
      <c r="J436" s="476" t="s">
        <v>45</v>
      </c>
      <c r="K436" s="476" t="s">
        <v>45</v>
      </c>
      <c r="L436" s="476" t="s">
        <v>45</v>
      </c>
      <c r="M436" s="476" t="s">
        <v>46</v>
      </c>
      <c r="N436" s="476">
        <v>25.61842</v>
      </c>
      <c r="O436" s="476">
        <v>96.316400000000002</v>
      </c>
      <c r="P436" s="476" t="s">
        <v>770</v>
      </c>
      <c r="Q436" s="476" t="s">
        <v>789</v>
      </c>
      <c r="R436" s="482">
        <v>11</v>
      </c>
      <c r="S436" s="482">
        <v>58</v>
      </c>
      <c r="T436" s="502"/>
      <c r="U436" s="484"/>
      <c r="V436" s="476" t="s">
        <v>259</v>
      </c>
      <c r="W436" s="476"/>
    </row>
    <row r="437" spans="1:23" s="69" customFormat="1" ht="14.25" customHeight="1">
      <c r="A437" s="483" t="s">
        <v>39</v>
      </c>
      <c r="B437" s="486" t="s">
        <v>151</v>
      </c>
      <c r="C437" s="487" t="s">
        <v>2071</v>
      </c>
      <c r="D437" s="481"/>
      <c r="E437" s="476"/>
      <c r="F437" s="476"/>
      <c r="G437" s="476"/>
      <c r="H437" s="476"/>
      <c r="I437" s="476"/>
      <c r="J437" s="476" t="s">
        <v>1476</v>
      </c>
      <c r="K437" s="480" t="s">
        <v>45</v>
      </c>
      <c r="L437" s="480" t="s">
        <v>785</v>
      </c>
      <c r="M437" s="476" t="s">
        <v>46</v>
      </c>
      <c r="N437" s="476"/>
      <c r="O437" s="476"/>
      <c r="P437" s="476" t="s">
        <v>770</v>
      </c>
      <c r="Q437" s="476"/>
      <c r="R437" s="490"/>
      <c r="S437" s="483"/>
      <c r="T437" s="502">
        <v>43297</v>
      </c>
      <c r="U437" s="484"/>
      <c r="V437" s="476"/>
      <c r="W437" s="476"/>
    </row>
    <row r="438" spans="1:23" s="69" customFormat="1" ht="14.25" customHeight="1">
      <c r="A438" s="476" t="s">
        <v>39</v>
      </c>
      <c r="B438" s="476" t="s">
        <v>151</v>
      </c>
      <c r="C438" s="476" t="s">
        <v>260</v>
      </c>
      <c r="D438" s="429" t="s">
        <v>3135</v>
      </c>
      <c r="E438" s="476" t="s">
        <v>1601</v>
      </c>
      <c r="F438" s="476" t="s">
        <v>1865</v>
      </c>
      <c r="G438" s="476" t="s">
        <v>1866</v>
      </c>
      <c r="H438" s="476" t="s">
        <v>43</v>
      </c>
      <c r="I438" s="476" t="s">
        <v>245</v>
      </c>
      <c r="J438" s="476" t="s">
        <v>45</v>
      </c>
      <c r="K438" s="476" t="s">
        <v>45</v>
      </c>
      <c r="L438" s="476" t="s">
        <v>785</v>
      </c>
      <c r="M438" s="476" t="s">
        <v>46</v>
      </c>
      <c r="N438" s="476">
        <v>25.6145</v>
      </c>
      <c r="O438" s="476">
        <v>96.319829999999996</v>
      </c>
      <c r="P438" s="476" t="s">
        <v>770</v>
      </c>
      <c r="Q438" s="476" t="s">
        <v>789</v>
      </c>
      <c r="R438" s="482">
        <v>3</v>
      </c>
      <c r="S438" s="482">
        <v>13</v>
      </c>
      <c r="T438" s="502"/>
      <c r="U438" s="484"/>
      <c r="V438" s="476" t="s">
        <v>260</v>
      </c>
      <c r="W438" s="476"/>
    </row>
    <row r="439" spans="1:23" s="69" customFormat="1" ht="14.25" customHeight="1">
      <c r="A439" s="476" t="s">
        <v>39</v>
      </c>
      <c r="B439" s="476" t="s">
        <v>151</v>
      </c>
      <c r="C439" s="476" t="s">
        <v>1069</v>
      </c>
      <c r="D439" s="429" t="s">
        <v>1686</v>
      </c>
      <c r="E439" s="476" t="s">
        <v>1612</v>
      </c>
      <c r="F439" s="476" t="s">
        <v>1749</v>
      </c>
      <c r="G439" s="476" t="s">
        <v>1749</v>
      </c>
      <c r="H439" s="476"/>
      <c r="I439" s="476">
        <v>0</v>
      </c>
      <c r="J439" s="476" t="s">
        <v>45</v>
      </c>
      <c r="K439" s="476" t="s">
        <v>45</v>
      </c>
      <c r="L439" s="476" t="s">
        <v>769</v>
      </c>
      <c r="M439" s="476" t="s">
        <v>46</v>
      </c>
      <c r="N439" s="476">
        <v>25.658670000000001</v>
      </c>
      <c r="O439" s="476">
        <v>96.354159999999993</v>
      </c>
      <c r="P439" s="476" t="s">
        <v>770</v>
      </c>
      <c r="Q439" s="476"/>
      <c r="R439" s="482"/>
      <c r="S439" s="483"/>
      <c r="T439" s="502"/>
      <c r="U439" s="484"/>
      <c r="V439" s="476" t="s">
        <v>1069</v>
      </c>
      <c r="W439" s="476" t="s">
        <v>2194</v>
      </c>
    </row>
    <row r="440" spans="1:23" s="69" customFormat="1" ht="14.25" customHeight="1">
      <c r="A440" s="476" t="s">
        <v>39</v>
      </c>
      <c r="B440" s="476" t="s">
        <v>151</v>
      </c>
      <c r="C440" s="476" t="s">
        <v>193</v>
      </c>
      <c r="D440" s="429" t="s">
        <v>3135</v>
      </c>
      <c r="E440" s="476" t="s">
        <v>1623</v>
      </c>
      <c r="F440" s="476" t="s">
        <v>1756</v>
      </c>
      <c r="G440" s="476" t="s">
        <v>1757</v>
      </c>
      <c r="H440" s="476" t="s">
        <v>43</v>
      </c>
      <c r="I440" s="476" t="s">
        <v>1341</v>
      </c>
      <c r="J440" s="476" t="s">
        <v>45</v>
      </c>
      <c r="K440" s="476" t="s">
        <v>45</v>
      </c>
      <c r="L440" s="476" t="s">
        <v>45</v>
      </c>
      <c r="M440" s="476" t="s">
        <v>46</v>
      </c>
      <c r="N440" s="476">
        <v>25.920006000000001</v>
      </c>
      <c r="O440" s="476">
        <v>96.662092000000001</v>
      </c>
      <c r="P440" s="476" t="s">
        <v>770</v>
      </c>
      <c r="Q440" s="476" t="s">
        <v>771</v>
      </c>
      <c r="R440" s="482">
        <v>25</v>
      </c>
      <c r="S440" s="482">
        <v>113</v>
      </c>
      <c r="T440" s="502"/>
      <c r="U440" s="484"/>
      <c r="V440" s="476"/>
      <c r="W440" s="476"/>
    </row>
    <row r="441" spans="1:23" s="69" customFormat="1" ht="14.25" customHeight="1">
      <c r="A441" s="476" t="s">
        <v>39</v>
      </c>
      <c r="B441" s="476" t="s">
        <v>151</v>
      </c>
      <c r="C441" s="476" t="s">
        <v>261</v>
      </c>
      <c r="D441" s="429" t="s">
        <v>3135</v>
      </c>
      <c r="E441" s="476" t="s">
        <v>1604</v>
      </c>
      <c r="F441" s="476" t="s">
        <v>1863</v>
      </c>
      <c r="G441" s="476" t="s">
        <v>1863</v>
      </c>
      <c r="H441" s="476" t="s">
        <v>43</v>
      </c>
      <c r="I441" s="476" t="s">
        <v>245</v>
      </c>
      <c r="J441" s="476" t="s">
        <v>45</v>
      </c>
      <c r="K441" s="476" t="s">
        <v>45</v>
      </c>
      <c r="L441" s="476" t="s">
        <v>785</v>
      </c>
      <c r="M441" s="476" t="s">
        <v>46</v>
      </c>
      <c r="N441" s="476">
        <v>25.617998</v>
      </c>
      <c r="O441" s="476">
        <v>96.339590000000001</v>
      </c>
      <c r="P441" s="476" t="s">
        <v>770</v>
      </c>
      <c r="Q441" s="476" t="s">
        <v>789</v>
      </c>
      <c r="R441" s="482">
        <v>10</v>
      </c>
      <c r="S441" s="482">
        <v>38</v>
      </c>
      <c r="T441" s="502"/>
      <c r="U441" s="484"/>
      <c r="V441" s="476" t="s">
        <v>261</v>
      </c>
      <c r="W441" s="476"/>
    </row>
    <row r="442" spans="1:23" s="69" customFormat="1" ht="14.25" customHeight="1">
      <c r="A442" s="476" t="s">
        <v>39</v>
      </c>
      <c r="B442" s="476" t="s">
        <v>151</v>
      </c>
      <c r="C442" s="476" t="s">
        <v>234</v>
      </c>
      <c r="D442" s="429" t="s">
        <v>3135</v>
      </c>
      <c r="E442" s="476" t="s">
        <v>1600</v>
      </c>
      <c r="F442" s="476" t="s">
        <v>1863</v>
      </c>
      <c r="G442" s="476" t="s">
        <v>1863</v>
      </c>
      <c r="H442" s="476" t="s">
        <v>43</v>
      </c>
      <c r="I442" s="476" t="s">
        <v>1341</v>
      </c>
      <c r="J442" s="476" t="s">
        <v>45</v>
      </c>
      <c r="K442" s="476" t="s">
        <v>45</v>
      </c>
      <c r="L442" s="476" t="s">
        <v>45</v>
      </c>
      <c r="M442" s="476" t="s">
        <v>46</v>
      </c>
      <c r="N442" s="476">
        <v>25.613894999999999</v>
      </c>
      <c r="O442" s="476">
        <v>96.341352999999998</v>
      </c>
      <c r="P442" s="476" t="s">
        <v>770</v>
      </c>
      <c r="Q442" s="476" t="s">
        <v>789</v>
      </c>
      <c r="R442" s="482">
        <v>47</v>
      </c>
      <c r="S442" s="482">
        <v>225</v>
      </c>
      <c r="T442" s="502"/>
      <c r="U442" s="484"/>
      <c r="V442" s="476" t="s">
        <v>234</v>
      </c>
      <c r="W442" s="476"/>
    </row>
    <row r="443" spans="1:23" s="69" customFormat="1" ht="14.25" customHeight="1">
      <c r="A443" s="480" t="s">
        <v>39</v>
      </c>
      <c r="B443" s="480" t="s">
        <v>151</v>
      </c>
      <c r="C443" s="480" t="s">
        <v>262</v>
      </c>
      <c r="D443" s="429" t="s">
        <v>3135</v>
      </c>
      <c r="E443" s="476" t="s">
        <v>1592</v>
      </c>
      <c r="F443" s="476" t="s">
        <v>1702</v>
      </c>
      <c r="G443" s="476" t="s">
        <v>1703</v>
      </c>
      <c r="H443" s="476" t="s">
        <v>43</v>
      </c>
      <c r="I443" s="476" t="s">
        <v>245</v>
      </c>
      <c r="J443" s="476" t="s">
        <v>45</v>
      </c>
      <c r="K443" s="476" t="s">
        <v>45</v>
      </c>
      <c r="L443" s="476" t="s">
        <v>785</v>
      </c>
      <c r="M443" s="476" t="s">
        <v>46</v>
      </c>
      <c r="N443" s="476">
        <v>25.56551</v>
      </c>
      <c r="O443" s="476">
        <v>96.279200000000003</v>
      </c>
      <c r="P443" s="476" t="s">
        <v>770</v>
      </c>
      <c r="Q443" s="476" t="s">
        <v>789</v>
      </c>
      <c r="R443" s="482">
        <v>10</v>
      </c>
      <c r="S443" s="482">
        <v>38</v>
      </c>
      <c r="T443" s="502"/>
      <c r="U443" s="484"/>
      <c r="V443" s="476" t="s">
        <v>262</v>
      </c>
      <c r="W443" s="476"/>
    </row>
    <row r="444" spans="1:23" s="69" customFormat="1" ht="14.25" customHeight="1">
      <c r="A444" s="476" t="s">
        <v>39</v>
      </c>
      <c r="B444" s="480" t="s">
        <v>151</v>
      </c>
      <c r="C444" s="480" t="s">
        <v>263</v>
      </c>
      <c r="D444" s="429" t="s">
        <v>1686</v>
      </c>
      <c r="E444" s="476" t="s">
        <v>1613</v>
      </c>
      <c r="F444" s="476" t="s">
        <v>1702</v>
      </c>
      <c r="G444" s="476" t="s">
        <v>1703</v>
      </c>
      <c r="H444" s="476" t="s">
        <v>43</v>
      </c>
      <c r="I444" s="476" t="s">
        <v>144</v>
      </c>
      <c r="J444" s="476" t="s">
        <v>45</v>
      </c>
      <c r="K444" s="476" t="s">
        <v>45</v>
      </c>
      <c r="L444" s="476" t="s">
        <v>769</v>
      </c>
      <c r="M444" s="476" t="s">
        <v>46</v>
      </c>
      <c r="N444" s="476">
        <v>25.668399999999998</v>
      </c>
      <c r="O444" s="476">
        <v>96.353030000000004</v>
      </c>
      <c r="P444" s="476" t="s">
        <v>770</v>
      </c>
      <c r="Q444" s="476" t="s">
        <v>789</v>
      </c>
      <c r="R444" s="482"/>
      <c r="S444" s="483"/>
      <c r="T444" s="502"/>
      <c r="U444" s="484"/>
      <c r="V444" s="476" t="s">
        <v>263</v>
      </c>
      <c r="W444" s="394" t="s">
        <v>2802</v>
      </c>
    </row>
    <row r="445" spans="1:23" s="69" customFormat="1" ht="14.25" customHeight="1">
      <c r="A445" s="476" t="s">
        <v>39</v>
      </c>
      <c r="B445" s="480" t="s">
        <v>151</v>
      </c>
      <c r="C445" s="480" t="s">
        <v>191</v>
      </c>
      <c r="D445" s="429" t="s">
        <v>3135</v>
      </c>
      <c r="E445" s="476" t="s">
        <v>1624</v>
      </c>
      <c r="F445" s="476" t="s">
        <v>1756</v>
      </c>
      <c r="G445" s="476" t="s">
        <v>1757</v>
      </c>
      <c r="H445" s="476" t="s">
        <v>43</v>
      </c>
      <c r="I445" s="476" t="s">
        <v>2855</v>
      </c>
      <c r="J445" s="476" t="s">
        <v>45</v>
      </c>
      <c r="K445" s="480" t="s">
        <v>45</v>
      </c>
      <c r="L445" s="480" t="s">
        <v>45</v>
      </c>
      <c r="M445" s="476" t="s">
        <v>46</v>
      </c>
      <c r="N445" s="476">
        <v>25.920006000000001</v>
      </c>
      <c r="O445" s="476">
        <v>96.662092000000001</v>
      </c>
      <c r="P445" s="476" t="s">
        <v>770</v>
      </c>
      <c r="Q445" s="476" t="s">
        <v>771</v>
      </c>
      <c r="R445" s="482">
        <v>28</v>
      </c>
      <c r="S445" s="482">
        <v>125</v>
      </c>
      <c r="T445" s="502"/>
      <c r="U445" s="484"/>
      <c r="V445" s="476"/>
      <c r="W445" s="476"/>
    </row>
    <row r="446" spans="1:23" s="69" customFormat="1" ht="14.25" customHeight="1">
      <c r="A446" s="480" t="s">
        <v>39</v>
      </c>
      <c r="B446" s="480" t="s">
        <v>151</v>
      </c>
      <c r="C446" s="480" t="s">
        <v>192</v>
      </c>
      <c r="D446" s="429" t="s">
        <v>3135</v>
      </c>
      <c r="E446" s="476" t="s">
        <v>1625</v>
      </c>
      <c r="F446" s="476" t="s">
        <v>1756</v>
      </c>
      <c r="G446" s="476" t="s">
        <v>1757</v>
      </c>
      <c r="H446" s="476" t="s">
        <v>43</v>
      </c>
      <c r="I446" s="476" t="s">
        <v>2181</v>
      </c>
      <c r="J446" s="476" t="s">
        <v>45</v>
      </c>
      <c r="K446" s="480" t="s">
        <v>45</v>
      </c>
      <c r="L446" s="480" t="s">
        <v>785</v>
      </c>
      <c r="M446" s="476" t="s">
        <v>46</v>
      </c>
      <c r="N446" s="476">
        <v>25.920006000000001</v>
      </c>
      <c r="O446" s="476">
        <v>96.662092000000001</v>
      </c>
      <c r="P446" s="476" t="s">
        <v>770</v>
      </c>
      <c r="Q446" s="476" t="s">
        <v>771</v>
      </c>
      <c r="R446" s="482">
        <v>4</v>
      </c>
      <c r="S446" s="482">
        <v>11</v>
      </c>
      <c r="T446" s="502"/>
      <c r="U446" s="484" t="s">
        <v>2918</v>
      </c>
      <c r="V446" s="476"/>
      <c r="W446" s="476"/>
    </row>
    <row r="447" spans="1:23" s="69" customFormat="1" ht="14.25" customHeight="1">
      <c r="A447" s="476" t="s">
        <v>39</v>
      </c>
      <c r="B447" s="476" t="s">
        <v>151</v>
      </c>
      <c r="C447" s="480" t="s">
        <v>194</v>
      </c>
      <c r="D447" s="429"/>
      <c r="E447" s="476"/>
      <c r="F447" s="476"/>
      <c r="G447" s="476"/>
      <c r="H447" s="476"/>
      <c r="I447" s="476"/>
      <c r="J447" s="476" t="s">
        <v>1476</v>
      </c>
      <c r="K447" s="480" t="s">
        <v>45</v>
      </c>
      <c r="L447" s="480" t="s">
        <v>45</v>
      </c>
      <c r="M447" s="476" t="s">
        <v>46</v>
      </c>
      <c r="N447" s="476"/>
      <c r="O447" s="476"/>
      <c r="P447" s="476" t="s">
        <v>770</v>
      </c>
      <c r="Q447" s="476" t="s">
        <v>771</v>
      </c>
      <c r="R447" s="482"/>
      <c r="S447" s="483"/>
      <c r="T447" s="502">
        <v>42824</v>
      </c>
      <c r="U447" s="484"/>
      <c r="V447" s="476"/>
      <c r="W447" s="476"/>
    </row>
    <row r="448" spans="1:23" s="69" customFormat="1" ht="14.25" customHeight="1">
      <c r="A448" s="476" t="s">
        <v>39</v>
      </c>
      <c r="B448" s="480" t="s">
        <v>151</v>
      </c>
      <c r="C448" s="480" t="s">
        <v>1078</v>
      </c>
      <c r="D448" s="429" t="s">
        <v>1686</v>
      </c>
      <c r="E448" s="476" t="s">
        <v>1626</v>
      </c>
      <c r="F448" s="476" t="s">
        <v>1756</v>
      </c>
      <c r="G448" s="476" t="s">
        <v>1757</v>
      </c>
      <c r="H448" s="476"/>
      <c r="I448" s="476">
        <v>0</v>
      </c>
      <c r="J448" s="476" t="s">
        <v>45</v>
      </c>
      <c r="K448" s="476" t="s">
        <v>45</v>
      </c>
      <c r="L448" s="476" t="s">
        <v>769</v>
      </c>
      <c r="M448" s="476" t="s">
        <v>46</v>
      </c>
      <c r="N448" s="476">
        <v>25.920006000000001</v>
      </c>
      <c r="O448" s="476">
        <v>96.662092000000001</v>
      </c>
      <c r="P448" s="476" t="s">
        <v>770</v>
      </c>
      <c r="Q448" s="476" t="s">
        <v>771</v>
      </c>
      <c r="R448" s="482"/>
      <c r="S448" s="483"/>
      <c r="T448" s="502"/>
      <c r="U448" s="484"/>
      <c r="V448" s="476"/>
      <c r="W448" s="394" t="s">
        <v>2189</v>
      </c>
    </row>
    <row r="449" spans="1:23" s="69" customFormat="1" ht="14.25" customHeight="1">
      <c r="A449" s="476" t="s">
        <v>39</v>
      </c>
      <c r="B449" s="480" t="s">
        <v>151</v>
      </c>
      <c r="C449" s="480" t="s">
        <v>1075</v>
      </c>
      <c r="D449" s="429" t="s">
        <v>1686</v>
      </c>
      <c r="E449" s="480" t="s">
        <v>1619</v>
      </c>
      <c r="F449" s="476" t="s">
        <v>1756</v>
      </c>
      <c r="G449" s="476" t="s">
        <v>1756</v>
      </c>
      <c r="H449" s="476"/>
      <c r="I449" s="476">
        <v>0</v>
      </c>
      <c r="J449" s="476" t="s">
        <v>45</v>
      </c>
      <c r="K449" s="476" t="s">
        <v>45</v>
      </c>
      <c r="L449" s="476" t="s">
        <v>769</v>
      </c>
      <c r="M449" s="476" t="s">
        <v>46</v>
      </c>
      <c r="N449" s="476">
        <v>25.806999999999999</v>
      </c>
      <c r="O449" s="476">
        <v>96.637</v>
      </c>
      <c r="P449" s="476" t="s">
        <v>770</v>
      </c>
      <c r="Q449" s="476" t="s">
        <v>771</v>
      </c>
      <c r="R449" s="482"/>
      <c r="S449" s="483"/>
      <c r="T449" s="502">
        <v>42983</v>
      </c>
      <c r="U449" s="484" t="s">
        <v>1076</v>
      </c>
      <c r="V449" s="476"/>
      <c r="W449" s="394" t="s">
        <v>2195</v>
      </c>
    </row>
    <row r="450" spans="1:23" s="69" customFormat="1" ht="14.25" customHeight="1">
      <c r="A450" s="476" t="s">
        <v>39</v>
      </c>
      <c r="B450" s="480" t="s">
        <v>151</v>
      </c>
      <c r="C450" s="480" t="s">
        <v>1065</v>
      </c>
      <c r="D450" s="429" t="s">
        <v>1686</v>
      </c>
      <c r="E450" s="476" t="s">
        <v>1595</v>
      </c>
      <c r="F450" s="476" t="s">
        <v>1702</v>
      </c>
      <c r="G450" s="476" t="s">
        <v>1702</v>
      </c>
      <c r="H450" s="476" t="s">
        <v>43</v>
      </c>
      <c r="I450" s="476" t="s">
        <v>1341</v>
      </c>
      <c r="J450" s="476" t="s">
        <v>45</v>
      </c>
      <c r="K450" s="476" t="s">
        <v>45</v>
      </c>
      <c r="L450" s="476" t="s">
        <v>769</v>
      </c>
      <c r="M450" s="476" t="s">
        <v>46</v>
      </c>
      <c r="N450" s="476">
        <v>25.57921</v>
      </c>
      <c r="O450" s="476">
        <v>96.288250000000005</v>
      </c>
      <c r="P450" s="476" t="s">
        <v>770</v>
      </c>
      <c r="Q450" s="476"/>
      <c r="R450" s="482"/>
      <c r="S450" s="483"/>
      <c r="T450" s="502"/>
      <c r="U450" s="484"/>
      <c r="V450" s="476" t="s">
        <v>1065</v>
      </c>
      <c r="W450" s="476" t="s">
        <v>2196</v>
      </c>
    </row>
    <row r="451" spans="1:23" s="69" customFormat="1" ht="14.25" customHeight="1">
      <c r="A451" s="476" t="s">
        <v>39</v>
      </c>
      <c r="B451" s="480" t="s">
        <v>151</v>
      </c>
      <c r="C451" s="480" t="s">
        <v>264</v>
      </c>
      <c r="D451" s="429" t="s">
        <v>3135</v>
      </c>
      <c r="E451" s="476" t="s">
        <v>1594</v>
      </c>
      <c r="F451" s="476" t="s">
        <v>1702</v>
      </c>
      <c r="G451" s="476" t="s">
        <v>1862</v>
      </c>
      <c r="H451" s="476" t="s">
        <v>43</v>
      </c>
      <c r="I451" s="476" t="s">
        <v>2855</v>
      </c>
      <c r="J451" s="476" t="s">
        <v>45</v>
      </c>
      <c r="K451" s="476" t="s">
        <v>45</v>
      </c>
      <c r="L451" s="476" t="s">
        <v>45</v>
      </c>
      <c r="M451" s="476" t="s">
        <v>46</v>
      </c>
      <c r="N451" s="476">
        <v>25.577559999999998</v>
      </c>
      <c r="O451" s="476">
        <v>96.286680000000004</v>
      </c>
      <c r="P451" s="476" t="s">
        <v>770</v>
      </c>
      <c r="Q451" s="476" t="s">
        <v>789</v>
      </c>
      <c r="R451" s="482">
        <v>31</v>
      </c>
      <c r="S451" s="482">
        <v>172</v>
      </c>
      <c r="T451" s="502"/>
      <c r="U451" s="484"/>
      <c r="V451" s="476" t="s">
        <v>264</v>
      </c>
      <c r="W451" s="476"/>
    </row>
    <row r="452" spans="1:23" s="69" customFormat="1" ht="14.25" customHeight="1">
      <c r="A452" s="476" t="s">
        <v>39</v>
      </c>
      <c r="B452" s="480" t="s">
        <v>151</v>
      </c>
      <c r="C452" s="480" t="s">
        <v>265</v>
      </c>
      <c r="D452" s="429" t="s">
        <v>3135</v>
      </c>
      <c r="E452" s="476" t="s">
        <v>1597</v>
      </c>
      <c r="F452" s="476" t="s">
        <v>1863</v>
      </c>
      <c r="G452" s="476" t="s">
        <v>1863</v>
      </c>
      <c r="H452" s="476" t="s">
        <v>43</v>
      </c>
      <c r="I452" s="476" t="s">
        <v>2855</v>
      </c>
      <c r="J452" s="476" t="s">
        <v>45</v>
      </c>
      <c r="K452" s="476" t="s">
        <v>45</v>
      </c>
      <c r="L452" s="476" t="s">
        <v>45</v>
      </c>
      <c r="M452" s="476" t="s">
        <v>46</v>
      </c>
      <c r="N452" s="476">
        <v>25.599250000000001</v>
      </c>
      <c r="O452" s="476">
        <v>96.306910999999999</v>
      </c>
      <c r="P452" s="476" t="s">
        <v>770</v>
      </c>
      <c r="Q452" s="476" t="s">
        <v>789</v>
      </c>
      <c r="R452" s="482">
        <v>16</v>
      </c>
      <c r="S452" s="482">
        <v>70</v>
      </c>
      <c r="T452" s="502"/>
      <c r="U452" s="484"/>
      <c r="V452" s="476" t="s">
        <v>265</v>
      </c>
      <c r="W452" s="476"/>
    </row>
    <row r="453" spans="1:23" s="69" customFormat="1" ht="14.25" customHeight="1">
      <c r="A453" s="476" t="s">
        <v>39</v>
      </c>
      <c r="B453" s="476" t="s">
        <v>784</v>
      </c>
      <c r="C453" s="476" t="s">
        <v>783</v>
      </c>
      <c r="D453" s="429" t="s">
        <v>1686</v>
      </c>
      <c r="E453" s="476" t="s">
        <v>1345</v>
      </c>
      <c r="F453" s="476">
        <v>0</v>
      </c>
      <c r="G453" s="476">
        <v>0</v>
      </c>
      <c r="H453" s="476"/>
      <c r="I453" s="476">
        <v>0</v>
      </c>
      <c r="J453" s="476" t="s">
        <v>45</v>
      </c>
      <c r="K453" s="476" t="s">
        <v>45</v>
      </c>
      <c r="L453" s="476" t="s">
        <v>769</v>
      </c>
      <c r="M453" s="476" t="s">
        <v>46</v>
      </c>
      <c r="N453" s="476"/>
      <c r="O453" s="476"/>
      <c r="P453" s="476" t="s">
        <v>770</v>
      </c>
      <c r="Q453" s="476"/>
      <c r="R453" s="482"/>
      <c r="S453" s="483"/>
      <c r="T453" s="502"/>
      <c r="U453" s="484"/>
      <c r="V453" s="476" t="s">
        <v>783</v>
      </c>
      <c r="W453" s="476" t="s">
        <v>2197</v>
      </c>
    </row>
    <row r="454" spans="1:23" s="69" customFormat="1" ht="14.25" customHeight="1">
      <c r="A454" s="476" t="s">
        <v>39</v>
      </c>
      <c r="B454" s="476" t="s">
        <v>1082</v>
      </c>
      <c r="C454" s="476" t="s">
        <v>1081</v>
      </c>
      <c r="D454" s="429" t="s">
        <v>1686</v>
      </c>
      <c r="E454" s="480" t="s">
        <v>1630</v>
      </c>
      <c r="F454" s="476" t="s">
        <v>1758</v>
      </c>
      <c r="G454" s="476" t="s">
        <v>1081</v>
      </c>
      <c r="H454" s="476"/>
      <c r="I454" s="476">
        <v>0</v>
      </c>
      <c r="J454" s="476" t="s">
        <v>45</v>
      </c>
      <c r="K454" s="476" t="s">
        <v>45</v>
      </c>
      <c r="L454" s="476" t="s">
        <v>769</v>
      </c>
      <c r="M454" s="476" t="s">
        <v>46</v>
      </c>
      <c r="N454" s="476">
        <v>26.890058</v>
      </c>
      <c r="O454" s="476">
        <v>98.144502500000002</v>
      </c>
      <c r="P454" s="476" t="s">
        <v>770</v>
      </c>
      <c r="Q454" s="476"/>
      <c r="R454" s="482"/>
      <c r="S454" s="483"/>
      <c r="T454" s="502"/>
      <c r="U454" s="484"/>
      <c r="V454" s="476" t="s">
        <v>1081</v>
      </c>
      <c r="W454" s="394" t="s">
        <v>2198</v>
      </c>
    </row>
    <row r="455" spans="1:23" s="69" customFormat="1" ht="14.25" customHeight="1">
      <c r="A455" s="476" t="s">
        <v>39</v>
      </c>
      <c r="B455" s="476" t="s">
        <v>1087</v>
      </c>
      <c r="C455" s="476" t="s">
        <v>1086</v>
      </c>
      <c r="D455" s="429" t="s">
        <v>1686</v>
      </c>
      <c r="E455" s="476" t="s">
        <v>1633</v>
      </c>
      <c r="F455" s="476">
        <v>0</v>
      </c>
      <c r="G455" s="476">
        <v>0</v>
      </c>
      <c r="H455" s="476"/>
      <c r="I455" s="476">
        <v>0</v>
      </c>
      <c r="J455" s="476" t="s">
        <v>45</v>
      </c>
      <c r="K455" s="476" t="s">
        <v>45</v>
      </c>
      <c r="L455" s="476" t="s">
        <v>769</v>
      </c>
      <c r="M455" s="476" t="s">
        <v>46</v>
      </c>
      <c r="N455" s="476">
        <v>27.274059999999999</v>
      </c>
      <c r="O455" s="476">
        <v>97.586470000000006</v>
      </c>
      <c r="P455" s="476" t="s">
        <v>770</v>
      </c>
      <c r="Q455" s="476"/>
      <c r="R455" s="482"/>
      <c r="S455" s="483"/>
      <c r="T455" s="502"/>
      <c r="U455" s="484"/>
      <c r="V455" s="476" t="s">
        <v>1088</v>
      </c>
      <c r="W455" s="394" t="s">
        <v>2199</v>
      </c>
    </row>
    <row r="456" spans="1:23" s="69" customFormat="1" ht="14.25" customHeight="1">
      <c r="A456" s="480" t="s">
        <v>39</v>
      </c>
      <c r="B456" s="480" t="s">
        <v>1331</v>
      </c>
      <c r="C456" s="480" t="s">
        <v>1911</v>
      </c>
      <c r="D456" s="481"/>
      <c r="E456" s="489"/>
      <c r="F456" s="489"/>
      <c r="G456" s="489"/>
      <c r="H456" s="489"/>
      <c r="I456" s="489"/>
      <c r="J456" s="476" t="s">
        <v>1476</v>
      </c>
      <c r="K456" s="480" t="s">
        <v>45</v>
      </c>
      <c r="L456" s="480" t="s">
        <v>45</v>
      </c>
      <c r="M456" s="476"/>
      <c r="N456" s="476"/>
      <c r="O456" s="476"/>
      <c r="P456" s="476" t="s">
        <v>770</v>
      </c>
      <c r="Q456" s="476"/>
      <c r="R456" s="490"/>
      <c r="S456" s="483"/>
      <c r="T456" s="502"/>
      <c r="U456" s="484"/>
      <c r="V456" s="476"/>
      <c r="W456" s="476"/>
    </row>
    <row r="457" spans="1:23" s="69" customFormat="1" ht="14.25" customHeight="1">
      <c r="A457" s="480" t="s">
        <v>39</v>
      </c>
      <c r="B457" s="480" t="s">
        <v>1331</v>
      </c>
      <c r="C457" s="480" t="s">
        <v>1332</v>
      </c>
      <c r="D457" s="481"/>
      <c r="E457" s="489"/>
      <c r="F457" s="489"/>
      <c r="G457" s="489"/>
      <c r="H457" s="489"/>
      <c r="I457" s="489"/>
      <c r="J457" s="476" t="s">
        <v>1476</v>
      </c>
      <c r="K457" s="480" t="s">
        <v>45</v>
      </c>
      <c r="L457" s="480" t="s">
        <v>45</v>
      </c>
      <c r="M457" s="480"/>
      <c r="N457" s="480"/>
      <c r="O457" s="480"/>
      <c r="P457" s="476" t="s">
        <v>770</v>
      </c>
      <c r="Q457" s="480"/>
      <c r="R457" s="491"/>
      <c r="S457" s="487"/>
      <c r="T457" s="503"/>
      <c r="U457" s="488"/>
      <c r="V457" s="480"/>
      <c r="W457" s="476"/>
    </row>
    <row r="458" spans="1:23" s="69" customFormat="1" ht="14.25" customHeight="1">
      <c r="A458" s="476" t="s">
        <v>39</v>
      </c>
      <c r="B458" s="476" t="s">
        <v>40</v>
      </c>
      <c r="C458" s="476" t="s">
        <v>774</v>
      </c>
      <c r="D458" s="429" t="s">
        <v>1686</v>
      </c>
      <c r="E458" s="476" t="s">
        <v>1336</v>
      </c>
      <c r="F458" s="476">
        <v>0</v>
      </c>
      <c r="G458" s="476">
        <v>0</v>
      </c>
      <c r="H458" s="476"/>
      <c r="I458" s="476">
        <v>0</v>
      </c>
      <c r="J458" s="476" t="s">
        <v>45</v>
      </c>
      <c r="K458" s="476" t="s">
        <v>45</v>
      </c>
      <c r="L458" s="476" t="s">
        <v>769</v>
      </c>
      <c r="M458" s="476" t="s">
        <v>46</v>
      </c>
      <c r="N458" s="476"/>
      <c r="O458" s="476"/>
      <c r="P458" s="476" t="s">
        <v>770</v>
      </c>
      <c r="Q458" s="476"/>
      <c r="R458" s="482"/>
      <c r="S458" s="483"/>
      <c r="T458" s="502"/>
      <c r="U458" s="484"/>
      <c r="V458" s="476" t="s">
        <v>774</v>
      </c>
      <c r="W458" s="476" t="s">
        <v>2200</v>
      </c>
    </row>
    <row r="459" spans="1:23" s="69" customFormat="1" ht="14.25" customHeight="1">
      <c r="A459" s="476" t="s">
        <v>39</v>
      </c>
      <c r="B459" s="476" t="s">
        <v>40</v>
      </c>
      <c r="C459" s="476" t="s">
        <v>775</v>
      </c>
      <c r="D459" s="429" t="s">
        <v>1686</v>
      </c>
      <c r="E459" s="476" t="s">
        <v>1337</v>
      </c>
      <c r="F459" s="476">
        <v>0</v>
      </c>
      <c r="G459" s="476">
        <v>0</v>
      </c>
      <c r="H459" s="476"/>
      <c r="I459" s="476">
        <v>0</v>
      </c>
      <c r="J459" s="476" t="s">
        <v>45</v>
      </c>
      <c r="K459" s="476" t="s">
        <v>45</v>
      </c>
      <c r="L459" s="476" t="s">
        <v>769</v>
      </c>
      <c r="M459" s="476" t="s">
        <v>46</v>
      </c>
      <c r="N459" s="476"/>
      <c r="O459" s="476"/>
      <c r="P459" s="476" t="s">
        <v>770</v>
      </c>
      <c r="Q459" s="476"/>
      <c r="R459" s="482"/>
      <c r="S459" s="483"/>
      <c r="T459" s="502"/>
      <c r="U459" s="484"/>
      <c r="V459" s="476" t="s">
        <v>775</v>
      </c>
      <c r="W459" s="394" t="s">
        <v>2201</v>
      </c>
    </row>
    <row r="460" spans="1:23" s="69" customFormat="1" ht="14.25" customHeight="1">
      <c r="A460" s="476" t="s">
        <v>39</v>
      </c>
      <c r="B460" s="476" t="s">
        <v>40</v>
      </c>
      <c r="C460" s="476" t="s">
        <v>776</v>
      </c>
      <c r="D460" s="429" t="s">
        <v>1686</v>
      </c>
      <c r="E460" s="476" t="s">
        <v>1338</v>
      </c>
      <c r="F460" s="476">
        <v>0</v>
      </c>
      <c r="G460" s="476">
        <v>0</v>
      </c>
      <c r="H460" s="476"/>
      <c r="I460" s="476">
        <v>0</v>
      </c>
      <c r="J460" s="476" t="s">
        <v>45</v>
      </c>
      <c r="K460" s="476" t="s">
        <v>45</v>
      </c>
      <c r="L460" s="476" t="s">
        <v>769</v>
      </c>
      <c r="M460" s="476" t="s">
        <v>46</v>
      </c>
      <c r="N460" s="476"/>
      <c r="O460" s="476"/>
      <c r="P460" s="476" t="s">
        <v>770</v>
      </c>
      <c r="Q460" s="476"/>
      <c r="R460" s="482"/>
      <c r="S460" s="483"/>
      <c r="T460" s="502"/>
      <c r="U460" s="484"/>
      <c r="V460" s="476" t="s">
        <v>776</v>
      </c>
      <c r="W460" s="476" t="s">
        <v>2200</v>
      </c>
    </row>
    <row r="461" spans="1:23" s="69" customFormat="1" ht="14.25" customHeight="1">
      <c r="A461" s="476" t="s">
        <v>39</v>
      </c>
      <c r="B461" s="476" t="s">
        <v>40</v>
      </c>
      <c r="C461" s="476" t="s">
        <v>1931</v>
      </c>
      <c r="D461" s="429" t="s">
        <v>3135</v>
      </c>
      <c r="E461" s="476" t="s">
        <v>1478</v>
      </c>
      <c r="F461" s="476" t="s">
        <v>1726</v>
      </c>
      <c r="G461" s="476" t="s">
        <v>1726</v>
      </c>
      <c r="H461" s="476" t="s">
        <v>43</v>
      </c>
      <c r="I461" s="476" t="s">
        <v>44</v>
      </c>
      <c r="J461" s="476" t="s">
        <v>45</v>
      </c>
      <c r="K461" s="476" t="s">
        <v>45</v>
      </c>
      <c r="L461" s="476" t="s">
        <v>45</v>
      </c>
      <c r="M461" s="476" t="s">
        <v>787</v>
      </c>
      <c r="N461" s="476">
        <v>24.002433</v>
      </c>
      <c r="O461" s="476">
        <v>97.609832999999995</v>
      </c>
      <c r="P461" s="476" t="s">
        <v>770</v>
      </c>
      <c r="Q461" s="476" t="s">
        <v>771</v>
      </c>
      <c r="R461" s="482">
        <v>351</v>
      </c>
      <c r="S461" s="482">
        <v>1733</v>
      </c>
      <c r="T461" s="502"/>
      <c r="U461" s="484"/>
      <c r="V461" s="476"/>
      <c r="W461" s="476"/>
    </row>
    <row r="462" spans="1:23" s="69" customFormat="1" ht="14.25" customHeight="1">
      <c r="A462" s="476" t="s">
        <v>39</v>
      </c>
      <c r="B462" s="476" t="s">
        <v>40</v>
      </c>
      <c r="C462" s="476" t="s">
        <v>1912</v>
      </c>
      <c r="D462" s="429"/>
      <c r="E462" s="476"/>
      <c r="F462" s="476"/>
      <c r="G462" s="476"/>
      <c r="H462" s="476"/>
      <c r="I462" s="476"/>
      <c r="J462" s="476" t="s">
        <v>1476</v>
      </c>
      <c r="K462" s="476" t="s">
        <v>45</v>
      </c>
      <c r="L462" s="476" t="s">
        <v>1096</v>
      </c>
      <c r="M462" s="476" t="s">
        <v>787</v>
      </c>
      <c r="N462" s="476"/>
      <c r="O462" s="476"/>
      <c r="P462" s="476" t="s">
        <v>770</v>
      </c>
      <c r="Q462" s="476"/>
      <c r="R462" s="482"/>
      <c r="S462" s="483"/>
      <c r="T462" s="502"/>
      <c r="U462" s="484"/>
      <c r="V462" s="476" t="s">
        <v>1105</v>
      </c>
      <c r="W462" s="476"/>
    </row>
    <row r="463" spans="1:23" s="69" customFormat="1" ht="14.25" customHeight="1">
      <c r="A463" s="476" t="s">
        <v>39</v>
      </c>
      <c r="B463" s="476" t="s">
        <v>40</v>
      </c>
      <c r="C463" s="476" t="s">
        <v>1932</v>
      </c>
      <c r="D463" s="429" t="s">
        <v>1686</v>
      </c>
      <c r="E463" s="476" t="s">
        <v>1477</v>
      </c>
      <c r="F463" s="476" t="s">
        <v>1726</v>
      </c>
      <c r="G463" s="476" t="s">
        <v>1726</v>
      </c>
      <c r="H463" s="476" t="s">
        <v>43</v>
      </c>
      <c r="I463" s="476" t="s">
        <v>44</v>
      </c>
      <c r="J463" s="476" t="s">
        <v>45</v>
      </c>
      <c r="K463" s="476" t="s">
        <v>45</v>
      </c>
      <c r="L463" s="476" t="s">
        <v>769</v>
      </c>
      <c r="M463" s="476" t="s">
        <v>787</v>
      </c>
      <c r="N463" s="476">
        <v>24.000250000000001</v>
      </c>
      <c r="O463" s="476">
        <v>97.608249999999998</v>
      </c>
      <c r="P463" s="476" t="s">
        <v>770</v>
      </c>
      <c r="Q463" s="476"/>
      <c r="R463" s="482"/>
      <c r="S463" s="483"/>
      <c r="T463" s="502"/>
      <c r="U463" s="484"/>
      <c r="V463" s="476" t="s">
        <v>998</v>
      </c>
      <c r="W463" s="394" t="s">
        <v>2202</v>
      </c>
    </row>
    <row r="464" spans="1:23" s="69" customFormat="1" ht="14.25" customHeight="1">
      <c r="A464" s="476" t="s">
        <v>39</v>
      </c>
      <c r="B464" s="476" t="s">
        <v>40</v>
      </c>
      <c r="C464" s="476" t="s">
        <v>992</v>
      </c>
      <c r="D464" s="429" t="s">
        <v>1686</v>
      </c>
      <c r="E464" s="476" t="s">
        <v>1470</v>
      </c>
      <c r="F464" s="476" t="s">
        <v>1720</v>
      </c>
      <c r="G464" s="476">
        <v>0</v>
      </c>
      <c r="H464" s="476" t="s">
        <v>43</v>
      </c>
      <c r="I464" s="476" t="s">
        <v>44</v>
      </c>
      <c r="J464" s="476" t="s">
        <v>45</v>
      </c>
      <c r="K464" s="476" t="s">
        <v>45</v>
      </c>
      <c r="L464" s="476" t="s">
        <v>769</v>
      </c>
      <c r="M464" s="476" t="s">
        <v>787</v>
      </c>
      <c r="N464" s="476">
        <v>23.867713999999999</v>
      </c>
      <c r="O464" s="476">
        <v>97.601243999999994</v>
      </c>
      <c r="P464" s="476" t="s">
        <v>770</v>
      </c>
      <c r="Q464" s="476"/>
      <c r="R464" s="482"/>
      <c r="S464" s="483"/>
      <c r="T464" s="502"/>
      <c r="U464" s="484"/>
      <c r="V464" s="476" t="s">
        <v>992</v>
      </c>
      <c r="W464" s="476" t="s">
        <v>2203</v>
      </c>
    </row>
    <row r="465" spans="1:23" s="69" customFormat="1" ht="14.25" customHeight="1">
      <c r="A465" s="476" t="s">
        <v>39</v>
      </c>
      <c r="B465" s="476" t="s">
        <v>40</v>
      </c>
      <c r="C465" s="476" t="s">
        <v>297</v>
      </c>
      <c r="D465" s="429" t="s">
        <v>3135</v>
      </c>
      <c r="E465" s="476" t="s">
        <v>1482</v>
      </c>
      <c r="F465" s="476"/>
      <c r="G465" s="476"/>
      <c r="H465" s="476" t="s">
        <v>43</v>
      </c>
      <c r="I465" s="476" t="s">
        <v>44</v>
      </c>
      <c r="J465" s="476" t="s">
        <v>45</v>
      </c>
      <c r="K465" s="476" t="s">
        <v>45</v>
      </c>
      <c r="L465" s="476" t="s">
        <v>45</v>
      </c>
      <c r="M465" s="476" t="s">
        <v>787</v>
      </c>
      <c r="N465" s="476">
        <v>24.056132999999999</v>
      </c>
      <c r="O465" s="476">
        <v>97.625617000000005</v>
      </c>
      <c r="P465" s="476" t="s">
        <v>770</v>
      </c>
      <c r="Q465" s="476" t="s">
        <v>771</v>
      </c>
      <c r="R465" s="482">
        <v>522</v>
      </c>
      <c r="S465" s="482">
        <v>2542</v>
      </c>
      <c r="T465" s="502"/>
      <c r="U465" s="484"/>
      <c r="V465" s="476"/>
      <c r="W465" s="476"/>
    </row>
    <row r="466" spans="1:23" s="69" customFormat="1" ht="14.25" customHeight="1">
      <c r="A466" s="476" t="s">
        <v>39</v>
      </c>
      <c r="B466" s="476" t="s">
        <v>40</v>
      </c>
      <c r="C466" s="476" t="s">
        <v>993</v>
      </c>
      <c r="D466" s="429" t="s">
        <v>1686</v>
      </c>
      <c r="E466" s="476" t="s">
        <v>1471</v>
      </c>
      <c r="F466" s="476" t="s">
        <v>1721</v>
      </c>
      <c r="G466" s="476">
        <v>0</v>
      </c>
      <c r="H466" s="476" t="s">
        <v>43</v>
      </c>
      <c r="I466" s="476" t="s">
        <v>44</v>
      </c>
      <c r="J466" s="476" t="s">
        <v>45</v>
      </c>
      <c r="K466" s="476" t="s">
        <v>45</v>
      </c>
      <c r="L466" s="476" t="s">
        <v>769</v>
      </c>
      <c r="M466" s="476" t="s">
        <v>787</v>
      </c>
      <c r="N466" s="476">
        <v>23.9055</v>
      </c>
      <c r="O466" s="476">
        <v>97.585667000000001</v>
      </c>
      <c r="P466" s="476" t="s">
        <v>770</v>
      </c>
      <c r="Q466" s="476"/>
      <c r="R466" s="482"/>
      <c r="S466" s="483"/>
      <c r="T466" s="502"/>
      <c r="U466" s="484"/>
      <c r="V466" s="476" t="s">
        <v>993</v>
      </c>
      <c r="W466" s="394" t="s">
        <v>2204</v>
      </c>
    </row>
    <row r="467" spans="1:23" s="69" customFormat="1" ht="14.25" customHeight="1">
      <c r="A467" s="476" t="s">
        <v>39</v>
      </c>
      <c r="B467" s="476" t="s">
        <v>40</v>
      </c>
      <c r="C467" s="476" t="s">
        <v>186</v>
      </c>
      <c r="D467" s="429" t="s">
        <v>3135</v>
      </c>
      <c r="E467" s="476" t="s">
        <v>1473</v>
      </c>
      <c r="F467" s="476" t="s">
        <v>186</v>
      </c>
      <c r="G467" s="476" t="s">
        <v>186</v>
      </c>
      <c r="H467" s="476" t="s">
        <v>43</v>
      </c>
      <c r="I467" s="476" t="s">
        <v>2854</v>
      </c>
      <c r="J467" s="476" t="s">
        <v>45</v>
      </c>
      <c r="K467" s="476" t="s">
        <v>45</v>
      </c>
      <c r="L467" s="476" t="s">
        <v>45</v>
      </c>
      <c r="M467" s="476" t="s">
        <v>46</v>
      </c>
      <c r="N467" s="476">
        <v>23.972453000000002</v>
      </c>
      <c r="O467" s="476">
        <v>97.225881000000001</v>
      </c>
      <c r="P467" s="476" t="s">
        <v>770</v>
      </c>
      <c r="Q467" s="476" t="s">
        <v>789</v>
      </c>
      <c r="R467" s="482">
        <v>435</v>
      </c>
      <c r="S467" s="482">
        <v>1947</v>
      </c>
      <c r="T467" s="502"/>
      <c r="U467" s="484"/>
      <c r="V467" s="476" t="s">
        <v>186</v>
      </c>
      <c r="W467" s="394" t="s">
        <v>2316</v>
      </c>
    </row>
    <row r="468" spans="1:23" s="69" customFormat="1" ht="14.25" customHeight="1">
      <c r="A468" s="476" t="s">
        <v>39</v>
      </c>
      <c r="B468" s="476" t="s">
        <v>40</v>
      </c>
      <c r="C468" s="476" t="s">
        <v>41</v>
      </c>
      <c r="D468" s="429" t="s">
        <v>3135</v>
      </c>
      <c r="E468" s="476" t="s">
        <v>1474</v>
      </c>
      <c r="F468" s="476" t="s">
        <v>186</v>
      </c>
      <c r="G468" s="476" t="s">
        <v>186</v>
      </c>
      <c r="H468" s="476" t="s">
        <v>43</v>
      </c>
      <c r="I468" s="476" t="s">
        <v>44</v>
      </c>
      <c r="J468" s="476" t="s">
        <v>45</v>
      </c>
      <c r="K468" s="476" t="s">
        <v>45</v>
      </c>
      <c r="L468" s="476" t="s">
        <v>45</v>
      </c>
      <c r="M468" s="476" t="s">
        <v>46</v>
      </c>
      <c r="N468" s="476">
        <v>23.976571</v>
      </c>
      <c r="O468" s="476">
        <v>97.227057000000002</v>
      </c>
      <c r="P468" s="476" t="s">
        <v>770</v>
      </c>
      <c r="Q468" s="476" t="s">
        <v>789</v>
      </c>
      <c r="R468" s="482">
        <v>157</v>
      </c>
      <c r="S468" s="482">
        <v>714</v>
      </c>
      <c r="T468" s="502"/>
      <c r="U468" s="484"/>
      <c r="V468" s="476" t="s">
        <v>41</v>
      </c>
      <c r="W468" s="476"/>
    </row>
    <row r="469" spans="1:23" s="69" customFormat="1" ht="14.25" customHeight="1">
      <c r="A469" s="476" t="s">
        <v>39</v>
      </c>
      <c r="B469" s="476" t="s">
        <v>40</v>
      </c>
      <c r="C469" s="476" t="s">
        <v>996</v>
      </c>
      <c r="D469" s="429"/>
      <c r="E469" s="476"/>
      <c r="F469" s="476"/>
      <c r="G469" s="476"/>
      <c r="H469" s="476"/>
      <c r="I469" s="476"/>
      <c r="J469" s="476" t="s">
        <v>1476</v>
      </c>
      <c r="K469" s="476" t="s">
        <v>45</v>
      </c>
      <c r="L469" s="476" t="s">
        <v>45</v>
      </c>
      <c r="M469" s="476" t="s">
        <v>46</v>
      </c>
      <c r="N469" s="476">
        <v>23.989049999999999</v>
      </c>
      <c r="O469" s="476">
        <v>97.225311000000005</v>
      </c>
      <c r="P469" s="476" t="s">
        <v>770</v>
      </c>
      <c r="Q469" s="476" t="s">
        <v>771</v>
      </c>
      <c r="R469" s="482"/>
      <c r="S469" s="483"/>
      <c r="T469" s="502">
        <v>42849</v>
      </c>
      <c r="U469" s="484" t="s">
        <v>997</v>
      </c>
      <c r="V469" s="476"/>
      <c r="W469" s="476"/>
    </row>
    <row r="470" spans="1:23" s="69" customFormat="1" ht="14.25" customHeight="1">
      <c r="A470" s="476" t="s">
        <v>39</v>
      </c>
      <c r="B470" s="476" t="s">
        <v>40</v>
      </c>
      <c r="C470" s="476" t="s">
        <v>1007</v>
      </c>
      <c r="D470" s="429" t="s">
        <v>1686</v>
      </c>
      <c r="E470" s="476" t="s">
        <v>1487</v>
      </c>
      <c r="F470" s="476" t="s">
        <v>1727</v>
      </c>
      <c r="G470" s="476" t="s">
        <v>1728</v>
      </c>
      <c r="H470" s="476"/>
      <c r="I470" s="476">
        <v>0</v>
      </c>
      <c r="J470" s="476" t="s">
        <v>45</v>
      </c>
      <c r="K470" s="476" t="s">
        <v>45</v>
      </c>
      <c r="L470" s="476" t="s">
        <v>769</v>
      </c>
      <c r="M470" s="476" t="s">
        <v>46</v>
      </c>
      <c r="N470" s="476">
        <v>24.181640000000002</v>
      </c>
      <c r="O470" s="476">
        <v>97.710989999999995</v>
      </c>
      <c r="P470" s="476" t="s">
        <v>770</v>
      </c>
      <c r="Q470" s="476" t="s">
        <v>789</v>
      </c>
      <c r="R470" s="482"/>
      <c r="S470" s="483"/>
      <c r="T470" s="502"/>
      <c r="U470" s="484" t="s">
        <v>1008</v>
      </c>
      <c r="V470" s="476" t="s">
        <v>1007</v>
      </c>
      <c r="W470" s="476" t="s">
        <v>2205</v>
      </c>
    </row>
    <row r="471" spans="1:23" s="69" customFormat="1" ht="14.25" customHeight="1">
      <c r="A471" s="476" t="s">
        <v>39</v>
      </c>
      <c r="B471" s="476" t="s">
        <v>40</v>
      </c>
      <c r="C471" s="476" t="s">
        <v>1009</v>
      </c>
      <c r="D471" s="429" t="s">
        <v>1686</v>
      </c>
      <c r="E471" s="476" t="s">
        <v>1488</v>
      </c>
      <c r="F471" s="476" t="s">
        <v>1727</v>
      </c>
      <c r="G471" s="476" t="s">
        <v>1728</v>
      </c>
      <c r="H471" s="476"/>
      <c r="I471" s="476">
        <v>0</v>
      </c>
      <c r="J471" s="476" t="s">
        <v>45</v>
      </c>
      <c r="K471" s="476" t="s">
        <v>45</v>
      </c>
      <c r="L471" s="476" t="s">
        <v>769</v>
      </c>
      <c r="M471" s="476" t="s">
        <v>46</v>
      </c>
      <c r="N471" s="476">
        <v>24.181640000000002</v>
      </c>
      <c r="O471" s="476">
        <v>97.710989999999995</v>
      </c>
      <c r="P471" s="476" t="s">
        <v>770</v>
      </c>
      <c r="Q471" s="476"/>
      <c r="R471" s="482"/>
      <c r="S471" s="483"/>
      <c r="T471" s="502"/>
      <c r="U471" s="484"/>
      <c r="V471" s="476" t="s">
        <v>1009</v>
      </c>
      <c r="W471" s="476" t="s">
        <v>2205</v>
      </c>
    </row>
    <row r="472" spans="1:23" s="69" customFormat="1" ht="14.25" customHeight="1">
      <c r="A472" s="476" t="s">
        <v>39</v>
      </c>
      <c r="B472" s="476" t="s">
        <v>40</v>
      </c>
      <c r="C472" s="476" t="s">
        <v>301</v>
      </c>
      <c r="D472" s="429" t="s">
        <v>3135</v>
      </c>
      <c r="E472" s="476" t="s">
        <v>1464</v>
      </c>
      <c r="F472" s="476" t="s">
        <v>1707</v>
      </c>
      <c r="G472" s="476" t="s">
        <v>1707</v>
      </c>
      <c r="H472" s="476" t="s">
        <v>43</v>
      </c>
      <c r="I472" s="476" t="s">
        <v>2856</v>
      </c>
      <c r="J472" s="476" t="s">
        <v>45</v>
      </c>
      <c r="K472" s="476" t="s">
        <v>45</v>
      </c>
      <c r="L472" s="476" t="s">
        <v>45</v>
      </c>
      <c r="M472" s="476" t="s">
        <v>46</v>
      </c>
      <c r="N472" s="476">
        <v>23.83013</v>
      </c>
      <c r="O472" s="476">
        <v>97.589979999999997</v>
      </c>
      <c r="P472" s="476" t="s">
        <v>770</v>
      </c>
      <c r="Q472" s="476" t="s">
        <v>789</v>
      </c>
      <c r="R472" s="482">
        <v>129</v>
      </c>
      <c r="S472" s="482">
        <v>668</v>
      </c>
      <c r="T472" s="502"/>
      <c r="U472" s="484"/>
      <c r="V472" s="476" t="s">
        <v>301</v>
      </c>
      <c r="W472" s="476"/>
    </row>
    <row r="473" spans="1:23" s="69" customFormat="1" ht="14.25" customHeight="1">
      <c r="A473" s="476" t="s">
        <v>39</v>
      </c>
      <c r="B473" s="476" t="s">
        <v>40</v>
      </c>
      <c r="C473" s="476" t="s">
        <v>1123</v>
      </c>
      <c r="D473" s="429" t="s">
        <v>3160</v>
      </c>
      <c r="E473" s="476"/>
      <c r="F473" s="476"/>
      <c r="G473" s="476"/>
      <c r="H473" s="476"/>
      <c r="I473" s="476"/>
      <c r="J473" s="476" t="s">
        <v>45</v>
      </c>
      <c r="K473" s="476" t="s">
        <v>45</v>
      </c>
      <c r="L473" s="476" t="s">
        <v>45</v>
      </c>
      <c r="M473" s="476" t="s">
        <v>46</v>
      </c>
      <c r="N473" s="476"/>
      <c r="O473" s="476"/>
      <c r="P473" s="476" t="s">
        <v>770</v>
      </c>
      <c r="Q473" s="476"/>
      <c r="R473" s="482"/>
      <c r="S473" s="483"/>
      <c r="T473" s="502"/>
      <c r="U473" s="484"/>
      <c r="V473" s="476"/>
      <c r="W473" s="476"/>
    </row>
    <row r="474" spans="1:23" s="69" customFormat="1" ht="14.25" customHeight="1">
      <c r="A474" s="476" t="s">
        <v>39</v>
      </c>
      <c r="B474" s="476" t="s">
        <v>40</v>
      </c>
      <c r="C474" s="476" t="s">
        <v>303</v>
      </c>
      <c r="D474" s="429" t="s">
        <v>3135</v>
      </c>
      <c r="E474" s="476" t="s">
        <v>1463</v>
      </c>
      <c r="F474" s="476" t="s">
        <v>1707</v>
      </c>
      <c r="G474" s="476" t="s">
        <v>1707</v>
      </c>
      <c r="H474" s="476" t="s">
        <v>43</v>
      </c>
      <c r="I474" s="476" t="s">
        <v>2856</v>
      </c>
      <c r="J474" s="476" t="s">
        <v>45</v>
      </c>
      <c r="K474" s="476" t="s">
        <v>45</v>
      </c>
      <c r="L474" s="476" t="s">
        <v>45</v>
      </c>
      <c r="M474" s="476" t="s">
        <v>46</v>
      </c>
      <c r="N474" s="476">
        <v>23.829599000000002</v>
      </c>
      <c r="O474" s="476">
        <v>97.590767</v>
      </c>
      <c r="P474" s="476" t="s">
        <v>770</v>
      </c>
      <c r="Q474" s="476" t="s">
        <v>789</v>
      </c>
      <c r="R474" s="482">
        <v>159</v>
      </c>
      <c r="S474" s="482">
        <v>668</v>
      </c>
      <c r="T474" s="502"/>
      <c r="U474" s="484"/>
      <c r="V474" s="476" t="s">
        <v>987</v>
      </c>
      <c r="W474" s="476"/>
    </row>
    <row r="475" spans="1:23" s="69" customFormat="1" ht="14.25" customHeight="1">
      <c r="A475" s="476" t="s">
        <v>39</v>
      </c>
      <c r="B475" s="476" t="s">
        <v>40</v>
      </c>
      <c r="C475" s="476" t="s">
        <v>304</v>
      </c>
      <c r="D475" s="429" t="s">
        <v>3135</v>
      </c>
      <c r="E475" s="476" t="s">
        <v>1466</v>
      </c>
      <c r="F475" s="476" t="s">
        <v>1707</v>
      </c>
      <c r="G475" s="476" t="s">
        <v>1707</v>
      </c>
      <c r="H475" s="476" t="s">
        <v>43</v>
      </c>
      <c r="I475" s="476" t="s">
        <v>44</v>
      </c>
      <c r="J475" s="476" t="s">
        <v>45</v>
      </c>
      <c r="K475" s="476" t="s">
        <v>45</v>
      </c>
      <c r="L475" s="476" t="s">
        <v>45</v>
      </c>
      <c r="M475" s="476" t="s">
        <v>46</v>
      </c>
      <c r="N475" s="476">
        <v>23.835319999999999</v>
      </c>
      <c r="O475" s="476">
        <v>97.578490000000002</v>
      </c>
      <c r="P475" s="476" t="s">
        <v>770</v>
      </c>
      <c r="Q475" s="476" t="s">
        <v>789</v>
      </c>
      <c r="R475" s="482">
        <v>439</v>
      </c>
      <c r="S475" s="482">
        <v>2335</v>
      </c>
      <c r="T475" s="502"/>
      <c r="U475" s="484"/>
      <c r="V475" s="476" t="s">
        <v>304</v>
      </c>
      <c r="W475" s="476"/>
    </row>
    <row r="476" spans="1:23" s="69" customFormat="1" ht="14.25" customHeight="1">
      <c r="A476" s="476" t="s">
        <v>39</v>
      </c>
      <c r="B476" s="476" t="s">
        <v>40</v>
      </c>
      <c r="C476" s="476" t="s">
        <v>305</v>
      </c>
      <c r="D476" s="429" t="s">
        <v>3135</v>
      </c>
      <c r="E476" s="476" t="s">
        <v>1465</v>
      </c>
      <c r="F476" s="476" t="s">
        <v>1707</v>
      </c>
      <c r="G476" s="476" t="s">
        <v>1707</v>
      </c>
      <c r="H476" s="476" t="s">
        <v>43</v>
      </c>
      <c r="I476" s="476" t="s">
        <v>44</v>
      </c>
      <c r="J476" s="476" t="s">
        <v>45</v>
      </c>
      <c r="K476" s="476" t="s">
        <v>45</v>
      </c>
      <c r="L476" s="476" t="s">
        <v>45</v>
      </c>
      <c r="M476" s="476" t="s">
        <v>46</v>
      </c>
      <c r="N476" s="476">
        <v>23.833477999999999</v>
      </c>
      <c r="O476" s="476">
        <v>97.578367</v>
      </c>
      <c r="P476" s="476" t="s">
        <v>770</v>
      </c>
      <c r="Q476" s="476" t="s">
        <v>789</v>
      </c>
      <c r="R476" s="482">
        <v>141</v>
      </c>
      <c r="S476" s="482">
        <v>743</v>
      </c>
      <c r="T476" s="502"/>
      <c r="U476" s="484"/>
      <c r="V476" s="476" t="s">
        <v>988</v>
      </c>
      <c r="W476" s="476"/>
    </row>
    <row r="477" spans="1:23" s="69" customFormat="1" ht="14.25" customHeight="1">
      <c r="A477" s="476" t="s">
        <v>39</v>
      </c>
      <c r="B477" s="476" t="s">
        <v>40</v>
      </c>
      <c r="C477" s="476" t="s">
        <v>1124</v>
      </c>
      <c r="D477" s="429"/>
      <c r="E477" s="476"/>
      <c r="F477" s="476"/>
      <c r="G477" s="476"/>
      <c r="H477" s="476"/>
      <c r="I477" s="476"/>
      <c r="J477" s="476" t="s">
        <v>1476</v>
      </c>
      <c r="K477" s="476" t="s">
        <v>45</v>
      </c>
      <c r="L477" s="476" t="s">
        <v>1108</v>
      </c>
      <c r="M477" s="476" t="s">
        <v>46</v>
      </c>
      <c r="N477" s="476"/>
      <c r="O477" s="476"/>
      <c r="P477" s="476" t="s">
        <v>770</v>
      </c>
      <c r="Q477" s="476" t="s">
        <v>789</v>
      </c>
      <c r="R477" s="482"/>
      <c r="S477" s="483"/>
      <c r="T477" s="502"/>
      <c r="U477" s="484" t="s">
        <v>1104</v>
      </c>
      <c r="V477" s="476" t="s">
        <v>1124</v>
      </c>
      <c r="W477" s="476"/>
    </row>
    <row r="478" spans="1:23" s="69" customFormat="1" ht="14.25" customHeight="1">
      <c r="A478" s="476" t="s">
        <v>39</v>
      </c>
      <c r="B478" s="476" t="s">
        <v>40</v>
      </c>
      <c r="C478" s="476" t="s">
        <v>986</v>
      </c>
      <c r="D478" s="429" t="s">
        <v>3135</v>
      </c>
      <c r="E478" s="476" t="s">
        <v>1460</v>
      </c>
      <c r="F478" s="476" t="s">
        <v>1707</v>
      </c>
      <c r="G478" s="476" t="s">
        <v>1707</v>
      </c>
      <c r="H478" s="476"/>
      <c r="I478" s="476" t="s">
        <v>2181</v>
      </c>
      <c r="J478" s="476" t="s">
        <v>45</v>
      </c>
      <c r="K478" s="476" t="s">
        <v>45</v>
      </c>
      <c r="L478" s="476" t="s">
        <v>781</v>
      </c>
      <c r="M478" s="476" t="s">
        <v>46</v>
      </c>
      <c r="N478" s="476">
        <v>23.827870999999998</v>
      </c>
      <c r="O478" s="476">
        <v>97.588291999999996</v>
      </c>
      <c r="P478" s="476" t="s">
        <v>782</v>
      </c>
      <c r="Q478" s="476" t="s">
        <v>771</v>
      </c>
      <c r="R478" s="482">
        <v>243</v>
      </c>
      <c r="S478" s="482">
        <v>1529</v>
      </c>
      <c r="T478" s="502"/>
      <c r="U478" s="484"/>
      <c r="V478" s="476" t="s">
        <v>986</v>
      </c>
      <c r="W478" s="476"/>
    </row>
    <row r="479" spans="1:23" s="69" customFormat="1" ht="14.25" customHeight="1">
      <c r="A479" s="476" t="s">
        <v>39</v>
      </c>
      <c r="B479" s="476" t="s">
        <v>40</v>
      </c>
      <c r="C479" s="476" t="s">
        <v>196</v>
      </c>
      <c r="D479" s="429" t="s">
        <v>3135</v>
      </c>
      <c r="E479" s="476" t="s">
        <v>1486</v>
      </c>
      <c r="F479" s="476" t="s">
        <v>1801</v>
      </c>
      <c r="G479" s="476" t="s">
        <v>1802</v>
      </c>
      <c r="H479" s="476" t="s">
        <v>43</v>
      </c>
      <c r="I479" s="476" t="s">
        <v>2854</v>
      </c>
      <c r="J479" s="476" t="s">
        <v>45</v>
      </c>
      <c r="K479" s="476" t="s">
        <v>45</v>
      </c>
      <c r="L479" s="476" t="s">
        <v>45</v>
      </c>
      <c r="M479" s="476" t="s">
        <v>46</v>
      </c>
      <c r="N479" s="476">
        <v>24.129059999999999</v>
      </c>
      <c r="O479" s="476">
        <v>97.291820000000001</v>
      </c>
      <c r="P479" s="476" t="s">
        <v>770</v>
      </c>
      <c r="Q479" s="476" t="s">
        <v>789</v>
      </c>
      <c r="R479" s="482">
        <v>181</v>
      </c>
      <c r="S479" s="482">
        <v>808</v>
      </c>
      <c r="T479" s="502"/>
      <c r="U479" s="484"/>
      <c r="V479" s="476" t="s">
        <v>196</v>
      </c>
      <c r="W479" s="476"/>
    </row>
    <row r="480" spans="1:23" s="69" customFormat="1" ht="14.25" customHeight="1">
      <c r="A480" s="476" t="s">
        <v>39</v>
      </c>
      <c r="B480" s="476" t="s">
        <v>40</v>
      </c>
      <c r="C480" s="476" t="s">
        <v>1004</v>
      </c>
      <c r="D480" s="429" t="s">
        <v>3135</v>
      </c>
      <c r="E480" s="476" t="s">
        <v>1485</v>
      </c>
      <c r="F480" s="476"/>
      <c r="G480" s="476"/>
      <c r="H480" s="476"/>
      <c r="I480" s="476" t="s">
        <v>2181</v>
      </c>
      <c r="J480" s="476" t="s">
        <v>45</v>
      </c>
      <c r="K480" s="476" t="s">
        <v>45</v>
      </c>
      <c r="L480" s="476" t="s">
        <v>781</v>
      </c>
      <c r="M480" s="476" t="s">
        <v>46</v>
      </c>
      <c r="N480" s="476">
        <v>24.118618999999999</v>
      </c>
      <c r="O480" s="476">
        <v>97.298055000000005</v>
      </c>
      <c r="P480" s="476" t="s">
        <v>782</v>
      </c>
      <c r="Q480" s="476" t="s">
        <v>771</v>
      </c>
      <c r="R480" s="482">
        <v>67</v>
      </c>
      <c r="S480" s="482">
        <v>324</v>
      </c>
      <c r="T480" s="502"/>
      <c r="U480" s="484" t="s">
        <v>1005</v>
      </c>
      <c r="V480" s="476" t="s">
        <v>1006</v>
      </c>
      <c r="W480" s="476"/>
    </row>
    <row r="481" spans="1:23" s="69" customFormat="1" ht="14.25" customHeight="1">
      <c r="A481" s="476" t="s">
        <v>39</v>
      </c>
      <c r="B481" s="476" t="s">
        <v>40</v>
      </c>
      <c r="C481" s="476" t="s">
        <v>1010</v>
      </c>
      <c r="D481" s="429" t="s">
        <v>1686</v>
      </c>
      <c r="E481" s="476" t="s">
        <v>1495</v>
      </c>
      <c r="F481" s="476" t="s">
        <v>1729</v>
      </c>
      <c r="G481" s="476">
        <v>0</v>
      </c>
      <c r="H481" s="476"/>
      <c r="I481" s="476">
        <v>0</v>
      </c>
      <c r="J481" s="476" t="s">
        <v>45</v>
      </c>
      <c r="K481" s="476" t="s">
        <v>45</v>
      </c>
      <c r="L481" s="476" t="s">
        <v>769</v>
      </c>
      <c r="M481" s="476" t="s">
        <v>787</v>
      </c>
      <c r="N481" s="476">
        <v>24.20645</v>
      </c>
      <c r="O481" s="476">
        <v>96.808850000000007</v>
      </c>
      <c r="P481" s="476" t="s">
        <v>770</v>
      </c>
      <c r="Q481" s="476"/>
      <c r="R481" s="482"/>
      <c r="S481" s="483"/>
      <c r="T481" s="502"/>
      <c r="U481" s="484"/>
      <c r="V481" s="476" t="s">
        <v>1010</v>
      </c>
      <c r="W481" s="476" t="s">
        <v>2183</v>
      </c>
    </row>
    <row r="482" spans="1:23" s="69" customFormat="1" ht="14.25" customHeight="1">
      <c r="A482" s="476" t="s">
        <v>39</v>
      </c>
      <c r="B482" s="476" t="s">
        <v>40</v>
      </c>
      <c r="C482" s="476" t="s">
        <v>786</v>
      </c>
      <c r="D482" s="429" t="s">
        <v>1686</v>
      </c>
      <c r="E482" s="476" t="s">
        <v>1349</v>
      </c>
      <c r="F482" s="476" t="s">
        <v>1707</v>
      </c>
      <c r="G482" s="476">
        <v>0</v>
      </c>
      <c r="H482" s="476"/>
      <c r="I482" s="476">
        <v>0</v>
      </c>
      <c r="J482" s="476" t="s">
        <v>45</v>
      </c>
      <c r="K482" s="476" t="s">
        <v>45</v>
      </c>
      <c r="L482" s="476" t="s">
        <v>769</v>
      </c>
      <c r="M482" s="476" t="s">
        <v>787</v>
      </c>
      <c r="N482" s="476"/>
      <c r="O482" s="476"/>
      <c r="P482" s="476" t="s">
        <v>770</v>
      </c>
      <c r="Q482" s="476"/>
      <c r="R482" s="482"/>
      <c r="S482" s="483"/>
      <c r="T482" s="502"/>
      <c r="U482" s="484"/>
      <c r="V482" s="476" t="s">
        <v>786</v>
      </c>
      <c r="W482" s="476" t="s">
        <v>2206</v>
      </c>
    </row>
    <row r="483" spans="1:23" s="69" customFormat="1" ht="14.25" customHeight="1">
      <c r="A483" s="476" t="s">
        <v>39</v>
      </c>
      <c r="B483" s="476" t="s">
        <v>40</v>
      </c>
      <c r="C483" s="476" t="s">
        <v>984</v>
      </c>
      <c r="D483" s="429" t="s">
        <v>1686</v>
      </c>
      <c r="E483" s="476" t="s">
        <v>1457</v>
      </c>
      <c r="F483" s="476" t="s">
        <v>1709</v>
      </c>
      <c r="G483" s="476">
        <v>0</v>
      </c>
      <c r="H483" s="476"/>
      <c r="I483" s="476">
        <v>0</v>
      </c>
      <c r="J483" s="476" t="s">
        <v>45</v>
      </c>
      <c r="K483" s="476" t="s">
        <v>45</v>
      </c>
      <c r="L483" s="476" t="s">
        <v>769</v>
      </c>
      <c r="M483" s="476" t="s">
        <v>787</v>
      </c>
      <c r="N483" s="476">
        <v>23.75817</v>
      </c>
      <c r="O483" s="476">
        <v>97.132339999999999</v>
      </c>
      <c r="P483" s="476" t="s">
        <v>770</v>
      </c>
      <c r="Q483" s="476"/>
      <c r="R483" s="482"/>
      <c r="S483" s="483"/>
      <c r="T483" s="502"/>
      <c r="U483" s="484"/>
      <c r="V483" s="476" t="s">
        <v>984</v>
      </c>
      <c r="W483" s="476" t="s">
        <v>2183</v>
      </c>
    </row>
    <row r="484" spans="1:23" s="69" customFormat="1" ht="14.25" customHeight="1">
      <c r="A484" s="476" t="s">
        <v>39</v>
      </c>
      <c r="B484" s="476" t="s">
        <v>40</v>
      </c>
      <c r="C484" s="476" t="s">
        <v>790</v>
      </c>
      <c r="D484" s="429" t="s">
        <v>1686</v>
      </c>
      <c r="E484" s="476" t="s">
        <v>1352</v>
      </c>
      <c r="F484" s="476" t="s">
        <v>1709</v>
      </c>
      <c r="G484" s="476">
        <v>0</v>
      </c>
      <c r="H484" s="476"/>
      <c r="I484" s="476">
        <v>0</v>
      </c>
      <c r="J484" s="476" t="s">
        <v>45</v>
      </c>
      <c r="K484" s="476" t="s">
        <v>45</v>
      </c>
      <c r="L484" s="476" t="s">
        <v>769</v>
      </c>
      <c r="M484" s="476" t="s">
        <v>787</v>
      </c>
      <c r="N484" s="476"/>
      <c r="O484" s="476"/>
      <c r="P484" s="476" t="s">
        <v>770</v>
      </c>
      <c r="Q484" s="476"/>
      <c r="R484" s="482"/>
      <c r="S484" s="483"/>
      <c r="T484" s="502"/>
      <c r="U484" s="484"/>
      <c r="V484" s="476" t="s">
        <v>790</v>
      </c>
      <c r="W484" s="476" t="s">
        <v>2183</v>
      </c>
    </row>
    <row r="485" spans="1:23" s="69" customFormat="1" ht="14.25" customHeight="1">
      <c r="A485" s="476" t="s">
        <v>39</v>
      </c>
      <c r="B485" s="476" t="s">
        <v>40</v>
      </c>
      <c r="C485" s="476" t="s">
        <v>985</v>
      </c>
      <c r="D485" s="429" t="s">
        <v>1686</v>
      </c>
      <c r="E485" s="476" t="s">
        <v>1458</v>
      </c>
      <c r="F485" s="476" t="s">
        <v>1709</v>
      </c>
      <c r="G485" s="476">
        <v>0</v>
      </c>
      <c r="H485" s="476"/>
      <c r="I485" s="476">
        <v>0</v>
      </c>
      <c r="J485" s="476" t="s">
        <v>45</v>
      </c>
      <c r="K485" s="476" t="s">
        <v>45</v>
      </c>
      <c r="L485" s="476" t="s">
        <v>769</v>
      </c>
      <c r="M485" s="476" t="s">
        <v>787</v>
      </c>
      <c r="N485" s="476">
        <v>23.75817</v>
      </c>
      <c r="O485" s="476">
        <v>97.132339999999999</v>
      </c>
      <c r="P485" s="476" t="s">
        <v>770</v>
      </c>
      <c r="Q485" s="476"/>
      <c r="R485" s="482"/>
      <c r="S485" s="483"/>
      <c r="T485" s="502"/>
      <c r="U485" s="484"/>
      <c r="V485" s="476" t="s">
        <v>985</v>
      </c>
      <c r="W485" s="476" t="s">
        <v>2207</v>
      </c>
    </row>
    <row r="486" spans="1:23" s="69" customFormat="1" ht="14.25" customHeight="1">
      <c r="A486" s="476" t="s">
        <v>39</v>
      </c>
      <c r="B486" s="480" t="s">
        <v>40</v>
      </c>
      <c r="C486" s="480" t="s">
        <v>798</v>
      </c>
      <c r="D486" s="429" t="s">
        <v>1686</v>
      </c>
      <c r="E486" s="476" t="s">
        <v>1357</v>
      </c>
      <c r="F486" s="476">
        <v>0</v>
      </c>
      <c r="G486" s="476">
        <v>0</v>
      </c>
      <c r="H486" s="476"/>
      <c r="I486" s="476">
        <v>0</v>
      </c>
      <c r="J486" s="476" t="s">
        <v>45</v>
      </c>
      <c r="K486" s="476" t="s">
        <v>45</v>
      </c>
      <c r="L486" s="476" t="s">
        <v>769</v>
      </c>
      <c r="M486" s="476" t="s">
        <v>46</v>
      </c>
      <c r="N486" s="476"/>
      <c r="O486" s="476"/>
      <c r="P486" s="476" t="s">
        <v>770</v>
      </c>
      <c r="Q486" s="476"/>
      <c r="R486" s="482"/>
      <c r="S486" s="483"/>
      <c r="T486" s="502"/>
      <c r="U486" s="484"/>
      <c r="V486" s="476"/>
      <c r="W486" s="476" t="s">
        <v>2208</v>
      </c>
    </row>
    <row r="487" spans="1:23" s="69" customFormat="1" ht="14.25" customHeight="1">
      <c r="A487" s="476" t="s">
        <v>39</v>
      </c>
      <c r="B487" s="480" t="s">
        <v>40</v>
      </c>
      <c r="C487" s="480" t="s">
        <v>142</v>
      </c>
      <c r="D487" s="429"/>
      <c r="E487" s="476"/>
      <c r="F487" s="476"/>
      <c r="G487" s="476"/>
      <c r="H487" s="476"/>
      <c r="I487" s="476"/>
      <c r="J487" s="476" t="s">
        <v>1476</v>
      </c>
      <c r="K487" s="476" t="s">
        <v>45</v>
      </c>
      <c r="L487" s="476" t="s">
        <v>45</v>
      </c>
      <c r="M487" s="476" t="s">
        <v>46</v>
      </c>
      <c r="N487" s="476"/>
      <c r="O487" s="476"/>
      <c r="P487" s="476" t="s">
        <v>770</v>
      </c>
      <c r="Q487" s="476" t="s">
        <v>789</v>
      </c>
      <c r="R487" s="482"/>
      <c r="S487" s="483"/>
      <c r="T487" s="502">
        <v>42747</v>
      </c>
      <c r="U487" s="484" t="s">
        <v>1104</v>
      </c>
      <c r="V487" s="476"/>
      <c r="W487" s="476"/>
    </row>
    <row r="488" spans="1:23" s="69" customFormat="1" ht="14.25" customHeight="1">
      <c r="A488" s="483" t="s">
        <v>39</v>
      </c>
      <c r="B488" s="486" t="s">
        <v>40</v>
      </c>
      <c r="C488" s="487" t="s">
        <v>3090</v>
      </c>
      <c r="D488" s="481"/>
      <c r="E488" s="476"/>
      <c r="F488" s="476"/>
      <c r="G488" s="476"/>
      <c r="H488" s="476"/>
      <c r="I488" s="476"/>
      <c r="J488" s="476" t="s">
        <v>1476</v>
      </c>
      <c r="K488" s="476" t="s">
        <v>45</v>
      </c>
      <c r="L488" s="476" t="s">
        <v>1108</v>
      </c>
      <c r="M488" s="476" t="s">
        <v>46</v>
      </c>
      <c r="N488" s="476"/>
      <c r="O488" s="476"/>
      <c r="P488" s="476" t="s">
        <v>770</v>
      </c>
      <c r="Q488" s="476" t="s">
        <v>3061</v>
      </c>
      <c r="R488" s="490"/>
      <c r="S488" s="483"/>
      <c r="T488" s="502">
        <v>43749</v>
      </c>
      <c r="U488" s="490"/>
      <c r="V488" s="476"/>
      <c r="W488" s="482"/>
    </row>
    <row r="489" spans="1:23" s="69" customFormat="1" ht="14.25" customHeight="1">
      <c r="A489" s="487" t="s">
        <v>39</v>
      </c>
      <c r="B489" s="486" t="s">
        <v>155</v>
      </c>
      <c r="C489" s="480" t="s">
        <v>2004</v>
      </c>
      <c r="D489" s="429" t="s">
        <v>3135</v>
      </c>
      <c r="E489" s="476" t="s">
        <v>2010</v>
      </c>
      <c r="F489" s="476"/>
      <c r="G489" s="476"/>
      <c r="H489" s="476"/>
      <c r="I489" s="476" t="s">
        <v>2181</v>
      </c>
      <c r="J489" s="476" t="s">
        <v>45</v>
      </c>
      <c r="K489" s="476" t="s">
        <v>45</v>
      </c>
      <c r="L489" s="476" t="s">
        <v>785</v>
      </c>
      <c r="M489" s="476" t="s">
        <v>46</v>
      </c>
      <c r="N489" s="476"/>
      <c r="O489" s="476"/>
      <c r="P489" s="480" t="s">
        <v>770</v>
      </c>
      <c r="Q489" s="476" t="s">
        <v>1988</v>
      </c>
      <c r="R489" s="482">
        <v>6</v>
      </c>
      <c r="S489" s="482">
        <v>32</v>
      </c>
      <c r="T489" s="502">
        <v>43276</v>
      </c>
      <c r="U489" s="484" t="s">
        <v>2037</v>
      </c>
      <c r="V489" s="476"/>
      <c r="W489" s="394" t="s">
        <v>2317</v>
      </c>
    </row>
    <row r="490" spans="1:23" s="69" customFormat="1" ht="14.25" customHeight="1">
      <c r="A490" s="476" t="s">
        <v>39</v>
      </c>
      <c r="B490" s="476" t="s">
        <v>155</v>
      </c>
      <c r="C490" s="476" t="s">
        <v>156</v>
      </c>
      <c r="D490" s="429" t="s">
        <v>3135</v>
      </c>
      <c r="E490" s="476" t="s">
        <v>1550</v>
      </c>
      <c r="F490" s="476" t="s">
        <v>1762</v>
      </c>
      <c r="G490" s="476" t="s">
        <v>1836</v>
      </c>
      <c r="H490" s="476" t="s">
        <v>43</v>
      </c>
      <c r="I490" s="476" t="s">
        <v>2855</v>
      </c>
      <c r="J490" s="476" t="s">
        <v>45</v>
      </c>
      <c r="K490" s="476" t="s">
        <v>45</v>
      </c>
      <c r="L490" s="476" t="s">
        <v>45</v>
      </c>
      <c r="M490" s="476" t="s">
        <v>46</v>
      </c>
      <c r="N490" s="476">
        <v>25.305669999999999</v>
      </c>
      <c r="O490" s="476">
        <v>96.922619999999995</v>
      </c>
      <c r="P490" s="476" t="s">
        <v>770</v>
      </c>
      <c r="Q490" s="476" t="s">
        <v>789</v>
      </c>
      <c r="R490" s="482">
        <v>13</v>
      </c>
      <c r="S490" s="482">
        <v>72</v>
      </c>
      <c r="T490" s="502"/>
      <c r="U490" s="484"/>
      <c r="V490" s="476" t="s">
        <v>156</v>
      </c>
      <c r="W490" s="476"/>
    </row>
    <row r="491" spans="1:23" s="69" customFormat="1" ht="14.25" customHeight="1">
      <c r="A491" s="487" t="s">
        <v>39</v>
      </c>
      <c r="B491" s="486" t="s">
        <v>155</v>
      </c>
      <c r="C491" s="487" t="s">
        <v>2034</v>
      </c>
      <c r="D491" s="481"/>
      <c r="E491" s="476"/>
      <c r="F491" s="476"/>
      <c r="G491" s="476"/>
      <c r="H491" s="476"/>
      <c r="I491" s="476"/>
      <c r="J491" s="476" t="s">
        <v>1476</v>
      </c>
      <c r="K491" s="480" t="s">
        <v>45</v>
      </c>
      <c r="L491" s="480" t="s">
        <v>785</v>
      </c>
      <c r="M491" s="476"/>
      <c r="N491" s="476"/>
      <c r="O491" s="476"/>
      <c r="P491" s="476" t="s">
        <v>770</v>
      </c>
      <c r="Q491" s="476" t="s">
        <v>1988</v>
      </c>
      <c r="R491" s="490"/>
      <c r="S491" s="483"/>
      <c r="T491" s="502">
        <v>43285</v>
      </c>
      <c r="U491" s="484" t="s">
        <v>2039</v>
      </c>
      <c r="V491" s="476"/>
      <c r="W491" s="476"/>
    </row>
    <row r="492" spans="1:23" s="69" customFormat="1" ht="14.25" customHeight="1">
      <c r="A492" s="487" t="s">
        <v>39</v>
      </c>
      <c r="B492" s="486" t="s">
        <v>155</v>
      </c>
      <c r="C492" s="480" t="s">
        <v>2003</v>
      </c>
      <c r="D492" s="429" t="s">
        <v>3135</v>
      </c>
      <c r="E492" s="476" t="s">
        <v>2008</v>
      </c>
      <c r="F492" s="476"/>
      <c r="G492" s="476"/>
      <c r="H492" s="476"/>
      <c r="I492" s="476" t="s">
        <v>1341</v>
      </c>
      <c r="J492" s="476" t="s">
        <v>45</v>
      </c>
      <c r="K492" s="476" t="s">
        <v>45</v>
      </c>
      <c r="L492" s="480" t="s">
        <v>45</v>
      </c>
      <c r="M492" s="476" t="s">
        <v>46</v>
      </c>
      <c r="N492" s="476">
        <f>VLOOKUP(SiteDB6[[#This Row],[Pcode]],'[4]IDP locations'!$N$5:$Q$309,4,FALSE)</f>
        <v>25.383465999999999</v>
      </c>
      <c r="O492" s="476">
        <f>VLOOKUP(SiteDB6[[#This Row],[Pcode]],'[4]IDP locations'!$N$5:$Q$309,3,FALSE)</f>
        <v>97.013800000000003</v>
      </c>
      <c r="P492" s="480" t="s">
        <v>770</v>
      </c>
      <c r="Q492" s="476" t="s">
        <v>1988</v>
      </c>
      <c r="R492" s="482">
        <v>79</v>
      </c>
      <c r="S492" s="482">
        <v>405</v>
      </c>
      <c r="T492" s="502">
        <v>43276</v>
      </c>
      <c r="U492" s="484" t="s">
        <v>2274</v>
      </c>
      <c r="V492" s="476"/>
      <c r="W492" s="394" t="s">
        <v>2318</v>
      </c>
    </row>
    <row r="493" spans="1:23" s="69" customFormat="1" ht="14.25" customHeight="1">
      <c r="A493" s="487" t="s">
        <v>39</v>
      </c>
      <c r="B493" s="486" t="s">
        <v>155</v>
      </c>
      <c r="C493" s="480" t="s">
        <v>1991</v>
      </c>
      <c r="D493" s="481"/>
      <c r="E493" s="476"/>
      <c r="F493" s="476"/>
      <c r="G493" s="476"/>
      <c r="H493" s="476"/>
      <c r="I493" s="476"/>
      <c r="J493" s="476" t="s">
        <v>1476</v>
      </c>
      <c r="K493" s="476" t="s">
        <v>45</v>
      </c>
      <c r="L493" s="476" t="s">
        <v>45</v>
      </c>
      <c r="M493" s="476" t="s">
        <v>46</v>
      </c>
      <c r="N493" s="476"/>
      <c r="O493" s="476"/>
      <c r="P493" s="476" t="s">
        <v>770</v>
      </c>
      <c r="Q493" s="476" t="s">
        <v>1988</v>
      </c>
      <c r="R493" s="490"/>
      <c r="S493" s="483"/>
      <c r="T493" s="502">
        <v>43270</v>
      </c>
      <c r="U493" s="484"/>
      <c r="V493" s="476"/>
      <c r="W493" s="476"/>
    </row>
    <row r="494" spans="1:23" s="69" customFormat="1" ht="14.25" customHeight="1">
      <c r="A494" s="487" t="s">
        <v>39</v>
      </c>
      <c r="B494" s="486" t="s">
        <v>155</v>
      </c>
      <c r="C494" s="480" t="s">
        <v>1990</v>
      </c>
      <c r="D494" s="481"/>
      <c r="E494" s="476"/>
      <c r="F494" s="476"/>
      <c r="G494" s="476"/>
      <c r="H494" s="476"/>
      <c r="I494" s="476"/>
      <c r="J494" s="476" t="s">
        <v>1476</v>
      </c>
      <c r="K494" s="476" t="s">
        <v>45</v>
      </c>
      <c r="L494" s="476" t="s">
        <v>45</v>
      </c>
      <c r="M494" s="476" t="s">
        <v>46</v>
      </c>
      <c r="N494" s="476"/>
      <c r="O494" s="476"/>
      <c r="P494" s="476" t="s">
        <v>770</v>
      </c>
      <c r="Q494" s="476" t="s">
        <v>1988</v>
      </c>
      <c r="R494" s="490"/>
      <c r="S494" s="483"/>
      <c r="T494" s="502">
        <v>43270</v>
      </c>
      <c r="U494" s="484"/>
      <c r="V494" s="476"/>
      <c r="W494" s="476"/>
    </row>
    <row r="495" spans="1:23" s="69" customFormat="1" ht="14.25" customHeight="1">
      <c r="A495" s="476" t="s">
        <v>39</v>
      </c>
      <c r="B495" s="476" t="s">
        <v>155</v>
      </c>
      <c r="C495" s="476" t="s">
        <v>2175</v>
      </c>
      <c r="D495" s="429" t="s">
        <v>3135</v>
      </c>
      <c r="E495" s="476" t="s">
        <v>1546</v>
      </c>
      <c r="F495" s="476"/>
      <c r="G495" s="476"/>
      <c r="H495" s="476" t="s">
        <v>43</v>
      </c>
      <c r="I495" s="476" t="s">
        <v>2855</v>
      </c>
      <c r="J495" s="476" t="s">
        <v>45</v>
      </c>
      <c r="K495" s="476" t="s">
        <v>45</v>
      </c>
      <c r="L495" s="476" t="s">
        <v>45</v>
      </c>
      <c r="M495" s="476" t="s">
        <v>46</v>
      </c>
      <c r="N495" s="476">
        <v>25.296579999999999</v>
      </c>
      <c r="O495" s="476">
        <v>96.942279999999997</v>
      </c>
      <c r="P495" s="476" t="s">
        <v>770</v>
      </c>
      <c r="Q495" s="476" t="s">
        <v>789</v>
      </c>
      <c r="R495" s="482">
        <v>15</v>
      </c>
      <c r="S495" s="482">
        <v>74</v>
      </c>
      <c r="T495" s="502"/>
      <c r="U495" s="484"/>
      <c r="V495" s="476" t="s">
        <v>157</v>
      </c>
      <c r="W495" s="476"/>
    </row>
    <row r="496" spans="1:23" s="69" customFormat="1" ht="14.25" customHeight="1">
      <c r="A496" s="476" t="s">
        <v>39</v>
      </c>
      <c r="B496" s="476" t="s">
        <v>155</v>
      </c>
      <c r="C496" s="476" t="s">
        <v>243</v>
      </c>
      <c r="D496" s="429" t="s">
        <v>3160</v>
      </c>
      <c r="E496" s="476" t="s">
        <v>1547</v>
      </c>
      <c r="F496" s="476" t="s">
        <v>1833</v>
      </c>
      <c r="G496" s="476" t="s">
        <v>1834</v>
      </c>
      <c r="H496" s="476"/>
      <c r="I496" s="476">
        <v>0</v>
      </c>
      <c r="J496" s="476" t="s">
        <v>45</v>
      </c>
      <c r="K496" s="476" t="s">
        <v>45</v>
      </c>
      <c r="L496" s="476" t="s">
        <v>45</v>
      </c>
      <c r="M496" s="476" t="s">
        <v>46</v>
      </c>
      <c r="N496" s="476">
        <v>25.299679999999999</v>
      </c>
      <c r="O496" s="476">
        <v>96.942279999999997</v>
      </c>
      <c r="P496" s="476" t="s">
        <v>770</v>
      </c>
      <c r="Q496" s="476" t="s">
        <v>789</v>
      </c>
      <c r="R496" s="482"/>
      <c r="S496" s="483"/>
      <c r="T496" s="502">
        <v>42836</v>
      </c>
      <c r="U496" s="484" t="s">
        <v>2859</v>
      </c>
      <c r="V496" s="476" t="s">
        <v>243</v>
      </c>
      <c r="W496" s="394" t="s">
        <v>2209</v>
      </c>
    </row>
    <row r="497" spans="1:23" s="69" customFormat="1" ht="14.25" customHeight="1">
      <c r="A497" s="487" t="s">
        <v>39</v>
      </c>
      <c r="B497" s="486" t="s">
        <v>155</v>
      </c>
      <c r="C497" s="480" t="s">
        <v>2002</v>
      </c>
      <c r="D497" s="429" t="s">
        <v>3135</v>
      </c>
      <c r="E497" s="476" t="s">
        <v>2007</v>
      </c>
      <c r="F497" s="476"/>
      <c r="G497" s="476"/>
      <c r="H497" s="476"/>
      <c r="I497" s="476" t="s">
        <v>1341</v>
      </c>
      <c r="J497" s="476" t="s">
        <v>45</v>
      </c>
      <c r="K497" s="476" t="s">
        <v>45</v>
      </c>
      <c r="L497" s="480" t="s">
        <v>45</v>
      </c>
      <c r="M497" s="476" t="s">
        <v>46</v>
      </c>
      <c r="N497" s="476">
        <f>VLOOKUP(SiteDB6[[#This Row],[Pcode]],'[4]IDP locations'!$N$5:$Q$309,4,FALSE)</f>
        <v>25.370330525559201</v>
      </c>
      <c r="O497" s="476">
        <f>VLOOKUP(SiteDB6[[#This Row],[Pcode]],'[4]IDP locations'!$N$5:$Q$309,3,FALSE)</f>
        <v>97.010629910000006</v>
      </c>
      <c r="P497" s="480" t="s">
        <v>770</v>
      </c>
      <c r="Q497" s="476" t="s">
        <v>1988</v>
      </c>
      <c r="R497" s="482">
        <v>45</v>
      </c>
      <c r="S497" s="482">
        <v>237</v>
      </c>
      <c r="T497" s="502">
        <v>43276</v>
      </c>
      <c r="U497" s="488" t="s">
        <v>2038</v>
      </c>
      <c r="V497" s="476"/>
      <c r="W497" s="394" t="s">
        <v>2318</v>
      </c>
    </row>
    <row r="498" spans="1:23" s="69" customFormat="1" ht="14.25" customHeight="1">
      <c r="A498" s="483" t="s">
        <v>39</v>
      </c>
      <c r="B498" s="486" t="s">
        <v>155</v>
      </c>
      <c r="C498" s="487" t="s">
        <v>2073</v>
      </c>
      <c r="D498" s="481"/>
      <c r="E498" s="476"/>
      <c r="F498" s="476"/>
      <c r="G498" s="476"/>
      <c r="H498" s="476"/>
      <c r="I498" s="476"/>
      <c r="J498" s="476" t="s">
        <v>1476</v>
      </c>
      <c r="K498" s="476" t="s">
        <v>45</v>
      </c>
      <c r="L498" s="476" t="s">
        <v>785</v>
      </c>
      <c r="M498" s="476" t="s">
        <v>46</v>
      </c>
      <c r="N498" s="476"/>
      <c r="O498" s="476"/>
      <c r="P498" s="476" t="s">
        <v>770</v>
      </c>
      <c r="Q498" s="476"/>
      <c r="R498" s="490"/>
      <c r="S498" s="483"/>
      <c r="T498" s="502">
        <v>43298</v>
      </c>
      <c r="U498" s="484"/>
      <c r="V498" s="476"/>
      <c r="W498" s="476"/>
    </row>
    <row r="499" spans="1:23" s="69" customFormat="1" ht="14.25" customHeight="1">
      <c r="A499" s="476" t="s">
        <v>39</v>
      </c>
      <c r="B499" s="476" t="s">
        <v>155</v>
      </c>
      <c r="C499" s="476" t="s">
        <v>1131</v>
      </c>
      <c r="D499" s="429" t="s">
        <v>1686</v>
      </c>
      <c r="E499" s="476" t="s">
        <v>2017</v>
      </c>
      <c r="F499" s="476" t="s">
        <v>1762</v>
      </c>
      <c r="G499" s="476" t="s">
        <v>1131</v>
      </c>
      <c r="H499" s="476"/>
      <c r="I499" s="476">
        <v>0</v>
      </c>
      <c r="J499" s="476" t="s">
        <v>45</v>
      </c>
      <c r="K499" s="476" t="s">
        <v>45</v>
      </c>
      <c r="L499" s="476" t="s">
        <v>769</v>
      </c>
      <c r="M499" s="476" t="s">
        <v>46</v>
      </c>
      <c r="N499" s="476"/>
      <c r="O499" s="476"/>
      <c r="P499" s="476" t="s">
        <v>770</v>
      </c>
      <c r="Q499" s="476" t="s">
        <v>935</v>
      </c>
      <c r="R499" s="482"/>
      <c r="S499" s="483"/>
      <c r="T499" s="502"/>
      <c r="U499" s="484" t="s">
        <v>1132</v>
      </c>
      <c r="V499" s="476"/>
      <c r="W499" s="476" t="s">
        <v>2210</v>
      </c>
    </row>
    <row r="500" spans="1:23" s="69" customFormat="1" ht="14.25" customHeight="1">
      <c r="A500" s="487" t="s">
        <v>39</v>
      </c>
      <c r="B500" s="486" t="s">
        <v>155</v>
      </c>
      <c r="C500" s="480" t="s">
        <v>2174</v>
      </c>
      <c r="D500" s="429" t="s">
        <v>3135</v>
      </c>
      <c r="E500" s="476" t="s">
        <v>2009</v>
      </c>
      <c r="F500" s="476"/>
      <c r="G500" s="476"/>
      <c r="H500" s="476"/>
      <c r="I500" s="476" t="s">
        <v>2855</v>
      </c>
      <c r="J500" s="476" t="s">
        <v>45</v>
      </c>
      <c r="K500" s="476" t="s">
        <v>45</v>
      </c>
      <c r="L500" s="476" t="s">
        <v>45</v>
      </c>
      <c r="M500" s="476" t="s">
        <v>46</v>
      </c>
      <c r="N500" s="476">
        <f>VLOOKUP(SiteDB6[[#This Row],[Pcode]],'[4]IDP locations'!$N$5:$Q$309,4,FALSE)</f>
        <v>25.379014999999999</v>
      </c>
      <c r="O500" s="476">
        <f>VLOOKUP(SiteDB6[[#This Row],[Pcode]],'[4]IDP locations'!$N$5:$Q$309,3,FALSE)</f>
        <v>97.104997409999996</v>
      </c>
      <c r="P500" s="480" t="s">
        <v>770</v>
      </c>
      <c r="Q500" s="476" t="s">
        <v>1988</v>
      </c>
      <c r="R500" s="482">
        <v>112</v>
      </c>
      <c r="S500" s="482">
        <v>551</v>
      </c>
      <c r="T500" s="502">
        <v>43276</v>
      </c>
      <c r="U500" s="488" t="s">
        <v>2038</v>
      </c>
      <c r="V500" s="476"/>
      <c r="W500" s="394" t="s">
        <v>2319</v>
      </c>
    </row>
    <row r="501" spans="1:23" s="69" customFormat="1" ht="14.25" customHeight="1">
      <c r="A501" s="476" t="s">
        <v>39</v>
      </c>
      <c r="B501" s="476" t="s">
        <v>155</v>
      </c>
      <c r="C501" s="476" t="s">
        <v>158</v>
      </c>
      <c r="D501" s="429" t="s">
        <v>3135</v>
      </c>
      <c r="E501" s="476" t="s">
        <v>1548</v>
      </c>
      <c r="F501" s="476" t="s">
        <v>1762</v>
      </c>
      <c r="G501" s="476" t="s">
        <v>1835</v>
      </c>
      <c r="H501" s="476" t="s">
        <v>43</v>
      </c>
      <c r="I501" s="476" t="s">
        <v>2855</v>
      </c>
      <c r="J501" s="476" t="s">
        <v>45</v>
      </c>
      <c r="K501" s="476" t="s">
        <v>45</v>
      </c>
      <c r="L501" s="476" t="s">
        <v>45</v>
      </c>
      <c r="M501" s="476" t="s">
        <v>46</v>
      </c>
      <c r="N501" s="476">
        <v>25.30442</v>
      </c>
      <c r="O501" s="476">
        <v>96.948740000000001</v>
      </c>
      <c r="P501" s="476" t="s">
        <v>770</v>
      </c>
      <c r="Q501" s="476" t="s">
        <v>789</v>
      </c>
      <c r="R501" s="482">
        <v>10</v>
      </c>
      <c r="S501" s="482">
        <v>44</v>
      </c>
      <c r="T501" s="502"/>
      <c r="U501" s="484"/>
      <c r="V501" s="476" t="s">
        <v>158</v>
      </c>
      <c r="W501" s="476"/>
    </row>
    <row r="502" spans="1:23" s="69" customFormat="1" ht="14.25" customHeight="1">
      <c r="A502" s="476" t="s">
        <v>39</v>
      </c>
      <c r="B502" s="480" t="s">
        <v>155</v>
      </c>
      <c r="C502" s="480" t="s">
        <v>1049</v>
      </c>
      <c r="D502" s="429" t="s">
        <v>1686</v>
      </c>
      <c r="E502" s="476" t="s">
        <v>1543</v>
      </c>
      <c r="F502" s="476" t="s">
        <v>1744</v>
      </c>
      <c r="G502" s="476" t="s">
        <v>1744</v>
      </c>
      <c r="H502" s="476"/>
      <c r="I502" s="476">
        <v>0</v>
      </c>
      <c r="J502" s="476" t="s">
        <v>45</v>
      </c>
      <c r="K502" s="476" t="s">
        <v>45</v>
      </c>
      <c r="L502" s="476" t="s">
        <v>769</v>
      </c>
      <c r="M502" s="476" t="s">
        <v>46</v>
      </c>
      <c r="N502" s="476">
        <v>25.225000000000001</v>
      </c>
      <c r="O502" s="476">
        <v>96.793999999999997</v>
      </c>
      <c r="P502" s="476" t="s">
        <v>782</v>
      </c>
      <c r="Q502" s="476" t="s">
        <v>789</v>
      </c>
      <c r="R502" s="482"/>
      <c r="S502" s="483"/>
      <c r="T502" s="502">
        <v>42983</v>
      </c>
      <c r="U502" s="484" t="s">
        <v>1050</v>
      </c>
      <c r="V502" s="476" t="s">
        <v>1051</v>
      </c>
      <c r="W502" s="394" t="s">
        <v>2211</v>
      </c>
    </row>
    <row r="503" spans="1:23" s="69" customFormat="1" ht="14.25" customHeight="1">
      <c r="A503" s="476" t="s">
        <v>39</v>
      </c>
      <c r="B503" s="480" t="s">
        <v>155</v>
      </c>
      <c r="C503" s="480" t="s">
        <v>159</v>
      </c>
      <c r="D503" s="429" t="s">
        <v>3135</v>
      </c>
      <c r="E503" s="476" t="s">
        <v>1544</v>
      </c>
      <c r="F503" s="476" t="s">
        <v>1744</v>
      </c>
      <c r="G503" s="476" t="s">
        <v>1744</v>
      </c>
      <c r="H503" s="476" t="s">
        <v>43</v>
      </c>
      <c r="I503" s="476" t="s">
        <v>2855</v>
      </c>
      <c r="J503" s="476" t="s">
        <v>45</v>
      </c>
      <c r="K503" s="476" t="s">
        <v>45</v>
      </c>
      <c r="L503" s="476" t="s">
        <v>45</v>
      </c>
      <c r="M503" s="476" t="s">
        <v>46</v>
      </c>
      <c r="N503" s="476">
        <v>25.225000000000001</v>
      </c>
      <c r="O503" s="476">
        <v>96.793999999999997</v>
      </c>
      <c r="P503" s="476" t="s">
        <v>770</v>
      </c>
      <c r="Q503" s="476" t="s">
        <v>789</v>
      </c>
      <c r="R503" s="482">
        <v>30</v>
      </c>
      <c r="S503" s="482">
        <v>130</v>
      </c>
      <c r="T503" s="502"/>
      <c r="U503" s="484"/>
      <c r="V503" s="476" t="s">
        <v>159</v>
      </c>
      <c r="W503" s="476"/>
    </row>
    <row r="504" spans="1:23" s="69" customFormat="1" ht="14.25" customHeight="1">
      <c r="A504" s="476" t="s">
        <v>39</v>
      </c>
      <c r="B504" s="476" t="s">
        <v>160</v>
      </c>
      <c r="C504" s="476" t="s">
        <v>1043</v>
      </c>
      <c r="D504" s="429" t="s">
        <v>3135</v>
      </c>
      <c r="E504" s="476" t="s">
        <v>1536</v>
      </c>
      <c r="F504" s="476" t="s">
        <v>1894</v>
      </c>
      <c r="G504" s="476" t="s">
        <v>1895</v>
      </c>
      <c r="H504" s="476"/>
      <c r="I504" s="476" t="s">
        <v>2181</v>
      </c>
      <c r="J504" s="476" t="s">
        <v>45</v>
      </c>
      <c r="K504" s="476" t="s">
        <v>45</v>
      </c>
      <c r="L504" s="476" t="s">
        <v>781</v>
      </c>
      <c r="M504" s="476" t="s">
        <v>46</v>
      </c>
      <c r="N504" s="476">
        <v>24.996279999999999</v>
      </c>
      <c r="O504" s="476">
        <v>96.52534</v>
      </c>
      <c r="P504" s="476" t="s">
        <v>782</v>
      </c>
      <c r="Q504" s="476" t="s">
        <v>771</v>
      </c>
      <c r="R504" s="482">
        <v>27</v>
      </c>
      <c r="S504" s="482">
        <v>126</v>
      </c>
      <c r="T504" s="502"/>
      <c r="U504" s="484" t="s">
        <v>1040</v>
      </c>
      <c r="V504" s="476" t="s">
        <v>1043</v>
      </c>
      <c r="W504" s="476"/>
    </row>
    <row r="505" spans="1:23" s="69" customFormat="1" ht="14.25" customHeight="1">
      <c r="A505" s="476" t="s">
        <v>39</v>
      </c>
      <c r="B505" s="476" t="s">
        <v>160</v>
      </c>
      <c r="C505" s="476" t="s">
        <v>1039</v>
      </c>
      <c r="D505" s="429" t="s">
        <v>3135</v>
      </c>
      <c r="E505" s="476" t="s">
        <v>1533</v>
      </c>
      <c r="F505" s="476" t="s">
        <v>1825</v>
      </c>
      <c r="G505" s="476">
        <v>0</v>
      </c>
      <c r="H505" s="476"/>
      <c r="I505" s="476" t="s">
        <v>2181</v>
      </c>
      <c r="J505" s="476" t="s">
        <v>45</v>
      </c>
      <c r="K505" s="476" t="s">
        <v>45</v>
      </c>
      <c r="L505" s="476" t="s">
        <v>781</v>
      </c>
      <c r="M505" s="476" t="s">
        <v>46</v>
      </c>
      <c r="N505" s="476">
        <v>24.764959999999999</v>
      </c>
      <c r="O505" s="476">
        <v>96.366919999999993</v>
      </c>
      <c r="P505" s="476" t="s">
        <v>782</v>
      </c>
      <c r="Q505" s="476" t="s">
        <v>771</v>
      </c>
      <c r="R505" s="482">
        <v>15</v>
      </c>
      <c r="S505" s="482">
        <v>71</v>
      </c>
      <c r="T505" s="502"/>
      <c r="U505" s="484" t="s">
        <v>1040</v>
      </c>
      <c r="V505" s="476" t="s">
        <v>1039</v>
      </c>
      <c r="W505" s="476"/>
    </row>
    <row r="506" spans="1:23" s="69" customFormat="1" ht="14.25" customHeight="1">
      <c r="A506" s="476" t="s">
        <v>39</v>
      </c>
      <c r="B506" s="476" t="s">
        <v>160</v>
      </c>
      <c r="C506" s="476" t="s">
        <v>160</v>
      </c>
      <c r="D506" s="429" t="s">
        <v>1685</v>
      </c>
      <c r="E506" s="476"/>
      <c r="F506" s="476"/>
      <c r="G506" s="476"/>
      <c r="H506" s="476"/>
      <c r="I506" s="476"/>
      <c r="J506" s="476" t="s">
        <v>807</v>
      </c>
      <c r="K506" s="476" t="s">
        <v>807</v>
      </c>
      <c r="L506" s="476" t="s">
        <v>807</v>
      </c>
      <c r="M506" s="476"/>
      <c r="N506" s="476"/>
      <c r="O506" s="476"/>
      <c r="P506" s="476" t="s">
        <v>808</v>
      </c>
      <c r="Q506" s="476"/>
      <c r="R506" s="482"/>
      <c r="S506" s="483"/>
      <c r="T506" s="502"/>
      <c r="U506" s="484"/>
      <c r="V506" s="476" t="s">
        <v>160</v>
      </c>
      <c r="W506" s="476"/>
    </row>
    <row r="507" spans="1:23" s="69" customFormat="1" ht="14.25" customHeight="1">
      <c r="A507" s="476" t="s">
        <v>39</v>
      </c>
      <c r="B507" s="476" t="s">
        <v>160</v>
      </c>
      <c r="C507" s="476" t="s">
        <v>1044</v>
      </c>
      <c r="D507" s="429" t="s">
        <v>1686</v>
      </c>
      <c r="E507" s="476" t="s">
        <v>1537</v>
      </c>
      <c r="F507" s="476" t="s">
        <v>1741</v>
      </c>
      <c r="G507" s="476" t="s">
        <v>1741</v>
      </c>
      <c r="H507" s="476" t="s">
        <v>43</v>
      </c>
      <c r="I507" s="476" t="s">
        <v>144</v>
      </c>
      <c r="J507" s="476" t="s">
        <v>45</v>
      </c>
      <c r="K507" s="476" t="s">
        <v>45</v>
      </c>
      <c r="L507" s="476" t="s">
        <v>769</v>
      </c>
      <c r="M507" s="476" t="s">
        <v>46</v>
      </c>
      <c r="N507" s="476">
        <v>24.998349999999999</v>
      </c>
      <c r="O507" s="476">
        <v>96.364949999999993</v>
      </c>
      <c r="P507" s="476" t="s">
        <v>770</v>
      </c>
      <c r="Q507" s="476"/>
      <c r="R507" s="482"/>
      <c r="S507" s="483"/>
      <c r="T507" s="502"/>
      <c r="U507" s="484"/>
      <c r="V507" s="476" t="s">
        <v>1044</v>
      </c>
      <c r="W507" s="476" t="s">
        <v>2212</v>
      </c>
    </row>
    <row r="508" spans="1:23" s="69" customFormat="1" ht="14.25" customHeight="1">
      <c r="A508" s="476" t="s">
        <v>39</v>
      </c>
      <c r="B508" s="476" t="s">
        <v>160</v>
      </c>
      <c r="C508" s="476" t="s">
        <v>161</v>
      </c>
      <c r="D508" s="429" t="s">
        <v>3135</v>
      </c>
      <c r="E508" s="476" t="s">
        <v>1538</v>
      </c>
      <c r="F508" s="476"/>
      <c r="G508" s="476"/>
      <c r="H508" s="476" t="s">
        <v>43</v>
      </c>
      <c r="I508" s="476" t="s">
        <v>2855</v>
      </c>
      <c r="J508" s="476" t="s">
        <v>45</v>
      </c>
      <c r="K508" s="476" t="s">
        <v>45</v>
      </c>
      <c r="L508" s="476" t="s">
        <v>45</v>
      </c>
      <c r="M508" s="476" t="s">
        <v>46</v>
      </c>
      <c r="N508" s="476">
        <v>24.998349999999999</v>
      </c>
      <c r="O508" s="476">
        <v>96.364949999999993</v>
      </c>
      <c r="P508" s="476" t="s">
        <v>770</v>
      </c>
      <c r="Q508" s="476" t="s">
        <v>789</v>
      </c>
      <c r="R508" s="482">
        <v>25</v>
      </c>
      <c r="S508" s="482">
        <v>119</v>
      </c>
      <c r="T508" s="502"/>
      <c r="U508" s="484"/>
      <c r="V508" s="476" t="s">
        <v>1045</v>
      </c>
      <c r="W508" s="394" t="s">
        <v>2320</v>
      </c>
    </row>
    <row r="509" spans="1:23" s="69" customFormat="1" ht="14.25" customHeight="1">
      <c r="A509" s="476" t="s">
        <v>39</v>
      </c>
      <c r="B509" s="480" t="s">
        <v>160</v>
      </c>
      <c r="C509" s="480" t="s">
        <v>242</v>
      </c>
      <c r="D509" s="429" t="s">
        <v>3135</v>
      </c>
      <c r="E509" s="476" t="s">
        <v>1532</v>
      </c>
      <c r="F509" s="476" t="s">
        <v>1825</v>
      </c>
      <c r="G509" s="476" t="s">
        <v>1826</v>
      </c>
      <c r="H509" s="476" t="s">
        <v>43</v>
      </c>
      <c r="I509" s="476" t="s">
        <v>1341</v>
      </c>
      <c r="J509" s="476" t="s">
        <v>45</v>
      </c>
      <c r="K509" s="476" t="s">
        <v>45</v>
      </c>
      <c r="L509" s="476" t="s">
        <v>45</v>
      </c>
      <c r="M509" s="476" t="s">
        <v>46</v>
      </c>
      <c r="N509" s="476">
        <v>24.764800000000001</v>
      </c>
      <c r="O509" s="476">
        <v>96.367059999999995</v>
      </c>
      <c r="P509" s="476" t="s">
        <v>770</v>
      </c>
      <c r="Q509" s="476" t="s">
        <v>789</v>
      </c>
      <c r="R509" s="482">
        <v>11</v>
      </c>
      <c r="S509" s="482">
        <v>67</v>
      </c>
      <c r="T509" s="502"/>
      <c r="U509" s="484"/>
      <c r="V509" s="476" t="s">
        <v>242</v>
      </c>
      <c r="W509" s="476"/>
    </row>
    <row r="510" spans="1:23" s="69" customFormat="1" ht="14.25" customHeight="1">
      <c r="A510" s="483" t="s">
        <v>39</v>
      </c>
      <c r="B510" s="486" t="s">
        <v>2074</v>
      </c>
      <c r="C510" s="487" t="s">
        <v>2079</v>
      </c>
      <c r="D510" s="481"/>
      <c r="E510" s="476"/>
      <c r="F510" s="476"/>
      <c r="G510" s="476"/>
      <c r="H510" s="476"/>
      <c r="I510" s="476"/>
      <c r="J510" s="476" t="s">
        <v>1476</v>
      </c>
      <c r="K510" s="480" t="s">
        <v>45</v>
      </c>
      <c r="L510" s="480" t="s">
        <v>785</v>
      </c>
      <c r="M510" s="476" t="s">
        <v>787</v>
      </c>
      <c r="N510" s="476"/>
      <c r="O510" s="476"/>
      <c r="P510" s="476" t="s">
        <v>770</v>
      </c>
      <c r="Q510" s="476"/>
      <c r="R510" s="490"/>
      <c r="S510" s="483"/>
      <c r="T510" s="502">
        <v>43298</v>
      </c>
      <c r="U510" s="484"/>
      <c r="V510" s="476"/>
      <c r="W510" s="476"/>
    </row>
    <row r="511" spans="1:23" s="69" customFormat="1" ht="14.25" customHeight="1">
      <c r="A511" s="476" t="s">
        <v>39</v>
      </c>
      <c r="B511" s="476" t="s">
        <v>208</v>
      </c>
      <c r="C511" s="476" t="s">
        <v>209</v>
      </c>
      <c r="D511" s="429"/>
      <c r="E511" s="476"/>
      <c r="F511" s="476"/>
      <c r="G511" s="476"/>
      <c r="H511" s="476"/>
      <c r="I511" s="476"/>
      <c r="J511" s="476" t="s">
        <v>1476</v>
      </c>
      <c r="K511" s="476" t="s">
        <v>45</v>
      </c>
      <c r="L511" s="476" t="s">
        <v>45</v>
      </c>
      <c r="M511" s="476" t="s">
        <v>46</v>
      </c>
      <c r="N511" s="476"/>
      <c r="O511" s="476"/>
      <c r="P511" s="476" t="s">
        <v>770</v>
      </c>
      <c r="Q511" s="476" t="s">
        <v>789</v>
      </c>
      <c r="R511" s="482"/>
      <c r="S511" s="483"/>
      <c r="T511" s="502"/>
      <c r="U511" s="484" t="s">
        <v>1099</v>
      </c>
      <c r="V511" s="476" t="s">
        <v>209</v>
      </c>
      <c r="W511" s="476"/>
    </row>
    <row r="512" spans="1:23" s="69" customFormat="1" ht="14.25" customHeight="1">
      <c r="A512" s="476" t="s">
        <v>39</v>
      </c>
      <c r="B512" s="476" t="s">
        <v>208</v>
      </c>
      <c r="C512" s="476" t="s">
        <v>1030</v>
      </c>
      <c r="D512" s="429" t="s">
        <v>1686</v>
      </c>
      <c r="E512" s="476" t="s">
        <v>1524</v>
      </c>
      <c r="F512" s="476" t="s">
        <v>1734</v>
      </c>
      <c r="G512" s="476" t="s">
        <v>1735</v>
      </c>
      <c r="H512" s="476"/>
      <c r="I512" s="476">
        <v>0</v>
      </c>
      <c r="J512" s="476" t="s">
        <v>45</v>
      </c>
      <c r="K512" s="476" t="s">
        <v>45</v>
      </c>
      <c r="L512" s="476" t="s">
        <v>769</v>
      </c>
      <c r="M512" s="476" t="s">
        <v>46</v>
      </c>
      <c r="N512" s="476">
        <v>24.613976000000001</v>
      </c>
      <c r="O512" s="476">
        <v>97.461271999999994</v>
      </c>
      <c r="P512" s="476" t="s">
        <v>770</v>
      </c>
      <c r="Q512" s="476" t="s">
        <v>771</v>
      </c>
      <c r="R512" s="482"/>
      <c r="S512" s="483"/>
      <c r="T512" s="502">
        <v>42983</v>
      </c>
      <c r="U512" s="484" t="s">
        <v>1031</v>
      </c>
      <c r="V512" s="476" t="s">
        <v>1030</v>
      </c>
      <c r="W512" s="394" t="s">
        <v>2213</v>
      </c>
    </row>
    <row r="513" spans="1:23" s="69" customFormat="1" ht="14.25" customHeight="1">
      <c r="A513" s="476" t="s">
        <v>39</v>
      </c>
      <c r="B513" s="476" t="s">
        <v>208</v>
      </c>
      <c r="C513" s="476" t="s">
        <v>235</v>
      </c>
      <c r="D513" s="429" t="s">
        <v>3135</v>
      </c>
      <c r="E513" s="476" t="s">
        <v>1522</v>
      </c>
      <c r="F513" s="476" t="s">
        <v>1821</v>
      </c>
      <c r="G513" s="476" t="s">
        <v>1822</v>
      </c>
      <c r="H513" s="476" t="s">
        <v>43</v>
      </c>
      <c r="I513" s="476" t="s">
        <v>1341</v>
      </c>
      <c r="J513" s="476" t="s">
        <v>45</v>
      </c>
      <c r="K513" s="476" t="s">
        <v>45</v>
      </c>
      <c r="L513" s="476" t="s">
        <v>45</v>
      </c>
      <c r="M513" s="476" t="s">
        <v>787</v>
      </c>
      <c r="N513" s="476">
        <v>24.461033</v>
      </c>
      <c r="O513" s="476">
        <v>97.537099999999995</v>
      </c>
      <c r="P513" s="476" t="s">
        <v>770</v>
      </c>
      <c r="Q513" s="476" t="s">
        <v>789</v>
      </c>
      <c r="R513" s="482">
        <v>79</v>
      </c>
      <c r="S513" s="482">
        <v>377</v>
      </c>
      <c r="T513" s="502"/>
      <c r="U513" s="484"/>
      <c r="V513" s="476" t="s">
        <v>235</v>
      </c>
      <c r="W513" s="476"/>
    </row>
    <row r="514" spans="1:23" s="69" customFormat="1" ht="14.25" customHeight="1">
      <c r="A514" s="476" t="s">
        <v>39</v>
      </c>
      <c r="B514" s="480" t="s">
        <v>208</v>
      </c>
      <c r="C514" s="563" t="s">
        <v>3058</v>
      </c>
      <c r="D514" s="429" t="s">
        <v>3135</v>
      </c>
      <c r="E514" s="476" t="s">
        <v>3059</v>
      </c>
      <c r="F514" s="476" t="s">
        <v>208</v>
      </c>
      <c r="G514" s="476" t="s">
        <v>3060</v>
      </c>
      <c r="H514" s="476"/>
      <c r="I514" s="476" t="s">
        <v>2181</v>
      </c>
      <c r="J514" s="476" t="s">
        <v>45</v>
      </c>
      <c r="K514" s="476" t="s">
        <v>45</v>
      </c>
      <c r="L514" s="476" t="s">
        <v>1036</v>
      </c>
      <c r="M514" s="476" t="s">
        <v>46</v>
      </c>
      <c r="N514" s="561">
        <v>24.613662999999999</v>
      </c>
      <c r="O514" s="561">
        <v>97.461727999999994</v>
      </c>
      <c r="P514" s="476" t="s">
        <v>770</v>
      </c>
      <c r="Q514" s="476" t="s">
        <v>3061</v>
      </c>
      <c r="R514" s="482">
        <v>0</v>
      </c>
      <c r="S514" s="482">
        <v>26</v>
      </c>
      <c r="T514" s="502">
        <v>43717</v>
      </c>
      <c r="U514" s="562"/>
      <c r="V514" s="476"/>
      <c r="W514" s="476" t="s">
        <v>3062</v>
      </c>
    </row>
    <row r="515" spans="1:23" s="69" customFormat="1" ht="14.25" customHeight="1">
      <c r="A515" s="476" t="s">
        <v>39</v>
      </c>
      <c r="B515" s="476" t="s">
        <v>208</v>
      </c>
      <c r="C515" s="476" t="s">
        <v>220</v>
      </c>
      <c r="D515" s="429" t="s">
        <v>3135</v>
      </c>
      <c r="E515" s="476" t="s">
        <v>1526</v>
      </c>
      <c r="F515" s="476" t="s">
        <v>1823</v>
      </c>
      <c r="G515" s="476" t="s">
        <v>1824</v>
      </c>
      <c r="H515" s="476" t="s">
        <v>43</v>
      </c>
      <c r="I515" s="476" t="s">
        <v>1341</v>
      </c>
      <c r="J515" s="476" t="s">
        <v>45</v>
      </c>
      <c r="K515" s="476" t="s">
        <v>45</v>
      </c>
      <c r="L515" s="476" t="s">
        <v>45</v>
      </c>
      <c r="M515" s="476" t="s">
        <v>787</v>
      </c>
      <c r="N515" s="476">
        <v>24.661905999999998</v>
      </c>
      <c r="O515" s="476">
        <v>97.573126000000002</v>
      </c>
      <c r="P515" s="17" t="s">
        <v>770</v>
      </c>
      <c r="Q515" s="476" t="s">
        <v>789</v>
      </c>
      <c r="R515" s="482">
        <v>717</v>
      </c>
      <c r="S515" s="482">
        <v>3667</v>
      </c>
      <c r="T515" s="502"/>
      <c r="U515" s="484"/>
      <c r="V515" s="476" t="s">
        <v>220</v>
      </c>
      <c r="W515" s="476"/>
    </row>
    <row r="516" spans="1:23" s="69" customFormat="1" ht="14.25" customHeight="1">
      <c r="A516" s="483" t="s">
        <v>39</v>
      </c>
      <c r="B516" s="486" t="s">
        <v>208</v>
      </c>
      <c r="C516" s="403" t="s">
        <v>3036</v>
      </c>
      <c r="D516" s="481"/>
      <c r="E516" s="476"/>
      <c r="F516" s="476"/>
      <c r="G516" s="476"/>
      <c r="H516" s="476"/>
      <c r="I516" s="476"/>
      <c r="J516" s="476" t="s">
        <v>1476</v>
      </c>
      <c r="K516" s="476" t="s">
        <v>45</v>
      </c>
      <c r="L516" s="476" t="s">
        <v>45</v>
      </c>
      <c r="M516" s="476" t="s">
        <v>46</v>
      </c>
      <c r="N516" s="476"/>
      <c r="O516" s="476"/>
      <c r="P516" s="476" t="s">
        <v>770</v>
      </c>
      <c r="Q516" s="476" t="s">
        <v>3033</v>
      </c>
      <c r="R516" s="490"/>
      <c r="S516" s="483"/>
      <c r="T516" s="502">
        <v>42554</v>
      </c>
      <c r="U516" s="490"/>
      <c r="V516" s="476"/>
      <c r="W516" s="482"/>
    </row>
    <row r="517" spans="1:23" s="69" customFormat="1" ht="14.25" customHeight="1">
      <c r="A517" s="476" t="s">
        <v>39</v>
      </c>
      <c r="B517" s="476" t="s">
        <v>208</v>
      </c>
      <c r="C517" s="476" t="s">
        <v>293</v>
      </c>
      <c r="D517" s="429" t="s">
        <v>3135</v>
      </c>
      <c r="E517" s="476" t="s">
        <v>1527</v>
      </c>
      <c r="F517" s="476" t="s">
        <v>1823</v>
      </c>
      <c r="G517" s="476" t="s">
        <v>1824</v>
      </c>
      <c r="H517" s="476" t="s">
        <v>43</v>
      </c>
      <c r="I517" s="476" t="s">
        <v>1341</v>
      </c>
      <c r="J517" s="476" t="s">
        <v>45</v>
      </c>
      <c r="K517" s="476" t="s">
        <v>45</v>
      </c>
      <c r="L517" s="476" t="s">
        <v>45</v>
      </c>
      <c r="M517" s="476" t="s">
        <v>787</v>
      </c>
      <c r="N517" s="476">
        <v>24.688338999999999</v>
      </c>
      <c r="O517" s="476">
        <v>97.568331999999998</v>
      </c>
      <c r="P517" s="17" t="s">
        <v>770</v>
      </c>
      <c r="Q517" s="476" t="s">
        <v>789</v>
      </c>
      <c r="R517" s="482">
        <v>1538</v>
      </c>
      <c r="S517" s="482">
        <v>8792</v>
      </c>
      <c r="T517" s="502"/>
      <c r="U517" s="484"/>
      <c r="V517" s="476" t="s">
        <v>293</v>
      </c>
      <c r="W517" s="476"/>
    </row>
    <row r="518" spans="1:23" s="69" customFormat="1" ht="14.25" customHeight="1">
      <c r="A518" s="476" t="s">
        <v>39</v>
      </c>
      <c r="B518" s="476" t="s">
        <v>208</v>
      </c>
      <c r="C518" s="476" t="s">
        <v>210</v>
      </c>
      <c r="D518" s="429"/>
      <c r="E518" s="476"/>
      <c r="F518" s="476"/>
      <c r="G518" s="476"/>
      <c r="H518" s="476"/>
      <c r="I518" s="476"/>
      <c r="J518" s="476" t="s">
        <v>1476</v>
      </c>
      <c r="K518" s="476" t="s">
        <v>45</v>
      </c>
      <c r="L518" s="476" t="s">
        <v>45</v>
      </c>
      <c r="M518" s="476" t="s">
        <v>46</v>
      </c>
      <c r="N518" s="476"/>
      <c r="O518" s="476"/>
      <c r="P518" s="476" t="s">
        <v>770</v>
      </c>
      <c r="Q518" s="476" t="s">
        <v>789</v>
      </c>
      <c r="R518" s="482"/>
      <c r="S518" s="483"/>
      <c r="T518" s="502"/>
      <c r="U518" s="484" t="s">
        <v>1099</v>
      </c>
      <c r="V518" s="476" t="s">
        <v>210</v>
      </c>
      <c r="W518" s="476"/>
    </row>
    <row r="519" spans="1:23" s="69" customFormat="1" ht="14.25" customHeight="1">
      <c r="A519" s="476" t="s">
        <v>39</v>
      </c>
      <c r="B519" s="476" t="s">
        <v>208</v>
      </c>
      <c r="C519" s="476" t="s">
        <v>212</v>
      </c>
      <c r="D519" s="429"/>
      <c r="E519" s="476"/>
      <c r="F519" s="476"/>
      <c r="G519" s="476"/>
      <c r="H519" s="476"/>
      <c r="I519" s="476"/>
      <c r="J519" s="476" t="s">
        <v>1476</v>
      </c>
      <c r="K519" s="476" t="s">
        <v>45</v>
      </c>
      <c r="L519" s="476" t="s">
        <v>45</v>
      </c>
      <c r="M519" s="476" t="s">
        <v>46</v>
      </c>
      <c r="N519" s="476"/>
      <c r="O519" s="476"/>
      <c r="P519" s="476" t="s">
        <v>770</v>
      </c>
      <c r="Q519" s="476" t="s">
        <v>789</v>
      </c>
      <c r="R519" s="482"/>
      <c r="S519" s="483"/>
      <c r="T519" s="502"/>
      <c r="U519" s="484" t="s">
        <v>1099</v>
      </c>
      <c r="V519" s="476" t="s">
        <v>212</v>
      </c>
      <c r="W519" s="476"/>
    </row>
    <row r="520" spans="1:23" s="69" customFormat="1" ht="14.25" customHeight="1">
      <c r="A520" s="476" t="s">
        <v>39</v>
      </c>
      <c r="B520" s="476" t="s">
        <v>208</v>
      </c>
      <c r="C520" s="476" t="s">
        <v>1021</v>
      </c>
      <c r="D520" s="429" t="s">
        <v>3135</v>
      </c>
      <c r="E520" s="476" t="s">
        <v>1517</v>
      </c>
      <c r="F520" s="476" t="s">
        <v>1892</v>
      </c>
      <c r="G520" s="476" t="s">
        <v>1893</v>
      </c>
      <c r="H520" s="476"/>
      <c r="I520" s="476" t="s">
        <v>2181</v>
      </c>
      <c r="J520" s="476" t="s">
        <v>45</v>
      </c>
      <c r="K520" s="476" t="s">
        <v>45</v>
      </c>
      <c r="L520" s="476" t="s">
        <v>781</v>
      </c>
      <c r="M520" s="476" t="s">
        <v>46</v>
      </c>
      <c r="N520" s="476">
        <v>24.377054000000001</v>
      </c>
      <c r="O520" s="476">
        <v>97.343406999999999</v>
      </c>
      <c r="P520" s="476" t="s">
        <v>782</v>
      </c>
      <c r="Q520" s="476" t="s">
        <v>771</v>
      </c>
      <c r="R520" s="482">
        <v>3</v>
      </c>
      <c r="S520" s="482">
        <v>18</v>
      </c>
      <c r="T520" s="502"/>
      <c r="U520" s="484" t="s">
        <v>1022</v>
      </c>
      <c r="V520" s="476" t="s">
        <v>1021</v>
      </c>
      <c r="W520" s="476"/>
    </row>
    <row r="521" spans="1:23" s="69" customFormat="1" ht="14.25" customHeight="1">
      <c r="A521" s="476" t="s">
        <v>39</v>
      </c>
      <c r="B521" s="476" t="s">
        <v>208</v>
      </c>
      <c r="C521" s="476" t="s">
        <v>292</v>
      </c>
      <c r="D521" s="429"/>
      <c r="E521" s="476"/>
      <c r="F521" s="476"/>
      <c r="G521" s="476"/>
      <c r="H521" s="476"/>
      <c r="I521" s="476"/>
      <c r="J521" s="476" t="s">
        <v>1476</v>
      </c>
      <c r="K521" s="476" t="s">
        <v>45</v>
      </c>
      <c r="L521" s="476" t="s">
        <v>1108</v>
      </c>
      <c r="M521" s="476" t="s">
        <v>787</v>
      </c>
      <c r="N521" s="476"/>
      <c r="O521" s="476"/>
      <c r="P521" s="476" t="s">
        <v>770</v>
      </c>
      <c r="Q521" s="476" t="s">
        <v>771</v>
      </c>
      <c r="R521" s="482"/>
      <c r="S521" s="483"/>
      <c r="T521" s="502">
        <v>42849</v>
      </c>
      <c r="U521" s="484"/>
      <c r="V521" s="476"/>
      <c r="W521" s="476"/>
    </row>
    <row r="522" spans="1:23" s="69" customFormat="1" ht="14.25" customHeight="1">
      <c r="A522" s="476" t="s">
        <v>39</v>
      </c>
      <c r="B522" s="476" t="s">
        <v>208</v>
      </c>
      <c r="C522" s="476" t="s">
        <v>284</v>
      </c>
      <c r="D522" s="429" t="s">
        <v>3135</v>
      </c>
      <c r="E522" s="476" t="s">
        <v>1492</v>
      </c>
      <c r="F522" s="476" t="s">
        <v>1804</v>
      </c>
      <c r="G522" s="476" t="s">
        <v>1806</v>
      </c>
      <c r="H522" s="476" t="s">
        <v>43</v>
      </c>
      <c r="I522" s="476" t="s">
        <v>2854</v>
      </c>
      <c r="J522" s="476" t="s">
        <v>45</v>
      </c>
      <c r="K522" s="476" t="s">
        <v>45</v>
      </c>
      <c r="L522" s="476" t="s">
        <v>45</v>
      </c>
      <c r="M522" s="476" t="s">
        <v>46</v>
      </c>
      <c r="N522" s="476">
        <v>24.200972</v>
      </c>
      <c r="O522" s="476">
        <v>97.718582999999995</v>
      </c>
      <c r="P522" s="476" t="s">
        <v>770</v>
      </c>
      <c r="Q522" s="476" t="s">
        <v>789</v>
      </c>
      <c r="R522" s="482">
        <v>38</v>
      </c>
      <c r="S522" s="482">
        <v>242</v>
      </c>
      <c r="T522" s="502"/>
      <c r="U522" s="484"/>
      <c r="V522" s="476" t="s">
        <v>284</v>
      </c>
      <c r="W522" s="476"/>
    </row>
    <row r="523" spans="1:23" s="69" customFormat="1" ht="14.25" customHeight="1">
      <c r="A523" s="476" t="s">
        <v>39</v>
      </c>
      <c r="B523" s="476" t="s">
        <v>208</v>
      </c>
      <c r="C523" s="476" t="s">
        <v>285</v>
      </c>
      <c r="D523" s="429" t="s">
        <v>3135</v>
      </c>
      <c r="E523" s="476" t="s">
        <v>1493</v>
      </c>
      <c r="F523" s="476" t="s">
        <v>1804</v>
      </c>
      <c r="G523" s="476" t="s">
        <v>1806</v>
      </c>
      <c r="H523" s="476" t="s">
        <v>43</v>
      </c>
      <c r="I523" s="476" t="s">
        <v>44</v>
      </c>
      <c r="J523" s="476" t="s">
        <v>45</v>
      </c>
      <c r="K523" s="476" t="s">
        <v>45</v>
      </c>
      <c r="L523" s="476" t="s">
        <v>45</v>
      </c>
      <c r="M523" s="476" t="s">
        <v>46</v>
      </c>
      <c r="N523" s="476">
        <v>24.205417000000001</v>
      </c>
      <c r="O523" s="476">
        <v>97.724566999999993</v>
      </c>
      <c r="P523" s="476" t="s">
        <v>770</v>
      </c>
      <c r="Q523" s="476" t="s">
        <v>789</v>
      </c>
      <c r="R523" s="482">
        <v>129</v>
      </c>
      <c r="S523" s="482">
        <v>649</v>
      </c>
      <c r="T523" s="502"/>
      <c r="U523" s="484"/>
      <c r="V523" s="476" t="s">
        <v>285</v>
      </c>
      <c r="W523" s="476"/>
    </row>
    <row r="524" spans="1:23" s="69" customFormat="1" ht="14.25" customHeight="1">
      <c r="A524" s="476" t="s">
        <v>39</v>
      </c>
      <c r="B524" s="476" t="s">
        <v>208</v>
      </c>
      <c r="C524" s="476" t="s">
        <v>1116</v>
      </c>
      <c r="D524" s="429" t="s">
        <v>1685</v>
      </c>
      <c r="E524" s="476"/>
      <c r="F524" s="476"/>
      <c r="G524" s="476"/>
      <c r="H524" s="476"/>
      <c r="I524" s="476"/>
      <c r="J524" s="476" t="s">
        <v>45</v>
      </c>
      <c r="K524" s="476" t="s">
        <v>45</v>
      </c>
      <c r="L524" s="476" t="s">
        <v>1096</v>
      </c>
      <c r="M524" s="476" t="s">
        <v>46</v>
      </c>
      <c r="N524" s="476"/>
      <c r="O524" s="476"/>
      <c r="P524" s="476" t="s">
        <v>770</v>
      </c>
      <c r="Q524" s="476"/>
      <c r="R524" s="482"/>
      <c r="S524" s="483"/>
      <c r="T524" s="502"/>
      <c r="U524" s="484"/>
      <c r="V524" s="476" t="s">
        <v>1117</v>
      </c>
      <c r="W524" s="476"/>
    </row>
    <row r="525" spans="1:23" s="69" customFormat="1" ht="14.25" customHeight="1">
      <c r="A525" s="476" t="s">
        <v>39</v>
      </c>
      <c r="B525" s="476" t="s">
        <v>208</v>
      </c>
      <c r="C525" s="476" t="s">
        <v>1118</v>
      </c>
      <c r="D525" s="429" t="s">
        <v>1685</v>
      </c>
      <c r="E525" s="476"/>
      <c r="F525" s="476"/>
      <c r="G525" s="476"/>
      <c r="H525" s="476"/>
      <c r="I525" s="476"/>
      <c r="J525" s="476" t="s">
        <v>45</v>
      </c>
      <c r="K525" s="476" t="s">
        <v>45</v>
      </c>
      <c r="L525" s="476" t="s">
        <v>1096</v>
      </c>
      <c r="M525" s="476" t="s">
        <v>46</v>
      </c>
      <c r="N525" s="476"/>
      <c r="O525" s="476"/>
      <c r="P525" s="476" t="s">
        <v>770</v>
      </c>
      <c r="Q525" s="476"/>
      <c r="R525" s="482"/>
      <c r="S525" s="483"/>
      <c r="T525" s="502"/>
      <c r="U525" s="484"/>
      <c r="V525" s="476" t="s">
        <v>1119</v>
      </c>
      <c r="W525" s="476"/>
    </row>
    <row r="526" spans="1:23" s="69" customFormat="1" ht="14.25" customHeight="1">
      <c r="A526" s="476" t="s">
        <v>39</v>
      </c>
      <c r="B526" s="476" t="s">
        <v>208</v>
      </c>
      <c r="C526" s="476" t="s">
        <v>1120</v>
      </c>
      <c r="D526" s="429" t="s">
        <v>1685</v>
      </c>
      <c r="E526" s="476"/>
      <c r="F526" s="476"/>
      <c r="G526" s="476"/>
      <c r="H526" s="476"/>
      <c r="I526" s="476"/>
      <c r="J526" s="476" t="s">
        <v>45</v>
      </c>
      <c r="K526" s="476" t="s">
        <v>45</v>
      </c>
      <c r="L526" s="476" t="s">
        <v>1096</v>
      </c>
      <c r="M526" s="476" t="s">
        <v>46</v>
      </c>
      <c r="N526" s="476"/>
      <c r="O526" s="476"/>
      <c r="P526" s="476" t="s">
        <v>770</v>
      </c>
      <c r="Q526" s="476"/>
      <c r="R526" s="482"/>
      <c r="S526" s="483"/>
      <c r="T526" s="502"/>
      <c r="U526" s="484"/>
      <c r="V526" s="476" t="s">
        <v>1121</v>
      </c>
      <c r="W526" s="476"/>
    </row>
    <row r="527" spans="1:23" s="69" customFormat="1" ht="14.25" customHeight="1">
      <c r="A527" s="476" t="s">
        <v>39</v>
      </c>
      <c r="B527" s="476" t="s">
        <v>208</v>
      </c>
      <c r="C527" s="476" t="s">
        <v>286</v>
      </c>
      <c r="D527" s="429" t="s">
        <v>3135</v>
      </c>
      <c r="E527" s="476" t="s">
        <v>1491</v>
      </c>
      <c r="F527" s="476" t="s">
        <v>1804</v>
      </c>
      <c r="G527" s="476" t="s">
        <v>1805</v>
      </c>
      <c r="H527" s="476" t="s">
        <v>43</v>
      </c>
      <c r="I527" s="476" t="s">
        <v>2854</v>
      </c>
      <c r="J527" s="476" t="s">
        <v>45</v>
      </c>
      <c r="K527" s="476" t="s">
        <v>45</v>
      </c>
      <c r="L527" s="476" t="s">
        <v>45</v>
      </c>
      <c r="M527" s="476" t="s">
        <v>46</v>
      </c>
      <c r="N527" s="476">
        <v>24.200433</v>
      </c>
      <c r="O527" s="476">
        <v>97.717133000000004</v>
      </c>
      <c r="P527" s="476" t="s">
        <v>770</v>
      </c>
      <c r="Q527" s="476" t="s">
        <v>789</v>
      </c>
      <c r="R527" s="482">
        <v>215</v>
      </c>
      <c r="S527" s="482">
        <v>1239</v>
      </c>
      <c r="T527" s="502"/>
      <c r="U527" s="484"/>
      <c r="V527" s="476" t="s">
        <v>286</v>
      </c>
      <c r="W527" s="476"/>
    </row>
    <row r="528" spans="1:23" s="69" customFormat="1" ht="14.25" customHeight="1">
      <c r="A528" s="476" t="s">
        <v>39</v>
      </c>
      <c r="B528" s="476" t="s">
        <v>208</v>
      </c>
      <c r="C528" s="476" t="s">
        <v>1122</v>
      </c>
      <c r="D528" s="429" t="s">
        <v>3160</v>
      </c>
      <c r="E528" s="476"/>
      <c r="F528" s="476"/>
      <c r="G528" s="476"/>
      <c r="H528" s="476"/>
      <c r="I528" s="476"/>
      <c r="J528" s="476" t="s">
        <v>1108</v>
      </c>
      <c r="K528" s="476" t="s">
        <v>45</v>
      </c>
      <c r="L528" s="476" t="s">
        <v>1108</v>
      </c>
      <c r="M528" s="476" t="s">
        <v>46</v>
      </c>
      <c r="N528" s="476"/>
      <c r="O528" s="476"/>
      <c r="P528" s="476" t="s">
        <v>770</v>
      </c>
      <c r="Q528" s="476"/>
      <c r="R528" s="482"/>
      <c r="S528" s="483"/>
      <c r="T528" s="502"/>
      <c r="U528" s="484"/>
      <c r="V528" s="476" t="s">
        <v>1122</v>
      </c>
      <c r="W528" s="476"/>
    </row>
    <row r="529" spans="1:23" s="69" customFormat="1" ht="14.25" customHeight="1">
      <c r="A529" s="476" t="s">
        <v>39</v>
      </c>
      <c r="B529" s="480" t="s">
        <v>208</v>
      </c>
      <c r="C529" s="563" t="s">
        <v>3063</v>
      </c>
      <c r="D529" s="429" t="s">
        <v>3135</v>
      </c>
      <c r="E529" s="564" t="s">
        <v>3064</v>
      </c>
      <c r="F529" s="513" t="s">
        <v>208</v>
      </c>
      <c r="G529" s="513" t="s">
        <v>3065</v>
      </c>
      <c r="H529" s="476"/>
      <c r="I529" s="476" t="s">
        <v>2181</v>
      </c>
      <c r="J529" s="476" t="s">
        <v>45</v>
      </c>
      <c r="K529" s="476" t="s">
        <v>45</v>
      </c>
      <c r="L529" s="476" t="s">
        <v>1036</v>
      </c>
      <c r="M529" s="476" t="s">
        <v>46</v>
      </c>
      <c r="N529" s="561">
        <v>24.721878</v>
      </c>
      <c r="O529" s="561">
        <v>97.721878000000004</v>
      </c>
      <c r="P529" s="476" t="s">
        <v>770</v>
      </c>
      <c r="Q529" s="476"/>
      <c r="R529" s="482">
        <v>0</v>
      </c>
      <c r="S529" s="482">
        <v>31</v>
      </c>
      <c r="T529" s="502">
        <v>43717</v>
      </c>
      <c r="U529" s="562"/>
      <c r="V529" s="476"/>
      <c r="W529" s="476" t="s">
        <v>3062</v>
      </c>
    </row>
    <row r="530" spans="1:23" s="69" customFormat="1" ht="14.25" customHeight="1">
      <c r="A530" s="476" t="s">
        <v>39</v>
      </c>
      <c r="B530" s="476" t="s">
        <v>208</v>
      </c>
      <c r="C530" s="476" t="s">
        <v>291</v>
      </c>
      <c r="D530" s="429"/>
      <c r="E530" s="476"/>
      <c r="F530" s="476"/>
      <c r="G530" s="476"/>
      <c r="H530" s="476"/>
      <c r="I530" s="476"/>
      <c r="J530" s="476" t="s">
        <v>1476</v>
      </c>
      <c r="K530" s="476" t="s">
        <v>45</v>
      </c>
      <c r="L530" s="476" t="s">
        <v>1108</v>
      </c>
      <c r="M530" s="476" t="s">
        <v>46</v>
      </c>
      <c r="N530" s="476"/>
      <c r="O530" s="476"/>
      <c r="P530" s="476" t="s">
        <v>770</v>
      </c>
      <c r="Q530" s="476" t="s">
        <v>771</v>
      </c>
      <c r="R530" s="482"/>
      <c r="S530" s="483"/>
      <c r="T530" s="502">
        <v>42849</v>
      </c>
      <c r="U530" s="484"/>
      <c r="V530" s="476"/>
      <c r="W530" s="476"/>
    </row>
    <row r="531" spans="1:23" s="69" customFormat="1" ht="14.25" customHeight="1">
      <c r="A531" s="476" t="s">
        <v>39</v>
      </c>
      <c r="B531" s="476" t="s">
        <v>208</v>
      </c>
      <c r="C531" s="476" t="s">
        <v>1027</v>
      </c>
      <c r="D531" s="429" t="s">
        <v>1686</v>
      </c>
      <c r="E531" s="476" t="s">
        <v>1521</v>
      </c>
      <c r="F531" s="476" t="s">
        <v>1732</v>
      </c>
      <c r="G531" s="476" t="s">
        <v>1732</v>
      </c>
      <c r="H531" s="476"/>
      <c r="I531" s="476">
        <v>0</v>
      </c>
      <c r="J531" s="476" t="s">
        <v>45</v>
      </c>
      <c r="K531" s="476" t="s">
        <v>45</v>
      </c>
      <c r="L531" s="476" t="s">
        <v>769</v>
      </c>
      <c r="M531" s="476" t="s">
        <v>46</v>
      </c>
      <c r="N531" s="476">
        <v>24.441697000000001</v>
      </c>
      <c r="O531" s="476">
        <v>97.409474000000003</v>
      </c>
      <c r="P531" s="476" t="s">
        <v>782</v>
      </c>
      <c r="Q531" s="476" t="s">
        <v>771</v>
      </c>
      <c r="R531" s="482"/>
      <c r="S531" s="483"/>
      <c r="T531" s="502">
        <v>42983</v>
      </c>
      <c r="U531" s="484" t="s">
        <v>1028</v>
      </c>
      <c r="V531" s="476" t="s">
        <v>1027</v>
      </c>
      <c r="W531" s="394" t="s">
        <v>2214</v>
      </c>
    </row>
    <row r="532" spans="1:23" s="400" customFormat="1" ht="14.25" customHeight="1">
      <c r="A532" s="476" t="s">
        <v>39</v>
      </c>
      <c r="B532" s="476" t="s">
        <v>208</v>
      </c>
      <c r="C532" s="476" t="s">
        <v>213</v>
      </c>
      <c r="D532" s="429" t="s">
        <v>3135</v>
      </c>
      <c r="E532" s="476" t="s">
        <v>1499</v>
      </c>
      <c r="F532" s="476" t="s">
        <v>1810</v>
      </c>
      <c r="G532" s="476" t="s">
        <v>1810</v>
      </c>
      <c r="H532" s="476" t="s">
        <v>43</v>
      </c>
      <c r="I532" s="476" t="s">
        <v>44</v>
      </c>
      <c r="J532" s="476" t="s">
        <v>45</v>
      </c>
      <c r="K532" s="476" t="s">
        <v>45</v>
      </c>
      <c r="L532" s="476" t="s">
        <v>45</v>
      </c>
      <c r="M532" s="476" t="s">
        <v>46</v>
      </c>
      <c r="N532" s="476">
        <v>24.245100000000001</v>
      </c>
      <c r="O532" s="476">
        <v>97.325019999999995</v>
      </c>
      <c r="P532" s="476" t="s">
        <v>770</v>
      </c>
      <c r="Q532" s="476" t="s">
        <v>789</v>
      </c>
      <c r="R532" s="482">
        <v>299</v>
      </c>
      <c r="S532" s="482">
        <v>1373</v>
      </c>
      <c r="T532" s="502"/>
      <c r="U532" s="484"/>
      <c r="V532" s="476" t="s">
        <v>213</v>
      </c>
      <c r="W532" s="476"/>
    </row>
    <row r="533" spans="1:23" s="69" customFormat="1" ht="14.25" customHeight="1">
      <c r="A533" s="476" t="s">
        <v>39</v>
      </c>
      <c r="B533" s="476" t="s">
        <v>208</v>
      </c>
      <c r="C533" s="476" t="s">
        <v>290</v>
      </c>
      <c r="D533" s="429"/>
      <c r="E533" s="476"/>
      <c r="F533" s="476"/>
      <c r="G533" s="476"/>
      <c r="H533" s="476"/>
      <c r="I533" s="476"/>
      <c r="J533" s="476" t="s">
        <v>1476</v>
      </c>
      <c r="K533" s="476" t="s">
        <v>45</v>
      </c>
      <c r="L533" s="476" t="s">
        <v>45</v>
      </c>
      <c r="M533" s="476" t="s">
        <v>46</v>
      </c>
      <c r="N533" s="476"/>
      <c r="O533" s="476"/>
      <c r="P533" s="476" t="s">
        <v>770</v>
      </c>
      <c r="Q533" s="476" t="s">
        <v>789</v>
      </c>
      <c r="R533" s="482"/>
      <c r="S533" s="483"/>
      <c r="T533" s="502"/>
      <c r="U533" s="484" t="s">
        <v>1099</v>
      </c>
      <c r="V533" s="476" t="s">
        <v>290</v>
      </c>
      <c r="W533" s="476"/>
    </row>
    <row r="534" spans="1:23" s="69" customFormat="1" ht="14.25" customHeight="1">
      <c r="A534" s="476" t="s">
        <v>39</v>
      </c>
      <c r="B534" s="476" t="s">
        <v>208</v>
      </c>
      <c r="C534" s="476" t="s">
        <v>1025</v>
      </c>
      <c r="D534" s="429" t="s">
        <v>1686</v>
      </c>
      <c r="E534" s="476" t="s">
        <v>1520</v>
      </c>
      <c r="F534" s="476" t="s">
        <v>1731</v>
      </c>
      <c r="G534" s="476" t="s">
        <v>1731</v>
      </c>
      <c r="H534" s="476"/>
      <c r="I534" s="476">
        <v>0</v>
      </c>
      <c r="J534" s="476" t="s">
        <v>45</v>
      </c>
      <c r="K534" s="476" t="s">
        <v>45</v>
      </c>
      <c r="L534" s="476" t="s">
        <v>769</v>
      </c>
      <c r="M534" s="476" t="s">
        <v>46</v>
      </c>
      <c r="N534" s="476">
        <v>24.410008999999999</v>
      </c>
      <c r="O534" s="476">
        <v>97.321659999999994</v>
      </c>
      <c r="P534" s="476" t="s">
        <v>782</v>
      </c>
      <c r="Q534" s="476" t="s">
        <v>771</v>
      </c>
      <c r="R534" s="482"/>
      <c r="S534" s="483"/>
      <c r="T534" s="502">
        <v>42983</v>
      </c>
      <c r="U534" s="484" t="s">
        <v>1026</v>
      </c>
      <c r="V534" s="476" t="s">
        <v>1025</v>
      </c>
      <c r="W534" s="476" t="s">
        <v>2215</v>
      </c>
    </row>
    <row r="535" spans="1:23" s="69" customFormat="1" ht="14.25" customHeight="1">
      <c r="A535" s="476" t="s">
        <v>39</v>
      </c>
      <c r="B535" s="476" t="s">
        <v>208</v>
      </c>
      <c r="C535" s="476" t="s">
        <v>1037</v>
      </c>
      <c r="D535" s="429" t="s">
        <v>1686</v>
      </c>
      <c r="E535" s="476" t="s">
        <v>1531</v>
      </c>
      <c r="F535" s="476" t="s">
        <v>1739</v>
      </c>
      <c r="G535" s="476" t="s">
        <v>1740</v>
      </c>
      <c r="H535" s="476"/>
      <c r="I535" s="476">
        <v>0</v>
      </c>
      <c r="J535" s="476" t="s">
        <v>45</v>
      </c>
      <c r="K535" s="476" t="s">
        <v>45</v>
      </c>
      <c r="L535" s="476" t="s">
        <v>769</v>
      </c>
      <c r="M535" s="476" t="s">
        <v>46</v>
      </c>
      <c r="N535" s="476">
        <v>24.759551999999999</v>
      </c>
      <c r="O535" s="476">
        <v>97.276591999999994</v>
      </c>
      <c r="P535" s="476" t="s">
        <v>782</v>
      </c>
      <c r="Q535" s="476" t="s">
        <v>771</v>
      </c>
      <c r="R535" s="482"/>
      <c r="S535" s="483"/>
      <c r="T535" s="502">
        <v>42983</v>
      </c>
      <c r="U535" s="484" t="s">
        <v>1038</v>
      </c>
      <c r="V535" s="476" t="s">
        <v>1037</v>
      </c>
      <c r="W535" s="394" t="s">
        <v>2216</v>
      </c>
    </row>
    <row r="536" spans="1:23" s="69" customFormat="1" ht="14.25" customHeight="1">
      <c r="A536" s="476" t="s">
        <v>39</v>
      </c>
      <c r="B536" s="476" t="s">
        <v>208</v>
      </c>
      <c r="C536" s="476" t="s">
        <v>214</v>
      </c>
      <c r="D536" s="429" t="s">
        <v>1686</v>
      </c>
      <c r="E536" s="476" t="s">
        <v>1505</v>
      </c>
      <c r="F536" s="476" t="s">
        <v>1700</v>
      </c>
      <c r="G536" s="476" t="s">
        <v>1701</v>
      </c>
      <c r="H536" s="476"/>
      <c r="I536" s="476">
        <v>0</v>
      </c>
      <c r="J536" s="476" t="s">
        <v>45</v>
      </c>
      <c r="K536" s="476" t="s">
        <v>45</v>
      </c>
      <c r="L536" s="476" t="s">
        <v>45</v>
      </c>
      <c r="M536" s="476" t="s">
        <v>46</v>
      </c>
      <c r="N536" s="476">
        <v>24.251860000000001</v>
      </c>
      <c r="O536" s="476">
        <v>97.346940000000004</v>
      </c>
      <c r="P536" s="476" t="s">
        <v>770</v>
      </c>
      <c r="Q536" s="476" t="s">
        <v>789</v>
      </c>
      <c r="R536" s="482"/>
      <c r="S536" s="483"/>
      <c r="T536" s="502"/>
      <c r="U536" s="484" t="s">
        <v>1008</v>
      </c>
      <c r="V536" s="476" t="s">
        <v>214</v>
      </c>
      <c r="W536" s="394" t="s">
        <v>2217</v>
      </c>
    </row>
    <row r="537" spans="1:23" s="69" customFormat="1" ht="14.25" customHeight="1">
      <c r="A537" s="476" t="s">
        <v>39</v>
      </c>
      <c r="B537" s="476" t="s">
        <v>208</v>
      </c>
      <c r="C537" s="476" t="s">
        <v>216</v>
      </c>
      <c r="D537" s="429" t="s">
        <v>3135</v>
      </c>
      <c r="E537" s="476" t="s">
        <v>1502</v>
      </c>
      <c r="F537" s="476" t="s">
        <v>1700</v>
      </c>
      <c r="G537" s="476" t="s">
        <v>1701</v>
      </c>
      <c r="H537" s="476" t="s">
        <v>43</v>
      </c>
      <c r="I537" s="476" t="s">
        <v>2854</v>
      </c>
      <c r="J537" s="476" t="s">
        <v>45</v>
      </c>
      <c r="K537" s="476" t="s">
        <v>45</v>
      </c>
      <c r="L537" s="476" t="s">
        <v>45</v>
      </c>
      <c r="M537" s="476" t="s">
        <v>46</v>
      </c>
      <c r="N537" s="476">
        <v>24.250689999999999</v>
      </c>
      <c r="O537" s="476">
        <v>97.344359999999995</v>
      </c>
      <c r="P537" s="476" t="s">
        <v>770</v>
      </c>
      <c r="Q537" s="476" t="s">
        <v>789</v>
      </c>
      <c r="R537" s="482">
        <v>419</v>
      </c>
      <c r="S537" s="482">
        <v>1986</v>
      </c>
      <c r="T537" s="502"/>
      <c r="U537" s="484"/>
      <c r="V537" s="476" t="s">
        <v>216</v>
      </c>
      <c r="W537" s="476"/>
    </row>
    <row r="538" spans="1:23" s="69" customFormat="1" ht="14.25" customHeight="1">
      <c r="A538" s="476" t="s">
        <v>39</v>
      </c>
      <c r="B538" s="476" t="s">
        <v>208</v>
      </c>
      <c r="C538" s="476" t="s">
        <v>1015</v>
      </c>
      <c r="D538" s="429" t="s">
        <v>1686</v>
      </c>
      <c r="E538" s="476" t="s">
        <v>1504</v>
      </c>
      <c r="F538" s="476" t="s">
        <v>1700</v>
      </c>
      <c r="G538" s="476" t="s">
        <v>1730</v>
      </c>
      <c r="H538" s="476" t="s">
        <v>43</v>
      </c>
      <c r="I538" s="476" t="s">
        <v>44</v>
      </c>
      <c r="J538" s="476" t="s">
        <v>45</v>
      </c>
      <c r="K538" s="476" t="s">
        <v>45</v>
      </c>
      <c r="L538" s="476" t="s">
        <v>769</v>
      </c>
      <c r="M538" s="476" t="s">
        <v>46</v>
      </c>
      <c r="N538" s="476">
        <v>24.25177</v>
      </c>
      <c r="O538" s="476">
        <v>97.346950000000007</v>
      </c>
      <c r="P538" s="476" t="s">
        <v>770</v>
      </c>
      <c r="Q538" s="476"/>
      <c r="R538" s="482"/>
      <c r="S538" s="483"/>
      <c r="T538" s="502"/>
      <c r="U538" s="484"/>
      <c r="V538" s="476" t="s">
        <v>1015</v>
      </c>
      <c r="W538" s="476" t="s">
        <v>2218</v>
      </c>
    </row>
    <row r="539" spans="1:23" s="69" customFormat="1" ht="14.25" customHeight="1">
      <c r="A539" s="487" t="s">
        <v>39</v>
      </c>
      <c r="B539" s="486" t="s">
        <v>208</v>
      </c>
      <c r="C539" s="480" t="s">
        <v>1992</v>
      </c>
      <c r="D539" s="481"/>
      <c r="E539" s="476"/>
      <c r="F539" s="476"/>
      <c r="G539" s="476"/>
      <c r="H539" s="476"/>
      <c r="I539" s="476"/>
      <c r="J539" s="476" t="s">
        <v>1476</v>
      </c>
      <c r="K539" s="476" t="s">
        <v>45</v>
      </c>
      <c r="L539" s="476" t="s">
        <v>45</v>
      </c>
      <c r="M539" s="476" t="s">
        <v>46</v>
      </c>
      <c r="N539" s="476"/>
      <c r="O539" s="476"/>
      <c r="P539" s="476" t="s">
        <v>770</v>
      </c>
      <c r="Q539" s="476" t="s">
        <v>1988</v>
      </c>
      <c r="R539" s="490"/>
      <c r="S539" s="483"/>
      <c r="T539" s="502">
        <v>43270</v>
      </c>
      <c r="U539" s="484"/>
      <c r="V539" s="476"/>
      <c r="W539" s="476"/>
    </row>
    <row r="540" spans="1:23" s="69" customFormat="1" ht="14.25" customHeight="1">
      <c r="A540" s="476" t="s">
        <v>39</v>
      </c>
      <c r="B540" s="476" t="s">
        <v>208</v>
      </c>
      <c r="C540" s="476" t="s">
        <v>1013</v>
      </c>
      <c r="D540" s="429" t="s">
        <v>3135</v>
      </c>
      <c r="E540" s="476" t="s">
        <v>1503</v>
      </c>
      <c r="F540" s="476"/>
      <c r="G540" s="476"/>
      <c r="H540" s="476"/>
      <c r="I540" s="476" t="s">
        <v>2181</v>
      </c>
      <c r="J540" s="476" t="s">
        <v>45</v>
      </c>
      <c r="K540" s="476" t="s">
        <v>45</v>
      </c>
      <c r="L540" s="476" t="s">
        <v>781</v>
      </c>
      <c r="M540" s="476" t="s">
        <v>46</v>
      </c>
      <c r="N540" s="476">
        <v>24.251232000000002</v>
      </c>
      <c r="O540" s="476">
        <v>97.348405</v>
      </c>
      <c r="P540" s="476" t="s">
        <v>782</v>
      </c>
      <c r="Q540" s="476" t="s">
        <v>771</v>
      </c>
      <c r="R540" s="482">
        <v>223</v>
      </c>
      <c r="S540" s="482">
        <v>1067</v>
      </c>
      <c r="T540" s="502"/>
      <c r="U540" s="484" t="s">
        <v>1005</v>
      </c>
      <c r="V540" s="476" t="s">
        <v>1014</v>
      </c>
      <c r="W540" s="476"/>
    </row>
    <row r="541" spans="1:23" s="69" customFormat="1" ht="14.25" customHeight="1">
      <c r="A541" s="476" t="s">
        <v>39</v>
      </c>
      <c r="B541" s="476" t="s">
        <v>208</v>
      </c>
      <c r="C541" s="476" t="s">
        <v>1023</v>
      </c>
      <c r="D541" s="429" t="s">
        <v>3135</v>
      </c>
      <c r="E541" s="476" t="s">
        <v>1519</v>
      </c>
      <c r="F541" s="476" t="s">
        <v>1892</v>
      </c>
      <c r="G541" s="476" t="s">
        <v>1892</v>
      </c>
      <c r="H541" s="476"/>
      <c r="I541" s="476" t="s">
        <v>2181</v>
      </c>
      <c r="J541" s="476" t="s">
        <v>45</v>
      </c>
      <c r="K541" s="476" t="s">
        <v>45</v>
      </c>
      <c r="L541" s="476" t="s">
        <v>781</v>
      </c>
      <c r="M541" s="476" t="s">
        <v>46</v>
      </c>
      <c r="N541" s="476">
        <v>24.404876999999999</v>
      </c>
      <c r="O541" s="476">
        <v>97.407787999999996</v>
      </c>
      <c r="P541" s="476" t="s">
        <v>782</v>
      </c>
      <c r="Q541" s="476" t="s">
        <v>771</v>
      </c>
      <c r="R541" s="482">
        <v>26</v>
      </c>
      <c r="S541" s="482">
        <v>137</v>
      </c>
      <c r="T541" s="502"/>
      <c r="U541" s="484" t="s">
        <v>1024</v>
      </c>
      <c r="V541" s="476" t="s">
        <v>1023</v>
      </c>
      <c r="W541" s="476"/>
    </row>
    <row r="542" spans="1:23" s="69" customFormat="1" ht="14.25" customHeight="1">
      <c r="A542" s="476" t="s">
        <v>39</v>
      </c>
      <c r="B542" s="476" t="s">
        <v>208</v>
      </c>
      <c r="C542" s="476" t="s">
        <v>298</v>
      </c>
      <c r="D542" s="429" t="s">
        <v>3135</v>
      </c>
      <c r="E542" s="476" t="s">
        <v>1518</v>
      </c>
      <c r="F542" s="476" t="s">
        <v>1819</v>
      </c>
      <c r="G542" s="476" t="s">
        <v>1820</v>
      </c>
      <c r="H542" s="476" t="s">
        <v>43</v>
      </c>
      <c r="I542" s="476" t="s">
        <v>44</v>
      </c>
      <c r="J542" s="476" t="s">
        <v>45</v>
      </c>
      <c r="K542" s="476" t="s">
        <v>45</v>
      </c>
      <c r="L542" s="476" t="s">
        <v>45</v>
      </c>
      <c r="M542" s="476" t="s">
        <v>787</v>
      </c>
      <c r="N542" s="476">
        <v>24.378167000000001</v>
      </c>
      <c r="O542" s="476">
        <v>97.669366999999994</v>
      </c>
      <c r="P542" s="476" t="s">
        <v>770</v>
      </c>
      <c r="Q542" s="476" t="s">
        <v>771</v>
      </c>
      <c r="R542" s="482">
        <v>353</v>
      </c>
      <c r="S542" s="482">
        <v>1547</v>
      </c>
      <c r="T542" s="502"/>
      <c r="U542" s="484"/>
      <c r="V542" s="476" t="s">
        <v>298</v>
      </c>
      <c r="W542" s="476"/>
    </row>
    <row r="543" spans="1:23" s="69" customFormat="1" ht="14.25" customHeight="1">
      <c r="A543" s="476" t="s">
        <v>39</v>
      </c>
      <c r="B543" s="476" t="s">
        <v>208</v>
      </c>
      <c r="C543" s="476" t="s">
        <v>1016</v>
      </c>
      <c r="D543" s="429" t="s">
        <v>1686</v>
      </c>
      <c r="E543" s="476" t="s">
        <v>1507</v>
      </c>
      <c r="F543" s="476" t="s">
        <v>1700</v>
      </c>
      <c r="G543" s="476" t="s">
        <v>1701</v>
      </c>
      <c r="H543" s="476" t="s">
        <v>43</v>
      </c>
      <c r="I543" s="476" t="s">
        <v>245</v>
      </c>
      <c r="J543" s="476" t="s">
        <v>45</v>
      </c>
      <c r="K543" s="476" t="s">
        <v>45</v>
      </c>
      <c r="L543" s="476" t="s">
        <v>769</v>
      </c>
      <c r="M543" s="476" t="s">
        <v>46</v>
      </c>
      <c r="N543" s="476">
        <v>24.253769999999999</v>
      </c>
      <c r="O543" s="476">
        <v>97.347740000000002</v>
      </c>
      <c r="P543" s="476" t="s">
        <v>770</v>
      </c>
      <c r="Q543" s="476"/>
      <c r="R543" s="482"/>
      <c r="S543" s="483"/>
      <c r="T543" s="502"/>
      <c r="U543" s="484"/>
      <c r="V543" s="476" t="s">
        <v>1016</v>
      </c>
      <c r="W543" s="394" t="s">
        <v>2219</v>
      </c>
    </row>
    <row r="544" spans="1:23" s="69" customFormat="1" ht="14.25" customHeight="1">
      <c r="A544" s="476" t="s">
        <v>39</v>
      </c>
      <c r="B544" s="476" t="s">
        <v>208</v>
      </c>
      <c r="C544" s="476" t="s">
        <v>287</v>
      </c>
      <c r="D544" s="429" t="s">
        <v>3135</v>
      </c>
      <c r="E544" s="476" t="s">
        <v>1494</v>
      </c>
      <c r="F544" s="476" t="s">
        <v>1804</v>
      </c>
      <c r="G544" s="476" t="s">
        <v>1805</v>
      </c>
      <c r="H544" s="476" t="s">
        <v>43</v>
      </c>
      <c r="I544" s="476" t="s">
        <v>2854</v>
      </c>
      <c r="J544" s="476" t="s">
        <v>45</v>
      </c>
      <c r="K544" s="476" t="s">
        <v>45</v>
      </c>
      <c r="L544" s="476" t="s">
        <v>45</v>
      </c>
      <c r="M544" s="476" t="s">
        <v>46</v>
      </c>
      <c r="N544" s="476">
        <v>24.205417000000001</v>
      </c>
      <c r="O544" s="476">
        <v>97.724483000000006</v>
      </c>
      <c r="P544" s="476" t="s">
        <v>770</v>
      </c>
      <c r="Q544" s="476" t="s">
        <v>789</v>
      </c>
      <c r="R544" s="482">
        <v>49</v>
      </c>
      <c r="S544" s="482">
        <v>293</v>
      </c>
      <c r="T544" s="502"/>
      <c r="U544" s="484"/>
      <c r="V544" s="476" t="s">
        <v>287</v>
      </c>
      <c r="W544" s="476"/>
    </row>
    <row r="545" spans="1:23" s="69" customFormat="1" ht="14.25" customHeight="1">
      <c r="A545" s="476" t="s">
        <v>39</v>
      </c>
      <c r="B545" s="476" t="s">
        <v>208</v>
      </c>
      <c r="C545" s="476" t="s">
        <v>299</v>
      </c>
      <c r="D545" s="429" t="s">
        <v>3135</v>
      </c>
      <c r="E545" s="476" t="s">
        <v>1514</v>
      </c>
      <c r="F545" s="476" t="s">
        <v>1816</v>
      </c>
      <c r="G545" s="476" t="s">
        <v>1817</v>
      </c>
      <c r="H545" s="476" t="s">
        <v>43</v>
      </c>
      <c r="I545" s="476" t="s">
        <v>44</v>
      </c>
      <c r="J545" s="476" t="s">
        <v>45</v>
      </c>
      <c r="K545" s="476" t="s">
        <v>45</v>
      </c>
      <c r="L545" s="476" t="s">
        <v>45</v>
      </c>
      <c r="M545" s="476" t="s">
        <v>787</v>
      </c>
      <c r="N545" s="476">
        <v>24.2744</v>
      </c>
      <c r="O545" s="476">
        <v>97.752667000000002</v>
      </c>
      <c r="P545" s="476" t="s">
        <v>770</v>
      </c>
      <c r="Q545" s="476" t="s">
        <v>771</v>
      </c>
      <c r="R545" s="482">
        <v>632</v>
      </c>
      <c r="S545" s="482">
        <v>3598</v>
      </c>
      <c r="T545" s="502"/>
      <c r="U545" s="484"/>
      <c r="V545" s="476" t="s">
        <v>299</v>
      </c>
      <c r="W545" s="476"/>
    </row>
    <row r="546" spans="1:23" s="69" customFormat="1" ht="14.25" customHeight="1">
      <c r="A546" s="476" t="s">
        <v>39</v>
      </c>
      <c r="B546" s="476" t="s">
        <v>208</v>
      </c>
      <c r="C546" s="476" t="s">
        <v>1137</v>
      </c>
      <c r="D546" s="429" t="s">
        <v>1685</v>
      </c>
      <c r="E546" s="476"/>
      <c r="F546" s="476"/>
      <c r="G546" s="476"/>
      <c r="H546" s="476"/>
      <c r="I546" s="476"/>
      <c r="J546" s="476" t="s">
        <v>45</v>
      </c>
      <c r="K546" s="476" t="s">
        <v>45</v>
      </c>
      <c r="L546" s="476" t="s">
        <v>1096</v>
      </c>
      <c r="M546" s="476" t="s">
        <v>787</v>
      </c>
      <c r="N546" s="476"/>
      <c r="O546" s="476"/>
      <c r="P546" s="476" t="s">
        <v>770</v>
      </c>
      <c r="Q546" s="476"/>
      <c r="R546" s="482"/>
      <c r="S546" s="483"/>
      <c r="T546" s="502"/>
      <c r="U546" s="484"/>
      <c r="V546" s="476" t="s">
        <v>1137</v>
      </c>
      <c r="W546" s="476"/>
    </row>
    <row r="547" spans="1:23" s="69" customFormat="1" ht="14.25" customHeight="1">
      <c r="A547" s="476" t="s">
        <v>39</v>
      </c>
      <c r="B547" s="476" t="s">
        <v>208</v>
      </c>
      <c r="C547" s="476" t="s">
        <v>1138</v>
      </c>
      <c r="D547" s="429" t="s">
        <v>1685</v>
      </c>
      <c r="E547" s="476"/>
      <c r="F547" s="476"/>
      <c r="G547" s="476"/>
      <c r="H547" s="476"/>
      <c r="I547" s="476"/>
      <c r="J547" s="476" t="s">
        <v>45</v>
      </c>
      <c r="K547" s="476" t="s">
        <v>45</v>
      </c>
      <c r="L547" s="476" t="s">
        <v>1096</v>
      </c>
      <c r="M547" s="476" t="s">
        <v>787</v>
      </c>
      <c r="N547" s="476"/>
      <c r="O547" s="476"/>
      <c r="P547" s="476" t="s">
        <v>770</v>
      </c>
      <c r="Q547" s="476"/>
      <c r="R547" s="482"/>
      <c r="S547" s="483"/>
      <c r="T547" s="502"/>
      <c r="U547" s="484"/>
      <c r="V547" s="476" t="s">
        <v>1138</v>
      </c>
      <c r="W547" s="476"/>
    </row>
    <row r="548" spans="1:23" s="69" customFormat="1" ht="14.25" customHeight="1">
      <c r="A548" s="476" t="s">
        <v>39</v>
      </c>
      <c r="B548" s="476" t="s">
        <v>208</v>
      </c>
      <c r="C548" s="476" t="s">
        <v>1139</v>
      </c>
      <c r="D548" s="429" t="s">
        <v>3160</v>
      </c>
      <c r="E548" s="476"/>
      <c r="F548" s="476"/>
      <c r="G548" s="476"/>
      <c r="H548" s="476"/>
      <c r="I548" s="476"/>
      <c r="J548" s="476" t="s">
        <v>1108</v>
      </c>
      <c r="K548" s="476" t="s">
        <v>45</v>
      </c>
      <c r="L548" s="476" t="s">
        <v>1108</v>
      </c>
      <c r="M548" s="476" t="s">
        <v>787</v>
      </c>
      <c r="N548" s="476"/>
      <c r="O548" s="476"/>
      <c r="P548" s="476" t="s">
        <v>770</v>
      </c>
      <c r="Q548" s="476"/>
      <c r="R548" s="482"/>
      <c r="S548" s="483"/>
      <c r="T548" s="502"/>
      <c r="U548" s="484"/>
      <c r="V548" s="476" t="s">
        <v>1139</v>
      </c>
      <c r="W548" s="476"/>
    </row>
    <row r="549" spans="1:23" s="69" customFormat="1" ht="14.25" customHeight="1">
      <c r="A549" s="480" t="s">
        <v>39</v>
      </c>
      <c r="B549" s="480" t="s">
        <v>208</v>
      </c>
      <c r="C549" s="480" t="s">
        <v>1140</v>
      </c>
      <c r="D549" s="429" t="s">
        <v>3160</v>
      </c>
      <c r="E549" s="480"/>
      <c r="F549" s="480"/>
      <c r="G549" s="480"/>
      <c r="H549" s="480"/>
      <c r="I549" s="480"/>
      <c r="J549" s="480" t="s">
        <v>1108</v>
      </c>
      <c r="K549" s="480" t="s">
        <v>45</v>
      </c>
      <c r="L549" s="476" t="s">
        <v>1108</v>
      </c>
      <c r="M549" s="480" t="s">
        <v>787</v>
      </c>
      <c r="N549" s="480"/>
      <c r="O549" s="480"/>
      <c r="P549" s="476" t="s">
        <v>770</v>
      </c>
      <c r="Q549" s="480"/>
      <c r="R549" s="486"/>
      <c r="S549" s="487"/>
      <c r="T549" s="503"/>
      <c r="U549" s="488"/>
      <c r="V549" s="480" t="s">
        <v>1140</v>
      </c>
      <c r="W549" s="476"/>
    </row>
    <row r="550" spans="1:23" s="69" customFormat="1" ht="14.25" customHeight="1">
      <c r="A550" s="476" t="s">
        <v>39</v>
      </c>
      <c r="B550" s="476" t="s">
        <v>208</v>
      </c>
      <c r="C550" s="476" t="s">
        <v>1141</v>
      </c>
      <c r="D550" s="429" t="s">
        <v>1685</v>
      </c>
      <c r="E550" s="476"/>
      <c r="F550" s="476"/>
      <c r="G550" s="476"/>
      <c r="H550" s="476"/>
      <c r="I550" s="476"/>
      <c r="J550" s="476" t="s">
        <v>807</v>
      </c>
      <c r="K550" s="476" t="s">
        <v>807</v>
      </c>
      <c r="L550" s="476" t="s">
        <v>807</v>
      </c>
      <c r="M550" s="476" t="s">
        <v>787</v>
      </c>
      <c r="N550" s="476"/>
      <c r="O550" s="476"/>
      <c r="P550" s="476" t="s">
        <v>808</v>
      </c>
      <c r="Q550" s="476"/>
      <c r="R550" s="482"/>
      <c r="S550" s="483"/>
      <c r="T550" s="502"/>
      <c r="U550" s="484"/>
      <c r="V550" s="476" t="s">
        <v>1141</v>
      </c>
      <c r="W550" s="476"/>
    </row>
    <row r="551" spans="1:23" s="69" customFormat="1" ht="14.25" customHeight="1">
      <c r="A551" s="476" t="s">
        <v>39</v>
      </c>
      <c r="B551" s="476" t="s">
        <v>208</v>
      </c>
      <c r="C551" s="476" t="s">
        <v>1142</v>
      </c>
      <c r="D551" s="429" t="s">
        <v>3160</v>
      </c>
      <c r="E551" s="476"/>
      <c r="F551" s="476"/>
      <c r="G551" s="476"/>
      <c r="H551" s="476"/>
      <c r="I551" s="476"/>
      <c r="J551" s="476" t="s">
        <v>1108</v>
      </c>
      <c r="K551" s="476" t="s">
        <v>45</v>
      </c>
      <c r="L551" s="476" t="s">
        <v>1108</v>
      </c>
      <c r="M551" s="476" t="s">
        <v>787</v>
      </c>
      <c r="N551" s="476"/>
      <c r="O551" s="476"/>
      <c r="P551" s="476" t="s">
        <v>770</v>
      </c>
      <c r="Q551" s="476"/>
      <c r="R551" s="482"/>
      <c r="S551" s="483"/>
      <c r="T551" s="502"/>
      <c r="U551" s="484"/>
      <c r="V551" s="476" t="s">
        <v>1142</v>
      </c>
      <c r="W551" s="476"/>
    </row>
    <row r="552" spans="1:23" s="69" customFormat="1" ht="14.25" customHeight="1">
      <c r="A552" s="476" t="s">
        <v>39</v>
      </c>
      <c r="B552" s="476" t="s">
        <v>208</v>
      </c>
      <c r="C552" s="476" t="s">
        <v>1032</v>
      </c>
      <c r="D552" s="429" t="s">
        <v>1686</v>
      </c>
      <c r="E552" s="476" t="s">
        <v>1525</v>
      </c>
      <c r="F552" s="476" t="s">
        <v>1736</v>
      </c>
      <c r="G552" s="476" t="s">
        <v>1737</v>
      </c>
      <c r="H552" s="476"/>
      <c r="I552" s="476">
        <v>0</v>
      </c>
      <c r="J552" s="476" t="s">
        <v>45</v>
      </c>
      <c r="K552" s="476" t="s">
        <v>45</v>
      </c>
      <c r="L552" s="476" t="s">
        <v>769</v>
      </c>
      <c r="M552" s="476" t="s">
        <v>46</v>
      </c>
      <c r="N552" s="476">
        <v>24.630859999999998</v>
      </c>
      <c r="O552" s="476">
        <v>97.429860000000005</v>
      </c>
      <c r="P552" s="476" t="s">
        <v>782</v>
      </c>
      <c r="Q552" s="476" t="s">
        <v>771</v>
      </c>
      <c r="R552" s="482"/>
      <c r="S552" s="483"/>
      <c r="T552" s="502">
        <v>42983</v>
      </c>
      <c r="U552" s="484" t="s">
        <v>1033</v>
      </c>
      <c r="V552" s="476" t="s">
        <v>1032</v>
      </c>
      <c r="W552" s="394" t="s">
        <v>2220</v>
      </c>
    </row>
    <row r="553" spans="1:23" s="69" customFormat="1" ht="14.25" customHeight="1">
      <c r="A553" s="476" t="s">
        <v>39</v>
      </c>
      <c r="B553" s="480" t="s">
        <v>208</v>
      </c>
      <c r="C553" s="480" t="s">
        <v>289</v>
      </c>
      <c r="D553" s="429" t="s">
        <v>3135</v>
      </c>
      <c r="E553" s="476" t="s">
        <v>1496</v>
      </c>
      <c r="F553" s="476" t="s">
        <v>1804</v>
      </c>
      <c r="G553" s="476" t="s">
        <v>1807</v>
      </c>
      <c r="H553" s="476" t="s">
        <v>43</v>
      </c>
      <c r="I553" s="476" t="s">
        <v>2854</v>
      </c>
      <c r="J553" s="476" t="s">
        <v>45</v>
      </c>
      <c r="K553" s="476" t="s">
        <v>45</v>
      </c>
      <c r="L553" s="476" t="s">
        <v>45</v>
      </c>
      <c r="M553" s="476" t="s">
        <v>46</v>
      </c>
      <c r="N553" s="476">
        <v>24.207332999999998</v>
      </c>
      <c r="O553" s="476">
        <v>97.710864000000001</v>
      </c>
      <c r="P553" s="476" t="s">
        <v>770</v>
      </c>
      <c r="Q553" s="476" t="s">
        <v>789</v>
      </c>
      <c r="R553" s="482">
        <v>44</v>
      </c>
      <c r="S553" s="482">
        <v>273</v>
      </c>
      <c r="T553" s="502"/>
      <c r="U553" s="484"/>
      <c r="V553" s="476" t="s">
        <v>289</v>
      </c>
      <c r="W553" s="476"/>
    </row>
    <row r="554" spans="1:23" s="69" customFormat="1" ht="14.25" customHeight="1">
      <c r="A554" s="476" t="s">
        <v>39</v>
      </c>
      <c r="B554" s="480" t="s">
        <v>208</v>
      </c>
      <c r="C554" s="480" t="s">
        <v>1029</v>
      </c>
      <c r="D554" s="429" t="s">
        <v>1686</v>
      </c>
      <c r="E554" s="476" t="s">
        <v>1523</v>
      </c>
      <c r="F554" s="476" t="s">
        <v>1733</v>
      </c>
      <c r="G554" s="476" t="s">
        <v>1733</v>
      </c>
      <c r="H554" s="476"/>
      <c r="I554" s="476">
        <v>0</v>
      </c>
      <c r="J554" s="476" t="s">
        <v>45</v>
      </c>
      <c r="K554" s="476" t="s">
        <v>45</v>
      </c>
      <c r="L554" s="476" t="s">
        <v>769</v>
      </c>
      <c r="M554" s="476" t="s">
        <v>46</v>
      </c>
      <c r="N554" s="476">
        <v>24.492493</v>
      </c>
      <c r="O554" s="476">
        <v>97.416826999999998</v>
      </c>
      <c r="P554" s="476" t="s">
        <v>782</v>
      </c>
      <c r="Q554" s="476" t="s">
        <v>771</v>
      </c>
      <c r="R554" s="482"/>
      <c r="S554" s="483"/>
      <c r="T554" s="502">
        <v>42983</v>
      </c>
      <c r="U554" s="484" t="s">
        <v>1026</v>
      </c>
      <c r="V554" s="476" t="s">
        <v>1029</v>
      </c>
      <c r="W554" s="394" t="s">
        <v>2221</v>
      </c>
    </row>
    <row r="555" spans="1:23" s="69" customFormat="1" ht="14.25" customHeight="1">
      <c r="A555" s="476" t="s">
        <v>39</v>
      </c>
      <c r="B555" s="476" t="s">
        <v>162</v>
      </c>
      <c r="C555" s="476" t="s">
        <v>1097</v>
      </c>
      <c r="D555" s="429" t="s">
        <v>1686</v>
      </c>
      <c r="E555" s="476" t="s">
        <v>2016</v>
      </c>
      <c r="F555" s="476" t="s">
        <v>1746</v>
      </c>
      <c r="G555" s="476" t="s">
        <v>1761</v>
      </c>
      <c r="H555" s="476"/>
      <c r="I555" s="476" t="s">
        <v>2181</v>
      </c>
      <c r="J555" s="476" t="s">
        <v>45</v>
      </c>
      <c r="K555" s="476" t="s">
        <v>45</v>
      </c>
      <c r="L555" s="476" t="s">
        <v>769</v>
      </c>
      <c r="M555" s="476" t="s">
        <v>46</v>
      </c>
      <c r="N555" s="476"/>
      <c r="O555" s="476"/>
      <c r="P555" s="476" t="s">
        <v>770</v>
      </c>
      <c r="Q555" s="476" t="s">
        <v>935</v>
      </c>
      <c r="R555" s="482"/>
      <c r="S555" s="483"/>
      <c r="T555" s="502"/>
      <c r="U555" s="484" t="s">
        <v>1098</v>
      </c>
      <c r="V555" s="476"/>
      <c r="W555" s="476" t="s">
        <v>2222</v>
      </c>
    </row>
    <row r="556" spans="1:23" s="69" customFormat="1" ht="14.25" customHeight="1">
      <c r="A556" s="483" t="s">
        <v>39</v>
      </c>
      <c r="B556" s="486" t="s">
        <v>162</v>
      </c>
      <c r="C556" s="487" t="s">
        <v>2076</v>
      </c>
      <c r="D556" s="481"/>
      <c r="E556" s="476"/>
      <c r="F556" s="476"/>
      <c r="G556" s="476"/>
      <c r="H556" s="476"/>
      <c r="I556" s="476"/>
      <c r="J556" s="476" t="s">
        <v>1476</v>
      </c>
      <c r="K556" s="480" t="s">
        <v>45</v>
      </c>
      <c r="L556" s="480" t="s">
        <v>785</v>
      </c>
      <c r="M556" s="476" t="s">
        <v>787</v>
      </c>
      <c r="N556" s="476"/>
      <c r="O556" s="476"/>
      <c r="P556" s="476" t="s">
        <v>770</v>
      </c>
      <c r="Q556" s="476"/>
      <c r="R556" s="490"/>
      <c r="S556" s="483"/>
      <c r="T556" s="502">
        <v>43298</v>
      </c>
      <c r="U556" s="484"/>
      <c r="V556" s="476"/>
      <c r="W556" s="476"/>
    </row>
    <row r="557" spans="1:23" s="69" customFormat="1" ht="14.25" customHeight="1">
      <c r="A557" s="476" t="s">
        <v>39</v>
      </c>
      <c r="B557" s="476" t="s">
        <v>162</v>
      </c>
      <c r="C557" s="476" t="s">
        <v>163</v>
      </c>
      <c r="D557" s="429" t="s">
        <v>3135</v>
      </c>
      <c r="E557" s="476" t="s">
        <v>1569</v>
      </c>
      <c r="F557" s="476" t="s">
        <v>1746</v>
      </c>
      <c r="G557" s="476" t="s">
        <v>1847</v>
      </c>
      <c r="H557" s="476" t="s">
        <v>43</v>
      </c>
      <c r="I557" s="476" t="s">
        <v>2855</v>
      </c>
      <c r="J557" s="476" t="s">
        <v>45</v>
      </c>
      <c r="K557" s="476" t="s">
        <v>45</v>
      </c>
      <c r="L557" s="476" t="s">
        <v>45</v>
      </c>
      <c r="M557" s="476" t="s">
        <v>46</v>
      </c>
      <c r="N557" s="476">
        <v>25.3959740909091</v>
      </c>
      <c r="O557" s="476">
        <v>97.382997575757599</v>
      </c>
      <c r="P557" s="476" t="s">
        <v>770</v>
      </c>
      <c r="Q557" s="476" t="s">
        <v>789</v>
      </c>
      <c r="R557" s="482">
        <v>44</v>
      </c>
      <c r="S557" s="482">
        <v>197</v>
      </c>
      <c r="T557" s="502">
        <v>42983</v>
      </c>
      <c r="U557" s="484" t="s">
        <v>1060</v>
      </c>
      <c r="V557" s="476" t="s">
        <v>1061</v>
      </c>
      <c r="W557" s="476"/>
    </row>
    <row r="558" spans="1:23" s="69" customFormat="1" ht="14.25" customHeight="1">
      <c r="A558" s="476" t="s">
        <v>39</v>
      </c>
      <c r="B558" s="476" t="s">
        <v>162</v>
      </c>
      <c r="C558" s="476" t="s">
        <v>1063</v>
      </c>
      <c r="D558" s="429" t="s">
        <v>3160</v>
      </c>
      <c r="E558" s="476" t="s">
        <v>1571</v>
      </c>
      <c r="F558" s="476"/>
      <c r="G558" s="476"/>
      <c r="H558" s="476"/>
      <c r="I558" s="476"/>
      <c r="J558" s="476" t="s">
        <v>45</v>
      </c>
      <c r="K558" s="476" t="s">
        <v>45</v>
      </c>
      <c r="L558" s="476" t="s">
        <v>45</v>
      </c>
      <c r="M558" s="476" t="s">
        <v>46</v>
      </c>
      <c r="N558" s="476">
        <v>25.400270190000001</v>
      </c>
      <c r="O558" s="476">
        <v>97.384729629999995</v>
      </c>
      <c r="P558" s="476" t="s">
        <v>770</v>
      </c>
      <c r="Q558" s="476" t="s">
        <v>789</v>
      </c>
      <c r="R558" s="482"/>
      <c r="S558" s="483"/>
      <c r="T558" s="502"/>
      <c r="U558" s="484" t="s">
        <v>1060</v>
      </c>
      <c r="V558" s="476" t="s">
        <v>1063</v>
      </c>
      <c r="W558" s="476"/>
    </row>
    <row r="559" spans="1:23" s="69" customFormat="1" ht="14.25" customHeight="1">
      <c r="A559" s="476" t="s">
        <v>39</v>
      </c>
      <c r="B559" s="476" t="s">
        <v>162</v>
      </c>
      <c r="C559" s="476" t="s">
        <v>1061</v>
      </c>
      <c r="D559" s="429" t="s">
        <v>3160</v>
      </c>
      <c r="E559" s="476"/>
      <c r="F559" s="476"/>
      <c r="G559" s="476"/>
      <c r="H559" s="476"/>
      <c r="I559" s="476"/>
      <c r="J559" s="476" t="s">
        <v>45</v>
      </c>
      <c r="K559" s="476" t="s">
        <v>45</v>
      </c>
      <c r="L559" s="476" t="s">
        <v>45</v>
      </c>
      <c r="M559" s="476" t="s">
        <v>46</v>
      </c>
      <c r="N559" s="476">
        <v>25.395974089999999</v>
      </c>
      <c r="O559" s="476">
        <v>97.382997579999994</v>
      </c>
      <c r="P559" s="476" t="s">
        <v>770</v>
      </c>
      <c r="Q559" s="476" t="s">
        <v>789</v>
      </c>
      <c r="R559" s="482"/>
      <c r="S559" s="483"/>
      <c r="T559" s="502"/>
      <c r="U559" s="484"/>
      <c r="V559" s="476" t="s">
        <v>1061</v>
      </c>
      <c r="W559" s="476"/>
    </row>
    <row r="560" spans="1:23" s="69" customFormat="1" ht="14.25" customHeight="1">
      <c r="A560" s="476" t="s">
        <v>39</v>
      </c>
      <c r="B560" s="476" t="s">
        <v>162</v>
      </c>
      <c r="C560" s="476" t="s">
        <v>1062</v>
      </c>
      <c r="D560" s="429" t="s">
        <v>3160</v>
      </c>
      <c r="E560" s="476" t="s">
        <v>1570</v>
      </c>
      <c r="F560" s="476"/>
      <c r="G560" s="476"/>
      <c r="H560" s="476"/>
      <c r="I560" s="476"/>
      <c r="J560" s="476" t="s">
        <v>45</v>
      </c>
      <c r="K560" s="476" t="s">
        <v>45</v>
      </c>
      <c r="L560" s="476" t="s">
        <v>45</v>
      </c>
      <c r="M560" s="476" t="s">
        <v>46</v>
      </c>
      <c r="N560" s="476">
        <v>25.396492500000001</v>
      </c>
      <c r="O560" s="476">
        <v>97.381325000000004</v>
      </c>
      <c r="P560" s="476" t="s">
        <v>770</v>
      </c>
      <c r="Q560" s="476" t="s">
        <v>789</v>
      </c>
      <c r="R560" s="482"/>
      <c r="S560" s="483"/>
      <c r="T560" s="502"/>
      <c r="U560" s="484" t="s">
        <v>1060</v>
      </c>
      <c r="V560" s="476" t="s">
        <v>1062</v>
      </c>
      <c r="W560" s="476"/>
    </row>
    <row r="561" spans="1:23" s="69" customFormat="1" ht="14.25" customHeight="1">
      <c r="A561" s="476" t="s">
        <v>39</v>
      </c>
      <c r="B561" s="476" t="s">
        <v>162</v>
      </c>
      <c r="C561" s="476" t="s">
        <v>164</v>
      </c>
      <c r="D561" s="429" t="s">
        <v>3135</v>
      </c>
      <c r="E561" s="476" t="s">
        <v>1573</v>
      </c>
      <c r="F561" s="476" t="s">
        <v>1746</v>
      </c>
      <c r="G561" s="476" t="s">
        <v>1848</v>
      </c>
      <c r="H561" s="476" t="s">
        <v>43</v>
      </c>
      <c r="I561" s="476" t="s">
        <v>2855</v>
      </c>
      <c r="J561" s="476" t="s">
        <v>45</v>
      </c>
      <c r="K561" s="476" t="s">
        <v>45</v>
      </c>
      <c r="L561" s="476" t="s">
        <v>45</v>
      </c>
      <c r="M561" s="476" t="s">
        <v>46</v>
      </c>
      <c r="N561" s="476">
        <v>25.397850999999999</v>
      </c>
      <c r="O561" s="476">
        <v>97.370900000000006</v>
      </c>
      <c r="P561" s="476" t="s">
        <v>770</v>
      </c>
      <c r="Q561" s="476" t="s">
        <v>789</v>
      </c>
      <c r="R561" s="482">
        <v>200</v>
      </c>
      <c r="S561" s="482">
        <v>1154</v>
      </c>
      <c r="T561" s="502"/>
      <c r="U561" s="484"/>
      <c r="V561" s="476" t="s">
        <v>164</v>
      </c>
      <c r="W561" s="476"/>
    </row>
    <row r="562" spans="1:23" s="69" customFormat="1" ht="14.25" customHeight="1">
      <c r="A562" s="476" t="s">
        <v>39</v>
      </c>
      <c r="B562" s="476" t="s">
        <v>162</v>
      </c>
      <c r="C562" s="476" t="s">
        <v>236</v>
      </c>
      <c r="D562" s="429" t="s">
        <v>3135</v>
      </c>
      <c r="E562" s="476" t="s">
        <v>1572</v>
      </c>
      <c r="F562" s="476" t="s">
        <v>1746</v>
      </c>
      <c r="G562" s="476" t="s">
        <v>1848</v>
      </c>
      <c r="H562" s="476" t="s">
        <v>43</v>
      </c>
      <c r="I562" s="476" t="s">
        <v>1341</v>
      </c>
      <c r="J562" s="476" t="s">
        <v>45</v>
      </c>
      <c r="K562" s="476" t="s">
        <v>45</v>
      </c>
      <c r="L562" s="476" t="s">
        <v>45</v>
      </c>
      <c r="M562" s="476" t="s">
        <v>46</v>
      </c>
      <c r="N562" s="476">
        <v>25.403476999999999</v>
      </c>
      <c r="O562" s="476">
        <v>97.373361000000003</v>
      </c>
      <c r="P562" s="476" t="s">
        <v>770</v>
      </c>
      <c r="Q562" s="476" t="s">
        <v>789</v>
      </c>
      <c r="R562" s="482">
        <v>78</v>
      </c>
      <c r="S562" s="482">
        <v>413</v>
      </c>
      <c r="T562" s="502"/>
      <c r="U562" s="484"/>
      <c r="V562" s="476" t="s">
        <v>236</v>
      </c>
      <c r="W562" s="476"/>
    </row>
    <row r="563" spans="1:23" s="69" customFormat="1" ht="14.25" customHeight="1">
      <c r="A563" s="487" t="s">
        <v>39</v>
      </c>
      <c r="B563" s="486" t="s">
        <v>162</v>
      </c>
      <c r="C563" s="480" t="s">
        <v>2166</v>
      </c>
      <c r="D563" s="429" t="s">
        <v>3135</v>
      </c>
      <c r="E563" s="476" t="s">
        <v>2013</v>
      </c>
      <c r="F563" s="476"/>
      <c r="G563" s="476"/>
      <c r="H563" s="476"/>
      <c r="I563" s="476" t="s">
        <v>2855</v>
      </c>
      <c r="J563" s="476" t="s">
        <v>45</v>
      </c>
      <c r="K563" s="476" t="s">
        <v>45</v>
      </c>
      <c r="L563" s="476" t="s">
        <v>45</v>
      </c>
      <c r="M563" s="476" t="s">
        <v>46</v>
      </c>
      <c r="N563" s="476"/>
      <c r="O563" s="476"/>
      <c r="P563" s="480" t="s">
        <v>770</v>
      </c>
      <c r="Q563" s="476" t="s">
        <v>1988</v>
      </c>
      <c r="R563" s="482">
        <v>140</v>
      </c>
      <c r="S563" s="482">
        <v>645</v>
      </c>
      <c r="T563" s="502">
        <v>43276</v>
      </c>
      <c r="U563" s="484" t="s">
        <v>2038</v>
      </c>
      <c r="V563" s="476"/>
      <c r="W563" s="394" t="s">
        <v>2321</v>
      </c>
    </row>
    <row r="564" spans="1:23" s="69" customFormat="1" ht="14.25" customHeight="1">
      <c r="A564" s="487" t="s">
        <v>39</v>
      </c>
      <c r="B564" s="486" t="s">
        <v>162</v>
      </c>
      <c r="C564" s="480" t="s">
        <v>1995</v>
      </c>
      <c r="D564" s="481"/>
      <c r="E564" s="476"/>
      <c r="F564" s="476"/>
      <c r="G564" s="476"/>
      <c r="H564" s="476"/>
      <c r="I564" s="476"/>
      <c r="J564" s="476" t="s">
        <v>1476</v>
      </c>
      <c r="K564" s="476" t="s">
        <v>45</v>
      </c>
      <c r="L564" s="476" t="s">
        <v>45</v>
      </c>
      <c r="M564" s="476" t="s">
        <v>46</v>
      </c>
      <c r="N564" s="476"/>
      <c r="O564" s="476"/>
      <c r="P564" s="476" t="s">
        <v>770</v>
      </c>
      <c r="Q564" s="476" t="s">
        <v>1988</v>
      </c>
      <c r="R564" s="490"/>
      <c r="S564" s="483"/>
      <c r="T564" s="502">
        <v>43270</v>
      </c>
      <c r="U564" s="484"/>
      <c r="V564" s="476"/>
      <c r="W564" s="476"/>
    </row>
    <row r="565" spans="1:23" s="69" customFormat="1" ht="14.25" customHeight="1">
      <c r="A565" s="476" t="s">
        <v>39</v>
      </c>
      <c r="B565" s="476" t="s">
        <v>162</v>
      </c>
      <c r="C565" s="476" t="s">
        <v>1111</v>
      </c>
      <c r="D565" s="429" t="s">
        <v>3135</v>
      </c>
      <c r="E565" s="476" t="s">
        <v>2001</v>
      </c>
      <c r="F565" s="476" t="s">
        <v>1746</v>
      </c>
      <c r="G565" s="476" t="s">
        <v>1901</v>
      </c>
      <c r="H565" s="476"/>
      <c r="I565" s="476" t="s">
        <v>1341</v>
      </c>
      <c r="J565" s="476" t="s">
        <v>45</v>
      </c>
      <c r="K565" s="476" t="s">
        <v>45</v>
      </c>
      <c r="L565" s="480" t="s">
        <v>45</v>
      </c>
      <c r="M565" s="476" t="s">
        <v>46</v>
      </c>
      <c r="N565" s="476"/>
      <c r="O565" s="476"/>
      <c r="P565" s="476" t="s">
        <v>770</v>
      </c>
      <c r="Q565" s="476" t="s">
        <v>935</v>
      </c>
      <c r="R565" s="482">
        <v>14</v>
      </c>
      <c r="S565" s="482">
        <v>41</v>
      </c>
      <c r="T565" s="502">
        <v>42983</v>
      </c>
      <c r="U565" s="484" t="s">
        <v>1112</v>
      </c>
      <c r="V565" s="476"/>
      <c r="W565" s="394" t="s">
        <v>2322</v>
      </c>
    </row>
    <row r="566" spans="1:23" s="69" customFormat="1" ht="14.25" customHeight="1">
      <c r="A566" s="476" t="s">
        <v>39</v>
      </c>
      <c r="B566" s="476" t="s">
        <v>162</v>
      </c>
      <c r="C566" s="476" t="s">
        <v>165</v>
      </c>
      <c r="D566" s="429" t="s">
        <v>2851</v>
      </c>
      <c r="E566" s="476" t="s">
        <v>1564</v>
      </c>
      <c r="F566" s="476" t="s">
        <v>1746</v>
      </c>
      <c r="G566" s="476" t="s">
        <v>1845</v>
      </c>
      <c r="H566" s="476" t="s">
        <v>43</v>
      </c>
      <c r="I566" s="476" t="s">
        <v>144</v>
      </c>
      <c r="J566" s="476" t="s">
        <v>45</v>
      </c>
      <c r="K566" s="476" t="s">
        <v>45</v>
      </c>
      <c r="L566" s="476" t="s">
        <v>769</v>
      </c>
      <c r="M566" s="476" t="s">
        <v>46</v>
      </c>
      <c r="N566" s="476">
        <v>25.36600361</v>
      </c>
      <c r="O566" s="476">
        <v>97.405202779999996</v>
      </c>
      <c r="P566" s="476" t="s">
        <v>770</v>
      </c>
      <c r="Q566" s="476" t="s">
        <v>789</v>
      </c>
      <c r="R566" s="482"/>
      <c r="S566" s="482"/>
      <c r="T566" s="502"/>
      <c r="U566" s="484"/>
      <c r="V566" s="476" t="s">
        <v>165</v>
      </c>
      <c r="W566" s="476"/>
    </row>
    <row r="567" spans="1:23" s="69" customFormat="1" ht="14.25" customHeight="1">
      <c r="A567" s="487" t="s">
        <v>39</v>
      </c>
      <c r="B567" s="486" t="s">
        <v>162</v>
      </c>
      <c r="C567" s="531" t="s">
        <v>780</v>
      </c>
      <c r="D567" s="429" t="s">
        <v>3160</v>
      </c>
      <c r="E567" s="513" t="s">
        <v>1344</v>
      </c>
      <c r="F567" s="476"/>
      <c r="G567" s="476"/>
      <c r="H567" s="476"/>
      <c r="I567" s="476" t="s">
        <v>2181</v>
      </c>
      <c r="J567" s="476" t="s">
        <v>45</v>
      </c>
      <c r="K567" s="476" t="s">
        <v>45</v>
      </c>
      <c r="L567" s="476" t="s">
        <v>45</v>
      </c>
      <c r="M567" s="476" t="s">
        <v>46</v>
      </c>
      <c r="N567" s="476">
        <v>0</v>
      </c>
      <c r="O567" s="476">
        <v>0</v>
      </c>
      <c r="P567" s="476" t="s">
        <v>770</v>
      </c>
      <c r="Q567" s="476" t="s">
        <v>2169</v>
      </c>
      <c r="R567" s="482"/>
      <c r="S567" s="482"/>
      <c r="T567" s="502">
        <v>43360</v>
      </c>
      <c r="U567" s="484" t="s">
        <v>2171</v>
      </c>
      <c r="V567" s="476"/>
      <c r="W567" s="476"/>
    </row>
    <row r="568" spans="1:23" s="69" customFormat="1" ht="14.25" customHeight="1">
      <c r="A568" s="483" t="s">
        <v>39</v>
      </c>
      <c r="B568" s="486" t="s">
        <v>162</v>
      </c>
      <c r="C568" s="487" t="s">
        <v>2080</v>
      </c>
      <c r="D568" s="481"/>
      <c r="E568" s="476"/>
      <c r="F568" s="476"/>
      <c r="G568" s="476"/>
      <c r="H568" s="476"/>
      <c r="I568" s="476"/>
      <c r="J568" s="476" t="s">
        <v>1476</v>
      </c>
      <c r="K568" s="480" t="s">
        <v>45</v>
      </c>
      <c r="L568" s="480" t="s">
        <v>785</v>
      </c>
      <c r="M568" s="476" t="s">
        <v>787</v>
      </c>
      <c r="N568" s="476"/>
      <c r="O568" s="476"/>
      <c r="P568" s="476" t="s">
        <v>770</v>
      </c>
      <c r="Q568" s="476"/>
      <c r="R568" s="490"/>
      <c r="S568" s="483"/>
      <c r="T568" s="502">
        <v>43298</v>
      </c>
      <c r="U568" s="484"/>
      <c r="V568" s="476"/>
      <c r="W568" s="476"/>
    </row>
    <row r="569" spans="1:23" s="69" customFormat="1" ht="14.25" customHeight="1">
      <c r="A569" s="476" t="s">
        <v>39</v>
      </c>
      <c r="B569" s="476" t="s">
        <v>162</v>
      </c>
      <c r="C569" s="476" t="s">
        <v>166</v>
      </c>
      <c r="D569" s="429" t="s">
        <v>3135</v>
      </c>
      <c r="E569" s="476" t="s">
        <v>1563</v>
      </c>
      <c r="F569" s="476" t="s">
        <v>1746</v>
      </c>
      <c r="G569" s="476" t="s">
        <v>1839</v>
      </c>
      <c r="H569" s="476" t="s">
        <v>43</v>
      </c>
      <c r="I569" s="476" t="s">
        <v>2855</v>
      </c>
      <c r="J569" s="476" t="s">
        <v>45</v>
      </c>
      <c r="K569" s="476" t="s">
        <v>45</v>
      </c>
      <c r="L569" s="476" t="s">
        <v>45</v>
      </c>
      <c r="M569" s="476" t="s">
        <v>46</v>
      </c>
      <c r="N569" s="476">
        <v>25.362420757575801</v>
      </c>
      <c r="O569" s="476">
        <v>97.409035000000003</v>
      </c>
      <c r="P569" s="476" t="s">
        <v>770</v>
      </c>
      <c r="Q569" s="476" t="s">
        <v>789</v>
      </c>
      <c r="R569" s="482">
        <v>149</v>
      </c>
      <c r="S569" s="482">
        <v>792</v>
      </c>
      <c r="T569" s="502"/>
      <c r="U569" s="484"/>
      <c r="V569" s="476" t="s">
        <v>166</v>
      </c>
      <c r="W569" s="394" t="s">
        <v>2323</v>
      </c>
    </row>
    <row r="570" spans="1:23" s="69" customFormat="1" ht="14.25" customHeight="1">
      <c r="A570" s="476" t="s">
        <v>39</v>
      </c>
      <c r="B570" s="476" t="s">
        <v>162</v>
      </c>
      <c r="C570" s="476" t="s">
        <v>167</v>
      </c>
      <c r="D570" s="429" t="s">
        <v>3135</v>
      </c>
      <c r="E570" s="476" t="s">
        <v>1555</v>
      </c>
      <c r="F570" s="476" t="s">
        <v>1746</v>
      </c>
      <c r="G570" s="476" t="s">
        <v>1839</v>
      </c>
      <c r="H570" s="476" t="s">
        <v>43</v>
      </c>
      <c r="I570" s="476" t="s">
        <v>2855</v>
      </c>
      <c r="J570" s="476" t="s">
        <v>45</v>
      </c>
      <c r="K570" s="476" t="s">
        <v>45</v>
      </c>
      <c r="L570" s="476" t="s">
        <v>45</v>
      </c>
      <c r="M570" s="476" t="s">
        <v>46</v>
      </c>
      <c r="N570" s="476">
        <v>25.3510167948718</v>
      </c>
      <c r="O570" s="476">
        <v>97.403402307692303</v>
      </c>
      <c r="P570" s="476" t="s">
        <v>770</v>
      </c>
      <c r="Q570" s="476" t="s">
        <v>789</v>
      </c>
      <c r="R570" s="482">
        <v>139</v>
      </c>
      <c r="S570" s="482">
        <v>710</v>
      </c>
      <c r="T570" s="502"/>
      <c r="U570" s="484"/>
      <c r="V570" s="476" t="s">
        <v>167</v>
      </c>
      <c r="W570" s="476"/>
    </row>
    <row r="571" spans="1:23" s="69" customFormat="1" ht="14.25" customHeight="1">
      <c r="A571" s="476" t="s">
        <v>39</v>
      </c>
      <c r="B571" s="476" t="s">
        <v>162</v>
      </c>
      <c r="C571" s="476" t="s">
        <v>168</v>
      </c>
      <c r="D571" s="429" t="s">
        <v>3135</v>
      </c>
      <c r="E571" s="476" t="s">
        <v>1562</v>
      </c>
      <c r="F571" s="476" t="s">
        <v>1746</v>
      </c>
      <c r="G571" s="476" t="s">
        <v>1844</v>
      </c>
      <c r="H571" s="476" t="s">
        <v>43</v>
      </c>
      <c r="I571" s="476" t="s">
        <v>2855</v>
      </c>
      <c r="J571" s="476" t="s">
        <v>45</v>
      </c>
      <c r="K571" s="476" t="s">
        <v>45</v>
      </c>
      <c r="L571" s="476" t="s">
        <v>45</v>
      </c>
      <c r="M571" s="476" t="s">
        <v>46</v>
      </c>
      <c r="N571" s="476">
        <v>25.360463124999999</v>
      </c>
      <c r="O571" s="476">
        <v>97.4113064583333</v>
      </c>
      <c r="P571" s="17" t="s">
        <v>770</v>
      </c>
      <c r="Q571" s="476" t="s">
        <v>789</v>
      </c>
      <c r="R571" s="482">
        <v>62</v>
      </c>
      <c r="S571" s="482">
        <v>311</v>
      </c>
      <c r="T571" s="502"/>
      <c r="U571" s="484"/>
      <c r="V571" s="476" t="s">
        <v>168</v>
      </c>
      <c r="W571" s="476"/>
    </row>
    <row r="572" spans="1:23" s="69" customFormat="1" ht="14.25" customHeight="1">
      <c r="A572" s="476" t="s">
        <v>39</v>
      </c>
      <c r="B572" s="476" t="s">
        <v>162</v>
      </c>
      <c r="C572" s="476" t="s">
        <v>169</v>
      </c>
      <c r="D572" s="429" t="s">
        <v>3135</v>
      </c>
      <c r="E572" s="476" t="s">
        <v>1588</v>
      </c>
      <c r="F572" s="476" t="s">
        <v>1746</v>
      </c>
      <c r="G572" s="476" t="s">
        <v>1856</v>
      </c>
      <c r="H572" s="476" t="s">
        <v>43</v>
      </c>
      <c r="I572" s="476" t="s">
        <v>2855</v>
      </c>
      <c r="J572" s="476" t="s">
        <v>45</v>
      </c>
      <c r="K572" s="476" t="s">
        <v>45</v>
      </c>
      <c r="L572" s="476" t="s">
        <v>45</v>
      </c>
      <c r="M572" s="476" t="s">
        <v>46</v>
      </c>
      <c r="N572" s="476">
        <v>25.428910999999999</v>
      </c>
      <c r="O572" s="476">
        <v>97.418694000000002</v>
      </c>
      <c r="P572" s="476" t="s">
        <v>770</v>
      </c>
      <c r="Q572" s="476" t="s">
        <v>789</v>
      </c>
      <c r="R572" s="482">
        <v>105</v>
      </c>
      <c r="S572" s="482">
        <v>604</v>
      </c>
      <c r="T572" s="502"/>
      <c r="U572" s="484"/>
      <c r="V572" s="476" t="s">
        <v>169</v>
      </c>
      <c r="W572" s="476"/>
    </row>
    <row r="573" spans="1:23" s="69" customFormat="1" ht="14.25" customHeight="1">
      <c r="A573" s="476" t="s">
        <v>39</v>
      </c>
      <c r="B573" s="476" t="s">
        <v>162</v>
      </c>
      <c r="C573" s="476" t="s">
        <v>266</v>
      </c>
      <c r="D573" s="429" t="s">
        <v>3135</v>
      </c>
      <c r="E573" s="476" t="s">
        <v>1566</v>
      </c>
      <c r="F573" s="476" t="s">
        <v>1846</v>
      </c>
      <c r="G573" s="476" t="s">
        <v>1846</v>
      </c>
      <c r="H573" s="476" t="s">
        <v>43</v>
      </c>
      <c r="I573" s="476" t="s">
        <v>245</v>
      </c>
      <c r="J573" s="476" t="s">
        <v>45</v>
      </c>
      <c r="K573" s="476" t="s">
        <v>45</v>
      </c>
      <c r="L573" s="476" t="s">
        <v>45</v>
      </c>
      <c r="M573" s="476" t="s">
        <v>46</v>
      </c>
      <c r="N573" s="476">
        <v>25.374343974359</v>
      </c>
      <c r="O573" s="476">
        <v>97.2843958974359</v>
      </c>
      <c r="P573" s="476" t="s">
        <v>770</v>
      </c>
      <c r="Q573" s="476" t="s">
        <v>789</v>
      </c>
      <c r="R573" s="482">
        <v>22</v>
      </c>
      <c r="S573" s="482">
        <v>92</v>
      </c>
      <c r="T573" s="502"/>
      <c r="U573" s="484"/>
      <c r="V573" s="476" t="s">
        <v>266</v>
      </c>
      <c r="W573" s="476"/>
    </row>
    <row r="574" spans="1:23" s="69" customFormat="1" ht="14.25" customHeight="1">
      <c r="A574" s="476" t="s">
        <v>39</v>
      </c>
      <c r="B574" s="476" t="s">
        <v>162</v>
      </c>
      <c r="C574" s="476" t="s">
        <v>267</v>
      </c>
      <c r="D574" s="429" t="s">
        <v>3135</v>
      </c>
      <c r="E574" s="476" t="s">
        <v>1565</v>
      </c>
      <c r="F574" s="476" t="s">
        <v>1846</v>
      </c>
      <c r="G574" s="476" t="s">
        <v>1846</v>
      </c>
      <c r="H574" s="476" t="s">
        <v>43</v>
      </c>
      <c r="I574" s="476" t="s">
        <v>245</v>
      </c>
      <c r="J574" s="476" t="s">
        <v>45</v>
      </c>
      <c r="K574" s="476" t="s">
        <v>45</v>
      </c>
      <c r="L574" s="476" t="s">
        <v>45</v>
      </c>
      <c r="M574" s="476" t="s">
        <v>46</v>
      </c>
      <c r="N574" s="476">
        <v>25.371049444444399</v>
      </c>
      <c r="O574" s="476">
        <v>97.290952037037002</v>
      </c>
      <c r="P574" s="476" t="s">
        <v>770</v>
      </c>
      <c r="Q574" s="476" t="s">
        <v>789</v>
      </c>
      <c r="R574" s="482">
        <v>24</v>
      </c>
      <c r="S574" s="482">
        <v>145</v>
      </c>
      <c r="T574" s="502"/>
      <c r="U574" s="484"/>
      <c r="V574" s="476" t="s">
        <v>267</v>
      </c>
      <c r="W574" s="476"/>
    </row>
    <row r="575" spans="1:23" s="69" customFormat="1" ht="14.25" customHeight="1">
      <c r="A575" s="476" t="s">
        <v>39</v>
      </c>
      <c r="B575" s="476" t="s">
        <v>162</v>
      </c>
      <c r="C575" s="476" t="s">
        <v>1058</v>
      </c>
      <c r="D575" s="429" t="s">
        <v>1686</v>
      </c>
      <c r="E575" s="476" t="s">
        <v>1568</v>
      </c>
      <c r="F575" s="476" t="s">
        <v>1746</v>
      </c>
      <c r="G575" s="476" t="s">
        <v>1748</v>
      </c>
      <c r="H575" s="476" t="s">
        <v>43</v>
      </c>
      <c r="I575" s="476" t="s">
        <v>245</v>
      </c>
      <c r="J575" s="476" t="s">
        <v>45</v>
      </c>
      <c r="K575" s="476" t="s">
        <v>45</v>
      </c>
      <c r="L575" s="476" t="s">
        <v>769</v>
      </c>
      <c r="M575" s="476" t="s">
        <v>46</v>
      </c>
      <c r="N575" s="476">
        <v>25.387862999999999</v>
      </c>
      <c r="O575" s="476">
        <v>97.376671999999999</v>
      </c>
      <c r="P575" s="476" t="s">
        <v>770</v>
      </c>
      <c r="Q575" s="476"/>
      <c r="R575" s="482"/>
      <c r="S575" s="483"/>
      <c r="T575" s="502"/>
      <c r="U575" s="484"/>
      <c r="V575" s="476" t="s">
        <v>1058</v>
      </c>
      <c r="W575" s="394" t="s">
        <v>2223</v>
      </c>
    </row>
    <row r="576" spans="1:23" s="69" customFormat="1" ht="14.25" customHeight="1">
      <c r="A576" s="476" t="s">
        <v>39</v>
      </c>
      <c r="B576" s="476" t="s">
        <v>162</v>
      </c>
      <c r="C576" s="476" t="s">
        <v>237</v>
      </c>
      <c r="D576" s="429" t="s">
        <v>3135</v>
      </c>
      <c r="E576" s="476" t="s">
        <v>1577</v>
      </c>
      <c r="F576" s="476" t="s">
        <v>1851</v>
      </c>
      <c r="G576" s="476" t="s">
        <v>1851</v>
      </c>
      <c r="H576" s="476" t="s">
        <v>43</v>
      </c>
      <c r="I576" s="476" t="s">
        <v>1341</v>
      </c>
      <c r="J576" s="476" t="s">
        <v>45</v>
      </c>
      <c r="K576" s="476" t="s">
        <v>45</v>
      </c>
      <c r="L576" s="476" t="s">
        <v>45</v>
      </c>
      <c r="M576" s="476" t="s">
        <v>46</v>
      </c>
      <c r="N576" s="476">
        <v>25.410569299999999</v>
      </c>
      <c r="O576" s="476">
        <v>97.359320179999997</v>
      </c>
      <c r="P576" s="476" t="s">
        <v>770</v>
      </c>
      <c r="Q576" s="476" t="s">
        <v>789</v>
      </c>
      <c r="R576" s="482">
        <v>60</v>
      </c>
      <c r="S576" s="482">
        <v>312</v>
      </c>
      <c r="T576" s="502"/>
      <c r="U576" s="484"/>
      <c r="V576" s="476" t="s">
        <v>237</v>
      </c>
      <c r="W576" s="476"/>
    </row>
    <row r="577" spans="1:23" s="69" customFormat="1" ht="14.25" customHeight="1">
      <c r="A577" s="476" t="s">
        <v>39</v>
      </c>
      <c r="B577" s="476" t="s">
        <v>162</v>
      </c>
      <c r="C577" s="476" t="s">
        <v>170</v>
      </c>
      <c r="D577" s="429" t="s">
        <v>3135</v>
      </c>
      <c r="E577" s="476" t="s">
        <v>1584</v>
      </c>
      <c r="F577" s="476" t="s">
        <v>1746</v>
      </c>
      <c r="G577" s="476" t="s">
        <v>1855</v>
      </c>
      <c r="H577" s="476" t="s">
        <v>43</v>
      </c>
      <c r="I577" s="476" t="s">
        <v>2855</v>
      </c>
      <c r="J577" s="476" t="s">
        <v>45</v>
      </c>
      <c r="K577" s="476" t="s">
        <v>45</v>
      </c>
      <c r="L577" s="476" t="s">
        <v>45</v>
      </c>
      <c r="M577" s="476" t="s">
        <v>46</v>
      </c>
      <c r="N577" s="476">
        <v>25.422194000000001</v>
      </c>
      <c r="O577" s="476">
        <v>97.394547000000003</v>
      </c>
      <c r="P577" s="476" t="s">
        <v>770</v>
      </c>
      <c r="Q577" s="476" t="s">
        <v>789</v>
      </c>
      <c r="R577" s="482">
        <v>68</v>
      </c>
      <c r="S577" s="482">
        <v>309</v>
      </c>
      <c r="T577" s="502"/>
      <c r="U577" s="484"/>
      <c r="V577" s="476" t="s">
        <v>170</v>
      </c>
      <c r="W577" s="476"/>
    </row>
    <row r="578" spans="1:23" s="69" customFormat="1" ht="14.25" customHeight="1">
      <c r="A578" s="476" t="s">
        <v>39</v>
      </c>
      <c r="B578" s="476" t="s">
        <v>162</v>
      </c>
      <c r="C578" s="476" t="s">
        <v>238</v>
      </c>
      <c r="D578" s="429" t="s">
        <v>3135</v>
      </c>
      <c r="E578" s="476" t="s">
        <v>1590</v>
      </c>
      <c r="F578" s="476" t="s">
        <v>1858</v>
      </c>
      <c r="G578" s="476" t="s">
        <v>1859</v>
      </c>
      <c r="H578" s="476" t="s">
        <v>43</v>
      </c>
      <c r="I578" s="476" t="s">
        <v>1341</v>
      </c>
      <c r="J578" s="476" t="s">
        <v>45</v>
      </c>
      <c r="K578" s="476" t="s">
        <v>45</v>
      </c>
      <c r="L578" s="476" t="s">
        <v>45</v>
      </c>
      <c r="M578" s="476" t="s">
        <v>46</v>
      </c>
      <c r="N578" s="476">
        <v>25.493819999999999</v>
      </c>
      <c r="O578" s="476">
        <v>97.4345</v>
      </c>
      <c r="P578" s="476" t="s">
        <v>770</v>
      </c>
      <c r="Q578" s="476" t="s">
        <v>789</v>
      </c>
      <c r="R578" s="482">
        <v>148</v>
      </c>
      <c r="S578" s="482">
        <v>884</v>
      </c>
      <c r="T578" s="502"/>
      <c r="U578" s="484"/>
      <c r="V578" s="476" t="s">
        <v>238</v>
      </c>
      <c r="W578" s="476"/>
    </row>
    <row r="579" spans="1:23" s="69" customFormat="1" ht="14.25" customHeight="1">
      <c r="A579" s="487" t="s">
        <v>39</v>
      </c>
      <c r="B579" s="486" t="s">
        <v>162</v>
      </c>
      <c r="C579" s="487" t="s">
        <v>2167</v>
      </c>
      <c r="D579" s="429" t="s">
        <v>3135</v>
      </c>
      <c r="E579" s="476" t="s">
        <v>2168</v>
      </c>
      <c r="F579" s="476"/>
      <c r="G579" s="476"/>
      <c r="H579" s="476" t="s">
        <v>43</v>
      </c>
      <c r="I579" s="476" t="s">
        <v>1341</v>
      </c>
      <c r="J579" s="476" t="s">
        <v>45</v>
      </c>
      <c r="K579" s="480" t="s">
        <v>45</v>
      </c>
      <c r="L579" s="480" t="s">
        <v>45</v>
      </c>
      <c r="M579" s="476" t="s">
        <v>46</v>
      </c>
      <c r="N579" s="476">
        <v>25.493819999999999</v>
      </c>
      <c r="O579" s="476">
        <v>97.4345</v>
      </c>
      <c r="P579" s="480" t="s">
        <v>770</v>
      </c>
      <c r="Q579" s="476" t="s">
        <v>2169</v>
      </c>
      <c r="R579" s="482">
        <v>255</v>
      </c>
      <c r="S579" s="482">
        <v>1386</v>
      </c>
      <c r="T579" s="502">
        <v>43360</v>
      </c>
      <c r="U579" s="484" t="s">
        <v>2170</v>
      </c>
      <c r="V579" s="476"/>
      <c r="W579" s="394" t="s">
        <v>2324</v>
      </c>
    </row>
    <row r="580" spans="1:23" s="69" customFormat="1" ht="14.25" customHeight="1">
      <c r="A580" s="483" t="s">
        <v>39</v>
      </c>
      <c r="B580" s="486" t="s">
        <v>162</v>
      </c>
      <c r="C580" s="487" t="s">
        <v>3091</v>
      </c>
      <c r="D580" s="481"/>
      <c r="E580" s="476"/>
      <c r="F580" s="476"/>
      <c r="G580" s="476"/>
      <c r="H580" s="476"/>
      <c r="I580" s="476"/>
      <c r="J580" s="476" t="s">
        <v>1476</v>
      </c>
      <c r="K580" s="476" t="s">
        <v>45</v>
      </c>
      <c r="L580" s="476" t="s">
        <v>45</v>
      </c>
      <c r="M580" s="476" t="s">
        <v>46</v>
      </c>
      <c r="N580" s="476"/>
      <c r="O580" s="476"/>
      <c r="P580" s="476" t="s">
        <v>770</v>
      </c>
      <c r="Q580" s="476" t="s">
        <v>3061</v>
      </c>
      <c r="R580" s="490"/>
      <c r="S580" s="483"/>
      <c r="T580" s="502">
        <v>43749</v>
      </c>
      <c r="U580" s="490"/>
      <c r="V580" s="476"/>
      <c r="W580" s="482"/>
    </row>
    <row r="581" spans="1:23" s="69" customFormat="1" ht="14.25" customHeight="1">
      <c r="A581" s="487" t="s">
        <v>39</v>
      </c>
      <c r="B581" s="486" t="s">
        <v>162</v>
      </c>
      <c r="C581" s="487" t="s">
        <v>3130</v>
      </c>
      <c r="D581" s="429" t="s">
        <v>3135</v>
      </c>
      <c r="E581" s="564" t="s">
        <v>3131</v>
      </c>
      <c r="F581" s="480" t="s">
        <v>3133</v>
      </c>
      <c r="G581" s="480" t="s">
        <v>3133</v>
      </c>
      <c r="H581" s="480"/>
      <c r="I581" s="480" t="s">
        <v>2181</v>
      </c>
      <c r="J581" s="476" t="s">
        <v>45</v>
      </c>
      <c r="K581" s="476" t="s">
        <v>45</v>
      </c>
      <c r="L581" s="480" t="s">
        <v>785</v>
      </c>
      <c r="M581" s="476" t="s">
        <v>46</v>
      </c>
      <c r="N581" s="561">
        <v>25.387892000000001</v>
      </c>
      <c r="O581" s="561">
        <v>97.325181999999998</v>
      </c>
      <c r="P581" s="17" t="s">
        <v>770</v>
      </c>
      <c r="Q581" s="476" t="s">
        <v>3134</v>
      </c>
      <c r="R581" s="482">
        <v>30</v>
      </c>
      <c r="S581" s="482">
        <v>159</v>
      </c>
      <c r="T581" s="502">
        <v>43805</v>
      </c>
      <c r="U581" s="488"/>
      <c r="V581" s="480"/>
      <c r="W581" s="562" t="s">
        <v>3132</v>
      </c>
    </row>
    <row r="582" spans="1:23" s="69" customFormat="1" ht="14.25" customHeight="1">
      <c r="A582" s="476" t="s">
        <v>39</v>
      </c>
      <c r="B582" s="476" t="s">
        <v>162</v>
      </c>
      <c r="C582" s="480" t="s">
        <v>171</v>
      </c>
      <c r="D582" s="429" t="s">
        <v>3135</v>
      </c>
      <c r="E582" s="476" t="s">
        <v>1579</v>
      </c>
      <c r="F582" s="476" t="s">
        <v>1746</v>
      </c>
      <c r="G582" s="476" t="s">
        <v>1852</v>
      </c>
      <c r="H582" s="476" t="s">
        <v>43</v>
      </c>
      <c r="I582" s="476" t="s">
        <v>2855</v>
      </c>
      <c r="J582" s="476" t="s">
        <v>45</v>
      </c>
      <c r="K582" s="476" t="s">
        <v>45</v>
      </c>
      <c r="L582" s="476" t="s">
        <v>45</v>
      </c>
      <c r="M582" s="476" t="s">
        <v>46</v>
      </c>
      <c r="N582" s="476">
        <v>25.412313000000001</v>
      </c>
      <c r="O582" s="476">
        <v>97.399628000000007</v>
      </c>
      <c r="P582" s="476" t="s">
        <v>770</v>
      </c>
      <c r="Q582" s="476" t="s">
        <v>789</v>
      </c>
      <c r="R582" s="482">
        <v>119</v>
      </c>
      <c r="S582" s="482">
        <v>587</v>
      </c>
      <c r="T582" s="502"/>
      <c r="U582" s="484"/>
      <c r="V582" s="476" t="s">
        <v>171</v>
      </c>
      <c r="W582" s="476"/>
    </row>
    <row r="583" spans="1:23" s="69" customFormat="1" ht="14.25" customHeight="1">
      <c r="A583" s="476" t="s">
        <v>39</v>
      </c>
      <c r="B583" s="476" t="s">
        <v>162</v>
      </c>
      <c r="C583" s="480" t="s">
        <v>268</v>
      </c>
      <c r="D583" s="429" t="s">
        <v>3135</v>
      </c>
      <c r="E583" s="476" t="s">
        <v>1586</v>
      </c>
      <c r="F583" s="476" t="s">
        <v>1746</v>
      </c>
      <c r="G583" s="476" t="s">
        <v>1852</v>
      </c>
      <c r="H583" s="476" t="s">
        <v>43</v>
      </c>
      <c r="I583" s="476" t="s">
        <v>245</v>
      </c>
      <c r="J583" s="476" t="s">
        <v>45</v>
      </c>
      <c r="K583" s="476" t="s">
        <v>45</v>
      </c>
      <c r="L583" s="476" t="s">
        <v>45</v>
      </c>
      <c r="M583" s="476" t="s">
        <v>46</v>
      </c>
      <c r="N583" s="476">
        <v>25.423817</v>
      </c>
      <c r="O583" s="476">
        <v>97.418004999999994</v>
      </c>
      <c r="P583" s="476" t="s">
        <v>770</v>
      </c>
      <c r="Q583" s="476" t="s">
        <v>789</v>
      </c>
      <c r="R583" s="482">
        <v>24</v>
      </c>
      <c r="S583" s="482">
        <v>114</v>
      </c>
      <c r="T583" s="502"/>
      <c r="U583" s="484"/>
      <c r="V583" s="476" t="s">
        <v>268</v>
      </c>
      <c r="W583" s="476"/>
    </row>
    <row r="584" spans="1:23" s="69" customFormat="1" ht="14.25" customHeight="1">
      <c r="A584" s="476" t="s">
        <v>39</v>
      </c>
      <c r="B584" s="480" t="s">
        <v>162</v>
      </c>
      <c r="C584" s="480" t="s">
        <v>172</v>
      </c>
      <c r="D584" s="429" t="s">
        <v>3135</v>
      </c>
      <c r="E584" s="476" t="s">
        <v>1589</v>
      </c>
      <c r="F584" s="476" t="s">
        <v>1746</v>
      </c>
      <c r="G584" s="476" t="s">
        <v>1857</v>
      </c>
      <c r="H584" s="476" t="s">
        <v>43</v>
      </c>
      <c r="I584" s="476" t="s">
        <v>2855</v>
      </c>
      <c r="J584" s="476" t="s">
        <v>45</v>
      </c>
      <c r="K584" s="476" t="s">
        <v>45</v>
      </c>
      <c r="L584" s="476" t="s">
        <v>45</v>
      </c>
      <c r="M584" s="476" t="s">
        <v>46</v>
      </c>
      <c r="N584" s="476">
        <v>25.440928</v>
      </c>
      <c r="O584" s="476">
        <v>97.419403000000003</v>
      </c>
      <c r="P584" s="476" t="s">
        <v>770</v>
      </c>
      <c r="Q584" s="476" t="s">
        <v>789</v>
      </c>
      <c r="R584" s="482">
        <v>97</v>
      </c>
      <c r="S584" s="482">
        <v>583</v>
      </c>
      <c r="T584" s="502"/>
      <c r="U584" s="484"/>
      <c r="V584" s="476" t="s">
        <v>172</v>
      </c>
      <c r="W584" s="476"/>
    </row>
    <row r="585" spans="1:23" s="69" customFormat="1" ht="14.25" customHeight="1">
      <c r="A585" s="487" t="s">
        <v>39</v>
      </c>
      <c r="B585" s="486" t="s">
        <v>162</v>
      </c>
      <c r="C585" s="480" t="s">
        <v>2005</v>
      </c>
      <c r="D585" s="429" t="s">
        <v>2851</v>
      </c>
      <c r="E585" s="476" t="s">
        <v>2012</v>
      </c>
      <c r="F585" s="476"/>
      <c r="G585" s="476"/>
      <c r="H585" s="476"/>
      <c r="I585" s="476" t="s">
        <v>2181</v>
      </c>
      <c r="J585" s="476" t="s">
        <v>45</v>
      </c>
      <c r="K585" s="476" t="s">
        <v>45</v>
      </c>
      <c r="L585" s="476" t="s">
        <v>769</v>
      </c>
      <c r="M585" s="476" t="s">
        <v>46</v>
      </c>
      <c r="N585" s="476">
        <v>97.49136</v>
      </c>
      <c r="O585" s="476">
        <v>25.717300000000002</v>
      </c>
      <c r="P585" s="480" t="s">
        <v>770</v>
      </c>
      <c r="Q585" s="476" t="s">
        <v>1988</v>
      </c>
      <c r="R585" s="482"/>
      <c r="S585" s="482"/>
      <c r="T585" s="502">
        <v>43276</v>
      </c>
      <c r="U585" s="484" t="s">
        <v>2037</v>
      </c>
      <c r="V585" s="476"/>
      <c r="W585" s="394" t="s">
        <v>2325</v>
      </c>
    </row>
    <row r="586" spans="1:23" s="69" customFormat="1" ht="14.25" customHeight="1">
      <c r="A586" s="476" t="s">
        <v>39</v>
      </c>
      <c r="B586" s="480" t="s">
        <v>162</v>
      </c>
      <c r="C586" s="480" t="s">
        <v>1153</v>
      </c>
      <c r="D586" s="429" t="s">
        <v>1685</v>
      </c>
      <c r="E586" s="476"/>
      <c r="F586" s="476"/>
      <c r="G586" s="476"/>
      <c r="H586" s="476"/>
      <c r="I586" s="476"/>
      <c r="J586" s="476" t="s">
        <v>45</v>
      </c>
      <c r="K586" s="476" t="s">
        <v>45</v>
      </c>
      <c r="L586" s="476" t="s">
        <v>1096</v>
      </c>
      <c r="M586" s="476" t="s">
        <v>46</v>
      </c>
      <c r="N586" s="476"/>
      <c r="O586" s="476"/>
      <c r="P586" s="476" t="s">
        <v>770</v>
      </c>
      <c r="Q586" s="476"/>
      <c r="R586" s="482"/>
      <c r="S586" s="483"/>
      <c r="T586" s="502"/>
      <c r="U586" s="484"/>
      <c r="V586" s="476" t="s">
        <v>1153</v>
      </c>
      <c r="W586" s="476"/>
    </row>
    <row r="587" spans="1:23" s="69" customFormat="1" ht="14.25" customHeight="1">
      <c r="A587" s="476" t="s">
        <v>39</v>
      </c>
      <c r="B587" s="480" t="s">
        <v>162</v>
      </c>
      <c r="C587" s="480" t="s">
        <v>173</v>
      </c>
      <c r="D587" s="429" t="s">
        <v>3135</v>
      </c>
      <c r="E587" s="476" t="s">
        <v>1580</v>
      </c>
      <c r="F587" s="476" t="s">
        <v>1746</v>
      </c>
      <c r="G587" s="476" t="s">
        <v>1849</v>
      </c>
      <c r="H587" s="476" t="s">
        <v>43</v>
      </c>
      <c r="I587" s="476" t="s">
        <v>2855</v>
      </c>
      <c r="J587" s="476" t="s">
        <v>45</v>
      </c>
      <c r="K587" s="476" t="s">
        <v>45</v>
      </c>
      <c r="L587" s="476" t="s">
        <v>45</v>
      </c>
      <c r="M587" s="476" t="s">
        <v>46</v>
      </c>
      <c r="N587" s="476">
        <v>25.415482000000001</v>
      </c>
      <c r="O587" s="476">
        <v>97.386718999999999</v>
      </c>
      <c r="P587" s="476" t="s">
        <v>770</v>
      </c>
      <c r="Q587" s="476" t="s">
        <v>789</v>
      </c>
      <c r="R587" s="482">
        <v>87</v>
      </c>
      <c r="S587" s="482">
        <v>502</v>
      </c>
      <c r="T587" s="502"/>
      <c r="U587" s="484"/>
      <c r="V587" s="476" t="s">
        <v>173</v>
      </c>
      <c r="W587" s="476"/>
    </row>
    <row r="588" spans="1:23" s="69" customFormat="1" ht="14.25" customHeight="1">
      <c r="A588" s="476" t="s">
        <v>39</v>
      </c>
      <c r="B588" s="480" t="s">
        <v>162</v>
      </c>
      <c r="C588" s="480" t="s">
        <v>269</v>
      </c>
      <c r="D588" s="429" t="s">
        <v>3135</v>
      </c>
      <c r="E588" s="476" t="s">
        <v>1585</v>
      </c>
      <c r="F588" s="476" t="s">
        <v>1746</v>
      </c>
      <c r="G588" s="476" t="s">
        <v>1849</v>
      </c>
      <c r="H588" s="476" t="s">
        <v>43</v>
      </c>
      <c r="I588" s="476" t="s">
        <v>245</v>
      </c>
      <c r="J588" s="476" t="s">
        <v>45</v>
      </c>
      <c r="K588" s="476" t="s">
        <v>45</v>
      </c>
      <c r="L588" s="476" t="s">
        <v>45</v>
      </c>
      <c r="M588" s="476" t="s">
        <v>46</v>
      </c>
      <c r="N588" s="476">
        <v>25.423209</v>
      </c>
      <c r="O588" s="476">
        <v>97.379987</v>
      </c>
      <c r="P588" s="476" t="s">
        <v>770</v>
      </c>
      <c r="Q588" s="476" t="s">
        <v>789</v>
      </c>
      <c r="R588" s="482">
        <v>54</v>
      </c>
      <c r="S588" s="482">
        <v>252</v>
      </c>
      <c r="T588" s="502"/>
      <c r="U588" s="484"/>
      <c r="V588" s="476" t="s">
        <v>1064</v>
      </c>
      <c r="W588" s="476"/>
    </row>
    <row r="589" spans="1:23" s="69" customFormat="1" ht="14.25" customHeight="1">
      <c r="A589" s="476" t="s">
        <v>39</v>
      </c>
      <c r="B589" s="480" t="s">
        <v>162</v>
      </c>
      <c r="C589" s="480" t="s">
        <v>270</v>
      </c>
      <c r="D589" s="429" t="s">
        <v>3135</v>
      </c>
      <c r="E589" s="476" t="s">
        <v>1582</v>
      </c>
      <c r="F589" s="476" t="s">
        <v>1746</v>
      </c>
      <c r="G589" s="476" t="s">
        <v>1849</v>
      </c>
      <c r="H589" s="476" t="s">
        <v>43</v>
      </c>
      <c r="I589" s="476" t="s">
        <v>245</v>
      </c>
      <c r="J589" s="476" t="s">
        <v>45</v>
      </c>
      <c r="K589" s="476" t="s">
        <v>45</v>
      </c>
      <c r="L589" s="476" t="s">
        <v>45</v>
      </c>
      <c r="M589" s="476" t="s">
        <v>46</v>
      </c>
      <c r="N589" s="476">
        <v>25.417733999999999</v>
      </c>
      <c r="O589" s="476">
        <v>97.389778000000007</v>
      </c>
      <c r="P589" s="476" t="s">
        <v>770</v>
      </c>
      <c r="Q589" s="476" t="s">
        <v>789</v>
      </c>
      <c r="R589" s="482">
        <v>18</v>
      </c>
      <c r="S589" s="482">
        <v>87</v>
      </c>
      <c r="T589" s="502"/>
      <c r="U589" s="484"/>
      <c r="V589" s="476" t="s">
        <v>270</v>
      </c>
      <c r="W589" s="476"/>
    </row>
    <row r="590" spans="1:23" s="69" customFormat="1" ht="14.25" customHeight="1">
      <c r="A590" s="476" t="s">
        <v>39</v>
      </c>
      <c r="B590" s="480" t="s">
        <v>162</v>
      </c>
      <c r="C590" s="480" t="s">
        <v>174</v>
      </c>
      <c r="D590" s="429" t="s">
        <v>3135</v>
      </c>
      <c r="E590" s="476" t="s">
        <v>1575</v>
      </c>
      <c r="F590" s="476" t="s">
        <v>1746</v>
      </c>
      <c r="G590" s="476" t="s">
        <v>1849</v>
      </c>
      <c r="H590" s="476" t="s">
        <v>43</v>
      </c>
      <c r="I590" s="476" t="s">
        <v>2855</v>
      </c>
      <c r="J590" s="476" t="s">
        <v>45</v>
      </c>
      <c r="K590" s="476" t="s">
        <v>45</v>
      </c>
      <c r="L590" s="476" t="s">
        <v>45</v>
      </c>
      <c r="M590" s="476" t="s">
        <v>46</v>
      </c>
      <c r="N590" s="476">
        <v>25.404752999999999</v>
      </c>
      <c r="O590" s="476">
        <v>97.377662999999998</v>
      </c>
      <c r="P590" s="476" t="s">
        <v>770</v>
      </c>
      <c r="Q590" s="476" t="s">
        <v>789</v>
      </c>
      <c r="R590" s="482">
        <v>33</v>
      </c>
      <c r="S590" s="482">
        <v>186</v>
      </c>
      <c r="T590" s="502"/>
      <c r="U590" s="484"/>
      <c r="V590" s="476" t="s">
        <v>174</v>
      </c>
      <c r="W590" s="476"/>
    </row>
    <row r="591" spans="1:23" s="69" customFormat="1" ht="14.25" customHeight="1">
      <c r="A591" s="476" t="s">
        <v>39</v>
      </c>
      <c r="B591" s="480" t="s">
        <v>162</v>
      </c>
      <c r="C591" s="480" t="s">
        <v>175</v>
      </c>
      <c r="D591" s="429" t="s">
        <v>3135</v>
      </c>
      <c r="E591" s="476" t="s">
        <v>1574</v>
      </c>
      <c r="F591" s="476" t="s">
        <v>1746</v>
      </c>
      <c r="G591" s="476" t="s">
        <v>1849</v>
      </c>
      <c r="H591" s="476" t="s">
        <v>43</v>
      </c>
      <c r="I591" s="476" t="s">
        <v>2855</v>
      </c>
      <c r="J591" s="476" t="s">
        <v>45</v>
      </c>
      <c r="K591" s="476" t="s">
        <v>45</v>
      </c>
      <c r="L591" s="476" t="s">
        <v>45</v>
      </c>
      <c r="M591" s="476" t="s">
        <v>46</v>
      </c>
      <c r="N591" s="476">
        <v>25.437125999999999</v>
      </c>
      <c r="O591" s="476">
        <v>97.387276</v>
      </c>
      <c r="P591" s="476" t="s">
        <v>770</v>
      </c>
      <c r="Q591" s="476" t="s">
        <v>789</v>
      </c>
      <c r="R591" s="482">
        <v>45</v>
      </c>
      <c r="S591" s="482">
        <v>223</v>
      </c>
      <c r="T591" s="502"/>
      <c r="U591" s="484"/>
      <c r="V591" s="476" t="s">
        <v>175</v>
      </c>
      <c r="W591" s="476"/>
    </row>
    <row r="592" spans="1:23" s="69" customFormat="1" ht="14.25" customHeight="1">
      <c r="A592" s="487" t="s">
        <v>39</v>
      </c>
      <c r="B592" s="486" t="s">
        <v>162</v>
      </c>
      <c r="C592" s="480" t="s">
        <v>1993</v>
      </c>
      <c r="D592" s="481"/>
      <c r="E592" s="476"/>
      <c r="F592" s="476"/>
      <c r="G592" s="476"/>
      <c r="H592" s="476"/>
      <c r="I592" s="476"/>
      <c r="J592" s="476" t="s">
        <v>1476</v>
      </c>
      <c r="K592" s="476" t="s">
        <v>45</v>
      </c>
      <c r="L592" s="476" t="s">
        <v>45</v>
      </c>
      <c r="M592" s="476" t="s">
        <v>46</v>
      </c>
      <c r="N592" s="476"/>
      <c r="O592" s="476"/>
      <c r="P592" s="476" t="s">
        <v>770</v>
      </c>
      <c r="Q592" s="476" t="s">
        <v>1988</v>
      </c>
      <c r="R592" s="490"/>
      <c r="S592" s="483"/>
      <c r="T592" s="502">
        <v>43270</v>
      </c>
      <c r="U592" s="484"/>
      <c r="V592" s="476"/>
      <c r="W592" s="476"/>
    </row>
    <row r="593" spans="1:23" s="476" customFormat="1" ht="14.25" customHeight="1">
      <c r="A593" s="487" t="s">
        <v>39</v>
      </c>
      <c r="B593" s="486" t="s">
        <v>162</v>
      </c>
      <c r="C593" s="500" t="s">
        <v>2006</v>
      </c>
      <c r="D593" s="429" t="s">
        <v>3135</v>
      </c>
      <c r="E593" s="480" t="s">
        <v>2014</v>
      </c>
      <c r="F593" s="480"/>
      <c r="G593" s="480"/>
      <c r="H593" s="480"/>
      <c r="I593" s="480" t="s">
        <v>2181</v>
      </c>
      <c r="J593" s="476" t="s">
        <v>45</v>
      </c>
      <c r="K593" s="476" t="s">
        <v>45</v>
      </c>
      <c r="L593" s="480" t="s">
        <v>785</v>
      </c>
      <c r="M593" s="476" t="s">
        <v>46</v>
      </c>
      <c r="N593" s="476">
        <v>0</v>
      </c>
      <c r="O593" s="476">
        <v>0</v>
      </c>
      <c r="P593" s="17" t="s">
        <v>770</v>
      </c>
      <c r="Q593" s="476" t="s">
        <v>1988</v>
      </c>
      <c r="R593" s="482">
        <v>5</v>
      </c>
      <c r="S593" s="482">
        <v>15</v>
      </c>
      <c r="T593" s="502">
        <v>43276</v>
      </c>
      <c r="U593" s="488" t="s">
        <v>2038</v>
      </c>
      <c r="V593" s="480"/>
      <c r="W593" s="394" t="s">
        <v>2192</v>
      </c>
    </row>
    <row r="594" spans="1:23" s="69" customFormat="1" ht="14.25" customHeight="1">
      <c r="A594" s="487" t="s">
        <v>39</v>
      </c>
      <c r="B594" s="486" t="s">
        <v>162</v>
      </c>
      <c r="C594" s="480" t="s">
        <v>2176</v>
      </c>
      <c r="D594" s="429" t="s">
        <v>3135</v>
      </c>
      <c r="E594" s="476" t="s">
        <v>2011</v>
      </c>
      <c r="F594" s="476"/>
      <c r="G594" s="476"/>
      <c r="H594" s="476" t="s">
        <v>43</v>
      </c>
      <c r="I594" s="476" t="s">
        <v>2855</v>
      </c>
      <c r="J594" s="476" t="s">
        <v>45</v>
      </c>
      <c r="K594" s="476" t="s">
        <v>45</v>
      </c>
      <c r="L594" s="476" t="s">
        <v>45</v>
      </c>
      <c r="M594" s="476" t="s">
        <v>46</v>
      </c>
      <c r="N594" s="476">
        <v>25.480989999999998</v>
      </c>
      <c r="O594" s="476">
        <v>97.431079999999994</v>
      </c>
      <c r="P594" s="480" t="s">
        <v>770</v>
      </c>
      <c r="Q594" s="476" t="s">
        <v>1988</v>
      </c>
      <c r="R594" s="482">
        <v>175</v>
      </c>
      <c r="S594" s="482">
        <v>838</v>
      </c>
      <c r="T594" s="502">
        <v>43276</v>
      </c>
      <c r="U594" s="484" t="s">
        <v>2037</v>
      </c>
      <c r="V594" s="476"/>
      <c r="W594" s="394" t="s">
        <v>2326</v>
      </c>
    </row>
    <row r="595" spans="1:23" s="69" customFormat="1" ht="14.25" customHeight="1">
      <c r="A595" s="487" t="s">
        <v>39</v>
      </c>
      <c r="B595" s="486" t="s">
        <v>162</v>
      </c>
      <c r="C595" s="480" t="s">
        <v>1994</v>
      </c>
      <c r="D595" s="481"/>
      <c r="E595" s="476"/>
      <c r="F595" s="476"/>
      <c r="G595" s="476"/>
      <c r="H595" s="476"/>
      <c r="I595" s="476"/>
      <c r="J595" s="476" t="s">
        <v>1476</v>
      </c>
      <c r="K595" s="476" t="s">
        <v>45</v>
      </c>
      <c r="L595" s="476" t="s">
        <v>45</v>
      </c>
      <c r="M595" s="476" t="s">
        <v>46</v>
      </c>
      <c r="N595" s="476"/>
      <c r="O595" s="476"/>
      <c r="P595" s="476" t="s">
        <v>770</v>
      </c>
      <c r="Q595" s="476" t="s">
        <v>1988</v>
      </c>
      <c r="R595" s="490"/>
      <c r="S595" s="483"/>
      <c r="T595" s="502">
        <v>43270</v>
      </c>
      <c r="U595" s="484"/>
      <c r="V595" s="476"/>
      <c r="W595" s="476"/>
    </row>
    <row r="596" spans="1:23" s="69" customFormat="1" ht="14.25" customHeight="1">
      <c r="A596" s="476" t="s">
        <v>39</v>
      </c>
      <c r="B596" s="480" t="s">
        <v>162</v>
      </c>
      <c r="C596" s="480" t="s">
        <v>1056</v>
      </c>
      <c r="D596" s="429" t="s">
        <v>1686</v>
      </c>
      <c r="E596" s="476" t="s">
        <v>1567</v>
      </c>
      <c r="F596" s="476" t="s">
        <v>1746</v>
      </c>
      <c r="G596" s="476" t="s">
        <v>1747</v>
      </c>
      <c r="H596" s="476" t="s">
        <v>43</v>
      </c>
      <c r="I596" s="476" t="s">
        <v>245</v>
      </c>
      <c r="J596" s="476" t="s">
        <v>45</v>
      </c>
      <c r="K596" s="476" t="s">
        <v>45</v>
      </c>
      <c r="L596" s="476" t="s">
        <v>769</v>
      </c>
      <c r="M596" s="476" t="s">
        <v>46</v>
      </c>
      <c r="N596" s="476">
        <v>25.377038169999999</v>
      </c>
      <c r="O596" s="476">
        <v>97.403878500000005</v>
      </c>
      <c r="P596" s="476" t="s">
        <v>770</v>
      </c>
      <c r="Q596" s="476" t="s">
        <v>789</v>
      </c>
      <c r="R596" s="482"/>
      <c r="S596" s="483"/>
      <c r="T596" s="502">
        <v>42983</v>
      </c>
      <c r="U596" s="484" t="s">
        <v>1057</v>
      </c>
      <c r="V596" s="476" t="s">
        <v>1056</v>
      </c>
      <c r="W596" s="476" t="s">
        <v>2224</v>
      </c>
    </row>
    <row r="597" spans="1:23" s="69" customFormat="1" ht="14.25" customHeight="1">
      <c r="A597" s="476" t="s">
        <v>39</v>
      </c>
      <c r="B597" s="476" t="s">
        <v>176</v>
      </c>
      <c r="C597" s="476" t="s">
        <v>1109</v>
      </c>
      <c r="D597" s="429" t="s">
        <v>1685</v>
      </c>
      <c r="E597" s="476"/>
      <c r="F597" s="476"/>
      <c r="G597" s="476"/>
      <c r="H597" s="476"/>
      <c r="I597" s="476"/>
      <c r="J597" s="476" t="s">
        <v>45</v>
      </c>
      <c r="K597" s="476" t="s">
        <v>45</v>
      </c>
      <c r="L597" s="476" t="s">
        <v>1096</v>
      </c>
      <c r="M597" s="476" t="s">
        <v>46</v>
      </c>
      <c r="N597" s="476"/>
      <c r="O597" s="476"/>
      <c r="P597" s="476" t="s">
        <v>770</v>
      </c>
      <c r="Q597" s="476"/>
      <c r="R597" s="482"/>
      <c r="S597" s="483"/>
      <c r="T597" s="502"/>
      <c r="U597" s="484"/>
      <c r="V597" s="476" t="s">
        <v>1109</v>
      </c>
      <c r="W597" s="476"/>
    </row>
    <row r="598" spans="1:23" s="69" customFormat="1" ht="14.25" customHeight="1">
      <c r="A598" s="476" t="s">
        <v>39</v>
      </c>
      <c r="B598" s="476" t="s">
        <v>176</v>
      </c>
      <c r="C598" s="476" t="s">
        <v>1083</v>
      </c>
      <c r="D598" s="429" t="s">
        <v>3135</v>
      </c>
      <c r="E598" s="476" t="s">
        <v>1631</v>
      </c>
      <c r="F598" s="476" t="s">
        <v>1759</v>
      </c>
      <c r="G598" s="476" t="s">
        <v>1899</v>
      </c>
      <c r="H598" s="476"/>
      <c r="I598" s="480" t="s">
        <v>2181</v>
      </c>
      <c r="J598" s="476" t="s">
        <v>45</v>
      </c>
      <c r="K598" s="476" t="s">
        <v>45</v>
      </c>
      <c r="L598" s="476" t="s">
        <v>781</v>
      </c>
      <c r="M598" s="476" t="s">
        <v>46</v>
      </c>
      <c r="N598" s="476">
        <v>27.248964999999998</v>
      </c>
      <c r="O598" s="476">
        <v>97.561105999999995</v>
      </c>
      <c r="P598" s="476" t="s">
        <v>782</v>
      </c>
      <c r="Q598" s="476" t="s">
        <v>771</v>
      </c>
      <c r="R598" s="482">
        <v>10</v>
      </c>
      <c r="S598" s="482">
        <v>56</v>
      </c>
      <c r="T598" s="502"/>
      <c r="U598" s="484" t="s">
        <v>1084</v>
      </c>
      <c r="V598" s="476"/>
      <c r="W598" s="476"/>
    </row>
    <row r="599" spans="1:23" s="69" customFormat="1" ht="14.25" customHeight="1">
      <c r="A599" s="476" t="s">
        <v>39</v>
      </c>
      <c r="B599" s="476" t="s">
        <v>176</v>
      </c>
      <c r="C599" s="476" t="s">
        <v>177</v>
      </c>
      <c r="D599" s="429" t="s">
        <v>3135</v>
      </c>
      <c r="E599" s="476" t="s">
        <v>1635</v>
      </c>
      <c r="F599" s="476" t="s">
        <v>1874</v>
      </c>
      <c r="G599" s="476" t="s">
        <v>1875</v>
      </c>
      <c r="H599" s="476" t="s">
        <v>43</v>
      </c>
      <c r="I599" s="476" t="s">
        <v>2855</v>
      </c>
      <c r="J599" s="476" t="s">
        <v>45</v>
      </c>
      <c r="K599" s="476" t="s">
        <v>45</v>
      </c>
      <c r="L599" s="476" t="s">
        <v>45</v>
      </c>
      <c r="M599" s="476" t="s">
        <v>46</v>
      </c>
      <c r="N599" s="476">
        <v>27.337499999999999</v>
      </c>
      <c r="O599" s="476">
        <v>97.416121000000004</v>
      </c>
      <c r="P599" s="476" t="s">
        <v>770</v>
      </c>
      <c r="Q599" s="476" t="s">
        <v>789</v>
      </c>
      <c r="R599" s="482">
        <v>61</v>
      </c>
      <c r="S599" s="482">
        <v>293</v>
      </c>
      <c r="T599" s="502"/>
      <c r="U599" s="484"/>
      <c r="V599" s="476" t="s">
        <v>1091</v>
      </c>
      <c r="W599" s="476"/>
    </row>
    <row r="600" spans="1:23" s="69" customFormat="1" ht="14.25" customHeight="1">
      <c r="A600" s="476" t="s">
        <v>39</v>
      </c>
      <c r="B600" s="476" t="s">
        <v>176</v>
      </c>
      <c r="C600" s="476" t="s">
        <v>1085</v>
      </c>
      <c r="D600" s="429" t="s">
        <v>1686</v>
      </c>
      <c r="E600" s="476" t="s">
        <v>1632</v>
      </c>
      <c r="F600" s="476" t="s">
        <v>1759</v>
      </c>
      <c r="G600" s="476" t="s">
        <v>1760</v>
      </c>
      <c r="H600" s="476"/>
      <c r="I600" s="476">
        <v>0</v>
      </c>
      <c r="J600" s="476" t="s">
        <v>45</v>
      </c>
      <c r="K600" s="476" t="s">
        <v>45</v>
      </c>
      <c r="L600" s="476" t="s">
        <v>769</v>
      </c>
      <c r="M600" s="476" t="s">
        <v>46</v>
      </c>
      <c r="N600" s="476">
        <v>27.270199999999999</v>
      </c>
      <c r="O600" s="476">
        <v>97.58184</v>
      </c>
      <c r="P600" s="476" t="s">
        <v>770</v>
      </c>
      <c r="Q600" s="476"/>
      <c r="R600" s="482"/>
      <c r="S600" s="483"/>
      <c r="T600" s="502"/>
      <c r="U600" s="484"/>
      <c r="V600" s="476" t="s">
        <v>1085</v>
      </c>
      <c r="W600" s="394" t="s">
        <v>2225</v>
      </c>
    </row>
    <row r="601" spans="1:23" s="69" customFormat="1" ht="14.25" customHeight="1">
      <c r="A601" s="476" t="s">
        <v>39</v>
      </c>
      <c r="B601" s="476" t="s">
        <v>176</v>
      </c>
      <c r="C601" s="476" t="s">
        <v>1134</v>
      </c>
      <c r="D601" s="429" t="s">
        <v>1685</v>
      </c>
      <c r="E601" s="476"/>
      <c r="F601" s="476"/>
      <c r="G601" s="476"/>
      <c r="H601" s="476"/>
      <c r="I601" s="476"/>
      <c r="J601" s="476" t="s">
        <v>45</v>
      </c>
      <c r="K601" s="476" t="s">
        <v>45</v>
      </c>
      <c r="L601" s="476" t="s">
        <v>1096</v>
      </c>
      <c r="M601" s="476" t="s">
        <v>46</v>
      </c>
      <c r="N601" s="476"/>
      <c r="O601" s="476"/>
      <c r="P601" s="476" t="s">
        <v>770</v>
      </c>
      <c r="Q601" s="476"/>
      <c r="R601" s="482"/>
      <c r="S601" s="483"/>
      <c r="T601" s="502"/>
      <c r="U601" s="484"/>
      <c r="V601" s="476" t="s">
        <v>1134</v>
      </c>
      <c r="W601" s="476"/>
    </row>
    <row r="602" spans="1:23" s="69" customFormat="1" ht="14.25" customHeight="1">
      <c r="A602" s="476" t="s">
        <v>39</v>
      </c>
      <c r="B602" s="480" t="s">
        <v>176</v>
      </c>
      <c r="C602" s="480" t="s">
        <v>1089</v>
      </c>
      <c r="D602" s="429" t="s">
        <v>3135</v>
      </c>
      <c r="E602" s="476" t="s">
        <v>1634</v>
      </c>
      <c r="F602" s="476" t="s">
        <v>1874</v>
      </c>
      <c r="G602" s="476" t="s">
        <v>1900</v>
      </c>
      <c r="H602" s="476"/>
      <c r="I602" s="480" t="s">
        <v>2181</v>
      </c>
      <c r="J602" s="476" t="s">
        <v>45</v>
      </c>
      <c r="K602" s="476" t="s">
        <v>45</v>
      </c>
      <c r="L602" s="476" t="s">
        <v>781</v>
      </c>
      <c r="M602" s="476" t="s">
        <v>46</v>
      </c>
      <c r="N602" s="476">
        <v>27.311699999999998</v>
      </c>
      <c r="O602" s="476">
        <v>97.415289999999999</v>
      </c>
      <c r="P602" s="476" t="s">
        <v>782</v>
      </c>
      <c r="Q602" s="476" t="s">
        <v>771</v>
      </c>
      <c r="R602" s="482">
        <v>17</v>
      </c>
      <c r="S602" s="482">
        <v>92</v>
      </c>
      <c r="T602" s="502"/>
      <c r="U602" s="484" t="s">
        <v>1090</v>
      </c>
      <c r="V602" s="476" t="s">
        <v>1089</v>
      </c>
      <c r="W602" s="476"/>
    </row>
    <row r="603" spans="1:23" s="69" customFormat="1" ht="14.25" customHeight="1">
      <c r="A603" s="483" t="s">
        <v>39</v>
      </c>
      <c r="B603" s="486" t="s">
        <v>217</v>
      </c>
      <c r="C603" s="487" t="s">
        <v>2078</v>
      </c>
      <c r="D603" s="481"/>
      <c r="E603" s="476"/>
      <c r="F603" s="476"/>
      <c r="G603" s="476"/>
      <c r="H603" s="476"/>
      <c r="I603" s="476"/>
      <c r="J603" s="476" t="s">
        <v>1476</v>
      </c>
      <c r="K603" s="480" t="s">
        <v>45</v>
      </c>
      <c r="L603" s="480" t="s">
        <v>785</v>
      </c>
      <c r="M603" s="476" t="s">
        <v>787</v>
      </c>
      <c r="N603" s="476"/>
      <c r="O603" s="476"/>
      <c r="P603" s="476" t="s">
        <v>770</v>
      </c>
      <c r="Q603" s="476"/>
      <c r="R603" s="490"/>
      <c r="S603" s="483"/>
      <c r="T603" s="502">
        <v>43298</v>
      </c>
      <c r="U603" s="484"/>
      <c r="V603" s="476"/>
      <c r="W603" s="476"/>
    </row>
    <row r="604" spans="1:23" s="69" customFormat="1" ht="14.25" customHeight="1">
      <c r="A604" s="487" t="s">
        <v>39</v>
      </c>
      <c r="B604" s="486" t="s">
        <v>217</v>
      </c>
      <c r="C604" s="403" t="s">
        <v>2070</v>
      </c>
      <c r="D604" s="429" t="s">
        <v>3135</v>
      </c>
      <c r="E604" s="476" t="s">
        <v>3030</v>
      </c>
      <c r="F604" s="476"/>
      <c r="G604" s="476"/>
      <c r="H604" s="476"/>
      <c r="I604" s="476" t="s">
        <v>2181</v>
      </c>
      <c r="J604" s="476" t="s">
        <v>45</v>
      </c>
      <c r="K604" s="480" t="s">
        <v>45</v>
      </c>
      <c r="L604" s="480" t="s">
        <v>785</v>
      </c>
      <c r="M604" s="476" t="s">
        <v>787</v>
      </c>
      <c r="N604" s="476"/>
      <c r="O604" s="476"/>
      <c r="P604" s="476" t="s">
        <v>770</v>
      </c>
      <c r="Q604" s="476"/>
      <c r="R604" s="482">
        <v>361</v>
      </c>
      <c r="S604" s="482">
        <v>1397</v>
      </c>
      <c r="T604" s="502">
        <v>43628</v>
      </c>
      <c r="U604" s="484"/>
      <c r="V604" s="476"/>
      <c r="W604" s="476" t="s">
        <v>3031</v>
      </c>
    </row>
    <row r="605" spans="1:23" s="69" customFormat="1" ht="14.25" customHeight="1">
      <c r="A605" s="476" t="s">
        <v>39</v>
      </c>
      <c r="B605" s="480" t="s">
        <v>217</v>
      </c>
      <c r="C605" s="480" t="s">
        <v>218</v>
      </c>
      <c r="D605" s="429" t="s">
        <v>3135</v>
      </c>
      <c r="E605" s="476" t="s">
        <v>1489</v>
      </c>
      <c r="F605" s="476" t="s">
        <v>1803</v>
      </c>
      <c r="G605" s="476" t="s">
        <v>1803</v>
      </c>
      <c r="H605" s="476" t="s">
        <v>43</v>
      </c>
      <c r="I605" s="476" t="s">
        <v>2854</v>
      </c>
      <c r="J605" s="476" t="s">
        <v>45</v>
      </c>
      <c r="K605" s="476" t="s">
        <v>45</v>
      </c>
      <c r="L605" s="476" t="s">
        <v>45</v>
      </c>
      <c r="M605" s="476" t="s">
        <v>46</v>
      </c>
      <c r="N605" s="476">
        <v>24.200361000000001</v>
      </c>
      <c r="O605" s="476">
        <v>96.807353000000006</v>
      </c>
      <c r="P605" s="476" t="s">
        <v>770</v>
      </c>
      <c r="Q605" s="476" t="s">
        <v>789</v>
      </c>
      <c r="R605" s="482">
        <v>50</v>
      </c>
      <c r="S605" s="482">
        <v>283</v>
      </c>
      <c r="T605" s="502"/>
      <c r="U605" s="484"/>
      <c r="V605" s="476" t="s">
        <v>218</v>
      </c>
      <c r="W605" s="476"/>
    </row>
    <row r="606" spans="1:23" s="69" customFormat="1" ht="14.25" customHeight="1">
      <c r="A606" s="476" t="s">
        <v>39</v>
      </c>
      <c r="B606" s="480" t="s">
        <v>217</v>
      </c>
      <c r="C606" s="480" t="s">
        <v>219</v>
      </c>
      <c r="D606" s="429" t="s">
        <v>3135</v>
      </c>
      <c r="E606" s="476" t="s">
        <v>1490</v>
      </c>
      <c r="F606" s="476" t="s">
        <v>1803</v>
      </c>
      <c r="G606" s="476" t="s">
        <v>1803</v>
      </c>
      <c r="H606" s="476" t="s">
        <v>43</v>
      </c>
      <c r="I606" s="476" t="s">
        <v>44</v>
      </c>
      <c r="J606" s="476" t="s">
        <v>45</v>
      </c>
      <c r="K606" s="476" t="s">
        <v>45</v>
      </c>
      <c r="L606" s="476" t="s">
        <v>45</v>
      </c>
      <c r="M606" s="476" t="s">
        <v>46</v>
      </c>
      <c r="N606" s="476">
        <v>24.200367</v>
      </c>
      <c r="O606" s="476">
        <v>96.807353000000006</v>
      </c>
      <c r="P606" s="476" t="s">
        <v>770</v>
      </c>
      <c r="Q606" s="476" t="s">
        <v>789</v>
      </c>
      <c r="R606" s="482">
        <v>46</v>
      </c>
      <c r="S606" s="482">
        <v>192</v>
      </c>
      <c r="T606" s="502"/>
      <c r="U606" s="484"/>
      <c r="V606" s="476" t="s">
        <v>219</v>
      </c>
      <c r="W606" s="476"/>
    </row>
    <row r="607" spans="1:23" s="69" customFormat="1" ht="14.25" customHeight="1">
      <c r="A607" s="476" t="s">
        <v>39</v>
      </c>
      <c r="B607" s="480" t="s">
        <v>217</v>
      </c>
      <c r="C607" s="480" t="s">
        <v>1147</v>
      </c>
      <c r="D607" s="429" t="s">
        <v>3160</v>
      </c>
      <c r="E607" s="476"/>
      <c r="F607" s="476"/>
      <c r="G607" s="476"/>
      <c r="H607" s="476"/>
      <c r="I607" s="476"/>
      <c r="J607" s="476" t="s">
        <v>1096</v>
      </c>
      <c r="K607" s="476" t="s">
        <v>45</v>
      </c>
      <c r="L607" s="476" t="s">
        <v>45</v>
      </c>
      <c r="M607" s="476" t="s">
        <v>46</v>
      </c>
      <c r="N607" s="476"/>
      <c r="O607" s="476"/>
      <c r="P607" s="476" t="s">
        <v>770</v>
      </c>
      <c r="Q607" s="476"/>
      <c r="R607" s="482"/>
      <c r="S607" s="483"/>
      <c r="T607" s="502"/>
      <c r="U607" s="484"/>
      <c r="V607" s="476" t="s">
        <v>1147</v>
      </c>
      <c r="W607" s="476"/>
    </row>
    <row r="608" spans="1:23" s="69" customFormat="1" ht="14.25" customHeight="1">
      <c r="A608" s="476" t="s">
        <v>39</v>
      </c>
      <c r="B608" s="480" t="s">
        <v>217</v>
      </c>
      <c r="C608" s="480" t="s">
        <v>1011</v>
      </c>
      <c r="D608" s="429" t="s">
        <v>3160</v>
      </c>
      <c r="E608" s="476" t="s">
        <v>1498</v>
      </c>
      <c r="F608" s="476"/>
      <c r="G608" s="476"/>
      <c r="H608" s="476"/>
      <c r="I608" s="476">
        <v>0</v>
      </c>
      <c r="J608" s="476" t="s">
        <v>45</v>
      </c>
      <c r="K608" s="476" t="s">
        <v>45</v>
      </c>
      <c r="L608" s="476" t="s">
        <v>45</v>
      </c>
      <c r="M608" s="476" t="s">
        <v>46</v>
      </c>
      <c r="N608" s="476">
        <v>24.224830999999998</v>
      </c>
      <c r="O608" s="476">
        <v>96.793177</v>
      </c>
      <c r="P608" s="476" t="s">
        <v>770</v>
      </c>
      <c r="Q608" s="476" t="s">
        <v>771</v>
      </c>
      <c r="R608" s="482"/>
      <c r="S608" s="483"/>
      <c r="T608" s="502">
        <v>42983</v>
      </c>
      <c r="U608" s="484" t="s">
        <v>1012</v>
      </c>
      <c r="V608" s="476"/>
      <c r="W608" s="476" t="s">
        <v>2226</v>
      </c>
    </row>
    <row r="609" spans="1:23" s="69" customFormat="1" ht="14.25" customHeight="1">
      <c r="A609" s="483" t="s">
        <v>39</v>
      </c>
      <c r="B609" s="486" t="s">
        <v>217</v>
      </c>
      <c r="C609" s="487" t="s">
        <v>2077</v>
      </c>
      <c r="D609" s="481"/>
      <c r="E609" s="476"/>
      <c r="F609" s="476"/>
      <c r="G609" s="476"/>
      <c r="H609" s="476"/>
      <c r="I609" s="476"/>
      <c r="J609" s="476" t="s">
        <v>1476</v>
      </c>
      <c r="K609" s="480" t="s">
        <v>45</v>
      </c>
      <c r="L609" s="480" t="s">
        <v>785</v>
      </c>
      <c r="M609" s="476" t="s">
        <v>787</v>
      </c>
      <c r="N609" s="476"/>
      <c r="O609" s="476"/>
      <c r="P609" s="476" t="s">
        <v>770</v>
      </c>
      <c r="Q609" s="476"/>
      <c r="R609" s="490"/>
      <c r="S609" s="483"/>
      <c r="T609" s="502">
        <v>43298</v>
      </c>
      <c r="U609" s="484"/>
      <c r="V609" s="476"/>
      <c r="W609" s="476"/>
    </row>
    <row r="610" spans="1:23" s="69" customFormat="1" ht="14.25" customHeight="1">
      <c r="A610" s="483" t="s">
        <v>39</v>
      </c>
      <c r="B610" s="486" t="s">
        <v>217</v>
      </c>
      <c r="C610" s="487" t="s">
        <v>2075</v>
      </c>
      <c r="D610" s="481"/>
      <c r="E610" s="476"/>
      <c r="F610" s="476"/>
      <c r="G610" s="476"/>
      <c r="H610" s="476"/>
      <c r="I610" s="476"/>
      <c r="J610" s="476" t="s">
        <v>1476</v>
      </c>
      <c r="K610" s="480" t="s">
        <v>45</v>
      </c>
      <c r="L610" s="480" t="s">
        <v>785</v>
      </c>
      <c r="M610" s="476" t="s">
        <v>787</v>
      </c>
      <c r="N610" s="476"/>
      <c r="O610" s="476"/>
      <c r="P610" s="476" t="s">
        <v>770</v>
      </c>
      <c r="Q610" s="476"/>
      <c r="R610" s="490"/>
      <c r="S610" s="483"/>
      <c r="T610" s="502">
        <v>43298</v>
      </c>
      <c r="U610" s="484"/>
      <c r="V610" s="476"/>
      <c r="W610" s="476"/>
    </row>
    <row r="611" spans="1:23" s="69" customFormat="1" ht="14.25" customHeight="1">
      <c r="A611" s="476" t="s">
        <v>39</v>
      </c>
      <c r="B611" s="476" t="s">
        <v>187</v>
      </c>
      <c r="C611" s="428" t="s">
        <v>2852</v>
      </c>
      <c r="D611" s="429" t="s">
        <v>3135</v>
      </c>
      <c r="E611" s="476" t="s">
        <v>2853</v>
      </c>
      <c r="F611" s="476">
        <v>0</v>
      </c>
      <c r="G611" s="476">
        <v>0</v>
      </c>
      <c r="H611" s="476"/>
      <c r="I611" s="480" t="s">
        <v>2181</v>
      </c>
      <c r="J611" s="476" t="s">
        <v>45</v>
      </c>
      <c r="K611" s="476" t="s">
        <v>45</v>
      </c>
      <c r="L611" s="427" t="s">
        <v>785</v>
      </c>
      <c r="M611" s="476" t="s">
        <v>46</v>
      </c>
      <c r="N611" s="476">
        <v>26.299828999999999</v>
      </c>
      <c r="O611" s="476">
        <v>97.487258999999995</v>
      </c>
      <c r="P611" s="17" t="s">
        <v>770</v>
      </c>
      <c r="Q611" s="476" t="s">
        <v>2803</v>
      </c>
      <c r="R611" s="482">
        <v>29</v>
      </c>
      <c r="S611" s="482">
        <v>140</v>
      </c>
      <c r="T611" s="502">
        <v>43579</v>
      </c>
      <c r="U611" s="484"/>
      <c r="V611" s="476"/>
      <c r="W611" s="476"/>
    </row>
    <row r="612" spans="1:23" s="69" customFormat="1" ht="14.25" customHeight="1">
      <c r="A612" s="476" t="s">
        <v>39</v>
      </c>
      <c r="B612" s="476" t="s">
        <v>187</v>
      </c>
      <c r="C612" s="476" t="s">
        <v>188</v>
      </c>
      <c r="D612" s="429" t="s">
        <v>3135</v>
      </c>
      <c r="E612" s="476" t="s">
        <v>1629</v>
      </c>
      <c r="F612" s="476">
        <v>0</v>
      </c>
      <c r="G612" s="476">
        <v>0</v>
      </c>
      <c r="H612" s="476" t="s">
        <v>43</v>
      </c>
      <c r="I612" s="476" t="s">
        <v>2855</v>
      </c>
      <c r="J612" s="476" t="s">
        <v>45</v>
      </c>
      <c r="K612" s="476" t="s">
        <v>45</v>
      </c>
      <c r="L612" s="476" t="s">
        <v>45</v>
      </c>
      <c r="M612" s="476" t="s">
        <v>787</v>
      </c>
      <c r="N612" s="476">
        <v>26.569633</v>
      </c>
      <c r="O612" s="476">
        <v>97.745480999999998</v>
      </c>
      <c r="P612" s="17" t="s">
        <v>770</v>
      </c>
      <c r="Q612" s="476" t="s">
        <v>771</v>
      </c>
      <c r="R612" s="482">
        <v>111</v>
      </c>
      <c r="S612" s="482">
        <v>563</v>
      </c>
      <c r="T612" s="502"/>
      <c r="U612" s="484"/>
      <c r="V612" s="476" t="s">
        <v>1080</v>
      </c>
      <c r="W612" s="476"/>
    </row>
    <row r="613" spans="1:23" s="69" customFormat="1" ht="14.25" customHeight="1">
      <c r="A613" s="476" t="s">
        <v>39</v>
      </c>
      <c r="B613" s="476" t="s">
        <v>187</v>
      </c>
      <c r="C613" s="476" t="s">
        <v>1133</v>
      </c>
      <c r="D613" s="429" t="s">
        <v>1685</v>
      </c>
      <c r="E613" s="476"/>
      <c r="F613" s="476"/>
      <c r="G613" s="476"/>
      <c r="H613" s="476"/>
      <c r="I613" s="476"/>
      <c r="J613" s="476" t="s">
        <v>45</v>
      </c>
      <c r="K613" s="476" t="s">
        <v>45</v>
      </c>
      <c r="L613" s="476" t="s">
        <v>1096</v>
      </c>
      <c r="M613" s="476" t="s">
        <v>46</v>
      </c>
      <c r="N613" s="476"/>
      <c r="O613" s="476"/>
      <c r="P613" s="476" t="s">
        <v>770</v>
      </c>
      <c r="Q613" s="476"/>
      <c r="R613" s="482"/>
      <c r="S613" s="483"/>
      <c r="T613" s="502"/>
      <c r="U613" s="484"/>
      <c r="V613" s="476" t="s">
        <v>1133</v>
      </c>
      <c r="W613" s="476"/>
    </row>
    <row r="614" spans="1:23" s="69" customFormat="1" ht="14.25" customHeight="1">
      <c r="A614" s="476" t="s">
        <v>39</v>
      </c>
      <c r="B614" s="480" t="s">
        <v>187</v>
      </c>
      <c r="C614" s="480" t="s">
        <v>190</v>
      </c>
      <c r="D614" s="429" t="s">
        <v>3135</v>
      </c>
      <c r="E614" s="476" t="s">
        <v>1628</v>
      </c>
      <c r="F614" s="476">
        <v>0</v>
      </c>
      <c r="G614" s="476">
        <v>0</v>
      </c>
      <c r="H614" s="476" t="s">
        <v>43</v>
      </c>
      <c r="I614" s="476" t="s">
        <v>2855</v>
      </c>
      <c r="J614" s="476" t="s">
        <v>45</v>
      </c>
      <c r="K614" s="476" t="s">
        <v>45</v>
      </c>
      <c r="L614" s="476" t="s">
        <v>45</v>
      </c>
      <c r="M614" s="476" t="s">
        <v>787</v>
      </c>
      <c r="N614" s="476">
        <v>26.548506</v>
      </c>
      <c r="O614" s="476">
        <v>97.75609</v>
      </c>
      <c r="P614" s="17" t="s">
        <v>770</v>
      </c>
      <c r="Q614" s="476" t="s">
        <v>771</v>
      </c>
      <c r="R614" s="482">
        <v>67</v>
      </c>
      <c r="S614" s="482">
        <v>311</v>
      </c>
      <c r="T614" s="502">
        <v>42788</v>
      </c>
      <c r="U614" s="484"/>
      <c r="V614" s="476"/>
      <c r="W614" s="476"/>
    </row>
    <row r="615" spans="1:23" s="69" customFormat="1" ht="14.25" customHeight="1">
      <c r="A615" s="480" t="s">
        <v>39</v>
      </c>
      <c r="B615" s="480" t="s">
        <v>187</v>
      </c>
      <c r="C615" s="480" t="s">
        <v>187</v>
      </c>
      <c r="D615" s="429" t="s">
        <v>3135</v>
      </c>
      <c r="E615" s="476" t="s">
        <v>1627</v>
      </c>
      <c r="F615" s="476" t="s">
        <v>1898</v>
      </c>
      <c r="G615" s="476">
        <v>0</v>
      </c>
      <c r="H615" s="476"/>
      <c r="I615" s="480" t="s">
        <v>2181</v>
      </c>
      <c r="J615" s="476" t="s">
        <v>45</v>
      </c>
      <c r="K615" s="476" t="s">
        <v>45</v>
      </c>
      <c r="L615" s="476" t="s">
        <v>785</v>
      </c>
      <c r="M615" s="476" t="s">
        <v>46</v>
      </c>
      <c r="N615" s="476">
        <v>26.541930000000001</v>
      </c>
      <c r="O615" s="476">
        <v>97.568836000000005</v>
      </c>
      <c r="P615" s="476" t="s">
        <v>770</v>
      </c>
      <c r="Q615" s="476" t="s">
        <v>771</v>
      </c>
      <c r="R615" s="482">
        <v>5</v>
      </c>
      <c r="S615" s="482">
        <v>32</v>
      </c>
      <c r="T615" s="502"/>
      <c r="U615" s="484" t="s">
        <v>1079</v>
      </c>
      <c r="V615" s="476" t="s">
        <v>187</v>
      </c>
      <c r="W615" s="476"/>
    </row>
    <row r="616" spans="1:23" s="69" customFormat="1" ht="14.25" customHeight="1">
      <c r="A616" s="480" t="s">
        <v>39</v>
      </c>
      <c r="B616" s="480" t="s">
        <v>187</v>
      </c>
      <c r="C616" s="480" t="s">
        <v>1161</v>
      </c>
      <c r="D616" s="429" t="s">
        <v>3160</v>
      </c>
      <c r="E616" s="480"/>
      <c r="F616" s="476"/>
      <c r="G616" s="476"/>
      <c r="H616" s="480"/>
      <c r="I616" s="480"/>
      <c r="J616" s="480" t="s">
        <v>1476</v>
      </c>
      <c r="K616" s="480" t="s">
        <v>45</v>
      </c>
      <c r="L616" s="476" t="s">
        <v>45</v>
      </c>
      <c r="M616" s="480" t="s">
        <v>46</v>
      </c>
      <c r="N616" s="480"/>
      <c r="O616" s="480"/>
      <c r="P616" s="476" t="s">
        <v>770</v>
      </c>
      <c r="Q616" s="480" t="s">
        <v>771</v>
      </c>
      <c r="R616" s="486"/>
      <c r="S616" s="487"/>
      <c r="T616" s="503">
        <v>42788</v>
      </c>
      <c r="U616" s="488"/>
      <c r="V616" s="476"/>
      <c r="W616" s="476"/>
    </row>
    <row r="617" spans="1:23" s="69" customFormat="1" ht="14.25" customHeight="1">
      <c r="A617" s="487" t="s">
        <v>39</v>
      </c>
      <c r="B617" s="486" t="s">
        <v>1148</v>
      </c>
      <c r="C617" s="487" t="s">
        <v>2035</v>
      </c>
      <c r="D617" s="430"/>
      <c r="E617" s="480"/>
      <c r="F617" s="480"/>
      <c r="G617" s="480"/>
      <c r="H617" s="480"/>
      <c r="I617" s="480"/>
      <c r="J617" s="480" t="s">
        <v>1476</v>
      </c>
      <c r="K617" s="480" t="s">
        <v>45</v>
      </c>
      <c r="L617" s="480" t="s">
        <v>785</v>
      </c>
      <c r="M617" s="480"/>
      <c r="N617" s="480"/>
      <c r="O617" s="480"/>
      <c r="P617" s="476" t="s">
        <v>770</v>
      </c>
      <c r="Q617" s="480" t="s">
        <v>1988</v>
      </c>
      <c r="R617" s="491"/>
      <c r="S617" s="487"/>
      <c r="T617" s="503">
        <v>43285</v>
      </c>
      <c r="U617" s="488" t="s">
        <v>2040</v>
      </c>
      <c r="V617" s="480"/>
      <c r="W617" s="476"/>
    </row>
    <row r="618" spans="1:23" s="69" customFormat="1" ht="14.25" customHeight="1">
      <c r="A618" s="487" t="s">
        <v>39</v>
      </c>
      <c r="B618" s="486" t="s">
        <v>1148</v>
      </c>
      <c r="C618" s="487" t="s">
        <v>2036</v>
      </c>
      <c r="D618" s="481"/>
      <c r="E618" s="476"/>
      <c r="F618" s="476"/>
      <c r="G618" s="476"/>
      <c r="H618" s="476"/>
      <c r="I618" s="476"/>
      <c r="J618" s="476" t="s">
        <v>1476</v>
      </c>
      <c r="K618" s="480" t="s">
        <v>45</v>
      </c>
      <c r="L618" s="480" t="s">
        <v>785</v>
      </c>
      <c r="M618" s="476"/>
      <c r="N618" s="476"/>
      <c r="O618" s="476"/>
      <c r="P618" s="476" t="s">
        <v>770</v>
      </c>
      <c r="Q618" s="476" t="s">
        <v>1988</v>
      </c>
      <c r="R618" s="490"/>
      <c r="S618" s="483"/>
      <c r="T618" s="502">
        <v>43285</v>
      </c>
      <c r="U618" s="488" t="s">
        <v>2040</v>
      </c>
      <c r="V618" s="476"/>
      <c r="W618" s="476"/>
    </row>
    <row r="619" spans="1:23" s="69" customFormat="1" ht="14.25" customHeight="1">
      <c r="A619" s="476" t="s">
        <v>39</v>
      </c>
      <c r="B619" s="480" t="s">
        <v>1148</v>
      </c>
      <c r="C619" s="480" t="s">
        <v>2296</v>
      </c>
      <c r="D619" s="429" t="s">
        <v>3135</v>
      </c>
      <c r="E619" s="476" t="s">
        <v>1643</v>
      </c>
      <c r="F619" s="476" t="s">
        <v>1148</v>
      </c>
      <c r="G619" s="476">
        <v>0</v>
      </c>
      <c r="H619" s="476" t="s">
        <v>43</v>
      </c>
      <c r="I619" s="476" t="s">
        <v>1341</v>
      </c>
      <c r="J619" s="476" t="s">
        <v>45</v>
      </c>
      <c r="K619" s="476" t="s">
        <v>45</v>
      </c>
      <c r="L619" s="480" t="s">
        <v>45</v>
      </c>
      <c r="M619" s="476" t="s">
        <v>46</v>
      </c>
      <c r="N619" s="476">
        <v>26.350176000000001</v>
      </c>
      <c r="O619" s="476">
        <v>96.711387999999999</v>
      </c>
      <c r="P619" s="476" t="s">
        <v>770</v>
      </c>
      <c r="Q619" s="476" t="s">
        <v>935</v>
      </c>
      <c r="R619" s="482">
        <v>146</v>
      </c>
      <c r="S619" s="482">
        <v>697</v>
      </c>
      <c r="T619" s="502">
        <v>43444</v>
      </c>
      <c r="U619" s="186" t="s">
        <v>2295</v>
      </c>
      <c r="V619" s="476" t="s">
        <v>1152</v>
      </c>
      <c r="W619" s="394" t="s">
        <v>2295</v>
      </c>
    </row>
    <row r="620" spans="1:23" s="69" customFormat="1" ht="14.25" customHeight="1">
      <c r="A620" s="476" t="s">
        <v>39</v>
      </c>
      <c r="B620" s="480" t="s">
        <v>1148</v>
      </c>
      <c r="C620" s="480" t="s">
        <v>2025</v>
      </c>
      <c r="D620" s="429" t="s">
        <v>2298</v>
      </c>
      <c r="E620" s="476" t="s">
        <v>1640</v>
      </c>
      <c r="F620" s="476" t="s">
        <v>1148</v>
      </c>
      <c r="G620" s="476">
        <v>0</v>
      </c>
      <c r="H620" s="476"/>
      <c r="I620" s="476" t="s">
        <v>2181</v>
      </c>
      <c r="J620" s="476" t="s">
        <v>45</v>
      </c>
      <c r="K620" s="476" t="s">
        <v>45</v>
      </c>
      <c r="L620" s="476" t="s">
        <v>769</v>
      </c>
      <c r="M620" s="476" t="s">
        <v>46</v>
      </c>
      <c r="N620" s="476"/>
      <c r="O620" s="476"/>
      <c r="P620" s="476" t="s">
        <v>770</v>
      </c>
      <c r="Q620" s="476" t="s">
        <v>935</v>
      </c>
      <c r="R620" s="482"/>
      <c r="S620" s="482"/>
      <c r="T620" s="502">
        <v>43444</v>
      </c>
      <c r="U620" s="484" t="s">
        <v>2858</v>
      </c>
      <c r="V620" s="476"/>
      <c r="W620" s="476" t="s">
        <v>2297</v>
      </c>
    </row>
    <row r="621" spans="1:23" s="69" customFormat="1" ht="14.25" customHeight="1">
      <c r="A621" s="476" t="s">
        <v>39</v>
      </c>
      <c r="B621" s="480" t="s">
        <v>1148</v>
      </c>
      <c r="C621" s="480" t="s">
        <v>1150</v>
      </c>
      <c r="D621" s="429" t="s">
        <v>3135</v>
      </c>
      <c r="E621" s="476" t="s">
        <v>1641</v>
      </c>
      <c r="F621" s="476" t="s">
        <v>1148</v>
      </c>
      <c r="G621" s="476">
        <v>0</v>
      </c>
      <c r="H621" s="476" t="s">
        <v>43</v>
      </c>
      <c r="I621" s="476" t="s">
        <v>1341</v>
      </c>
      <c r="J621" s="476" t="s">
        <v>45</v>
      </c>
      <c r="K621" s="476" t="s">
        <v>45</v>
      </c>
      <c r="L621" s="480" t="s">
        <v>45</v>
      </c>
      <c r="M621" s="476" t="s">
        <v>46</v>
      </c>
      <c r="N621" s="476">
        <v>26.351690999999999</v>
      </c>
      <c r="O621" s="476">
        <v>96.690871999999999</v>
      </c>
      <c r="P621" s="476" t="s">
        <v>770</v>
      </c>
      <c r="Q621" s="476" t="s">
        <v>935</v>
      </c>
      <c r="R621" s="482">
        <v>34</v>
      </c>
      <c r="S621" s="482">
        <v>148</v>
      </c>
      <c r="T621" s="502">
        <v>42983</v>
      </c>
      <c r="U621" s="484" t="s">
        <v>1149</v>
      </c>
      <c r="V621" s="476"/>
      <c r="W621" s="394" t="s">
        <v>2327</v>
      </c>
    </row>
    <row r="622" spans="1:23" s="69" customFormat="1" ht="14.25" customHeight="1">
      <c r="A622" s="476" t="s">
        <v>39</v>
      </c>
      <c r="B622" s="480" t="s">
        <v>1148</v>
      </c>
      <c r="C622" s="480" t="s">
        <v>2177</v>
      </c>
      <c r="D622" s="429" t="s">
        <v>3135</v>
      </c>
      <c r="E622" s="476" t="s">
        <v>1642</v>
      </c>
      <c r="F622" s="476" t="s">
        <v>1148</v>
      </c>
      <c r="G622" s="476">
        <v>0</v>
      </c>
      <c r="H622" s="476" t="s">
        <v>43</v>
      </c>
      <c r="I622" s="476" t="s">
        <v>2855</v>
      </c>
      <c r="J622" s="476" t="s">
        <v>45</v>
      </c>
      <c r="K622" s="476" t="s">
        <v>45</v>
      </c>
      <c r="L622" s="476" t="s">
        <v>45</v>
      </c>
      <c r="M622" s="476" t="s">
        <v>46</v>
      </c>
      <c r="N622" s="476">
        <v>0</v>
      </c>
      <c r="O622" s="476">
        <v>0</v>
      </c>
      <c r="P622" s="476" t="s">
        <v>770</v>
      </c>
      <c r="Q622" s="476" t="s">
        <v>935</v>
      </c>
      <c r="R622" s="482">
        <v>97</v>
      </c>
      <c r="S622" s="482">
        <v>379</v>
      </c>
      <c r="T622" s="502">
        <v>42983</v>
      </c>
      <c r="U622" s="484" t="s">
        <v>1151</v>
      </c>
      <c r="V622" s="476"/>
      <c r="W622" s="394" t="s">
        <v>2328</v>
      </c>
    </row>
    <row r="623" spans="1:23" s="69" customFormat="1" ht="14.25" customHeight="1">
      <c r="A623" s="487" t="s">
        <v>39</v>
      </c>
      <c r="B623" s="486" t="s">
        <v>1148</v>
      </c>
      <c r="C623" s="480" t="s">
        <v>1997</v>
      </c>
      <c r="D623" s="481"/>
      <c r="E623" s="476"/>
      <c r="F623" s="476"/>
      <c r="G623" s="476"/>
      <c r="H623" s="476"/>
      <c r="I623" s="476"/>
      <c r="J623" s="476" t="s">
        <v>1476</v>
      </c>
      <c r="K623" s="476" t="s">
        <v>45</v>
      </c>
      <c r="L623" s="476" t="s">
        <v>45</v>
      </c>
      <c r="M623" s="476" t="s">
        <v>46</v>
      </c>
      <c r="N623" s="476"/>
      <c r="O623" s="476"/>
      <c r="P623" s="476" t="s">
        <v>770</v>
      </c>
      <c r="Q623" s="476" t="s">
        <v>1988</v>
      </c>
      <c r="R623" s="490"/>
      <c r="S623" s="483"/>
      <c r="T623" s="502">
        <v>43270</v>
      </c>
      <c r="U623" s="484"/>
      <c r="V623" s="476"/>
      <c r="W623" s="476"/>
    </row>
    <row r="624" spans="1:23" s="69" customFormat="1" ht="14.25" customHeight="1">
      <c r="A624" s="476" t="s">
        <v>39</v>
      </c>
      <c r="B624" s="476" t="s">
        <v>145</v>
      </c>
      <c r="C624" s="476" t="s">
        <v>239</v>
      </c>
      <c r="D624" s="429" t="s">
        <v>3135</v>
      </c>
      <c r="E624" s="476" t="s">
        <v>1542</v>
      </c>
      <c r="F624" s="476" t="s">
        <v>1832</v>
      </c>
      <c r="G624" s="476" t="s">
        <v>1830</v>
      </c>
      <c r="H624" s="476" t="s">
        <v>43</v>
      </c>
      <c r="I624" s="476" t="s">
        <v>1341</v>
      </c>
      <c r="J624" s="476" t="s">
        <v>45</v>
      </c>
      <c r="K624" s="476" t="s">
        <v>45</v>
      </c>
      <c r="L624" s="476" t="s">
        <v>45</v>
      </c>
      <c r="M624" s="476" t="s">
        <v>787</v>
      </c>
      <c r="N624" s="476">
        <v>25.220278</v>
      </c>
      <c r="O624" s="476">
        <v>97.915833000000006</v>
      </c>
      <c r="P624" s="476" t="s">
        <v>770</v>
      </c>
      <c r="Q624" s="476" t="s">
        <v>789</v>
      </c>
      <c r="R624" s="482">
        <v>120</v>
      </c>
      <c r="S624" s="482">
        <v>411</v>
      </c>
      <c r="T624" s="502"/>
      <c r="U624" s="484"/>
      <c r="V624" s="476" t="s">
        <v>239</v>
      </c>
      <c r="W624" s="476"/>
    </row>
    <row r="625" spans="1:23" s="69" customFormat="1" ht="14.25" customHeight="1">
      <c r="A625" s="476" t="s">
        <v>39</v>
      </c>
      <c r="B625" s="476" t="s">
        <v>145</v>
      </c>
      <c r="C625" s="476" t="s">
        <v>222</v>
      </c>
      <c r="D625" s="429"/>
      <c r="E625" s="476"/>
      <c r="F625" s="476"/>
      <c r="G625" s="476"/>
      <c r="H625" s="476"/>
      <c r="I625" s="476"/>
      <c r="J625" s="476" t="s">
        <v>1476</v>
      </c>
      <c r="K625" s="476" t="s">
        <v>45</v>
      </c>
      <c r="L625" s="476" t="s">
        <v>1036</v>
      </c>
      <c r="M625" s="476" t="s">
        <v>787</v>
      </c>
      <c r="N625" s="476"/>
      <c r="O625" s="476"/>
      <c r="P625" s="476" t="s">
        <v>770</v>
      </c>
      <c r="Q625" s="476" t="s">
        <v>789</v>
      </c>
      <c r="R625" s="482"/>
      <c r="S625" s="483"/>
      <c r="T625" s="502"/>
      <c r="U625" s="484" t="s">
        <v>1104</v>
      </c>
      <c r="V625" s="476" t="s">
        <v>222</v>
      </c>
      <c r="W625" s="476"/>
    </row>
    <row r="626" spans="1:23" s="69" customFormat="1" ht="14.25" customHeight="1">
      <c r="A626" s="476" t="s">
        <v>39</v>
      </c>
      <c r="B626" s="476" t="s">
        <v>145</v>
      </c>
      <c r="C626" s="476" t="s">
        <v>223</v>
      </c>
      <c r="D626" s="429"/>
      <c r="E626" s="476"/>
      <c r="F626" s="476"/>
      <c r="G626" s="476"/>
      <c r="H626" s="476"/>
      <c r="I626" s="476"/>
      <c r="J626" s="476" t="s">
        <v>1476</v>
      </c>
      <c r="K626" s="476" t="s">
        <v>45</v>
      </c>
      <c r="L626" s="476" t="s">
        <v>1036</v>
      </c>
      <c r="M626" s="476" t="s">
        <v>787</v>
      </c>
      <c r="N626" s="476"/>
      <c r="O626" s="476"/>
      <c r="P626" s="476" t="s">
        <v>770</v>
      </c>
      <c r="Q626" s="476" t="s">
        <v>789</v>
      </c>
      <c r="R626" s="482"/>
      <c r="S626" s="483"/>
      <c r="T626" s="502"/>
      <c r="U626" s="484" t="s">
        <v>1104</v>
      </c>
      <c r="V626" s="476" t="s">
        <v>223</v>
      </c>
      <c r="W626" s="476"/>
    </row>
    <row r="627" spans="1:23" s="69" customFormat="1" ht="14.25" customHeight="1">
      <c r="A627" s="476" t="s">
        <v>39</v>
      </c>
      <c r="B627" s="476" t="s">
        <v>145</v>
      </c>
      <c r="C627" s="476" t="s">
        <v>1052</v>
      </c>
      <c r="D627" s="429" t="s">
        <v>3135</v>
      </c>
      <c r="E627" s="476" t="s">
        <v>1549</v>
      </c>
      <c r="F627" s="476" t="s">
        <v>1896</v>
      </c>
      <c r="G627" s="476" t="s">
        <v>1897</v>
      </c>
      <c r="H627" s="476"/>
      <c r="I627" s="480" t="s">
        <v>2181</v>
      </c>
      <c r="J627" s="476" t="s">
        <v>45</v>
      </c>
      <c r="K627" s="476" t="s">
        <v>45</v>
      </c>
      <c r="L627" s="476" t="s">
        <v>785</v>
      </c>
      <c r="M627" s="476" t="s">
        <v>46</v>
      </c>
      <c r="N627" s="476">
        <v>25.305008999999998</v>
      </c>
      <c r="O627" s="476">
        <v>97.430321000000006</v>
      </c>
      <c r="P627" s="476" t="s">
        <v>770</v>
      </c>
      <c r="Q627" s="476" t="s">
        <v>811</v>
      </c>
      <c r="R627" s="482">
        <v>58</v>
      </c>
      <c r="S627" s="482">
        <v>325</v>
      </c>
      <c r="T627" s="502">
        <v>42916</v>
      </c>
      <c r="U627" s="484" t="s">
        <v>1053</v>
      </c>
      <c r="V627" s="476"/>
      <c r="W627" s="476"/>
    </row>
    <row r="628" spans="1:23" s="69" customFormat="1" ht="14.25" customHeight="1">
      <c r="A628" s="476" t="s">
        <v>39</v>
      </c>
      <c r="B628" s="476" t="s">
        <v>145</v>
      </c>
      <c r="C628" s="476" t="s">
        <v>271</v>
      </c>
      <c r="D628" s="429" t="s">
        <v>3135</v>
      </c>
      <c r="E628" s="476" t="s">
        <v>1551</v>
      </c>
      <c r="F628" s="476" t="s">
        <v>1837</v>
      </c>
      <c r="G628" s="476" t="s">
        <v>1837</v>
      </c>
      <c r="H628" s="476" t="s">
        <v>43</v>
      </c>
      <c r="I628" s="476" t="s">
        <v>245</v>
      </c>
      <c r="J628" s="476" t="s">
        <v>45</v>
      </c>
      <c r="K628" s="476" t="s">
        <v>45</v>
      </c>
      <c r="L628" s="476" t="s">
        <v>45</v>
      </c>
      <c r="M628" s="476" t="s">
        <v>46</v>
      </c>
      <c r="N628" s="476">
        <v>25.321710740740698</v>
      </c>
      <c r="O628" s="476">
        <v>97.404195925926004</v>
      </c>
      <c r="P628" s="476" t="s">
        <v>770</v>
      </c>
      <c r="Q628" s="476" t="s">
        <v>789</v>
      </c>
      <c r="R628" s="482">
        <v>88</v>
      </c>
      <c r="S628" s="482">
        <v>435</v>
      </c>
      <c r="T628" s="502"/>
      <c r="U628" s="484"/>
      <c r="V628" s="476" t="s">
        <v>271</v>
      </c>
      <c r="W628" s="476"/>
    </row>
    <row r="629" spans="1:23" s="69" customFormat="1" ht="14.25" customHeight="1">
      <c r="A629" s="476" t="s">
        <v>39</v>
      </c>
      <c r="B629" s="476" t="s">
        <v>145</v>
      </c>
      <c r="C629" s="476" t="s">
        <v>178</v>
      </c>
      <c r="D629" s="429" t="s">
        <v>3135</v>
      </c>
      <c r="E629" s="476" t="s">
        <v>1541</v>
      </c>
      <c r="F629" s="476" t="s">
        <v>1830</v>
      </c>
      <c r="G629" s="476" t="s">
        <v>1831</v>
      </c>
      <c r="H629" s="476" t="s">
        <v>43</v>
      </c>
      <c r="I629" s="476" t="s">
        <v>2855</v>
      </c>
      <c r="J629" s="476" t="s">
        <v>45</v>
      </c>
      <c r="K629" s="476" t="s">
        <v>45</v>
      </c>
      <c r="L629" s="476" t="s">
        <v>45</v>
      </c>
      <c r="M629" s="476" t="s">
        <v>787</v>
      </c>
      <c r="N629" s="476">
        <v>25.200333000000001</v>
      </c>
      <c r="O629" s="476">
        <v>97.807182999999995</v>
      </c>
      <c r="P629" s="476" t="s">
        <v>770</v>
      </c>
      <c r="Q629" s="476" t="s">
        <v>789</v>
      </c>
      <c r="R629" s="482">
        <v>135</v>
      </c>
      <c r="S629" s="482">
        <v>987</v>
      </c>
      <c r="T629" s="502"/>
      <c r="U629" s="484"/>
      <c r="V629" s="476" t="s">
        <v>178</v>
      </c>
      <c r="W629" s="476"/>
    </row>
    <row r="630" spans="1:23" s="69" customFormat="1" ht="14.25" customHeight="1">
      <c r="A630" s="476" t="s">
        <v>39</v>
      </c>
      <c r="B630" s="476" t="s">
        <v>145</v>
      </c>
      <c r="C630" s="476" t="s">
        <v>227</v>
      </c>
      <c r="D630" s="429" t="s">
        <v>3135</v>
      </c>
      <c r="E630" s="485" t="s">
        <v>1529</v>
      </c>
      <c r="F630" s="476" t="s">
        <v>1738</v>
      </c>
      <c r="G630" s="476">
        <v>0</v>
      </c>
      <c r="H630" s="476"/>
      <c r="I630" s="480" t="s">
        <v>2181</v>
      </c>
      <c r="J630" s="476" t="s">
        <v>45</v>
      </c>
      <c r="K630" s="476" t="s">
        <v>45</v>
      </c>
      <c r="L630" s="476" t="s">
        <v>1036</v>
      </c>
      <c r="M630" s="476" t="s">
        <v>787</v>
      </c>
      <c r="N630" s="476">
        <v>24.752471</v>
      </c>
      <c r="O630" s="476">
        <v>97.541793999999996</v>
      </c>
      <c r="P630" s="476" t="s">
        <v>770</v>
      </c>
      <c r="Q630" s="476" t="s">
        <v>771</v>
      </c>
      <c r="R630" s="482">
        <v>0</v>
      </c>
      <c r="S630" s="482">
        <v>456</v>
      </c>
      <c r="T630" s="502"/>
      <c r="U630" s="484"/>
      <c r="V630" s="476" t="s">
        <v>227</v>
      </c>
      <c r="W630" s="476"/>
    </row>
    <row r="631" spans="1:23" s="69" customFormat="1" ht="14.25" customHeight="1">
      <c r="A631" s="476" t="s">
        <v>39</v>
      </c>
      <c r="B631" s="476" t="s">
        <v>145</v>
      </c>
      <c r="C631" s="476" t="s">
        <v>1034</v>
      </c>
      <c r="D631" s="429" t="s">
        <v>1686</v>
      </c>
      <c r="E631" s="480" t="s">
        <v>1528</v>
      </c>
      <c r="F631" s="476" t="s">
        <v>1738</v>
      </c>
      <c r="G631" s="476" t="s">
        <v>1738</v>
      </c>
      <c r="H631" s="476" t="s">
        <v>43</v>
      </c>
      <c r="I631" s="476" t="s">
        <v>1341</v>
      </c>
      <c r="J631" s="476" t="s">
        <v>45</v>
      </c>
      <c r="K631" s="476" t="s">
        <v>45</v>
      </c>
      <c r="L631" s="476" t="s">
        <v>769</v>
      </c>
      <c r="M631" s="476" t="s">
        <v>787</v>
      </c>
      <c r="N631" s="476">
        <v>24.747212999999999</v>
      </c>
      <c r="O631" s="476">
        <v>97.551507000000001</v>
      </c>
      <c r="P631" s="476" t="s">
        <v>770</v>
      </c>
      <c r="Q631" s="476"/>
      <c r="R631" s="482"/>
      <c r="S631" s="483"/>
      <c r="T631" s="502"/>
      <c r="U631" s="484"/>
      <c r="V631" s="476" t="s">
        <v>1035</v>
      </c>
      <c r="W631" s="394" t="s">
        <v>2227</v>
      </c>
    </row>
    <row r="632" spans="1:23" s="69" customFormat="1" ht="14.25" customHeight="1">
      <c r="A632" s="476" t="s">
        <v>39</v>
      </c>
      <c r="B632" s="476" t="s">
        <v>145</v>
      </c>
      <c r="C632" s="476" t="s">
        <v>1048</v>
      </c>
      <c r="D632" s="429" t="s">
        <v>3160</v>
      </c>
      <c r="E632" s="476" t="s">
        <v>1540</v>
      </c>
      <c r="F632" s="476"/>
      <c r="G632" s="476"/>
      <c r="H632" s="476"/>
      <c r="I632" s="476"/>
      <c r="J632" s="476" t="s">
        <v>45</v>
      </c>
      <c r="K632" s="476" t="s">
        <v>45</v>
      </c>
      <c r="L632" s="476" t="s">
        <v>45</v>
      </c>
      <c r="M632" s="476" t="s">
        <v>787</v>
      </c>
      <c r="N632" s="476">
        <v>25.108011999999999</v>
      </c>
      <c r="O632" s="476">
        <v>97.718008999999995</v>
      </c>
      <c r="P632" s="476" t="s">
        <v>770</v>
      </c>
      <c r="Q632" s="476"/>
      <c r="R632" s="482"/>
      <c r="S632" s="483"/>
      <c r="T632" s="502"/>
      <c r="U632" s="484"/>
      <c r="V632" s="476" t="s">
        <v>1048</v>
      </c>
      <c r="W632" s="476"/>
    </row>
    <row r="633" spans="1:23" s="69" customFormat="1" ht="14.25" customHeight="1">
      <c r="A633" s="476" t="s">
        <v>39</v>
      </c>
      <c r="B633" s="476" t="s">
        <v>145</v>
      </c>
      <c r="C633" s="476" t="s">
        <v>179</v>
      </c>
      <c r="D633" s="429" t="s">
        <v>3135</v>
      </c>
      <c r="E633" s="476" t="s">
        <v>1561</v>
      </c>
      <c r="F633" s="476" t="s">
        <v>1842</v>
      </c>
      <c r="G633" s="476" t="s">
        <v>1843</v>
      </c>
      <c r="H633" s="476" t="s">
        <v>43</v>
      </c>
      <c r="I633" s="476" t="s">
        <v>2855</v>
      </c>
      <c r="J633" s="476" t="s">
        <v>45</v>
      </c>
      <c r="K633" s="476" t="s">
        <v>45</v>
      </c>
      <c r="L633" s="476" t="s">
        <v>45</v>
      </c>
      <c r="M633" s="476" t="s">
        <v>46</v>
      </c>
      <c r="N633" s="476">
        <v>25.356632000000001</v>
      </c>
      <c r="O633" s="476">
        <v>97.451965000000001</v>
      </c>
      <c r="P633" s="476" t="s">
        <v>770</v>
      </c>
      <c r="Q633" s="476" t="s">
        <v>789</v>
      </c>
      <c r="R633" s="482">
        <v>33</v>
      </c>
      <c r="S633" s="482">
        <v>200</v>
      </c>
      <c r="T633" s="502"/>
      <c r="U633" s="484"/>
      <c r="V633" s="476" t="s">
        <v>179</v>
      </c>
      <c r="W633" s="476"/>
    </row>
    <row r="634" spans="1:23" s="69" customFormat="1" ht="14.25" customHeight="1">
      <c r="A634" s="476" t="s">
        <v>39</v>
      </c>
      <c r="B634" s="476" t="s">
        <v>145</v>
      </c>
      <c r="C634" s="476" t="s">
        <v>180</v>
      </c>
      <c r="D634" s="429" t="s">
        <v>3135</v>
      </c>
      <c r="E634" s="476" t="s">
        <v>1535</v>
      </c>
      <c r="F634" s="476" t="s">
        <v>1827</v>
      </c>
      <c r="G634" s="476" t="s">
        <v>1829</v>
      </c>
      <c r="H634" s="476" t="s">
        <v>43</v>
      </c>
      <c r="I634" s="476" t="s">
        <v>1341</v>
      </c>
      <c r="J634" s="476" t="s">
        <v>45</v>
      </c>
      <c r="K634" s="476" t="s">
        <v>977</v>
      </c>
      <c r="L634" s="476" t="s">
        <v>45</v>
      </c>
      <c r="M634" s="476" t="s">
        <v>787</v>
      </c>
      <c r="N634" s="476">
        <v>24.980250000000002</v>
      </c>
      <c r="O634" s="476">
        <v>97.715230000000005</v>
      </c>
      <c r="P634" s="17" t="s">
        <v>770</v>
      </c>
      <c r="Q634" s="476" t="s">
        <v>789</v>
      </c>
      <c r="R634" s="482">
        <v>408</v>
      </c>
      <c r="S634" s="482">
        <v>1707</v>
      </c>
      <c r="T634" s="502"/>
      <c r="U634" s="484" t="s">
        <v>1041</v>
      </c>
      <c r="V634" s="476" t="s">
        <v>180</v>
      </c>
      <c r="W634" s="476"/>
    </row>
    <row r="635" spans="1:23" s="69" customFormat="1" ht="14.25" customHeight="1">
      <c r="A635" s="476" t="s">
        <v>39</v>
      </c>
      <c r="B635" s="476" t="s">
        <v>145</v>
      </c>
      <c r="C635" s="476" t="s">
        <v>272</v>
      </c>
      <c r="D635" s="429" t="s">
        <v>3135</v>
      </c>
      <c r="E635" s="480" t="s">
        <v>1587</v>
      </c>
      <c r="F635" s="476" t="s">
        <v>1850</v>
      </c>
      <c r="G635" s="476" t="s">
        <v>1850</v>
      </c>
      <c r="H635" s="476" t="s">
        <v>43</v>
      </c>
      <c r="I635" s="476" t="s">
        <v>245</v>
      </c>
      <c r="J635" s="476" t="s">
        <v>45</v>
      </c>
      <c r="K635" s="476" t="s">
        <v>45</v>
      </c>
      <c r="L635" s="476" t="s">
        <v>45</v>
      </c>
      <c r="M635" s="476" t="s">
        <v>46</v>
      </c>
      <c r="N635" s="476">
        <v>25.424529444444399</v>
      </c>
      <c r="O635" s="476">
        <v>97.433419259259296</v>
      </c>
      <c r="P635" s="476" t="s">
        <v>770</v>
      </c>
      <c r="Q635" s="476" t="s">
        <v>789</v>
      </c>
      <c r="R635" s="482">
        <v>347</v>
      </c>
      <c r="S635" s="482">
        <v>2070</v>
      </c>
      <c r="T635" s="502"/>
      <c r="U635" s="484"/>
      <c r="V635" s="476" t="s">
        <v>272</v>
      </c>
      <c r="W635" s="476"/>
    </row>
    <row r="636" spans="1:23" s="69" customFormat="1" ht="14.25" customHeight="1">
      <c r="A636" s="476" t="s">
        <v>39</v>
      </c>
      <c r="B636" s="476" t="s">
        <v>145</v>
      </c>
      <c r="C636" s="476" t="s">
        <v>240</v>
      </c>
      <c r="D636" s="429" t="s">
        <v>3135</v>
      </c>
      <c r="E636" s="480" t="s">
        <v>1581</v>
      </c>
      <c r="F636" s="476" t="s">
        <v>1850</v>
      </c>
      <c r="G636" s="476" t="s">
        <v>1850</v>
      </c>
      <c r="H636" s="476" t="s">
        <v>43</v>
      </c>
      <c r="I636" s="476" t="s">
        <v>1341</v>
      </c>
      <c r="J636" s="476" t="s">
        <v>45</v>
      </c>
      <c r="K636" s="476" t="s">
        <v>45</v>
      </c>
      <c r="L636" s="476" t="s">
        <v>45</v>
      </c>
      <c r="M636" s="476" t="s">
        <v>46</v>
      </c>
      <c r="N636" s="476">
        <v>25.415667500000001</v>
      </c>
      <c r="O636" s="476">
        <v>97.437782499999997</v>
      </c>
      <c r="P636" s="476" t="s">
        <v>770</v>
      </c>
      <c r="Q636" s="476" t="s">
        <v>789</v>
      </c>
      <c r="R636" s="482">
        <v>320</v>
      </c>
      <c r="S636" s="482">
        <v>1689</v>
      </c>
      <c r="T636" s="502"/>
      <c r="U636" s="484"/>
      <c r="V636" s="476" t="s">
        <v>240</v>
      </c>
      <c r="W636" s="476"/>
    </row>
    <row r="637" spans="1:23" s="69" customFormat="1" ht="14.25" customHeight="1">
      <c r="A637" s="476" t="s">
        <v>39</v>
      </c>
      <c r="B637" s="476" t="s">
        <v>145</v>
      </c>
      <c r="C637" s="476" t="s">
        <v>181</v>
      </c>
      <c r="D637" s="429" t="s">
        <v>3135</v>
      </c>
      <c r="E637" s="476" t="s">
        <v>1578</v>
      </c>
      <c r="F637" s="476" t="s">
        <v>1850</v>
      </c>
      <c r="G637" s="476" t="s">
        <v>1850</v>
      </c>
      <c r="H637" s="476" t="s">
        <v>43</v>
      </c>
      <c r="I637" s="476" t="s">
        <v>2855</v>
      </c>
      <c r="J637" s="476" t="s">
        <v>45</v>
      </c>
      <c r="K637" s="476" t="s">
        <v>45</v>
      </c>
      <c r="L637" s="476" t="s">
        <v>45</v>
      </c>
      <c r="M637" s="476" t="s">
        <v>46</v>
      </c>
      <c r="N637" s="476">
        <v>25.4118005797101</v>
      </c>
      <c r="O637" s="476">
        <v>97.434855869565197</v>
      </c>
      <c r="P637" s="476" t="s">
        <v>770</v>
      </c>
      <c r="Q637" s="476" t="s">
        <v>789</v>
      </c>
      <c r="R637" s="482">
        <v>518</v>
      </c>
      <c r="S637" s="482">
        <v>2780</v>
      </c>
      <c r="T637" s="502"/>
      <c r="U637" s="484"/>
      <c r="V637" s="476" t="s">
        <v>181</v>
      </c>
      <c r="W637" s="394" t="s">
        <v>2329</v>
      </c>
    </row>
    <row r="638" spans="1:23" s="69" customFormat="1" ht="14.25" customHeight="1">
      <c r="A638" s="476" t="s">
        <v>39</v>
      </c>
      <c r="B638" s="476" t="s">
        <v>145</v>
      </c>
      <c r="C638" s="476" t="s">
        <v>182</v>
      </c>
      <c r="D638" s="429" t="s">
        <v>3135</v>
      </c>
      <c r="E638" s="476" t="s">
        <v>1576</v>
      </c>
      <c r="F638" s="476" t="s">
        <v>1850</v>
      </c>
      <c r="G638" s="476" t="s">
        <v>1850</v>
      </c>
      <c r="H638" s="476" t="s">
        <v>43</v>
      </c>
      <c r="I638" s="476" t="s">
        <v>2855</v>
      </c>
      <c r="J638" s="476" t="s">
        <v>45</v>
      </c>
      <c r="K638" s="476" t="s">
        <v>45</v>
      </c>
      <c r="L638" s="476" t="s">
        <v>45</v>
      </c>
      <c r="M638" s="476" t="s">
        <v>46</v>
      </c>
      <c r="N638" s="476">
        <v>25.409612685185198</v>
      </c>
      <c r="O638" s="476">
        <v>97.426536944444507</v>
      </c>
      <c r="P638" s="476" t="s">
        <v>770</v>
      </c>
      <c r="Q638" s="476" t="s">
        <v>789</v>
      </c>
      <c r="R638" s="482">
        <v>55</v>
      </c>
      <c r="S638" s="482">
        <v>253</v>
      </c>
      <c r="T638" s="502"/>
      <c r="U638" s="484"/>
      <c r="V638" s="476" t="s">
        <v>182</v>
      </c>
      <c r="W638" s="394" t="s">
        <v>2330</v>
      </c>
    </row>
    <row r="639" spans="1:23" s="69" customFormat="1" ht="14.25" customHeight="1">
      <c r="A639" s="476" t="s">
        <v>39</v>
      </c>
      <c r="B639" s="476" t="s">
        <v>145</v>
      </c>
      <c r="C639" s="476" t="s">
        <v>273</v>
      </c>
      <c r="D639" s="429" t="s">
        <v>3135</v>
      </c>
      <c r="E639" s="476" t="s">
        <v>1558</v>
      </c>
      <c r="F639" s="476" t="s">
        <v>1840</v>
      </c>
      <c r="G639" s="476" t="s">
        <v>1841</v>
      </c>
      <c r="H639" s="476" t="s">
        <v>43</v>
      </c>
      <c r="I639" s="476" t="s">
        <v>245</v>
      </c>
      <c r="J639" s="476" t="s">
        <v>45</v>
      </c>
      <c r="K639" s="476" t="s">
        <v>45</v>
      </c>
      <c r="L639" s="476" t="s">
        <v>45</v>
      </c>
      <c r="M639" s="476" t="s">
        <v>46</v>
      </c>
      <c r="N639" s="476">
        <v>25.351965</v>
      </c>
      <c r="O639" s="476">
        <v>97.345039</v>
      </c>
      <c r="P639" s="476" t="s">
        <v>770</v>
      </c>
      <c r="Q639" s="476" t="s">
        <v>789</v>
      </c>
      <c r="R639" s="482">
        <v>19</v>
      </c>
      <c r="S639" s="482">
        <v>84</v>
      </c>
      <c r="T639" s="502"/>
      <c r="U639" s="484"/>
      <c r="V639" s="476" t="s">
        <v>273</v>
      </c>
      <c r="W639" s="476"/>
    </row>
    <row r="640" spans="1:23" s="69" customFormat="1" ht="14.25" customHeight="1">
      <c r="A640" s="476" t="s">
        <v>39</v>
      </c>
      <c r="B640" s="476" t="s">
        <v>145</v>
      </c>
      <c r="C640" s="476" t="s">
        <v>183</v>
      </c>
      <c r="D640" s="429" t="s">
        <v>3135</v>
      </c>
      <c r="E640" s="476" t="s">
        <v>1534</v>
      </c>
      <c r="F640" s="476" t="s">
        <v>1827</v>
      </c>
      <c r="G640" s="476" t="s">
        <v>1828</v>
      </c>
      <c r="H640" s="476" t="s">
        <v>43</v>
      </c>
      <c r="I640" s="476" t="s">
        <v>2855</v>
      </c>
      <c r="J640" s="476" t="s">
        <v>45</v>
      </c>
      <c r="K640" s="476" t="s">
        <v>977</v>
      </c>
      <c r="L640" s="476" t="s">
        <v>45</v>
      </c>
      <c r="M640" s="476" t="s">
        <v>787</v>
      </c>
      <c r="N640" s="476">
        <v>24.831944</v>
      </c>
      <c r="O640" s="476">
        <v>97.751389000000003</v>
      </c>
      <c r="P640" s="476" t="s">
        <v>770</v>
      </c>
      <c r="Q640" s="476" t="s">
        <v>789</v>
      </c>
      <c r="R640" s="482">
        <v>178</v>
      </c>
      <c r="S640" s="482">
        <v>946</v>
      </c>
      <c r="T640" s="502"/>
      <c r="U640" s="484" t="s">
        <v>1041</v>
      </c>
      <c r="V640" s="476" t="s">
        <v>1042</v>
      </c>
      <c r="W640" s="476"/>
    </row>
    <row r="641" spans="1:23" s="69" customFormat="1" ht="14.25" customHeight="1">
      <c r="A641" s="476" t="s">
        <v>39</v>
      </c>
      <c r="B641" s="476" t="s">
        <v>145</v>
      </c>
      <c r="C641" s="476" t="s">
        <v>241</v>
      </c>
      <c r="D641" s="429" t="s">
        <v>3135</v>
      </c>
      <c r="E641" s="476" t="s">
        <v>1545</v>
      </c>
      <c r="F641" s="476" t="s">
        <v>1830</v>
      </c>
      <c r="G641" s="476" t="s">
        <v>1830</v>
      </c>
      <c r="H641" s="476" t="s">
        <v>43</v>
      </c>
      <c r="I641" s="476" t="s">
        <v>1341</v>
      </c>
      <c r="J641" s="476" t="s">
        <v>45</v>
      </c>
      <c r="K641" s="476" t="s">
        <v>45</v>
      </c>
      <c r="L641" s="476" t="s">
        <v>45</v>
      </c>
      <c r="M641" s="476" t="s">
        <v>787</v>
      </c>
      <c r="N641" s="476">
        <v>25.265277999999999</v>
      </c>
      <c r="O641" s="476">
        <v>97.990555999999998</v>
      </c>
      <c r="P641" s="476" t="s">
        <v>770</v>
      </c>
      <c r="Q641" s="476" t="s">
        <v>789</v>
      </c>
      <c r="R641" s="482">
        <v>77</v>
      </c>
      <c r="S641" s="482">
        <v>489</v>
      </c>
      <c r="T641" s="502"/>
      <c r="U641" s="484"/>
      <c r="V641" s="476" t="s">
        <v>241</v>
      </c>
      <c r="W641" s="476"/>
    </row>
    <row r="642" spans="1:23" s="69" customFormat="1" ht="14.25" customHeight="1">
      <c r="A642" s="476" t="s">
        <v>39</v>
      </c>
      <c r="B642" s="476" t="s">
        <v>145</v>
      </c>
      <c r="C642" s="476" t="s">
        <v>274</v>
      </c>
      <c r="D642" s="429" t="s">
        <v>3135</v>
      </c>
      <c r="E642" s="476" t="s">
        <v>1559</v>
      </c>
      <c r="F642" s="476" t="s">
        <v>1745</v>
      </c>
      <c r="G642" s="476" t="s">
        <v>1735</v>
      </c>
      <c r="H642" s="476" t="s">
        <v>43</v>
      </c>
      <c r="I642" s="476" t="s">
        <v>245</v>
      </c>
      <c r="J642" s="476" t="s">
        <v>45</v>
      </c>
      <c r="K642" s="476" t="s">
        <v>45</v>
      </c>
      <c r="L642" s="476" t="s">
        <v>45</v>
      </c>
      <c r="M642" s="476" t="s">
        <v>46</v>
      </c>
      <c r="N642" s="476">
        <v>25.3540362037037</v>
      </c>
      <c r="O642" s="476">
        <v>97.441166388888902</v>
      </c>
      <c r="P642" s="476" t="s">
        <v>770</v>
      </c>
      <c r="Q642" s="476" t="s">
        <v>789</v>
      </c>
      <c r="R642" s="482">
        <v>112</v>
      </c>
      <c r="S642" s="482">
        <v>497</v>
      </c>
      <c r="T642" s="502"/>
      <c r="U642" s="484"/>
      <c r="V642" s="476" t="s">
        <v>274</v>
      </c>
      <c r="W642" s="476"/>
    </row>
    <row r="643" spans="1:23" s="69" customFormat="1" ht="14.25" customHeight="1">
      <c r="A643" s="476" t="s">
        <v>39</v>
      </c>
      <c r="B643" s="476" t="s">
        <v>145</v>
      </c>
      <c r="C643" s="476" t="s">
        <v>184</v>
      </c>
      <c r="D643" s="429" t="s">
        <v>3135</v>
      </c>
      <c r="E643" s="476" t="s">
        <v>1557</v>
      </c>
      <c r="F643" s="476" t="s">
        <v>1745</v>
      </c>
      <c r="G643" s="476" t="s">
        <v>1735</v>
      </c>
      <c r="H643" s="476" t="s">
        <v>43</v>
      </c>
      <c r="I643" s="476" t="s">
        <v>2855</v>
      </c>
      <c r="J643" s="476" t="s">
        <v>45</v>
      </c>
      <c r="K643" s="476" t="s">
        <v>45</v>
      </c>
      <c r="L643" s="476" t="s">
        <v>45</v>
      </c>
      <c r="M643" s="476" t="s">
        <v>46</v>
      </c>
      <c r="N643" s="476">
        <v>25.351724999999998</v>
      </c>
      <c r="O643" s="476">
        <v>97.438432380952406</v>
      </c>
      <c r="P643" s="476" t="s">
        <v>770</v>
      </c>
      <c r="Q643" s="476" t="s">
        <v>789</v>
      </c>
      <c r="R643" s="482">
        <v>71</v>
      </c>
      <c r="S643" s="482">
        <v>362</v>
      </c>
      <c r="T643" s="502"/>
      <c r="U643" s="484"/>
      <c r="V643" s="476" t="s">
        <v>184</v>
      </c>
      <c r="W643" s="476"/>
    </row>
    <row r="644" spans="1:23" s="69" customFormat="1" ht="14.25" customHeight="1">
      <c r="A644" s="476" t="s">
        <v>39</v>
      </c>
      <c r="B644" s="476" t="s">
        <v>145</v>
      </c>
      <c r="C644" s="476" t="s">
        <v>275</v>
      </c>
      <c r="D644" s="429" t="s">
        <v>3135</v>
      </c>
      <c r="E644" s="476" t="s">
        <v>1553</v>
      </c>
      <c r="F644" s="476" t="s">
        <v>1745</v>
      </c>
      <c r="G644" s="476" t="s">
        <v>1792</v>
      </c>
      <c r="H644" s="476" t="s">
        <v>43</v>
      </c>
      <c r="I644" s="476" t="s">
        <v>245</v>
      </c>
      <c r="J644" s="476" t="s">
        <v>45</v>
      </c>
      <c r="K644" s="476" t="s">
        <v>45</v>
      </c>
      <c r="L644" s="476" t="s">
        <v>45</v>
      </c>
      <c r="M644" s="476" t="s">
        <v>46</v>
      </c>
      <c r="N644" s="476">
        <v>25.345918166666699</v>
      </c>
      <c r="O644" s="476">
        <v>97.437472666666693</v>
      </c>
      <c r="P644" s="476" t="s">
        <v>770</v>
      </c>
      <c r="Q644" s="476" t="s">
        <v>789</v>
      </c>
      <c r="R644" s="482">
        <v>42</v>
      </c>
      <c r="S644" s="482">
        <v>224</v>
      </c>
      <c r="T644" s="502"/>
      <c r="U644" s="484"/>
      <c r="V644" s="476" t="s">
        <v>275</v>
      </c>
      <c r="W644" s="476"/>
    </row>
    <row r="645" spans="1:23" s="69" customFormat="1" ht="14.25" customHeight="1">
      <c r="A645" s="476" t="s">
        <v>39</v>
      </c>
      <c r="B645" s="476" t="s">
        <v>145</v>
      </c>
      <c r="C645" s="476" t="s">
        <v>276</v>
      </c>
      <c r="D645" s="429" t="s">
        <v>2172</v>
      </c>
      <c r="E645" s="476" t="s">
        <v>1554</v>
      </c>
      <c r="F645" s="476" t="s">
        <v>1745</v>
      </c>
      <c r="G645" s="476" t="s">
        <v>1838</v>
      </c>
      <c r="H645" s="476" t="s">
        <v>43</v>
      </c>
      <c r="I645" s="476" t="s">
        <v>245</v>
      </c>
      <c r="J645" s="476" t="s">
        <v>45</v>
      </c>
      <c r="K645" s="476" t="s">
        <v>45</v>
      </c>
      <c r="L645" s="476" t="s">
        <v>769</v>
      </c>
      <c r="M645" s="476" t="s">
        <v>46</v>
      </c>
      <c r="N645" s="476">
        <v>25.350809000000002</v>
      </c>
      <c r="O645" s="476">
        <v>97.432495000000003</v>
      </c>
      <c r="P645" s="476" t="s">
        <v>770</v>
      </c>
      <c r="Q645" s="476" t="s">
        <v>789</v>
      </c>
      <c r="R645" s="482"/>
      <c r="S645" s="482"/>
      <c r="T645" s="502"/>
      <c r="U645" s="484"/>
      <c r="V645" s="476" t="s">
        <v>276</v>
      </c>
      <c r="W645" s="394" t="s">
        <v>2228</v>
      </c>
    </row>
    <row r="646" spans="1:23" s="69" customFormat="1" ht="14.25" customHeight="1">
      <c r="A646" s="487" t="s">
        <v>39</v>
      </c>
      <c r="B646" s="486" t="s">
        <v>145</v>
      </c>
      <c r="C646" s="480" t="s">
        <v>1059</v>
      </c>
      <c r="D646" s="429" t="s">
        <v>3135</v>
      </c>
      <c r="E646" s="480" t="s">
        <v>2018</v>
      </c>
      <c r="F646" s="476" t="s">
        <v>1059</v>
      </c>
      <c r="G646" s="476" t="s">
        <v>1059</v>
      </c>
      <c r="H646" s="480"/>
      <c r="I646" s="480" t="s">
        <v>2181</v>
      </c>
      <c r="J646" s="476" t="s">
        <v>45</v>
      </c>
      <c r="K646" s="476" t="s">
        <v>45</v>
      </c>
      <c r="L646" s="480" t="s">
        <v>785</v>
      </c>
      <c r="M646" s="476" t="s">
        <v>46</v>
      </c>
      <c r="N646" s="476">
        <v>25.391428000000001</v>
      </c>
      <c r="O646" s="476">
        <v>97.898184999999998</v>
      </c>
      <c r="P646" s="17" t="s">
        <v>770</v>
      </c>
      <c r="Q646" s="476" t="s">
        <v>1988</v>
      </c>
      <c r="R646" s="482">
        <v>85</v>
      </c>
      <c r="S646" s="482">
        <v>455</v>
      </c>
      <c r="T646" s="502">
        <v>43276</v>
      </c>
      <c r="U646" s="488"/>
      <c r="V646" s="480"/>
      <c r="W646" s="476" t="s">
        <v>2229</v>
      </c>
    </row>
    <row r="647" spans="1:23" s="69" customFormat="1" ht="14.25" customHeight="1">
      <c r="A647" s="476" t="s">
        <v>39</v>
      </c>
      <c r="B647" s="480" t="s">
        <v>145</v>
      </c>
      <c r="C647" s="480" t="s">
        <v>146</v>
      </c>
      <c r="D647" s="429" t="s">
        <v>3135</v>
      </c>
      <c r="E647" s="476" t="s">
        <v>1639</v>
      </c>
      <c r="F647" s="476" t="s">
        <v>1827</v>
      </c>
      <c r="G647" s="476" t="s">
        <v>1828</v>
      </c>
      <c r="H647" s="476" t="s">
        <v>43</v>
      </c>
      <c r="I647" s="476" t="s">
        <v>2855</v>
      </c>
      <c r="J647" s="476" t="s">
        <v>45</v>
      </c>
      <c r="K647" s="480" t="s">
        <v>45</v>
      </c>
      <c r="L647" s="480" t="s">
        <v>45</v>
      </c>
      <c r="M647" s="476" t="s">
        <v>787</v>
      </c>
      <c r="N647" s="476">
        <v>0</v>
      </c>
      <c r="O647" s="476">
        <v>0</v>
      </c>
      <c r="P647" s="17" t="s">
        <v>770</v>
      </c>
      <c r="Q647" s="476" t="s">
        <v>811</v>
      </c>
      <c r="R647" s="482">
        <v>394</v>
      </c>
      <c r="S647" s="482">
        <v>1839</v>
      </c>
      <c r="T647" s="502">
        <v>42916</v>
      </c>
      <c r="U647" s="484" t="s">
        <v>1145</v>
      </c>
      <c r="V647" s="476"/>
      <c r="W647" s="394" t="s">
        <v>2331</v>
      </c>
    </row>
    <row r="648" spans="1:23" s="69" customFormat="1" ht="14.25" customHeight="1">
      <c r="A648" s="476" t="s">
        <v>39</v>
      </c>
      <c r="B648" s="480" t="s">
        <v>145</v>
      </c>
      <c r="C648" s="480" t="s">
        <v>185</v>
      </c>
      <c r="D648" s="429" t="s">
        <v>3135</v>
      </c>
      <c r="E648" s="476" t="s">
        <v>1583</v>
      </c>
      <c r="F648" s="480" t="s">
        <v>1853</v>
      </c>
      <c r="G648" s="476" t="s">
        <v>1854</v>
      </c>
      <c r="H648" s="476" t="s">
        <v>43</v>
      </c>
      <c r="I648" s="476" t="s">
        <v>2855</v>
      </c>
      <c r="J648" s="476" t="s">
        <v>45</v>
      </c>
      <c r="K648" s="476" t="s">
        <v>45</v>
      </c>
      <c r="L648" s="476" t="s">
        <v>45</v>
      </c>
      <c r="M648" s="476" t="s">
        <v>46</v>
      </c>
      <c r="N648" s="476">
        <v>25.418084</v>
      </c>
      <c r="O648" s="476">
        <v>98.025662999999994</v>
      </c>
      <c r="P648" s="476" t="s">
        <v>770</v>
      </c>
      <c r="Q648" s="476" t="s">
        <v>789</v>
      </c>
      <c r="R648" s="482">
        <v>190</v>
      </c>
      <c r="S648" s="482">
        <v>1069</v>
      </c>
      <c r="T648" s="502"/>
      <c r="U648" s="484"/>
      <c r="V648" s="476" t="s">
        <v>185</v>
      </c>
      <c r="W648" s="394" t="s">
        <v>2332</v>
      </c>
    </row>
    <row r="649" spans="1:23" s="69" customFormat="1" ht="14.25" customHeight="1">
      <c r="A649" s="476" t="s">
        <v>39</v>
      </c>
      <c r="B649" s="480" t="s">
        <v>145</v>
      </c>
      <c r="C649" s="480" t="s">
        <v>277</v>
      </c>
      <c r="D649" s="429" t="s">
        <v>3135</v>
      </c>
      <c r="E649" s="476" t="s">
        <v>1552</v>
      </c>
      <c r="F649" s="476" t="s">
        <v>1745</v>
      </c>
      <c r="G649" s="476" t="s">
        <v>1838</v>
      </c>
      <c r="H649" s="476" t="s">
        <v>43</v>
      </c>
      <c r="I649" s="476" t="s">
        <v>245</v>
      </c>
      <c r="J649" s="476" t="s">
        <v>45</v>
      </c>
      <c r="K649" s="476" t="s">
        <v>45</v>
      </c>
      <c r="L649" s="476" t="s">
        <v>45</v>
      </c>
      <c r="M649" s="476" t="s">
        <v>46</v>
      </c>
      <c r="N649" s="476">
        <v>25.333683333333301</v>
      </c>
      <c r="O649" s="476">
        <v>97.428251153846105</v>
      </c>
      <c r="P649" s="476" t="s">
        <v>770</v>
      </c>
      <c r="Q649" s="476" t="s">
        <v>789</v>
      </c>
      <c r="R649" s="482">
        <v>46</v>
      </c>
      <c r="S649" s="482">
        <v>191</v>
      </c>
      <c r="T649" s="502"/>
      <c r="U649" s="484"/>
      <c r="V649" s="476" t="s">
        <v>277</v>
      </c>
      <c r="W649" s="476"/>
    </row>
    <row r="650" spans="1:23" s="69" customFormat="1" ht="14.25" customHeight="1">
      <c r="A650" s="487" t="s">
        <v>39</v>
      </c>
      <c r="B650" s="486" t="s">
        <v>145</v>
      </c>
      <c r="C650" s="480" t="s">
        <v>2173</v>
      </c>
      <c r="D650" s="429" t="s">
        <v>3135</v>
      </c>
      <c r="E650" s="480" t="s">
        <v>2015</v>
      </c>
      <c r="F650" s="480"/>
      <c r="G650" s="480"/>
      <c r="H650" s="476" t="s">
        <v>43</v>
      </c>
      <c r="I650" s="476" t="s">
        <v>2855</v>
      </c>
      <c r="J650" s="476" t="s">
        <v>45</v>
      </c>
      <c r="K650" s="476" t="s">
        <v>45</v>
      </c>
      <c r="L650" s="476" t="s">
        <v>45</v>
      </c>
      <c r="M650" s="476" t="s">
        <v>46</v>
      </c>
      <c r="N650" s="476">
        <v>0</v>
      </c>
      <c r="O650" s="476">
        <v>0</v>
      </c>
      <c r="P650" s="480" t="s">
        <v>770</v>
      </c>
      <c r="Q650" s="476" t="s">
        <v>1988</v>
      </c>
      <c r="R650" s="482">
        <v>79</v>
      </c>
      <c r="S650" s="482">
        <v>350</v>
      </c>
      <c r="T650" s="502">
        <v>43276</v>
      </c>
      <c r="U650" s="488" t="s">
        <v>2038</v>
      </c>
      <c r="V650" s="480"/>
      <c r="W650" s="394" t="s">
        <v>2333</v>
      </c>
    </row>
    <row r="651" spans="1:23" s="69" customFormat="1" ht="14.25" customHeight="1">
      <c r="A651" s="476" t="s">
        <v>39</v>
      </c>
      <c r="B651" s="480" t="s">
        <v>145</v>
      </c>
      <c r="C651" s="480" t="s">
        <v>278</v>
      </c>
      <c r="D651" s="429" t="s">
        <v>3135</v>
      </c>
      <c r="E651" s="476" t="s">
        <v>1556</v>
      </c>
      <c r="F651" s="476" t="s">
        <v>1745</v>
      </c>
      <c r="G651" s="476" t="s">
        <v>1792</v>
      </c>
      <c r="H651" s="476" t="s">
        <v>43</v>
      </c>
      <c r="I651" s="476" t="s">
        <v>245</v>
      </c>
      <c r="J651" s="476" t="s">
        <v>45</v>
      </c>
      <c r="K651" s="476" t="s">
        <v>45</v>
      </c>
      <c r="L651" s="476" t="s">
        <v>45</v>
      </c>
      <c r="M651" s="476" t="s">
        <v>46</v>
      </c>
      <c r="N651" s="476">
        <v>25.351250396825399</v>
      </c>
      <c r="O651" s="476">
        <v>97.444283730158702</v>
      </c>
      <c r="P651" s="476" t="s">
        <v>770</v>
      </c>
      <c r="Q651" s="476" t="s">
        <v>789</v>
      </c>
      <c r="R651" s="482">
        <v>67</v>
      </c>
      <c r="S651" s="482">
        <v>292</v>
      </c>
      <c r="T651" s="502"/>
      <c r="U651" s="484"/>
      <c r="V651" s="476" t="s">
        <v>278</v>
      </c>
      <c r="W651" s="476"/>
    </row>
    <row r="652" spans="1:23" s="69" customFormat="1" ht="14.25" customHeight="1">
      <c r="A652" s="476" t="s">
        <v>39</v>
      </c>
      <c r="B652" s="480" t="s">
        <v>145</v>
      </c>
      <c r="C652" s="480" t="s">
        <v>1054</v>
      </c>
      <c r="D652" s="429" t="s">
        <v>1686</v>
      </c>
      <c r="E652" s="476" t="s">
        <v>1560</v>
      </c>
      <c r="F652" s="476" t="s">
        <v>1745</v>
      </c>
      <c r="G652" s="476" t="s">
        <v>1735</v>
      </c>
      <c r="H652" s="476" t="s">
        <v>43</v>
      </c>
      <c r="I652" s="476" t="s">
        <v>144</v>
      </c>
      <c r="J652" s="476" t="s">
        <v>45</v>
      </c>
      <c r="K652" s="476" t="s">
        <v>45</v>
      </c>
      <c r="L652" s="476" t="s">
        <v>769</v>
      </c>
      <c r="M652" s="476" t="s">
        <v>46</v>
      </c>
      <c r="N652" s="476">
        <v>25.355841999999999</v>
      </c>
      <c r="O652" s="476">
        <v>97.438259000000002</v>
      </c>
      <c r="P652" s="476" t="s">
        <v>770</v>
      </c>
      <c r="Q652" s="476" t="s">
        <v>789</v>
      </c>
      <c r="R652" s="482"/>
      <c r="S652" s="483"/>
      <c r="T652" s="502"/>
      <c r="U652" s="484" t="s">
        <v>1055</v>
      </c>
      <c r="V652" s="476" t="s">
        <v>1054</v>
      </c>
      <c r="W652" s="394" t="s">
        <v>2230</v>
      </c>
    </row>
    <row r="653" spans="1:23" s="69" customFormat="1" ht="14.25" customHeight="1">
      <c r="A653" s="487" t="s">
        <v>39</v>
      </c>
      <c r="B653" s="486" t="s">
        <v>145</v>
      </c>
      <c r="C653" s="480" t="s">
        <v>1998</v>
      </c>
      <c r="D653" s="430"/>
      <c r="E653" s="480"/>
      <c r="F653" s="480"/>
      <c r="G653" s="480"/>
      <c r="H653" s="480"/>
      <c r="I653" s="480"/>
      <c r="J653" s="476" t="s">
        <v>1476</v>
      </c>
      <c r="K653" s="476" t="s">
        <v>45</v>
      </c>
      <c r="L653" s="476" t="s">
        <v>45</v>
      </c>
      <c r="M653" s="476" t="s">
        <v>46</v>
      </c>
      <c r="N653" s="480"/>
      <c r="O653" s="480"/>
      <c r="P653" s="476" t="s">
        <v>770</v>
      </c>
      <c r="Q653" s="476" t="s">
        <v>1988</v>
      </c>
      <c r="R653" s="491"/>
      <c r="S653" s="487"/>
      <c r="T653" s="502">
        <v>43270</v>
      </c>
      <c r="U653" s="488"/>
      <c r="V653" s="480"/>
      <c r="W653" s="476"/>
    </row>
    <row r="654" spans="1:23" s="69" customFormat="1" ht="14.25" customHeight="1">
      <c r="A654" s="476" t="s">
        <v>39</v>
      </c>
      <c r="B654" s="480" t="s">
        <v>145</v>
      </c>
      <c r="C654" s="480" t="s">
        <v>224</v>
      </c>
      <c r="D654" s="429" t="s">
        <v>3135</v>
      </c>
      <c r="E654" s="476" t="s">
        <v>1530</v>
      </c>
      <c r="F654" s="476" t="s">
        <v>1738</v>
      </c>
      <c r="G654" s="476" t="s">
        <v>1738</v>
      </c>
      <c r="H654" s="476" t="s">
        <v>43</v>
      </c>
      <c r="I654" s="476" t="s">
        <v>1341</v>
      </c>
      <c r="J654" s="476" t="s">
        <v>45</v>
      </c>
      <c r="K654" s="476" t="s">
        <v>45</v>
      </c>
      <c r="L654" s="476" t="s">
        <v>45</v>
      </c>
      <c r="M654" s="476" t="s">
        <v>787</v>
      </c>
      <c r="N654" s="476">
        <v>24.755253</v>
      </c>
      <c r="O654" s="476">
        <v>97.546893999999995</v>
      </c>
      <c r="P654" s="476" t="s">
        <v>770</v>
      </c>
      <c r="Q654" s="476" t="s">
        <v>789</v>
      </c>
      <c r="R654" s="482">
        <v>1404</v>
      </c>
      <c r="S654" s="482">
        <v>7165</v>
      </c>
      <c r="T654" s="502"/>
      <c r="U654" s="484"/>
      <c r="V654" s="476" t="s">
        <v>224</v>
      </c>
      <c r="W654" s="394" t="s">
        <v>2334</v>
      </c>
    </row>
    <row r="655" spans="1:23" s="69" customFormat="1" ht="14.25" customHeight="1">
      <c r="A655" s="476" t="s">
        <v>39</v>
      </c>
      <c r="B655" s="480" t="s">
        <v>145</v>
      </c>
      <c r="C655" s="480" t="s">
        <v>226</v>
      </c>
      <c r="D655" s="429"/>
      <c r="E655" s="476"/>
      <c r="F655" s="476"/>
      <c r="G655" s="476"/>
      <c r="H655" s="476"/>
      <c r="I655" s="476"/>
      <c r="J655" s="476" t="s">
        <v>1476</v>
      </c>
      <c r="K655" s="476" t="s">
        <v>45</v>
      </c>
      <c r="L655" s="476" t="s">
        <v>1160</v>
      </c>
      <c r="M655" s="476" t="s">
        <v>787</v>
      </c>
      <c r="N655" s="476"/>
      <c r="O655" s="476"/>
      <c r="P655" s="476" t="s">
        <v>770</v>
      </c>
      <c r="Q655" s="476" t="s">
        <v>789</v>
      </c>
      <c r="R655" s="482"/>
      <c r="S655" s="483"/>
      <c r="T655" s="502"/>
      <c r="U655" s="484" t="s">
        <v>1104</v>
      </c>
      <c r="V655" s="476"/>
      <c r="W655" s="476"/>
    </row>
    <row r="656" spans="1:23" s="69" customFormat="1" ht="14.25" customHeight="1">
      <c r="A656" s="476" t="s">
        <v>39</v>
      </c>
      <c r="B656" s="480" t="s">
        <v>145</v>
      </c>
      <c r="C656" s="480" t="s">
        <v>225</v>
      </c>
      <c r="D656" s="429"/>
      <c r="E656" s="476"/>
      <c r="F656" s="476"/>
      <c r="G656" s="476"/>
      <c r="H656" s="476"/>
      <c r="I656" s="476"/>
      <c r="J656" s="476" t="s">
        <v>1476</v>
      </c>
      <c r="K656" s="476" t="s">
        <v>45</v>
      </c>
      <c r="L656" s="476" t="s">
        <v>781</v>
      </c>
      <c r="M656" s="476" t="s">
        <v>787</v>
      </c>
      <c r="N656" s="476"/>
      <c r="O656" s="476"/>
      <c r="P656" s="476" t="s">
        <v>782</v>
      </c>
      <c r="Q656" s="476" t="s">
        <v>789</v>
      </c>
      <c r="R656" s="482"/>
      <c r="S656" s="483"/>
      <c r="T656" s="502"/>
      <c r="U656" s="484" t="s">
        <v>1104</v>
      </c>
      <c r="V656" s="476"/>
      <c r="W656" s="476"/>
    </row>
    <row r="657" spans="1:23" s="69" customFormat="1" ht="14.25" customHeight="1">
      <c r="A657" s="476" t="s">
        <v>39</v>
      </c>
      <c r="B657" s="480" t="s">
        <v>145</v>
      </c>
      <c r="C657" s="480" t="s">
        <v>1046</v>
      </c>
      <c r="D657" s="429" t="s">
        <v>1686</v>
      </c>
      <c r="E657" s="476" t="s">
        <v>1539</v>
      </c>
      <c r="F657" s="476" t="s">
        <v>1742</v>
      </c>
      <c r="G657" s="476" t="s">
        <v>1743</v>
      </c>
      <c r="H657" s="476" t="s">
        <v>43</v>
      </c>
      <c r="I657" s="476" t="s">
        <v>144</v>
      </c>
      <c r="J657" s="476" t="s">
        <v>45</v>
      </c>
      <c r="K657" s="476" t="s">
        <v>45</v>
      </c>
      <c r="L657" s="476" t="s">
        <v>769</v>
      </c>
      <c r="M657" s="476" t="s">
        <v>787</v>
      </c>
      <c r="N657" s="476">
        <v>25.106670000000001</v>
      </c>
      <c r="O657" s="476">
        <v>97.756789999999995</v>
      </c>
      <c r="P657" s="476" t="s">
        <v>770</v>
      </c>
      <c r="Q657" s="476" t="s">
        <v>789</v>
      </c>
      <c r="R657" s="482"/>
      <c r="S657" s="483"/>
      <c r="T657" s="502"/>
      <c r="U657" s="484" t="s">
        <v>1041</v>
      </c>
      <c r="V657" s="476" t="s">
        <v>1047</v>
      </c>
      <c r="W657" s="394" t="s">
        <v>2231</v>
      </c>
    </row>
    <row r="658" spans="1:23" s="69" customFormat="1" ht="14.25" customHeight="1">
      <c r="A658" s="476" t="s">
        <v>2826</v>
      </c>
      <c r="B658" s="476" t="s">
        <v>332</v>
      </c>
      <c r="C658" s="476" t="s">
        <v>2717</v>
      </c>
      <c r="D658" s="429"/>
      <c r="E658" s="476"/>
      <c r="F658" s="476"/>
      <c r="G658" s="476"/>
      <c r="H658" s="476"/>
      <c r="I658" s="476"/>
      <c r="J658" s="476" t="s">
        <v>2836</v>
      </c>
      <c r="K658" s="476" t="s">
        <v>2798</v>
      </c>
      <c r="L658" s="476" t="s">
        <v>2798</v>
      </c>
      <c r="M658" s="476"/>
      <c r="N658" s="476"/>
      <c r="O658" s="476"/>
      <c r="P658" s="476"/>
      <c r="Q658" s="476"/>
      <c r="R658" s="482"/>
      <c r="S658" s="483"/>
      <c r="T658" s="502"/>
      <c r="U658" s="484"/>
      <c r="V658" s="476"/>
      <c r="W658" s="476"/>
    </row>
    <row r="659" spans="1:23" s="69" customFormat="1" ht="14.25" customHeight="1">
      <c r="A659" s="483" t="s">
        <v>2826</v>
      </c>
      <c r="B659" s="486" t="s">
        <v>332</v>
      </c>
      <c r="C659" s="487" t="s">
        <v>2873</v>
      </c>
      <c r="D659" s="481"/>
      <c r="E659" s="476">
        <v>198334</v>
      </c>
      <c r="F659" s="476" t="s">
        <v>2873</v>
      </c>
      <c r="G659" s="476"/>
      <c r="H659" s="476"/>
      <c r="I659" s="476"/>
      <c r="J659" s="476" t="s">
        <v>807</v>
      </c>
      <c r="K659" s="476" t="s">
        <v>807</v>
      </c>
      <c r="L659" s="476" t="s">
        <v>807</v>
      </c>
      <c r="M659" s="476"/>
      <c r="N659" s="476">
        <v>20.825700759887699</v>
      </c>
      <c r="O659" s="476">
        <v>92.542686462402301</v>
      </c>
      <c r="P659" s="476"/>
      <c r="Q659" s="476" t="s">
        <v>2803</v>
      </c>
      <c r="R659" s="490"/>
      <c r="S659" s="483"/>
      <c r="T659" s="502">
        <v>43580</v>
      </c>
      <c r="U659" s="525" t="s">
        <v>2870</v>
      </c>
      <c r="V659" s="484"/>
      <c r="W659" s="482"/>
    </row>
    <row r="660" spans="1:23" s="69" customFormat="1" ht="14.25" customHeight="1">
      <c r="A660" s="476" t="s">
        <v>2826</v>
      </c>
      <c r="B660" s="480" t="s">
        <v>332</v>
      </c>
      <c r="C660" s="480" t="s">
        <v>640</v>
      </c>
      <c r="D660" s="429" t="s">
        <v>1685</v>
      </c>
      <c r="E660" s="476">
        <v>198334</v>
      </c>
      <c r="F660" s="476"/>
      <c r="G660" s="476"/>
      <c r="H660" s="476"/>
      <c r="I660" s="476"/>
      <c r="J660" s="476" t="s">
        <v>2836</v>
      </c>
      <c r="K660" s="476" t="s">
        <v>2798</v>
      </c>
      <c r="L660" s="476" t="s">
        <v>2798</v>
      </c>
      <c r="M660" s="476" t="s">
        <v>804</v>
      </c>
      <c r="N660" s="476">
        <v>20.82570076</v>
      </c>
      <c r="O660" s="476">
        <v>92.542686459999999</v>
      </c>
      <c r="P660" s="476" t="s">
        <v>808</v>
      </c>
      <c r="Q660" s="476" t="s">
        <v>789</v>
      </c>
      <c r="R660" s="482"/>
      <c r="S660" s="483"/>
      <c r="T660" s="502"/>
      <c r="U660" s="484"/>
      <c r="V660" s="476" t="s">
        <v>640</v>
      </c>
      <c r="W660" s="476"/>
    </row>
    <row r="661" spans="1:23" s="69" customFormat="1" ht="14.25" customHeight="1">
      <c r="A661" s="483" t="s">
        <v>2826</v>
      </c>
      <c r="B661" s="486" t="s">
        <v>332</v>
      </c>
      <c r="C661" s="487" t="s">
        <v>2684</v>
      </c>
      <c r="D661" s="481"/>
      <c r="E661" s="476">
        <v>198349</v>
      </c>
      <c r="F661" s="476" t="s">
        <v>2684</v>
      </c>
      <c r="G661" s="476"/>
      <c r="H661" s="476"/>
      <c r="I661" s="476"/>
      <c r="J661" s="476" t="s">
        <v>807</v>
      </c>
      <c r="K661" s="476" t="s">
        <v>807</v>
      </c>
      <c r="L661" s="476" t="s">
        <v>807</v>
      </c>
      <c r="M661" s="476" t="s">
        <v>804</v>
      </c>
      <c r="N661" s="476">
        <v>20.819919586181602</v>
      </c>
      <c r="O661" s="476">
        <v>92.589729309082003</v>
      </c>
      <c r="P661" s="476"/>
      <c r="Q661" s="476" t="s">
        <v>2803</v>
      </c>
      <c r="R661" s="490"/>
      <c r="S661" s="483"/>
      <c r="T661" s="502">
        <v>43580</v>
      </c>
      <c r="U661" s="525" t="s">
        <v>2870</v>
      </c>
      <c r="V661" s="484"/>
      <c r="W661" s="482"/>
    </row>
    <row r="662" spans="1:23" s="69" customFormat="1" ht="14.25" customHeight="1">
      <c r="A662" s="476" t="s">
        <v>2826</v>
      </c>
      <c r="B662" s="476" t="s">
        <v>332</v>
      </c>
      <c r="C662" s="476" t="s">
        <v>553</v>
      </c>
      <c r="D662" s="429" t="s">
        <v>1685</v>
      </c>
      <c r="E662" s="476">
        <v>198443</v>
      </c>
      <c r="F662" s="476"/>
      <c r="G662" s="476"/>
      <c r="H662" s="476"/>
      <c r="I662" s="476"/>
      <c r="J662" s="476" t="s">
        <v>807</v>
      </c>
      <c r="K662" s="476" t="s">
        <v>807</v>
      </c>
      <c r="L662" s="476" t="s">
        <v>807</v>
      </c>
      <c r="M662" s="476" t="s">
        <v>804</v>
      </c>
      <c r="N662" s="476">
        <v>20.686819079999999</v>
      </c>
      <c r="O662" s="476">
        <v>92.57855988</v>
      </c>
      <c r="P662" s="476" t="s">
        <v>808</v>
      </c>
      <c r="Q662" s="476" t="s">
        <v>789</v>
      </c>
      <c r="R662" s="482"/>
      <c r="S662" s="483"/>
      <c r="T662" s="502"/>
      <c r="U662" s="484"/>
      <c r="V662" s="476" t="s">
        <v>553</v>
      </c>
      <c r="W662" s="476"/>
    </row>
    <row r="663" spans="1:23" s="69" customFormat="1" ht="14.25" customHeight="1">
      <c r="A663" s="476" t="s">
        <v>2826</v>
      </c>
      <c r="B663" s="476" t="s">
        <v>332</v>
      </c>
      <c r="C663" s="476" t="s">
        <v>2885</v>
      </c>
      <c r="D663" s="429" t="s">
        <v>1685</v>
      </c>
      <c r="E663" s="476">
        <v>198185</v>
      </c>
      <c r="F663" s="476"/>
      <c r="G663" s="476"/>
      <c r="H663" s="476"/>
      <c r="I663" s="476"/>
      <c r="J663" s="476" t="s">
        <v>807</v>
      </c>
      <c r="K663" s="476" t="s">
        <v>807</v>
      </c>
      <c r="L663" s="476" t="s">
        <v>807</v>
      </c>
      <c r="M663" s="476" t="s">
        <v>804</v>
      </c>
      <c r="N663" s="476">
        <v>20.961650850000002</v>
      </c>
      <c r="O663" s="476">
        <v>92.502937320000001</v>
      </c>
      <c r="P663" s="476" t="s">
        <v>808</v>
      </c>
      <c r="Q663" s="476" t="s">
        <v>789</v>
      </c>
      <c r="R663" s="482"/>
      <c r="S663" s="483"/>
      <c r="T663" s="502"/>
      <c r="U663" s="484"/>
      <c r="V663" s="476" t="s">
        <v>674</v>
      </c>
      <c r="W663" s="476"/>
    </row>
    <row r="664" spans="1:23" s="69" customFormat="1" ht="14.25" customHeight="1">
      <c r="A664" s="483" t="s">
        <v>2826</v>
      </c>
      <c r="B664" s="486" t="s">
        <v>332</v>
      </c>
      <c r="C664" s="487" t="s">
        <v>3023</v>
      </c>
      <c r="D664" s="481"/>
      <c r="E664" s="476">
        <v>198357</v>
      </c>
      <c r="F664" s="476"/>
      <c r="G664" s="476"/>
      <c r="H664" s="476"/>
      <c r="I664" s="476"/>
      <c r="J664" s="476" t="s">
        <v>807</v>
      </c>
      <c r="K664" s="476" t="s">
        <v>807</v>
      </c>
      <c r="L664" s="476" t="s">
        <v>807</v>
      </c>
      <c r="M664" s="476"/>
      <c r="N664" s="476">
        <v>20.813840866088899</v>
      </c>
      <c r="O664" s="476">
        <v>92.599952697753906</v>
      </c>
      <c r="P664" s="476"/>
      <c r="Q664" s="476"/>
      <c r="R664" s="490"/>
      <c r="S664" s="483"/>
      <c r="T664" s="502"/>
      <c r="U664" s="490"/>
      <c r="V664" s="476"/>
      <c r="W664" s="482"/>
    </row>
    <row r="665" spans="1:23" s="69" customFormat="1" ht="14.25" customHeight="1">
      <c r="A665" s="476" t="s">
        <v>2826</v>
      </c>
      <c r="B665" s="480" t="s">
        <v>332</v>
      </c>
      <c r="C665" s="480" t="s">
        <v>592</v>
      </c>
      <c r="D665" s="429" t="s">
        <v>1685</v>
      </c>
      <c r="E665" s="476">
        <v>198427</v>
      </c>
      <c r="F665" s="476"/>
      <c r="G665" s="476"/>
      <c r="H665" s="476"/>
      <c r="I665" s="476"/>
      <c r="J665" s="476" t="s">
        <v>807</v>
      </c>
      <c r="K665" s="476" t="s">
        <v>807</v>
      </c>
      <c r="L665" s="476" t="s">
        <v>807</v>
      </c>
      <c r="M665" s="476" t="s">
        <v>898</v>
      </c>
      <c r="N665" s="494">
        <v>20.742059709999999</v>
      </c>
      <c r="O665" s="494">
        <v>92.630676269999995</v>
      </c>
      <c r="P665" s="476" t="s">
        <v>808</v>
      </c>
      <c r="Q665" s="476" t="s">
        <v>789</v>
      </c>
      <c r="R665" s="482"/>
      <c r="S665" s="483"/>
      <c r="T665" s="502"/>
      <c r="U665" s="484"/>
      <c r="V665" s="476" t="s">
        <v>592</v>
      </c>
      <c r="W665" s="476"/>
    </row>
    <row r="666" spans="1:23" s="69" customFormat="1" ht="14.25" customHeight="1">
      <c r="A666" s="476" t="s">
        <v>2826</v>
      </c>
      <c r="B666" s="480" t="s">
        <v>332</v>
      </c>
      <c r="C666" s="480" t="s">
        <v>2691</v>
      </c>
      <c r="D666" s="429"/>
      <c r="E666" s="476">
        <v>198427</v>
      </c>
      <c r="F666" s="476" t="s">
        <v>2806</v>
      </c>
      <c r="G666" s="476"/>
      <c r="H666" s="476"/>
      <c r="I666" s="476"/>
      <c r="J666" s="476" t="s">
        <v>807</v>
      </c>
      <c r="K666" s="476" t="s">
        <v>807</v>
      </c>
      <c r="L666" s="476" t="s">
        <v>807</v>
      </c>
      <c r="M666" s="476" t="s">
        <v>804</v>
      </c>
      <c r="N666" s="476"/>
      <c r="O666" s="476"/>
      <c r="P666" s="476"/>
      <c r="Q666" s="476" t="s">
        <v>2803</v>
      </c>
      <c r="R666" s="482"/>
      <c r="S666" s="483"/>
      <c r="T666" s="502"/>
      <c r="U666" s="484"/>
      <c r="V666" s="476"/>
      <c r="W666" s="476"/>
    </row>
    <row r="667" spans="1:23" s="69" customFormat="1" ht="14.25" customHeight="1">
      <c r="A667" s="476" t="s">
        <v>2826</v>
      </c>
      <c r="B667" s="476" t="s">
        <v>332</v>
      </c>
      <c r="C667" s="476" t="s">
        <v>2690</v>
      </c>
      <c r="D667" s="429"/>
      <c r="E667" s="476">
        <v>198426</v>
      </c>
      <c r="F667" s="476" t="s">
        <v>2806</v>
      </c>
      <c r="G667" s="476"/>
      <c r="H667" s="476"/>
      <c r="I667" s="476"/>
      <c r="J667" s="476" t="s">
        <v>807</v>
      </c>
      <c r="K667" s="476" t="s">
        <v>807</v>
      </c>
      <c r="L667" s="476" t="s">
        <v>807</v>
      </c>
      <c r="M667" s="476" t="s">
        <v>307</v>
      </c>
      <c r="N667" s="476"/>
      <c r="O667" s="476"/>
      <c r="P667" s="476"/>
      <c r="Q667" s="476" t="s">
        <v>2803</v>
      </c>
      <c r="R667" s="482"/>
      <c r="S667" s="483"/>
      <c r="T667" s="502"/>
      <c r="U667" s="484"/>
      <c r="V667" s="476"/>
      <c r="W667" s="476"/>
    </row>
    <row r="668" spans="1:23" s="69" customFormat="1" ht="14.25" customHeight="1">
      <c r="A668" s="486" t="s">
        <v>2826</v>
      </c>
      <c r="B668" s="486" t="s">
        <v>332</v>
      </c>
      <c r="C668" s="487" t="s">
        <v>2993</v>
      </c>
      <c r="D668" s="481"/>
      <c r="E668" s="476">
        <v>198415</v>
      </c>
      <c r="F668" s="476"/>
      <c r="G668" s="476"/>
      <c r="H668" s="476"/>
      <c r="I668" s="476"/>
      <c r="J668" s="476" t="s">
        <v>2836</v>
      </c>
      <c r="K668" s="476" t="s">
        <v>2798</v>
      </c>
      <c r="L668" s="476" t="s">
        <v>2798</v>
      </c>
      <c r="M668" s="476"/>
      <c r="N668" s="476">
        <v>20.734859466552699</v>
      </c>
      <c r="O668" s="476">
        <v>92.657089233398395</v>
      </c>
      <c r="P668" s="476"/>
      <c r="Q668" s="476"/>
      <c r="R668" s="490"/>
      <c r="S668" s="483"/>
      <c r="T668" s="502">
        <v>43591</v>
      </c>
      <c r="U668" s="490"/>
      <c r="V668" s="476"/>
      <c r="W668" s="482"/>
    </row>
    <row r="669" spans="1:23" s="69" customFormat="1" ht="14.25" customHeight="1">
      <c r="A669" s="476" t="s">
        <v>2826</v>
      </c>
      <c r="B669" s="476" t="s">
        <v>332</v>
      </c>
      <c r="C669" s="476" t="s">
        <v>614</v>
      </c>
      <c r="D669" s="429" t="s">
        <v>1685</v>
      </c>
      <c r="E669" s="476">
        <v>198367</v>
      </c>
      <c r="F669" s="476"/>
      <c r="G669" s="476"/>
      <c r="H669" s="476"/>
      <c r="I669" s="476"/>
      <c r="J669" s="476" t="s">
        <v>807</v>
      </c>
      <c r="K669" s="476" t="s">
        <v>807</v>
      </c>
      <c r="L669" s="476" t="s">
        <v>807</v>
      </c>
      <c r="M669" s="476" t="s">
        <v>804</v>
      </c>
      <c r="N669" s="476">
        <v>20.792390820000001</v>
      </c>
      <c r="O669" s="476">
        <v>92.587081909999995</v>
      </c>
      <c r="P669" s="476" t="s">
        <v>808</v>
      </c>
      <c r="Q669" s="476" t="s">
        <v>789</v>
      </c>
      <c r="R669" s="482"/>
      <c r="S669" s="483"/>
      <c r="T669" s="502"/>
      <c r="U669" s="484"/>
      <c r="V669" s="476" t="s">
        <v>614</v>
      </c>
      <c r="W669" s="476"/>
    </row>
    <row r="670" spans="1:23" s="69" customFormat="1" ht="14.25" customHeight="1">
      <c r="A670" s="476" t="s">
        <v>2826</v>
      </c>
      <c r="B670" s="476" t="s">
        <v>332</v>
      </c>
      <c r="C670" s="476" t="s">
        <v>661</v>
      </c>
      <c r="D670" s="429" t="s">
        <v>1685</v>
      </c>
      <c r="E670" s="476">
        <v>198317</v>
      </c>
      <c r="F670" s="476"/>
      <c r="G670" s="476"/>
      <c r="H670" s="476"/>
      <c r="I670" s="476"/>
      <c r="J670" s="476" t="s">
        <v>807</v>
      </c>
      <c r="K670" s="476" t="s">
        <v>807</v>
      </c>
      <c r="L670" s="476" t="s">
        <v>807</v>
      </c>
      <c r="M670" s="476" t="s">
        <v>804</v>
      </c>
      <c r="N670" s="494">
        <v>20.891330719999999</v>
      </c>
      <c r="O670" s="494">
        <v>92.491966250000004</v>
      </c>
      <c r="P670" s="476" t="s">
        <v>808</v>
      </c>
      <c r="Q670" s="476" t="s">
        <v>789</v>
      </c>
      <c r="R670" s="482"/>
      <c r="S670" s="483"/>
      <c r="T670" s="502"/>
      <c r="U670" s="484"/>
      <c r="V670" s="476" t="s">
        <v>661</v>
      </c>
      <c r="W670" s="476"/>
    </row>
    <row r="671" spans="1:23" s="69" customFormat="1" ht="14.25" customHeight="1">
      <c r="A671" s="486" t="s">
        <v>2826</v>
      </c>
      <c r="B671" s="486" t="s">
        <v>332</v>
      </c>
      <c r="C671" s="487" t="s">
        <v>630</v>
      </c>
      <c r="D671" s="481"/>
      <c r="E671" s="476">
        <v>217876</v>
      </c>
      <c r="F671" s="476"/>
      <c r="G671" s="476"/>
      <c r="H671" s="476"/>
      <c r="I671" s="476"/>
      <c r="J671" s="476" t="s">
        <v>2836</v>
      </c>
      <c r="K671" s="476" t="s">
        <v>2798</v>
      </c>
      <c r="L671" s="476" t="s">
        <v>2798</v>
      </c>
      <c r="M671" s="476" t="s">
        <v>307</v>
      </c>
      <c r="N671" s="476">
        <v>20.818290709999999</v>
      </c>
      <c r="O671" s="476">
        <v>92.594978330000004</v>
      </c>
      <c r="P671" s="476" t="s">
        <v>808</v>
      </c>
      <c r="Q671" s="476"/>
      <c r="R671" s="490"/>
      <c r="S671" s="483"/>
      <c r="T671" s="502">
        <v>43591</v>
      </c>
      <c r="U671" s="490"/>
      <c r="V671" s="476"/>
      <c r="W671" s="482"/>
    </row>
    <row r="672" spans="1:23" s="69" customFormat="1" ht="14.25" customHeight="1">
      <c r="A672" s="476" t="s">
        <v>2826</v>
      </c>
      <c r="B672" s="476" t="s">
        <v>332</v>
      </c>
      <c r="C672" s="476" t="s">
        <v>333</v>
      </c>
      <c r="D672" s="429" t="s">
        <v>1685</v>
      </c>
      <c r="E672" s="476"/>
      <c r="F672" s="476"/>
      <c r="G672" s="476"/>
      <c r="H672" s="476"/>
      <c r="I672" s="476"/>
      <c r="J672" s="476" t="s">
        <v>813</v>
      </c>
      <c r="K672" s="476" t="s">
        <v>807</v>
      </c>
      <c r="L672" s="476" t="s">
        <v>813</v>
      </c>
      <c r="M672" s="476" t="s">
        <v>804</v>
      </c>
      <c r="N672" s="476"/>
      <c r="O672" s="476"/>
      <c r="P672" s="476" t="s">
        <v>932</v>
      </c>
      <c r="Q672" s="476" t="s">
        <v>811</v>
      </c>
      <c r="R672" s="482"/>
      <c r="S672" s="483"/>
      <c r="T672" s="502">
        <v>42926</v>
      </c>
      <c r="U672" s="484" t="s">
        <v>942</v>
      </c>
      <c r="V672" s="476"/>
      <c r="W672" s="476"/>
    </row>
    <row r="673" spans="1:23" s="69" customFormat="1" ht="14.25" customHeight="1">
      <c r="A673" s="476" t="s">
        <v>2826</v>
      </c>
      <c r="B673" s="476" t="s">
        <v>332</v>
      </c>
      <c r="C673" s="476" t="s">
        <v>551</v>
      </c>
      <c r="D673" s="429" t="s">
        <v>1685</v>
      </c>
      <c r="E673" s="476">
        <v>220754</v>
      </c>
      <c r="F673" s="476"/>
      <c r="G673" s="476"/>
      <c r="H673" s="476"/>
      <c r="I673" s="476"/>
      <c r="J673" s="476" t="s">
        <v>807</v>
      </c>
      <c r="K673" s="476" t="s">
        <v>807</v>
      </c>
      <c r="L673" s="476" t="s">
        <v>807</v>
      </c>
      <c r="M673" s="476" t="s">
        <v>307</v>
      </c>
      <c r="N673" s="476">
        <v>20.685689929999999</v>
      </c>
      <c r="O673" s="476">
        <v>92.572860719999994</v>
      </c>
      <c r="P673" s="476" t="s">
        <v>808</v>
      </c>
      <c r="Q673" s="476" t="s">
        <v>789</v>
      </c>
      <c r="R673" s="482"/>
      <c r="S673" s="483"/>
      <c r="T673" s="502"/>
      <c r="U673" s="484"/>
      <c r="V673" s="476" t="s">
        <v>551</v>
      </c>
      <c r="W673" s="476"/>
    </row>
    <row r="674" spans="1:23" s="69" customFormat="1" ht="14.25" customHeight="1">
      <c r="A674" s="476" t="s">
        <v>2826</v>
      </c>
      <c r="B674" s="476" t="s">
        <v>332</v>
      </c>
      <c r="C674" s="476" t="s">
        <v>580</v>
      </c>
      <c r="D674" s="429" t="s">
        <v>1685</v>
      </c>
      <c r="E674" s="476">
        <v>198429</v>
      </c>
      <c r="F674" s="476"/>
      <c r="G674" s="476"/>
      <c r="H674" s="476"/>
      <c r="I674" s="476"/>
      <c r="J674" s="476" t="s">
        <v>807</v>
      </c>
      <c r="K674" s="476" t="s">
        <v>807</v>
      </c>
      <c r="L674" s="476" t="s">
        <v>807</v>
      </c>
      <c r="M674" s="476" t="s">
        <v>804</v>
      </c>
      <c r="N674" s="476">
        <v>20.721019739999999</v>
      </c>
      <c r="O674" s="476">
        <v>92.626197809999994</v>
      </c>
      <c r="P674" s="476" t="s">
        <v>808</v>
      </c>
      <c r="Q674" s="476" t="s">
        <v>789</v>
      </c>
      <c r="R674" s="482"/>
      <c r="S674" s="483"/>
      <c r="T674" s="502"/>
      <c r="U674" s="484"/>
      <c r="V674" s="476" t="s">
        <v>580</v>
      </c>
      <c r="W674" s="476"/>
    </row>
    <row r="675" spans="1:23" s="69" customFormat="1" ht="14.25" customHeight="1">
      <c r="A675" s="476" t="s">
        <v>2826</v>
      </c>
      <c r="B675" s="476" t="s">
        <v>332</v>
      </c>
      <c r="C675" s="476" t="s">
        <v>660</v>
      </c>
      <c r="D675" s="429"/>
      <c r="E675" s="476">
        <v>198435</v>
      </c>
      <c r="F675" s="476" t="s">
        <v>2808</v>
      </c>
      <c r="G675" s="476"/>
      <c r="H675" s="476"/>
      <c r="I675" s="476"/>
      <c r="J675" s="476" t="s">
        <v>807</v>
      </c>
      <c r="K675" s="476" t="s">
        <v>807</v>
      </c>
      <c r="L675" s="476" t="s">
        <v>807</v>
      </c>
      <c r="M675" s="476" t="s">
        <v>804</v>
      </c>
      <c r="N675" s="476"/>
      <c r="O675" s="476"/>
      <c r="P675" s="476"/>
      <c r="Q675" s="476" t="s">
        <v>2803</v>
      </c>
      <c r="R675" s="482"/>
      <c r="S675" s="483"/>
      <c r="T675" s="502"/>
      <c r="U675" s="484"/>
      <c r="V675" s="476"/>
      <c r="W675" s="476"/>
    </row>
    <row r="676" spans="1:23" s="69" customFormat="1" ht="14.25" customHeight="1">
      <c r="A676" s="476" t="s">
        <v>2826</v>
      </c>
      <c r="B676" s="476" t="s">
        <v>332</v>
      </c>
      <c r="C676" s="476" t="s">
        <v>594</v>
      </c>
      <c r="D676" s="429" t="s">
        <v>1685</v>
      </c>
      <c r="E676" s="476">
        <v>198390</v>
      </c>
      <c r="F676" s="476"/>
      <c r="G676" s="476"/>
      <c r="H676" s="476"/>
      <c r="I676" s="476"/>
      <c r="J676" s="476" t="s">
        <v>807</v>
      </c>
      <c r="K676" s="476" t="s">
        <v>807</v>
      </c>
      <c r="L676" s="476" t="s">
        <v>807</v>
      </c>
      <c r="M676" s="476" t="s">
        <v>804</v>
      </c>
      <c r="N676" s="476">
        <v>20.753370289999999</v>
      </c>
      <c r="O676" s="476">
        <v>92.545188899999999</v>
      </c>
      <c r="P676" s="476" t="s">
        <v>808</v>
      </c>
      <c r="Q676" s="476" t="s">
        <v>789</v>
      </c>
      <c r="R676" s="482"/>
      <c r="S676" s="483"/>
      <c r="T676" s="502"/>
      <c r="U676" s="484"/>
      <c r="V676" s="476" t="s">
        <v>594</v>
      </c>
      <c r="W676" s="476"/>
    </row>
    <row r="677" spans="1:23" s="69" customFormat="1" ht="14.25" customHeight="1">
      <c r="A677" s="476" t="s">
        <v>2826</v>
      </c>
      <c r="B677" s="480" t="s">
        <v>332</v>
      </c>
      <c r="C677" s="480" t="s">
        <v>2692</v>
      </c>
      <c r="D677" s="429" t="s">
        <v>1685</v>
      </c>
      <c r="E677" s="476">
        <v>198431</v>
      </c>
      <c r="F677" s="476" t="s">
        <v>2807</v>
      </c>
      <c r="G677" s="476"/>
      <c r="H677" s="476"/>
      <c r="I677" s="476"/>
      <c r="J677" s="476" t="s">
        <v>807</v>
      </c>
      <c r="K677" s="476" t="s">
        <v>807</v>
      </c>
      <c r="L677" s="476" t="s">
        <v>807</v>
      </c>
      <c r="M677" s="476" t="s">
        <v>804</v>
      </c>
      <c r="N677" s="476">
        <v>20.703790659999999</v>
      </c>
      <c r="O677" s="476">
        <v>92.628463749999995</v>
      </c>
      <c r="P677" s="476" t="s">
        <v>808</v>
      </c>
      <c r="Q677" s="476" t="s">
        <v>789</v>
      </c>
      <c r="R677" s="482"/>
      <c r="S677" s="483"/>
      <c r="T677" s="502"/>
      <c r="U677" s="484"/>
      <c r="V677" s="476" t="s">
        <v>563</v>
      </c>
      <c r="W677" s="476"/>
    </row>
    <row r="678" spans="1:23" s="69" customFormat="1" ht="14.25" customHeight="1">
      <c r="A678" s="476" t="s">
        <v>2826</v>
      </c>
      <c r="B678" s="480" t="s">
        <v>332</v>
      </c>
      <c r="C678" s="480" t="s">
        <v>2693</v>
      </c>
      <c r="D678" s="429" t="s">
        <v>1685</v>
      </c>
      <c r="E678" s="476">
        <v>198428</v>
      </c>
      <c r="F678" s="476"/>
      <c r="G678" s="476"/>
      <c r="H678" s="476"/>
      <c r="I678" s="476"/>
      <c r="J678" s="476" t="s">
        <v>807</v>
      </c>
      <c r="K678" s="476" t="s">
        <v>807</v>
      </c>
      <c r="L678" s="476" t="s">
        <v>807</v>
      </c>
      <c r="M678" s="476" t="s">
        <v>307</v>
      </c>
      <c r="N678" s="476">
        <v>20.703920360000001</v>
      </c>
      <c r="O678" s="476">
        <v>92.631500239999994</v>
      </c>
      <c r="P678" s="476" t="s">
        <v>808</v>
      </c>
      <c r="Q678" s="476" t="s">
        <v>789</v>
      </c>
      <c r="R678" s="482"/>
      <c r="S678" s="483"/>
      <c r="T678" s="502"/>
      <c r="U678" s="484"/>
      <c r="V678" s="476" t="s">
        <v>564</v>
      </c>
      <c r="W678" s="476"/>
    </row>
    <row r="679" spans="1:23" s="69" customFormat="1" ht="14.25" customHeight="1">
      <c r="A679" s="476" t="s">
        <v>2826</v>
      </c>
      <c r="B679" s="476" t="s">
        <v>332</v>
      </c>
      <c r="C679" s="476" t="s">
        <v>542</v>
      </c>
      <c r="D679" s="429" t="s">
        <v>1685</v>
      </c>
      <c r="E679" s="476">
        <v>217884</v>
      </c>
      <c r="F679" s="476"/>
      <c r="G679" s="476"/>
      <c r="H679" s="476"/>
      <c r="I679" s="476"/>
      <c r="J679" s="476" t="s">
        <v>807</v>
      </c>
      <c r="K679" s="476" t="s">
        <v>807</v>
      </c>
      <c r="L679" s="476" t="s">
        <v>807</v>
      </c>
      <c r="M679" s="476" t="s">
        <v>804</v>
      </c>
      <c r="N679" s="476">
        <v>20.673639300000001</v>
      </c>
      <c r="O679" s="476">
        <v>92.596298219999994</v>
      </c>
      <c r="P679" s="476" t="s">
        <v>808</v>
      </c>
      <c r="Q679" s="476" t="s">
        <v>789</v>
      </c>
      <c r="R679" s="482"/>
      <c r="S679" s="483"/>
      <c r="T679" s="502"/>
      <c r="U679" s="484"/>
      <c r="V679" s="476" t="s">
        <v>542</v>
      </c>
      <c r="W679" s="476"/>
    </row>
    <row r="680" spans="1:23" s="69" customFormat="1" ht="14.25" customHeight="1">
      <c r="A680" s="476" t="s">
        <v>2826</v>
      </c>
      <c r="B680" s="480" t="s">
        <v>332</v>
      </c>
      <c r="C680" s="487" t="s">
        <v>2872</v>
      </c>
      <c r="D680" s="481"/>
      <c r="E680" s="476"/>
      <c r="F680" s="476"/>
      <c r="G680" s="476"/>
      <c r="H680" s="476"/>
      <c r="I680" s="476"/>
      <c r="J680" s="476" t="s">
        <v>807</v>
      </c>
      <c r="K680" s="476" t="s">
        <v>888</v>
      </c>
      <c r="L680" s="476" t="s">
        <v>888</v>
      </c>
      <c r="M680" s="476"/>
      <c r="N680" s="476"/>
      <c r="O680" s="476"/>
      <c r="P680" s="476"/>
      <c r="Q680" s="476"/>
      <c r="R680" s="490"/>
      <c r="S680" s="483"/>
      <c r="T680" s="502"/>
      <c r="U680" s="525"/>
      <c r="V680" s="476" t="s">
        <v>3025</v>
      </c>
      <c r="W680" s="482"/>
    </row>
    <row r="681" spans="1:23" s="69" customFormat="1" ht="14.25" customHeight="1">
      <c r="A681" s="476" t="s">
        <v>2826</v>
      </c>
      <c r="B681" s="476" t="s">
        <v>332</v>
      </c>
      <c r="C681" s="476" t="s">
        <v>1110</v>
      </c>
      <c r="D681" s="429" t="s">
        <v>1685</v>
      </c>
      <c r="E681" s="476">
        <v>198232</v>
      </c>
      <c r="F681" s="476"/>
      <c r="G681" s="476"/>
      <c r="H681" s="476"/>
      <c r="I681" s="476"/>
      <c r="J681" s="476" t="s">
        <v>807</v>
      </c>
      <c r="K681" s="476" t="s">
        <v>807</v>
      </c>
      <c r="L681" s="476" t="s">
        <v>807</v>
      </c>
      <c r="M681" s="476" t="s">
        <v>307</v>
      </c>
      <c r="N681" s="476"/>
      <c r="O681" s="476"/>
      <c r="P681" s="476" t="s">
        <v>808</v>
      </c>
      <c r="Q681" s="476" t="s">
        <v>811</v>
      </c>
      <c r="R681" s="482"/>
      <c r="S681" s="483"/>
      <c r="T681" s="502">
        <v>42926</v>
      </c>
      <c r="U681" s="484" t="s">
        <v>812</v>
      </c>
      <c r="V681" s="476"/>
      <c r="W681" s="476"/>
    </row>
    <row r="682" spans="1:23" s="69" customFormat="1" ht="14.25" customHeight="1">
      <c r="A682" s="483" t="s">
        <v>2826</v>
      </c>
      <c r="B682" s="486" t="s">
        <v>332</v>
      </c>
      <c r="C682" s="487" t="s">
        <v>2804</v>
      </c>
      <c r="D682" s="481"/>
      <c r="E682" s="476">
        <v>198370</v>
      </c>
      <c r="F682" s="508" t="s">
        <v>2804</v>
      </c>
      <c r="G682" s="476"/>
      <c r="H682" s="476"/>
      <c r="I682" s="476"/>
      <c r="J682" s="476" t="s">
        <v>807</v>
      </c>
      <c r="K682" s="476" t="s">
        <v>807</v>
      </c>
      <c r="L682" s="476" t="s">
        <v>807</v>
      </c>
      <c r="M682" s="476"/>
      <c r="N682" s="476">
        <v>20.793779373168899</v>
      </c>
      <c r="O682" s="476">
        <v>92.597961425781307</v>
      </c>
      <c r="P682" s="476"/>
      <c r="Q682" s="476" t="s">
        <v>2803</v>
      </c>
      <c r="R682" s="490"/>
      <c r="S682" s="483"/>
      <c r="T682" s="502">
        <v>43580</v>
      </c>
      <c r="U682" s="525" t="s">
        <v>2870</v>
      </c>
      <c r="V682" s="484"/>
      <c r="W682" s="482"/>
    </row>
    <row r="683" spans="1:23" s="69" customFormat="1" ht="14.25" customHeight="1">
      <c r="A683" s="476" t="s">
        <v>2826</v>
      </c>
      <c r="B683" s="476" t="s">
        <v>332</v>
      </c>
      <c r="C683" s="476" t="s">
        <v>2683</v>
      </c>
      <c r="D683" s="429"/>
      <c r="E683" s="476">
        <v>198350</v>
      </c>
      <c r="F683" s="476" t="s">
        <v>2684</v>
      </c>
      <c r="G683" s="476"/>
      <c r="H683" s="476"/>
      <c r="I683" s="476"/>
      <c r="J683" s="476" t="s">
        <v>807</v>
      </c>
      <c r="K683" s="476" t="s">
        <v>807</v>
      </c>
      <c r="L683" s="476" t="s">
        <v>807</v>
      </c>
      <c r="M683" s="476" t="s">
        <v>804</v>
      </c>
      <c r="N683" s="476"/>
      <c r="O683" s="476"/>
      <c r="P683" s="476"/>
      <c r="Q683" s="476" t="s">
        <v>2803</v>
      </c>
      <c r="R683" s="482"/>
      <c r="S683" s="483"/>
      <c r="T683" s="502"/>
      <c r="U683" s="484"/>
      <c r="V683" s="476"/>
      <c r="W683" s="476"/>
    </row>
    <row r="684" spans="1:23" s="69" customFormat="1" ht="14.25" customHeight="1">
      <c r="A684" s="476" t="s">
        <v>2826</v>
      </c>
      <c r="B684" s="476" t="s">
        <v>332</v>
      </c>
      <c r="C684" s="476" t="s">
        <v>677</v>
      </c>
      <c r="D684" s="429" t="s">
        <v>1685</v>
      </c>
      <c r="E684" s="476">
        <v>198183</v>
      </c>
      <c r="F684" s="476"/>
      <c r="G684" s="476"/>
      <c r="H684" s="476"/>
      <c r="I684" s="476"/>
      <c r="J684" s="476" t="s">
        <v>807</v>
      </c>
      <c r="K684" s="476" t="s">
        <v>807</v>
      </c>
      <c r="L684" s="476" t="s">
        <v>807</v>
      </c>
      <c r="M684" s="476" t="s">
        <v>960</v>
      </c>
      <c r="N684" s="476">
        <v>20.977460860000001</v>
      </c>
      <c r="O684" s="476">
        <v>92.484466549999993</v>
      </c>
      <c r="P684" s="476" t="s">
        <v>808</v>
      </c>
      <c r="Q684" s="476" t="s">
        <v>789</v>
      </c>
      <c r="R684" s="482"/>
      <c r="S684" s="483"/>
      <c r="T684" s="502"/>
      <c r="U684" s="484"/>
      <c r="V684" s="476" t="s">
        <v>677</v>
      </c>
      <c r="W684" s="476"/>
    </row>
    <row r="685" spans="1:23" s="69" customFormat="1" ht="14.25" customHeight="1">
      <c r="A685" s="476" t="s">
        <v>2826</v>
      </c>
      <c r="B685" s="476" t="s">
        <v>332</v>
      </c>
      <c r="C685" s="476" t="s">
        <v>676</v>
      </c>
      <c r="D685" s="429" t="s">
        <v>1685</v>
      </c>
      <c r="E685" s="476">
        <v>198187</v>
      </c>
      <c r="F685" s="476"/>
      <c r="G685" s="476"/>
      <c r="H685" s="476"/>
      <c r="I685" s="476"/>
      <c r="J685" s="476" t="s">
        <v>807</v>
      </c>
      <c r="K685" s="476" t="s">
        <v>807</v>
      </c>
      <c r="L685" s="476" t="s">
        <v>807</v>
      </c>
      <c r="M685" s="476" t="s">
        <v>804</v>
      </c>
      <c r="N685" s="476">
        <v>20.974870679999999</v>
      </c>
      <c r="O685" s="476">
        <v>92.483711240000005</v>
      </c>
      <c r="P685" s="476" t="s">
        <v>808</v>
      </c>
      <c r="Q685" s="476" t="s">
        <v>789</v>
      </c>
      <c r="R685" s="482"/>
      <c r="S685" s="483"/>
      <c r="T685" s="502"/>
      <c r="U685" s="484"/>
      <c r="V685" s="476" t="s">
        <v>676</v>
      </c>
      <c r="W685" s="476"/>
    </row>
    <row r="686" spans="1:23" s="69" customFormat="1" ht="14.25" customHeight="1">
      <c r="A686" s="476" t="s">
        <v>2826</v>
      </c>
      <c r="B686" s="476" t="s">
        <v>332</v>
      </c>
      <c r="C686" s="476" t="s">
        <v>647</v>
      </c>
      <c r="D686" s="429" t="s">
        <v>1685</v>
      </c>
      <c r="E686" s="476">
        <v>198313</v>
      </c>
      <c r="F686" s="476"/>
      <c r="G686" s="476"/>
      <c r="H686" s="476"/>
      <c r="I686" s="476"/>
      <c r="J686" s="476" t="s">
        <v>807</v>
      </c>
      <c r="K686" s="476" t="s">
        <v>807</v>
      </c>
      <c r="L686" s="476" t="s">
        <v>807</v>
      </c>
      <c r="M686" s="476" t="s">
        <v>307</v>
      </c>
      <c r="N686" s="476">
        <v>20.849060059999999</v>
      </c>
      <c r="O686" s="476">
        <v>92.497413640000005</v>
      </c>
      <c r="P686" s="476" t="s">
        <v>808</v>
      </c>
      <c r="Q686" s="476" t="s">
        <v>811</v>
      </c>
      <c r="R686" s="482"/>
      <c r="S686" s="483"/>
      <c r="T686" s="502">
        <v>42926</v>
      </c>
      <c r="U686" s="484" t="s">
        <v>942</v>
      </c>
      <c r="V686" s="476"/>
      <c r="W686" s="476"/>
    </row>
    <row r="687" spans="1:23" s="69" customFormat="1" ht="14.25" customHeight="1">
      <c r="A687" s="476" t="s">
        <v>2826</v>
      </c>
      <c r="B687" s="476" t="s">
        <v>332</v>
      </c>
      <c r="C687" s="476" t="s">
        <v>653</v>
      </c>
      <c r="D687" s="429" t="s">
        <v>1685</v>
      </c>
      <c r="E687" s="476">
        <v>198301</v>
      </c>
      <c r="F687" s="476"/>
      <c r="G687" s="476"/>
      <c r="H687" s="476"/>
      <c r="I687" s="476"/>
      <c r="J687" s="476" t="s">
        <v>807</v>
      </c>
      <c r="K687" s="476" t="s">
        <v>807</v>
      </c>
      <c r="L687" s="476" t="s">
        <v>807</v>
      </c>
      <c r="M687" s="476" t="s">
        <v>804</v>
      </c>
      <c r="N687" s="476">
        <v>20.876710889999998</v>
      </c>
      <c r="O687" s="476">
        <v>92.537406919999995</v>
      </c>
      <c r="P687" s="476" t="s">
        <v>808</v>
      </c>
      <c r="Q687" s="476" t="s">
        <v>789</v>
      </c>
      <c r="R687" s="482"/>
      <c r="S687" s="483"/>
      <c r="T687" s="502"/>
      <c r="U687" s="484"/>
      <c r="V687" s="476" t="s">
        <v>653</v>
      </c>
      <c r="W687" s="476"/>
    </row>
    <row r="688" spans="1:23" s="69" customFormat="1" ht="14.25" customHeight="1">
      <c r="A688" s="476" t="s">
        <v>2826</v>
      </c>
      <c r="B688" s="476" t="s">
        <v>332</v>
      </c>
      <c r="C688" s="476" t="s">
        <v>554</v>
      </c>
      <c r="D688" s="429" t="s">
        <v>1685</v>
      </c>
      <c r="E688" s="476">
        <v>198444</v>
      </c>
      <c r="F688" s="476"/>
      <c r="G688" s="476"/>
      <c r="H688" s="476"/>
      <c r="I688" s="476"/>
      <c r="J688" s="476" t="s">
        <v>807</v>
      </c>
      <c r="K688" s="476" t="s">
        <v>807</v>
      </c>
      <c r="L688" s="476" t="s">
        <v>807</v>
      </c>
      <c r="M688" s="476" t="s">
        <v>804</v>
      </c>
      <c r="N688" s="476">
        <v>20.687610630000002</v>
      </c>
      <c r="O688" s="476">
        <v>92.617988589999996</v>
      </c>
      <c r="P688" s="476" t="s">
        <v>808</v>
      </c>
      <c r="Q688" s="476" t="s">
        <v>789</v>
      </c>
      <c r="R688" s="482"/>
      <c r="S688" s="483"/>
      <c r="T688" s="502"/>
      <c r="U688" s="484"/>
      <c r="V688" s="476" t="s">
        <v>554</v>
      </c>
      <c r="W688" s="476"/>
    </row>
    <row r="689" spans="1:23" s="69" customFormat="1" ht="14.25" customHeight="1">
      <c r="A689" s="476" t="s">
        <v>2826</v>
      </c>
      <c r="B689" s="476" t="s">
        <v>332</v>
      </c>
      <c r="C689" s="476" t="s">
        <v>672</v>
      </c>
      <c r="D689" s="429" t="s">
        <v>1685</v>
      </c>
      <c r="E689" s="476">
        <v>217866</v>
      </c>
      <c r="F689" s="476"/>
      <c r="G689" s="476"/>
      <c r="H689" s="476"/>
      <c r="I689" s="476"/>
      <c r="J689" s="476" t="s">
        <v>807</v>
      </c>
      <c r="K689" s="476" t="s">
        <v>807</v>
      </c>
      <c r="L689" s="476" t="s">
        <v>807</v>
      </c>
      <c r="M689" s="476" t="s">
        <v>804</v>
      </c>
      <c r="N689" s="476">
        <v>20.936349870000001</v>
      </c>
      <c r="O689" s="476">
        <v>92.468246460000003</v>
      </c>
      <c r="P689" s="476" t="s">
        <v>808</v>
      </c>
      <c r="Q689" s="476" t="s">
        <v>789</v>
      </c>
      <c r="R689" s="482"/>
      <c r="S689" s="483"/>
      <c r="T689" s="502"/>
      <c r="U689" s="484"/>
      <c r="V689" s="476" t="s">
        <v>672</v>
      </c>
      <c r="W689" s="476"/>
    </row>
    <row r="690" spans="1:23" s="69" customFormat="1" ht="14.25" customHeight="1">
      <c r="A690" s="476" t="s">
        <v>2826</v>
      </c>
      <c r="B690" s="476" t="s">
        <v>332</v>
      </c>
      <c r="C690" s="476" t="s">
        <v>622</v>
      </c>
      <c r="D690" s="429" t="s">
        <v>1686</v>
      </c>
      <c r="E690" s="476">
        <v>198336</v>
      </c>
      <c r="F690" s="476" t="s">
        <v>1695</v>
      </c>
      <c r="G690" s="476" t="s">
        <v>1696</v>
      </c>
      <c r="H690" s="476"/>
      <c r="I690" s="476"/>
      <c r="J690" s="476" t="s">
        <v>807</v>
      </c>
      <c r="K690" s="476" t="s">
        <v>807</v>
      </c>
      <c r="L690" s="476" t="s">
        <v>807</v>
      </c>
      <c r="M690" s="476" t="s">
        <v>307</v>
      </c>
      <c r="N690" s="476">
        <v>20.80558014</v>
      </c>
      <c r="O690" s="476">
        <v>92.549842830000003</v>
      </c>
      <c r="P690" s="476" t="s">
        <v>808</v>
      </c>
      <c r="Q690" s="476" t="s">
        <v>811</v>
      </c>
      <c r="R690" s="482"/>
      <c r="S690" s="483"/>
      <c r="T690" s="502">
        <v>42926</v>
      </c>
      <c r="U690" s="484" t="s">
        <v>812</v>
      </c>
      <c r="V690" s="476"/>
      <c r="W690" s="476"/>
    </row>
    <row r="691" spans="1:23" s="69" customFormat="1" ht="14.25" customHeight="1">
      <c r="A691" s="483" t="s">
        <v>2826</v>
      </c>
      <c r="B691" s="486" t="s">
        <v>332</v>
      </c>
      <c r="C691" s="487" t="s">
        <v>2868</v>
      </c>
      <c r="D691" s="481"/>
      <c r="E691" s="476">
        <v>198356</v>
      </c>
      <c r="F691" s="476" t="s">
        <v>2876</v>
      </c>
      <c r="G691" s="476"/>
      <c r="H691" s="476"/>
      <c r="I691" s="476"/>
      <c r="J691" s="476" t="s">
        <v>807</v>
      </c>
      <c r="K691" s="476" t="s">
        <v>807</v>
      </c>
      <c r="L691" s="476" t="s">
        <v>807</v>
      </c>
      <c r="M691" s="476"/>
      <c r="N691" s="476">
        <v>20.821479797363299</v>
      </c>
      <c r="O691" s="476">
        <v>92.603950500488295</v>
      </c>
      <c r="P691" s="476"/>
      <c r="Q691" s="476" t="s">
        <v>2803</v>
      </c>
      <c r="R691" s="490"/>
      <c r="S691" s="483"/>
      <c r="T691" s="502">
        <v>43580</v>
      </c>
      <c r="U691" s="525" t="s">
        <v>2870</v>
      </c>
      <c r="V691" s="484"/>
      <c r="W691" s="482"/>
    </row>
    <row r="692" spans="1:23" s="69" customFormat="1" ht="14.25" customHeight="1">
      <c r="A692" s="476" t="s">
        <v>2826</v>
      </c>
      <c r="B692" s="480" t="s">
        <v>332</v>
      </c>
      <c r="C692" s="480" t="s">
        <v>633</v>
      </c>
      <c r="D692" s="429" t="s">
        <v>1685</v>
      </c>
      <c r="E692" s="476">
        <v>198356</v>
      </c>
      <c r="F692" s="476"/>
      <c r="G692" s="476"/>
      <c r="H692" s="476"/>
      <c r="I692" s="476"/>
      <c r="J692" s="476" t="s">
        <v>807</v>
      </c>
      <c r="K692" s="476" t="s">
        <v>807</v>
      </c>
      <c r="L692" s="476" t="s">
        <v>807</v>
      </c>
      <c r="M692" s="476" t="s">
        <v>804</v>
      </c>
      <c r="N692" s="476">
        <v>20.821479799999999</v>
      </c>
      <c r="O692" s="476">
        <v>92.603950499999996</v>
      </c>
      <c r="P692" s="476" t="s">
        <v>808</v>
      </c>
      <c r="Q692" s="476" t="s">
        <v>789</v>
      </c>
      <c r="R692" s="482"/>
      <c r="S692" s="483"/>
      <c r="T692" s="502"/>
      <c r="U692" s="484"/>
      <c r="V692" s="476" t="s">
        <v>633</v>
      </c>
      <c r="W692" s="476"/>
    </row>
    <row r="693" spans="1:23" s="69" customFormat="1" ht="14.25" customHeight="1">
      <c r="A693" s="476" t="s">
        <v>2826</v>
      </c>
      <c r="B693" s="480" t="s">
        <v>332</v>
      </c>
      <c r="C693" s="480" t="s">
        <v>2799</v>
      </c>
      <c r="D693" s="429"/>
      <c r="E693" s="476">
        <v>198369</v>
      </c>
      <c r="F693" s="476"/>
      <c r="G693" s="476"/>
      <c r="H693" s="476"/>
      <c r="I693" s="476"/>
      <c r="J693" s="476" t="s">
        <v>2836</v>
      </c>
      <c r="K693" s="476" t="s">
        <v>2798</v>
      </c>
      <c r="L693" s="476" t="s">
        <v>2798</v>
      </c>
      <c r="M693" s="476"/>
      <c r="N693" s="476"/>
      <c r="O693" s="476"/>
      <c r="P693" s="476"/>
      <c r="Q693" s="476"/>
      <c r="R693" s="482"/>
      <c r="S693" s="483"/>
      <c r="T693" s="502"/>
      <c r="U693" s="484"/>
      <c r="V693" s="476"/>
      <c r="W693" s="476"/>
    </row>
    <row r="694" spans="1:23" s="69" customFormat="1" ht="14.25" customHeight="1">
      <c r="A694" s="476" t="s">
        <v>2826</v>
      </c>
      <c r="B694" s="480" t="s">
        <v>332</v>
      </c>
      <c r="C694" s="480" t="s">
        <v>626</v>
      </c>
      <c r="D694" s="429" t="s">
        <v>1685</v>
      </c>
      <c r="E694" s="480">
        <v>198369</v>
      </c>
      <c r="F694" s="476"/>
      <c r="G694" s="476"/>
      <c r="H694" s="476"/>
      <c r="I694" s="476"/>
      <c r="J694" s="476" t="s">
        <v>807</v>
      </c>
      <c r="K694" s="476" t="s">
        <v>807</v>
      </c>
      <c r="L694" s="476" t="s">
        <v>807</v>
      </c>
      <c r="M694" s="476" t="s">
        <v>804</v>
      </c>
      <c r="N694" s="476">
        <v>20.806030270000001</v>
      </c>
      <c r="O694" s="476">
        <v>92.601951600000007</v>
      </c>
      <c r="P694" s="476" t="s">
        <v>808</v>
      </c>
      <c r="Q694" s="476" t="s">
        <v>789</v>
      </c>
      <c r="R694" s="482"/>
      <c r="S694" s="483"/>
      <c r="T694" s="502"/>
      <c r="U694" s="484"/>
      <c r="V694" s="476" t="s">
        <v>626</v>
      </c>
      <c r="W694" s="476"/>
    </row>
    <row r="695" spans="1:23" s="69" customFormat="1" ht="14.25" customHeight="1">
      <c r="A695" s="476" t="s">
        <v>2826</v>
      </c>
      <c r="B695" s="476" t="s">
        <v>332</v>
      </c>
      <c r="C695" s="394" t="s">
        <v>617</v>
      </c>
      <c r="D695" s="429" t="s">
        <v>1685</v>
      </c>
      <c r="E695" s="476">
        <v>198368</v>
      </c>
      <c r="F695" s="476"/>
      <c r="G695" s="476"/>
      <c r="H695" s="476"/>
      <c r="I695" s="476"/>
      <c r="J695" s="476" t="s">
        <v>807</v>
      </c>
      <c r="K695" s="476" t="s">
        <v>807</v>
      </c>
      <c r="L695" s="476" t="s">
        <v>807</v>
      </c>
      <c r="M695" s="476" t="s">
        <v>307</v>
      </c>
      <c r="N695" s="476">
        <v>20.80282021</v>
      </c>
      <c r="O695" s="476">
        <v>92.599418639999996</v>
      </c>
      <c r="P695" s="476" t="s">
        <v>808</v>
      </c>
      <c r="Q695" s="476" t="s">
        <v>789</v>
      </c>
      <c r="R695" s="482"/>
      <c r="S695" s="483"/>
      <c r="T695" s="502"/>
      <c r="U695" s="484"/>
      <c r="V695" s="394" t="s">
        <v>617</v>
      </c>
      <c r="W695" s="476"/>
    </row>
    <row r="696" spans="1:23" s="69" customFormat="1" ht="14.25" customHeight="1">
      <c r="A696" s="476" t="s">
        <v>2826</v>
      </c>
      <c r="B696" s="476" t="s">
        <v>332</v>
      </c>
      <c r="C696" s="476" t="s">
        <v>593</v>
      </c>
      <c r="D696" s="429" t="s">
        <v>1685</v>
      </c>
      <c r="E696" s="476">
        <v>217879</v>
      </c>
      <c r="F696" s="476"/>
      <c r="G696" s="476"/>
      <c r="H696" s="476"/>
      <c r="I696" s="476"/>
      <c r="J696" s="476" t="s">
        <v>807</v>
      </c>
      <c r="K696" s="476" t="s">
        <v>807</v>
      </c>
      <c r="L696" s="476" t="s">
        <v>807</v>
      </c>
      <c r="M696" s="476" t="s">
        <v>307</v>
      </c>
      <c r="N696" s="476">
        <v>20.7494297</v>
      </c>
      <c r="O696" s="476">
        <v>92.528648380000007</v>
      </c>
      <c r="P696" s="476" t="s">
        <v>808</v>
      </c>
      <c r="Q696" s="476" t="s">
        <v>789</v>
      </c>
      <c r="R696" s="482"/>
      <c r="S696" s="483"/>
      <c r="T696" s="502"/>
      <c r="U696" s="484"/>
      <c r="V696" s="476" t="s">
        <v>593</v>
      </c>
      <c r="W696" s="476"/>
    </row>
    <row r="697" spans="1:23" s="69" customFormat="1" ht="14.25" customHeight="1">
      <c r="A697" s="476" t="s">
        <v>2826</v>
      </c>
      <c r="B697" s="480" t="s">
        <v>332</v>
      </c>
      <c r="C697" s="480" t="s">
        <v>2697</v>
      </c>
      <c r="D697" s="429"/>
      <c r="E697" s="476">
        <v>198404</v>
      </c>
      <c r="F697" s="480" t="s">
        <v>2809</v>
      </c>
      <c r="G697" s="476"/>
      <c r="H697" s="476"/>
      <c r="I697" s="476"/>
      <c r="J697" s="476" t="s">
        <v>2836</v>
      </c>
      <c r="K697" s="476" t="s">
        <v>2798</v>
      </c>
      <c r="L697" s="476" t="s">
        <v>2798</v>
      </c>
      <c r="M697" s="476" t="s">
        <v>307</v>
      </c>
      <c r="N697" s="476">
        <v>20.769779209999999</v>
      </c>
      <c r="O697" s="476">
        <v>92.604240419999996</v>
      </c>
      <c r="P697" s="476" t="s">
        <v>808</v>
      </c>
      <c r="Q697" s="476" t="s">
        <v>2803</v>
      </c>
      <c r="R697" s="482"/>
      <c r="S697" s="483"/>
      <c r="T697" s="502"/>
      <c r="U697" s="484"/>
      <c r="V697" s="476"/>
      <c r="W697" s="476"/>
    </row>
    <row r="698" spans="1:23" s="69" customFormat="1" ht="14.25" customHeight="1">
      <c r="A698" s="476" t="s">
        <v>2826</v>
      </c>
      <c r="B698" s="480" t="s">
        <v>332</v>
      </c>
      <c r="C698" s="480" t="s">
        <v>2699</v>
      </c>
      <c r="D698" s="429"/>
      <c r="E698" s="476">
        <v>198303</v>
      </c>
      <c r="F698" s="476" t="s">
        <v>2810</v>
      </c>
      <c r="G698" s="476"/>
      <c r="H698" s="476"/>
      <c r="I698" s="476"/>
      <c r="J698" s="476" t="s">
        <v>807</v>
      </c>
      <c r="K698" s="476" t="s">
        <v>807</v>
      </c>
      <c r="L698" s="476" t="s">
        <v>807</v>
      </c>
      <c r="M698" s="476" t="s">
        <v>307</v>
      </c>
      <c r="N698" s="476">
        <v>20.892290119999998</v>
      </c>
      <c r="O698" s="476">
        <v>92.550079350000004</v>
      </c>
      <c r="P698" s="476"/>
      <c r="Q698" s="476" t="s">
        <v>2803</v>
      </c>
      <c r="R698" s="482"/>
      <c r="S698" s="483"/>
      <c r="T698" s="502"/>
      <c r="U698" s="484"/>
      <c r="V698" s="476"/>
      <c r="W698" s="476"/>
    </row>
    <row r="699" spans="1:23" s="69" customFormat="1" ht="14.25" customHeight="1">
      <c r="A699" s="476" t="s">
        <v>2826</v>
      </c>
      <c r="B699" s="480" t="s">
        <v>332</v>
      </c>
      <c r="C699" s="480" t="s">
        <v>662</v>
      </c>
      <c r="D699" s="429" t="s">
        <v>1685</v>
      </c>
      <c r="E699" s="476">
        <v>198303</v>
      </c>
      <c r="F699" s="476" t="s">
        <v>2810</v>
      </c>
      <c r="G699" s="476"/>
      <c r="H699" s="476"/>
      <c r="I699" s="476"/>
      <c r="J699" s="476" t="s">
        <v>807</v>
      </c>
      <c r="K699" s="476" t="s">
        <v>807</v>
      </c>
      <c r="L699" s="476" t="s">
        <v>807</v>
      </c>
      <c r="M699" s="476" t="s">
        <v>804</v>
      </c>
      <c r="N699" s="476">
        <v>20.892290119999998</v>
      </c>
      <c r="O699" s="476">
        <v>92.550079350000004</v>
      </c>
      <c r="P699" s="476" t="s">
        <v>808</v>
      </c>
      <c r="Q699" s="476" t="s">
        <v>789</v>
      </c>
      <c r="R699" s="482"/>
      <c r="S699" s="483"/>
      <c r="T699" s="502"/>
      <c r="U699" s="484"/>
      <c r="V699" s="476" t="s">
        <v>662</v>
      </c>
      <c r="W699" s="476"/>
    </row>
    <row r="700" spans="1:23" s="73" customFormat="1" ht="14.25" customHeight="1">
      <c r="A700" s="476" t="s">
        <v>2826</v>
      </c>
      <c r="B700" s="476" t="s">
        <v>332</v>
      </c>
      <c r="C700" s="476" t="s">
        <v>691</v>
      </c>
      <c r="D700" s="429" t="s">
        <v>1685</v>
      </c>
      <c r="E700" s="476">
        <v>198196</v>
      </c>
      <c r="F700" s="476"/>
      <c r="G700" s="476"/>
      <c r="H700" s="476"/>
      <c r="I700" s="476"/>
      <c r="J700" s="476" t="s">
        <v>807</v>
      </c>
      <c r="K700" s="476" t="s">
        <v>807</v>
      </c>
      <c r="L700" s="476" t="s">
        <v>807</v>
      </c>
      <c r="M700" s="476" t="s">
        <v>307</v>
      </c>
      <c r="N700" s="476">
        <v>21.02563095</v>
      </c>
      <c r="O700" s="476">
        <v>92.524818420000003</v>
      </c>
      <c r="P700" s="476" t="s">
        <v>808</v>
      </c>
      <c r="Q700" s="476" t="s">
        <v>811</v>
      </c>
      <c r="R700" s="482"/>
      <c r="S700" s="483"/>
      <c r="T700" s="502">
        <v>42926</v>
      </c>
      <c r="U700" s="484" t="s">
        <v>812</v>
      </c>
      <c r="V700" s="476"/>
      <c r="W700" s="476"/>
    </row>
    <row r="701" spans="1:23" s="69" customFormat="1" ht="14.25" customHeight="1">
      <c r="A701" s="476" t="s">
        <v>2826</v>
      </c>
      <c r="B701" s="480" t="s">
        <v>332</v>
      </c>
      <c r="C701" s="480" t="s">
        <v>655</v>
      </c>
      <c r="D701" s="429" t="s">
        <v>1685</v>
      </c>
      <c r="E701" s="476">
        <v>198292</v>
      </c>
      <c r="F701" s="476"/>
      <c r="G701" s="476"/>
      <c r="H701" s="476"/>
      <c r="I701" s="476"/>
      <c r="J701" s="476" t="s">
        <v>807</v>
      </c>
      <c r="K701" s="476" t="s">
        <v>807</v>
      </c>
      <c r="L701" s="476" t="s">
        <v>807</v>
      </c>
      <c r="M701" s="476" t="s">
        <v>804</v>
      </c>
      <c r="N701" s="476">
        <v>20.883680340000002</v>
      </c>
      <c r="O701" s="476">
        <v>92.569938660000005</v>
      </c>
      <c r="P701" s="476" t="s">
        <v>808</v>
      </c>
      <c r="Q701" s="476" t="s">
        <v>789</v>
      </c>
      <c r="R701" s="486"/>
      <c r="S701" s="487"/>
      <c r="T701" s="502"/>
      <c r="U701" s="484"/>
      <c r="V701" s="476" t="s">
        <v>955</v>
      </c>
      <c r="W701" s="476"/>
    </row>
    <row r="702" spans="1:23" s="69" customFormat="1" ht="14.25" customHeight="1">
      <c r="A702" s="476" t="s">
        <v>2826</v>
      </c>
      <c r="B702" s="480" t="s">
        <v>332</v>
      </c>
      <c r="C702" s="480" t="s">
        <v>656</v>
      </c>
      <c r="D702" s="429" t="s">
        <v>1685</v>
      </c>
      <c r="E702" s="476">
        <v>198292</v>
      </c>
      <c r="F702" s="476"/>
      <c r="G702" s="476"/>
      <c r="H702" s="476"/>
      <c r="I702" s="476"/>
      <c r="J702" s="476" t="s">
        <v>807</v>
      </c>
      <c r="K702" s="476" t="s">
        <v>807</v>
      </c>
      <c r="L702" s="476" t="s">
        <v>807</v>
      </c>
      <c r="M702" s="476" t="s">
        <v>804</v>
      </c>
      <c r="N702" s="476">
        <v>20.883680340000002</v>
      </c>
      <c r="O702" s="476">
        <v>92.569938660000005</v>
      </c>
      <c r="P702" s="476" t="s">
        <v>808</v>
      </c>
      <c r="Q702" s="476" t="s">
        <v>789</v>
      </c>
      <c r="R702" s="486"/>
      <c r="S702" s="487"/>
      <c r="T702" s="502">
        <v>42745</v>
      </c>
      <c r="U702" s="484"/>
      <c r="V702" s="476"/>
      <c r="W702" s="476"/>
    </row>
    <row r="703" spans="1:23" s="69" customFormat="1" ht="14.25" customHeight="1">
      <c r="A703" s="476" t="s">
        <v>2826</v>
      </c>
      <c r="B703" s="476" t="s">
        <v>332</v>
      </c>
      <c r="C703" s="476" t="s">
        <v>698</v>
      </c>
      <c r="D703" s="429" t="s">
        <v>1685</v>
      </c>
      <c r="E703" s="476">
        <v>198146</v>
      </c>
      <c r="F703" s="476"/>
      <c r="G703" s="476"/>
      <c r="H703" s="476"/>
      <c r="I703" s="476"/>
      <c r="J703" s="476" t="s">
        <v>813</v>
      </c>
      <c r="K703" s="476" t="s">
        <v>807</v>
      </c>
      <c r="L703" s="476" t="s">
        <v>813</v>
      </c>
      <c r="M703" s="476" t="s">
        <v>804</v>
      </c>
      <c r="N703" s="476">
        <v>21.098579409999999</v>
      </c>
      <c r="O703" s="476">
        <v>92.445549009999993</v>
      </c>
      <c r="P703" s="476" t="s">
        <v>932</v>
      </c>
      <c r="Q703" s="476" t="s">
        <v>811</v>
      </c>
      <c r="R703" s="482"/>
      <c r="S703" s="483"/>
      <c r="T703" s="502">
        <v>42926</v>
      </c>
      <c r="U703" s="484" t="s">
        <v>942</v>
      </c>
      <c r="V703" s="476"/>
      <c r="W703" s="476"/>
    </row>
    <row r="704" spans="1:23" s="69" customFormat="1" ht="14.25" customHeight="1">
      <c r="A704" s="476" t="s">
        <v>2826</v>
      </c>
      <c r="B704" s="476" t="s">
        <v>332</v>
      </c>
      <c r="C704" s="476" t="s">
        <v>544</v>
      </c>
      <c r="D704" s="429" t="s">
        <v>1685</v>
      </c>
      <c r="E704" s="476">
        <v>217885</v>
      </c>
      <c r="F704" s="476"/>
      <c r="G704" s="476"/>
      <c r="H704" s="476"/>
      <c r="I704" s="476"/>
      <c r="J704" s="476" t="s">
        <v>807</v>
      </c>
      <c r="K704" s="476" t="s">
        <v>807</v>
      </c>
      <c r="L704" s="476" t="s">
        <v>807</v>
      </c>
      <c r="M704" s="476" t="s">
        <v>804</v>
      </c>
      <c r="N704" s="476">
        <v>20.676519389999999</v>
      </c>
      <c r="O704" s="476">
        <v>92.591667180000002</v>
      </c>
      <c r="P704" s="476" t="s">
        <v>808</v>
      </c>
      <c r="Q704" s="476" t="s">
        <v>789</v>
      </c>
      <c r="R704" s="482"/>
      <c r="S704" s="483"/>
      <c r="T704" s="502"/>
      <c r="U704" s="484"/>
      <c r="V704" s="476" t="s">
        <v>544</v>
      </c>
      <c r="W704" s="476"/>
    </row>
    <row r="705" spans="1:23" s="69" customFormat="1" ht="14.25" customHeight="1">
      <c r="A705" s="476" t="s">
        <v>2826</v>
      </c>
      <c r="B705" s="476" t="s">
        <v>332</v>
      </c>
      <c r="C705" s="476" t="s">
        <v>673</v>
      </c>
      <c r="D705" s="429" t="s">
        <v>1685</v>
      </c>
      <c r="E705" s="476">
        <v>198164</v>
      </c>
      <c r="F705" s="476"/>
      <c r="G705" s="476"/>
      <c r="H705" s="476"/>
      <c r="I705" s="476"/>
      <c r="J705" s="476" t="s">
        <v>807</v>
      </c>
      <c r="K705" s="476" t="s">
        <v>807</v>
      </c>
      <c r="L705" s="476" t="s">
        <v>807</v>
      </c>
      <c r="M705" s="476" t="s">
        <v>960</v>
      </c>
      <c r="N705" s="476">
        <v>20.945800779999999</v>
      </c>
      <c r="O705" s="476">
        <v>92.471672060000003</v>
      </c>
      <c r="P705" s="476" t="s">
        <v>808</v>
      </c>
      <c r="Q705" s="476" t="s">
        <v>789</v>
      </c>
      <c r="R705" s="482"/>
      <c r="S705" s="483"/>
      <c r="T705" s="502"/>
      <c r="U705" s="484"/>
      <c r="V705" s="476" t="s">
        <v>673</v>
      </c>
      <c r="W705" s="476"/>
    </row>
    <row r="706" spans="1:23" s="69" customFormat="1" ht="14.25" customHeight="1">
      <c r="A706" s="476" t="s">
        <v>2826</v>
      </c>
      <c r="B706" s="476" t="s">
        <v>332</v>
      </c>
      <c r="C706" s="476" t="s">
        <v>631</v>
      </c>
      <c r="D706" s="429" t="s">
        <v>1685</v>
      </c>
      <c r="E706" s="476">
        <v>198335</v>
      </c>
      <c r="F706" s="476"/>
      <c r="G706" s="476"/>
      <c r="H706" s="476"/>
      <c r="I706" s="476"/>
      <c r="J706" s="476" t="s">
        <v>807</v>
      </c>
      <c r="K706" s="476" t="s">
        <v>807</v>
      </c>
      <c r="L706" s="476" t="s">
        <v>807</v>
      </c>
      <c r="M706" s="476" t="s">
        <v>307</v>
      </c>
      <c r="N706" s="476">
        <v>20.818910599999999</v>
      </c>
      <c r="O706" s="476">
        <v>92.541358950000003</v>
      </c>
      <c r="P706" s="476" t="s">
        <v>808</v>
      </c>
      <c r="Q706" s="476" t="s">
        <v>789</v>
      </c>
      <c r="R706" s="482"/>
      <c r="S706" s="483"/>
      <c r="T706" s="502"/>
      <c r="U706" s="484"/>
      <c r="V706" s="476" t="s">
        <v>631</v>
      </c>
      <c r="W706" s="476"/>
    </row>
    <row r="707" spans="1:23" s="69" customFormat="1" ht="14.25" customHeight="1">
      <c r="A707" s="476" t="s">
        <v>2826</v>
      </c>
      <c r="B707" s="476" t="s">
        <v>332</v>
      </c>
      <c r="C707" s="476" t="s">
        <v>665</v>
      </c>
      <c r="D707" s="429" t="s">
        <v>1685</v>
      </c>
      <c r="E707" s="476">
        <v>198316</v>
      </c>
      <c r="F707" s="476"/>
      <c r="G707" s="476"/>
      <c r="H707" s="476"/>
      <c r="I707" s="476"/>
      <c r="J707" s="476" t="s">
        <v>807</v>
      </c>
      <c r="K707" s="476" t="s">
        <v>807</v>
      </c>
      <c r="L707" s="476" t="s">
        <v>807</v>
      </c>
      <c r="M707" s="476" t="s">
        <v>804</v>
      </c>
      <c r="N707" s="476">
        <v>20.89318085</v>
      </c>
      <c r="O707" s="476">
        <v>92.493637079999999</v>
      </c>
      <c r="P707" s="476" t="s">
        <v>808</v>
      </c>
      <c r="Q707" s="476" t="s">
        <v>789</v>
      </c>
      <c r="R707" s="482"/>
      <c r="S707" s="483"/>
      <c r="T707" s="502"/>
      <c r="U707" s="484"/>
      <c r="V707" s="476" t="s">
        <v>665</v>
      </c>
      <c r="W707" s="476"/>
    </row>
    <row r="708" spans="1:23" s="69" customFormat="1" ht="14.25" customHeight="1">
      <c r="A708" s="476" t="s">
        <v>2826</v>
      </c>
      <c r="B708" s="476" t="s">
        <v>332</v>
      </c>
      <c r="C708" s="476" t="s">
        <v>650</v>
      </c>
      <c r="D708" s="429" t="s">
        <v>1685</v>
      </c>
      <c r="E708" s="476">
        <v>198308</v>
      </c>
      <c r="F708" s="476"/>
      <c r="G708" s="476"/>
      <c r="H708" s="476"/>
      <c r="I708" s="476"/>
      <c r="J708" s="476" t="s">
        <v>813</v>
      </c>
      <c r="K708" s="476" t="s">
        <v>807</v>
      </c>
      <c r="L708" s="476" t="s">
        <v>813</v>
      </c>
      <c r="M708" s="476" t="s">
        <v>804</v>
      </c>
      <c r="N708" s="476">
        <v>20.863079070000001</v>
      </c>
      <c r="O708" s="476">
        <v>92.497192380000001</v>
      </c>
      <c r="P708" s="476" t="s">
        <v>932</v>
      </c>
      <c r="Q708" s="476" t="s">
        <v>811</v>
      </c>
      <c r="R708" s="482"/>
      <c r="S708" s="483"/>
      <c r="T708" s="502">
        <v>42926</v>
      </c>
      <c r="U708" s="484" t="s">
        <v>942</v>
      </c>
      <c r="V708" s="476"/>
      <c r="W708" s="476"/>
    </row>
    <row r="709" spans="1:23" s="69" customFormat="1" ht="14.25" customHeight="1">
      <c r="A709" s="476" t="s">
        <v>2826</v>
      </c>
      <c r="B709" s="476" t="s">
        <v>332</v>
      </c>
      <c r="C709" s="476" t="s">
        <v>605</v>
      </c>
      <c r="D709" s="429" t="s">
        <v>1685</v>
      </c>
      <c r="E709" s="476">
        <v>220753</v>
      </c>
      <c r="F709" s="476"/>
      <c r="G709" s="476"/>
      <c r="H709" s="476"/>
      <c r="I709" s="476"/>
      <c r="J709" s="476" t="s">
        <v>813</v>
      </c>
      <c r="K709" s="476" t="s">
        <v>807</v>
      </c>
      <c r="L709" s="476" t="s">
        <v>813</v>
      </c>
      <c r="M709" s="476" t="s">
        <v>307</v>
      </c>
      <c r="N709" s="476">
        <v>20.782770159999998</v>
      </c>
      <c r="O709" s="476">
        <v>92.551826480000003</v>
      </c>
      <c r="P709" s="476" t="s">
        <v>932</v>
      </c>
      <c r="Q709" s="476" t="s">
        <v>811</v>
      </c>
      <c r="R709" s="482"/>
      <c r="S709" s="483"/>
      <c r="T709" s="502">
        <v>42926</v>
      </c>
      <c r="U709" s="484" t="s">
        <v>942</v>
      </c>
      <c r="V709" s="476"/>
      <c r="W709" s="476"/>
    </row>
    <row r="710" spans="1:23" s="69" customFormat="1" ht="14.25" customHeight="1">
      <c r="A710" s="476" t="s">
        <v>2826</v>
      </c>
      <c r="B710" s="476" t="s">
        <v>332</v>
      </c>
      <c r="C710" s="476" t="s">
        <v>646</v>
      </c>
      <c r="D710" s="429" t="s">
        <v>1685</v>
      </c>
      <c r="E710" s="476">
        <v>198325</v>
      </c>
      <c r="F710" s="476"/>
      <c r="G710" s="476"/>
      <c r="H710" s="476"/>
      <c r="I710" s="476"/>
      <c r="J710" s="476" t="s">
        <v>813</v>
      </c>
      <c r="K710" s="476" t="s">
        <v>807</v>
      </c>
      <c r="L710" s="476" t="s">
        <v>813</v>
      </c>
      <c r="M710" s="476" t="s">
        <v>804</v>
      </c>
      <c r="N710" s="476">
        <v>20.839260100000001</v>
      </c>
      <c r="O710" s="476">
        <v>92.534591669999998</v>
      </c>
      <c r="P710" s="476" t="s">
        <v>932</v>
      </c>
      <c r="Q710" s="476" t="s">
        <v>811</v>
      </c>
      <c r="R710" s="482"/>
      <c r="S710" s="483"/>
      <c r="T710" s="502">
        <v>42926</v>
      </c>
      <c r="U710" s="484" t="s">
        <v>942</v>
      </c>
      <c r="V710" s="476"/>
      <c r="W710" s="476"/>
    </row>
    <row r="711" spans="1:23" s="69" customFormat="1" ht="14.25" customHeight="1">
      <c r="A711" s="476" t="s">
        <v>2826</v>
      </c>
      <c r="B711" s="496" t="s">
        <v>332</v>
      </c>
      <c r="C711" s="495" t="s">
        <v>337</v>
      </c>
      <c r="D711" s="429" t="s">
        <v>1685</v>
      </c>
      <c r="E711" s="476"/>
      <c r="F711" s="496"/>
      <c r="G711" s="476"/>
      <c r="H711" s="476"/>
      <c r="I711" s="476"/>
      <c r="J711" s="476" t="s">
        <v>813</v>
      </c>
      <c r="K711" s="476" t="s">
        <v>807</v>
      </c>
      <c r="L711" s="476" t="s">
        <v>813</v>
      </c>
      <c r="M711" s="476" t="s">
        <v>804</v>
      </c>
      <c r="N711" s="476"/>
      <c r="O711" s="476"/>
      <c r="P711" s="476" t="s">
        <v>932</v>
      </c>
      <c r="Q711" s="476" t="s">
        <v>811</v>
      </c>
      <c r="R711" s="497"/>
      <c r="S711" s="498"/>
      <c r="T711" s="502">
        <v>42926</v>
      </c>
      <c r="U711" s="484" t="s">
        <v>942</v>
      </c>
      <c r="V711" s="476"/>
      <c r="W711" s="476"/>
    </row>
    <row r="712" spans="1:23" s="69" customFormat="1" ht="14.25" customHeight="1">
      <c r="A712" s="476" t="s">
        <v>2826</v>
      </c>
      <c r="B712" s="496" t="s">
        <v>332</v>
      </c>
      <c r="C712" s="495" t="s">
        <v>581</v>
      </c>
      <c r="D712" s="430" t="s">
        <v>1685</v>
      </c>
      <c r="E712" s="480">
        <v>198432</v>
      </c>
      <c r="F712" s="480"/>
      <c r="G712" s="480"/>
      <c r="H712" s="487"/>
      <c r="I712" s="480"/>
      <c r="J712" s="476" t="s">
        <v>807</v>
      </c>
      <c r="K712" s="476" t="s">
        <v>807</v>
      </c>
      <c r="L712" s="476" t="s">
        <v>807</v>
      </c>
      <c r="M712" s="480" t="s">
        <v>804</v>
      </c>
      <c r="N712" s="480">
        <v>20.721290589999999</v>
      </c>
      <c r="O712" s="480">
        <v>92.605140689999999</v>
      </c>
      <c r="P712" s="476" t="s">
        <v>808</v>
      </c>
      <c r="Q712" s="480" t="s">
        <v>789</v>
      </c>
      <c r="R712" s="497"/>
      <c r="S712" s="498"/>
      <c r="T712" s="503"/>
      <c r="U712" s="488"/>
      <c r="V712" s="480" t="s">
        <v>581</v>
      </c>
      <c r="W712" s="476"/>
    </row>
    <row r="713" spans="1:23" s="69" customFormat="1" ht="14.25" customHeight="1">
      <c r="A713" s="476" t="s">
        <v>2826</v>
      </c>
      <c r="B713" s="496" t="s">
        <v>332</v>
      </c>
      <c r="C713" s="495" t="s">
        <v>675</v>
      </c>
      <c r="D713" s="429" t="s">
        <v>1685</v>
      </c>
      <c r="E713" s="476">
        <v>198222</v>
      </c>
      <c r="F713" s="476"/>
      <c r="G713" s="476"/>
      <c r="H713" s="476"/>
      <c r="I713" s="476"/>
      <c r="J713" s="476" t="s">
        <v>813</v>
      </c>
      <c r="K713" s="476" t="s">
        <v>807</v>
      </c>
      <c r="L713" s="476" t="s">
        <v>813</v>
      </c>
      <c r="M713" s="476" t="s">
        <v>804</v>
      </c>
      <c r="N713" s="476">
        <v>20.962799069999999</v>
      </c>
      <c r="O713" s="476">
        <v>92.527702329999997</v>
      </c>
      <c r="P713" s="476" t="s">
        <v>932</v>
      </c>
      <c r="Q713" s="476" t="s">
        <v>811</v>
      </c>
      <c r="R713" s="497"/>
      <c r="S713" s="498"/>
      <c r="T713" s="502">
        <v>42926</v>
      </c>
      <c r="U713" s="484" t="s">
        <v>942</v>
      </c>
      <c r="V713" s="476"/>
      <c r="W713" s="476"/>
    </row>
    <row r="714" spans="1:23" s="69" customFormat="1" ht="14.25" customHeight="1">
      <c r="A714" s="486" t="s">
        <v>2826</v>
      </c>
      <c r="B714" s="497" t="s">
        <v>332</v>
      </c>
      <c r="C714" s="405" t="s">
        <v>2972</v>
      </c>
      <c r="D714" s="481"/>
      <c r="E714" s="476">
        <v>198289</v>
      </c>
      <c r="F714" s="476"/>
      <c r="G714" s="476"/>
      <c r="H714" s="476"/>
      <c r="I714" s="476"/>
      <c r="J714" s="476" t="s">
        <v>2836</v>
      </c>
      <c r="K714" s="476" t="s">
        <v>2798</v>
      </c>
      <c r="L714" s="476" t="s">
        <v>2798</v>
      </c>
      <c r="M714" s="476"/>
      <c r="N714" s="476">
        <v>20.838279724121101</v>
      </c>
      <c r="O714" s="476">
        <v>92.610900878906307</v>
      </c>
      <c r="P714" s="476"/>
      <c r="Q714" s="476"/>
      <c r="R714" s="532"/>
      <c r="S714" s="498"/>
      <c r="T714" s="502">
        <v>43591</v>
      </c>
      <c r="U714" s="490"/>
      <c r="V714" s="476"/>
      <c r="W714" s="482"/>
    </row>
    <row r="715" spans="1:23" s="69" customFormat="1" ht="14.25" customHeight="1">
      <c r="A715" s="476" t="s">
        <v>2826</v>
      </c>
      <c r="B715" s="496" t="s">
        <v>332</v>
      </c>
      <c r="C715" s="495" t="s">
        <v>615</v>
      </c>
      <c r="D715" s="429" t="s">
        <v>1685</v>
      </c>
      <c r="E715" s="476">
        <v>198379</v>
      </c>
      <c r="F715" s="476"/>
      <c r="G715" s="476"/>
      <c r="H715" s="476"/>
      <c r="I715" s="476"/>
      <c r="J715" s="476" t="s">
        <v>807</v>
      </c>
      <c r="K715" s="476" t="s">
        <v>807</v>
      </c>
      <c r="L715" s="476" t="s">
        <v>807</v>
      </c>
      <c r="M715" s="476" t="s">
        <v>804</v>
      </c>
      <c r="N715" s="476">
        <v>20.79891014</v>
      </c>
      <c r="O715" s="476">
        <v>92.553680420000006</v>
      </c>
      <c r="P715" s="476" t="s">
        <v>808</v>
      </c>
      <c r="Q715" s="476" t="s">
        <v>789</v>
      </c>
      <c r="R715" s="497"/>
      <c r="S715" s="498"/>
      <c r="T715" s="502"/>
      <c r="U715" s="484"/>
      <c r="V715" s="476" t="s">
        <v>615</v>
      </c>
      <c r="W715" s="476"/>
    </row>
    <row r="716" spans="1:23" s="69" customFormat="1" ht="14.25" customHeight="1">
      <c r="A716" s="476" t="s">
        <v>2826</v>
      </c>
      <c r="B716" s="496" t="s">
        <v>332</v>
      </c>
      <c r="C716" s="495" t="s">
        <v>644</v>
      </c>
      <c r="D716" s="429" t="s">
        <v>1685</v>
      </c>
      <c r="E716" s="476">
        <v>198332</v>
      </c>
      <c r="F716" s="480"/>
      <c r="G716" s="476"/>
      <c r="H716" s="476"/>
      <c r="I716" s="476"/>
      <c r="J716" s="476" t="s">
        <v>807</v>
      </c>
      <c r="K716" s="476" t="s">
        <v>807</v>
      </c>
      <c r="L716" s="476" t="s">
        <v>807</v>
      </c>
      <c r="M716" s="476" t="s">
        <v>804</v>
      </c>
      <c r="N716" s="476">
        <v>20.833719250000001</v>
      </c>
      <c r="O716" s="476">
        <v>92.534461980000003</v>
      </c>
      <c r="P716" s="476" t="s">
        <v>808</v>
      </c>
      <c r="Q716" s="476" t="s">
        <v>789</v>
      </c>
      <c r="R716" s="497"/>
      <c r="S716" s="498"/>
      <c r="T716" s="502"/>
      <c r="U716" s="484"/>
      <c r="V716" s="476" t="s">
        <v>644</v>
      </c>
      <c r="W716" s="476"/>
    </row>
    <row r="717" spans="1:23" s="69" customFormat="1" ht="14.25" customHeight="1">
      <c r="A717" s="476" t="s">
        <v>2826</v>
      </c>
      <c r="B717" s="497" t="s">
        <v>332</v>
      </c>
      <c r="C717" s="405" t="s">
        <v>2696</v>
      </c>
      <c r="D717" s="481"/>
      <c r="E717" s="522">
        <v>198405</v>
      </c>
      <c r="F717" s="480" t="s">
        <v>2809</v>
      </c>
      <c r="G717" s="476"/>
      <c r="H717" s="476"/>
      <c r="I717" s="476"/>
      <c r="J717" s="476" t="s">
        <v>807</v>
      </c>
      <c r="K717" s="476" t="s">
        <v>807</v>
      </c>
      <c r="L717" s="476" t="s">
        <v>807</v>
      </c>
      <c r="M717" s="476" t="s">
        <v>804</v>
      </c>
      <c r="N717" s="476"/>
      <c r="O717" s="476"/>
      <c r="P717" s="476"/>
      <c r="Q717" s="476" t="s">
        <v>2803</v>
      </c>
      <c r="R717" s="491"/>
      <c r="S717" s="487"/>
      <c r="T717" s="502"/>
      <c r="U717" s="484"/>
      <c r="V717" s="476"/>
      <c r="W717" s="482"/>
    </row>
    <row r="718" spans="1:23" s="69" customFormat="1" ht="14.25" customHeight="1">
      <c r="A718" s="476" t="s">
        <v>2826</v>
      </c>
      <c r="B718" s="496" t="s">
        <v>332</v>
      </c>
      <c r="C718" s="495" t="s">
        <v>659</v>
      </c>
      <c r="D718" s="429" t="s">
        <v>1685</v>
      </c>
      <c r="E718" s="476">
        <v>217871</v>
      </c>
      <c r="F718" s="480"/>
      <c r="G718" s="476"/>
      <c r="H718" s="476"/>
      <c r="I718" s="476"/>
      <c r="J718" s="476" t="s">
        <v>807</v>
      </c>
      <c r="K718" s="476" t="s">
        <v>807</v>
      </c>
      <c r="L718" s="476" t="s">
        <v>807</v>
      </c>
      <c r="M718" s="476" t="s">
        <v>804</v>
      </c>
      <c r="N718" s="476">
        <v>20.887029649999999</v>
      </c>
      <c r="O718" s="476">
        <v>92.556823730000005</v>
      </c>
      <c r="P718" s="476" t="s">
        <v>808</v>
      </c>
      <c r="Q718" s="476" t="s">
        <v>789</v>
      </c>
      <c r="R718" s="497"/>
      <c r="S718" s="498"/>
      <c r="T718" s="502"/>
      <c r="U718" s="484"/>
      <c r="V718" s="476" t="s">
        <v>659</v>
      </c>
      <c r="W718" s="476"/>
    </row>
    <row r="719" spans="1:23" s="69" customFormat="1" ht="14.25" customHeight="1">
      <c r="A719" s="476" t="s">
        <v>2826</v>
      </c>
      <c r="B719" s="496" t="s">
        <v>332</v>
      </c>
      <c r="C719" s="495" t="s">
        <v>1936</v>
      </c>
      <c r="D719" s="429"/>
      <c r="E719" s="476">
        <v>198177</v>
      </c>
      <c r="F719" s="480"/>
      <c r="G719" s="476"/>
      <c r="H719" s="476"/>
      <c r="I719" s="476"/>
      <c r="J719" s="476" t="s">
        <v>807</v>
      </c>
      <c r="K719" s="476" t="s">
        <v>807</v>
      </c>
      <c r="L719" s="476" t="s">
        <v>807</v>
      </c>
      <c r="M719" s="476" t="s">
        <v>960</v>
      </c>
      <c r="N719" s="476">
        <v>20.93604088</v>
      </c>
      <c r="O719" s="476">
        <v>92.475830079999994</v>
      </c>
      <c r="P719" s="476" t="s">
        <v>808</v>
      </c>
      <c r="Q719" s="476" t="s">
        <v>1941</v>
      </c>
      <c r="R719" s="497"/>
      <c r="S719" s="498"/>
      <c r="T719" s="502">
        <v>43245</v>
      </c>
      <c r="U719" s="484"/>
      <c r="V719" s="476"/>
      <c r="W719" s="476"/>
    </row>
    <row r="720" spans="1:23" s="69" customFormat="1" ht="14.25" customHeight="1">
      <c r="A720" s="476" t="s">
        <v>2826</v>
      </c>
      <c r="B720" s="496" t="s">
        <v>332</v>
      </c>
      <c r="C720" s="495" t="s">
        <v>2718</v>
      </c>
      <c r="D720" s="429"/>
      <c r="E720" s="476"/>
      <c r="F720" s="476"/>
      <c r="G720" s="476"/>
      <c r="H720" s="476"/>
      <c r="I720" s="476"/>
      <c r="J720" s="476" t="s">
        <v>2836</v>
      </c>
      <c r="K720" s="476" t="s">
        <v>2798</v>
      </c>
      <c r="L720" s="476" t="s">
        <v>2798</v>
      </c>
      <c r="M720" s="476"/>
      <c r="N720" s="476"/>
      <c r="O720" s="476"/>
      <c r="P720" s="476"/>
      <c r="Q720" s="476"/>
      <c r="R720" s="486"/>
      <c r="S720" s="487"/>
      <c r="T720" s="502"/>
      <c r="U720" s="484"/>
      <c r="V720" s="476"/>
      <c r="W720" s="476"/>
    </row>
    <row r="721" spans="1:23" s="69" customFormat="1" ht="14.25" customHeight="1">
      <c r="A721" s="476" t="s">
        <v>2826</v>
      </c>
      <c r="B721" s="500" t="s">
        <v>332</v>
      </c>
      <c r="C721" s="499" t="s">
        <v>595</v>
      </c>
      <c r="D721" s="429" t="s">
        <v>1685</v>
      </c>
      <c r="E721" s="476">
        <v>198413</v>
      </c>
      <c r="F721" s="476"/>
      <c r="G721" s="476"/>
      <c r="H721" s="476"/>
      <c r="I721" s="476"/>
      <c r="J721" s="476" t="s">
        <v>807</v>
      </c>
      <c r="K721" s="476" t="s">
        <v>807</v>
      </c>
      <c r="L721" s="476" t="s">
        <v>807</v>
      </c>
      <c r="M721" s="476" t="s">
        <v>307</v>
      </c>
      <c r="N721" s="476">
        <v>20.756410599999999</v>
      </c>
      <c r="O721" s="476">
        <v>92.63580322</v>
      </c>
      <c r="P721" s="476" t="s">
        <v>808</v>
      </c>
      <c r="Q721" s="476" t="s">
        <v>789</v>
      </c>
      <c r="R721" s="486"/>
      <c r="S721" s="487"/>
      <c r="T721" s="502"/>
      <c r="U721" s="484"/>
      <c r="V721" s="476" t="s">
        <v>595</v>
      </c>
      <c r="W721" s="476"/>
    </row>
    <row r="722" spans="1:23" s="69" customFormat="1" ht="14.25" customHeight="1">
      <c r="A722" s="476" t="s">
        <v>2826</v>
      </c>
      <c r="B722" s="500" t="s">
        <v>332</v>
      </c>
      <c r="C722" s="495" t="s">
        <v>557</v>
      </c>
      <c r="D722" s="429" t="s">
        <v>1685</v>
      </c>
      <c r="E722" s="476">
        <v>198446</v>
      </c>
      <c r="F722" s="476"/>
      <c r="G722" s="476"/>
      <c r="H722" s="476"/>
      <c r="I722" s="476"/>
      <c r="J722" s="476" t="s">
        <v>807</v>
      </c>
      <c r="K722" s="476" t="s">
        <v>807</v>
      </c>
      <c r="L722" s="476" t="s">
        <v>807</v>
      </c>
      <c r="M722" s="476" t="s">
        <v>307</v>
      </c>
      <c r="N722" s="476">
        <v>20.691099170000001</v>
      </c>
      <c r="O722" s="476">
        <v>92.590652469999995</v>
      </c>
      <c r="P722" s="476" t="s">
        <v>808</v>
      </c>
      <c r="Q722" s="476" t="s">
        <v>789</v>
      </c>
      <c r="R722" s="486"/>
      <c r="S722" s="487"/>
      <c r="T722" s="502"/>
      <c r="U722" s="484"/>
      <c r="V722" s="476" t="s">
        <v>557</v>
      </c>
      <c r="W722" s="476"/>
    </row>
    <row r="723" spans="1:23" s="69" customFormat="1" ht="14.25" customHeight="1">
      <c r="A723" s="476" t="s">
        <v>2826</v>
      </c>
      <c r="B723" s="500" t="s">
        <v>332</v>
      </c>
      <c r="C723" s="499" t="s">
        <v>664</v>
      </c>
      <c r="D723" s="429" t="s">
        <v>1685</v>
      </c>
      <c r="E723" s="476">
        <v>198297</v>
      </c>
      <c r="F723" s="476"/>
      <c r="G723" s="476"/>
      <c r="H723" s="476"/>
      <c r="I723" s="476"/>
      <c r="J723" s="476" t="s">
        <v>807</v>
      </c>
      <c r="K723" s="476" t="s">
        <v>807</v>
      </c>
      <c r="L723" s="476" t="s">
        <v>807</v>
      </c>
      <c r="M723" s="476" t="s">
        <v>804</v>
      </c>
      <c r="N723" s="476">
        <v>20.89270973</v>
      </c>
      <c r="O723" s="476">
        <v>92.562187190000003</v>
      </c>
      <c r="P723" s="476" t="s">
        <v>808</v>
      </c>
      <c r="Q723" s="476" t="s">
        <v>789</v>
      </c>
      <c r="R723" s="486"/>
      <c r="S723" s="487"/>
      <c r="T723" s="502"/>
      <c r="U723" s="484"/>
      <c r="V723" s="476" t="s">
        <v>664</v>
      </c>
      <c r="W723" s="476"/>
    </row>
    <row r="724" spans="1:23" s="69" customFormat="1" ht="14.25" customHeight="1">
      <c r="A724" s="476" t="s">
        <v>2826</v>
      </c>
      <c r="B724" s="496" t="s">
        <v>332</v>
      </c>
      <c r="C724" s="495" t="s">
        <v>671</v>
      </c>
      <c r="D724" s="429" t="s">
        <v>1685</v>
      </c>
      <c r="E724" s="476">
        <v>198234</v>
      </c>
      <c r="F724" s="476"/>
      <c r="G724" s="476"/>
      <c r="H724" s="476"/>
      <c r="I724" s="476"/>
      <c r="J724" s="476" t="s">
        <v>807</v>
      </c>
      <c r="K724" s="476" t="s">
        <v>807</v>
      </c>
      <c r="L724" s="476" t="s">
        <v>807</v>
      </c>
      <c r="M724" s="476" t="s">
        <v>307</v>
      </c>
      <c r="N724" s="476">
        <v>20.926780699999998</v>
      </c>
      <c r="O724" s="476">
        <v>92.539916989999995</v>
      </c>
      <c r="P724" s="476" t="s">
        <v>808</v>
      </c>
      <c r="Q724" s="476" t="s">
        <v>811</v>
      </c>
      <c r="R724" s="486"/>
      <c r="S724" s="487"/>
      <c r="T724" s="502">
        <v>42926</v>
      </c>
      <c r="U724" s="484" t="s">
        <v>812</v>
      </c>
      <c r="V724" s="476"/>
      <c r="W724" s="476"/>
    </row>
    <row r="725" spans="1:23" s="69" customFormat="1" ht="14.25" customHeight="1">
      <c r="A725" s="476" t="s">
        <v>2826</v>
      </c>
      <c r="B725" s="496" t="s">
        <v>332</v>
      </c>
      <c r="C725" s="495" t="s">
        <v>558</v>
      </c>
      <c r="D725" s="429" t="s">
        <v>1685</v>
      </c>
      <c r="E725" s="476">
        <v>198442</v>
      </c>
      <c r="F725" s="476"/>
      <c r="G725" s="476"/>
      <c r="H725" s="476"/>
      <c r="I725" s="476"/>
      <c r="J725" s="476" t="s">
        <v>807</v>
      </c>
      <c r="K725" s="476" t="s">
        <v>807</v>
      </c>
      <c r="L725" s="476" t="s">
        <v>807</v>
      </c>
      <c r="M725" s="476" t="s">
        <v>804</v>
      </c>
      <c r="N725" s="476">
        <v>20.692510599999999</v>
      </c>
      <c r="O725" s="476">
        <v>92.579689029999997</v>
      </c>
      <c r="P725" s="476" t="s">
        <v>808</v>
      </c>
      <c r="Q725" s="476" t="s">
        <v>789</v>
      </c>
      <c r="R725" s="486"/>
      <c r="S725" s="487"/>
      <c r="T725" s="502"/>
      <c r="U725" s="484"/>
      <c r="V725" s="476" t="s">
        <v>558</v>
      </c>
      <c r="W725" s="476"/>
    </row>
    <row r="726" spans="1:23" s="69" customFormat="1" ht="14.25" customHeight="1">
      <c r="A726" s="476" t="s">
        <v>2826</v>
      </c>
      <c r="B726" s="500" t="s">
        <v>332</v>
      </c>
      <c r="C726" s="499" t="s">
        <v>657</v>
      </c>
      <c r="D726" s="429" t="s">
        <v>1685</v>
      </c>
      <c r="E726" s="476">
        <v>198302</v>
      </c>
      <c r="F726" s="476"/>
      <c r="G726" s="476"/>
      <c r="H726" s="476"/>
      <c r="I726" s="476"/>
      <c r="J726" s="476" t="s">
        <v>807</v>
      </c>
      <c r="K726" s="476" t="s">
        <v>807</v>
      </c>
      <c r="L726" s="476" t="s">
        <v>807</v>
      </c>
      <c r="M726" s="476" t="s">
        <v>804</v>
      </c>
      <c r="N726" s="476">
        <v>20.884159090000001</v>
      </c>
      <c r="O726" s="476">
        <v>92.551063540000001</v>
      </c>
      <c r="P726" s="476" t="s">
        <v>808</v>
      </c>
      <c r="Q726" s="476" t="s">
        <v>789</v>
      </c>
      <c r="R726" s="486"/>
      <c r="S726" s="487"/>
      <c r="T726" s="502"/>
      <c r="U726" s="484"/>
      <c r="V726" s="476" t="s">
        <v>657</v>
      </c>
      <c r="W726" s="476"/>
    </row>
    <row r="727" spans="1:23" s="69" customFormat="1" ht="14.25" customHeight="1">
      <c r="A727" s="476" t="s">
        <v>2826</v>
      </c>
      <c r="B727" s="496" t="s">
        <v>332</v>
      </c>
      <c r="C727" s="495" t="s">
        <v>534</v>
      </c>
      <c r="D727" s="429" t="s">
        <v>1685</v>
      </c>
      <c r="E727" s="476">
        <v>198449</v>
      </c>
      <c r="F727" s="476"/>
      <c r="G727" s="476"/>
      <c r="H727" s="476"/>
      <c r="I727" s="476"/>
      <c r="J727" s="476" t="s">
        <v>807</v>
      </c>
      <c r="K727" s="476" t="s">
        <v>807</v>
      </c>
      <c r="L727" s="476" t="s">
        <v>807</v>
      </c>
      <c r="M727" s="476" t="s">
        <v>804</v>
      </c>
      <c r="N727" s="476">
        <v>20.663370130000001</v>
      </c>
      <c r="O727" s="476">
        <v>92.613876340000004</v>
      </c>
      <c r="P727" s="476" t="s">
        <v>808</v>
      </c>
      <c r="Q727" s="476" t="s">
        <v>789</v>
      </c>
      <c r="R727" s="486"/>
      <c r="S727" s="487"/>
      <c r="T727" s="502"/>
      <c r="U727" s="484"/>
      <c r="V727" s="476" t="s">
        <v>931</v>
      </c>
      <c r="W727" s="476"/>
    </row>
    <row r="728" spans="1:23" s="69" customFormat="1" ht="14.25" customHeight="1">
      <c r="A728" s="476" t="s">
        <v>2826</v>
      </c>
      <c r="B728" s="500" t="s">
        <v>332</v>
      </c>
      <c r="C728" s="499" t="s">
        <v>2685</v>
      </c>
      <c r="D728" s="429"/>
      <c r="E728" s="476">
        <v>198351</v>
      </c>
      <c r="F728" s="476" t="s">
        <v>2684</v>
      </c>
      <c r="G728" s="476"/>
      <c r="H728" s="476"/>
      <c r="I728" s="476"/>
      <c r="J728" s="476" t="s">
        <v>807</v>
      </c>
      <c r="K728" s="476" t="s">
        <v>807</v>
      </c>
      <c r="L728" s="476" t="s">
        <v>807</v>
      </c>
      <c r="M728" s="476" t="s">
        <v>804</v>
      </c>
      <c r="N728" s="476"/>
      <c r="O728" s="476"/>
      <c r="P728" s="476"/>
      <c r="Q728" s="476" t="s">
        <v>2803</v>
      </c>
      <c r="R728" s="482"/>
      <c r="S728" s="483"/>
      <c r="T728" s="502"/>
      <c r="U728" s="484"/>
      <c r="V728" s="476"/>
      <c r="W728" s="476"/>
    </row>
    <row r="729" spans="1:23" s="69" customFormat="1" ht="14.25" customHeight="1">
      <c r="A729" s="476" t="s">
        <v>2826</v>
      </c>
      <c r="B729" s="496" t="s">
        <v>332</v>
      </c>
      <c r="C729" s="495" t="s">
        <v>587</v>
      </c>
      <c r="D729" s="429" t="s">
        <v>1685</v>
      </c>
      <c r="E729" s="476">
        <v>198400</v>
      </c>
      <c r="F729" s="476"/>
      <c r="G729" s="476"/>
      <c r="H729" s="476"/>
      <c r="I729" s="476"/>
      <c r="J729" s="476" t="s">
        <v>813</v>
      </c>
      <c r="K729" s="476" t="s">
        <v>807</v>
      </c>
      <c r="L729" s="476" t="s">
        <v>813</v>
      </c>
      <c r="M729" s="476" t="s">
        <v>804</v>
      </c>
      <c r="N729" s="476">
        <v>20.733280180000001</v>
      </c>
      <c r="O729" s="476">
        <v>92.601409910000001</v>
      </c>
      <c r="P729" s="476" t="s">
        <v>932</v>
      </c>
      <c r="Q729" s="476" t="s">
        <v>811</v>
      </c>
      <c r="R729" s="482"/>
      <c r="S729" s="483"/>
      <c r="T729" s="502">
        <v>42926</v>
      </c>
      <c r="U729" s="484" t="s">
        <v>942</v>
      </c>
      <c r="V729" s="476"/>
      <c r="W729" s="476"/>
    </row>
    <row r="730" spans="1:23" s="69" customFormat="1" ht="14.25" customHeight="1">
      <c r="A730" s="476" t="s">
        <v>2826</v>
      </c>
      <c r="B730" s="496" t="s">
        <v>332</v>
      </c>
      <c r="C730" s="495" t="s">
        <v>597</v>
      </c>
      <c r="D730" s="429" t="s">
        <v>1685</v>
      </c>
      <c r="E730" s="476">
        <v>198408</v>
      </c>
      <c r="F730" s="476"/>
      <c r="G730" s="476"/>
      <c r="H730" s="476"/>
      <c r="I730" s="476"/>
      <c r="J730" s="476" t="s">
        <v>807</v>
      </c>
      <c r="K730" s="476" t="s">
        <v>807</v>
      </c>
      <c r="L730" s="476" t="s">
        <v>807</v>
      </c>
      <c r="M730" s="476" t="s">
        <v>307</v>
      </c>
      <c r="N730" s="476">
        <v>20.76407051</v>
      </c>
      <c r="O730" s="476">
        <v>92.631126399999999</v>
      </c>
      <c r="P730" s="476" t="s">
        <v>808</v>
      </c>
      <c r="Q730" s="476" t="s">
        <v>789</v>
      </c>
      <c r="R730" s="482"/>
      <c r="S730" s="483"/>
      <c r="T730" s="502"/>
      <c r="U730" s="484"/>
      <c r="V730" s="476" t="s">
        <v>597</v>
      </c>
      <c r="W730" s="476"/>
    </row>
    <row r="731" spans="1:23" s="69" customFormat="1" ht="14.25" customHeight="1">
      <c r="A731" s="486" t="s">
        <v>2826</v>
      </c>
      <c r="B731" s="497" t="s">
        <v>332</v>
      </c>
      <c r="C731" s="405" t="s">
        <v>2929</v>
      </c>
      <c r="D731" s="481"/>
      <c r="E731" s="476">
        <v>198401</v>
      </c>
      <c r="F731" s="476"/>
      <c r="G731" s="476"/>
      <c r="H731" s="476"/>
      <c r="I731" s="476"/>
      <c r="J731" s="476" t="s">
        <v>2836</v>
      </c>
      <c r="K731" s="476" t="s">
        <v>2798</v>
      </c>
      <c r="L731" s="476" t="s">
        <v>2798</v>
      </c>
      <c r="M731" s="476"/>
      <c r="N731" s="476">
        <v>20.765670776367202</v>
      </c>
      <c r="O731" s="476">
        <v>92.577812194824205</v>
      </c>
      <c r="P731" s="476"/>
      <c r="Q731" s="476"/>
      <c r="R731" s="490"/>
      <c r="S731" s="483"/>
      <c r="T731" s="502">
        <v>43591</v>
      </c>
      <c r="U731" s="490"/>
      <c r="V731" s="476"/>
      <c r="W731" s="482"/>
    </row>
    <row r="732" spans="1:23" s="69" customFormat="1" ht="14.25" customHeight="1">
      <c r="A732" s="483" t="s">
        <v>2826</v>
      </c>
      <c r="B732" s="497" t="s">
        <v>332</v>
      </c>
      <c r="C732" s="405" t="s">
        <v>585</v>
      </c>
      <c r="D732" s="481"/>
      <c r="E732" s="476">
        <v>198418</v>
      </c>
      <c r="F732" s="476" t="s">
        <v>585</v>
      </c>
      <c r="G732" s="476"/>
      <c r="H732" s="476"/>
      <c r="I732" s="476"/>
      <c r="J732" s="476" t="s">
        <v>807</v>
      </c>
      <c r="K732" s="476" t="s">
        <v>807</v>
      </c>
      <c r="L732" s="476" t="s">
        <v>807</v>
      </c>
      <c r="M732" s="476" t="s">
        <v>307</v>
      </c>
      <c r="N732" s="476">
        <v>20.7264194488525</v>
      </c>
      <c r="O732" s="476">
        <v>92.671180730000003</v>
      </c>
      <c r="P732" s="476" t="s">
        <v>808</v>
      </c>
      <c r="Q732" s="476" t="s">
        <v>2803</v>
      </c>
      <c r="R732" s="490"/>
      <c r="S732" s="483"/>
      <c r="T732" s="502">
        <v>43580</v>
      </c>
      <c r="U732" s="525" t="s">
        <v>2870</v>
      </c>
      <c r="V732" s="476" t="s">
        <v>585</v>
      </c>
      <c r="W732" s="482"/>
    </row>
    <row r="733" spans="1:23" s="69" customFormat="1" ht="14.25" customHeight="1">
      <c r="A733" s="476" t="s">
        <v>2826</v>
      </c>
      <c r="B733" s="496" t="s">
        <v>332</v>
      </c>
      <c r="C733" s="495" t="s">
        <v>546</v>
      </c>
      <c r="D733" s="429" t="s">
        <v>1685</v>
      </c>
      <c r="E733" s="476">
        <v>217886</v>
      </c>
      <c r="F733" s="476"/>
      <c r="G733" s="476"/>
      <c r="H733" s="476"/>
      <c r="I733" s="476"/>
      <c r="J733" s="476" t="s">
        <v>807</v>
      </c>
      <c r="K733" s="476" t="s">
        <v>807</v>
      </c>
      <c r="L733" s="476" t="s">
        <v>807</v>
      </c>
      <c r="M733" s="476" t="s">
        <v>804</v>
      </c>
      <c r="N733" s="476">
        <v>20.678150179999999</v>
      </c>
      <c r="O733" s="476">
        <v>92.587867739999993</v>
      </c>
      <c r="P733" s="476" t="s">
        <v>808</v>
      </c>
      <c r="Q733" s="476" t="s">
        <v>789</v>
      </c>
      <c r="R733" s="482"/>
      <c r="S733" s="483"/>
      <c r="T733" s="502"/>
      <c r="U733" s="484"/>
      <c r="V733" s="476" t="s">
        <v>546</v>
      </c>
      <c r="W733" s="476"/>
    </row>
    <row r="734" spans="1:23" s="69" customFormat="1" ht="14.25" customHeight="1">
      <c r="A734" s="476" t="s">
        <v>2826</v>
      </c>
      <c r="B734" s="496" t="s">
        <v>332</v>
      </c>
      <c r="C734" s="495" t="s">
        <v>604</v>
      </c>
      <c r="D734" s="429" t="s">
        <v>1685</v>
      </c>
      <c r="E734" s="476">
        <v>198388</v>
      </c>
      <c r="F734" s="476"/>
      <c r="G734" s="476"/>
      <c r="H734" s="476"/>
      <c r="I734" s="476"/>
      <c r="J734" s="476" t="s">
        <v>807</v>
      </c>
      <c r="K734" s="476" t="s">
        <v>807</v>
      </c>
      <c r="L734" s="476" t="s">
        <v>807</v>
      </c>
      <c r="M734" s="476" t="s">
        <v>307</v>
      </c>
      <c r="N734" s="476">
        <v>20.782770159999998</v>
      </c>
      <c r="O734" s="476">
        <v>92.551826480000003</v>
      </c>
      <c r="P734" s="476" t="s">
        <v>808</v>
      </c>
      <c r="Q734" s="476" t="s">
        <v>811</v>
      </c>
      <c r="R734" s="482"/>
      <c r="S734" s="483"/>
      <c r="T734" s="502">
        <v>42926</v>
      </c>
      <c r="U734" s="484" t="s">
        <v>812</v>
      </c>
      <c r="V734" s="476"/>
      <c r="W734" s="476"/>
    </row>
    <row r="735" spans="1:23" s="69" customFormat="1" ht="14.25" customHeight="1">
      <c r="A735" s="476" t="s">
        <v>2826</v>
      </c>
      <c r="B735" s="496" t="s">
        <v>332</v>
      </c>
      <c r="C735" s="495" t="s">
        <v>2687</v>
      </c>
      <c r="D735" s="429"/>
      <c r="E735" s="476"/>
      <c r="F735" s="476" t="s">
        <v>2805</v>
      </c>
      <c r="G735" s="476"/>
      <c r="H735" s="476"/>
      <c r="I735" s="476"/>
      <c r="J735" s="476" t="s">
        <v>807</v>
      </c>
      <c r="K735" s="476" t="s">
        <v>807</v>
      </c>
      <c r="L735" s="476" t="s">
        <v>807</v>
      </c>
      <c r="M735" s="476" t="s">
        <v>804</v>
      </c>
      <c r="N735" s="476"/>
      <c r="O735" s="476"/>
      <c r="P735" s="476"/>
      <c r="Q735" s="476" t="s">
        <v>2803</v>
      </c>
      <c r="R735" s="482"/>
      <c r="S735" s="483"/>
      <c r="T735" s="502"/>
      <c r="U735" s="484"/>
      <c r="V735" s="476"/>
      <c r="W735" s="476"/>
    </row>
    <row r="736" spans="1:23" s="69" customFormat="1" ht="14.25" customHeight="1">
      <c r="A736" s="476" t="s">
        <v>2826</v>
      </c>
      <c r="B736" s="496" t="s">
        <v>332</v>
      </c>
      <c r="C736" s="495" t="s">
        <v>599</v>
      </c>
      <c r="D736" s="429" t="s">
        <v>1685</v>
      </c>
      <c r="E736" s="476">
        <v>198409</v>
      </c>
      <c r="F736" s="476" t="s">
        <v>2811</v>
      </c>
      <c r="G736" s="476"/>
      <c r="H736" s="476"/>
      <c r="I736" s="476"/>
      <c r="J736" s="476" t="s">
        <v>807</v>
      </c>
      <c r="K736" s="476" t="s">
        <v>807</v>
      </c>
      <c r="L736" s="476" t="s">
        <v>807</v>
      </c>
      <c r="M736" s="476" t="s">
        <v>307</v>
      </c>
      <c r="N736" s="476">
        <v>20.767719270000001</v>
      </c>
      <c r="O736" s="476">
        <v>92.631736759999995</v>
      </c>
      <c r="P736" s="476" t="s">
        <v>808</v>
      </c>
      <c r="Q736" s="476" t="s">
        <v>2803</v>
      </c>
      <c r="R736" s="482"/>
      <c r="S736" s="483"/>
      <c r="T736" s="502"/>
      <c r="U736" s="484"/>
      <c r="V736" s="476" t="s">
        <v>599</v>
      </c>
      <c r="W736" s="476"/>
    </row>
    <row r="737" spans="1:23" s="69" customFormat="1" ht="14.25" customHeight="1">
      <c r="A737" s="476" t="s">
        <v>2826</v>
      </c>
      <c r="B737" s="496" t="s">
        <v>332</v>
      </c>
      <c r="C737" s="495" t="s">
        <v>2992</v>
      </c>
      <c r="D737" s="429"/>
      <c r="E737" s="476">
        <v>198362</v>
      </c>
      <c r="F737" s="476"/>
      <c r="G737" s="476"/>
      <c r="H737" s="476"/>
      <c r="I737" s="476"/>
      <c r="J737" s="476" t="s">
        <v>2836</v>
      </c>
      <c r="K737" s="476" t="s">
        <v>2798</v>
      </c>
      <c r="L737" s="476" t="s">
        <v>2798</v>
      </c>
      <c r="M737" s="476"/>
      <c r="N737" s="476"/>
      <c r="O737" s="476"/>
      <c r="P737" s="476"/>
      <c r="Q737" s="476"/>
      <c r="R737" s="482"/>
      <c r="S737" s="483"/>
      <c r="T737" s="502"/>
      <c r="U737" s="484"/>
      <c r="V737" s="476"/>
      <c r="W737" s="476"/>
    </row>
    <row r="738" spans="1:23" s="69" customFormat="1" ht="14.25" customHeight="1">
      <c r="A738" s="476" t="s">
        <v>2826</v>
      </c>
      <c r="B738" s="496" t="s">
        <v>332</v>
      </c>
      <c r="C738" s="495" t="s">
        <v>668</v>
      </c>
      <c r="D738" s="429" t="s">
        <v>1685</v>
      </c>
      <c r="E738" s="476">
        <v>198318</v>
      </c>
      <c r="F738" s="476"/>
      <c r="G738" s="476"/>
      <c r="H738" s="476"/>
      <c r="I738" s="476"/>
      <c r="J738" s="476" t="s">
        <v>807</v>
      </c>
      <c r="K738" s="476" t="s">
        <v>807</v>
      </c>
      <c r="L738" s="476" t="s">
        <v>807</v>
      </c>
      <c r="M738" s="476" t="s">
        <v>804</v>
      </c>
      <c r="N738" s="476">
        <v>20.895900730000001</v>
      </c>
      <c r="O738" s="476">
        <v>92.497329710000002</v>
      </c>
      <c r="P738" s="476" t="s">
        <v>808</v>
      </c>
      <c r="Q738" s="476" t="s">
        <v>789</v>
      </c>
      <c r="R738" s="482"/>
      <c r="S738" s="483"/>
      <c r="T738" s="502"/>
      <c r="U738" s="484"/>
      <c r="V738" s="476" t="s">
        <v>668</v>
      </c>
      <c r="W738" s="476"/>
    </row>
    <row r="739" spans="1:23" s="69" customFormat="1" ht="14.25" customHeight="1">
      <c r="A739" s="476" t="s">
        <v>2826</v>
      </c>
      <c r="B739" s="496" t="s">
        <v>332</v>
      </c>
      <c r="C739" s="495" t="s">
        <v>654</v>
      </c>
      <c r="D739" s="429" t="s">
        <v>1685</v>
      </c>
      <c r="E739" s="476">
        <v>198299</v>
      </c>
      <c r="F739" s="476"/>
      <c r="G739" s="476"/>
      <c r="H739" s="476"/>
      <c r="I739" s="476"/>
      <c r="J739" s="476" t="s">
        <v>807</v>
      </c>
      <c r="K739" s="476" t="s">
        <v>807</v>
      </c>
      <c r="L739" s="476" t="s">
        <v>807</v>
      </c>
      <c r="M739" s="476" t="s">
        <v>804</v>
      </c>
      <c r="N739" s="476">
        <v>20.88254929</v>
      </c>
      <c r="O739" s="476">
        <v>92.551338200000004</v>
      </c>
      <c r="P739" s="476" t="s">
        <v>808</v>
      </c>
      <c r="Q739" s="476" t="s">
        <v>789</v>
      </c>
      <c r="R739" s="482"/>
      <c r="S739" s="483"/>
      <c r="T739" s="502"/>
      <c r="U739" s="484"/>
      <c r="V739" s="476" t="s">
        <v>954</v>
      </c>
      <c r="W739" s="476"/>
    </row>
    <row r="740" spans="1:23" s="69" customFormat="1" ht="14.25" customHeight="1">
      <c r="A740" s="476" t="s">
        <v>2826</v>
      </c>
      <c r="B740" s="496" t="s">
        <v>332</v>
      </c>
      <c r="C740" s="495" t="s">
        <v>535</v>
      </c>
      <c r="D740" s="429" t="s">
        <v>1685</v>
      </c>
      <c r="E740" s="476">
        <v>198451</v>
      </c>
      <c r="F740" s="476"/>
      <c r="G740" s="476"/>
      <c r="H740" s="476"/>
      <c r="I740" s="476"/>
      <c r="J740" s="476" t="s">
        <v>807</v>
      </c>
      <c r="K740" s="476" t="s">
        <v>807</v>
      </c>
      <c r="L740" s="476" t="s">
        <v>807</v>
      </c>
      <c r="M740" s="476" t="s">
        <v>804</v>
      </c>
      <c r="N740" s="476">
        <v>20.663879390000002</v>
      </c>
      <c r="O740" s="476">
        <v>92.609306340000003</v>
      </c>
      <c r="P740" s="476" t="s">
        <v>808</v>
      </c>
      <c r="Q740" s="476" t="s">
        <v>789</v>
      </c>
      <c r="R740" s="482"/>
      <c r="S740" s="483"/>
      <c r="T740" s="502"/>
      <c r="U740" s="484"/>
      <c r="V740" s="476" t="s">
        <v>535</v>
      </c>
      <c r="W740" s="476"/>
    </row>
    <row r="741" spans="1:23" s="69" customFormat="1" ht="14.25" customHeight="1">
      <c r="A741" s="476" t="s">
        <v>2826</v>
      </c>
      <c r="B741" s="500" t="s">
        <v>332</v>
      </c>
      <c r="C741" s="499" t="s">
        <v>537</v>
      </c>
      <c r="D741" s="429" t="s">
        <v>1685</v>
      </c>
      <c r="E741" s="476">
        <v>198452</v>
      </c>
      <c r="F741" s="476"/>
      <c r="G741" s="476"/>
      <c r="H741" s="476"/>
      <c r="I741" s="476"/>
      <c r="J741" s="476" t="s">
        <v>807</v>
      </c>
      <c r="K741" s="476" t="s">
        <v>807</v>
      </c>
      <c r="L741" s="476" t="s">
        <v>807</v>
      </c>
      <c r="M741" s="476" t="s">
        <v>307</v>
      </c>
      <c r="N741" s="476">
        <v>20.667749400000002</v>
      </c>
      <c r="O741" s="476">
        <v>92.608650209999993</v>
      </c>
      <c r="P741" s="476" t="s">
        <v>808</v>
      </c>
      <c r="Q741" s="476" t="s">
        <v>789</v>
      </c>
      <c r="R741" s="482"/>
      <c r="S741" s="483"/>
      <c r="T741" s="502"/>
      <c r="U741" s="484"/>
      <c r="V741" s="476" t="s">
        <v>537</v>
      </c>
      <c r="W741" s="476"/>
    </row>
    <row r="742" spans="1:23" s="69" customFormat="1" ht="14.25" customHeight="1">
      <c r="A742" s="476" t="s">
        <v>2826</v>
      </c>
      <c r="B742" s="496" t="s">
        <v>332</v>
      </c>
      <c r="C742" s="495" t="s">
        <v>611</v>
      </c>
      <c r="D742" s="429" t="s">
        <v>1685</v>
      </c>
      <c r="E742" s="476">
        <v>198380</v>
      </c>
      <c r="F742" s="476"/>
      <c r="G742" s="476"/>
      <c r="H742" s="476"/>
      <c r="I742" s="476"/>
      <c r="J742" s="476" t="s">
        <v>807</v>
      </c>
      <c r="K742" s="476" t="s">
        <v>807</v>
      </c>
      <c r="L742" s="476" t="s">
        <v>807</v>
      </c>
      <c r="M742" s="476" t="s">
        <v>804</v>
      </c>
      <c r="N742" s="476">
        <v>20.787410739999999</v>
      </c>
      <c r="O742" s="476">
        <v>92.55155182</v>
      </c>
      <c r="P742" s="476" t="s">
        <v>808</v>
      </c>
      <c r="Q742" s="476" t="s">
        <v>789</v>
      </c>
      <c r="R742" s="482"/>
      <c r="S742" s="483"/>
      <c r="T742" s="502"/>
      <c r="U742" s="484"/>
      <c r="V742" s="476" t="s">
        <v>611</v>
      </c>
      <c r="W742" s="476"/>
    </row>
    <row r="743" spans="1:23" s="69" customFormat="1" ht="14.25" customHeight="1">
      <c r="A743" s="476" t="s">
        <v>2826</v>
      </c>
      <c r="B743" s="496" t="s">
        <v>332</v>
      </c>
      <c r="C743" s="495" t="s">
        <v>613</v>
      </c>
      <c r="D743" s="429" t="s">
        <v>1685</v>
      </c>
      <c r="E743" s="476">
        <v>198378</v>
      </c>
      <c r="F743" s="476"/>
      <c r="G743" s="476"/>
      <c r="H743" s="476"/>
      <c r="I743" s="476"/>
      <c r="J743" s="476" t="s">
        <v>807</v>
      </c>
      <c r="K743" s="476" t="s">
        <v>807</v>
      </c>
      <c r="L743" s="476" t="s">
        <v>807</v>
      </c>
      <c r="M743" s="476" t="s">
        <v>804</v>
      </c>
      <c r="N743" s="476">
        <v>20.791679380000001</v>
      </c>
      <c r="O743" s="476">
        <v>92.550903320000003</v>
      </c>
      <c r="P743" s="476" t="s">
        <v>808</v>
      </c>
      <c r="Q743" s="476" t="s">
        <v>789</v>
      </c>
      <c r="R743" s="482"/>
      <c r="S743" s="483"/>
      <c r="T743" s="502"/>
      <c r="U743" s="484"/>
      <c r="V743" s="476" t="s">
        <v>613</v>
      </c>
      <c r="W743" s="476"/>
    </row>
    <row r="744" spans="1:23" s="69" customFormat="1" ht="14.25" customHeight="1">
      <c r="A744" s="483" t="s">
        <v>2826</v>
      </c>
      <c r="B744" s="497" t="s">
        <v>332</v>
      </c>
      <c r="C744" s="405" t="s">
        <v>3017</v>
      </c>
      <c r="D744" s="481"/>
      <c r="E744" s="476">
        <v>198407</v>
      </c>
      <c r="F744" s="476"/>
      <c r="G744" s="476"/>
      <c r="H744" s="476"/>
      <c r="I744" s="476"/>
      <c r="J744" s="476" t="s">
        <v>807</v>
      </c>
      <c r="K744" s="476" t="s">
        <v>807</v>
      </c>
      <c r="L744" s="476" t="s">
        <v>807</v>
      </c>
      <c r="M744" s="476" t="s">
        <v>804</v>
      </c>
      <c r="N744" s="476">
        <v>20.775840759277301</v>
      </c>
      <c r="O744" s="476">
        <v>92.613082885742202</v>
      </c>
      <c r="P744" s="476" t="s">
        <v>808</v>
      </c>
      <c r="Q744" s="476"/>
      <c r="R744" s="490"/>
      <c r="S744" s="483"/>
      <c r="T744" s="502"/>
      <c r="U744" s="490"/>
      <c r="V744" s="476" t="s">
        <v>602</v>
      </c>
      <c r="W744" s="482"/>
    </row>
    <row r="745" spans="1:23" s="69" customFormat="1" ht="14.25" customHeight="1">
      <c r="A745" s="476" t="s">
        <v>2826</v>
      </c>
      <c r="B745" s="496" t="s">
        <v>332</v>
      </c>
      <c r="C745" s="495" t="s">
        <v>2689</v>
      </c>
      <c r="D745" s="429"/>
      <c r="E745" s="476">
        <v>198337</v>
      </c>
      <c r="F745" s="476" t="s">
        <v>622</v>
      </c>
      <c r="G745" s="476"/>
      <c r="H745" s="476"/>
      <c r="I745" s="476"/>
      <c r="J745" s="476" t="s">
        <v>807</v>
      </c>
      <c r="K745" s="476" t="s">
        <v>807</v>
      </c>
      <c r="L745" s="476" t="s">
        <v>807</v>
      </c>
      <c r="M745" s="476" t="s">
        <v>307</v>
      </c>
      <c r="N745" s="476"/>
      <c r="O745" s="476"/>
      <c r="P745" s="476"/>
      <c r="Q745" s="476" t="s">
        <v>2803</v>
      </c>
      <c r="R745" s="482"/>
      <c r="S745" s="483"/>
      <c r="T745" s="502"/>
      <c r="U745" s="484"/>
      <c r="V745" s="476"/>
      <c r="W745" s="476"/>
    </row>
    <row r="746" spans="1:23" s="69" customFormat="1" ht="14.25" customHeight="1">
      <c r="A746" s="476" t="s">
        <v>2826</v>
      </c>
      <c r="B746" s="496" t="s">
        <v>332</v>
      </c>
      <c r="C746" s="495" t="s">
        <v>566</v>
      </c>
      <c r="D746" s="429" t="s">
        <v>1685</v>
      </c>
      <c r="E746" s="476">
        <v>198423</v>
      </c>
      <c r="F746" s="476"/>
      <c r="G746" s="476"/>
      <c r="H746" s="476"/>
      <c r="I746" s="476"/>
      <c r="J746" s="476" t="s">
        <v>807</v>
      </c>
      <c r="K746" s="476" t="s">
        <v>807</v>
      </c>
      <c r="L746" s="476" t="s">
        <v>807</v>
      </c>
      <c r="M746" s="476" t="s">
        <v>307</v>
      </c>
      <c r="N746" s="476">
        <v>20.707460399999999</v>
      </c>
      <c r="O746" s="476">
        <v>92.680862430000005</v>
      </c>
      <c r="P746" s="476" t="s">
        <v>808</v>
      </c>
      <c r="Q746" s="476" t="s">
        <v>789</v>
      </c>
      <c r="R746" s="482"/>
      <c r="S746" s="483"/>
      <c r="T746" s="502"/>
      <c r="U746" s="484"/>
      <c r="V746" s="476" t="s">
        <v>566</v>
      </c>
      <c r="W746" s="476"/>
    </row>
    <row r="747" spans="1:23" s="69" customFormat="1" ht="14.25" customHeight="1">
      <c r="A747" s="476" t="s">
        <v>2826</v>
      </c>
      <c r="B747" s="496" t="s">
        <v>332</v>
      </c>
      <c r="C747" s="495" t="s">
        <v>2688</v>
      </c>
      <c r="D747" s="429"/>
      <c r="E747" s="476">
        <v>198363</v>
      </c>
      <c r="F747" s="476" t="s">
        <v>2805</v>
      </c>
      <c r="G747" s="476"/>
      <c r="H747" s="476"/>
      <c r="I747" s="476"/>
      <c r="J747" s="476" t="s">
        <v>807</v>
      </c>
      <c r="K747" s="476" t="s">
        <v>807</v>
      </c>
      <c r="L747" s="476" t="s">
        <v>807</v>
      </c>
      <c r="M747" s="476" t="s">
        <v>307</v>
      </c>
      <c r="N747" s="476"/>
      <c r="O747" s="476"/>
      <c r="P747" s="476"/>
      <c r="Q747" s="476" t="s">
        <v>2803</v>
      </c>
      <c r="R747" s="482"/>
      <c r="S747" s="483"/>
      <c r="T747" s="502"/>
      <c r="U747" s="484"/>
      <c r="V747" s="476"/>
      <c r="W747" s="476"/>
    </row>
    <row r="748" spans="1:23" s="476" customFormat="1" ht="14.25" customHeight="1">
      <c r="A748" s="476" t="s">
        <v>2826</v>
      </c>
      <c r="B748" s="496" t="s">
        <v>332</v>
      </c>
      <c r="C748" s="500" t="s">
        <v>596</v>
      </c>
      <c r="D748" s="429" t="s">
        <v>1685</v>
      </c>
      <c r="E748" s="476">
        <v>198391</v>
      </c>
      <c r="J748" s="476" t="s">
        <v>807</v>
      </c>
      <c r="K748" s="476" t="s">
        <v>807</v>
      </c>
      <c r="L748" s="476" t="s">
        <v>807</v>
      </c>
      <c r="M748" s="476" t="s">
        <v>804</v>
      </c>
      <c r="N748" s="476">
        <v>20.761529920000001</v>
      </c>
      <c r="O748" s="476">
        <v>92.544082639999999</v>
      </c>
      <c r="P748" s="476" t="s">
        <v>808</v>
      </c>
      <c r="Q748" s="476" t="s">
        <v>789</v>
      </c>
      <c r="R748" s="482"/>
      <c r="S748" s="483"/>
      <c r="T748" s="502"/>
      <c r="U748" s="484"/>
      <c r="V748" s="476" t="s">
        <v>596</v>
      </c>
    </row>
    <row r="749" spans="1:23" s="69" customFormat="1" ht="14.25" customHeight="1">
      <c r="A749" s="476" t="s">
        <v>2826</v>
      </c>
      <c r="B749" s="496" t="s">
        <v>332</v>
      </c>
      <c r="C749" s="495" t="s">
        <v>555</v>
      </c>
      <c r="D749" s="429" t="s">
        <v>1685</v>
      </c>
      <c r="E749" s="476">
        <v>198421</v>
      </c>
      <c r="F749" s="476"/>
      <c r="G749" s="476"/>
      <c r="H749" s="476"/>
      <c r="I749" s="476"/>
      <c r="J749" s="476" t="s">
        <v>807</v>
      </c>
      <c r="K749" s="476" t="s">
        <v>807</v>
      </c>
      <c r="L749" s="476" t="s">
        <v>807</v>
      </c>
      <c r="M749" s="476" t="s">
        <v>307</v>
      </c>
      <c r="N749" s="476">
        <v>20.688310619999999</v>
      </c>
      <c r="O749" s="476">
        <v>92.696960450000006</v>
      </c>
      <c r="P749" s="476" t="s">
        <v>808</v>
      </c>
      <c r="Q749" s="476" t="s">
        <v>789</v>
      </c>
      <c r="R749" s="482"/>
      <c r="S749" s="483"/>
      <c r="T749" s="502"/>
      <c r="U749" s="484"/>
      <c r="V749" s="476" t="s">
        <v>555</v>
      </c>
      <c r="W749" s="476"/>
    </row>
    <row r="750" spans="1:23" s="69" customFormat="1" ht="14.25" customHeight="1">
      <c r="A750" s="476" t="s">
        <v>2826</v>
      </c>
      <c r="B750" s="500" t="s">
        <v>332</v>
      </c>
      <c r="C750" s="499" t="s">
        <v>2698</v>
      </c>
      <c r="D750" s="429" t="s">
        <v>1685</v>
      </c>
      <c r="E750" s="476">
        <v>198300</v>
      </c>
      <c r="F750" s="476" t="s">
        <v>2810</v>
      </c>
      <c r="G750" s="476"/>
      <c r="H750" s="476"/>
      <c r="I750" s="476"/>
      <c r="J750" s="476" t="s">
        <v>807</v>
      </c>
      <c r="K750" s="476" t="s">
        <v>807</v>
      </c>
      <c r="L750" s="476" t="s">
        <v>807</v>
      </c>
      <c r="M750" s="476" t="s">
        <v>307</v>
      </c>
      <c r="N750" s="476">
        <v>20.887420649999999</v>
      </c>
      <c r="O750" s="476">
        <v>92.545410160000003</v>
      </c>
      <c r="P750" s="476" t="s">
        <v>808</v>
      </c>
      <c r="Q750" s="476" t="s">
        <v>789</v>
      </c>
      <c r="R750" s="482"/>
      <c r="S750" s="483"/>
      <c r="T750" s="502"/>
      <c r="U750" s="484"/>
      <c r="V750" s="476" t="s">
        <v>956</v>
      </c>
      <c r="W750" s="476"/>
    </row>
    <row r="751" spans="1:23" s="69" customFormat="1" ht="14.25" customHeight="1">
      <c r="A751" s="476" t="s">
        <v>2826</v>
      </c>
      <c r="B751" s="500" t="s">
        <v>332</v>
      </c>
      <c r="C751" s="499" t="s">
        <v>2694</v>
      </c>
      <c r="D751" s="429"/>
      <c r="E751" s="476">
        <v>198434</v>
      </c>
      <c r="F751" s="476" t="s">
        <v>2808</v>
      </c>
      <c r="G751" s="476"/>
      <c r="H751" s="476"/>
      <c r="I751" s="476"/>
      <c r="J751" s="476" t="s">
        <v>807</v>
      </c>
      <c r="K751" s="476" t="s">
        <v>807</v>
      </c>
      <c r="L751" s="476" t="s">
        <v>807</v>
      </c>
      <c r="M751" s="476" t="s">
        <v>804</v>
      </c>
      <c r="N751" s="476"/>
      <c r="O751" s="476"/>
      <c r="P751" s="476"/>
      <c r="Q751" s="476" t="s">
        <v>2803</v>
      </c>
      <c r="R751" s="482"/>
      <c r="S751" s="483"/>
      <c r="T751" s="502"/>
      <c r="U751" s="484"/>
      <c r="V751" s="476"/>
      <c r="W751" s="476"/>
    </row>
    <row r="752" spans="1:23" s="69" customFormat="1" ht="14.25" customHeight="1">
      <c r="A752" s="476" t="s">
        <v>2826</v>
      </c>
      <c r="B752" s="510" t="s">
        <v>332</v>
      </c>
      <c r="C752" s="511" t="s">
        <v>2695</v>
      </c>
      <c r="D752" s="481"/>
      <c r="E752" s="476">
        <v>198433</v>
      </c>
      <c r="F752" s="476" t="s">
        <v>2808</v>
      </c>
      <c r="G752" s="476"/>
      <c r="H752" s="476"/>
      <c r="I752" s="476"/>
      <c r="J752" s="476" t="s">
        <v>807</v>
      </c>
      <c r="K752" s="476" t="s">
        <v>807</v>
      </c>
      <c r="L752" s="476" t="s">
        <v>807</v>
      </c>
      <c r="M752" s="476" t="s">
        <v>307</v>
      </c>
      <c r="N752" s="476"/>
      <c r="O752" s="476"/>
      <c r="P752" s="476"/>
      <c r="Q752" s="476" t="s">
        <v>2803</v>
      </c>
      <c r="R752" s="490"/>
      <c r="S752" s="483"/>
      <c r="T752" s="502"/>
      <c r="U752" s="484"/>
      <c r="V752" s="476"/>
      <c r="W752" s="482"/>
    </row>
    <row r="753" spans="1:26" s="69" customFormat="1" ht="14.25" customHeight="1">
      <c r="A753" s="486" t="s">
        <v>2826</v>
      </c>
      <c r="B753" s="510" t="s">
        <v>332</v>
      </c>
      <c r="C753" s="511" t="s">
        <v>2930</v>
      </c>
      <c r="D753" s="481"/>
      <c r="E753" s="476"/>
      <c r="F753" s="476"/>
      <c r="G753" s="476"/>
      <c r="H753" s="476"/>
      <c r="I753" s="476"/>
      <c r="J753" s="476" t="s">
        <v>2836</v>
      </c>
      <c r="K753" s="476" t="s">
        <v>2798</v>
      </c>
      <c r="L753" s="476" t="s">
        <v>2798</v>
      </c>
      <c r="M753" s="476"/>
      <c r="N753" s="476"/>
      <c r="O753" s="476"/>
      <c r="P753" s="476"/>
      <c r="Q753" s="476"/>
      <c r="R753" s="490"/>
      <c r="S753" s="483"/>
      <c r="T753" s="502">
        <v>43591</v>
      </c>
      <c r="U753" s="490"/>
      <c r="V753" s="476"/>
      <c r="W753" s="482"/>
    </row>
    <row r="754" spans="1:26" s="69" customFormat="1" ht="14.25" customHeight="1">
      <c r="A754" s="476" t="s">
        <v>2826</v>
      </c>
      <c r="B754" s="500" t="s">
        <v>332</v>
      </c>
      <c r="C754" s="511" t="s">
        <v>2871</v>
      </c>
      <c r="D754" s="429" t="s">
        <v>1685</v>
      </c>
      <c r="E754" s="476">
        <v>198398</v>
      </c>
      <c r="F754" s="476" t="s">
        <v>2872</v>
      </c>
      <c r="G754" s="476"/>
      <c r="H754" s="476"/>
      <c r="I754" s="476"/>
      <c r="J754" s="476" t="s">
        <v>888</v>
      </c>
      <c r="K754" s="476" t="s">
        <v>888</v>
      </c>
      <c r="L754" s="476" t="s">
        <v>888</v>
      </c>
      <c r="M754" s="476" t="s">
        <v>804</v>
      </c>
      <c r="N754" s="476">
        <v>20.741249079999999</v>
      </c>
      <c r="O754" s="476">
        <v>92.610519409999995</v>
      </c>
      <c r="P754" s="476" t="s">
        <v>808</v>
      </c>
      <c r="Q754" s="476" t="s">
        <v>789</v>
      </c>
      <c r="R754" s="482"/>
      <c r="S754" s="483"/>
      <c r="T754" s="502">
        <v>43580</v>
      </c>
      <c r="U754" s="525" t="s">
        <v>2870</v>
      </c>
      <c r="V754" s="476" t="s">
        <v>590</v>
      </c>
      <c r="W754" s="476"/>
    </row>
    <row r="755" spans="1:26" ht="14.25" customHeight="1">
      <c r="A755" s="476" t="s">
        <v>2826</v>
      </c>
      <c r="B755" s="500" t="s">
        <v>332</v>
      </c>
      <c r="C755" s="499" t="s">
        <v>589</v>
      </c>
      <c r="D755" s="429" t="s">
        <v>1685</v>
      </c>
      <c r="E755" s="476">
        <v>198399</v>
      </c>
      <c r="F755" s="476"/>
      <c r="G755" s="476"/>
      <c r="H755" s="476"/>
      <c r="I755" s="476"/>
      <c r="J755" s="476" t="s">
        <v>807</v>
      </c>
      <c r="K755" s="496" t="s">
        <v>807</v>
      </c>
      <c r="L755" s="496" t="s">
        <v>807</v>
      </c>
      <c r="M755" s="476" t="s">
        <v>307</v>
      </c>
      <c r="N755" s="476">
        <v>20.739839549999999</v>
      </c>
      <c r="O755" s="476">
        <v>92.613456729999996</v>
      </c>
      <c r="P755" s="476" t="s">
        <v>808</v>
      </c>
      <c r="Q755" s="476" t="s">
        <v>789</v>
      </c>
      <c r="R755" s="482"/>
      <c r="S755" s="483"/>
      <c r="T755" s="502"/>
      <c r="U755" s="484"/>
      <c r="V755" s="476" t="s">
        <v>589</v>
      </c>
      <c r="W755" s="476"/>
      <c r="X755" s="17"/>
      <c r="Z755" s="17"/>
    </row>
    <row r="756" spans="1:26" ht="14.25" customHeight="1">
      <c r="A756" s="476" t="s">
        <v>2826</v>
      </c>
      <c r="B756" s="480" t="s">
        <v>332</v>
      </c>
      <c r="C756" s="505" t="s">
        <v>538</v>
      </c>
      <c r="D756" s="429" t="s">
        <v>1685</v>
      </c>
      <c r="E756" s="476">
        <v>198448</v>
      </c>
      <c r="F756" s="476"/>
      <c r="G756" s="476"/>
      <c r="H756" s="476"/>
      <c r="I756" s="476"/>
      <c r="J756" s="476" t="s">
        <v>807</v>
      </c>
      <c r="K756" s="496" t="s">
        <v>807</v>
      </c>
      <c r="L756" s="496" t="s">
        <v>807</v>
      </c>
      <c r="M756" s="476" t="s">
        <v>307</v>
      </c>
      <c r="N756" s="476">
        <v>20.669130330000002</v>
      </c>
      <c r="O756" s="476">
        <v>92.595497129999998</v>
      </c>
      <c r="P756" s="476" t="s">
        <v>808</v>
      </c>
      <c r="Q756" s="476" t="s">
        <v>789</v>
      </c>
      <c r="R756" s="482"/>
      <c r="S756" s="483"/>
      <c r="T756" s="502"/>
      <c r="U756" s="484"/>
      <c r="V756" s="476" t="s">
        <v>538</v>
      </c>
      <c r="W756" s="476"/>
      <c r="X756" s="17"/>
      <c r="Z756" s="17"/>
    </row>
    <row r="757" spans="1:26" ht="14.25" customHeight="1">
      <c r="A757" s="476" t="s">
        <v>2826</v>
      </c>
      <c r="B757" s="496" t="s">
        <v>332</v>
      </c>
      <c r="C757" s="505" t="s">
        <v>543</v>
      </c>
      <c r="D757" s="429" t="s">
        <v>1685</v>
      </c>
      <c r="E757" s="476">
        <v>198447</v>
      </c>
      <c r="F757" s="476"/>
      <c r="G757" s="476"/>
      <c r="H757" s="476"/>
      <c r="I757" s="476"/>
      <c r="J757" s="476" t="s">
        <v>807</v>
      </c>
      <c r="K757" s="496" t="s">
        <v>807</v>
      </c>
      <c r="L757" s="496" t="s">
        <v>807</v>
      </c>
      <c r="M757" s="476" t="s">
        <v>804</v>
      </c>
      <c r="N757" s="476">
        <v>20.674699780000001</v>
      </c>
      <c r="O757" s="476">
        <v>92.590393070000005</v>
      </c>
      <c r="P757" s="476" t="s">
        <v>808</v>
      </c>
      <c r="Q757" s="476" t="s">
        <v>789</v>
      </c>
      <c r="R757" s="482"/>
      <c r="S757" s="483"/>
      <c r="T757" s="502"/>
      <c r="U757" s="484"/>
      <c r="V757" s="476" t="s">
        <v>543</v>
      </c>
      <c r="W757" s="476"/>
      <c r="X757" s="17"/>
      <c r="Z757" s="17"/>
    </row>
    <row r="758" spans="1:26" ht="14.25" customHeight="1">
      <c r="A758" s="476" t="s">
        <v>2826</v>
      </c>
      <c r="B758" s="480" t="s">
        <v>332</v>
      </c>
      <c r="C758" s="505" t="s">
        <v>601</v>
      </c>
      <c r="D758" s="429" t="s">
        <v>1685</v>
      </c>
      <c r="E758" s="476">
        <v>198410</v>
      </c>
      <c r="F758" s="476"/>
      <c r="G758" s="476"/>
      <c r="H758" s="476"/>
      <c r="I758" s="476"/>
      <c r="J758" s="476" t="s">
        <v>807</v>
      </c>
      <c r="K758" s="496" t="s">
        <v>807</v>
      </c>
      <c r="L758" s="496" t="s">
        <v>807</v>
      </c>
      <c r="M758" s="476" t="s">
        <v>307</v>
      </c>
      <c r="N758" s="476">
        <v>20.772550580000001</v>
      </c>
      <c r="O758" s="476">
        <v>92.638290409999996</v>
      </c>
      <c r="P758" s="476" t="s">
        <v>808</v>
      </c>
      <c r="Q758" s="476" t="s">
        <v>789</v>
      </c>
      <c r="R758" s="482"/>
      <c r="S758" s="483"/>
      <c r="T758" s="502"/>
      <c r="U758" s="484"/>
      <c r="V758" s="476" t="s">
        <v>601</v>
      </c>
      <c r="W758" s="476"/>
      <c r="X758" s="17"/>
      <c r="Z758" s="17"/>
    </row>
    <row r="759" spans="1:26" ht="14.25" customHeight="1">
      <c r="A759" s="476" t="s">
        <v>2826</v>
      </c>
      <c r="B759" s="480" t="s">
        <v>332</v>
      </c>
      <c r="C759" s="505" t="s">
        <v>363</v>
      </c>
      <c r="D759" s="429" t="s">
        <v>1685</v>
      </c>
      <c r="E759" s="476"/>
      <c r="F759" s="476"/>
      <c r="G759" s="476"/>
      <c r="H759" s="476"/>
      <c r="I759" s="476"/>
      <c r="J759" s="476" t="s">
        <v>807</v>
      </c>
      <c r="K759" s="500" t="s">
        <v>807</v>
      </c>
      <c r="L759" s="500" t="s">
        <v>807</v>
      </c>
      <c r="M759" s="476" t="s">
        <v>1158</v>
      </c>
      <c r="N759" s="476"/>
      <c r="O759" s="476"/>
      <c r="P759" s="476" t="s">
        <v>808</v>
      </c>
      <c r="Q759" s="476" t="s">
        <v>789</v>
      </c>
      <c r="R759" s="482"/>
      <c r="S759" s="483"/>
      <c r="T759" s="502"/>
      <c r="U759" s="484"/>
      <c r="V759" s="476" t="s">
        <v>363</v>
      </c>
      <c r="W759" s="476"/>
      <c r="X759" s="17"/>
      <c r="Z759" s="17"/>
    </row>
    <row r="760" spans="1:26" ht="14.25" customHeight="1">
      <c r="A760" s="476" t="s">
        <v>2826</v>
      </c>
      <c r="B760" s="500" t="s">
        <v>332</v>
      </c>
      <c r="C760" s="505" t="s">
        <v>2719</v>
      </c>
      <c r="D760" s="429"/>
      <c r="E760" s="476"/>
      <c r="F760" s="476"/>
      <c r="G760" s="476"/>
      <c r="H760" s="476"/>
      <c r="I760" s="476"/>
      <c r="J760" s="476" t="s">
        <v>2836</v>
      </c>
      <c r="K760" s="480" t="s">
        <v>2798</v>
      </c>
      <c r="L760" s="480" t="s">
        <v>2798</v>
      </c>
      <c r="M760" s="476"/>
      <c r="N760" s="476"/>
      <c r="O760" s="476"/>
      <c r="P760" s="476"/>
      <c r="Q760" s="476"/>
      <c r="R760" s="482"/>
      <c r="S760" s="483"/>
      <c r="T760" s="502"/>
      <c r="U760" s="484"/>
      <c r="V760" s="476"/>
      <c r="W760" s="476"/>
      <c r="X760" s="17"/>
      <c r="Z760" s="17"/>
    </row>
    <row r="761" spans="1:26" ht="14.25" customHeight="1">
      <c r="A761" s="476" t="s">
        <v>2826</v>
      </c>
      <c r="B761" s="500" t="s">
        <v>332</v>
      </c>
      <c r="C761" s="499" t="s">
        <v>2686</v>
      </c>
      <c r="D761" s="429"/>
      <c r="E761" s="476">
        <v>198370</v>
      </c>
      <c r="F761" s="476" t="s">
        <v>2804</v>
      </c>
      <c r="G761" s="476"/>
      <c r="H761" s="476"/>
      <c r="I761" s="476"/>
      <c r="J761" s="476" t="s">
        <v>807</v>
      </c>
      <c r="K761" s="480" t="s">
        <v>807</v>
      </c>
      <c r="L761" s="480" t="s">
        <v>807</v>
      </c>
      <c r="M761" s="476" t="s">
        <v>804</v>
      </c>
      <c r="N761" s="476"/>
      <c r="O761" s="476"/>
      <c r="P761" s="476"/>
      <c r="Q761" s="476" t="s">
        <v>2803</v>
      </c>
      <c r="R761" s="482"/>
      <c r="S761" s="483"/>
      <c r="T761" s="502"/>
      <c r="U761" s="484"/>
      <c r="V761" s="476"/>
      <c r="W761" s="476"/>
      <c r="X761" s="17"/>
      <c r="Z761" s="17"/>
    </row>
    <row r="762" spans="1:26" ht="14.25" customHeight="1">
      <c r="A762" s="476" t="s">
        <v>2826</v>
      </c>
      <c r="B762" s="480" t="s">
        <v>332</v>
      </c>
      <c r="C762" s="505" t="s">
        <v>583</v>
      </c>
      <c r="D762" s="429" t="s">
        <v>1685</v>
      </c>
      <c r="E762" s="476">
        <v>198430</v>
      </c>
      <c r="F762" s="476"/>
      <c r="G762" s="476"/>
      <c r="H762" s="476"/>
      <c r="I762" s="476"/>
      <c r="J762" s="476" t="s">
        <v>807</v>
      </c>
      <c r="K762" s="480" t="s">
        <v>807</v>
      </c>
      <c r="L762" s="480" t="s">
        <v>807</v>
      </c>
      <c r="M762" s="476" t="s">
        <v>804</v>
      </c>
      <c r="N762" s="476">
        <v>20.724700930000001</v>
      </c>
      <c r="O762" s="476">
        <v>92.628196720000005</v>
      </c>
      <c r="P762" s="476" t="s">
        <v>808</v>
      </c>
      <c r="Q762" s="476" t="s">
        <v>789</v>
      </c>
      <c r="R762" s="482"/>
      <c r="S762" s="483"/>
      <c r="T762" s="502"/>
      <c r="U762" s="484"/>
      <c r="V762" s="476" t="s">
        <v>583</v>
      </c>
      <c r="W762" s="476"/>
      <c r="X762" s="17"/>
      <c r="Z762" s="17"/>
    </row>
    <row r="763" spans="1:26" ht="14.25" customHeight="1">
      <c r="A763" s="476" t="s">
        <v>2826</v>
      </c>
      <c r="B763" s="480" t="s">
        <v>332</v>
      </c>
      <c r="C763" s="499" t="s">
        <v>652</v>
      </c>
      <c r="D763" s="429" t="s">
        <v>1685</v>
      </c>
      <c r="E763" s="476">
        <v>198291</v>
      </c>
      <c r="F763" s="476"/>
      <c r="G763" s="476"/>
      <c r="H763" s="476"/>
      <c r="I763" s="476"/>
      <c r="J763" s="476" t="s">
        <v>807</v>
      </c>
      <c r="K763" s="480" t="s">
        <v>807</v>
      </c>
      <c r="L763" s="480" t="s">
        <v>807</v>
      </c>
      <c r="M763" s="476" t="s">
        <v>804</v>
      </c>
      <c r="N763" s="476">
        <v>20.871829989999998</v>
      </c>
      <c r="O763" s="476">
        <v>92.566909789999997</v>
      </c>
      <c r="P763" s="476" t="s">
        <v>808</v>
      </c>
      <c r="Q763" s="476" t="s">
        <v>789</v>
      </c>
      <c r="R763" s="482"/>
      <c r="S763" s="483"/>
      <c r="T763" s="502"/>
      <c r="U763" s="484"/>
      <c r="V763" s="476" t="s">
        <v>652</v>
      </c>
      <c r="W763" s="476"/>
      <c r="X763" s="17"/>
      <c r="Z763" s="17"/>
    </row>
    <row r="764" spans="1:26" ht="14.25" customHeight="1">
      <c r="A764" s="483" t="s">
        <v>2826</v>
      </c>
      <c r="B764" s="510" t="s">
        <v>332</v>
      </c>
      <c r="C764" s="511" t="s">
        <v>951</v>
      </c>
      <c r="D764" s="481"/>
      <c r="E764" s="476"/>
      <c r="F764" s="476"/>
      <c r="G764" s="476"/>
      <c r="H764" s="476"/>
      <c r="I764" s="476"/>
      <c r="J764" s="476" t="s">
        <v>807</v>
      </c>
      <c r="K764" s="480" t="s">
        <v>807</v>
      </c>
      <c r="L764" s="480" t="s">
        <v>807</v>
      </c>
      <c r="M764" s="476"/>
      <c r="N764" s="476"/>
      <c r="O764" s="496"/>
      <c r="P764" s="476"/>
      <c r="Q764" s="476"/>
      <c r="R764" s="490"/>
      <c r="S764" s="483"/>
      <c r="T764" s="502"/>
      <c r="U764" s="490"/>
      <c r="V764" s="476"/>
      <c r="W764" s="482"/>
      <c r="X764" s="17"/>
      <c r="Z764" s="17"/>
    </row>
    <row r="765" spans="1:26" ht="14.25" customHeight="1">
      <c r="A765" s="483" t="s">
        <v>2826</v>
      </c>
      <c r="B765" s="510" t="s">
        <v>332</v>
      </c>
      <c r="C765" s="511" t="s">
        <v>3016</v>
      </c>
      <c r="D765" s="481"/>
      <c r="E765" s="476"/>
      <c r="F765" s="485"/>
      <c r="G765" s="476"/>
      <c r="H765" s="476"/>
      <c r="I765" s="476"/>
      <c r="J765" s="476" t="s">
        <v>807</v>
      </c>
      <c r="K765" s="480" t="s">
        <v>807</v>
      </c>
      <c r="L765" s="480" t="s">
        <v>807</v>
      </c>
      <c r="M765" s="476"/>
      <c r="N765" s="476"/>
      <c r="O765" s="480"/>
      <c r="P765" s="476"/>
      <c r="Q765" s="476"/>
      <c r="R765" s="490"/>
      <c r="S765" s="483"/>
      <c r="T765" s="502"/>
      <c r="U765" s="490"/>
      <c r="V765" s="476"/>
      <c r="W765" s="482"/>
      <c r="X765" s="17"/>
      <c r="Z765" s="17"/>
    </row>
    <row r="766" spans="1:26" ht="14.25" customHeight="1">
      <c r="A766" s="476" t="s">
        <v>2826</v>
      </c>
      <c r="B766" s="500" t="s">
        <v>332</v>
      </c>
      <c r="C766" s="499" t="s">
        <v>682</v>
      </c>
      <c r="D766" s="429" t="s">
        <v>1685</v>
      </c>
      <c r="E766" s="476">
        <v>198163</v>
      </c>
      <c r="F766" s="485"/>
      <c r="G766" s="476"/>
      <c r="H766" s="476"/>
      <c r="I766" s="476"/>
      <c r="J766" s="476" t="s">
        <v>813</v>
      </c>
      <c r="K766" s="480" t="s">
        <v>807</v>
      </c>
      <c r="L766" s="480" t="s">
        <v>813</v>
      </c>
      <c r="M766" s="476" t="s">
        <v>962</v>
      </c>
      <c r="N766" s="476">
        <v>20.99898911</v>
      </c>
      <c r="O766" s="476">
        <v>92.46325684</v>
      </c>
      <c r="P766" s="476" t="s">
        <v>932</v>
      </c>
      <c r="Q766" s="476" t="s">
        <v>811</v>
      </c>
      <c r="R766" s="482"/>
      <c r="S766" s="483"/>
      <c r="T766" s="502">
        <v>42926</v>
      </c>
      <c r="U766" s="484" t="s">
        <v>942</v>
      </c>
      <c r="V766" s="476"/>
      <c r="W766" s="476"/>
      <c r="X766" s="17"/>
      <c r="Z766" s="17"/>
    </row>
    <row r="767" spans="1:26" ht="14.25" customHeight="1">
      <c r="A767" s="483" t="s">
        <v>2826</v>
      </c>
      <c r="B767" s="510" t="s">
        <v>332</v>
      </c>
      <c r="C767" s="499" t="s">
        <v>1940</v>
      </c>
      <c r="D767" s="481"/>
      <c r="E767" s="476">
        <v>198348</v>
      </c>
      <c r="F767" s="480" t="s">
        <v>2123</v>
      </c>
      <c r="G767" s="476"/>
      <c r="H767" s="476"/>
      <c r="I767" s="476"/>
      <c r="J767" s="476" t="s">
        <v>888</v>
      </c>
      <c r="K767" s="480" t="s">
        <v>888</v>
      </c>
      <c r="L767" s="480" t="s">
        <v>888</v>
      </c>
      <c r="M767" s="476" t="s">
        <v>307</v>
      </c>
      <c r="N767" s="476">
        <v>20.847490310668899</v>
      </c>
      <c r="O767" s="476">
        <v>92.556472778320298</v>
      </c>
      <c r="P767" s="476" t="s">
        <v>808</v>
      </c>
      <c r="Q767" s="476" t="s">
        <v>2803</v>
      </c>
      <c r="R767" s="490"/>
      <c r="S767" s="483"/>
      <c r="T767" s="502">
        <v>43580</v>
      </c>
      <c r="U767" s="525" t="s">
        <v>2870</v>
      </c>
      <c r="V767" s="484"/>
      <c r="W767" s="482"/>
      <c r="X767" s="17"/>
      <c r="Z767" s="17"/>
    </row>
    <row r="768" spans="1:26" ht="14.25" customHeight="1">
      <c r="A768" s="483" t="s">
        <v>2826</v>
      </c>
      <c r="B768" s="510" t="s">
        <v>332</v>
      </c>
      <c r="C768" s="511" t="s">
        <v>2874</v>
      </c>
      <c r="D768" s="481"/>
      <c r="E768" s="476">
        <v>198326</v>
      </c>
      <c r="F768" s="476" t="s">
        <v>2875</v>
      </c>
      <c r="G768" s="476"/>
      <c r="H768" s="476"/>
      <c r="I768" s="476"/>
      <c r="J768" s="476" t="s">
        <v>807</v>
      </c>
      <c r="K768" s="480" t="s">
        <v>807</v>
      </c>
      <c r="L768" s="480" t="s">
        <v>807</v>
      </c>
      <c r="M768" s="476"/>
      <c r="N768" s="476">
        <v>20.8608493804932</v>
      </c>
      <c r="O768" s="476">
        <v>92.539390563964801</v>
      </c>
      <c r="P768" s="476"/>
      <c r="Q768" s="476" t="s">
        <v>2803</v>
      </c>
      <c r="R768" s="490"/>
      <c r="S768" s="483"/>
      <c r="T768" s="502">
        <v>43580</v>
      </c>
      <c r="U768" s="525" t="s">
        <v>2870</v>
      </c>
      <c r="V768" s="484"/>
      <c r="W768" s="482"/>
      <c r="X768" s="17"/>
      <c r="Z768" s="17"/>
    </row>
    <row r="769" spans="1:26" ht="14.25" customHeight="1">
      <c r="A769" s="486" t="s">
        <v>2826</v>
      </c>
      <c r="B769" s="510" t="s">
        <v>332</v>
      </c>
      <c r="C769" s="439" t="s">
        <v>2931</v>
      </c>
      <c r="D769" s="481"/>
      <c r="E769" s="476">
        <v>198326</v>
      </c>
      <c r="F769" s="476"/>
      <c r="G769" s="476"/>
      <c r="H769" s="476"/>
      <c r="I769" s="476"/>
      <c r="J769" s="476" t="s">
        <v>2836</v>
      </c>
      <c r="K769" s="480" t="s">
        <v>2798</v>
      </c>
      <c r="L769" s="480" t="s">
        <v>2798</v>
      </c>
      <c r="M769" s="476"/>
      <c r="N769" s="476">
        <v>20.8608493804932</v>
      </c>
      <c r="O769" s="480">
        <v>92.539390563964801</v>
      </c>
      <c r="P769" s="476"/>
      <c r="Q769" s="476"/>
      <c r="R769" s="490"/>
      <c r="S769" s="483"/>
      <c r="T769" s="502">
        <v>43591</v>
      </c>
      <c r="U769" s="490"/>
      <c r="V769" s="476"/>
      <c r="W769" s="482"/>
      <c r="X769" s="17"/>
      <c r="Z769" s="17"/>
    </row>
    <row r="770" spans="1:26" ht="14.25" customHeight="1">
      <c r="A770" s="483" t="s">
        <v>2826</v>
      </c>
      <c r="B770" s="510" t="s">
        <v>332</v>
      </c>
      <c r="C770" s="511" t="s">
        <v>3022</v>
      </c>
      <c r="D770" s="481"/>
      <c r="E770" s="476">
        <v>198424</v>
      </c>
      <c r="F770" s="480"/>
      <c r="G770" s="476"/>
      <c r="H770" s="476"/>
      <c r="I770" s="476"/>
      <c r="J770" s="476" t="s">
        <v>807</v>
      </c>
      <c r="K770" s="476" t="s">
        <v>807</v>
      </c>
      <c r="L770" s="476" t="s">
        <v>807</v>
      </c>
      <c r="M770" s="476"/>
      <c r="N770" s="476">
        <v>20.735639572143601</v>
      </c>
      <c r="O770" s="480">
        <v>92.638076782226605</v>
      </c>
      <c r="P770" s="476"/>
      <c r="Q770" s="476"/>
      <c r="R770" s="490"/>
      <c r="S770" s="483"/>
      <c r="T770" s="502"/>
      <c r="U770" s="490"/>
      <c r="V770" s="476"/>
      <c r="W770" s="482"/>
      <c r="X770" s="17"/>
      <c r="Z770" s="17"/>
    </row>
    <row r="771" spans="1:26" ht="14.25" customHeight="1">
      <c r="A771" s="476" t="s">
        <v>2826</v>
      </c>
      <c r="B771" s="500" t="s">
        <v>332</v>
      </c>
      <c r="C771" s="499" t="s">
        <v>680</v>
      </c>
      <c r="D771" s="429" t="s">
        <v>1685</v>
      </c>
      <c r="E771" s="476">
        <v>198184</v>
      </c>
      <c r="F771" s="480"/>
      <c r="G771" s="476"/>
      <c r="H771" s="476"/>
      <c r="I771" s="476"/>
      <c r="J771" s="476" t="s">
        <v>807</v>
      </c>
      <c r="K771" s="476" t="s">
        <v>807</v>
      </c>
      <c r="L771" s="476" t="s">
        <v>807</v>
      </c>
      <c r="M771" s="476" t="s">
        <v>804</v>
      </c>
      <c r="N771" s="476">
        <v>20.99110031</v>
      </c>
      <c r="O771" s="476">
        <v>92.493858340000003</v>
      </c>
      <c r="P771" s="476" t="s">
        <v>808</v>
      </c>
      <c r="Q771" s="476" t="s">
        <v>789</v>
      </c>
      <c r="R771" s="482"/>
      <c r="S771" s="483"/>
      <c r="T771" s="502"/>
      <c r="U771" s="484"/>
      <c r="V771" s="476" t="s">
        <v>680</v>
      </c>
      <c r="W771" s="476"/>
      <c r="X771" s="17"/>
      <c r="Z771" s="17"/>
    </row>
    <row r="772" spans="1:26" ht="14.25" customHeight="1">
      <c r="A772" s="476" t="s">
        <v>2826</v>
      </c>
      <c r="B772" s="500" t="s">
        <v>332</v>
      </c>
      <c r="C772" s="499" t="s">
        <v>588</v>
      </c>
      <c r="D772" s="429" t="s">
        <v>1685</v>
      </c>
      <c r="E772" s="476">
        <v>198425</v>
      </c>
      <c r="F772" s="480"/>
      <c r="G772" s="476"/>
      <c r="H772" s="476"/>
      <c r="I772" s="476"/>
      <c r="J772" s="476" t="s">
        <v>807</v>
      </c>
      <c r="K772" s="476" t="s">
        <v>807</v>
      </c>
      <c r="L772" s="476" t="s">
        <v>807</v>
      </c>
      <c r="M772" s="476" t="s">
        <v>804</v>
      </c>
      <c r="N772" s="476">
        <v>20.737430570000001</v>
      </c>
      <c r="O772" s="476">
        <v>92.634773249999995</v>
      </c>
      <c r="P772" s="476" t="s">
        <v>808</v>
      </c>
      <c r="Q772" s="476" t="s">
        <v>789</v>
      </c>
      <c r="R772" s="482"/>
      <c r="S772" s="483"/>
      <c r="T772" s="502"/>
      <c r="U772" s="484"/>
      <c r="V772" s="476" t="s">
        <v>588</v>
      </c>
      <c r="W772" s="476"/>
      <c r="X772" s="17"/>
      <c r="Z772" s="17"/>
    </row>
    <row r="773" spans="1:26" ht="14.25" customHeight="1">
      <c r="A773" s="476" t="s">
        <v>2826</v>
      </c>
      <c r="B773" s="480" t="s">
        <v>332</v>
      </c>
      <c r="C773" s="499" t="s">
        <v>532</v>
      </c>
      <c r="D773" s="429" t="s">
        <v>1685</v>
      </c>
      <c r="E773" s="476">
        <v>198450</v>
      </c>
      <c r="F773" s="476"/>
      <c r="G773" s="476"/>
      <c r="H773" s="476"/>
      <c r="I773" s="476"/>
      <c r="J773" s="476" t="s">
        <v>807</v>
      </c>
      <c r="K773" s="476" t="s">
        <v>807</v>
      </c>
      <c r="L773" s="476" t="s">
        <v>807</v>
      </c>
      <c r="M773" s="476" t="s">
        <v>804</v>
      </c>
      <c r="N773" s="476">
        <v>20.654249190000002</v>
      </c>
      <c r="O773" s="476">
        <v>92.619102479999995</v>
      </c>
      <c r="P773" s="476" t="s">
        <v>808</v>
      </c>
      <c r="Q773" s="476" t="s">
        <v>789</v>
      </c>
      <c r="R773" s="482"/>
      <c r="S773" s="483"/>
      <c r="T773" s="502"/>
      <c r="U773" s="484"/>
      <c r="V773" s="476" t="s">
        <v>930</v>
      </c>
      <c r="W773" s="476"/>
      <c r="X773" s="17"/>
      <c r="Z773" s="17"/>
    </row>
    <row r="774" spans="1:26" ht="14.25" customHeight="1">
      <c r="A774" s="476" t="s">
        <v>2826</v>
      </c>
      <c r="B774" s="500" t="s">
        <v>318</v>
      </c>
      <c r="C774" s="499" t="s">
        <v>2094</v>
      </c>
      <c r="D774" s="429"/>
      <c r="E774" s="476">
        <v>197857</v>
      </c>
      <c r="F774" s="476"/>
      <c r="G774" s="476"/>
      <c r="H774" s="476"/>
      <c r="I774" s="476"/>
      <c r="J774" s="476" t="s">
        <v>807</v>
      </c>
      <c r="K774" s="476" t="s">
        <v>807</v>
      </c>
      <c r="L774" s="476" t="s">
        <v>807</v>
      </c>
      <c r="M774" s="476" t="s">
        <v>692</v>
      </c>
      <c r="N774" s="476">
        <v>21.08677673</v>
      </c>
      <c r="O774" s="476">
        <v>92.337112430000005</v>
      </c>
      <c r="P774" s="476"/>
      <c r="Q774" s="476"/>
      <c r="R774" s="482"/>
      <c r="S774" s="483"/>
      <c r="T774" s="502">
        <v>43300</v>
      </c>
      <c r="U774" s="484"/>
      <c r="V774" s="476"/>
      <c r="W774" s="476"/>
      <c r="X774" s="17"/>
      <c r="Z774" s="17"/>
    </row>
    <row r="775" spans="1:26" ht="14.25" customHeight="1">
      <c r="A775" s="476" t="s">
        <v>2826</v>
      </c>
      <c r="B775" s="510" t="s">
        <v>318</v>
      </c>
      <c r="C775" s="511" t="s">
        <v>2897</v>
      </c>
      <c r="D775" s="481"/>
      <c r="E775" s="476">
        <v>197857</v>
      </c>
      <c r="F775" s="476"/>
      <c r="G775" s="476"/>
      <c r="H775" s="476"/>
      <c r="I775" s="476"/>
      <c r="J775" s="476" t="s">
        <v>807</v>
      </c>
      <c r="K775" s="476" t="s">
        <v>807</v>
      </c>
      <c r="L775" s="476" t="s">
        <v>807</v>
      </c>
      <c r="M775" s="476" t="s">
        <v>2131</v>
      </c>
      <c r="N775" s="476">
        <v>21.08677673</v>
      </c>
      <c r="O775" s="480">
        <v>92.337112430000005</v>
      </c>
      <c r="P775" s="476"/>
      <c r="Q775" s="476"/>
      <c r="R775" s="490"/>
      <c r="S775" s="483"/>
      <c r="T775" s="502">
        <v>43300</v>
      </c>
      <c r="U775" s="484"/>
      <c r="V775" s="476"/>
      <c r="W775" s="476"/>
      <c r="X775" s="17"/>
      <c r="Z775" s="17"/>
    </row>
    <row r="776" spans="1:26" ht="14.25" customHeight="1">
      <c r="A776" s="476" t="s">
        <v>2826</v>
      </c>
      <c r="B776" s="500" t="s">
        <v>318</v>
      </c>
      <c r="C776" s="499" t="s">
        <v>2896</v>
      </c>
      <c r="D776" s="429"/>
      <c r="E776" s="476">
        <v>197857</v>
      </c>
      <c r="F776" s="480"/>
      <c r="G776" s="476"/>
      <c r="H776" s="476"/>
      <c r="I776" s="476"/>
      <c r="J776" s="476" t="s">
        <v>807</v>
      </c>
      <c r="K776" s="476" t="s">
        <v>807</v>
      </c>
      <c r="L776" s="476" t="s">
        <v>807</v>
      </c>
      <c r="M776" s="476" t="s">
        <v>307</v>
      </c>
      <c r="N776" s="476">
        <v>21.08677673</v>
      </c>
      <c r="O776" s="476">
        <v>92.337112430000005</v>
      </c>
      <c r="P776" s="476"/>
      <c r="Q776" s="476"/>
      <c r="R776" s="482"/>
      <c r="S776" s="483"/>
      <c r="T776" s="502">
        <v>43300</v>
      </c>
      <c r="U776" s="484"/>
      <c r="V776" s="476"/>
      <c r="W776" s="476"/>
      <c r="X776" s="17"/>
      <c r="Z776" s="17"/>
    </row>
    <row r="777" spans="1:26" ht="14.25" customHeight="1">
      <c r="A777" s="476" t="s">
        <v>2826</v>
      </c>
      <c r="B777" s="500" t="s">
        <v>318</v>
      </c>
      <c r="C777" s="499" t="s">
        <v>2124</v>
      </c>
      <c r="D777" s="429"/>
      <c r="E777" s="480">
        <v>197920</v>
      </c>
      <c r="F777" s="480"/>
      <c r="G777" s="476"/>
      <c r="H777" s="476"/>
      <c r="I777" s="476"/>
      <c r="J777" s="476" t="s">
        <v>807</v>
      </c>
      <c r="K777" s="476" t="s">
        <v>807</v>
      </c>
      <c r="L777" s="476" t="s">
        <v>807</v>
      </c>
      <c r="M777" s="476" t="s">
        <v>804</v>
      </c>
      <c r="N777" s="476">
        <v>20.92394066</v>
      </c>
      <c r="O777" s="476">
        <v>92.322669980000001</v>
      </c>
      <c r="P777" s="476"/>
      <c r="Q777" s="476"/>
      <c r="R777" s="482"/>
      <c r="S777" s="483"/>
      <c r="T777" s="502">
        <v>43300</v>
      </c>
      <c r="U777" s="484"/>
      <c r="V777" s="476"/>
      <c r="W777" s="476"/>
      <c r="X777" s="17"/>
      <c r="Z777" s="17"/>
    </row>
    <row r="778" spans="1:26" ht="14.25" customHeight="1">
      <c r="A778" s="476" t="s">
        <v>2826</v>
      </c>
      <c r="B778" s="500" t="s">
        <v>318</v>
      </c>
      <c r="C778" s="499" t="s">
        <v>2095</v>
      </c>
      <c r="D778" s="429"/>
      <c r="E778" s="476">
        <v>197968</v>
      </c>
      <c r="F778" s="476"/>
      <c r="G778" s="476"/>
      <c r="H778" s="476"/>
      <c r="I778" s="476"/>
      <c r="J778" s="476" t="s">
        <v>807</v>
      </c>
      <c r="K778" s="476" t="s">
        <v>807</v>
      </c>
      <c r="L778" s="476" t="s">
        <v>807</v>
      </c>
      <c r="M778" s="476" t="s">
        <v>804</v>
      </c>
      <c r="N778" s="476">
        <v>20.878229139999998</v>
      </c>
      <c r="O778" s="476">
        <v>92.347267149999993</v>
      </c>
      <c r="P778" s="476"/>
      <c r="Q778" s="476"/>
      <c r="R778" s="482"/>
      <c r="S778" s="483"/>
      <c r="T778" s="502">
        <v>43300</v>
      </c>
      <c r="U778" s="484"/>
      <c r="V778" s="476"/>
      <c r="W778" s="476"/>
      <c r="X778" s="17"/>
      <c r="Z778" s="17"/>
    </row>
    <row r="779" spans="1:26" ht="14.25" customHeight="1">
      <c r="A779" s="483" t="s">
        <v>2826</v>
      </c>
      <c r="B779" s="510" t="s">
        <v>318</v>
      </c>
      <c r="C779" s="511" t="s">
        <v>2882</v>
      </c>
      <c r="D779" s="481"/>
      <c r="E779" s="476"/>
      <c r="F779" s="476"/>
      <c r="G779" s="476"/>
      <c r="H779" s="476"/>
      <c r="I779" s="476"/>
      <c r="J779" s="476" t="s">
        <v>2836</v>
      </c>
      <c r="K779" s="476" t="s">
        <v>2798</v>
      </c>
      <c r="L779" s="476" t="s">
        <v>2798</v>
      </c>
      <c r="M779" s="476"/>
      <c r="N779" s="476"/>
      <c r="O779" s="476"/>
      <c r="P779" s="476"/>
      <c r="Q779" s="476" t="s">
        <v>2803</v>
      </c>
      <c r="R779" s="490"/>
      <c r="S779" s="483"/>
      <c r="T779" s="502">
        <v>43580</v>
      </c>
      <c r="U779" s="525" t="s">
        <v>2870</v>
      </c>
      <c r="V779" s="484"/>
      <c r="W779" s="482"/>
      <c r="X779" s="17"/>
      <c r="Z779" s="17"/>
    </row>
    <row r="780" spans="1:26" ht="14.25" customHeight="1">
      <c r="A780" s="476" t="s">
        <v>2826</v>
      </c>
      <c r="B780" s="500" t="s">
        <v>318</v>
      </c>
      <c r="C780" s="499" t="s">
        <v>621</v>
      </c>
      <c r="D780" s="429" t="s">
        <v>1685</v>
      </c>
      <c r="E780" s="476">
        <v>197997</v>
      </c>
      <c r="F780" s="476"/>
      <c r="G780" s="476"/>
      <c r="H780" s="476"/>
      <c r="I780" s="476"/>
      <c r="J780" s="476" t="s">
        <v>807</v>
      </c>
      <c r="K780" s="476" t="s">
        <v>807</v>
      </c>
      <c r="L780" s="476" t="s">
        <v>807</v>
      </c>
      <c r="M780" s="476" t="s">
        <v>804</v>
      </c>
      <c r="N780" s="476">
        <v>20.803909300000001</v>
      </c>
      <c r="O780" s="476">
        <v>92.376831050000007</v>
      </c>
      <c r="P780" s="476" t="s">
        <v>808</v>
      </c>
      <c r="Q780" s="476" t="s">
        <v>789</v>
      </c>
      <c r="R780" s="482"/>
      <c r="S780" s="483"/>
      <c r="T780" s="502"/>
      <c r="U780" s="484"/>
      <c r="V780" s="476" t="s">
        <v>945</v>
      </c>
      <c r="W780" s="476"/>
      <c r="X780" s="17"/>
      <c r="Z780" s="17"/>
    </row>
    <row r="781" spans="1:26" ht="14.25" customHeight="1">
      <c r="A781" s="476" t="s">
        <v>2826</v>
      </c>
      <c r="B781" s="510" t="s">
        <v>318</v>
      </c>
      <c r="C781" s="511" t="s">
        <v>701</v>
      </c>
      <c r="D781" s="481" t="s">
        <v>1685</v>
      </c>
      <c r="E781" s="476">
        <v>197820</v>
      </c>
      <c r="F781" s="476"/>
      <c r="G781" s="476"/>
      <c r="H781" s="476"/>
      <c r="I781" s="476"/>
      <c r="J781" s="476" t="s">
        <v>807</v>
      </c>
      <c r="K781" s="476" t="s">
        <v>807</v>
      </c>
      <c r="L781" s="476" t="s">
        <v>807</v>
      </c>
      <c r="M781" s="476" t="s">
        <v>804</v>
      </c>
      <c r="N781" s="476">
        <v>21.26553917</v>
      </c>
      <c r="O781" s="476">
        <v>92.27140808</v>
      </c>
      <c r="P781" s="476" t="s">
        <v>808</v>
      </c>
      <c r="Q781" s="476" t="s">
        <v>789</v>
      </c>
      <c r="R781" s="490"/>
      <c r="S781" s="483"/>
      <c r="T781" s="502"/>
      <c r="U781" s="484"/>
      <c r="V781" s="476" t="s">
        <v>969</v>
      </c>
      <c r="W781" s="476"/>
      <c r="X781" s="17"/>
      <c r="Z781" s="17"/>
    </row>
    <row r="782" spans="1:26" ht="14.25" customHeight="1">
      <c r="A782" s="483" t="s">
        <v>2826</v>
      </c>
      <c r="B782" s="510" t="s">
        <v>318</v>
      </c>
      <c r="C782" s="511" t="s">
        <v>970</v>
      </c>
      <c r="D782" s="481" t="s">
        <v>1685</v>
      </c>
      <c r="E782" s="476">
        <v>197817</v>
      </c>
      <c r="F782" s="480" t="s">
        <v>2880</v>
      </c>
      <c r="G782" s="476"/>
      <c r="H782" s="476"/>
      <c r="I782" s="476"/>
      <c r="J782" s="476" t="s">
        <v>2836</v>
      </c>
      <c r="K782" s="476" t="s">
        <v>2798</v>
      </c>
      <c r="L782" s="476" t="s">
        <v>2798</v>
      </c>
      <c r="M782" s="476" t="s">
        <v>804</v>
      </c>
      <c r="N782" s="476">
        <v>21.2688694</v>
      </c>
      <c r="O782" s="476">
        <v>92.274917599999995</v>
      </c>
      <c r="P782" s="476" t="s">
        <v>808</v>
      </c>
      <c r="Q782" s="476" t="s">
        <v>2803</v>
      </c>
      <c r="R782" s="491"/>
      <c r="S782" s="487"/>
      <c r="T782" s="502">
        <v>43580</v>
      </c>
      <c r="U782" s="525" t="s">
        <v>2870</v>
      </c>
      <c r="V782" s="476" t="s">
        <v>969</v>
      </c>
      <c r="W782" s="482"/>
      <c r="X782" s="17"/>
      <c r="Z782" s="17"/>
    </row>
    <row r="783" spans="1:26" ht="14.25" customHeight="1">
      <c r="A783" s="476" t="s">
        <v>2826</v>
      </c>
      <c r="B783" s="510" t="s">
        <v>318</v>
      </c>
      <c r="C783" s="511" t="s">
        <v>319</v>
      </c>
      <c r="D783" s="481" t="s">
        <v>1685</v>
      </c>
      <c r="E783" s="476"/>
      <c r="F783" s="476"/>
      <c r="G783" s="476"/>
      <c r="H783" s="476"/>
      <c r="I783" s="476"/>
      <c r="J783" s="476" t="s">
        <v>807</v>
      </c>
      <c r="K783" s="476" t="s">
        <v>807</v>
      </c>
      <c r="L783" s="476" t="s">
        <v>807</v>
      </c>
      <c r="M783" s="476" t="s">
        <v>804</v>
      </c>
      <c r="N783" s="476"/>
      <c r="O783" s="476"/>
      <c r="P783" s="476" t="s">
        <v>808</v>
      </c>
      <c r="Q783" s="476" t="s">
        <v>789</v>
      </c>
      <c r="R783" s="491"/>
      <c r="S783" s="487"/>
      <c r="T783" s="502"/>
      <c r="U783" s="484"/>
      <c r="V783" s="476" t="s">
        <v>319</v>
      </c>
      <c r="W783" s="476"/>
      <c r="X783" s="17"/>
      <c r="Z783" s="17"/>
    </row>
    <row r="784" spans="1:26" ht="14.25" customHeight="1">
      <c r="A784" s="476" t="s">
        <v>2826</v>
      </c>
      <c r="B784" s="500" t="s">
        <v>318</v>
      </c>
      <c r="C784" s="499" t="s">
        <v>2702</v>
      </c>
      <c r="D784" s="429"/>
      <c r="E784" s="476">
        <v>197968</v>
      </c>
      <c r="F784" s="480" t="s">
        <v>2704</v>
      </c>
      <c r="G784" s="476"/>
      <c r="H784" s="476"/>
      <c r="I784" s="476"/>
      <c r="J784" s="476" t="s">
        <v>807</v>
      </c>
      <c r="K784" s="476" t="s">
        <v>807</v>
      </c>
      <c r="L784" s="476" t="s">
        <v>807</v>
      </c>
      <c r="M784" s="476" t="s">
        <v>804</v>
      </c>
      <c r="N784" s="476"/>
      <c r="O784" s="476"/>
      <c r="P784" s="476"/>
      <c r="Q784" s="476"/>
      <c r="R784" s="486"/>
      <c r="S784" s="487"/>
      <c r="T784" s="502"/>
      <c r="U784" s="484"/>
      <c r="V784" s="476"/>
      <c r="W784" s="476"/>
      <c r="X784" s="17"/>
      <c r="Z784" s="17"/>
    </row>
    <row r="785" spans="1:26" ht="14.25" customHeight="1">
      <c r="A785" s="476" t="s">
        <v>2826</v>
      </c>
      <c r="B785" s="510" t="s">
        <v>318</v>
      </c>
      <c r="C785" s="499" t="s">
        <v>618</v>
      </c>
      <c r="D785" s="481" t="s">
        <v>1685</v>
      </c>
      <c r="E785" s="476">
        <v>197995</v>
      </c>
      <c r="F785" s="476"/>
      <c r="G785" s="476"/>
      <c r="H785" s="476"/>
      <c r="I785" s="476"/>
      <c r="J785" s="476" t="s">
        <v>807</v>
      </c>
      <c r="K785" s="476" t="s">
        <v>807</v>
      </c>
      <c r="L785" s="476" t="s">
        <v>807</v>
      </c>
      <c r="M785" s="476" t="s">
        <v>804</v>
      </c>
      <c r="N785" s="476">
        <v>20.802850719999999</v>
      </c>
      <c r="O785" s="476">
        <v>92.392669679999997</v>
      </c>
      <c r="P785" s="476" t="s">
        <v>808</v>
      </c>
      <c r="Q785" s="480" t="s">
        <v>789</v>
      </c>
      <c r="R785" s="491"/>
      <c r="S785" s="487"/>
      <c r="T785" s="503"/>
      <c r="U785" s="484"/>
      <c r="V785" s="476" t="s">
        <v>944</v>
      </c>
      <c r="W785" s="476"/>
      <c r="X785" s="17"/>
      <c r="Z785" s="17"/>
    </row>
    <row r="786" spans="1:26" ht="14.25" customHeight="1">
      <c r="A786" s="476" t="s">
        <v>2826</v>
      </c>
      <c r="B786" s="510" t="s">
        <v>318</v>
      </c>
      <c r="C786" s="511" t="s">
        <v>619</v>
      </c>
      <c r="D786" s="481" t="s">
        <v>1685</v>
      </c>
      <c r="E786" s="476">
        <v>197995</v>
      </c>
      <c r="F786" s="476"/>
      <c r="G786" s="476"/>
      <c r="H786" s="476"/>
      <c r="I786" s="476"/>
      <c r="J786" s="476" t="s">
        <v>807</v>
      </c>
      <c r="K786" s="476" t="s">
        <v>807</v>
      </c>
      <c r="L786" s="476" t="s">
        <v>807</v>
      </c>
      <c r="M786" s="476" t="s">
        <v>804</v>
      </c>
      <c r="N786" s="476">
        <v>20.802850719999999</v>
      </c>
      <c r="O786" s="476">
        <v>92.392669679999997</v>
      </c>
      <c r="P786" s="476" t="s">
        <v>808</v>
      </c>
      <c r="Q786" s="476" t="s">
        <v>789</v>
      </c>
      <c r="R786" s="491"/>
      <c r="S786" s="487"/>
      <c r="T786" s="502"/>
      <c r="U786" s="484"/>
      <c r="V786" s="476" t="s">
        <v>944</v>
      </c>
      <c r="W786" s="476"/>
      <c r="X786" s="17"/>
      <c r="Z786" s="17"/>
    </row>
    <row r="787" spans="1:26" ht="14.25" customHeight="1">
      <c r="A787" s="476" t="s">
        <v>2826</v>
      </c>
      <c r="B787" s="510" t="s">
        <v>318</v>
      </c>
      <c r="C787" s="511" t="s">
        <v>2085</v>
      </c>
      <c r="D787" s="481"/>
      <c r="E787" s="476">
        <v>197939</v>
      </c>
      <c r="F787" s="476"/>
      <c r="G787" s="476"/>
      <c r="H787" s="476"/>
      <c r="I787" s="476"/>
      <c r="J787" s="476" t="s">
        <v>807</v>
      </c>
      <c r="K787" s="476" t="s">
        <v>807</v>
      </c>
      <c r="L787" s="476" t="s">
        <v>807</v>
      </c>
      <c r="M787" s="476" t="s">
        <v>307</v>
      </c>
      <c r="N787" s="476">
        <v>20.832990649999999</v>
      </c>
      <c r="O787" s="476">
        <v>92.353683469999993</v>
      </c>
      <c r="P787" s="476" t="s">
        <v>808</v>
      </c>
      <c r="Q787" s="476"/>
      <c r="R787" s="491"/>
      <c r="S787" s="487"/>
      <c r="T787" s="502">
        <v>43300</v>
      </c>
      <c r="U787" s="484"/>
      <c r="V787" s="476"/>
      <c r="W787" s="476"/>
      <c r="X787" s="17"/>
      <c r="Z787" s="17"/>
    </row>
    <row r="788" spans="1:26" ht="14.25" customHeight="1">
      <c r="A788" s="476" t="s">
        <v>2826</v>
      </c>
      <c r="B788" s="510" t="s">
        <v>318</v>
      </c>
      <c r="C788" s="511" t="s">
        <v>2140</v>
      </c>
      <c r="D788" s="481"/>
      <c r="E788" s="476">
        <v>220733</v>
      </c>
      <c r="F788" s="476"/>
      <c r="G788" s="476"/>
      <c r="H788" s="476"/>
      <c r="I788" s="476"/>
      <c r="J788" s="476" t="s">
        <v>807</v>
      </c>
      <c r="K788" s="476" t="s">
        <v>807</v>
      </c>
      <c r="L788" s="476" t="s">
        <v>807</v>
      </c>
      <c r="M788" s="476" t="s">
        <v>307</v>
      </c>
      <c r="N788" s="476">
        <v>20.931335449999999</v>
      </c>
      <c r="O788" s="476">
        <v>92.381462099999993</v>
      </c>
      <c r="P788" s="476"/>
      <c r="Q788" s="476"/>
      <c r="R788" s="491"/>
      <c r="S788" s="487"/>
      <c r="T788" s="502">
        <v>43300</v>
      </c>
      <c r="U788" s="484"/>
      <c r="V788" s="476"/>
      <c r="W788" s="476"/>
      <c r="X788" s="17"/>
      <c r="Z788" s="17"/>
    </row>
    <row r="789" spans="1:26" ht="14.25" customHeight="1">
      <c r="A789" s="476" t="s">
        <v>2826</v>
      </c>
      <c r="B789" s="510" t="s">
        <v>318</v>
      </c>
      <c r="C789" s="511" t="s">
        <v>2093</v>
      </c>
      <c r="D789" s="481"/>
      <c r="E789" s="476">
        <v>197862</v>
      </c>
      <c r="F789" s="476"/>
      <c r="G789" s="476"/>
      <c r="H789" s="476"/>
      <c r="I789" s="476"/>
      <c r="J789" s="476" t="s">
        <v>807</v>
      </c>
      <c r="K789" s="476" t="s">
        <v>807</v>
      </c>
      <c r="L789" s="476" t="s">
        <v>807</v>
      </c>
      <c r="M789" s="476" t="s">
        <v>307</v>
      </c>
      <c r="N789" s="476">
        <v>21.094310759999999</v>
      </c>
      <c r="O789" s="476">
        <v>92.335670469999997</v>
      </c>
      <c r="P789" s="476"/>
      <c r="Q789" s="476"/>
      <c r="R789" s="491"/>
      <c r="S789" s="487"/>
      <c r="T789" s="502">
        <v>43300</v>
      </c>
      <c r="U789" s="484"/>
      <c r="V789" s="476"/>
      <c r="W789" s="476"/>
      <c r="X789" s="17"/>
      <c r="Z789" s="17"/>
    </row>
    <row r="790" spans="1:26" ht="14.25" customHeight="1">
      <c r="A790" s="483" t="s">
        <v>2826</v>
      </c>
      <c r="B790" s="510" t="s">
        <v>318</v>
      </c>
      <c r="C790" s="511" t="s">
        <v>2877</v>
      </c>
      <c r="D790" s="481"/>
      <c r="E790" s="476">
        <v>197800</v>
      </c>
      <c r="F790" s="476" t="s">
        <v>2878</v>
      </c>
      <c r="G790" s="476"/>
      <c r="H790" s="476"/>
      <c r="I790" s="476"/>
      <c r="J790" s="476" t="s">
        <v>807</v>
      </c>
      <c r="K790" s="476" t="s">
        <v>807</v>
      </c>
      <c r="L790" s="476" t="s">
        <v>807</v>
      </c>
      <c r="M790" s="476"/>
      <c r="N790" s="476">
        <v>21.363349914550799</v>
      </c>
      <c r="O790" s="476">
        <v>92.280487060546903</v>
      </c>
      <c r="P790" s="476"/>
      <c r="Q790" s="476" t="s">
        <v>2803</v>
      </c>
      <c r="R790" s="491"/>
      <c r="S790" s="487"/>
      <c r="T790" s="502">
        <v>43580</v>
      </c>
      <c r="U790" s="525" t="s">
        <v>2870</v>
      </c>
      <c r="V790" s="484"/>
      <c r="W790" s="482"/>
      <c r="X790" s="17"/>
      <c r="Z790" s="17"/>
    </row>
    <row r="791" spans="1:26" ht="14.25" customHeight="1">
      <c r="A791" s="476" t="s">
        <v>2826</v>
      </c>
      <c r="B791" s="500" t="s">
        <v>318</v>
      </c>
      <c r="C791" s="499" t="s">
        <v>670</v>
      </c>
      <c r="D791" s="429" t="s">
        <v>1685</v>
      </c>
      <c r="E791" s="476">
        <v>220734</v>
      </c>
      <c r="F791" s="476" t="s">
        <v>2812</v>
      </c>
      <c r="G791" s="476"/>
      <c r="H791" s="476"/>
      <c r="I791" s="476"/>
      <c r="J791" s="476" t="s">
        <v>807</v>
      </c>
      <c r="K791" s="476" t="s">
        <v>807</v>
      </c>
      <c r="L791" s="476" t="s">
        <v>807</v>
      </c>
      <c r="M791" s="476" t="s">
        <v>307</v>
      </c>
      <c r="N791" s="476">
        <v>20.910375599999998</v>
      </c>
      <c r="O791" s="476">
        <v>92.400138850000005</v>
      </c>
      <c r="P791" s="476" t="s">
        <v>808</v>
      </c>
      <c r="Q791" s="476" t="s">
        <v>811</v>
      </c>
      <c r="R791" s="486"/>
      <c r="S791" s="487"/>
      <c r="T791" s="502">
        <v>42926</v>
      </c>
      <c r="U791" s="484" t="s">
        <v>812</v>
      </c>
      <c r="V791" s="476"/>
      <c r="W791" s="476"/>
      <c r="X791" s="17"/>
      <c r="Z791" s="17"/>
    </row>
    <row r="792" spans="1:26" ht="14.25" customHeight="1">
      <c r="A792" s="476" t="s">
        <v>2826</v>
      </c>
      <c r="B792" s="510" t="s">
        <v>318</v>
      </c>
      <c r="C792" s="511" t="s">
        <v>322</v>
      </c>
      <c r="D792" s="481" t="s">
        <v>1685</v>
      </c>
      <c r="E792" s="476"/>
      <c r="F792" s="476"/>
      <c r="G792" s="476"/>
      <c r="H792" s="476"/>
      <c r="I792" s="476"/>
      <c r="J792" s="476" t="s">
        <v>807</v>
      </c>
      <c r="K792" s="476" t="s">
        <v>807</v>
      </c>
      <c r="L792" s="476" t="s">
        <v>807</v>
      </c>
      <c r="M792" s="476" t="s">
        <v>307</v>
      </c>
      <c r="N792" s="476"/>
      <c r="O792" s="476"/>
      <c r="P792" s="476" t="s">
        <v>808</v>
      </c>
      <c r="Q792" s="476" t="s">
        <v>789</v>
      </c>
      <c r="R792" s="491"/>
      <c r="S792" s="487"/>
      <c r="T792" s="502"/>
      <c r="U792" s="484"/>
      <c r="V792" s="476" t="s">
        <v>322</v>
      </c>
      <c r="W792" s="476"/>
      <c r="X792" s="17"/>
      <c r="Z792" s="17"/>
    </row>
    <row r="793" spans="1:26" ht="14.25" customHeight="1">
      <c r="A793" s="476" t="s">
        <v>2826</v>
      </c>
      <c r="B793" s="500" t="s">
        <v>318</v>
      </c>
      <c r="C793" s="499" t="s">
        <v>324</v>
      </c>
      <c r="D793" s="429" t="s">
        <v>1685</v>
      </c>
      <c r="E793" s="476"/>
      <c r="F793" s="476"/>
      <c r="G793" s="476"/>
      <c r="H793" s="476"/>
      <c r="I793" s="476"/>
      <c r="J793" s="476" t="s">
        <v>807</v>
      </c>
      <c r="K793" s="476" t="s">
        <v>807</v>
      </c>
      <c r="L793" s="476" t="s">
        <v>807</v>
      </c>
      <c r="M793" s="476" t="s">
        <v>804</v>
      </c>
      <c r="N793" s="476"/>
      <c r="O793" s="476"/>
      <c r="P793" s="476" t="s">
        <v>808</v>
      </c>
      <c r="Q793" s="476" t="s">
        <v>789</v>
      </c>
      <c r="R793" s="482"/>
      <c r="S793" s="483"/>
      <c r="T793" s="502"/>
      <c r="U793" s="484"/>
      <c r="V793" s="476" t="s">
        <v>1100</v>
      </c>
      <c r="W793" s="476"/>
      <c r="X793" s="17"/>
      <c r="Z793" s="17"/>
    </row>
    <row r="794" spans="1:26" ht="14.25" customHeight="1">
      <c r="A794" s="476" t="s">
        <v>2826</v>
      </c>
      <c r="B794" s="500" t="s">
        <v>318</v>
      </c>
      <c r="C794" s="499" t="s">
        <v>2342</v>
      </c>
      <c r="D794" s="429"/>
      <c r="E794" s="522">
        <v>196937</v>
      </c>
      <c r="F794" s="480" t="s">
        <v>2812</v>
      </c>
      <c r="G794" s="476"/>
      <c r="H794" s="476"/>
      <c r="I794" s="476"/>
      <c r="J794" s="476" t="s">
        <v>807</v>
      </c>
      <c r="K794" s="476" t="s">
        <v>807</v>
      </c>
      <c r="L794" s="476" t="s">
        <v>807</v>
      </c>
      <c r="M794" s="476" t="s">
        <v>307</v>
      </c>
      <c r="N794" s="476">
        <v>20.646560668945298</v>
      </c>
      <c r="O794" s="476">
        <v>92.976043701171903</v>
      </c>
      <c r="P794" s="476"/>
      <c r="Q794" s="476"/>
      <c r="R794" s="486"/>
      <c r="S794" s="487"/>
      <c r="T794" s="502"/>
      <c r="U794" s="484"/>
      <c r="V794" s="476"/>
      <c r="W794" s="476"/>
      <c r="X794" s="17"/>
      <c r="Z794" s="17"/>
    </row>
    <row r="795" spans="1:26" ht="14.25" customHeight="1">
      <c r="A795" s="476" t="s">
        <v>2826</v>
      </c>
      <c r="B795" s="500" t="s">
        <v>318</v>
      </c>
      <c r="C795" s="499" t="s">
        <v>2090</v>
      </c>
      <c r="D795" s="429"/>
      <c r="E795" s="476">
        <v>197947</v>
      </c>
      <c r="F795" s="476" t="s">
        <v>2812</v>
      </c>
      <c r="G795" s="476"/>
      <c r="H795" s="476"/>
      <c r="I795" s="476"/>
      <c r="J795" s="476" t="s">
        <v>807</v>
      </c>
      <c r="K795" s="476" t="s">
        <v>807</v>
      </c>
      <c r="L795" s="476" t="s">
        <v>807</v>
      </c>
      <c r="M795" s="476" t="s">
        <v>307</v>
      </c>
      <c r="N795" s="476">
        <v>20.899179459999999</v>
      </c>
      <c r="O795" s="476">
        <v>92.404052730000004</v>
      </c>
      <c r="P795" s="476"/>
      <c r="Q795" s="476"/>
      <c r="R795" s="482"/>
      <c r="S795" s="483"/>
      <c r="T795" s="502">
        <v>43300</v>
      </c>
      <c r="U795" s="484"/>
      <c r="V795" s="476"/>
      <c r="W795" s="476"/>
      <c r="X795" s="17"/>
      <c r="Z795" s="17"/>
    </row>
    <row r="796" spans="1:26" ht="14.25" customHeight="1">
      <c r="A796" s="476" t="s">
        <v>2826</v>
      </c>
      <c r="B796" s="510" t="s">
        <v>318</v>
      </c>
      <c r="C796" s="511" t="s">
        <v>632</v>
      </c>
      <c r="D796" s="481" t="s">
        <v>1685</v>
      </c>
      <c r="E796" s="476" t="s">
        <v>1420</v>
      </c>
      <c r="F796" s="476"/>
      <c r="G796" s="476"/>
      <c r="H796" s="476" t="s">
        <v>43</v>
      </c>
      <c r="I796" s="476"/>
      <c r="J796" s="476" t="s">
        <v>807</v>
      </c>
      <c r="K796" s="476" t="s">
        <v>807</v>
      </c>
      <c r="L796" s="476" t="s">
        <v>1685</v>
      </c>
      <c r="M796" s="476" t="s">
        <v>804</v>
      </c>
      <c r="N796" s="476">
        <v>20.819958</v>
      </c>
      <c r="O796" s="476">
        <v>92.365793999999994</v>
      </c>
      <c r="P796" s="476" t="s">
        <v>770</v>
      </c>
      <c r="Q796" s="476" t="s">
        <v>789</v>
      </c>
      <c r="R796" s="491"/>
      <c r="S796" s="487"/>
      <c r="T796" s="502">
        <v>43248</v>
      </c>
      <c r="U796" s="484" t="s">
        <v>1934</v>
      </c>
      <c r="V796" s="476"/>
      <c r="W796" s="476"/>
      <c r="X796" s="17"/>
      <c r="Z796" s="17"/>
    </row>
    <row r="797" spans="1:26" ht="14.25" customHeight="1">
      <c r="A797" s="476" t="s">
        <v>2826</v>
      </c>
      <c r="B797" s="500" t="s">
        <v>318</v>
      </c>
      <c r="C797" s="499" t="s">
        <v>2120</v>
      </c>
      <c r="D797" s="429" t="s">
        <v>1685</v>
      </c>
      <c r="E797" s="476">
        <v>197896</v>
      </c>
      <c r="F797" s="476"/>
      <c r="G797" s="476"/>
      <c r="H797" s="476"/>
      <c r="I797" s="476"/>
      <c r="J797" s="476" t="s">
        <v>807</v>
      </c>
      <c r="K797" s="476" t="s">
        <v>807</v>
      </c>
      <c r="L797" s="476" t="s">
        <v>807</v>
      </c>
      <c r="M797" s="476" t="s">
        <v>307</v>
      </c>
      <c r="N797" s="494">
        <v>20.991559980000002</v>
      </c>
      <c r="O797" s="494">
        <v>92.290878300000003</v>
      </c>
      <c r="P797" s="476" t="s">
        <v>808</v>
      </c>
      <c r="Q797" s="476" t="s">
        <v>789</v>
      </c>
      <c r="R797" s="486"/>
      <c r="S797" s="487"/>
      <c r="T797" s="502"/>
      <c r="U797" s="484"/>
      <c r="V797" s="476" t="s">
        <v>681</v>
      </c>
      <c r="W797" s="476"/>
      <c r="X797" s="17"/>
      <c r="Z797" s="17"/>
    </row>
    <row r="798" spans="1:26" ht="14.25" customHeight="1">
      <c r="A798" s="476" t="s">
        <v>2826</v>
      </c>
      <c r="B798" s="500" t="s">
        <v>318</v>
      </c>
      <c r="C798" s="499" t="s">
        <v>2125</v>
      </c>
      <c r="D798" s="429"/>
      <c r="E798" s="476">
        <v>197921</v>
      </c>
      <c r="F798" s="476"/>
      <c r="G798" s="476"/>
      <c r="H798" s="476"/>
      <c r="I798" s="476"/>
      <c r="J798" s="476" t="s">
        <v>807</v>
      </c>
      <c r="K798" s="476" t="s">
        <v>807</v>
      </c>
      <c r="L798" s="476" t="s">
        <v>807</v>
      </c>
      <c r="M798" s="476" t="s">
        <v>804</v>
      </c>
      <c r="N798" s="476">
        <v>20.9467392</v>
      </c>
      <c r="O798" s="476">
        <v>92.330482480000001</v>
      </c>
      <c r="P798" s="476"/>
      <c r="Q798" s="476"/>
      <c r="R798" s="486"/>
      <c r="S798" s="487"/>
      <c r="T798" s="502">
        <v>43300</v>
      </c>
      <c r="U798" s="484"/>
      <c r="V798" s="476"/>
      <c r="W798" s="476"/>
      <c r="X798" s="17"/>
      <c r="Z798" s="17"/>
    </row>
    <row r="799" spans="1:26" ht="14.25" customHeight="1">
      <c r="A799" s="476" t="s">
        <v>2826</v>
      </c>
      <c r="B799" s="500" t="s">
        <v>318</v>
      </c>
      <c r="C799" s="499" t="s">
        <v>2097</v>
      </c>
      <c r="D799" s="429"/>
      <c r="E799" s="476">
        <v>197970</v>
      </c>
      <c r="F799" s="476"/>
      <c r="G799" s="476"/>
      <c r="H799" s="476"/>
      <c r="I799" s="476"/>
      <c r="J799" s="476" t="s">
        <v>807</v>
      </c>
      <c r="K799" s="476" t="s">
        <v>807</v>
      </c>
      <c r="L799" s="476" t="s">
        <v>807</v>
      </c>
      <c r="M799" s="476" t="s">
        <v>804</v>
      </c>
      <c r="N799" s="494">
        <v>20.86484909</v>
      </c>
      <c r="O799" s="494">
        <v>92.347358700000001</v>
      </c>
      <c r="P799" s="476"/>
      <c r="Q799" s="476"/>
      <c r="R799" s="486"/>
      <c r="S799" s="487"/>
      <c r="T799" s="502">
        <v>43300</v>
      </c>
      <c r="U799" s="484"/>
      <c r="V799" s="476"/>
      <c r="W799" s="476"/>
      <c r="X799" s="17"/>
      <c r="Z799" s="17"/>
    </row>
    <row r="800" spans="1:26" ht="14.25" customHeight="1">
      <c r="A800" s="476" t="s">
        <v>2826</v>
      </c>
      <c r="B800" s="500" t="s">
        <v>318</v>
      </c>
      <c r="C800" s="499" t="s">
        <v>578</v>
      </c>
      <c r="D800" s="429" t="s">
        <v>1685</v>
      </c>
      <c r="E800" s="476">
        <v>198046</v>
      </c>
      <c r="F800" s="476"/>
      <c r="G800" s="476"/>
      <c r="H800" s="476"/>
      <c r="I800" s="476"/>
      <c r="J800" s="476" t="s">
        <v>807</v>
      </c>
      <c r="K800" s="476" t="s">
        <v>807</v>
      </c>
      <c r="L800" s="476" t="s">
        <v>807</v>
      </c>
      <c r="M800" s="476" t="s">
        <v>804</v>
      </c>
      <c r="N800" s="476">
        <v>20.720169070000001</v>
      </c>
      <c r="O800" s="476">
        <v>92.432983399999998</v>
      </c>
      <c r="P800" s="476" t="s">
        <v>808</v>
      </c>
      <c r="Q800" s="476" t="s">
        <v>789</v>
      </c>
      <c r="R800" s="482"/>
      <c r="S800" s="483"/>
      <c r="T800" s="502"/>
      <c r="U800" s="484"/>
      <c r="V800" s="476" t="s">
        <v>578</v>
      </c>
      <c r="W800" s="476"/>
      <c r="X800" s="17"/>
      <c r="Z800" s="17"/>
    </row>
    <row r="801" spans="1:26" ht="14.25" customHeight="1">
      <c r="A801" s="476" t="s">
        <v>2826</v>
      </c>
      <c r="B801" s="500" t="s">
        <v>318</v>
      </c>
      <c r="C801" s="499" t="s">
        <v>328</v>
      </c>
      <c r="D801" s="429" t="s">
        <v>1685</v>
      </c>
      <c r="E801" s="476"/>
      <c r="F801" s="476"/>
      <c r="G801" s="476"/>
      <c r="H801" s="476"/>
      <c r="I801" s="476"/>
      <c r="J801" s="476" t="s">
        <v>807</v>
      </c>
      <c r="K801" s="476" t="s">
        <v>807</v>
      </c>
      <c r="L801" s="476" t="s">
        <v>807</v>
      </c>
      <c r="M801" s="476" t="s">
        <v>307</v>
      </c>
      <c r="N801" s="476"/>
      <c r="O801" s="476"/>
      <c r="P801" s="476" t="s">
        <v>808</v>
      </c>
      <c r="Q801" s="476" t="s">
        <v>789</v>
      </c>
      <c r="R801" s="486"/>
      <c r="S801" s="487"/>
      <c r="T801" s="502"/>
      <c r="U801" s="484"/>
      <c r="V801" s="476" t="s">
        <v>328</v>
      </c>
      <c r="W801" s="476"/>
      <c r="X801" s="17"/>
      <c r="Z801" s="17"/>
    </row>
    <row r="802" spans="1:26" ht="14.25" customHeight="1">
      <c r="A802" s="476" t="s">
        <v>2826</v>
      </c>
      <c r="B802" s="510" t="s">
        <v>318</v>
      </c>
      <c r="C802" s="511" t="s">
        <v>572</v>
      </c>
      <c r="D802" s="481" t="s">
        <v>1685</v>
      </c>
      <c r="E802" s="476" t="s">
        <v>1415</v>
      </c>
      <c r="F802" s="476"/>
      <c r="G802" s="476"/>
      <c r="H802" s="476" t="s">
        <v>43</v>
      </c>
      <c r="I802" s="476"/>
      <c r="J802" s="476" t="s">
        <v>807</v>
      </c>
      <c r="K802" s="476" t="s">
        <v>807</v>
      </c>
      <c r="L802" s="476" t="s">
        <v>1685</v>
      </c>
      <c r="M802" s="476" t="s">
        <v>804</v>
      </c>
      <c r="N802" s="476">
        <v>20.714846999999999</v>
      </c>
      <c r="O802" s="476">
        <v>92.443427999999997</v>
      </c>
      <c r="P802" s="476" t="s">
        <v>770</v>
      </c>
      <c r="Q802" s="476" t="s">
        <v>789</v>
      </c>
      <c r="R802" s="491"/>
      <c r="S802" s="487"/>
      <c r="T802" s="502">
        <v>43248</v>
      </c>
      <c r="U802" s="484" t="s">
        <v>1934</v>
      </c>
      <c r="V802" s="476"/>
      <c r="W802" s="476"/>
      <c r="X802" s="17"/>
      <c r="Z802" s="17"/>
    </row>
    <row r="803" spans="1:26" ht="14.25" customHeight="1">
      <c r="A803" s="476" t="s">
        <v>2826</v>
      </c>
      <c r="B803" s="510" t="s">
        <v>318</v>
      </c>
      <c r="C803" s="511" t="s">
        <v>330</v>
      </c>
      <c r="D803" s="481" t="s">
        <v>1685</v>
      </c>
      <c r="E803" s="476"/>
      <c r="F803" s="476"/>
      <c r="G803" s="476"/>
      <c r="H803" s="476"/>
      <c r="I803" s="476"/>
      <c r="J803" s="476" t="s">
        <v>807</v>
      </c>
      <c r="K803" s="476" t="s">
        <v>807</v>
      </c>
      <c r="L803" s="476" t="s">
        <v>807</v>
      </c>
      <c r="M803" s="476" t="s">
        <v>804</v>
      </c>
      <c r="N803" s="476"/>
      <c r="O803" s="476"/>
      <c r="P803" s="476" t="s">
        <v>808</v>
      </c>
      <c r="Q803" s="476" t="s">
        <v>789</v>
      </c>
      <c r="R803" s="491"/>
      <c r="S803" s="487"/>
      <c r="T803" s="502"/>
      <c r="U803" s="484"/>
      <c r="V803" s="476" t="s">
        <v>330</v>
      </c>
      <c r="W803" s="476"/>
      <c r="X803" s="17"/>
      <c r="Z803" s="17"/>
    </row>
    <row r="804" spans="1:26" ht="14.25" customHeight="1">
      <c r="A804" s="476" t="s">
        <v>2826</v>
      </c>
      <c r="B804" s="510" t="s">
        <v>318</v>
      </c>
      <c r="C804" s="511" t="s">
        <v>2137</v>
      </c>
      <c r="D804" s="481"/>
      <c r="E804" s="476">
        <v>197934</v>
      </c>
      <c r="F804" s="476"/>
      <c r="G804" s="476"/>
      <c r="H804" s="476"/>
      <c r="I804" s="476"/>
      <c r="J804" s="476" t="s">
        <v>807</v>
      </c>
      <c r="K804" s="476" t="s">
        <v>807</v>
      </c>
      <c r="L804" s="476" t="s">
        <v>807</v>
      </c>
      <c r="M804" s="476" t="s">
        <v>804</v>
      </c>
      <c r="N804" s="476">
        <v>20.857500080000001</v>
      </c>
      <c r="O804" s="476">
        <v>92.357841489999998</v>
      </c>
      <c r="P804" s="476"/>
      <c r="Q804" s="476"/>
      <c r="R804" s="490"/>
      <c r="S804" s="483"/>
      <c r="T804" s="502">
        <v>43300</v>
      </c>
      <c r="U804" s="484"/>
      <c r="V804" s="476"/>
      <c r="W804" s="476"/>
      <c r="X804" s="17"/>
      <c r="Z804" s="17"/>
    </row>
    <row r="805" spans="1:26" ht="14.25" customHeight="1">
      <c r="A805" s="476" t="s">
        <v>2826</v>
      </c>
      <c r="B805" s="500" t="s">
        <v>318</v>
      </c>
      <c r="C805" s="499" t="s">
        <v>660</v>
      </c>
      <c r="D805" s="429"/>
      <c r="E805" s="476">
        <v>197941</v>
      </c>
      <c r="F805" s="476"/>
      <c r="G805" s="476"/>
      <c r="H805" s="476"/>
      <c r="I805" s="476"/>
      <c r="J805" s="476" t="s">
        <v>807</v>
      </c>
      <c r="K805" s="476" t="s">
        <v>807</v>
      </c>
      <c r="L805" s="476" t="s">
        <v>807</v>
      </c>
      <c r="M805" s="476" t="s">
        <v>804</v>
      </c>
      <c r="N805" s="476">
        <v>20.83185005</v>
      </c>
      <c r="O805" s="476">
        <v>92.359428410000007</v>
      </c>
      <c r="P805" s="476"/>
      <c r="Q805" s="476"/>
      <c r="R805" s="482"/>
      <c r="S805" s="483"/>
      <c r="T805" s="502">
        <v>43300</v>
      </c>
      <c r="U805" s="484"/>
      <c r="V805" s="476"/>
      <c r="W805" s="476"/>
      <c r="X805" s="17"/>
      <c r="Z805" s="17"/>
    </row>
    <row r="806" spans="1:26" ht="14.25" customHeight="1">
      <c r="A806" s="476" t="s">
        <v>2826</v>
      </c>
      <c r="B806" s="500" t="s">
        <v>318</v>
      </c>
      <c r="C806" s="499" t="s">
        <v>2114</v>
      </c>
      <c r="D806" s="429"/>
      <c r="E806" s="476">
        <v>197872</v>
      </c>
      <c r="F806" s="476"/>
      <c r="G806" s="476"/>
      <c r="H806" s="476"/>
      <c r="I806" s="476"/>
      <c r="J806" s="476" t="s">
        <v>807</v>
      </c>
      <c r="K806" s="476" t="s">
        <v>807</v>
      </c>
      <c r="L806" s="476" t="s">
        <v>807</v>
      </c>
      <c r="M806" s="476" t="s">
        <v>2133</v>
      </c>
      <c r="N806" s="476">
        <v>21.07212067</v>
      </c>
      <c r="O806" s="476">
        <v>92.314163210000004</v>
      </c>
      <c r="P806" s="476"/>
      <c r="Q806" s="476"/>
      <c r="R806" s="482"/>
      <c r="S806" s="483"/>
      <c r="T806" s="502">
        <v>43300</v>
      </c>
      <c r="U806" s="484"/>
      <c r="V806" s="476"/>
      <c r="W806" s="476"/>
      <c r="X806" s="17"/>
      <c r="Z806" s="17"/>
    </row>
    <row r="807" spans="1:26" ht="14.25" customHeight="1">
      <c r="A807" s="476" t="s">
        <v>2826</v>
      </c>
      <c r="B807" s="510" t="s">
        <v>318</v>
      </c>
      <c r="C807" s="511" t="s">
        <v>571</v>
      </c>
      <c r="D807" s="481" t="s">
        <v>1685</v>
      </c>
      <c r="E807" s="476">
        <v>198049</v>
      </c>
      <c r="F807" s="476"/>
      <c r="G807" s="476"/>
      <c r="H807" s="476"/>
      <c r="I807" s="476"/>
      <c r="J807" s="476" t="s">
        <v>807</v>
      </c>
      <c r="K807" s="476" t="s">
        <v>807</v>
      </c>
      <c r="L807" s="476" t="s">
        <v>807</v>
      </c>
      <c r="M807" s="476" t="s">
        <v>804</v>
      </c>
      <c r="N807" s="476">
        <v>20.714559560000001</v>
      </c>
      <c r="O807" s="476">
        <v>92.435226439999994</v>
      </c>
      <c r="P807" s="476" t="s">
        <v>808</v>
      </c>
      <c r="Q807" s="476" t="s">
        <v>789</v>
      </c>
      <c r="R807" s="490"/>
      <c r="S807" s="483"/>
      <c r="T807" s="502"/>
      <c r="U807" s="484"/>
      <c r="V807" s="476" t="s">
        <v>571</v>
      </c>
      <c r="W807" s="476"/>
      <c r="X807" s="17"/>
      <c r="Z807" s="17"/>
    </row>
    <row r="808" spans="1:26" ht="14.25" customHeight="1">
      <c r="A808" s="476" t="s">
        <v>2826</v>
      </c>
      <c r="B808" s="510" t="s">
        <v>318</v>
      </c>
      <c r="C808" s="511" t="s">
        <v>692</v>
      </c>
      <c r="D808" s="481" t="s">
        <v>1685</v>
      </c>
      <c r="E808" s="476">
        <v>220731</v>
      </c>
      <c r="F808" s="476"/>
      <c r="G808" s="476"/>
      <c r="H808" s="476"/>
      <c r="I808" s="476"/>
      <c r="J808" s="476" t="s">
        <v>807</v>
      </c>
      <c r="K808" s="476" t="s">
        <v>807</v>
      </c>
      <c r="L808" s="476" t="s">
        <v>807</v>
      </c>
      <c r="M808" s="476" t="s">
        <v>692</v>
      </c>
      <c r="N808" s="476">
        <v>21.027990339999999</v>
      </c>
      <c r="O808" s="476">
        <v>92.298881530000003</v>
      </c>
      <c r="P808" s="476" t="s">
        <v>808</v>
      </c>
      <c r="Q808" s="476" t="s">
        <v>789</v>
      </c>
      <c r="R808" s="490"/>
      <c r="S808" s="483"/>
      <c r="T808" s="502">
        <v>43300</v>
      </c>
      <c r="U808" s="484"/>
      <c r="V808" s="476" t="s">
        <v>692</v>
      </c>
      <c r="W808" s="476"/>
      <c r="X808" s="17"/>
      <c r="Z808" s="17"/>
    </row>
    <row r="809" spans="1:26" ht="14.25" customHeight="1">
      <c r="A809" s="476" t="s">
        <v>2826</v>
      </c>
      <c r="B809" s="510" t="s">
        <v>318</v>
      </c>
      <c r="C809" s="511" t="s">
        <v>570</v>
      </c>
      <c r="D809" s="481" t="s">
        <v>1685</v>
      </c>
      <c r="E809" s="476" t="s">
        <v>1414</v>
      </c>
      <c r="F809" s="476"/>
      <c r="G809" s="476"/>
      <c r="H809" s="476" t="s">
        <v>43</v>
      </c>
      <c r="I809" s="476"/>
      <c r="J809" s="476" t="s">
        <v>807</v>
      </c>
      <c r="K809" s="476" t="s">
        <v>807</v>
      </c>
      <c r="L809" s="476" t="s">
        <v>1685</v>
      </c>
      <c r="M809" s="476" t="s">
        <v>804</v>
      </c>
      <c r="N809" s="476">
        <v>20.713882999999999</v>
      </c>
      <c r="O809" s="476">
        <v>92.435378</v>
      </c>
      <c r="P809" s="476" t="s">
        <v>770</v>
      </c>
      <c r="Q809" s="476" t="s">
        <v>789</v>
      </c>
      <c r="R809" s="490"/>
      <c r="S809" s="483"/>
      <c r="T809" s="502">
        <v>43248</v>
      </c>
      <c r="U809" s="484" t="s">
        <v>1934</v>
      </c>
      <c r="V809" s="476"/>
      <c r="W809" s="476"/>
      <c r="X809" s="17"/>
      <c r="Z809" s="17"/>
    </row>
    <row r="810" spans="1:26" ht="14.25" customHeight="1">
      <c r="A810" s="476" t="s">
        <v>2826</v>
      </c>
      <c r="B810" s="500" t="s">
        <v>318</v>
      </c>
      <c r="C810" s="499" t="s">
        <v>678</v>
      </c>
      <c r="D810" s="429" t="s">
        <v>1685</v>
      </c>
      <c r="E810" s="476">
        <v>197913</v>
      </c>
      <c r="F810" s="476"/>
      <c r="G810" s="476"/>
      <c r="H810" s="476"/>
      <c r="I810" s="476"/>
      <c r="J810" s="476" t="s">
        <v>807</v>
      </c>
      <c r="K810" s="476" t="s">
        <v>807</v>
      </c>
      <c r="L810" s="476" t="s">
        <v>807</v>
      </c>
      <c r="M810" s="476" t="s">
        <v>307</v>
      </c>
      <c r="N810" s="476">
        <v>20.987419129999999</v>
      </c>
      <c r="O810" s="476">
        <v>92.362136840000005</v>
      </c>
      <c r="P810" s="476" t="s">
        <v>808</v>
      </c>
      <c r="Q810" s="476" t="s">
        <v>811</v>
      </c>
      <c r="R810" s="482"/>
      <c r="S810" s="483"/>
      <c r="T810" s="502">
        <v>42926</v>
      </c>
      <c r="U810" s="484" t="s">
        <v>812</v>
      </c>
      <c r="V810" s="476"/>
      <c r="W810" s="476"/>
      <c r="X810" s="17"/>
      <c r="Z810" s="17"/>
    </row>
    <row r="811" spans="1:26" ht="14.25" customHeight="1">
      <c r="A811" s="476" t="s">
        <v>2826</v>
      </c>
      <c r="B811" s="510" t="s">
        <v>318</v>
      </c>
      <c r="C811" s="511" t="s">
        <v>679</v>
      </c>
      <c r="D811" s="481" t="s">
        <v>1685</v>
      </c>
      <c r="E811" s="476">
        <v>197913</v>
      </c>
      <c r="F811" s="476"/>
      <c r="G811" s="476"/>
      <c r="H811" s="476"/>
      <c r="I811" s="476"/>
      <c r="J811" s="476" t="s">
        <v>807</v>
      </c>
      <c r="K811" s="476" t="s">
        <v>807</v>
      </c>
      <c r="L811" s="476" t="s">
        <v>807</v>
      </c>
      <c r="M811" s="476" t="s">
        <v>804</v>
      </c>
      <c r="N811" s="476">
        <v>20.987419129999999</v>
      </c>
      <c r="O811" s="476">
        <v>92.362136840000005</v>
      </c>
      <c r="P811" s="476" t="s">
        <v>808</v>
      </c>
      <c r="Q811" s="476" t="s">
        <v>789</v>
      </c>
      <c r="R811" s="490"/>
      <c r="S811" s="483"/>
      <c r="T811" s="502">
        <v>42745</v>
      </c>
      <c r="U811" s="484"/>
      <c r="V811" s="476" t="s">
        <v>961</v>
      </c>
      <c r="W811" s="476"/>
      <c r="X811" s="17"/>
      <c r="Z811" s="17"/>
    </row>
    <row r="812" spans="1:26" ht="14.25" customHeight="1">
      <c r="A812" s="476" t="s">
        <v>2826</v>
      </c>
      <c r="B812" s="500" t="s">
        <v>318</v>
      </c>
      <c r="C812" s="499" t="s">
        <v>2141</v>
      </c>
      <c r="D812" s="429"/>
      <c r="E812" s="476">
        <v>197913</v>
      </c>
      <c r="F812" s="476"/>
      <c r="G812" s="476"/>
      <c r="H812" s="476"/>
      <c r="I812" s="476"/>
      <c r="J812" s="476" t="s">
        <v>807</v>
      </c>
      <c r="K812" s="476" t="s">
        <v>807</v>
      </c>
      <c r="L812" s="476" t="s">
        <v>807</v>
      </c>
      <c r="M812" s="476" t="s">
        <v>307</v>
      </c>
      <c r="N812" s="476">
        <v>20.987419129999999</v>
      </c>
      <c r="O812" s="476">
        <v>92.362136840000005</v>
      </c>
      <c r="P812" s="476"/>
      <c r="Q812" s="476"/>
      <c r="R812" s="482"/>
      <c r="S812" s="483"/>
      <c r="T812" s="502">
        <v>43300</v>
      </c>
      <c r="U812" s="484"/>
      <c r="V812" s="476"/>
      <c r="W812" s="476"/>
      <c r="X812" s="17"/>
      <c r="Z812" s="17"/>
    </row>
    <row r="813" spans="1:26" ht="14.25" customHeight="1">
      <c r="A813" s="476" t="s">
        <v>2826</v>
      </c>
      <c r="B813" s="510" t="s">
        <v>318</v>
      </c>
      <c r="C813" s="511" t="s">
        <v>2128</v>
      </c>
      <c r="D813" s="481"/>
      <c r="E813" s="476">
        <v>198084</v>
      </c>
      <c r="F813" s="476"/>
      <c r="G813" s="476"/>
      <c r="H813" s="476"/>
      <c r="I813" s="476"/>
      <c r="J813" s="476" t="s">
        <v>807</v>
      </c>
      <c r="K813" s="476" t="s">
        <v>807</v>
      </c>
      <c r="L813" s="476" t="s">
        <v>807</v>
      </c>
      <c r="M813" s="476" t="s">
        <v>307</v>
      </c>
      <c r="N813" s="476">
        <v>20.51251984</v>
      </c>
      <c r="O813" s="476">
        <v>92.582893369999994</v>
      </c>
      <c r="P813" s="476"/>
      <c r="Q813" s="476"/>
      <c r="R813" s="490"/>
      <c r="S813" s="483"/>
      <c r="T813" s="502">
        <v>43300</v>
      </c>
      <c r="U813" s="484"/>
      <c r="V813" s="476"/>
      <c r="W813" s="476"/>
      <c r="X813" s="17"/>
      <c r="Z813" s="17"/>
    </row>
    <row r="814" spans="1:26" ht="14.25" customHeight="1">
      <c r="A814" s="476" t="s">
        <v>2826</v>
      </c>
      <c r="B814" s="500" t="s">
        <v>318</v>
      </c>
      <c r="C814" s="499" t="s">
        <v>2156</v>
      </c>
      <c r="D814" s="429"/>
      <c r="E814" s="476"/>
      <c r="F814" s="476"/>
      <c r="G814" s="476"/>
      <c r="H814" s="476"/>
      <c r="I814" s="476"/>
      <c r="J814" s="476" t="s">
        <v>807</v>
      </c>
      <c r="K814" s="476" t="s">
        <v>807</v>
      </c>
      <c r="L814" s="476" t="s">
        <v>807</v>
      </c>
      <c r="M814" s="476" t="s">
        <v>307</v>
      </c>
      <c r="N814" s="476"/>
      <c r="O814" s="476"/>
      <c r="P814" s="476"/>
      <c r="Q814" s="476"/>
      <c r="R814" s="482"/>
      <c r="S814" s="483"/>
      <c r="T814" s="502">
        <v>43300</v>
      </c>
      <c r="U814" s="484"/>
      <c r="V814" s="476"/>
      <c r="W814" s="476"/>
      <c r="X814" s="17"/>
      <c r="Z814" s="17"/>
    </row>
    <row r="815" spans="1:26" ht="14.25" customHeight="1">
      <c r="A815" s="476" t="s">
        <v>2826</v>
      </c>
      <c r="B815" s="500" t="s">
        <v>318</v>
      </c>
      <c r="C815" s="499" t="s">
        <v>1937</v>
      </c>
      <c r="D815" s="429"/>
      <c r="E815" s="476">
        <v>197969</v>
      </c>
      <c r="F815" s="476" t="s">
        <v>2704</v>
      </c>
      <c r="G815" s="476"/>
      <c r="H815" s="476"/>
      <c r="I815" s="476"/>
      <c r="J815" s="476" t="s">
        <v>807</v>
      </c>
      <c r="K815" s="476" t="s">
        <v>807</v>
      </c>
      <c r="L815" s="476" t="s">
        <v>807</v>
      </c>
      <c r="M815" s="476" t="s">
        <v>804</v>
      </c>
      <c r="N815" s="476">
        <v>20.866529459999999</v>
      </c>
      <c r="O815" s="476">
        <v>92.364883419999998</v>
      </c>
      <c r="P815" s="476" t="s">
        <v>808</v>
      </c>
      <c r="Q815" s="476" t="s">
        <v>1941</v>
      </c>
      <c r="R815" s="482"/>
      <c r="S815" s="483"/>
      <c r="T815" s="502">
        <v>43245</v>
      </c>
      <c r="U815" s="484"/>
      <c r="V815" s="476"/>
      <c r="W815" s="476"/>
      <c r="X815" s="17"/>
      <c r="Z815" s="17"/>
    </row>
    <row r="816" spans="1:26" ht="14.25" customHeight="1">
      <c r="A816" s="476" t="s">
        <v>2826</v>
      </c>
      <c r="B816" s="500" t="s">
        <v>318</v>
      </c>
      <c r="C816" s="499" t="s">
        <v>2139</v>
      </c>
      <c r="D816" s="429"/>
      <c r="E816" s="476">
        <v>197936</v>
      </c>
      <c r="F816" s="476"/>
      <c r="G816" s="476"/>
      <c r="H816" s="476"/>
      <c r="I816" s="476"/>
      <c r="J816" s="476" t="s">
        <v>807</v>
      </c>
      <c r="K816" s="476" t="s">
        <v>807</v>
      </c>
      <c r="L816" s="476" t="s">
        <v>807</v>
      </c>
      <c r="M816" s="476" t="s">
        <v>307</v>
      </c>
      <c r="N816" s="476">
        <v>20.84993935</v>
      </c>
      <c r="O816" s="476">
        <v>92.348213200000004</v>
      </c>
      <c r="P816" s="476"/>
      <c r="Q816" s="476"/>
      <c r="R816" s="482"/>
      <c r="S816" s="483"/>
      <c r="T816" s="502">
        <v>43300</v>
      </c>
      <c r="U816" s="484"/>
      <c r="V816" s="476"/>
      <c r="W816" s="476"/>
      <c r="X816" s="17"/>
      <c r="Z816" s="17"/>
    </row>
    <row r="817" spans="1:26" ht="14.25" customHeight="1">
      <c r="A817" s="476" t="s">
        <v>2826</v>
      </c>
      <c r="B817" s="500" t="s">
        <v>318</v>
      </c>
      <c r="C817" s="499" t="s">
        <v>2103</v>
      </c>
      <c r="D817" s="429"/>
      <c r="E817" s="476">
        <v>197986</v>
      </c>
      <c r="F817" s="476"/>
      <c r="G817" s="476"/>
      <c r="H817" s="476"/>
      <c r="I817" s="476"/>
      <c r="J817" s="476" t="s">
        <v>807</v>
      </c>
      <c r="K817" s="476" t="s">
        <v>807</v>
      </c>
      <c r="L817" s="476" t="s">
        <v>807</v>
      </c>
      <c r="M817" s="476" t="s">
        <v>804</v>
      </c>
      <c r="N817" s="476">
        <v>20.819730759999999</v>
      </c>
      <c r="O817" s="476">
        <v>92.376846310000005</v>
      </c>
      <c r="P817" s="476"/>
      <c r="Q817" s="476"/>
      <c r="R817" s="482"/>
      <c r="S817" s="483"/>
      <c r="T817" s="502">
        <v>43300</v>
      </c>
      <c r="U817" s="484"/>
      <c r="V817" s="476"/>
      <c r="W817" s="476"/>
      <c r="X817" s="17"/>
      <c r="Z817" s="17"/>
    </row>
    <row r="818" spans="1:26" ht="14.25" customHeight="1">
      <c r="A818" s="476" t="s">
        <v>2826</v>
      </c>
      <c r="B818" s="510" t="s">
        <v>318</v>
      </c>
      <c r="C818" s="511" t="s">
        <v>380</v>
      </c>
      <c r="D818" s="481"/>
      <c r="E818" s="476">
        <v>197967</v>
      </c>
      <c r="F818" s="476"/>
      <c r="G818" s="476"/>
      <c r="H818" s="476"/>
      <c r="I818" s="476"/>
      <c r="J818" s="476" t="s">
        <v>807</v>
      </c>
      <c r="K818" s="476" t="s">
        <v>807</v>
      </c>
      <c r="L818" s="476" t="s">
        <v>807</v>
      </c>
      <c r="M818" s="476" t="s">
        <v>804</v>
      </c>
      <c r="N818" s="476">
        <v>20.872419359999999</v>
      </c>
      <c r="O818" s="476">
        <v>92.352493289999998</v>
      </c>
      <c r="P818" s="476"/>
      <c r="Q818" s="476"/>
      <c r="R818" s="490"/>
      <c r="S818" s="483"/>
      <c r="T818" s="502">
        <v>43300</v>
      </c>
      <c r="U818" s="484"/>
      <c r="V818" s="476"/>
      <c r="W818" s="476"/>
      <c r="X818" s="17"/>
      <c r="Z818" s="17"/>
    </row>
    <row r="819" spans="1:26" ht="14.25" customHeight="1">
      <c r="A819" s="476" t="s">
        <v>2826</v>
      </c>
      <c r="B819" s="500" t="s">
        <v>318</v>
      </c>
      <c r="C819" s="499" t="s">
        <v>2703</v>
      </c>
      <c r="D819" s="429"/>
      <c r="E819" s="476"/>
      <c r="F819" s="476"/>
      <c r="G819" s="476"/>
      <c r="H819" s="476"/>
      <c r="I819" s="476"/>
      <c r="J819" s="476" t="s">
        <v>807</v>
      </c>
      <c r="K819" s="476" t="s">
        <v>807</v>
      </c>
      <c r="L819" s="476" t="s">
        <v>807</v>
      </c>
      <c r="M819" s="476" t="s">
        <v>804</v>
      </c>
      <c r="N819" s="476"/>
      <c r="O819" s="476"/>
      <c r="P819" s="476"/>
      <c r="Q819" s="476"/>
      <c r="R819" s="482"/>
      <c r="S819" s="483"/>
      <c r="T819" s="502"/>
      <c r="U819" s="484"/>
      <c r="V819" s="476"/>
      <c r="W819" s="476"/>
      <c r="X819" s="17"/>
      <c r="Z819" s="17"/>
    </row>
    <row r="820" spans="1:26" ht="14.25" customHeight="1">
      <c r="A820" s="476" t="s">
        <v>2826</v>
      </c>
      <c r="B820" s="510" t="s">
        <v>318</v>
      </c>
      <c r="C820" s="511" t="s">
        <v>2138</v>
      </c>
      <c r="D820" s="481"/>
      <c r="E820" s="476">
        <v>197935</v>
      </c>
      <c r="F820" s="476"/>
      <c r="G820" s="476"/>
      <c r="H820" s="476"/>
      <c r="I820" s="476"/>
      <c r="J820" s="476" t="s">
        <v>807</v>
      </c>
      <c r="K820" s="476" t="s">
        <v>807</v>
      </c>
      <c r="L820" s="476" t="s">
        <v>807</v>
      </c>
      <c r="M820" s="476" t="s">
        <v>804</v>
      </c>
      <c r="N820" s="476">
        <v>20.85008049</v>
      </c>
      <c r="O820" s="476">
        <v>92.353576660000002</v>
      </c>
      <c r="P820" s="476"/>
      <c r="Q820" s="476"/>
      <c r="R820" s="490"/>
      <c r="S820" s="483"/>
      <c r="T820" s="502">
        <v>43300</v>
      </c>
      <c r="U820" s="484"/>
      <c r="V820" s="476"/>
      <c r="W820" s="476"/>
      <c r="X820" s="17"/>
      <c r="Z820" s="17"/>
    </row>
    <row r="821" spans="1:26" ht="14.25" customHeight="1">
      <c r="A821" s="476" t="s">
        <v>2826</v>
      </c>
      <c r="B821" s="510" t="s">
        <v>318</v>
      </c>
      <c r="C821" s="511" t="s">
        <v>642</v>
      </c>
      <c r="D821" s="481" t="s">
        <v>1685</v>
      </c>
      <c r="E821" s="485">
        <v>197992</v>
      </c>
      <c r="F821" s="476"/>
      <c r="G821" s="476"/>
      <c r="H821" s="476"/>
      <c r="I821" s="476"/>
      <c r="J821" s="476" t="s">
        <v>807</v>
      </c>
      <c r="K821" s="476" t="s">
        <v>807</v>
      </c>
      <c r="L821" s="476" t="s">
        <v>807</v>
      </c>
      <c r="M821" s="476" t="s">
        <v>804</v>
      </c>
      <c r="N821" s="476">
        <v>20.83049011</v>
      </c>
      <c r="O821" s="476">
        <v>92.393707280000001</v>
      </c>
      <c r="P821" s="476" t="s">
        <v>808</v>
      </c>
      <c r="Q821" s="476" t="s">
        <v>789</v>
      </c>
      <c r="R821" s="490"/>
      <c r="S821" s="483"/>
      <c r="T821" s="502"/>
      <c r="U821" s="484"/>
      <c r="V821" s="476" t="s">
        <v>642</v>
      </c>
      <c r="W821" s="476"/>
      <c r="X821" s="17"/>
      <c r="Z821" s="17"/>
    </row>
    <row r="822" spans="1:26" ht="14.25" customHeight="1">
      <c r="A822" s="476" t="s">
        <v>2826</v>
      </c>
      <c r="B822" s="510" t="s">
        <v>318</v>
      </c>
      <c r="C822" s="499" t="s">
        <v>638</v>
      </c>
      <c r="D822" s="481" t="s">
        <v>1685</v>
      </c>
      <c r="E822" s="480">
        <v>197989</v>
      </c>
      <c r="F822" s="476"/>
      <c r="G822" s="476"/>
      <c r="H822" s="476"/>
      <c r="I822" s="476"/>
      <c r="J822" s="476" t="s">
        <v>807</v>
      </c>
      <c r="K822" s="476" t="s">
        <v>807</v>
      </c>
      <c r="L822" s="476" t="s">
        <v>807</v>
      </c>
      <c r="M822" s="476" t="s">
        <v>804</v>
      </c>
      <c r="N822" s="476">
        <v>20.82498932</v>
      </c>
      <c r="O822" s="476">
        <v>92.390571589999993</v>
      </c>
      <c r="P822" s="476" t="s">
        <v>808</v>
      </c>
      <c r="Q822" s="480" t="s">
        <v>789</v>
      </c>
      <c r="R822" s="490"/>
      <c r="S822" s="483"/>
      <c r="T822" s="503"/>
      <c r="U822" s="484"/>
      <c r="V822" s="476" t="s">
        <v>638</v>
      </c>
      <c r="W822" s="476"/>
      <c r="X822" s="17"/>
      <c r="Z822" s="17"/>
    </row>
    <row r="823" spans="1:26" ht="14.25" customHeight="1">
      <c r="A823" s="476" t="s">
        <v>2826</v>
      </c>
      <c r="B823" s="510" t="s">
        <v>318</v>
      </c>
      <c r="C823" s="511" t="s">
        <v>2087</v>
      </c>
      <c r="D823" s="481"/>
      <c r="E823" s="476">
        <v>197937</v>
      </c>
      <c r="F823" s="476"/>
      <c r="G823" s="476"/>
      <c r="H823" s="476"/>
      <c r="I823" s="476"/>
      <c r="J823" s="476" t="s">
        <v>807</v>
      </c>
      <c r="K823" s="476" t="s">
        <v>807</v>
      </c>
      <c r="L823" s="476" t="s">
        <v>807</v>
      </c>
      <c r="M823" s="476" t="s">
        <v>804</v>
      </c>
      <c r="N823" s="476">
        <v>20.845720289999999</v>
      </c>
      <c r="O823" s="476">
        <v>92.353950499999996</v>
      </c>
      <c r="P823" s="476"/>
      <c r="Q823" s="476"/>
      <c r="R823" s="490"/>
      <c r="S823" s="483"/>
      <c r="T823" s="502">
        <v>43300</v>
      </c>
      <c r="U823" s="484"/>
      <c r="V823" s="476"/>
      <c r="W823" s="476"/>
      <c r="X823" s="17"/>
      <c r="Z823" s="17"/>
    </row>
    <row r="824" spans="1:26" ht="14.25" customHeight="1">
      <c r="A824" s="476" t="s">
        <v>2826</v>
      </c>
      <c r="B824" s="510" t="s">
        <v>318</v>
      </c>
      <c r="C824" s="511" t="s">
        <v>634</v>
      </c>
      <c r="D824" s="481" t="s">
        <v>1685</v>
      </c>
      <c r="E824" s="476">
        <v>217894</v>
      </c>
      <c r="F824" s="476"/>
      <c r="G824" s="476"/>
      <c r="H824" s="476"/>
      <c r="I824" s="476"/>
      <c r="J824" s="476" t="s">
        <v>807</v>
      </c>
      <c r="K824" s="476" t="s">
        <v>807</v>
      </c>
      <c r="L824" s="476" t="s">
        <v>807</v>
      </c>
      <c r="M824" s="476" t="s">
        <v>307</v>
      </c>
      <c r="N824" s="476">
        <v>20.822059629999998</v>
      </c>
      <c r="O824" s="476">
        <v>92.41690826</v>
      </c>
      <c r="P824" s="476" t="s">
        <v>808</v>
      </c>
      <c r="Q824" s="476" t="s">
        <v>789</v>
      </c>
      <c r="R824" s="490"/>
      <c r="S824" s="483"/>
      <c r="T824" s="502"/>
      <c r="U824" s="484"/>
      <c r="V824" s="476" t="s">
        <v>634</v>
      </c>
      <c r="W824" s="476"/>
      <c r="X824" s="17"/>
      <c r="Z824" s="17"/>
    </row>
    <row r="825" spans="1:26" ht="14.25" customHeight="1">
      <c r="A825" s="483" t="s">
        <v>2826</v>
      </c>
      <c r="B825" s="510" t="s">
        <v>318</v>
      </c>
      <c r="C825" s="511" t="s">
        <v>3018</v>
      </c>
      <c r="D825" s="481"/>
      <c r="E825" s="476">
        <v>217895</v>
      </c>
      <c r="F825" s="508" t="s">
        <v>3024</v>
      </c>
      <c r="G825" s="476"/>
      <c r="H825" s="476"/>
      <c r="I825" s="476"/>
      <c r="J825" s="476" t="s">
        <v>807</v>
      </c>
      <c r="K825" s="476" t="s">
        <v>807</v>
      </c>
      <c r="L825" s="476" t="s">
        <v>807</v>
      </c>
      <c r="M825" s="476" t="s">
        <v>307</v>
      </c>
      <c r="N825" s="476">
        <v>20.8013000488281</v>
      </c>
      <c r="O825" s="476">
        <v>92.423202514648395</v>
      </c>
      <c r="P825" s="476" t="s">
        <v>808</v>
      </c>
      <c r="Q825" s="476" t="s">
        <v>789</v>
      </c>
      <c r="R825" s="490"/>
      <c r="S825" s="483"/>
      <c r="T825" s="502"/>
      <c r="U825" s="490"/>
      <c r="V825" s="476" t="s">
        <v>616</v>
      </c>
      <c r="W825" s="482"/>
      <c r="X825" s="17"/>
      <c r="Z825" s="17"/>
    </row>
    <row r="826" spans="1:26" ht="14.25" customHeight="1">
      <c r="A826" s="476" t="s">
        <v>2826</v>
      </c>
      <c r="B826" s="500" t="s">
        <v>318</v>
      </c>
      <c r="C826" s="499" t="s">
        <v>2122</v>
      </c>
      <c r="D826" s="481" t="s">
        <v>1685</v>
      </c>
      <c r="E826" s="480">
        <v>197890</v>
      </c>
      <c r="F826" s="476"/>
      <c r="G826" s="476"/>
      <c r="H826" s="476"/>
      <c r="I826" s="476"/>
      <c r="J826" s="476" t="s">
        <v>807</v>
      </c>
      <c r="K826" s="480" t="s">
        <v>807</v>
      </c>
      <c r="L826" s="480" t="s">
        <v>807</v>
      </c>
      <c r="M826" s="476" t="s">
        <v>307</v>
      </c>
      <c r="N826" s="476">
        <v>21.016569140000001</v>
      </c>
      <c r="O826" s="476">
        <v>92.307716369999994</v>
      </c>
      <c r="P826" s="476" t="s">
        <v>808</v>
      </c>
      <c r="Q826" s="476" t="s">
        <v>789</v>
      </c>
      <c r="R826" s="482"/>
      <c r="S826" s="483"/>
      <c r="T826" s="502">
        <v>43300</v>
      </c>
      <c r="U826" s="484"/>
      <c r="V826" s="476" t="s">
        <v>687</v>
      </c>
      <c r="W826" s="476"/>
      <c r="X826" s="17"/>
      <c r="Z826" s="17"/>
    </row>
    <row r="827" spans="1:26" ht="14.25" customHeight="1">
      <c r="A827" s="476" t="s">
        <v>2826</v>
      </c>
      <c r="B827" s="500" t="s">
        <v>318</v>
      </c>
      <c r="C827" s="499" t="s">
        <v>335</v>
      </c>
      <c r="D827" s="429" t="s">
        <v>1685</v>
      </c>
      <c r="E827" s="480"/>
      <c r="F827" s="476"/>
      <c r="G827" s="476"/>
      <c r="H827" s="476"/>
      <c r="I827" s="476"/>
      <c r="J827" s="476" t="s">
        <v>807</v>
      </c>
      <c r="K827" s="480" t="s">
        <v>807</v>
      </c>
      <c r="L827" s="480" t="s">
        <v>807</v>
      </c>
      <c r="M827" s="476" t="s">
        <v>804</v>
      </c>
      <c r="N827" s="476"/>
      <c r="O827" s="476"/>
      <c r="P827" s="476" t="s">
        <v>808</v>
      </c>
      <c r="Q827" s="476" t="s">
        <v>789</v>
      </c>
      <c r="R827" s="482"/>
      <c r="S827" s="483"/>
      <c r="T827" s="502"/>
      <c r="U827" s="484"/>
      <c r="V827" s="476"/>
      <c r="W827" s="476"/>
      <c r="X827" s="17"/>
      <c r="Z827" s="17"/>
    </row>
    <row r="828" spans="1:26" ht="14.25" customHeight="1">
      <c r="A828" s="476" t="s">
        <v>2826</v>
      </c>
      <c r="B828" s="510" t="s">
        <v>318</v>
      </c>
      <c r="C828" s="511" t="s">
        <v>598</v>
      </c>
      <c r="D828" s="481" t="s">
        <v>1685</v>
      </c>
      <c r="E828" s="476">
        <v>220739</v>
      </c>
      <c r="F828" s="476"/>
      <c r="G828" s="476"/>
      <c r="H828" s="476"/>
      <c r="I828" s="476"/>
      <c r="J828" s="476" t="s">
        <v>807</v>
      </c>
      <c r="K828" s="480" t="s">
        <v>807</v>
      </c>
      <c r="L828" s="480" t="s">
        <v>807</v>
      </c>
      <c r="M828" s="476" t="s">
        <v>307</v>
      </c>
      <c r="N828" s="476">
        <v>20.76523972</v>
      </c>
      <c r="O828" s="476">
        <v>92.422332760000003</v>
      </c>
      <c r="P828" s="476" t="s">
        <v>808</v>
      </c>
      <c r="Q828" s="476" t="s">
        <v>789</v>
      </c>
      <c r="R828" s="490"/>
      <c r="S828" s="483"/>
      <c r="T828" s="502"/>
      <c r="U828" s="484"/>
      <c r="V828" s="476" t="s">
        <v>943</v>
      </c>
      <c r="W828" s="476"/>
      <c r="X828" s="17"/>
      <c r="Z828" s="17"/>
    </row>
    <row r="829" spans="1:26" ht="14.25" customHeight="1">
      <c r="A829" s="476" t="s">
        <v>2826</v>
      </c>
      <c r="B829" s="500" t="s">
        <v>318</v>
      </c>
      <c r="C829" s="499" t="s">
        <v>573</v>
      </c>
      <c r="D829" s="429" t="s">
        <v>1685</v>
      </c>
      <c r="E829" s="476">
        <v>220744</v>
      </c>
      <c r="F829" s="476"/>
      <c r="G829" s="476"/>
      <c r="H829" s="476"/>
      <c r="I829" s="476"/>
      <c r="J829" s="476" t="s">
        <v>807</v>
      </c>
      <c r="K829" s="480" t="s">
        <v>807</v>
      </c>
      <c r="L829" s="480" t="s">
        <v>807</v>
      </c>
      <c r="M829" s="476" t="s">
        <v>307</v>
      </c>
      <c r="N829" s="476">
        <v>20.71612167</v>
      </c>
      <c r="O829" s="476">
        <v>92.442459110000001</v>
      </c>
      <c r="P829" s="476" t="s">
        <v>808</v>
      </c>
      <c r="Q829" s="476" t="s">
        <v>789</v>
      </c>
      <c r="R829" s="482"/>
      <c r="S829" s="483"/>
      <c r="T829" s="502"/>
      <c r="U829" s="484"/>
      <c r="V829" s="476" t="s">
        <v>939</v>
      </c>
      <c r="W829" s="476"/>
      <c r="X829" s="17"/>
      <c r="Z829" s="17"/>
    </row>
    <row r="830" spans="1:26" ht="14.25" customHeight="1">
      <c r="A830" s="476" t="s">
        <v>2826</v>
      </c>
      <c r="B830" s="510" t="s">
        <v>318</v>
      </c>
      <c r="C830" s="511" t="s">
        <v>539</v>
      </c>
      <c r="D830" s="481" t="s">
        <v>1685</v>
      </c>
      <c r="E830" s="476">
        <v>198024</v>
      </c>
      <c r="F830" s="476"/>
      <c r="G830" s="476"/>
      <c r="H830" s="476"/>
      <c r="I830" s="476"/>
      <c r="J830" s="476" t="s">
        <v>807</v>
      </c>
      <c r="K830" s="480" t="s">
        <v>807</v>
      </c>
      <c r="L830" s="480" t="s">
        <v>807</v>
      </c>
      <c r="M830" s="476" t="s">
        <v>804</v>
      </c>
      <c r="N830" s="476">
        <v>20.669300079999999</v>
      </c>
      <c r="O830" s="476">
        <v>92.46575928</v>
      </c>
      <c r="P830" s="476" t="s">
        <v>808</v>
      </c>
      <c r="Q830" s="476" t="s">
        <v>789</v>
      </c>
      <c r="R830" s="490"/>
      <c r="S830" s="483"/>
      <c r="T830" s="502">
        <v>42745</v>
      </c>
      <c r="U830" s="484"/>
      <c r="V830" s="476" t="s">
        <v>933</v>
      </c>
      <c r="W830" s="476"/>
      <c r="X830" s="17"/>
      <c r="Z830" s="17"/>
    </row>
    <row r="831" spans="1:26" ht="14.25" customHeight="1">
      <c r="A831" s="476" t="s">
        <v>2826</v>
      </c>
      <c r="B831" s="500" t="s">
        <v>318</v>
      </c>
      <c r="C831" s="499" t="s">
        <v>693</v>
      </c>
      <c r="D831" s="429" t="s">
        <v>1685</v>
      </c>
      <c r="E831" s="476">
        <v>197887</v>
      </c>
      <c r="F831" s="476"/>
      <c r="G831" s="476"/>
      <c r="H831" s="476"/>
      <c r="I831" s="476"/>
      <c r="J831" s="476" t="s">
        <v>807</v>
      </c>
      <c r="K831" s="480" t="s">
        <v>807</v>
      </c>
      <c r="L831" s="480" t="s">
        <v>807</v>
      </c>
      <c r="M831" s="476" t="s">
        <v>804</v>
      </c>
      <c r="N831" s="476">
        <v>21.04866028</v>
      </c>
      <c r="O831" s="476">
        <v>92.293350219999994</v>
      </c>
      <c r="P831" s="476" t="s">
        <v>808</v>
      </c>
      <c r="Q831" s="476" t="s">
        <v>789</v>
      </c>
      <c r="R831" s="482"/>
      <c r="S831" s="483"/>
      <c r="T831" s="502"/>
      <c r="U831" s="484"/>
      <c r="V831" s="476" t="s">
        <v>693</v>
      </c>
      <c r="W831" s="476"/>
      <c r="X831" s="17"/>
      <c r="Z831" s="17"/>
    </row>
    <row r="832" spans="1:26" ht="14.25" customHeight="1">
      <c r="A832" s="476" t="s">
        <v>2826</v>
      </c>
      <c r="B832" s="500" t="s">
        <v>318</v>
      </c>
      <c r="C832" s="499" t="s">
        <v>2113</v>
      </c>
      <c r="D832" s="429"/>
      <c r="E832" s="476">
        <v>198094</v>
      </c>
      <c r="F832" s="476"/>
      <c r="G832" s="476"/>
      <c r="H832" s="476"/>
      <c r="I832" s="476"/>
      <c r="J832" s="476" t="s">
        <v>807</v>
      </c>
      <c r="K832" s="476" t="s">
        <v>807</v>
      </c>
      <c r="L832" s="476" t="s">
        <v>807</v>
      </c>
      <c r="M832" s="476" t="s">
        <v>307</v>
      </c>
      <c r="N832" s="476">
        <v>21.157270430000001</v>
      </c>
      <c r="O832" s="476">
        <v>92.209739690000006</v>
      </c>
      <c r="P832" s="476"/>
      <c r="Q832" s="476"/>
      <c r="R832" s="482"/>
      <c r="S832" s="483"/>
      <c r="T832" s="502">
        <v>43300</v>
      </c>
      <c r="U832" s="484"/>
      <c r="V832" s="476"/>
      <c r="W832" s="476"/>
      <c r="X832" s="17"/>
      <c r="Z832" s="17"/>
    </row>
    <row r="833" spans="1:26" ht="14.25" customHeight="1">
      <c r="A833" s="476" t="s">
        <v>2826</v>
      </c>
      <c r="B833" s="500" t="s">
        <v>318</v>
      </c>
      <c r="C833" s="499" t="s">
        <v>2100</v>
      </c>
      <c r="D833" s="429"/>
      <c r="E833" s="480">
        <v>197950</v>
      </c>
      <c r="F833" s="476"/>
      <c r="G833" s="476"/>
      <c r="H833" s="476"/>
      <c r="I833" s="476"/>
      <c r="J833" s="476" t="s">
        <v>807</v>
      </c>
      <c r="K833" s="476" t="s">
        <v>807</v>
      </c>
      <c r="L833" s="476" t="s">
        <v>807</v>
      </c>
      <c r="M833" s="476" t="s">
        <v>804</v>
      </c>
      <c r="N833" s="476">
        <v>20.914119719999999</v>
      </c>
      <c r="O833" s="480">
        <v>92.3506012</v>
      </c>
      <c r="P833" s="476"/>
      <c r="Q833" s="476"/>
      <c r="R833" s="482"/>
      <c r="S833" s="483"/>
      <c r="T833" s="502">
        <v>43300</v>
      </c>
      <c r="U833" s="484"/>
      <c r="V833" s="476"/>
      <c r="W833" s="476"/>
      <c r="X833" s="17"/>
      <c r="Z833" s="17"/>
    </row>
    <row r="834" spans="1:26" ht="14.25" customHeight="1">
      <c r="A834" s="476" t="s">
        <v>2826</v>
      </c>
      <c r="B834" s="510" t="s">
        <v>318</v>
      </c>
      <c r="C834" s="511" t="s">
        <v>2129</v>
      </c>
      <c r="D834" s="481"/>
      <c r="E834" s="476">
        <v>198075</v>
      </c>
      <c r="F834" s="476"/>
      <c r="G834" s="476"/>
      <c r="H834" s="476"/>
      <c r="I834" s="476"/>
      <c r="J834" s="476" t="s">
        <v>807</v>
      </c>
      <c r="K834" s="476" t="s">
        <v>807</v>
      </c>
      <c r="L834" s="476" t="s">
        <v>807</v>
      </c>
      <c r="M834" s="476" t="s">
        <v>307</v>
      </c>
      <c r="N834" s="476">
        <v>20.543220519999998</v>
      </c>
      <c r="O834" s="476">
        <v>92.544296259999996</v>
      </c>
      <c r="P834" s="476"/>
      <c r="Q834" s="476"/>
      <c r="R834" s="490"/>
      <c r="S834" s="483"/>
      <c r="T834" s="502">
        <v>43300</v>
      </c>
      <c r="U834" s="484"/>
      <c r="V834" s="476"/>
      <c r="W834" s="476"/>
      <c r="X834" s="17"/>
      <c r="Z834" s="17"/>
    </row>
    <row r="835" spans="1:26" ht="14.25" customHeight="1">
      <c r="A835" s="476" t="s">
        <v>2826</v>
      </c>
      <c r="B835" s="500" t="s">
        <v>318</v>
      </c>
      <c r="C835" s="499" t="s">
        <v>505</v>
      </c>
      <c r="D835" s="429" t="s">
        <v>1685</v>
      </c>
      <c r="E835" s="476">
        <v>198075</v>
      </c>
      <c r="F835" s="480"/>
      <c r="G835" s="476"/>
      <c r="H835" s="476"/>
      <c r="I835" s="476"/>
      <c r="J835" s="476" t="s">
        <v>807</v>
      </c>
      <c r="K835" s="476" t="s">
        <v>807</v>
      </c>
      <c r="L835" s="476" t="s">
        <v>807</v>
      </c>
      <c r="M835" s="476" t="s">
        <v>307</v>
      </c>
      <c r="N835" s="476">
        <v>20.543220519999998</v>
      </c>
      <c r="O835" s="476">
        <v>92.544296259999996</v>
      </c>
      <c r="P835" s="476" t="s">
        <v>808</v>
      </c>
      <c r="Q835" s="476" t="s">
        <v>789</v>
      </c>
      <c r="R835" s="482"/>
      <c r="S835" s="483"/>
      <c r="T835" s="502"/>
      <c r="U835" s="484"/>
      <c r="V835" s="476" t="s">
        <v>505</v>
      </c>
      <c r="W835" s="476"/>
      <c r="X835" s="17"/>
      <c r="Z835" s="17"/>
    </row>
    <row r="836" spans="1:26" ht="14.25" customHeight="1">
      <c r="A836" s="476" t="s">
        <v>2826</v>
      </c>
      <c r="B836" s="510" t="s">
        <v>318</v>
      </c>
      <c r="C836" s="511" t="s">
        <v>529</v>
      </c>
      <c r="D836" s="481" t="s">
        <v>1685</v>
      </c>
      <c r="E836" s="476">
        <v>198058</v>
      </c>
      <c r="F836" s="480"/>
      <c r="G836" s="476"/>
      <c r="H836" s="476"/>
      <c r="I836" s="476"/>
      <c r="J836" s="476" t="s">
        <v>807</v>
      </c>
      <c r="K836" s="476" t="s">
        <v>807</v>
      </c>
      <c r="L836" s="476" t="s">
        <v>807</v>
      </c>
      <c r="M836" s="476" t="s">
        <v>804</v>
      </c>
      <c r="N836" s="476">
        <v>20.64685059</v>
      </c>
      <c r="O836" s="480">
        <v>92.493553160000005</v>
      </c>
      <c r="P836" s="476" t="s">
        <v>808</v>
      </c>
      <c r="Q836" s="476" t="s">
        <v>789</v>
      </c>
      <c r="R836" s="490"/>
      <c r="S836" s="483"/>
      <c r="T836" s="502"/>
      <c r="U836" s="484"/>
      <c r="V836" s="476" t="s">
        <v>529</v>
      </c>
      <c r="W836" s="476"/>
      <c r="X836" s="17"/>
      <c r="Z836" s="17"/>
    </row>
    <row r="837" spans="1:26" ht="14.25" customHeight="1">
      <c r="A837" s="476" t="s">
        <v>2826</v>
      </c>
      <c r="B837" s="510" t="s">
        <v>318</v>
      </c>
      <c r="C837" s="511" t="s">
        <v>2092</v>
      </c>
      <c r="D837" s="481"/>
      <c r="E837" s="476">
        <v>197943</v>
      </c>
      <c r="F837" s="480"/>
      <c r="G837" s="476"/>
      <c r="H837" s="476"/>
      <c r="I837" s="476"/>
      <c r="J837" s="476" t="s">
        <v>807</v>
      </c>
      <c r="K837" s="476" t="s">
        <v>807</v>
      </c>
      <c r="L837" s="476" t="s">
        <v>807</v>
      </c>
      <c r="M837" s="476" t="s">
        <v>804</v>
      </c>
      <c r="N837" s="476">
        <v>20.895000459999999</v>
      </c>
      <c r="O837" s="476">
        <v>92.398574830000001</v>
      </c>
      <c r="P837" s="476"/>
      <c r="Q837" s="476"/>
      <c r="R837" s="490"/>
      <c r="S837" s="483"/>
      <c r="T837" s="502">
        <v>43300</v>
      </c>
      <c r="U837" s="484"/>
      <c r="V837" s="476"/>
      <c r="W837" s="476"/>
      <c r="X837" s="17"/>
      <c r="Z837" s="17"/>
    </row>
    <row r="838" spans="1:26" ht="14.25" customHeight="1">
      <c r="A838" s="476" t="s">
        <v>2826</v>
      </c>
      <c r="B838" s="500" t="s">
        <v>318</v>
      </c>
      <c r="C838" s="499" t="s">
        <v>2091</v>
      </c>
      <c r="D838" s="429"/>
      <c r="E838" s="476">
        <v>197943</v>
      </c>
      <c r="F838" s="480"/>
      <c r="G838" s="476"/>
      <c r="H838" s="476"/>
      <c r="I838" s="476"/>
      <c r="J838" s="476" t="s">
        <v>807</v>
      </c>
      <c r="K838" s="480" t="s">
        <v>807</v>
      </c>
      <c r="L838" s="480" t="s">
        <v>807</v>
      </c>
      <c r="M838" s="476" t="s">
        <v>804</v>
      </c>
      <c r="N838" s="476">
        <v>20.895000459999999</v>
      </c>
      <c r="O838" s="476">
        <v>92.398574830000001</v>
      </c>
      <c r="P838" s="476"/>
      <c r="Q838" s="476"/>
      <c r="R838" s="482"/>
      <c r="S838" s="483"/>
      <c r="T838" s="502">
        <v>43300</v>
      </c>
      <c r="U838" s="484"/>
      <c r="V838" s="476"/>
      <c r="W838" s="476"/>
      <c r="X838" s="17"/>
      <c r="Z838" s="17"/>
    </row>
    <row r="839" spans="1:26" ht="14.25" customHeight="1">
      <c r="A839" s="476" t="s">
        <v>2826</v>
      </c>
      <c r="B839" s="500" t="s">
        <v>318</v>
      </c>
      <c r="C839" s="499" t="s">
        <v>2058</v>
      </c>
      <c r="D839" s="429"/>
      <c r="E839" s="476">
        <v>197878</v>
      </c>
      <c r="F839" s="476" t="s">
        <v>2057</v>
      </c>
      <c r="G839" s="476"/>
      <c r="H839" s="476"/>
      <c r="I839" s="476"/>
      <c r="J839" s="476" t="s">
        <v>807</v>
      </c>
      <c r="K839" s="480" t="s">
        <v>807</v>
      </c>
      <c r="L839" s="480" t="s">
        <v>807</v>
      </c>
      <c r="M839" s="476" t="s">
        <v>804</v>
      </c>
      <c r="N839" s="476">
        <v>21.012830730000001</v>
      </c>
      <c r="O839" s="476">
        <v>92.338958739999995</v>
      </c>
      <c r="P839" s="476"/>
      <c r="Q839" s="476"/>
      <c r="R839" s="482"/>
      <c r="S839" s="483"/>
      <c r="T839" s="502">
        <v>43300</v>
      </c>
      <c r="U839" s="484"/>
      <c r="V839" s="476"/>
      <c r="W839" s="476"/>
      <c r="X839" s="17"/>
      <c r="Z839" s="17"/>
    </row>
    <row r="840" spans="1:26" ht="14.25" customHeight="1">
      <c r="A840" s="476" t="s">
        <v>2826</v>
      </c>
      <c r="B840" s="500" t="s">
        <v>318</v>
      </c>
      <c r="C840" s="499" t="s">
        <v>689</v>
      </c>
      <c r="D840" s="429" t="s">
        <v>1685</v>
      </c>
      <c r="E840" s="476">
        <v>197880</v>
      </c>
      <c r="F840" s="476"/>
      <c r="G840" s="476"/>
      <c r="H840" s="476"/>
      <c r="I840" s="476"/>
      <c r="J840" s="476" t="s">
        <v>807</v>
      </c>
      <c r="K840" s="480" t="s">
        <v>807</v>
      </c>
      <c r="L840" s="480" t="s">
        <v>807</v>
      </c>
      <c r="M840" s="476" t="s">
        <v>804</v>
      </c>
      <c r="N840" s="476">
        <v>21.021259310000001</v>
      </c>
      <c r="O840" s="476">
        <v>92.339538570000002</v>
      </c>
      <c r="P840" s="476" t="s">
        <v>808</v>
      </c>
      <c r="Q840" s="476" t="s">
        <v>789</v>
      </c>
      <c r="R840" s="482"/>
      <c r="S840" s="483"/>
      <c r="T840" s="502"/>
      <c r="U840" s="484"/>
      <c r="V840" s="476" t="s">
        <v>689</v>
      </c>
      <c r="W840" s="476"/>
      <c r="X840" s="17"/>
      <c r="Z840" s="17"/>
    </row>
    <row r="841" spans="1:26" ht="14.25" customHeight="1">
      <c r="A841" s="476" t="s">
        <v>2826</v>
      </c>
      <c r="B841" s="510" t="s">
        <v>318</v>
      </c>
      <c r="C841" s="511" t="s">
        <v>2096</v>
      </c>
      <c r="D841" s="481"/>
      <c r="E841" s="476"/>
      <c r="F841" s="476"/>
      <c r="G841" s="476"/>
      <c r="H841" s="476"/>
      <c r="I841" s="476"/>
      <c r="J841" s="476" t="s">
        <v>807</v>
      </c>
      <c r="K841" s="480" t="s">
        <v>807</v>
      </c>
      <c r="L841" s="480" t="s">
        <v>807</v>
      </c>
      <c r="M841" s="476" t="s">
        <v>804</v>
      </c>
      <c r="N841" s="476"/>
      <c r="O841" s="476"/>
      <c r="P841" s="476"/>
      <c r="Q841" s="476"/>
      <c r="R841" s="490"/>
      <c r="S841" s="483"/>
      <c r="T841" s="502">
        <v>43300</v>
      </c>
      <c r="U841" s="484"/>
      <c r="V841" s="476"/>
      <c r="W841" s="476"/>
      <c r="X841" s="17"/>
      <c r="Z841" s="17"/>
    </row>
    <row r="842" spans="1:26" ht="14.25" customHeight="1">
      <c r="A842" s="476" t="s">
        <v>2826</v>
      </c>
      <c r="B842" s="500" t="s">
        <v>318</v>
      </c>
      <c r="C842" s="499" t="s">
        <v>577</v>
      </c>
      <c r="D842" s="429" t="s">
        <v>1685</v>
      </c>
      <c r="E842" s="476">
        <v>198048</v>
      </c>
      <c r="F842" s="476"/>
      <c r="G842" s="476"/>
      <c r="H842" s="476"/>
      <c r="I842" s="476"/>
      <c r="J842" s="476" t="s">
        <v>807</v>
      </c>
      <c r="K842" s="476" t="s">
        <v>807</v>
      </c>
      <c r="L842" s="476" t="s">
        <v>807</v>
      </c>
      <c r="M842" s="476" t="s">
        <v>804</v>
      </c>
      <c r="N842" s="476">
        <v>20.720079420000001</v>
      </c>
      <c r="O842" s="476">
        <v>92.423591610000003</v>
      </c>
      <c r="P842" s="476" t="s">
        <v>808</v>
      </c>
      <c r="Q842" s="476" t="s">
        <v>789</v>
      </c>
      <c r="R842" s="482"/>
      <c r="S842" s="483"/>
      <c r="T842" s="502"/>
      <c r="U842" s="484"/>
      <c r="V842" s="476" t="s">
        <v>577</v>
      </c>
      <c r="W842" s="476"/>
      <c r="X842" s="17"/>
      <c r="Z842" s="17"/>
    </row>
    <row r="843" spans="1:26" ht="14.25" customHeight="1">
      <c r="A843" s="476" t="s">
        <v>2826</v>
      </c>
      <c r="B843" s="510" t="s">
        <v>318</v>
      </c>
      <c r="C843" s="511" t="s">
        <v>2152</v>
      </c>
      <c r="D843" s="481"/>
      <c r="E843" s="476">
        <v>220728</v>
      </c>
      <c r="F843" s="476"/>
      <c r="G843" s="476"/>
      <c r="H843" s="476"/>
      <c r="I843" s="476"/>
      <c r="J843" s="476" t="s">
        <v>807</v>
      </c>
      <c r="K843" s="476" t="s">
        <v>807</v>
      </c>
      <c r="L843" s="476" t="s">
        <v>807</v>
      </c>
      <c r="M843" s="476" t="s">
        <v>2130</v>
      </c>
      <c r="N843" s="476">
        <v>21.090957639999999</v>
      </c>
      <c r="O843" s="476">
        <v>92.361534120000002</v>
      </c>
      <c r="P843" s="476"/>
      <c r="Q843" s="476"/>
      <c r="R843" s="490"/>
      <c r="S843" s="483"/>
      <c r="T843" s="502">
        <v>43300</v>
      </c>
      <c r="U843" s="484"/>
      <c r="V843" s="476"/>
      <c r="W843" s="476"/>
      <c r="X843" s="17"/>
      <c r="Z843" s="17"/>
    </row>
    <row r="844" spans="1:26" ht="14.25" customHeight="1">
      <c r="A844" s="476" t="s">
        <v>2826</v>
      </c>
      <c r="B844" s="510" t="s">
        <v>318</v>
      </c>
      <c r="C844" s="511" t="s">
        <v>694</v>
      </c>
      <c r="D844" s="481" t="s">
        <v>1685</v>
      </c>
      <c r="E844" s="476">
        <v>197883</v>
      </c>
      <c r="F844" s="476"/>
      <c r="G844" s="476"/>
      <c r="H844" s="476"/>
      <c r="I844" s="476"/>
      <c r="J844" s="476" t="s">
        <v>807</v>
      </c>
      <c r="K844" s="476" t="s">
        <v>807</v>
      </c>
      <c r="L844" s="476" t="s">
        <v>807</v>
      </c>
      <c r="M844" s="476" t="s">
        <v>804</v>
      </c>
      <c r="N844" s="476">
        <v>21.05369949</v>
      </c>
      <c r="O844" s="476">
        <v>92.324119569999993</v>
      </c>
      <c r="P844" s="476" t="s">
        <v>808</v>
      </c>
      <c r="Q844" s="476" t="s">
        <v>789</v>
      </c>
      <c r="R844" s="490"/>
      <c r="S844" s="483"/>
      <c r="T844" s="502"/>
      <c r="U844" s="484"/>
      <c r="V844" s="476" t="s">
        <v>965</v>
      </c>
      <c r="W844" s="476"/>
      <c r="X844" s="17"/>
      <c r="Z844" s="17"/>
    </row>
    <row r="845" spans="1:26" ht="14.25" customHeight="1">
      <c r="A845" s="476" t="s">
        <v>2826</v>
      </c>
      <c r="B845" s="510" t="s">
        <v>318</v>
      </c>
      <c r="C845" s="499" t="s">
        <v>688</v>
      </c>
      <c r="D845" s="481" t="s">
        <v>1685</v>
      </c>
      <c r="E845" s="476">
        <v>197879</v>
      </c>
      <c r="F845" s="476"/>
      <c r="G845" s="476"/>
      <c r="H845" s="476"/>
      <c r="I845" s="476"/>
      <c r="J845" s="476" t="s">
        <v>807</v>
      </c>
      <c r="K845" s="476" t="s">
        <v>807</v>
      </c>
      <c r="L845" s="476" t="s">
        <v>807</v>
      </c>
      <c r="M845" s="476" t="s">
        <v>804</v>
      </c>
      <c r="N845" s="476">
        <v>21.0184803</v>
      </c>
      <c r="O845" s="476">
        <v>92.333999629999994</v>
      </c>
      <c r="P845" s="476" t="s">
        <v>808</v>
      </c>
      <c r="Q845" s="480" t="s">
        <v>789</v>
      </c>
      <c r="R845" s="490"/>
      <c r="S845" s="483"/>
      <c r="T845" s="503"/>
      <c r="U845" s="484"/>
      <c r="V845" s="476" t="s">
        <v>688</v>
      </c>
      <c r="W845" s="476"/>
      <c r="X845" s="17"/>
      <c r="Z845" s="17"/>
    </row>
    <row r="846" spans="1:26" ht="14.25" customHeight="1">
      <c r="A846" s="476" t="s">
        <v>2826</v>
      </c>
      <c r="B846" s="510" t="s">
        <v>318</v>
      </c>
      <c r="C846" s="511" t="s">
        <v>336</v>
      </c>
      <c r="D846" s="481" t="s">
        <v>1685</v>
      </c>
      <c r="E846" s="476"/>
      <c r="F846" s="476"/>
      <c r="G846" s="476"/>
      <c r="H846" s="476"/>
      <c r="I846" s="476"/>
      <c r="J846" s="476" t="s">
        <v>807</v>
      </c>
      <c r="K846" s="476" t="s">
        <v>807</v>
      </c>
      <c r="L846" s="476" t="s">
        <v>807</v>
      </c>
      <c r="M846" s="476" t="s">
        <v>307</v>
      </c>
      <c r="N846" s="476"/>
      <c r="O846" s="480"/>
      <c r="P846" s="476" t="s">
        <v>808</v>
      </c>
      <c r="Q846" s="476" t="s">
        <v>789</v>
      </c>
      <c r="R846" s="490"/>
      <c r="S846" s="483"/>
      <c r="T846" s="502"/>
      <c r="U846" s="484"/>
      <c r="V846" s="476" t="s">
        <v>336</v>
      </c>
      <c r="W846" s="476"/>
      <c r="X846" s="17"/>
      <c r="Z846" s="17"/>
    </row>
    <row r="847" spans="1:26" ht="14.25" customHeight="1">
      <c r="A847" s="476" t="s">
        <v>2826</v>
      </c>
      <c r="B847" s="500" t="s">
        <v>318</v>
      </c>
      <c r="C847" s="499" t="s">
        <v>610</v>
      </c>
      <c r="D847" s="429" t="s">
        <v>1685</v>
      </c>
      <c r="E847" s="476">
        <v>198001</v>
      </c>
      <c r="F847" s="476"/>
      <c r="G847" s="476"/>
      <c r="H847" s="476"/>
      <c r="I847" s="476"/>
      <c r="J847" s="476" t="s">
        <v>807</v>
      </c>
      <c r="K847" s="476" t="s">
        <v>807</v>
      </c>
      <c r="L847" s="476" t="s">
        <v>807</v>
      </c>
      <c r="M847" s="476" t="s">
        <v>804</v>
      </c>
      <c r="N847" s="476">
        <v>20.78729057</v>
      </c>
      <c r="O847" s="476">
        <v>92.401252749999998</v>
      </c>
      <c r="P847" s="476" t="s">
        <v>808</v>
      </c>
      <c r="Q847" s="476" t="s">
        <v>789</v>
      </c>
      <c r="R847" s="482"/>
      <c r="S847" s="483"/>
      <c r="T847" s="502"/>
      <c r="U847" s="484"/>
      <c r="V847" s="476" t="s">
        <v>610</v>
      </c>
      <c r="W847" s="476"/>
      <c r="X847" s="17"/>
      <c r="Z847" s="17"/>
    </row>
    <row r="848" spans="1:26" ht="14.25" customHeight="1">
      <c r="A848" s="476" t="s">
        <v>2826</v>
      </c>
      <c r="B848" s="500" t="s">
        <v>318</v>
      </c>
      <c r="C848" s="499" t="s">
        <v>2104</v>
      </c>
      <c r="D848" s="429"/>
      <c r="E848" s="476">
        <v>197987</v>
      </c>
      <c r="F848" s="480"/>
      <c r="G848" s="476"/>
      <c r="H848" s="476"/>
      <c r="I848" s="476"/>
      <c r="J848" s="476" t="s">
        <v>807</v>
      </c>
      <c r="K848" s="476" t="s">
        <v>807</v>
      </c>
      <c r="L848" s="476" t="s">
        <v>807</v>
      </c>
      <c r="M848" s="476" t="s">
        <v>804</v>
      </c>
      <c r="N848" s="476">
        <v>20.81588936</v>
      </c>
      <c r="O848" s="476">
        <v>92.372566219999996</v>
      </c>
      <c r="P848" s="476"/>
      <c r="Q848" s="476"/>
      <c r="R848" s="482"/>
      <c r="S848" s="483"/>
      <c r="T848" s="502">
        <v>43300</v>
      </c>
      <c r="U848" s="484"/>
      <c r="V848" s="476"/>
      <c r="W848" s="476"/>
      <c r="X848" s="17"/>
      <c r="Z848" s="17"/>
    </row>
    <row r="849" spans="1:26" ht="14.25" customHeight="1">
      <c r="A849" s="476" t="s">
        <v>2826</v>
      </c>
      <c r="B849" s="510" t="s">
        <v>318</v>
      </c>
      <c r="C849" s="511" t="s">
        <v>2146</v>
      </c>
      <c r="D849" s="481"/>
      <c r="E849" s="476">
        <v>198089</v>
      </c>
      <c r="F849" s="480"/>
      <c r="G849" s="476"/>
      <c r="H849" s="476"/>
      <c r="I849" s="476"/>
      <c r="J849" s="476" t="s">
        <v>807</v>
      </c>
      <c r="K849" s="476" t="s">
        <v>807</v>
      </c>
      <c r="L849" s="476" t="s">
        <v>807</v>
      </c>
      <c r="M849" s="476" t="s">
        <v>2133</v>
      </c>
      <c r="N849" s="476">
        <v>21.19529915</v>
      </c>
      <c r="O849" s="476">
        <v>92.221542360000001</v>
      </c>
      <c r="P849" s="476"/>
      <c r="Q849" s="476"/>
      <c r="R849" s="490"/>
      <c r="S849" s="483"/>
      <c r="T849" s="502">
        <v>43300</v>
      </c>
      <c r="U849" s="484"/>
      <c r="V849" s="476"/>
      <c r="W849" s="476"/>
      <c r="X849" s="17"/>
      <c r="Z849" s="17"/>
    </row>
    <row r="850" spans="1:26" ht="14.25" customHeight="1">
      <c r="A850" s="476" t="s">
        <v>2826</v>
      </c>
      <c r="B850" s="500" t="s">
        <v>318</v>
      </c>
      <c r="C850" s="499" t="s">
        <v>2126</v>
      </c>
      <c r="D850" s="429"/>
      <c r="E850" s="476">
        <v>197922</v>
      </c>
      <c r="F850" s="476"/>
      <c r="G850" s="476"/>
      <c r="H850" s="476"/>
      <c r="I850" s="476"/>
      <c r="J850" s="476" t="s">
        <v>807</v>
      </c>
      <c r="K850" s="476" t="s">
        <v>807</v>
      </c>
      <c r="L850" s="476" t="s">
        <v>807</v>
      </c>
      <c r="M850" s="476" t="s">
        <v>804</v>
      </c>
      <c r="N850" s="476">
        <v>20.93643951</v>
      </c>
      <c r="O850" s="476">
        <v>92.314498900000004</v>
      </c>
      <c r="P850" s="476"/>
      <c r="Q850" s="476"/>
      <c r="R850" s="482"/>
      <c r="S850" s="483"/>
      <c r="T850" s="502">
        <v>43300</v>
      </c>
      <c r="U850" s="484"/>
      <c r="V850" s="476"/>
      <c r="W850" s="476"/>
      <c r="X850" s="17"/>
      <c r="Z850" s="17"/>
    </row>
    <row r="851" spans="1:26" ht="14.25" customHeight="1">
      <c r="A851" s="476" t="s">
        <v>2826</v>
      </c>
      <c r="B851" s="500" t="s">
        <v>318</v>
      </c>
      <c r="C851" s="499" t="s">
        <v>1938</v>
      </c>
      <c r="D851" s="429"/>
      <c r="E851" s="476">
        <v>197961</v>
      </c>
      <c r="F851" s="476"/>
      <c r="G851" s="476"/>
      <c r="H851" s="476"/>
      <c r="I851" s="476"/>
      <c r="J851" s="476" t="s">
        <v>807</v>
      </c>
      <c r="K851" s="476" t="s">
        <v>807</v>
      </c>
      <c r="L851" s="476" t="s">
        <v>807</v>
      </c>
      <c r="M851" s="476" t="s">
        <v>804</v>
      </c>
      <c r="N851" s="476">
        <v>20.903369900000001</v>
      </c>
      <c r="O851" s="476">
        <v>92.332237239999998</v>
      </c>
      <c r="P851" s="476" t="s">
        <v>808</v>
      </c>
      <c r="Q851" s="476" t="s">
        <v>1941</v>
      </c>
      <c r="R851" s="482"/>
      <c r="S851" s="483"/>
      <c r="T851" s="502">
        <v>43245</v>
      </c>
      <c r="U851" s="484"/>
      <c r="V851" s="476"/>
      <c r="W851" s="476"/>
      <c r="X851" s="17"/>
      <c r="Z851" s="17"/>
    </row>
    <row r="852" spans="1:26" ht="14.25" customHeight="1">
      <c r="A852" s="476" t="s">
        <v>2826</v>
      </c>
      <c r="B852" s="500" t="s">
        <v>318</v>
      </c>
      <c r="C852" s="499" t="s">
        <v>2144</v>
      </c>
      <c r="D852" s="429"/>
      <c r="E852" s="476">
        <v>197847</v>
      </c>
      <c r="F852" s="476"/>
      <c r="G852" s="476"/>
      <c r="H852" s="476"/>
      <c r="I852" s="476"/>
      <c r="J852" s="476" t="s">
        <v>807</v>
      </c>
      <c r="K852" s="476" t="s">
        <v>807</v>
      </c>
      <c r="L852" s="476" t="s">
        <v>807</v>
      </c>
      <c r="M852" s="476" t="s">
        <v>307</v>
      </c>
      <c r="N852" s="476">
        <v>21.134050370000001</v>
      </c>
      <c r="O852" s="476">
        <v>92.323478699999995</v>
      </c>
      <c r="P852" s="476"/>
      <c r="Q852" s="476"/>
      <c r="R852" s="482"/>
      <c r="S852" s="483"/>
      <c r="T852" s="502">
        <v>43300</v>
      </c>
      <c r="U852" s="484"/>
      <c r="V852" s="476"/>
      <c r="W852" s="476"/>
      <c r="X852" s="17"/>
      <c r="Z852" s="17"/>
    </row>
    <row r="853" spans="1:26" ht="14.25" customHeight="1">
      <c r="A853" s="476" t="s">
        <v>2826</v>
      </c>
      <c r="B853" s="500" t="s">
        <v>318</v>
      </c>
      <c r="C853" s="499" t="s">
        <v>2150</v>
      </c>
      <c r="D853" s="429"/>
      <c r="E853" s="476">
        <v>220706</v>
      </c>
      <c r="F853" s="476"/>
      <c r="G853" s="476"/>
      <c r="H853" s="476"/>
      <c r="I853" s="476"/>
      <c r="J853" s="476" t="s">
        <v>807</v>
      </c>
      <c r="K853" s="476" t="s">
        <v>807</v>
      </c>
      <c r="L853" s="476" t="s">
        <v>807</v>
      </c>
      <c r="M853" s="476" t="s">
        <v>2134</v>
      </c>
      <c r="N853" s="476">
        <v>21.2600956</v>
      </c>
      <c r="O853" s="476">
        <v>92.278442380000001</v>
      </c>
      <c r="P853" s="476"/>
      <c r="Q853" s="476"/>
      <c r="R853" s="482"/>
      <c r="S853" s="483"/>
      <c r="T853" s="502">
        <v>43300</v>
      </c>
      <c r="U853" s="484"/>
      <c r="V853" s="476"/>
      <c r="W853" s="476"/>
      <c r="X853" s="17"/>
      <c r="Z853" s="17"/>
    </row>
    <row r="854" spans="1:26" ht="14.25" customHeight="1">
      <c r="A854" s="476" t="s">
        <v>2826</v>
      </c>
      <c r="B854" s="500" t="s">
        <v>318</v>
      </c>
      <c r="C854" s="499" t="s">
        <v>2149</v>
      </c>
      <c r="D854" s="429"/>
      <c r="E854" s="476">
        <v>220721</v>
      </c>
      <c r="F854" s="476"/>
      <c r="G854" s="476"/>
      <c r="H854" s="476"/>
      <c r="I854" s="476"/>
      <c r="J854" s="476" t="s">
        <v>807</v>
      </c>
      <c r="K854" s="476" t="s">
        <v>807</v>
      </c>
      <c r="L854" s="476" t="s">
        <v>807</v>
      </c>
      <c r="M854" s="476" t="s">
        <v>307</v>
      </c>
      <c r="N854" s="476">
        <v>21.224542620000001</v>
      </c>
      <c r="O854" s="476">
        <v>92.294197080000004</v>
      </c>
      <c r="P854" s="476"/>
      <c r="Q854" s="476"/>
      <c r="R854" s="482"/>
      <c r="S854" s="483"/>
      <c r="T854" s="502">
        <v>43300</v>
      </c>
      <c r="U854" s="484"/>
      <c r="V854" s="476"/>
      <c r="W854" s="476"/>
      <c r="X854" s="17"/>
      <c r="Z854" s="17"/>
    </row>
    <row r="855" spans="1:26" ht="14.25" customHeight="1">
      <c r="A855" s="476" t="s">
        <v>2826</v>
      </c>
      <c r="B855" s="510" t="s">
        <v>318</v>
      </c>
      <c r="C855" s="511" t="s">
        <v>341</v>
      </c>
      <c r="D855" s="481" t="s">
        <v>1685</v>
      </c>
      <c r="E855" s="476"/>
      <c r="F855" s="476"/>
      <c r="G855" s="476"/>
      <c r="H855" s="476"/>
      <c r="I855" s="476"/>
      <c r="J855" s="476" t="s">
        <v>807</v>
      </c>
      <c r="K855" s="476" t="s">
        <v>807</v>
      </c>
      <c r="L855" s="476" t="s">
        <v>807</v>
      </c>
      <c r="M855" s="476" t="s">
        <v>804</v>
      </c>
      <c r="N855" s="476"/>
      <c r="O855" s="476"/>
      <c r="P855" s="476" t="s">
        <v>808</v>
      </c>
      <c r="Q855" s="476" t="s">
        <v>789</v>
      </c>
      <c r="R855" s="490"/>
      <c r="S855" s="483"/>
      <c r="T855" s="502"/>
      <c r="U855" s="484"/>
      <c r="V855" s="394" t="s">
        <v>1126</v>
      </c>
      <c r="W855" s="476"/>
      <c r="X855" s="17"/>
      <c r="Z855" s="17"/>
    </row>
    <row r="856" spans="1:26" ht="14.25" customHeight="1">
      <c r="A856" s="476" t="s">
        <v>2826</v>
      </c>
      <c r="B856" s="500" t="s">
        <v>318</v>
      </c>
      <c r="C856" s="499" t="s">
        <v>342</v>
      </c>
      <c r="D856" s="429" t="s">
        <v>1685</v>
      </c>
      <c r="E856" s="476"/>
      <c r="F856" s="476"/>
      <c r="G856" s="476"/>
      <c r="H856" s="476"/>
      <c r="I856" s="476"/>
      <c r="J856" s="476" t="s">
        <v>807</v>
      </c>
      <c r="K856" s="476" t="s">
        <v>807</v>
      </c>
      <c r="L856" s="476" t="s">
        <v>807</v>
      </c>
      <c r="M856" s="476" t="s">
        <v>804</v>
      </c>
      <c r="N856" s="476"/>
      <c r="O856" s="476"/>
      <c r="P856" s="476" t="s">
        <v>808</v>
      </c>
      <c r="Q856" s="476" t="s">
        <v>789</v>
      </c>
      <c r="R856" s="482"/>
      <c r="S856" s="483"/>
      <c r="T856" s="502"/>
      <c r="U856" s="484"/>
      <c r="V856" s="394" t="s">
        <v>1127</v>
      </c>
      <c r="W856" s="476"/>
      <c r="X856" s="17"/>
      <c r="Z856" s="17"/>
    </row>
    <row r="857" spans="1:26" ht="14.25" customHeight="1">
      <c r="A857" s="476" t="s">
        <v>2826</v>
      </c>
      <c r="B857" s="510" t="s">
        <v>318</v>
      </c>
      <c r="C857" s="511" t="s">
        <v>2899</v>
      </c>
      <c r="D857" s="481"/>
      <c r="E857" s="476">
        <v>220725</v>
      </c>
      <c r="F857" s="476"/>
      <c r="G857" s="476"/>
      <c r="H857" s="476"/>
      <c r="I857" s="476"/>
      <c r="J857" s="476" t="s">
        <v>807</v>
      </c>
      <c r="K857" s="476" t="s">
        <v>807</v>
      </c>
      <c r="L857" s="476" t="s">
        <v>807</v>
      </c>
      <c r="M857" s="476" t="s">
        <v>692</v>
      </c>
      <c r="N857" s="476">
        <v>21.089906689999999</v>
      </c>
      <c r="O857" s="476">
        <v>92.341598509999997</v>
      </c>
      <c r="P857" s="476"/>
      <c r="Q857" s="476"/>
      <c r="R857" s="490"/>
      <c r="S857" s="483"/>
      <c r="T857" s="502">
        <v>43300</v>
      </c>
      <c r="U857" s="484"/>
      <c r="V857" s="476"/>
      <c r="W857" s="476"/>
      <c r="X857" s="17"/>
      <c r="Z857" s="17"/>
    </row>
    <row r="858" spans="1:26" ht="14.25" customHeight="1">
      <c r="A858" s="476" t="s">
        <v>2826</v>
      </c>
      <c r="B858" s="500" t="s">
        <v>318</v>
      </c>
      <c r="C858" s="499" t="s">
        <v>2898</v>
      </c>
      <c r="D858" s="429"/>
      <c r="E858" s="476">
        <v>220725</v>
      </c>
      <c r="F858" s="476"/>
      <c r="G858" s="476"/>
      <c r="H858" s="476"/>
      <c r="I858" s="476"/>
      <c r="J858" s="476" t="s">
        <v>807</v>
      </c>
      <c r="K858" s="476" t="s">
        <v>807</v>
      </c>
      <c r="L858" s="476" t="s">
        <v>807</v>
      </c>
      <c r="M858" s="476" t="s">
        <v>307</v>
      </c>
      <c r="N858" s="476">
        <v>21.089906689999999</v>
      </c>
      <c r="O858" s="476">
        <v>92.341598509999997</v>
      </c>
      <c r="P858" s="476"/>
      <c r="Q858" s="476"/>
      <c r="R858" s="482"/>
      <c r="S858" s="483"/>
      <c r="T858" s="502">
        <v>43300</v>
      </c>
      <c r="U858" s="484"/>
      <c r="V858" s="476"/>
      <c r="W858" s="476"/>
      <c r="X858" s="17"/>
      <c r="Z858" s="17"/>
    </row>
    <row r="859" spans="1:26" ht="14.25" customHeight="1">
      <c r="A859" s="476" t="s">
        <v>2826</v>
      </c>
      <c r="B859" s="500" t="s">
        <v>318</v>
      </c>
      <c r="C859" s="499" t="s">
        <v>343</v>
      </c>
      <c r="D859" s="429" t="s">
        <v>1685</v>
      </c>
      <c r="E859" s="476"/>
      <c r="F859" s="476"/>
      <c r="G859" s="476"/>
      <c r="H859" s="476"/>
      <c r="I859" s="476"/>
      <c r="J859" s="476" t="s">
        <v>807</v>
      </c>
      <c r="K859" s="476" t="s">
        <v>807</v>
      </c>
      <c r="L859" s="476" t="s">
        <v>807</v>
      </c>
      <c r="M859" s="476" t="s">
        <v>307</v>
      </c>
      <c r="N859" s="476"/>
      <c r="O859" s="476"/>
      <c r="P859" s="476" t="s">
        <v>808</v>
      </c>
      <c r="Q859" s="476" t="s">
        <v>789</v>
      </c>
      <c r="R859" s="482"/>
      <c r="S859" s="483"/>
      <c r="T859" s="502"/>
      <c r="U859" s="484"/>
      <c r="V859" s="394" t="s">
        <v>1128</v>
      </c>
      <c r="W859" s="476"/>
      <c r="X859" s="17"/>
      <c r="Z859" s="17"/>
    </row>
    <row r="860" spans="1:26" ht="14.25" customHeight="1">
      <c r="A860" s="476" t="s">
        <v>2826</v>
      </c>
      <c r="B860" s="500" t="s">
        <v>318</v>
      </c>
      <c r="C860" s="480" t="s">
        <v>2118</v>
      </c>
      <c r="D860" s="429"/>
      <c r="E860" s="476">
        <v>197978</v>
      </c>
      <c r="F860" s="476"/>
      <c r="G860" s="476"/>
      <c r="H860" s="476"/>
      <c r="I860" s="476"/>
      <c r="J860" s="476" t="s">
        <v>807</v>
      </c>
      <c r="K860" s="476" t="s">
        <v>807</v>
      </c>
      <c r="L860" s="476" t="s">
        <v>807</v>
      </c>
      <c r="M860" s="476" t="s">
        <v>804</v>
      </c>
      <c r="N860" s="476">
        <v>20.834230420000001</v>
      </c>
      <c r="O860" s="476">
        <v>92.37967682</v>
      </c>
      <c r="P860" s="476"/>
      <c r="Q860" s="476"/>
      <c r="R860" s="482"/>
      <c r="S860" s="483"/>
      <c r="T860" s="502">
        <v>43300</v>
      </c>
      <c r="U860" s="484"/>
      <c r="V860" s="476"/>
      <c r="W860" s="476"/>
      <c r="X860" s="17"/>
      <c r="Z860" s="17"/>
    </row>
    <row r="861" spans="1:26" s="69" customFormat="1" ht="14.25" customHeight="1">
      <c r="A861" s="476" t="s">
        <v>2826</v>
      </c>
      <c r="B861" s="510" t="s">
        <v>318</v>
      </c>
      <c r="C861" s="511" t="s">
        <v>641</v>
      </c>
      <c r="D861" s="481" t="s">
        <v>1685</v>
      </c>
      <c r="E861" s="476" t="s">
        <v>1424</v>
      </c>
      <c r="F861" s="476"/>
      <c r="G861" s="476"/>
      <c r="H861" s="476" t="s">
        <v>43</v>
      </c>
      <c r="I861" s="476"/>
      <c r="J861" s="476" t="s">
        <v>807</v>
      </c>
      <c r="K861" s="476" t="s">
        <v>807</v>
      </c>
      <c r="L861" s="476" t="s">
        <v>1685</v>
      </c>
      <c r="M861" s="476" t="s">
        <v>804</v>
      </c>
      <c r="N861" s="476">
        <v>20.827044000000001</v>
      </c>
      <c r="O861" s="476">
        <v>92.362932999999998</v>
      </c>
      <c r="P861" s="476" t="s">
        <v>770</v>
      </c>
      <c r="Q861" s="476" t="s">
        <v>789</v>
      </c>
      <c r="R861" s="490"/>
      <c r="S861" s="483"/>
      <c r="T861" s="502">
        <v>43248</v>
      </c>
      <c r="U861" s="484" t="s">
        <v>1934</v>
      </c>
      <c r="V861" s="476"/>
      <c r="W861" s="476"/>
    </row>
    <row r="862" spans="1:26" ht="14.25" customHeight="1">
      <c r="A862" s="476" t="s">
        <v>2826</v>
      </c>
      <c r="B862" s="510" t="s">
        <v>318</v>
      </c>
      <c r="C862" s="511" t="s">
        <v>344</v>
      </c>
      <c r="D862" s="481" t="s">
        <v>1685</v>
      </c>
      <c r="E862" s="485"/>
      <c r="F862" s="476"/>
      <c r="G862" s="476"/>
      <c r="H862" s="476"/>
      <c r="I862" s="476"/>
      <c r="J862" s="476" t="s">
        <v>807</v>
      </c>
      <c r="K862" s="476" t="s">
        <v>807</v>
      </c>
      <c r="L862" s="476" t="s">
        <v>807</v>
      </c>
      <c r="M862" s="476" t="s">
        <v>804</v>
      </c>
      <c r="N862" s="476"/>
      <c r="O862" s="476"/>
      <c r="P862" s="476" t="s">
        <v>808</v>
      </c>
      <c r="Q862" s="476" t="s">
        <v>789</v>
      </c>
      <c r="R862" s="490"/>
      <c r="S862" s="483"/>
      <c r="T862" s="502"/>
      <c r="U862" s="484"/>
      <c r="V862" s="476" t="s">
        <v>344</v>
      </c>
      <c r="W862" s="476"/>
      <c r="X862" s="17"/>
      <c r="Z862" s="17"/>
    </row>
    <row r="863" spans="1:26" ht="14.25" customHeight="1">
      <c r="A863" s="476" t="s">
        <v>2826</v>
      </c>
      <c r="B863" s="510" t="s">
        <v>318</v>
      </c>
      <c r="C863" s="511" t="s">
        <v>345</v>
      </c>
      <c r="D863" s="481" t="s">
        <v>1685</v>
      </c>
      <c r="E863" s="480"/>
      <c r="F863" s="476"/>
      <c r="G863" s="476"/>
      <c r="H863" s="476"/>
      <c r="I863" s="476"/>
      <c r="J863" s="476" t="s">
        <v>807</v>
      </c>
      <c r="K863" s="476" t="s">
        <v>807</v>
      </c>
      <c r="L863" s="476" t="s">
        <v>807</v>
      </c>
      <c r="M863" s="476" t="s">
        <v>804</v>
      </c>
      <c r="N863" s="476"/>
      <c r="O863" s="476"/>
      <c r="P863" s="476" t="s">
        <v>808</v>
      </c>
      <c r="Q863" s="476" t="s">
        <v>789</v>
      </c>
      <c r="R863" s="490"/>
      <c r="S863" s="483"/>
      <c r="T863" s="502"/>
      <c r="U863" s="484"/>
      <c r="V863" s="476" t="s">
        <v>345</v>
      </c>
      <c r="W863" s="476"/>
      <c r="X863" s="17"/>
      <c r="Z863" s="17"/>
    </row>
    <row r="864" spans="1:26" ht="14.25" customHeight="1">
      <c r="A864" s="476" t="s">
        <v>2826</v>
      </c>
      <c r="B864" s="510" t="s">
        <v>318</v>
      </c>
      <c r="C864" s="511" t="s">
        <v>2153</v>
      </c>
      <c r="D864" s="481"/>
      <c r="E864" s="476">
        <v>197894</v>
      </c>
      <c r="F864" s="476"/>
      <c r="G864" s="476"/>
      <c r="H864" s="476"/>
      <c r="I864" s="476"/>
      <c r="J864" s="476" t="s">
        <v>807</v>
      </c>
      <c r="K864" s="476" t="s">
        <v>807</v>
      </c>
      <c r="L864" s="476" t="s">
        <v>807</v>
      </c>
      <c r="M864" s="476" t="s">
        <v>307</v>
      </c>
      <c r="N864" s="476">
        <v>21.025550840000001</v>
      </c>
      <c r="O864" s="476">
        <v>92.29528809</v>
      </c>
      <c r="P864" s="476"/>
      <c r="Q864" s="476"/>
      <c r="R864" s="490"/>
      <c r="S864" s="483"/>
      <c r="T864" s="502">
        <v>43300</v>
      </c>
      <c r="U864" s="484"/>
      <c r="V864" s="476"/>
      <c r="W864" s="476"/>
      <c r="X864" s="17"/>
      <c r="Z864" s="17"/>
    </row>
    <row r="865" spans="1:26" ht="14.25" customHeight="1">
      <c r="A865" s="476" t="s">
        <v>2826</v>
      </c>
      <c r="B865" s="510" t="s">
        <v>318</v>
      </c>
      <c r="C865" s="511" t="s">
        <v>690</v>
      </c>
      <c r="D865" s="481" t="s">
        <v>1685</v>
      </c>
      <c r="E865" s="476">
        <v>197894</v>
      </c>
      <c r="F865" s="476"/>
      <c r="G865" s="476"/>
      <c r="H865" s="476"/>
      <c r="I865" s="476"/>
      <c r="J865" s="476" t="s">
        <v>807</v>
      </c>
      <c r="K865" s="476" t="s">
        <v>807</v>
      </c>
      <c r="L865" s="476" t="s">
        <v>807</v>
      </c>
      <c r="M865" s="476" t="s">
        <v>804</v>
      </c>
      <c r="N865" s="476">
        <v>21.025550840000001</v>
      </c>
      <c r="O865" s="476">
        <v>92.29528809</v>
      </c>
      <c r="P865" s="476" t="s">
        <v>808</v>
      </c>
      <c r="Q865" s="476" t="s">
        <v>789</v>
      </c>
      <c r="R865" s="490"/>
      <c r="S865" s="483"/>
      <c r="T865" s="502">
        <v>42745</v>
      </c>
      <c r="U865" s="484"/>
      <c r="V865" s="476" t="s">
        <v>964</v>
      </c>
      <c r="W865" s="476"/>
      <c r="X865" s="17"/>
      <c r="Z865" s="17"/>
    </row>
    <row r="866" spans="1:26" ht="14.25" customHeight="1">
      <c r="A866" s="476" t="s">
        <v>2826</v>
      </c>
      <c r="B866" s="510" t="s">
        <v>318</v>
      </c>
      <c r="C866" s="511" t="s">
        <v>2154</v>
      </c>
      <c r="D866" s="481"/>
      <c r="E866" s="476">
        <v>197895</v>
      </c>
      <c r="F866" s="476"/>
      <c r="G866" s="476"/>
      <c r="H866" s="476"/>
      <c r="I866" s="476"/>
      <c r="J866" s="476" t="s">
        <v>807</v>
      </c>
      <c r="K866" s="476" t="s">
        <v>807</v>
      </c>
      <c r="L866" s="476" t="s">
        <v>807</v>
      </c>
      <c r="M866" s="476" t="s">
        <v>804</v>
      </c>
      <c r="N866" s="476">
        <v>21.019170760000002</v>
      </c>
      <c r="O866" s="476">
        <v>92.291992190000002</v>
      </c>
      <c r="P866" s="476"/>
      <c r="Q866" s="476"/>
      <c r="R866" s="490"/>
      <c r="S866" s="483"/>
      <c r="T866" s="502">
        <v>43300</v>
      </c>
      <c r="U866" s="484"/>
      <c r="V866" s="476"/>
      <c r="W866" s="476"/>
      <c r="X866" s="17"/>
      <c r="Z866" s="17"/>
    </row>
    <row r="867" spans="1:26" ht="14.25" customHeight="1">
      <c r="A867" s="476" t="s">
        <v>2826</v>
      </c>
      <c r="B867" s="500" t="s">
        <v>318</v>
      </c>
      <c r="C867" s="499" t="s">
        <v>2116</v>
      </c>
      <c r="D867" s="429"/>
      <c r="E867" s="480">
        <v>197909</v>
      </c>
      <c r="F867" s="485"/>
      <c r="G867" s="476"/>
      <c r="H867" s="476"/>
      <c r="I867" s="476"/>
      <c r="J867" s="476" t="s">
        <v>807</v>
      </c>
      <c r="K867" s="476" t="s">
        <v>807</v>
      </c>
      <c r="L867" s="476" t="s">
        <v>807</v>
      </c>
      <c r="M867" s="476" t="s">
        <v>804</v>
      </c>
      <c r="N867" s="476">
        <v>21.003770830000001</v>
      </c>
      <c r="O867" s="476">
        <v>92.351142879999998</v>
      </c>
      <c r="P867" s="476"/>
      <c r="Q867" s="476"/>
      <c r="R867" s="482"/>
      <c r="S867" s="483"/>
      <c r="T867" s="502">
        <v>43300</v>
      </c>
      <c r="U867" s="484"/>
      <c r="V867" s="476"/>
      <c r="W867" s="476"/>
      <c r="X867" s="17"/>
      <c r="Z867" s="17"/>
    </row>
    <row r="868" spans="1:26" ht="14.25" customHeight="1">
      <c r="A868" s="476" t="s">
        <v>2826</v>
      </c>
      <c r="B868" s="510" t="s">
        <v>318</v>
      </c>
      <c r="C868" s="511" t="s">
        <v>685</v>
      </c>
      <c r="D868" s="481" t="s">
        <v>1685</v>
      </c>
      <c r="E868" s="480">
        <v>197910</v>
      </c>
      <c r="F868" s="480"/>
      <c r="G868" s="476"/>
      <c r="H868" s="476"/>
      <c r="I868" s="476"/>
      <c r="J868" s="476" t="s">
        <v>807</v>
      </c>
      <c r="K868" s="476" t="s">
        <v>807</v>
      </c>
      <c r="L868" s="476" t="s">
        <v>807</v>
      </c>
      <c r="M868" s="476" t="s">
        <v>307</v>
      </c>
      <c r="N868" s="476">
        <v>21.007270810000001</v>
      </c>
      <c r="O868" s="476">
        <v>92.358520510000005</v>
      </c>
      <c r="P868" s="476" t="s">
        <v>808</v>
      </c>
      <c r="Q868" s="476" t="s">
        <v>811</v>
      </c>
      <c r="R868" s="490"/>
      <c r="S868" s="483"/>
      <c r="T868" s="502">
        <v>42926</v>
      </c>
      <c r="U868" s="484" t="s">
        <v>812</v>
      </c>
      <c r="V868" s="476"/>
      <c r="W868" s="476"/>
      <c r="X868" s="17"/>
      <c r="Z868" s="17"/>
    </row>
    <row r="869" spans="1:26" ht="14.25" customHeight="1">
      <c r="A869" s="476" t="s">
        <v>2826</v>
      </c>
      <c r="B869" s="510" t="s">
        <v>318</v>
      </c>
      <c r="C869" s="511" t="s">
        <v>2115</v>
      </c>
      <c r="D869" s="481"/>
      <c r="E869" s="476">
        <v>197874</v>
      </c>
      <c r="F869" s="476"/>
      <c r="G869" s="476"/>
      <c r="H869" s="476"/>
      <c r="I869" s="476"/>
      <c r="J869" s="476" t="s">
        <v>807</v>
      </c>
      <c r="K869" s="476" t="s">
        <v>807</v>
      </c>
      <c r="L869" s="476" t="s">
        <v>807</v>
      </c>
      <c r="M869" s="476" t="s">
        <v>804</v>
      </c>
      <c r="N869" s="476">
        <v>21.035009380000002</v>
      </c>
      <c r="O869" s="476">
        <v>92.332046509999998</v>
      </c>
      <c r="P869" s="476"/>
      <c r="Q869" s="476"/>
      <c r="R869" s="490"/>
      <c r="S869" s="483"/>
      <c r="T869" s="502">
        <v>43300</v>
      </c>
      <c r="U869" s="484"/>
      <c r="V869" s="476"/>
      <c r="W869" s="476"/>
      <c r="X869" s="17"/>
      <c r="Z869" s="17"/>
    </row>
    <row r="870" spans="1:26" ht="14.25" customHeight="1">
      <c r="A870" s="476" t="s">
        <v>2826</v>
      </c>
      <c r="B870" s="500" t="s">
        <v>318</v>
      </c>
      <c r="C870" s="499" t="s">
        <v>530</v>
      </c>
      <c r="D870" s="429" t="s">
        <v>1685</v>
      </c>
      <c r="E870" s="476"/>
      <c r="F870" s="476"/>
      <c r="G870" s="476"/>
      <c r="H870" s="476"/>
      <c r="I870" s="476"/>
      <c r="J870" s="476" t="s">
        <v>807</v>
      </c>
      <c r="K870" s="476" t="s">
        <v>807</v>
      </c>
      <c r="L870" s="476" t="s">
        <v>807</v>
      </c>
      <c r="M870" s="476" t="s">
        <v>307</v>
      </c>
      <c r="N870" s="476">
        <v>20.651159289999999</v>
      </c>
      <c r="O870" s="476">
        <v>92.605712890000007</v>
      </c>
      <c r="P870" s="476" t="s">
        <v>808</v>
      </c>
      <c r="Q870" s="476" t="s">
        <v>789</v>
      </c>
      <c r="R870" s="482"/>
      <c r="S870" s="483"/>
      <c r="T870" s="502"/>
      <c r="U870" s="484"/>
      <c r="V870" s="476" t="s">
        <v>530</v>
      </c>
      <c r="W870" s="476"/>
      <c r="X870" s="17"/>
      <c r="Z870" s="17"/>
    </row>
    <row r="871" spans="1:26" ht="14.25" customHeight="1">
      <c r="A871" s="476" t="s">
        <v>2826</v>
      </c>
      <c r="B871" s="510" t="s">
        <v>318</v>
      </c>
      <c r="C871" s="511" t="s">
        <v>607</v>
      </c>
      <c r="D871" s="481" t="s">
        <v>1685</v>
      </c>
      <c r="E871" s="476">
        <v>197999</v>
      </c>
      <c r="F871" s="476"/>
      <c r="G871" s="476"/>
      <c r="H871" s="476"/>
      <c r="I871" s="476"/>
      <c r="J871" s="476" t="s">
        <v>807</v>
      </c>
      <c r="K871" s="476" t="s">
        <v>807</v>
      </c>
      <c r="L871" s="476" t="s">
        <v>807</v>
      </c>
      <c r="M871" s="476" t="s">
        <v>804</v>
      </c>
      <c r="N871" s="476">
        <v>20.785320280000001</v>
      </c>
      <c r="O871" s="476">
        <v>92.406509400000004</v>
      </c>
      <c r="P871" s="476" t="s">
        <v>808</v>
      </c>
      <c r="Q871" s="476" t="s">
        <v>789</v>
      </c>
      <c r="R871" s="490"/>
      <c r="S871" s="483"/>
      <c r="T871" s="502"/>
      <c r="U871" s="484"/>
      <c r="V871" s="476" t="s">
        <v>607</v>
      </c>
      <c r="W871" s="476"/>
      <c r="X871" s="17"/>
      <c r="Z871" s="17"/>
    </row>
    <row r="872" spans="1:26" ht="14.25" customHeight="1">
      <c r="A872" s="476" t="s">
        <v>2826</v>
      </c>
      <c r="B872" s="500" t="s">
        <v>318</v>
      </c>
      <c r="C872" s="499" t="s">
        <v>557</v>
      </c>
      <c r="D872" s="429"/>
      <c r="E872" s="476">
        <v>197993</v>
      </c>
      <c r="F872" s="480" t="s">
        <v>557</v>
      </c>
      <c r="G872" s="476"/>
      <c r="H872" s="476"/>
      <c r="I872" s="476"/>
      <c r="J872" s="476" t="s">
        <v>807</v>
      </c>
      <c r="K872" s="476" t="s">
        <v>807</v>
      </c>
      <c r="L872" s="476" t="s">
        <v>807</v>
      </c>
      <c r="M872" s="476" t="s">
        <v>804</v>
      </c>
      <c r="N872" s="476">
        <v>20.809099199999999</v>
      </c>
      <c r="O872" s="476">
        <v>92.39829254</v>
      </c>
      <c r="P872" s="476"/>
      <c r="Q872" s="476"/>
      <c r="R872" s="482"/>
      <c r="S872" s="483"/>
      <c r="T872" s="502">
        <v>43300</v>
      </c>
      <c r="U872" s="484"/>
      <c r="V872" s="476"/>
      <c r="W872" s="476"/>
      <c r="X872" s="17"/>
      <c r="Z872" s="17"/>
    </row>
    <row r="873" spans="1:26" ht="14.25" customHeight="1">
      <c r="A873" s="476" t="s">
        <v>2826</v>
      </c>
      <c r="B873" s="510" t="s">
        <v>318</v>
      </c>
      <c r="C873" s="511" t="s">
        <v>488</v>
      </c>
      <c r="D873" s="481" t="s">
        <v>2352</v>
      </c>
      <c r="E873" s="476" t="s">
        <v>1422</v>
      </c>
      <c r="F873" s="480" t="s">
        <v>1781</v>
      </c>
      <c r="G873" s="476" t="s">
        <v>1781</v>
      </c>
      <c r="H873" s="476" t="s">
        <v>43</v>
      </c>
      <c r="I873" s="476"/>
      <c r="J873" s="476" t="s">
        <v>807</v>
      </c>
      <c r="K873" s="476" t="s">
        <v>807</v>
      </c>
      <c r="L873" s="476" t="s">
        <v>892</v>
      </c>
      <c r="M873" s="476" t="s">
        <v>307</v>
      </c>
      <c r="N873" s="476">
        <v>20.824777999999998</v>
      </c>
      <c r="O873" s="476">
        <v>92.362196999999995</v>
      </c>
      <c r="P873" s="476" t="s">
        <v>808</v>
      </c>
      <c r="Q873" s="476"/>
      <c r="R873" s="482">
        <v>17</v>
      </c>
      <c r="S873" s="483">
        <v>109</v>
      </c>
      <c r="T873" s="502"/>
      <c r="U873" s="484" t="s">
        <v>869</v>
      </c>
      <c r="V873" s="476" t="s">
        <v>488</v>
      </c>
      <c r="W873" s="476"/>
      <c r="X873" s="17"/>
      <c r="Z873" s="17"/>
    </row>
    <row r="874" spans="1:26" ht="14.25" customHeight="1">
      <c r="A874" s="476" t="s">
        <v>2826</v>
      </c>
      <c r="B874" s="510" t="s">
        <v>318</v>
      </c>
      <c r="C874" s="511" t="s">
        <v>2143</v>
      </c>
      <c r="D874" s="481"/>
      <c r="E874" s="480">
        <v>197858</v>
      </c>
      <c r="F874" s="476"/>
      <c r="G874" s="476"/>
      <c r="H874" s="476"/>
      <c r="I874" s="476"/>
      <c r="J874" s="476" t="s">
        <v>807</v>
      </c>
      <c r="K874" s="476" t="s">
        <v>807</v>
      </c>
      <c r="L874" s="476" t="s">
        <v>807</v>
      </c>
      <c r="M874" s="476" t="s">
        <v>2130</v>
      </c>
      <c r="N874" s="476">
        <v>21.160549159999999</v>
      </c>
      <c r="O874" s="476">
        <v>92.330261230000005</v>
      </c>
      <c r="P874" s="476"/>
      <c r="Q874" s="476"/>
      <c r="R874" s="490"/>
      <c r="S874" s="483"/>
      <c r="T874" s="502">
        <v>43300</v>
      </c>
      <c r="U874" s="484"/>
      <c r="V874" s="476"/>
      <c r="W874" s="476"/>
      <c r="X874" s="17"/>
      <c r="Z874" s="17"/>
    </row>
    <row r="875" spans="1:26" ht="14.25" customHeight="1">
      <c r="A875" s="476" t="s">
        <v>2826</v>
      </c>
      <c r="B875" s="500" t="s">
        <v>318</v>
      </c>
      <c r="C875" s="499" t="s">
        <v>2105</v>
      </c>
      <c r="D875" s="481"/>
      <c r="E875" s="476">
        <v>197996</v>
      </c>
      <c r="F875" s="476"/>
      <c r="G875" s="476"/>
      <c r="H875" s="483"/>
      <c r="I875" s="476"/>
      <c r="J875" s="476" t="s">
        <v>807</v>
      </c>
      <c r="K875" s="476" t="s">
        <v>807</v>
      </c>
      <c r="L875" s="476" t="s">
        <v>807</v>
      </c>
      <c r="M875" s="476" t="s">
        <v>804</v>
      </c>
      <c r="N875" s="476">
        <v>20.805980680000001</v>
      </c>
      <c r="O875" s="476">
        <v>92.383308409999998</v>
      </c>
      <c r="P875" s="476"/>
      <c r="Q875" s="480"/>
      <c r="R875" s="482"/>
      <c r="S875" s="483"/>
      <c r="T875" s="503">
        <v>43300</v>
      </c>
      <c r="U875" s="484"/>
      <c r="V875" s="476"/>
      <c r="W875" s="476"/>
      <c r="X875" s="17"/>
      <c r="Z875" s="17"/>
    </row>
    <row r="876" spans="1:26" ht="14.25" customHeight="1">
      <c r="A876" s="476" t="s">
        <v>2826</v>
      </c>
      <c r="B876" s="510" t="s">
        <v>318</v>
      </c>
      <c r="C876" s="511" t="s">
        <v>1939</v>
      </c>
      <c r="D876" s="481"/>
      <c r="E876" s="476">
        <v>197971</v>
      </c>
      <c r="F876" s="476" t="s">
        <v>1939</v>
      </c>
      <c r="G876" s="476"/>
      <c r="H876" s="476"/>
      <c r="I876" s="476"/>
      <c r="J876" s="476" t="s">
        <v>807</v>
      </c>
      <c r="K876" s="476" t="s">
        <v>807</v>
      </c>
      <c r="L876" s="476" t="s">
        <v>807</v>
      </c>
      <c r="M876" s="476" t="s">
        <v>804</v>
      </c>
      <c r="N876" s="476">
        <v>20.872400280000001</v>
      </c>
      <c r="O876" s="476">
        <v>92.337608340000003</v>
      </c>
      <c r="P876" s="476" t="s">
        <v>808</v>
      </c>
      <c r="Q876" s="476" t="s">
        <v>1941</v>
      </c>
      <c r="R876" s="490"/>
      <c r="S876" s="483"/>
      <c r="T876" s="502">
        <v>43245</v>
      </c>
      <c r="U876" s="484"/>
      <c r="V876" s="476"/>
      <c r="W876" s="476"/>
      <c r="X876" s="17"/>
      <c r="Z876" s="17"/>
    </row>
    <row r="877" spans="1:26" ht="14.25" customHeight="1">
      <c r="A877" s="476" t="s">
        <v>2826</v>
      </c>
      <c r="B877" s="510" t="s">
        <v>318</v>
      </c>
      <c r="C877" s="511" t="s">
        <v>348</v>
      </c>
      <c r="D877" s="481" t="s">
        <v>1685</v>
      </c>
      <c r="E877" s="476"/>
      <c r="F877" s="476"/>
      <c r="G877" s="476"/>
      <c r="H877" s="476"/>
      <c r="I877" s="476"/>
      <c r="J877" s="476" t="s">
        <v>807</v>
      </c>
      <c r="K877" s="476" t="s">
        <v>807</v>
      </c>
      <c r="L877" s="476" t="s">
        <v>807</v>
      </c>
      <c r="M877" s="476" t="s">
        <v>804</v>
      </c>
      <c r="N877" s="506"/>
      <c r="O877" s="506"/>
      <c r="P877" s="476" t="s">
        <v>808</v>
      </c>
      <c r="Q877" s="476" t="s">
        <v>789</v>
      </c>
      <c r="R877" s="490"/>
      <c r="S877" s="483"/>
      <c r="T877" s="502"/>
      <c r="U877" s="484"/>
      <c r="V877" s="476" t="s">
        <v>348</v>
      </c>
      <c r="W877" s="476"/>
      <c r="X877" s="17"/>
      <c r="Z877" s="17"/>
    </row>
    <row r="878" spans="1:26" ht="14.25" customHeight="1">
      <c r="A878" s="476" t="s">
        <v>2826</v>
      </c>
      <c r="B878" s="510" t="s">
        <v>318</v>
      </c>
      <c r="C878" s="511" t="s">
        <v>612</v>
      </c>
      <c r="D878" s="481" t="s">
        <v>1685</v>
      </c>
      <c r="E878" s="476">
        <v>198000</v>
      </c>
      <c r="F878" s="476"/>
      <c r="G878" s="476"/>
      <c r="H878" s="476"/>
      <c r="I878" s="476"/>
      <c r="J878" s="476" t="s">
        <v>807</v>
      </c>
      <c r="K878" s="476" t="s">
        <v>807</v>
      </c>
      <c r="L878" s="476" t="s">
        <v>807</v>
      </c>
      <c r="M878" s="476" t="s">
        <v>804</v>
      </c>
      <c r="N878" s="476">
        <v>20.788669590000001</v>
      </c>
      <c r="O878" s="476">
        <v>92.397300720000004</v>
      </c>
      <c r="P878" s="476" t="s">
        <v>808</v>
      </c>
      <c r="Q878" s="476" t="s">
        <v>789</v>
      </c>
      <c r="R878" s="490"/>
      <c r="S878" s="483"/>
      <c r="T878" s="502"/>
      <c r="U878" s="484"/>
      <c r="V878" s="476" t="s">
        <v>612</v>
      </c>
      <c r="W878" s="476"/>
      <c r="X878" s="17"/>
      <c r="Z878" s="17"/>
    </row>
    <row r="879" spans="1:26" ht="14.25" customHeight="1">
      <c r="A879" s="476" t="s">
        <v>2826</v>
      </c>
      <c r="B879" s="510" t="s">
        <v>318</v>
      </c>
      <c r="C879" s="511" t="s">
        <v>2098</v>
      </c>
      <c r="D879" s="481"/>
      <c r="E879" s="476">
        <v>197972</v>
      </c>
      <c r="F879" s="480"/>
      <c r="G879" s="476"/>
      <c r="H879" s="476"/>
      <c r="I879" s="476"/>
      <c r="J879" s="476" t="s">
        <v>807</v>
      </c>
      <c r="K879" s="476" t="s">
        <v>807</v>
      </c>
      <c r="L879" s="476" t="s">
        <v>807</v>
      </c>
      <c r="M879" s="476" t="s">
        <v>804</v>
      </c>
      <c r="N879" s="476">
        <v>20.879430769999999</v>
      </c>
      <c r="O879" s="476">
        <v>92.334373470000003</v>
      </c>
      <c r="P879" s="476"/>
      <c r="Q879" s="476"/>
      <c r="R879" s="490"/>
      <c r="S879" s="483"/>
      <c r="T879" s="502">
        <v>43300</v>
      </c>
      <c r="U879" s="484"/>
      <c r="V879" s="476"/>
      <c r="W879" s="476"/>
      <c r="X879" s="17"/>
      <c r="Z879" s="17"/>
    </row>
    <row r="880" spans="1:26" ht="14.25" customHeight="1">
      <c r="A880" s="476" t="s">
        <v>2826</v>
      </c>
      <c r="B880" s="500" t="s">
        <v>318</v>
      </c>
      <c r="C880" s="499" t="s">
        <v>307</v>
      </c>
      <c r="D880" s="429" t="s">
        <v>1685</v>
      </c>
      <c r="E880" s="476"/>
      <c r="F880" s="476"/>
      <c r="G880" s="476"/>
      <c r="H880" s="476"/>
      <c r="I880" s="476"/>
      <c r="J880" s="476" t="s">
        <v>807</v>
      </c>
      <c r="K880" s="476" t="s">
        <v>807</v>
      </c>
      <c r="L880" s="476" t="s">
        <v>807</v>
      </c>
      <c r="M880" s="476" t="s">
        <v>307</v>
      </c>
      <c r="N880" s="494"/>
      <c r="O880" s="494"/>
      <c r="P880" s="476" t="s">
        <v>808</v>
      </c>
      <c r="Q880" s="476" t="s">
        <v>789</v>
      </c>
      <c r="R880" s="482"/>
      <c r="S880" s="483"/>
      <c r="T880" s="502"/>
      <c r="U880" s="484"/>
      <c r="V880" s="476" t="s">
        <v>307</v>
      </c>
      <c r="W880" s="476"/>
      <c r="X880" s="17"/>
      <c r="Z880" s="17"/>
    </row>
    <row r="881" spans="1:26" ht="14.25" customHeight="1">
      <c r="A881" s="476" t="s">
        <v>2826</v>
      </c>
      <c r="B881" s="500" t="s">
        <v>318</v>
      </c>
      <c r="C881" s="499" t="s">
        <v>353</v>
      </c>
      <c r="D881" s="429" t="s">
        <v>1685</v>
      </c>
      <c r="E881" s="476"/>
      <c r="F881" s="476"/>
      <c r="G881" s="476"/>
      <c r="H881" s="476"/>
      <c r="I881" s="476"/>
      <c r="J881" s="476" t="s">
        <v>807</v>
      </c>
      <c r="K881" s="476" t="s">
        <v>807</v>
      </c>
      <c r="L881" s="476" t="s">
        <v>807</v>
      </c>
      <c r="M881" s="476" t="s">
        <v>307</v>
      </c>
      <c r="N881" s="476"/>
      <c r="O881" s="476"/>
      <c r="P881" s="476" t="s">
        <v>808</v>
      </c>
      <c r="Q881" s="476" t="s">
        <v>789</v>
      </c>
      <c r="R881" s="482"/>
      <c r="S881" s="483"/>
      <c r="T881" s="502"/>
      <c r="U881" s="484"/>
      <c r="V881" s="476"/>
      <c r="W881" s="476"/>
      <c r="X881" s="17"/>
      <c r="Z881" s="17"/>
    </row>
    <row r="882" spans="1:26" ht="14.25" customHeight="1">
      <c r="A882" s="476" t="s">
        <v>2826</v>
      </c>
      <c r="B882" s="510" t="s">
        <v>318</v>
      </c>
      <c r="C882" s="511" t="s">
        <v>1144</v>
      </c>
      <c r="D882" s="481" t="s">
        <v>1685</v>
      </c>
      <c r="E882" s="476"/>
      <c r="F882" s="476"/>
      <c r="G882" s="476"/>
      <c r="H882" s="476"/>
      <c r="I882" s="476"/>
      <c r="J882" s="476" t="s">
        <v>807</v>
      </c>
      <c r="K882" s="476" t="s">
        <v>807</v>
      </c>
      <c r="L882" s="476" t="s">
        <v>807</v>
      </c>
      <c r="M882" s="476" t="s">
        <v>804</v>
      </c>
      <c r="N882" s="476"/>
      <c r="O882" s="476"/>
      <c r="P882" s="476" t="s">
        <v>808</v>
      </c>
      <c r="Q882" s="476"/>
      <c r="R882" s="490"/>
      <c r="S882" s="483"/>
      <c r="T882" s="502"/>
      <c r="U882" s="484"/>
      <c r="V882" s="476" t="s">
        <v>353</v>
      </c>
      <c r="W882" s="476"/>
      <c r="X882" s="17"/>
      <c r="Z882" s="17"/>
    </row>
    <row r="883" spans="1:26" ht="14.25" customHeight="1">
      <c r="A883" s="476" t="s">
        <v>2826</v>
      </c>
      <c r="B883" s="510" t="s">
        <v>318</v>
      </c>
      <c r="C883" s="511" t="s">
        <v>354</v>
      </c>
      <c r="D883" s="481" t="s">
        <v>1685</v>
      </c>
      <c r="E883" s="476"/>
      <c r="F883" s="476"/>
      <c r="G883" s="476"/>
      <c r="H883" s="476"/>
      <c r="I883" s="476"/>
      <c r="J883" s="476" t="s">
        <v>807</v>
      </c>
      <c r="K883" s="476" t="s">
        <v>807</v>
      </c>
      <c r="L883" s="476" t="s">
        <v>807</v>
      </c>
      <c r="M883" s="476" t="s">
        <v>307</v>
      </c>
      <c r="N883" s="476"/>
      <c r="O883" s="476"/>
      <c r="P883" s="476" t="s">
        <v>808</v>
      </c>
      <c r="Q883" s="476" t="s">
        <v>789</v>
      </c>
      <c r="R883" s="490"/>
      <c r="S883" s="483"/>
      <c r="T883" s="502"/>
      <c r="U883" s="484"/>
      <c r="V883" s="476" t="s">
        <v>353</v>
      </c>
      <c r="W883" s="476"/>
      <c r="X883" s="17"/>
      <c r="Z883" s="17"/>
    </row>
    <row r="884" spans="1:26" ht="14.25" customHeight="1">
      <c r="A884" s="476" t="s">
        <v>2826</v>
      </c>
      <c r="B884" s="500" t="s">
        <v>318</v>
      </c>
      <c r="C884" s="499" t="s">
        <v>355</v>
      </c>
      <c r="D884" s="429" t="s">
        <v>1685</v>
      </c>
      <c r="E884" s="476"/>
      <c r="F884" s="476"/>
      <c r="G884" s="476"/>
      <c r="H884" s="476"/>
      <c r="I884" s="476"/>
      <c r="J884" s="476" t="s">
        <v>807</v>
      </c>
      <c r="K884" s="476" t="s">
        <v>807</v>
      </c>
      <c r="L884" s="476" t="s">
        <v>807</v>
      </c>
      <c r="M884" s="476" t="s">
        <v>804</v>
      </c>
      <c r="N884" s="476"/>
      <c r="O884" s="476"/>
      <c r="P884" s="476" t="s">
        <v>808</v>
      </c>
      <c r="Q884" s="476" t="s">
        <v>789</v>
      </c>
      <c r="R884" s="482"/>
      <c r="S884" s="483"/>
      <c r="T884" s="502"/>
      <c r="U884" s="484"/>
      <c r="V884" s="476" t="s">
        <v>355</v>
      </c>
      <c r="W884" s="476"/>
      <c r="X884" s="17"/>
      <c r="Z884" s="17"/>
    </row>
    <row r="885" spans="1:26" ht="14.25" customHeight="1">
      <c r="A885" s="476" t="s">
        <v>2826</v>
      </c>
      <c r="B885" s="510" t="s">
        <v>318</v>
      </c>
      <c r="C885" s="511" t="s">
        <v>2121</v>
      </c>
      <c r="D885" s="481"/>
      <c r="E885" s="476">
        <v>197897</v>
      </c>
      <c r="F885" s="476"/>
      <c r="G885" s="476"/>
      <c r="H885" s="476"/>
      <c r="I885" s="476"/>
      <c r="J885" s="476" t="s">
        <v>807</v>
      </c>
      <c r="K885" s="476" t="s">
        <v>807</v>
      </c>
      <c r="L885" s="476" t="s">
        <v>807</v>
      </c>
      <c r="M885" s="476" t="s">
        <v>307</v>
      </c>
      <c r="N885" s="476">
        <v>21.004550930000001</v>
      </c>
      <c r="O885" s="476">
        <v>92.294601439999994</v>
      </c>
      <c r="P885" s="476"/>
      <c r="Q885" s="476"/>
      <c r="R885" s="491"/>
      <c r="S885" s="487"/>
      <c r="T885" s="502">
        <v>43300</v>
      </c>
      <c r="U885" s="484"/>
      <c r="V885" s="476"/>
      <c r="W885" s="476"/>
      <c r="X885" s="17"/>
      <c r="Z885" s="17"/>
    </row>
    <row r="886" spans="1:26" ht="14.25" customHeight="1">
      <c r="A886" s="476" t="s">
        <v>2826</v>
      </c>
      <c r="B886" s="510" t="s">
        <v>318</v>
      </c>
      <c r="C886" s="511" t="s">
        <v>696</v>
      </c>
      <c r="D886" s="481" t="s">
        <v>1685</v>
      </c>
      <c r="E886" s="476">
        <v>197866</v>
      </c>
      <c r="F886" s="476"/>
      <c r="G886" s="476"/>
      <c r="H886" s="476"/>
      <c r="I886" s="476"/>
      <c r="J886" s="476" t="s">
        <v>807</v>
      </c>
      <c r="K886" s="476" t="s">
        <v>807</v>
      </c>
      <c r="L886" s="476" t="s">
        <v>807</v>
      </c>
      <c r="M886" s="476" t="s">
        <v>804</v>
      </c>
      <c r="N886" s="476">
        <v>21.05834961</v>
      </c>
      <c r="O886" s="476">
        <v>92.336326600000007</v>
      </c>
      <c r="P886" s="476" t="s">
        <v>808</v>
      </c>
      <c r="Q886" s="476" t="s">
        <v>789</v>
      </c>
      <c r="R886" s="491"/>
      <c r="S886" s="487"/>
      <c r="T886" s="502">
        <v>42745</v>
      </c>
      <c r="U886" s="484"/>
      <c r="V886" s="476" t="s">
        <v>696</v>
      </c>
      <c r="W886" s="476"/>
      <c r="X886" s="17"/>
      <c r="Z886" s="17"/>
    </row>
    <row r="887" spans="1:26" ht="14.25" customHeight="1">
      <c r="A887" s="476" t="s">
        <v>2826</v>
      </c>
      <c r="B887" s="510" t="s">
        <v>318</v>
      </c>
      <c r="C887" s="511" t="s">
        <v>684</v>
      </c>
      <c r="D887" s="481" t="s">
        <v>1685</v>
      </c>
      <c r="E887" s="476"/>
      <c r="F887" s="476"/>
      <c r="G887" s="476"/>
      <c r="H887" s="476"/>
      <c r="I887" s="476"/>
      <c r="J887" s="476" t="s">
        <v>807</v>
      </c>
      <c r="K887" s="476" t="s">
        <v>807</v>
      </c>
      <c r="L887" s="476" t="s">
        <v>807</v>
      </c>
      <c r="M887" s="476" t="s">
        <v>307</v>
      </c>
      <c r="N887" s="476">
        <v>21.004550930000001</v>
      </c>
      <c r="O887" s="476">
        <v>92.294601439999994</v>
      </c>
      <c r="P887" s="476" t="s">
        <v>808</v>
      </c>
      <c r="Q887" s="476" t="s">
        <v>789</v>
      </c>
      <c r="R887" s="490"/>
      <c r="S887" s="483"/>
      <c r="T887" s="502"/>
      <c r="U887" s="484"/>
      <c r="V887" s="476" t="s">
        <v>684</v>
      </c>
      <c r="W887" s="476"/>
      <c r="X887" s="17"/>
      <c r="Z887" s="17"/>
    </row>
    <row r="888" spans="1:26" ht="14.25" customHeight="1">
      <c r="A888" s="476" t="s">
        <v>2826</v>
      </c>
      <c r="B888" s="500" t="s">
        <v>318</v>
      </c>
      <c r="C888" s="499" t="s">
        <v>2119</v>
      </c>
      <c r="D888" s="429"/>
      <c r="E888" s="476">
        <v>197983</v>
      </c>
      <c r="F888" s="476"/>
      <c r="G888" s="476"/>
      <c r="H888" s="476"/>
      <c r="I888" s="476"/>
      <c r="J888" s="476" t="s">
        <v>807</v>
      </c>
      <c r="K888" s="476" t="s">
        <v>807</v>
      </c>
      <c r="L888" s="476" t="s">
        <v>807</v>
      </c>
      <c r="M888" s="476" t="s">
        <v>692</v>
      </c>
      <c r="N888" s="476">
        <v>20.834699629999999</v>
      </c>
      <c r="O888" s="476">
        <v>92.372390749999994</v>
      </c>
      <c r="P888" s="476"/>
      <c r="Q888" s="476"/>
      <c r="R888" s="482"/>
      <c r="S888" s="483"/>
      <c r="T888" s="502">
        <v>43300</v>
      </c>
      <c r="U888" s="484"/>
      <c r="V888" s="476"/>
      <c r="W888" s="476"/>
      <c r="X888" s="17"/>
      <c r="Z888" s="17"/>
    </row>
    <row r="889" spans="1:26" ht="14.25" customHeight="1">
      <c r="A889" s="476" t="s">
        <v>2826</v>
      </c>
      <c r="B889" s="500" t="s">
        <v>318</v>
      </c>
      <c r="C889" s="499" t="s">
        <v>575</v>
      </c>
      <c r="D889" s="429" t="s">
        <v>1685</v>
      </c>
      <c r="E889" s="476">
        <v>198047</v>
      </c>
      <c r="F889" s="476"/>
      <c r="G889" s="476"/>
      <c r="H889" s="476"/>
      <c r="I889" s="476"/>
      <c r="J889" s="476" t="s">
        <v>807</v>
      </c>
      <c r="K889" s="476" t="s">
        <v>807</v>
      </c>
      <c r="L889" s="476" t="s">
        <v>807</v>
      </c>
      <c r="M889" s="476" t="s">
        <v>804</v>
      </c>
      <c r="N889" s="476">
        <v>20.717479709999999</v>
      </c>
      <c r="O889" s="476">
        <v>92.437492370000001</v>
      </c>
      <c r="P889" s="476" t="s">
        <v>808</v>
      </c>
      <c r="Q889" s="476" t="s">
        <v>789</v>
      </c>
      <c r="R889" s="482"/>
      <c r="S889" s="483"/>
      <c r="T889" s="502"/>
      <c r="U889" s="484"/>
      <c r="V889" s="476" t="s">
        <v>575</v>
      </c>
      <c r="W889" s="476"/>
      <c r="X889" s="17"/>
      <c r="Z889" s="17"/>
    </row>
    <row r="890" spans="1:26" ht="14.25" customHeight="1">
      <c r="A890" s="476" t="s">
        <v>2826</v>
      </c>
      <c r="B890" s="500" t="s">
        <v>318</v>
      </c>
      <c r="C890" s="499" t="s">
        <v>2700</v>
      </c>
      <c r="D890" s="429"/>
      <c r="E890" s="476"/>
      <c r="F890" s="476" t="s">
        <v>2813</v>
      </c>
      <c r="G890" s="476"/>
      <c r="H890" s="476"/>
      <c r="I890" s="476"/>
      <c r="J890" s="476" t="s">
        <v>807</v>
      </c>
      <c r="K890" s="476" t="s">
        <v>807</v>
      </c>
      <c r="L890" s="476" t="s">
        <v>807</v>
      </c>
      <c r="M890" s="476" t="s">
        <v>307</v>
      </c>
      <c r="N890" s="476"/>
      <c r="O890" s="476"/>
      <c r="P890" s="476"/>
      <c r="Q890" s="476"/>
      <c r="R890" s="482"/>
      <c r="S890" s="483"/>
      <c r="T890" s="502"/>
      <c r="U890" s="484"/>
      <c r="V890" s="476"/>
      <c r="W890" s="476"/>
      <c r="X890" s="17"/>
      <c r="Z890" s="17"/>
    </row>
    <row r="891" spans="1:26" ht="14.25" customHeight="1">
      <c r="A891" s="483" t="s">
        <v>2826</v>
      </c>
      <c r="B891" s="510" t="s">
        <v>318</v>
      </c>
      <c r="C891" s="511" t="s">
        <v>3019</v>
      </c>
      <c r="D891" s="481"/>
      <c r="E891" s="476"/>
      <c r="F891" s="476"/>
      <c r="G891" s="476"/>
      <c r="H891" s="476"/>
      <c r="I891" s="476"/>
      <c r="J891" s="476" t="s">
        <v>807</v>
      </c>
      <c r="K891" s="476" t="s">
        <v>807</v>
      </c>
      <c r="L891" s="476" t="s">
        <v>807</v>
      </c>
      <c r="M891" s="476"/>
      <c r="N891" s="476"/>
      <c r="O891" s="476"/>
      <c r="P891" s="476"/>
      <c r="Q891" s="476"/>
      <c r="R891" s="490"/>
      <c r="S891" s="483"/>
      <c r="T891" s="502"/>
      <c r="U891" s="490"/>
      <c r="V891" s="476"/>
      <c r="W891" s="482"/>
      <c r="X891" s="17"/>
      <c r="Z891" s="17"/>
    </row>
    <row r="892" spans="1:26" ht="14.25" customHeight="1">
      <c r="A892" s="476" t="s">
        <v>2826</v>
      </c>
      <c r="B892" s="510" t="s">
        <v>318</v>
      </c>
      <c r="C892" s="511" t="s">
        <v>2106</v>
      </c>
      <c r="D892" s="481"/>
      <c r="E892" s="476">
        <v>220737</v>
      </c>
      <c r="F892" s="476" t="s">
        <v>557</v>
      </c>
      <c r="G892" s="476"/>
      <c r="H892" s="476"/>
      <c r="I892" s="476"/>
      <c r="J892" s="476" t="s">
        <v>807</v>
      </c>
      <c r="K892" s="476" t="s">
        <v>807</v>
      </c>
      <c r="L892" s="476" t="s">
        <v>807</v>
      </c>
      <c r="M892" s="476" t="s">
        <v>307</v>
      </c>
      <c r="N892" s="476">
        <v>20.806211470000001</v>
      </c>
      <c r="O892" s="476">
        <v>92.404357910000002</v>
      </c>
      <c r="P892" s="476"/>
      <c r="Q892" s="476"/>
      <c r="R892" s="490"/>
      <c r="S892" s="483"/>
      <c r="T892" s="502">
        <v>43300</v>
      </c>
      <c r="U892" s="484"/>
      <c r="V892" s="476"/>
      <c r="W892" s="476"/>
      <c r="X892" s="17"/>
      <c r="Z892" s="17"/>
    </row>
    <row r="893" spans="1:26" ht="14.25" customHeight="1">
      <c r="A893" s="476" t="s">
        <v>2826</v>
      </c>
      <c r="B893" s="500" t="s">
        <v>318</v>
      </c>
      <c r="C893" s="499" t="s">
        <v>2089</v>
      </c>
      <c r="D893" s="429"/>
      <c r="E893" s="476">
        <v>197940</v>
      </c>
      <c r="F893" s="476"/>
      <c r="G893" s="476"/>
      <c r="H893" s="476"/>
      <c r="I893" s="476"/>
      <c r="J893" s="476" t="s">
        <v>807</v>
      </c>
      <c r="K893" s="476" t="s">
        <v>807</v>
      </c>
      <c r="L893" s="476" t="s">
        <v>807</v>
      </c>
      <c r="M893" s="476" t="s">
        <v>804</v>
      </c>
      <c r="N893" s="476">
        <v>20.836729049999999</v>
      </c>
      <c r="O893" s="476">
        <v>92.350952149999998</v>
      </c>
      <c r="P893" s="476"/>
      <c r="Q893" s="476"/>
      <c r="R893" s="482"/>
      <c r="S893" s="483"/>
      <c r="T893" s="502">
        <v>43300</v>
      </c>
      <c r="U893" s="484"/>
      <c r="V893" s="476"/>
      <c r="W893" s="476"/>
      <c r="X893" s="17"/>
      <c r="Z893" s="17"/>
    </row>
    <row r="894" spans="1:26" ht="14.25" customHeight="1">
      <c r="A894" s="476" t="s">
        <v>2826</v>
      </c>
      <c r="B894" s="510" t="s">
        <v>318</v>
      </c>
      <c r="C894" s="511" t="s">
        <v>2088</v>
      </c>
      <c r="D894" s="481"/>
      <c r="E894" s="476">
        <v>197940</v>
      </c>
      <c r="F894" s="476"/>
      <c r="G894" s="476"/>
      <c r="H894" s="476"/>
      <c r="I894" s="476"/>
      <c r="J894" s="476" t="s">
        <v>807</v>
      </c>
      <c r="K894" s="476" t="s">
        <v>807</v>
      </c>
      <c r="L894" s="476" t="s">
        <v>807</v>
      </c>
      <c r="M894" s="476" t="s">
        <v>804</v>
      </c>
      <c r="N894" s="476">
        <v>20.836729049999999</v>
      </c>
      <c r="O894" s="476">
        <v>92.350952149999998</v>
      </c>
      <c r="P894" s="476"/>
      <c r="Q894" s="476"/>
      <c r="R894" s="490"/>
      <c r="S894" s="483"/>
      <c r="T894" s="502">
        <v>43300</v>
      </c>
      <c r="U894" s="484"/>
      <c r="V894" s="476"/>
      <c r="W894" s="476"/>
      <c r="X894" s="17"/>
      <c r="Z894" s="17"/>
    </row>
    <row r="895" spans="1:26" ht="14.25" customHeight="1">
      <c r="A895" s="476" t="s">
        <v>2826</v>
      </c>
      <c r="B895" s="510" t="s">
        <v>318</v>
      </c>
      <c r="C895" s="511" t="s">
        <v>2086</v>
      </c>
      <c r="D895" s="481"/>
      <c r="E895" s="480">
        <v>197940</v>
      </c>
      <c r="F895" s="476"/>
      <c r="G895" s="476"/>
      <c r="H895" s="476"/>
      <c r="I895" s="476"/>
      <c r="J895" s="476" t="s">
        <v>807</v>
      </c>
      <c r="K895" s="476" t="s">
        <v>807</v>
      </c>
      <c r="L895" s="476" t="s">
        <v>807</v>
      </c>
      <c r="M895" s="476" t="s">
        <v>804</v>
      </c>
      <c r="N895" s="476">
        <v>20.836729049999999</v>
      </c>
      <c r="O895" s="476">
        <v>92.350952149999998</v>
      </c>
      <c r="P895" s="476"/>
      <c r="Q895" s="476"/>
      <c r="R895" s="490"/>
      <c r="S895" s="483"/>
      <c r="T895" s="502">
        <v>43300</v>
      </c>
      <c r="U895" s="484"/>
      <c r="V895" s="476"/>
      <c r="W895" s="476"/>
      <c r="X895" s="17"/>
      <c r="Z895" s="17"/>
    </row>
    <row r="896" spans="1:26" ht="14.25" customHeight="1">
      <c r="A896" s="476" t="s">
        <v>2826</v>
      </c>
      <c r="B896" s="500" t="s">
        <v>318</v>
      </c>
      <c r="C896" s="499" t="s">
        <v>2155</v>
      </c>
      <c r="D896" s="429"/>
      <c r="E896" s="476">
        <v>197940</v>
      </c>
      <c r="F896" s="476"/>
      <c r="G896" s="476"/>
      <c r="H896" s="476"/>
      <c r="I896" s="476"/>
      <c r="J896" s="476" t="s">
        <v>807</v>
      </c>
      <c r="K896" s="476" t="s">
        <v>807</v>
      </c>
      <c r="L896" s="476" t="s">
        <v>807</v>
      </c>
      <c r="M896" s="476" t="s">
        <v>692</v>
      </c>
      <c r="N896" s="476">
        <v>20.836729049999999</v>
      </c>
      <c r="O896" s="476">
        <v>92.350952149999998</v>
      </c>
      <c r="P896" s="476"/>
      <c r="Q896" s="476"/>
      <c r="R896" s="482"/>
      <c r="S896" s="483"/>
      <c r="T896" s="502">
        <v>43300</v>
      </c>
      <c r="U896" s="484"/>
      <c r="V896" s="476"/>
      <c r="W896" s="476"/>
      <c r="X896" s="17"/>
      <c r="Z896" s="17"/>
    </row>
    <row r="897" spans="1:26" ht="14.25" customHeight="1">
      <c r="A897" s="476" t="s">
        <v>2826</v>
      </c>
      <c r="B897" s="500" t="s">
        <v>318</v>
      </c>
      <c r="C897" s="499" t="s">
        <v>2136</v>
      </c>
      <c r="D897" s="429"/>
      <c r="E897" s="476">
        <v>197933</v>
      </c>
      <c r="F897" s="476"/>
      <c r="G897" s="476"/>
      <c r="H897" s="476"/>
      <c r="I897" s="476"/>
      <c r="J897" s="476" t="s">
        <v>807</v>
      </c>
      <c r="K897" s="476" t="s">
        <v>807</v>
      </c>
      <c r="L897" s="476" t="s">
        <v>807</v>
      </c>
      <c r="M897" s="476" t="s">
        <v>804</v>
      </c>
      <c r="N897" s="476">
        <v>20.85235977</v>
      </c>
      <c r="O897" s="476">
        <v>92.352790830000004</v>
      </c>
      <c r="P897" s="476"/>
      <c r="Q897" s="476"/>
      <c r="R897" s="482"/>
      <c r="S897" s="483"/>
      <c r="T897" s="502">
        <v>43300</v>
      </c>
      <c r="U897" s="484"/>
      <c r="V897" s="476"/>
      <c r="W897" s="476"/>
      <c r="X897" s="17"/>
      <c r="Z897" s="17"/>
    </row>
    <row r="898" spans="1:26" ht="14.25" customHeight="1">
      <c r="A898" s="476" t="s">
        <v>2826</v>
      </c>
      <c r="B898" s="500" t="s">
        <v>318</v>
      </c>
      <c r="C898" s="499" t="s">
        <v>697</v>
      </c>
      <c r="D898" s="429" t="s">
        <v>1685</v>
      </c>
      <c r="E898" s="476" t="s">
        <v>1431</v>
      </c>
      <c r="F898" s="476"/>
      <c r="G898" s="476"/>
      <c r="H898" s="476" t="s">
        <v>43</v>
      </c>
      <c r="I898" s="476"/>
      <c r="J898" s="476" t="s">
        <v>807</v>
      </c>
      <c r="K898" s="476" t="s">
        <v>807</v>
      </c>
      <c r="L898" s="476" t="s">
        <v>1685</v>
      </c>
      <c r="M898" s="476" t="s">
        <v>804</v>
      </c>
      <c r="N898" s="476">
        <v>21.066663999999999</v>
      </c>
      <c r="O898" s="476">
        <v>92.338031000000001</v>
      </c>
      <c r="P898" s="476" t="s">
        <v>770</v>
      </c>
      <c r="Q898" s="476" t="s">
        <v>789</v>
      </c>
      <c r="R898" s="482"/>
      <c r="S898" s="483"/>
      <c r="T898" s="502">
        <v>43248</v>
      </c>
      <c r="U898" s="484" t="s">
        <v>1934</v>
      </c>
      <c r="V898" s="476"/>
      <c r="W898" s="476"/>
      <c r="X898" s="17"/>
      <c r="Z898" s="17"/>
    </row>
    <row r="899" spans="1:26" ht="14.25" customHeight="1">
      <c r="A899" s="476" t="s">
        <v>2826</v>
      </c>
      <c r="B899" s="510" t="s">
        <v>318</v>
      </c>
      <c r="C899" s="511" t="s">
        <v>2059</v>
      </c>
      <c r="D899" s="481"/>
      <c r="E899" s="476">
        <v>197830</v>
      </c>
      <c r="F899" s="476" t="s">
        <v>2055</v>
      </c>
      <c r="G899" s="476"/>
      <c r="H899" s="476"/>
      <c r="I899" s="476"/>
      <c r="J899" s="476" t="s">
        <v>807</v>
      </c>
      <c r="K899" s="476" t="s">
        <v>807</v>
      </c>
      <c r="L899" s="476" t="s">
        <v>807</v>
      </c>
      <c r="M899" s="476" t="s">
        <v>307</v>
      </c>
      <c r="N899" s="476">
        <v>21.218200679999999</v>
      </c>
      <c r="O899" s="476">
        <v>92.323173519999997</v>
      </c>
      <c r="P899" s="476" t="s">
        <v>808</v>
      </c>
      <c r="Q899" s="476"/>
      <c r="R899" s="490"/>
      <c r="S899" s="483"/>
      <c r="T899" s="502">
        <v>43294</v>
      </c>
      <c r="U899" s="484" t="s">
        <v>2053</v>
      </c>
      <c r="V899" s="476"/>
      <c r="W899" s="476"/>
      <c r="X899" s="17"/>
      <c r="Z899" s="17"/>
    </row>
    <row r="900" spans="1:26" ht="14.25" customHeight="1">
      <c r="A900" s="476" t="s">
        <v>2826</v>
      </c>
      <c r="B900" s="510" t="s">
        <v>318</v>
      </c>
      <c r="C900" s="511" t="s">
        <v>2148</v>
      </c>
      <c r="D900" s="481"/>
      <c r="E900" s="476">
        <v>197835</v>
      </c>
      <c r="F900" s="476"/>
      <c r="G900" s="476"/>
      <c r="H900" s="476"/>
      <c r="I900" s="476"/>
      <c r="J900" s="476" t="s">
        <v>807</v>
      </c>
      <c r="K900" s="476" t="s">
        <v>807</v>
      </c>
      <c r="L900" s="476" t="s">
        <v>807</v>
      </c>
      <c r="M900" s="476" t="s">
        <v>307</v>
      </c>
      <c r="N900" s="476">
        <v>21.218610760000001</v>
      </c>
      <c r="O900" s="476">
        <v>92.300231929999995</v>
      </c>
      <c r="P900" s="476"/>
      <c r="Q900" s="476"/>
      <c r="R900" s="490"/>
      <c r="S900" s="483"/>
      <c r="T900" s="502">
        <v>43300</v>
      </c>
      <c r="U900" s="484"/>
      <c r="V900" s="476"/>
      <c r="W900" s="476"/>
      <c r="X900" s="17"/>
      <c r="Z900" s="17"/>
    </row>
    <row r="901" spans="1:26" ht="14.25" customHeight="1">
      <c r="A901" s="483" t="s">
        <v>2826</v>
      </c>
      <c r="B901" s="510" t="s">
        <v>318</v>
      </c>
      <c r="C901" s="511" t="s">
        <v>3020</v>
      </c>
      <c r="D901" s="481"/>
      <c r="E901" s="476">
        <v>198002</v>
      </c>
      <c r="F901" s="476" t="s">
        <v>3024</v>
      </c>
      <c r="G901" s="476"/>
      <c r="H901" s="476"/>
      <c r="I901" s="476"/>
      <c r="J901" s="476" t="s">
        <v>807</v>
      </c>
      <c r="K901" s="476" t="s">
        <v>807</v>
      </c>
      <c r="L901" s="476" t="s">
        <v>807</v>
      </c>
      <c r="M901" s="476" t="s">
        <v>804</v>
      </c>
      <c r="N901" s="476">
        <v>20.7818698883057</v>
      </c>
      <c r="O901" s="476">
        <v>92.393142700195298</v>
      </c>
      <c r="P901" s="476" t="s">
        <v>808</v>
      </c>
      <c r="Q901" s="476" t="s">
        <v>789</v>
      </c>
      <c r="R901" s="490"/>
      <c r="S901" s="483"/>
      <c r="T901" s="502"/>
      <c r="U901" s="490"/>
      <c r="V901" s="480" t="s">
        <v>603</v>
      </c>
      <c r="W901" s="482"/>
      <c r="X901" s="17"/>
      <c r="Z901" s="17"/>
    </row>
    <row r="902" spans="1:26" ht="14.25" customHeight="1">
      <c r="A902" s="476" t="s">
        <v>2826</v>
      </c>
      <c r="B902" s="500" t="s">
        <v>318</v>
      </c>
      <c r="C902" s="499" t="s">
        <v>2112</v>
      </c>
      <c r="D902" s="429"/>
      <c r="E902" s="476" t="s">
        <v>2157</v>
      </c>
      <c r="F902" s="476"/>
      <c r="G902" s="476"/>
      <c r="H902" s="476"/>
      <c r="I902" s="476"/>
      <c r="J902" s="476" t="s">
        <v>807</v>
      </c>
      <c r="K902" s="476" t="s">
        <v>807</v>
      </c>
      <c r="L902" s="476" t="s">
        <v>807</v>
      </c>
      <c r="M902" s="476" t="s">
        <v>307</v>
      </c>
      <c r="N902" s="476"/>
      <c r="O902" s="476"/>
      <c r="P902" s="476"/>
      <c r="Q902" s="476"/>
      <c r="R902" s="482"/>
      <c r="S902" s="483"/>
      <c r="T902" s="502">
        <v>43300</v>
      </c>
      <c r="U902" s="484"/>
      <c r="V902" s="476"/>
      <c r="W902" s="476"/>
      <c r="X902" s="17"/>
      <c r="Z902" s="17"/>
    </row>
    <row r="903" spans="1:26" ht="14.25" customHeight="1">
      <c r="A903" s="476" t="s">
        <v>2826</v>
      </c>
      <c r="B903" s="500" t="s">
        <v>318</v>
      </c>
      <c r="C903" s="499" t="s">
        <v>2111</v>
      </c>
      <c r="D903" s="429"/>
      <c r="E903" s="476" t="s">
        <v>2158</v>
      </c>
      <c r="F903" s="476"/>
      <c r="G903" s="476"/>
      <c r="H903" s="476"/>
      <c r="I903" s="476"/>
      <c r="J903" s="476" t="s">
        <v>807</v>
      </c>
      <c r="K903" s="476" t="s">
        <v>807</v>
      </c>
      <c r="L903" s="476" t="s">
        <v>807</v>
      </c>
      <c r="M903" s="476" t="s">
        <v>307</v>
      </c>
      <c r="N903" s="476"/>
      <c r="O903" s="476"/>
      <c r="P903" s="476"/>
      <c r="Q903" s="476"/>
      <c r="R903" s="482"/>
      <c r="S903" s="483"/>
      <c r="T903" s="502">
        <v>43300</v>
      </c>
      <c r="U903" s="484"/>
      <c r="V903" s="476"/>
      <c r="W903" s="476"/>
      <c r="X903" s="17"/>
      <c r="Z903" s="17"/>
    </row>
    <row r="904" spans="1:26" ht="14.25" customHeight="1">
      <c r="A904" s="476" t="s">
        <v>2826</v>
      </c>
      <c r="B904" s="500" t="s">
        <v>318</v>
      </c>
      <c r="C904" s="499" t="s">
        <v>2110</v>
      </c>
      <c r="D904" s="429"/>
      <c r="E904" s="476" t="s">
        <v>2159</v>
      </c>
      <c r="F904" s="476"/>
      <c r="G904" s="476"/>
      <c r="H904" s="476"/>
      <c r="I904" s="476"/>
      <c r="J904" s="476" t="s">
        <v>807</v>
      </c>
      <c r="K904" s="476" t="s">
        <v>807</v>
      </c>
      <c r="L904" s="476" t="s">
        <v>807</v>
      </c>
      <c r="M904" s="476" t="s">
        <v>307</v>
      </c>
      <c r="N904" s="476"/>
      <c r="O904" s="476"/>
      <c r="P904" s="476"/>
      <c r="Q904" s="476"/>
      <c r="R904" s="482"/>
      <c r="S904" s="483"/>
      <c r="T904" s="502">
        <v>43300</v>
      </c>
      <c r="U904" s="484"/>
      <c r="V904" s="476"/>
      <c r="W904" s="476"/>
      <c r="X904" s="17"/>
      <c r="Z904" s="17"/>
    </row>
    <row r="905" spans="1:26" ht="14.25" customHeight="1">
      <c r="A905" s="476" t="s">
        <v>2826</v>
      </c>
      <c r="B905" s="500" t="s">
        <v>318</v>
      </c>
      <c r="C905" s="499" t="s">
        <v>2109</v>
      </c>
      <c r="D905" s="429"/>
      <c r="E905" s="476" t="s">
        <v>2160</v>
      </c>
      <c r="F905" s="476"/>
      <c r="G905" s="476"/>
      <c r="H905" s="476"/>
      <c r="I905" s="476"/>
      <c r="J905" s="476" t="s">
        <v>807</v>
      </c>
      <c r="K905" s="476" t="s">
        <v>807</v>
      </c>
      <c r="L905" s="476" t="s">
        <v>807</v>
      </c>
      <c r="M905" s="476" t="s">
        <v>307</v>
      </c>
      <c r="N905" s="476"/>
      <c r="O905" s="476"/>
      <c r="P905" s="476"/>
      <c r="Q905" s="476"/>
      <c r="R905" s="482"/>
      <c r="S905" s="483"/>
      <c r="T905" s="502">
        <v>43300</v>
      </c>
      <c r="U905" s="484"/>
      <c r="V905" s="476"/>
      <c r="W905" s="476"/>
      <c r="X905" s="17"/>
      <c r="Z905" s="17"/>
    </row>
    <row r="906" spans="1:26" ht="14.25" customHeight="1">
      <c r="A906" s="476" t="s">
        <v>2826</v>
      </c>
      <c r="B906" s="500" t="s">
        <v>318</v>
      </c>
      <c r="C906" s="499" t="s">
        <v>1942</v>
      </c>
      <c r="D906" s="429"/>
      <c r="E906" s="476">
        <v>198016</v>
      </c>
      <c r="F906" s="476"/>
      <c r="G906" s="476"/>
      <c r="H906" s="476"/>
      <c r="I906" s="476"/>
      <c r="J906" s="476" t="s">
        <v>807</v>
      </c>
      <c r="K906" s="476" t="s">
        <v>807</v>
      </c>
      <c r="L906" s="476" t="s">
        <v>807</v>
      </c>
      <c r="M906" s="476" t="s">
        <v>307</v>
      </c>
      <c r="N906" s="476">
        <v>20.731571200000001</v>
      </c>
      <c r="O906" s="476">
        <v>92.428176879999995</v>
      </c>
      <c r="P906" s="476" t="s">
        <v>808</v>
      </c>
      <c r="Q906" s="476" t="s">
        <v>1941</v>
      </c>
      <c r="R906" s="482"/>
      <c r="S906" s="483"/>
      <c r="T906" s="502">
        <v>43245</v>
      </c>
      <c r="U906" s="484"/>
      <c r="V906" s="476"/>
      <c r="W906" s="476"/>
      <c r="X906" s="17"/>
      <c r="Z906" s="17"/>
    </row>
    <row r="907" spans="1:26" ht="14.25" customHeight="1">
      <c r="A907" s="483" t="s">
        <v>2826</v>
      </c>
      <c r="B907" s="510" t="s">
        <v>318</v>
      </c>
      <c r="C907" s="511" t="s">
        <v>2883</v>
      </c>
      <c r="D907" s="481"/>
      <c r="E907" s="476">
        <v>198085</v>
      </c>
      <c r="F907" s="476" t="s">
        <v>2869</v>
      </c>
      <c r="G907" s="476"/>
      <c r="H907" s="476"/>
      <c r="I907" s="476"/>
      <c r="J907" s="476" t="s">
        <v>2836</v>
      </c>
      <c r="K907" s="476" t="s">
        <v>2798</v>
      </c>
      <c r="L907" s="476" t="s">
        <v>2798</v>
      </c>
      <c r="M907" s="476"/>
      <c r="N907" s="476">
        <v>20.4804992675781</v>
      </c>
      <c r="O907" s="506">
        <v>92.611358642578097</v>
      </c>
      <c r="P907" s="476"/>
      <c r="Q907" s="476" t="s">
        <v>2803</v>
      </c>
      <c r="R907" s="490"/>
      <c r="S907" s="483"/>
      <c r="T907" s="502">
        <v>43580</v>
      </c>
      <c r="U907" s="525" t="s">
        <v>2870</v>
      </c>
      <c r="V907" s="484"/>
      <c r="W907" s="482"/>
      <c r="X907" s="17"/>
      <c r="Z907" s="17"/>
    </row>
    <row r="908" spans="1:26" ht="14.25" customHeight="1">
      <c r="A908" s="476" t="s">
        <v>2826</v>
      </c>
      <c r="B908" s="500" t="s">
        <v>318</v>
      </c>
      <c r="C908" s="499" t="s">
        <v>1776</v>
      </c>
      <c r="D908" s="429"/>
      <c r="E908" s="476">
        <v>197917</v>
      </c>
      <c r="F908" s="476"/>
      <c r="G908" s="476"/>
      <c r="H908" s="476"/>
      <c r="I908" s="476"/>
      <c r="J908" s="476" t="s">
        <v>807</v>
      </c>
      <c r="K908" s="476" t="s">
        <v>807</v>
      </c>
      <c r="L908" s="476" t="s">
        <v>807</v>
      </c>
      <c r="M908" s="476" t="s">
        <v>307</v>
      </c>
      <c r="N908" s="476">
        <v>20.943050379999999</v>
      </c>
      <c r="O908" s="476">
        <v>92.315856929999995</v>
      </c>
      <c r="P908" s="476"/>
      <c r="Q908" s="476"/>
      <c r="R908" s="482"/>
      <c r="S908" s="483"/>
      <c r="T908" s="502">
        <v>43300</v>
      </c>
      <c r="U908" s="484"/>
      <c r="V908" s="476"/>
      <c r="W908" s="476"/>
      <c r="X908" s="17"/>
      <c r="Z908" s="17"/>
    </row>
    <row r="909" spans="1:26" ht="14.25" customHeight="1">
      <c r="A909" s="476" t="s">
        <v>2826</v>
      </c>
      <c r="B909" s="510" t="s">
        <v>318</v>
      </c>
      <c r="C909" s="511" t="s">
        <v>2887</v>
      </c>
      <c r="D909" s="481"/>
      <c r="E909" s="476">
        <v>220747</v>
      </c>
      <c r="F909" s="476"/>
      <c r="G909" s="476"/>
      <c r="H909" s="476"/>
      <c r="I909" s="476"/>
      <c r="J909" s="476" t="s">
        <v>807</v>
      </c>
      <c r="K909" s="476" t="s">
        <v>807</v>
      </c>
      <c r="L909" s="476" t="s">
        <v>807</v>
      </c>
      <c r="M909" s="476" t="s">
        <v>2132</v>
      </c>
      <c r="N909" s="476">
        <v>21.153581620000001</v>
      </c>
      <c r="O909" s="476">
        <v>92.250885010000005</v>
      </c>
      <c r="P909" s="476" t="s">
        <v>808</v>
      </c>
      <c r="Q909" s="476"/>
      <c r="R909" s="490"/>
      <c r="S909" s="483"/>
      <c r="T909" s="502">
        <v>43300</v>
      </c>
      <c r="U909" s="484"/>
      <c r="V909" s="476"/>
      <c r="W909" s="476"/>
      <c r="X909" s="17"/>
      <c r="Z909" s="17"/>
    </row>
    <row r="910" spans="1:26" ht="14.25" customHeight="1">
      <c r="A910" s="476" t="s">
        <v>2826</v>
      </c>
      <c r="B910" s="500" t="s">
        <v>318</v>
      </c>
      <c r="C910" s="499" t="s">
        <v>2886</v>
      </c>
      <c r="D910" s="429"/>
      <c r="E910" s="480">
        <v>220747</v>
      </c>
      <c r="F910" s="476" t="s">
        <v>2056</v>
      </c>
      <c r="G910" s="476"/>
      <c r="H910" s="476"/>
      <c r="I910" s="476"/>
      <c r="J910" s="476" t="s">
        <v>807</v>
      </c>
      <c r="K910" s="476" t="s">
        <v>807</v>
      </c>
      <c r="L910" s="476" t="s">
        <v>807</v>
      </c>
      <c r="M910" s="476" t="s">
        <v>307</v>
      </c>
      <c r="N910" s="476">
        <v>21.153581620000001</v>
      </c>
      <c r="O910" s="476">
        <v>92.250885010000005</v>
      </c>
      <c r="P910" s="476" t="s">
        <v>808</v>
      </c>
      <c r="Q910" s="476"/>
      <c r="R910" s="482"/>
      <c r="S910" s="483"/>
      <c r="T910" s="502">
        <v>43294</v>
      </c>
      <c r="U910" s="484" t="s">
        <v>2053</v>
      </c>
      <c r="V910" s="476"/>
      <c r="W910" s="476"/>
      <c r="X910" s="17"/>
      <c r="Z910" s="17"/>
    </row>
    <row r="911" spans="1:26" ht="14.25" customHeight="1">
      <c r="A911" s="476" t="s">
        <v>2826</v>
      </c>
      <c r="B911" s="510" t="s">
        <v>318</v>
      </c>
      <c r="C911" s="499" t="s">
        <v>2099</v>
      </c>
      <c r="D911" s="430"/>
      <c r="E911" s="480">
        <v>197957</v>
      </c>
      <c r="F911" s="480"/>
      <c r="G911" s="480"/>
      <c r="H911" s="480"/>
      <c r="I911" s="480"/>
      <c r="J911" s="480" t="s">
        <v>807</v>
      </c>
      <c r="K911" s="480" t="s">
        <v>807</v>
      </c>
      <c r="L911" s="480" t="s">
        <v>807</v>
      </c>
      <c r="M911" s="480" t="s">
        <v>804</v>
      </c>
      <c r="N911" s="480">
        <v>20.900329589999998</v>
      </c>
      <c r="O911" s="480">
        <v>92.362213130000001</v>
      </c>
      <c r="P911" s="476"/>
      <c r="Q911" s="480"/>
      <c r="R911" s="491"/>
      <c r="S911" s="487"/>
      <c r="T911" s="503">
        <v>43300</v>
      </c>
      <c r="U911" s="488"/>
      <c r="V911" s="480"/>
      <c r="W911" s="476"/>
      <c r="X911" s="17"/>
      <c r="Z911" s="17"/>
    </row>
    <row r="912" spans="1:26" ht="14.25" customHeight="1">
      <c r="A912" s="476" t="s">
        <v>2826</v>
      </c>
      <c r="B912" s="500" t="s">
        <v>318</v>
      </c>
      <c r="C912" s="499" t="s">
        <v>700</v>
      </c>
      <c r="D912" s="429" t="s">
        <v>1685</v>
      </c>
      <c r="E912" s="476">
        <v>220722</v>
      </c>
      <c r="F912" s="476"/>
      <c r="G912" s="476"/>
      <c r="H912" s="476"/>
      <c r="I912" s="476"/>
      <c r="J912" s="476" t="s">
        <v>807</v>
      </c>
      <c r="K912" s="476" t="s">
        <v>807</v>
      </c>
      <c r="L912" s="476" t="s">
        <v>807</v>
      </c>
      <c r="M912" s="476" t="s">
        <v>804</v>
      </c>
      <c r="N912" s="476">
        <v>21.200752260000002</v>
      </c>
      <c r="O912" s="476">
        <v>92.309303279999995</v>
      </c>
      <c r="P912" s="476" t="s">
        <v>808</v>
      </c>
      <c r="Q912" s="476" t="s">
        <v>789</v>
      </c>
      <c r="R912" s="482"/>
      <c r="S912" s="483"/>
      <c r="T912" s="502"/>
      <c r="U912" s="484"/>
      <c r="V912" s="476" t="s">
        <v>968</v>
      </c>
      <c r="W912" s="476"/>
      <c r="X912" s="17"/>
      <c r="Z912" s="17"/>
    </row>
    <row r="913" spans="1:26" ht="14.25" customHeight="1">
      <c r="A913" s="476" t="s">
        <v>2826</v>
      </c>
      <c r="B913" s="510" t="s">
        <v>318</v>
      </c>
      <c r="C913" s="511" t="s">
        <v>635</v>
      </c>
      <c r="D913" s="481" t="s">
        <v>1685</v>
      </c>
      <c r="E913" s="476" t="s">
        <v>1421</v>
      </c>
      <c r="F913" s="476"/>
      <c r="G913" s="476"/>
      <c r="H913" s="476" t="s">
        <v>43</v>
      </c>
      <c r="I913" s="476"/>
      <c r="J913" s="476" t="s">
        <v>807</v>
      </c>
      <c r="K913" s="476" t="s">
        <v>807</v>
      </c>
      <c r="L913" s="476" t="s">
        <v>1685</v>
      </c>
      <c r="M913" s="476" t="s">
        <v>804</v>
      </c>
      <c r="N913" s="476">
        <v>20.824517</v>
      </c>
      <c r="O913" s="476">
        <v>92.401293999999993</v>
      </c>
      <c r="P913" s="476" t="s">
        <v>770</v>
      </c>
      <c r="Q913" s="476"/>
      <c r="R913" s="490"/>
      <c r="S913" s="483"/>
      <c r="T913" s="502">
        <v>43248</v>
      </c>
      <c r="U913" s="484" t="s">
        <v>1934</v>
      </c>
      <c r="V913" s="476" t="s">
        <v>950</v>
      </c>
      <c r="W913" s="476"/>
      <c r="X913" s="17"/>
      <c r="Z913" s="17"/>
    </row>
    <row r="914" spans="1:26" ht="14.25" customHeight="1">
      <c r="A914" s="476" t="s">
        <v>2826</v>
      </c>
      <c r="B914" s="510" t="s">
        <v>318</v>
      </c>
      <c r="C914" s="511" t="s">
        <v>2101</v>
      </c>
      <c r="D914" s="481"/>
      <c r="E914" s="476">
        <v>197951</v>
      </c>
      <c r="F914" s="476"/>
      <c r="G914" s="476"/>
      <c r="H914" s="476"/>
      <c r="I914" s="476"/>
      <c r="J914" s="476" t="s">
        <v>807</v>
      </c>
      <c r="K914" s="476" t="s">
        <v>807</v>
      </c>
      <c r="L914" s="476" t="s">
        <v>807</v>
      </c>
      <c r="M914" s="476" t="s">
        <v>804</v>
      </c>
      <c r="N914" s="476">
        <v>20.905330660000001</v>
      </c>
      <c r="O914" s="476">
        <v>92.344802860000001</v>
      </c>
      <c r="P914" s="476"/>
      <c r="Q914" s="476"/>
      <c r="R914" s="490"/>
      <c r="S914" s="483"/>
      <c r="T914" s="502">
        <v>43300</v>
      </c>
      <c r="U914" s="484"/>
      <c r="V914" s="476"/>
      <c r="W914" s="476"/>
      <c r="X914" s="17"/>
      <c r="Z914" s="17"/>
    </row>
    <row r="915" spans="1:26" ht="14.25" customHeight="1">
      <c r="A915" s="476" t="s">
        <v>2826</v>
      </c>
      <c r="B915" s="510" t="s">
        <v>318</v>
      </c>
      <c r="C915" s="511" t="s">
        <v>2102</v>
      </c>
      <c r="D915" s="481"/>
      <c r="E915" s="476">
        <v>197952</v>
      </c>
      <c r="F915" s="476"/>
      <c r="G915" s="476"/>
      <c r="H915" s="476"/>
      <c r="I915" s="476"/>
      <c r="J915" s="476" t="s">
        <v>807</v>
      </c>
      <c r="K915" s="476" t="s">
        <v>807</v>
      </c>
      <c r="L915" s="476" t="s">
        <v>807</v>
      </c>
      <c r="M915" s="476" t="s">
        <v>804</v>
      </c>
      <c r="N915" s="476">
        <v>20.90098953</v>
      </c>
      <c r="O915" s="476">
        <v>92.355827329999997</v>
      </c>
      <c r="P915" s="476"/>
      <c r="Q915" s="476"/>
      <c r="R915" s="490"/>
      <c r="S915" s="483"/>
      <c r="T915" s="502">
        <v>43300</v>
      </c>
      <c r="U915" s="484"/>
      <c r="V915" s="476"/>
      <c r="W915" s="476"/>
      <c r="X915" s="17"/>
      <c r="Z915" s="17"/>
    </row>
    <row r="916" spans="1:26" ht="14.25" customHeight="1">
      <c r="A916" s="476" t="s">
        <v>2826</v>
      </c>
      <c r="B916" s="500" t="s">
        <v>318</v>
      </c>
      <c r="C916" s="499" t="s">
        <v>699</v>
      </c>
      <c r="D916" s="429" t="s">
        <v>1685</v>
      </c>
      <c r="E916" s="476">
        <v>197839</v>
      </c>
      <c r="F916" s="476"/>
      <c r="G916" s="476"/>
      <c r="H916" s="476"/>
      <c r="I916" s="476"/>
      <c r="J916" s="476" t="s">
        <v>807</v>
      </c>
      <c r="K916" s="476" t="s">
        <v>807</v>
      </c>
      <c r="L916" s="476" t="s">
        <v>807</v>
      </c>
      <c r="M916" s="476" t="s">
        <v>804</v>
      </c>
      <c r="N916" s="476">
        <v>21.18890953</v>
      </c>
      <c r="O916" s="476">
        <v>92.306762699999993</v>
      </c>
      <c r="P916" s="476" t="s">
        <v>808</v>
      </c>
      <c r="Q916" s="476" t="s">
        <v>789</v>
      </c>
      <c r="R916" s="482"/>
      <c r="S916" s="483"/>
      <c r="T916" s="502"/>
      <c r="U916" s="484"/>
      <c r="V916" s="476" t="s">
        <v>967</v>
      </c>
      <c r="W916" s="476"/>
      <c r="X916" s="17"/>
      <c r="Z916" s="17"/>
    </row>
    <row r="917" spans="1:26" ht="14.25" customHeight="1">
      <c r="A917" s="476" t="s">
        <v>2826</v>
      </c>
      <c r="B917" s="500" t="s">
        <v>318</v>
      </c>
      <c r="C917" s="499" t="s">
        <v>2117</v>
      </c>
      <c r="D917" s="429"/>
      <c r="E917" s="476"/>
      <c r="F917" s="476"/>
      <c r="G917" s="476"/>
      <c r="H917" s="476"/>
      <c r="I917" s="476"/>
      <c r="J917" s="476" t="s">
        <v>807</v>
      </c>
      <c r="K917" s="476" t="s">
        <v>807</v>
      </c>
      <c r="L917" s="476" t="s">
        <v>807</v>
      </c>
      <c r="M917" s="476" t="s">
        <v>2130</v>
      </c>
      <c r="N917" s="476"/>
      <c r="O917" s="476"/>
      <c r="P917" s="476"/>
      <c r="Q917" s="476"/>
      <c r="R917" s="482"/>
      <c r="S917" s="483"/>
      <c r="T917" s="502">
        <v>43300</v>
      </c>
      <c r="U917" s="484"/>
      <c r="V917" s="476"/>
      <c r="W917" s="476"/>
      <c r="X917" s="17"/>
      <c r="Z917" s="17"/>
    </row>
    <row r="918" spans="1:26" ht="14.25" customHeight="1">
      <c r="A918" s="476" t="s">
        <v>2826</v>
      </c>
      <c r="B918" s="500" t="s">
        <v>318</v>
      </c>
      <c r="C918" s="499" t="s">
        <v>2900</v>
      </c>
      <c r="D918" s="429"/>
      <c r="E918" s="476">
        <v>198101</v>
      </c>
      <c r="F918" s="476"/>
      <c r="G918" s="476"/>
      <c r="H918" s="476"/>
      <c r="I918" s="476"/>
      <c r="J918" s="476" t="s">
        <v>807</v>
      </c>
      <c r="K918" s="476" t="s">
        <v>807</v>
      </c>
      <c r="L918" s="476" t="s">
        <v>807</v>
      </c>
      <c r="M918" s="476" t="s">
        <v>2132</v>
      </c>
      <c r="N918" s="476">
        <v>21.177719119999999</v>
      </c>
      <c r="O918" s="476">
        <v>92.239547729999998</v>
      </c>
      <c r="P918" s="476"/>
      <c r="Q918" s="476"/>
      <c r="R918" s="486"/>
      <c r="S918" s="487"/>
      <c r="T918" s="502">
        <v>43300</v>
      </c>
      <c r="U918" s="484"/>
      <c r="V918" s="476"/>
      <c r="W918" s="476"/>
      <c r="X918" s="17"/>
      <c r="Z918" s="17"/>
    </row>
    <row r="919" spans="1:26" ht="14.25" customHeight="1">
      <c r="A919" s="476" t="s">
        <v>2826</v>
      </c>
      <c r="B919" s="500" t="s">
        <v>318</v>
      </c>
      <c r="C919" s="499" t="s">
        <v>2054</v>
      </c>
      <c r="D919" s="429"/>
      <c r="E919" s="476">
        <v>198101</v>
      </c>
      <c r="F919" s="476" t="s">
        <v>2056</v>
      </c>
      <c r="G919" s="476"/>
      <c r="H919" s="476"/>
      <c r="I919" s="476"/>
      <c r="J919" s="476" t="s">
        <v>807</v>
      </c>
      <c r="K919" s="476" t="s">
        <v>807</v>
      </c>
      <c r="L919" s="476" t="s">
        <v>807</v>
      </c>
      <c r="M919" s="476" t="s">
        <v>307</v>
      </c>
      <c r="N919" s="476">
        <v>21.177719119999999</v>
      </c>
      <c r="O919" s="476">
        <v>92.239547729999998</v>
      </c>
      <c r="P919" s="476" t="s">
        <v>808</v>
      </c>
      <c r="Q919" s="476"/>
      <c r="R919" s="482"/>
      <c r="S919" s="483"/>
      <c r="T919" s="502">
        <v>43294</v>
      </c>
      <c r="U919" s="484" t="s">
        <v>2053</v>
      </c>
      <c r="V919" s="476"/>
      <c r="W919" s="476"/>
      <c r="X919" s="17"/>
      <c r="Z919" s="17"/>
    </row>
    <row r="920" spans="1:26" ht="14.25" customHeight="1">
      <c r="A920" s="476" t="s">
        <v>2826</v>
      </c>
      <c r="B920" s="500" t="s">
        <v>318</v>
      </c>
      <c r="C920" s="499" t="s">
        <v>358</v>
      </c>
      <c r="D920" s="429" t="s">
        <v>1685</v>
      </c>
      <c r="E920" s="476"/>
      <c r="F920" s="476"/>
      <c r="G920" s="476"/>
      <c r="H920" s="476"/>
      <c r="I920" s="476"/>
      <c r="J920" s="476" t="s">
        <v>807</v>
      </c>
      <c r="K920" s="476" t="s">
        <v>807</v>
      </c>
      <c r="L920" s="476" t="s">
        <v>807</v>
      </c>
      <c r="M920" s="476" t="s">
        <v>307</v>
      </c>
      <c r="N920" s="476"/>
      <c r="O920" s="476"/>
      <c r="P920" s="476" t="s">
        <v>808</v>
      </c>
      <c r="Q920" s="476" t="s">
        <v>789</v>
      </c>
      <c r="R920" s="482"/>
      <c r="S920" s="483"/>
      <c r="T920" s="502"/>
      <c r="U920" s="484"/>
      <c r="V920" s="476" t="s">
        <v>358</v>
      </c>
      <c r="W920" s="476"/>
      <c r="X920" s="17"/>
      <c r="Z920" s="17"/>
    </row>
    <row r="921" spans="1:26" ht="14.25" customHeight="1">
      <c r="A921" s="476" t="s">
        <v>2826</v>
      </c>
      <c r="B921" s="500" t="s">
        <v>318</v>
      </c>
      <c r="C921" s="499" t="s">
        <v>359</v>
      </c>
      <c r="D921" s="429" t="s">
        <v>1685</v>
      </c>
      <c r="E921" s="476"/>
      <c r="F921" s="476"/>
      <c r="G921" s="476"/>
      <c r="H921" s="476"/>
      <c r="I921" s="476"/>
      <c r="J921" s="476" t="s">
        <v>807</v>
      </c>
      <c r="K921" s="476" t="s">
        <v>807</v>
      </c>
      <c r="L921" s="476" t="s">
        <v>807</v>
      </c>
      <c r="M921" s="476" t="s">
        <v>804</v>
      </c>
      <c r="N921" s="476"/>
      <c r="O921" s="476"/>
      <c r="P921" s="476" t="s">
        <v>808</v>
      </c>
      <c r="Q921" s="476" t="s">
        <v>789</v>
      </c>
      <c r="R921" s="482"/>
      <c r="S921" s="483"/>
      <c r="T921" s="502"/>
      <c r="U921" s="484"/>
      <c r="V921" s="476" t="s">
        <v>359</v>
      </c>
      <c r="W921" s="476"/>
      <c r="X921" s="17"/>
      <c r="Z921" s="17"/>
    </row>
    <row r="922" spans="1:26" ht="14.25" customHeight="1">
      <c r="A922" s="476" t="s">
        <v>2826</v>
      </c>
      <c r="B922" s="500" t="s">
        <v>318</v>
      </c>
      <c r="C922" s="499" t="s">
        <v>360</v>
      </c>
      <c r="D922" s="429" t="s">
        <v>1685</v>
      </c>
      <c r="E922" s="476"/>
      <c r="F922" s="476"/>
      <c r="G922" s="476"/>
      <c r="H922" s="476"/>
      <c r="I922" s="476"/>
      <c r="J922" s="476" t="s">
        <v>807</v>
      </c>
      <c r="K922" s="476" t="s">
        <v>807</v>
      </c>
      <c r="L922" s="476" t="s">
        <v>807</v>
      </c>
      <c r="M922" s="476" t="s">
        <v>804</v>
      </c>
      <c r="N922" s="476"/>
      <c r="O922" s="476"/>
      <c r="P922" s="476" t="s">
        <v>808</v>
      </c>
      <c r="Q922" s="476" t="s">
        <v>789</v>
      </c>
      <c r="R922" s="482"/>
      <c r="S922" s="483"/>
      <c r="T922" s="502"/>
      <c r="U922" s="484"/>
      <c r="V922" s="476" t="s">
        <v>360</v>
      </c>
      <c r="W922" s="476"/>
      <c r="X922" s="17"/>
      <c r="Z922" s="17"/>
    </row>
    <row r="923" spans="1:26" ht="14.25" customHeight="1">
      <c r="A923" s="476" t="s">
        <v>2826</v>
      </c>
      <c r="B923" s="500" t="s">
        <v>318</v>
      </c>
      <c r="C923" s="499" t="s">
        <v>2151</v>
      </c>
      <c r="D923" s="429"/>
      <c r="E923" s="476">
        <v>197825</v>
      </c>
      <c r="F923" s="476"/>
      <c r="G923" s="476"/>
      <c r="H923" s="476"/>
      <c r="I923" s="476"/>
      <c r="J923" s="476" t="s">
        <v>807</v>
      </c>
      <c r="K923" s="476" t="s">
        <v>807</v>
      </c>
      <c r="L923" s="476" t="s">
        <v>807</v>
      </c>
      <c r="M923" s="476" t="s">
        <v>2135</v>
      </c>
      <c r="N923" s="476">
        <v>21.239080430000001</v>
      </c>
      <c r="O923" s="476">
        <v>92.288932799999998</v>
      </c>
      <c r="P923" s="476"/>
      <c r="Q923" s="476"/>
      <c r="R923" s="482"/>
      <c r="S923" s="483"/>
      <c r="T923" s="502">
        <v>43300</v>
      </c>
      <c r="U923" s="484"/>
      <c r="V923" s="476"/>
      <c r="W923" s="476"/>
      <c r="X923" s="17"/>
      <c r="Z923" s="17"/>
    </row>
    <row r="924" spans="1:26" ht="14.25" customHeight="1">
      <c r="A924" s="476" t="s">
        <v>2826</v>
      </c>
      <c r="B924" s="500" t="s">
        <v>318</v>
      </c>
      <c r="C924" s="499" t="s">
        <v>361</v>
      </c>
      <c r="D924" s="429" t="s">
        <v>1685</v>
      </c>
      <c r="E924" s="476">
        <v>197826</v>
      </c>
      <c r="F924" s="476"/>
      <c r="G924" s="476"/>
      <c r="H924" s="476"/>
      <c r="I924" s="476"/>
      <c r="J924" s="476" t="s">
        <v>807</v>
      </c>
      <c r="K924" s="476" t="s">
        <v>807</v>
      </c>
      <c r="L924" s="476" t="s">
        <v>807</v>
      </c>
      <c r="M924" s="476" t="s">
        <v>2048</v>
      </c>
      <c r="N924" s="494"/>
      <c r="O924" s="494"/>
      <c r="P924" s="476" t="s">
        <v>808</v>
      </c>
      <c r="Q924" s="476" t="s">
        <v>789</v>
      </c>
      <c r="R924" s="482"/>
      <c r="S924" s="483"/>
      <c r="T924" s="502"/>
      <c r="U924" s="484"/>
      <c r="V924" s="476" t="s">
        <v>1156</v>
      </c>
      <c r="W924" s="476"/>
      <c r="X924" s="17"/>
      <c r="Z924" s="17"/>
    </row>
    <row r="925" spans="1:26" ht="14.25" customHeight="1">
      <c r="A925" s="476" t="s">
        <v>2826</v>
      </c>
      <c r="B925" s="500" t="s">
        <v>318</v>
      </c>
      <c r="C925" s="499" t="s">
        <v>2127</v>
      </c>
      <c r="D925" s="429"/>
      <c r="E925" s="476">
        <v>197930</v>
      </c>
      <c r="F925" s="476"/>
      <c r="G925" s="476"/>
      <c r="H925" s="476"/>
      <c r="I925" s="476"/>
      <c r="J925" s="476" t="s">
        <v>807</v>
      </c>
      <c r="K925" s="476" t="s">
        <v>807</v>
      </c>
      <c r="L925" s="476" t="s">
        <v>807</v>
      </c>
      <c r="M925" s="476" t="s">
        <v>804</v>
      </c>
      <c r="N925" s="476">
        <v>20.9400692</v>
      </c>
      <c r="O925" s="476">
        <v>92.337913510000007</v>
      </c>
      <c r="P925" s="476"/>
      <c r="Q925" s="476"/>
      <c r="R925" s="482"/>
      <c r="S925" s="483"/>
      <c r="T925" s="502">
        <v>43300</v>
      </c>
      <c r="U925" s="484"/>
      <c r="V925" s="476"/>
      <c r="W925" s="476"/>
      <c r="X925" s="17"/>
      <c r="Z925" s="17"/>
    </row>
    <row r="926" spans="1:26" ht="14.25" customHeight="1">
      <c r="A926" s="476" t="s">
        <v>2826</v>
      </c>
      <c r="B926" s="500" t="s">
        <v>318</v>
      </c>
      <c r="C926" s="499" t="s">
        <v>2145</v>
      </c>
      <c r="D926" s="429"/>
      <c r="E926" s="476">
        <v>220741</v>
      </c>
      <c r="F926" s="476"/>
      <c r="G926" s="476"/>
      <c r="H926" s="476"/>
      <c r="I926" s="476"/>
      <c r="J926" s="476" t="s">
        <v>807</v>
      </c>
      <c r="K926" s="476" t="s">
        <v>807</v>
      </c>
      <c r="L926" s="476" t="s">
        <v>807</v>
      </c>
      <c r="M926" s="476" t="s">
        <v>307</v>
      </c>
      <c r="N926" s="476">
        <v>20.680984500000001</v>
      </c>
      <c r="O926" s="476">
        <v>92.473495479999997</v>
      </c>
      <c r="P926" s="476"/>
      <c r="Q926" s="476"/>
      <c r="R926" s="482"/>
      <c r="S926" s="483"/>
      <c r="T926" s="502">
        <v>43300</v>
      </c>
      <c r="U926" s="484"/>
      <c r="V926" s="476"/>
      <c r="W926" s="476"/>
      <c r="X926" s="17"/>
      <c r="Z926" s="17"/>
    </row>
    <row r="927" spans="1:26" ht="14.25" customHeight="1">
      <c r="A927" s="476" t="s">
        <v>2826</v>
      </c>
      <c r="B927" s="500" t="s">
        <v>318</v>
      </c>
      <c r="C927" s="499" t="s">
        <v>364</v>
      </c>
      <c r="D927" s="429" t="s">
        <v>1685</v>
      </c>
      <c r="E927" s="476"/>
      <c r="F927" s="476"/>
      <c r="G927" s="476"/>
      <c r="H927" s="476"/>
      <c r="I927" s="476"/>
      <c r="J927" s="476" t="s">
        <v>807</v>
      </c>
      <c r="K927" s="476" t="s">
        <v>807</v>
      </c>
      <c r="L927" s="476" t="s">
        <v>807</v>
      </c>
      <c r="M927" s="476" t="s">
        <v>307</v>
      </c>
      <c r="N927" s="476"/>
      <c r="O927" s="476"/>
      <c r="P927" s="476" t="s">
        <v>808</v>
      </c>
      <c r="Q927" s="476" t="s">
        <v>789</v>
      </c>
      <c r="R927" s="482"/>
      <c r="S927" s="483"/>
      <c r="T927" s="502"/>
      <c r="U927" s="484"/>
      <c r="V927" s="476" t="s">
        <v>364</v>
      </c>
      <c r="W927" s="476"/>
      <c r="X927" s="17"/>
      <c r="Z927" s="17"/>
    </row>
    <row r="928" spans="1:26" ht="14.25" customHeight="1">
      <c r="A928" s="476" t="s">
        <v>2826</v>
      </c>
      <c r="B928" s="500" t="s">
        <v>318</v>
      </c>
      <c r="C928" s="499" t="s">
        <v>2701</v>
      </c>
      <c r="D928" s="429"/>
      <c r="E928" s="476">
        <v>220736</v>
      </c>
      <c r="F928" s="476" t="s">
        <v>2814</v>
      </c>
      <c r="G928" s="476"/>
      <c r="H928" s="476"/>
      <c r="I928" s="476"/>
      <c r="J928" s="476" t="s">
        <v>807</v>
      </c>
      <c r="K928" s="476" t="s">
        <v>807</v>
      </c>
      <c r="L928" s="476" t="s">
        <v>807</v>
      </c>
      <c r="M928" s="476" t="s">
        <v>307</v>
      </c>
      <c r="N928" s="476"/>
      <c r="O928" s="476"/>
      <c r="P928" s="476"/>
      <c r="Q928" s="476"/>
      <c r="R928" s="482"/>
      <c r="S928" s="483"/>
      <c r="T928" s="502"/>
      <c r="U928" s="484"/>
      <c r="V928" s="476"/>
      <c r="W928" s="476"/>
      <c r="X928" s="17"/>
      <c r="Z928" s="17"/>
    </row>
    <row r="929" spans="1:26" ht="14.25" customHeight="1">
      <c r="A929" s="476" t="s">
        <v>2826</v>
      </c>
      <c r="B929" s="500" t="s">
        <v>318</v>
      </c>
      <c r="C929" s="499" t="s">
        <v>645</v>
      </c>
      <c r="D929" s="429" t="s">
        <v>1685</v>
      </c>
      <c r="E929" s="476" t="s">
        <v>1425</v>
      </c>
      <c r="F929" s="476"/>
      <c r="G929" s="476"/>
      <c r="H929" s="476" t="s">
        <v>43</v>
      </c>
      <c r="I929" s="476"/>
      <c r="J929" s="476" t="s">
        <v>807</v>
      </c>
      <c r="K929" s="476" t="s">
        <v>807</v>
      </c>
      <c r="L929" s="476" t="s">
        <v>1685</v>
      </c>
      <c r="M929" s="476" t="s">
        <v>804</v>
      </c>
      <c r="N929" s="476">
        <v>20.833831</v>
      </c>
      <c r="O929" s="476">
        <v>92.416683000000006</v>
      </c>
      <c r="P929" s="476" t="s">
        <v>770</v>
      </c>
      <c r="Q929" s="476" t="s">
        <v>789</v>
      </c>
      <c r="R929" s="482"/>
      <c r="S929" s="483"/>
      <c r="T929" s="502">
        <v>43248</v>
      </c>
      <c r="U929" s="484" t="s">
        <v>1934</v>
      </c>
      <c r="V929" s="476"/>
      <c r="W929" s="476"/>
      <c r="X929" s="17"/>
      <c r="Z929" s="17"/>
    </row>
    <row r="930" spans="1:26" ht="14.25" customHeight="1">
      <c r="A930" s="476" t="s">
        <v>2826</v>
      </c>
      <c r="B930" s="500" t="s">
        <v>318</v>
      </c>
      <c r="C930" s="499" t="s">
        <v>1159</v>
      </c>
      <c r="D930" s="429" t="s">
        <v>1685</v>
      </c>
      <c r="E930" s="476"/>
      <c r="F930" s="476"/>
      <c r="G930" s="476"/>
      <c r="H930" s="476"/>
      <c r="I930" s="476"/>
      <c r="J930" s="476" t="s">
        <v>807</v>
      </c>
      <c r="K930" s="476" t="s">
        <v>807</v>
      </c>
      <c r="L930" s="476" t="s">
        <v>807</v>
      </c>
      <c r="M930" s="476" t="s">
        <v>804</v>
      </c>
      <c r="N930" s="494"/>
      <c r="O930" s="494"/>
      <c r="P930" s="476" t="s">
        <v>808</v>
      </c>
      <c r="Q930" s="476"/>
      <c r="R930" s="482"/>
      <c r="S930" s="483"/>
      <c r="T930" s="502"/>
      <c r="U930" s="484"/>
      <c r="V930" s="476" t="s">
        <v>1159</v>
      </c>
      <c r="W930" s="476"/>
      <c r="X930" s="17"/>
      <c r="Z930" s="17"/>
    </row>
    <row r="931" spans="1:26" ht="14.25" customHeight="1">
      <c r="A931" s="483" t="s">
        <v>2826</v>
      </c>
      <c r="B931" s="510" t="s">
        <v>318</v>
      </c>
      <c r="C931" s="511" t="s">
        <v>2881</v>
      </c>
      <c r="D931" s="481"/>
      <c r="E931" s="476">
        <v>197860</v>
      </c>
      <c r="F931" s="476" t="s">
        <v>2881</v>
      </c>
      <c r="G931" s="476"/>
      <c r="H931" s="476"/>
      <c r="I931" s="476"/>
      <c r="J931" s="476" t="s">
        <v>2836</v>
      </c>
      <c r="K931" s="476" t="s">
        <v>2798</v>
      </c>
      <c r="L931" s="476" t="s">
        <v>2798</v>
      </c>
      <c r="M931" s="476"/>
      <c r="N931" s="476">
        <v>21.1420993804932</v>
      </c>
      <c r="O931" s="476">
        <v>92.338172912597699</v>
      </c>
      <c r="P931" s="476"/>
      <c r="Q931" s="476" t="s">
        <v>2803</v>
      </c>
      <c r="R931" s="490"/>
      <c r="S931" s="483"/>
      <c r="T931" s="502">
        <v>43580</v>
      </c>
      <c r="U931" s="525" t="s">
        <v>2870</v>
      </c>
      <c r="V931" s="484"/>
      <c r="W931" s="482"/>
      <c r="X931" s="17"/>
      <c r="Z931" s="17"/>
    </row>
    <row r="932" spans="1:26" ht="14.25" customHeight="1">
      <c r="A932" s="476" t="s">
        <v>2826</v>
      </c>
      <c r="B932" s="500" t="s">
        <v>318</v>
      </c>
      <c r="C932" s="499" t="s">
        <v>2142</v>
      </c>
      <c r="D932" s="429"/>
      <c r="E932" s="476">
        <v>197861</v>
      </c>
      <c r="F932" s="476"/>
      <c r="G932" s="476"/>
      <c r="H932" s="476"/>
      <c r="I932" s="476"/>
      <c r="J932" s="476" t="s">
        <v>807</v>
      </c>
      <c r="K932" s="476" t="s">
        <v>807</v>
      </c>
      <c r="L932" s="476" t="s">
        <v>807</v>
      </c>
      <c r="M932" s="476" t="s">
        <v>2130</v>
      </c>
      <c r="N932" s="476">
        <v>21.131010060000001</v>
      </c>
      <c r="O932" s="476">
        <v>92.354011540000002</v>
      </c>
      <c r="P932" s="476"/>
      <c r="Q932" s="476"/>
      <c r="R932" s="482"/>
      <c r="S932" s="483"/>
      <c r="T932" s="502">
        <v>43300</v>
      </c>
      <c r="U932" s="484"/>
      <c r="V932" s="476"/>
      <c r="W932" s="476"/>
      <c r="X932" s="17"/>
      <c r="Z932" s="17"/>
    </row>
    <row r="933" spans="1:26" ht="14.25" customHeight="1">
      <c r="A933" s="483" t="s">
        <v>2826</v>
      </c>
      <c r="B933" s="510" t="s">
        <v>318</v>
      </c>
      <c r="C933" s="511" t="s">
        <v>2879</v>
      </c>
      <c r="D933" s="481"/>
      <c r="E933" s="476">
        <v>197841</v>
      </c>
      <c r="F933" s="476" t="s">
        <v>2879</v>
      </c>
      <c r="G933" s="476"/>
      <c r="H933" s="476"/>
      <c r="I933" s="476"/>
      <c r="J933" s="476" t="s">
        <v>807</v>
      </c>
      <c r="K933" s="476" t="s">
        <v>807</v>
      </c>
      <c r="L933" s="476" t="s">
        <v>807</v>
      </c>
      <c r="M933" s="476"/>
      <c r="N933" s="476">
        <v>21.2080974578857</v>
      </c>
      <c r="O933" s="476">
        <v>92.308609008789105</v>
      </c>
      <c r="P933" s="476"/>
      <c r="Q933" s="476" t="s">
        <v>2803</v>
      </c>
      <c r="R933" s="490"/>
      <c r="S933" s="483"/>
      <c r="T933" s="502">
        <v>43580</v>
      </c>
      <c r="U933" s="525" t="s">
        <v>2870</v>
      </c>
      <c r="V933" s="484"/>
      <c r="W933" s="482"/>
      <c r="X933" s="17"/>
      <c r="Z933" s="17"/>
    </row>
    <row r="934" spans="1:26" ht="14.25" customHeight="1">
      <c r="A934" s="476" t="s">
        <v>2826</v>
      </c>
      <c r="B934" s="500" t="s">
        <v>318</v>
      </c>
      <c r="C934" s="499" t="s">
        <v>2147</v>
      </c>
      <c r="D934" s="429"/>
      <c r="E934" s="476">
        <v>197842</v>
      </c>
      <c r="F934" s="476"/>
      <c r="G934" s="476"/>
      <c r="H934" s="476"/>
      <c r="I934" s="476"/>
      <c r="J934" s="476" t="s">
        <v>807</v>
      </c>
      <c r="K934" s="476" t="s">
        <v>807</v>
      </c>
      <c r="L934" s="476" t="s">
        <v>807</v>
      </c>
      <c r="M934" s="476" t="s">
        <v>2132</v>
      </c>
      <c r="N934" s="476">
        <v>21.210039139999999</v>
      </c>
      <c r="O934" s="476">
        <v>92.297286990000003</v>
      </c>
      <c r="P934" s="476"/>
      <c r="Q934" s="476"/>
      <c r="R934" s="482"/>
      <c r="S934" s="483"/>
      <c r="T934" s="502">
        <v>43300</v>
      </c>
      <c r="U934" s="484"/>
      <c r="V934" s="476"/>
      <c r="W934" s="476"/>
      <c r="X934" s="17"/>
      <c r="Z934" s="17"/>
    </row>
    <row r="935" spans="1:26" ht="14.25" customHeight="1">
      <c r="A935" s="476" t="s">
        <v>2826</v>
      </c>
      <c r="B935" s="500" t="s">
        <v>318</v>
      </c>
      <c r="C935" s="499" t="s">
        <v>695</v>
      </c>
      <c r="D935" s="429" t="s">
        <v>1685</v>
      </c>
      <c r="E935" s="476">
        <v>197867</v>
      </c>
      <c r="F935" s="476"/>
      <c r="G935" s="476"/>
      <c r="H935" s="476"/>
      <c r="I935" s="476"/>
      <c r="J935" s="476" t="s">
        <v>807</v>
      </c>
      <c r="K935" s="476" t="s">
        <v>807</v>
      </c>
      <c r="L935" s="476" t="s">
        <v>807</v>
      </c>
      <c r="M935" s="476" t="s">
        <v>804</v>
      </c>
      <c r="N935" s="476">
        <v>21.057630540000002</v>
      </c>
      <c r="O935" s="476">
        <v>92.340232850000007</v>
      </c>
      <c r="P935" s="476" t="s">
        <v>808</v>
      </c>
      <c r="Q935" s="476" t="s">
        <v>789</v>
      </c>
      <c r="R935" s="482"/>
      <c r="S935" s="483"/>
      <c r="T935" s="502"/>
      <c r="U935" s="484"/>
      <c r="V935" s="476" t="s">
        <v>695</v>
      </c>
      <c r="W935" s="476"/>
      <c r="X935" s="17"/>
      <c r="Z935" s="17"/>
    </row>
    <row r="936" spans="1:26" ht="14.25" customHeight="1">
      <c r="A936" s="476" t="s">
        <v>2826</v>
      </c>
      <c r="B936" s="500" t="s">
        <v>318</v>
      </c>
      <c r="C936" s="499" t="s">
        <v>686</v>
      </c>
      <c r="D936" s="429" t="s">
        <v>1685</v>
      </c>
      <c r="E936" s="480">
        <v>197893</v>
      </c>
      <c r="F936" s="476"/>
      <c r="G936" s="476"/>
      <c r="H936" s="476"/>
      <c r="I936" s="476"/>
      <c r="J936" s="476" t="s">
        <v>807</v>
      </c>
      <c r="K936" s="476" t="s">
        <v>807</v>
      </c>
      <c r="L936" s="476" t="s">
        <v>807</v>
      </c>
      <c r="M936" s="476" t="s">
        <v>307</v>
      </c>
      <c r="N936" s="476">
        <v>21.009420389999999</v>
      </c>
      <c r="O936" s="476">
        <v>92.318077090000003</v>
      </c>
      <c r="P936" s="476" t="s">
        <v>808</v>
      </c>
      <c r="Q936" s="476" t="s">
        <v>811</v>
      </c>
      <c r="R936" s="482"/>
      <c r="S936" s="483"/>
      <c r="T936" s="502">
        <v>42926</v>
      </c>
      <c r="U936" s="484" t="s">
        <v>812</v>
      </c>
      <c r="V936" s="476"/>
      <c r="W936" s="476"/>
      <c r="X936" s="17"/>
      <c r="Z936" s="17"/>
    </row>
    <row r="937" spans="1:26" ht="14.25" customHeight="1">
      <c r="A937" s="476" t="s">
        <v>2826</v>
      </c>
      <c r="B937" s="500" t="s">
        <v>318</v>
      </c>
      <c r="C937" s="499" t="s">
        <v>636</v>
      </c>
      <c r="D937" s="429" t="s">
        <v>1685</v>
      </c>
      <c r="E937" s="480">
        <v>197990</v>
      </c>
      <c r="F937" s="476"/>
      <c r="G937" s="476"/>
      <c r="H937" s="476"/>
      <c r="I937" s="476"/>
      <c r="J937" s="476" t="s">
        <v>807</v>
      </c>
      <c r="K937" s="476" t="s">
        <v>807</v>
      </c>
      <c r="L937" s="476" t="s">
        <v>807</v>
      </c>
      <c r="M937" s="476" t="s">
        <v>804</v>
      </c>
      <c r="N937" s="494">
        <v>20.824769969999998</v>
      </c>
      <c r="O937" s="494">
        <v>92.398788449999998</v>
      </c>
      <c r="P937" s="476" t="s">
        <v>808</v>
      </c>
      <c r="Q937" s="476" t="s">
        <v>789</v>
      </c>
      <c r="R937" s="482"/>
      <c r="S937" s="483"/>
      <c r="T937" s="502"/>
      <c r="U937" s="484"/>
      <c r="V937" s="476" t="s">
        <v>951</v>
      </c>
      <c r="W937" s="476"/>
      <c r="X937" s="17"/>
      <c r="Z937" s="17"/>
    </row>
    <row r="938" spans="1:26" ht="14.25" customHeight="1">
      <c r="A938" s="476" t="s">
        <v>2826</v>
      </c>
      <c r="B938" s="500" t="s">
        <v>318</v>
      </c>
      <c r="C938" s="499" t="s">
        <v>637</v>
      </c>
      <c r="D938" s="429" t="s">
        <v>1685</v>
      </c>
      <c r="E938" s="476">
        <v>197990</v>
      </c>
      <c r="F938" s="476"/>
      <c r="G938" s="476"/>
      <c r="H938" s="476"/>
      <c r="I938" s="476"/>
      <c r="J938" s="476" t="s">
        <v>807</v>
      </c>
      <c r="K938" s="476" t="s">
        <v>807</v>
      </c>
      <c r="L938" s="476" t="s">
        <v>807</v>
      </c>
      <c r="M938" s="476" t="s">
        <v>804</v>
      </c>
      <c r="N938" s="494">
        <v>20.824769969999998</v>
      </c>
      <c r="O938" s="494">
        <v>92.398788449999998</v>
      </c>
      <c r="P938" s="476" t="s">
        <v>808</v>
      </c>
      <c r="Q938" s="476" t="s">
        <v>789</v>
      </c>
      <c r="R938" s="482"/>
      <c r="S938" s="483"/>
      <c r="T938" s="502"/>
      <c r="U938" s="484"/>
      <c r="V938" s="476" t="s">
        <v>951</v>
      </c>
      <c r="W938" s="476"/>
      <c r="X938" s="17"/>
      <c r="Z938" s="17"/>
    </row>
    <row r="939" spans="1:26" ht="14.25" customHeight="1">
      <c r="A939" s="476" t="s">
        <v>2826</v>
      </c>
      <c r="B939" s="500" t="s">
        <v>318</v>
      </c>
      <c r="C939" s="499" t="s">
        <v>365</v>
      </c>
      <c r="D939" s="429" t="s">
        <v>1685</v>
      </c>
      <c r="E939" s="476"/>
      <c r="F939" s="476"/>
      <c r="G939" s="476"/>
      <c r="H939" s="476"/>
      <c r="I939" s="476"/>
      <c r="J939" s="476" t="s">
        <v>807</v>
      </c>
      <c r="K939" s="476" t="s">
        <v>807</v>
      </c>
      <c r="L939" s="476" t="s">
        <v>807</v>
      </c>
      <c r="M939" s="476" t="s">
        <v>804</v>
      </c>
      <c r="N939" s="494"/>
      <c r="O939" s="494"/>
      <c r="P939" s="476" t="s">
        <v>808</v>
      </c>
      <c r="Q939" s="476" t="s">
        <v>789</v>
      </c>
      <c r="R939" s="482"/>
      <c r="S939" s="483"/>
      <c r="T939" s="502"/>
      <c r="U939" s="484"/>
      <c r="V939" s="476" t="s">
        <v>365</v>
      </c>
      <c r="W939" s="476"/>
      <c r="X939" s="17"/>
      <c r="Z939" s="17"/>
    </row>
    <row r="940" spans="1:26" ht="14.25" customHeight="1">
      <c r="A940" s="476" t="s">
        <v>2826</v>
      </c>
      <c r="B940" s="500" t="s">
        <v>318</v>
      </c>
      <c r="C940" s="499" t="s">
        <v>366</v>
      </c>
      <c r="D940" s="429" t="s">
        <v>1685</v>
      </c>
      <c r="E940" s="476"/>
      <c r="F940" s="476"/>
      <c r="G940" s="476"/>
      <c r="H940" s="476"/>
      <c r="I940" s="476"/>
      <c r="J940" s="476" t="s">
        <v>807</v>
      </c>
      <c r="K940" s="476" t="s">
        <v>807</v>
      </c>
      <c r="L940" s="476" t="s">
        <v>807</v>
      </c>
      <c r="M940" s="476" t="s">
        <v>307</v>
      </c>
      <c r="N940" s="494"/>
      <c r="O940" s="494"/>
      <c r="P940" s="476" t="s">
        <v>808</v>
      </c>
      <c r="Q940" s="476" t="s">
        <v>789</v>
      </c>
      <c r="R940" s="482"/>
      <c r="S940" s="483"/>
      <c r="T940" s="502"/>
      <c r="U940" s="484"/>
      <c r="V940" s="476" t="s">
        <v>366</v>
      </c>
      <c r="W940" s="476"/>
      <c r="X940" s="17"/>
      <c r="Z940" s="17"/>
    </row>
    <row r="941" spans="1:26" ht="14.25" customHeight="1">
      <c r="A941" s="476" t="s">
        <v>2826</v>
      </c>
      <c r="B941" s="500" t="s">
        <v>318</v>
      </c>
      <c r="C941" s="499" t="s">
        <v>639</v>
      </c>
      <c r="D941" s="429" t="s">
        <v>1685</v>
      </c>
      <c r="E941" s="476" t="s">
        <v>1423</v>
      </c>
      <c r="F941" s="480"/>
      <c r="G941" s="476"/>
      <c r="H941" s="476" t="s">
        <v>43</v>
      </c>
      <c r="I941" s="476"/>
      <c r="J941" s="476" t="s">
        <v>807</v>
      </c>
      <c r="K941" s="476" t="s">
        <v>807</v>
      </c>
      <c r="L941" s="476" t="s">
        <v>1685</v>
      </c>
      <c r="M941" s="476" t="s">
        <v>804</v>
      </c>
      <c r="N941" s="494">
        <v>20.825306000000001</v>
      </c>
      <c r="O941" s="494">
        <v>92.367852999999997</v>
      </c>
      <c r="P941" s="476" t="s">
        <v>770</v>
      </c>
      <c r="Q941" s="476" t="s">
        <v>789</v>
      </c>
      <c r="R941" s="482"/>
      <c r="S941" s="483"/>
      <c r="T941" s="502">
        <v>43248</v>
      </c>
      <c r="U941" s="484" t="s">
        <v>1934</v>
      </c>
      <c r="V941" s="476"/>
      <c r="W941" s="476"/>
      <c r="X941" s="17"/>
      <c r="Z941" s="17"/>
    </row>
    <row r="942" spans="1:26" ht="14.25" customHeight="1">
      <c r="A942" s="476" t="s">
        <v>2826</v>
      </c>
      <c r="B942" s="500" t="s">
        <v>318</v>
      </c>
      <c r="C942" s="499" t="s">
        <v>624</v>
      </c>
      <c r="D942" s="429" t="s">
        <v>1685</v>
      </c>
      <c r="E942" s="476">
        <v>197996</v>
      </c>
      <c r="F942" s="508" t="s">
        <v>2105</v>
      </c>
      <c r="G942" s="476"/>
      <c r="H942" s="476"/>
      <c r="I942" s="476"/>
      <c r="J942" s="476" t="s">
        <v>807</v>
      </c>
      <c r="K942" s="476" t="s">
        <v>807</v>
      </c>
      <c r="L942" s="476" t="s">
        <v>807</v>
      </c>
      <c r="M942" s="476" t="s">
        <v>804</v>
      </c>
      <c r="N942" s="476">
        <v>20.805980680000001</v>
      </c>
      <c r="O942" s="476">
        <v>92.383308409999998</v>
      </c>
      <c r="P942" s="476" t="s">
        <v>808</v>
      </c>
      <c r="Q942" s="476" t="s">
        <v>789</v>
      </c>
      <c r="R942" s="482"/>
      <c r="S942" s="483"/>
      <c r="T942" s="502"/>
      <c r="U942" s="484"/>
      <c r="V942" s="499" t="s">
        <v>946</v>
      </c>
      <c r="W942" s="476"/>
      <c r="X942" s="17"/>
      <c r="Z942" s="17"/>
    </row>
    <row r="943" spans="1:26" ht="14.25" customHeight="1">
      <c r="A943" s="476" t="s">
        <v>2826</v>
      </c>
      <c r="B943" s="500" t="s">
        <v>318</v>
      </c>
      <c r="C943" s="499" t="s">
        <v>625</v>
      </c>
      <c r="D943" s="429" t="s">
        <v>1685</v>
      </c>
      <c r="E943" s="476">
        <v>197996</v>
      </c>
      <c r="F943" s="476"/>
      <c r="G943" s="476"/>
      <c r="H943" s="476"/>
      <c r="I943" s="476"/>
      <c r="J943" s="476" t="s">
        <v>807</v>
      </c>
      <c r="K943" s="476" t="s">
        <v>807</v>
      </c>
      <c r="L943" s="476" t="s">
        <v>807</v>
      </c>
      <c r="M943" s="476" t="s">
        <v>804</v>
      </c>
      <c r="N943" s="476">
        <v>20.805980680000001</v>
      </c>
      <c r="O943" s="476">
        <v>92.383308409999998</v>
      </c>
      <c r="P943" s="476" t="s">
        <v>808</v>
      </c>
      <c r="Q943" s="476" t="s">
        <v>789</v>
      </c>
      <c r="R943" s="482"/>
      <c r="S943" s="483"/>
      <c r="T943" s="502"/>
      <c r="U943" s="484"/>
      <c r="V943" s="480" t="s">
        <v>947</v>
      </c>
      <c r="W943" s="476"/>
      <c r="X943" s="17"/>
      <c r="Z943" s="17"/>
    </row>
    <row r="944" spans="1:26" ht="14.25" customHeight="1">
      <c r="A944" s="483" t="s">
        <v>2826</v>
      </c>
      <c r="B944" s="510" t="s">
        <v>318</v>
      </c>
      <c r="C944" s="511" t="s">
        <v>576</v>
      </c>
      <c r="D944" s="429" t="s">
        <v>1685</v>
      </c>
      <c r="E944" s="476">
        <v>198045</v>
      </c>
      <c r="F944" s="476"/>
      <c r="G944" s="476"/>
      <c r="H944" s="476"/>
      <c r="I944" s="476"/>
      <c r="J944" s="476" t="s">
        <v>807</v>
      </c>
      <c r="K944" s="476" t="s">
        <v>807</v>
      </c>
      <c r="L944" s="476" t="s">
        <v>807</v>
      </c>
      <c r="M944" s="476" t="s">
        <v>804</v>
      </c>
      <c r="N944" s="476">
        <v>20.71759033</v>
      </c>
      <c r="O944" s="476">
        <v>92.426422119999998</v>
      </c>
      <c r="P944" s="476" t="s">
        <v>808</v>
      </c>
      <c r="Q944" s="476" t="s">
        <v>2803</v>
      </c>
      <c r="R944" s="490"/>
      <c r="S944" s="483"/>
      <c r="T944" s="502">
        <v>43580</v>
      </c>
      <c r="U944" s="525" t="s">
        <v>2870</v>
      </c>
      <c r="V944" s="476" t="s">
        <v>576</v>
      </c>
      <c r="W944" s="482"/>
      <c r="X944" s="17"/>
      <c r="Z944" s="17"/>
    </row>
    <row r="945" spans="1:26" ht="14.25" customHeight="1">
      <c r="A945" s="476" t="s">
        <v>2826</v>
      </c>
      <c r="B945" s="500" t="s">
        <v>318</v>
      </c>
      <c r="C945" s="499" t="s">
        <v>2107</v>
      </c>
      <c r="D945" s="429"/>
      <c r="E945" s="476">
        <v>220744</v>
      </c>
      <c r="F945" s="476"/>
      <c r="G945" s="476"/>
      <c r="H945" s="476"/>
      <c r="I945" s="476"/>
      <c r="J945" s="476" t="s">
        <v>807</v>
      </c>
      <c r="K945" s="476" t="s">
        <v>807</v>
      </c>
      <c r="L945" s="476" t="s">
        <v>807</v>
      </c>
      <c r="M945" s="476" t="s">
        <v>307</v>
      </c>
      <c r="N945" s="476">
        <v>20.71612167</v>
      </c>
      <c r="O945" s="476">
        <v>92.442459110000001</v>
      </c>
      <c r="P945" s="476"/>
      <c r="Q945" s="476"/>
      <c r="R945" s="482"/>
      <c r="S945" s="483"/>
      <c r="T945" s="502">
        <v>43300</v>
      </c>
      <c r="U945" s="484"/>
      <c r="V945" s="476"/>
      <c r="W945" s="476"/>
      <c r="X945" s="17"/>
      <c r="Z945" s="17"/>
    </row>
    <row r="946" spans="1:26" ht="14.25" customHeight="1">
      <c r="A946" s="476" t="s">
        <v>2826</v>
      </c>
      <c r="B946" s="500" t="s">
        <v>318</v>
      </c>
      <c r="C946" s="499" t="s">
        <v>2108</v>
      </c>
      <c r="D946" s="429"/>
      <c r="E946" s="476"/>
      <c r="F946" s="476"/>
      <c r="G946" s="476"/>
      <c r="H946" s="476"/>
      <c r="I946" s="476"/>
      <c r="J946" s="476" t="s">
        <v>807</v>
      </c>
      <c r="K946" s="476" t="s">
        <v>807</v>
      </c>
      <c r="L946" s="476" t="s">
        <v>807</v>
      </c>
      <c r="M946" s="476" t="s">
        <v>2130</v>
      </c>
      <c r="N946" s="476"/>
      <c r="O946" s="476"/>
      <c r="P946" s="476"/>
      <c r="Q946" s="476"/>
      <c r="R946" s="482"/>
      <c r="S946" s="483"/>
      <c r="T946" s="502">
        <v>43300</v>
      </c>
      <c r="U946" s="484"/>
      <c r="V946" s="476"/>
      <c r="W946" s="476"/>
      <c r="X946" s="17"/>
      <c r="Z946" s="17"/>
    </row>
    <row r="947" spans="1:26" ht="14.25" customHeight="1">
      <c r="A947" s="476" t="s">
        <v>2826</v>
      </c>
      <c r="B947" s="500" t="s">
        <v>318</v>
      </c>
      <c r="C947" s="499" t="s">
        <v>917</v>
      </c>
      <c r="D947" s="429"/>
      <c r="E947" s="476">
        <v>197938</v>
      </c>
      <c r="F947" s="476"/>
      <c r="G947" s="476"/>
      <c r="H947" s="476"/>
      <c r="I947" s="476"/>
      <c r="J947" s="476" t="s">
        <v>807</v>
      </c>
      <c r="K947" s="476" t="s">
        <v>807</v>
      </c>
      <c r="L947" s="476" t="s">
        <v>807</v>
      </c>
      <c r="M947" s="476" t="s">
        <v>804</v>
      </c>
      <c r="N947" s="476">
        <v>20.84098053</v>
      </c>
      <c r="O947" s="476">
        <v>92.35720062</v>
      </c>
      <c r="P947" s="476"/>
      <c r="Q947" s="476"/>
      <c r="R947" s="482"/>
      <c r="S947" s="483"/>
      <c r="T947" s="502">
        <v>43300</v>
      </c>
      <c r="U947" s="484"/>
      <c r="V947" s="480"/>
      <c r="W947" s="476"/>
      <c r="X947" s="17"/>
      <c r="Z947" s="17"/>
    </row>
    <row r="948" spans="1:26" ht="14.25" customHeight="1">
      <c r="A948" s="476" t="s">
        <v>2826</v>
      </c>
      <c r="B948" s="500" t="s">
        <v>318</v>
      </c>
      <c r="C948" s="499" t="s">
        <v>683</v>
      </c>
      <c r="D948" s="429" t="s">
        <v>1685</v>
      </c>
      <c r="E948" s="476">
        <v>197903</v>
      </c>
      <c r="F948" s="476"/>
      <c r="G948" s="476"/>
      <c r="H948" s="476"/>
      <c r="I948" s="476"/>
      <c r="J948" s="476" t="s">
        <v>807</v>
      </c>
      <c r="K948" s="476" t="s">
        <v>807</v>
      </c>
      <c r="L948" s="476" t="s">
        <v>807</v>
      </c>
      <c r="M948" s="476" t="s">
        <v>804</v>
      </c>
      <c r="N948" s="476">
        <v>21.000970840000001</v>
      </c>
      <c r="O948" s="476">
        <v>92.334213259999999</v>
      </c>
      <c r="P948" s="476" t="s">
        <v>808</v>
      </c>
      <c r="Q948" s="476" t="s">
        <v>811</v>
      </c>
      <c r="R948" s="482"/>
      <c r="S948" s="483"/>
      <c r="T948" s="502">
        <v>42926</v>
      </c>
      <c r="U948" s="484" t="s">
        <v>812</v>
      </c>
      <c r="V948" s="480"/>
      <c r="W948" s="476"/>
      <c r="X948" s="17"/>
      <c r="Z948" s="17"/>
    </row>
    <row r="949" spans="1:26" ht="14.25" customHeight="1">
      <c r="A949" s="476" t="s">
        <v>2826</v>
      </c>
      <c r="B949" s="500" t="s">
        <v>318</v>
      </c>
      <c r="C949" s="499" t="s">
        <v>541</v>
      </c>
      <c r="D949" s="429" t="s">
        <v>1685</v>
      </c>
      <c r="E949" s="476">
        <v>198026</v>
      </c>
      <c r="F949" s="476"/>
      <c r="G949" s="476"/>
      <c r="H949" s="476"/>
      <c r="I949" s="476"/>
      <c r="J949" s="476" t="s">
        <v>807</v>
      </c>
      <c r="K949" s="476" t="s">
        <v>807</v>
      </c>
      <c r="L949" s="476" t="s">
        <v>807</v>
      </c>
      <c r="M949" s="476" t="s">
        <v>804</v>
      </c>
      <c r="N949" s="476">
        <v>20.671619419999999</v>
      </c>
      <c r="O949" s="476">
        <v>92.473846440000003</v>
      </c>
      <c r="P949" s="476" t="s">
        <v>808</v>
      </c>
      <c r="Q949" s="476" t="s">
        <v>789</v>
      </c>
      <c r="R949" s="482"/>
      <c r="S949" s="483"/>
      <c r="T949" s="502"/>
      <c r="U949" s="484"/>
      <c r="V949" s="476" t="s">
        <v>934</v>
      </c>
      <c r="W949" s="476"/>
      <c r="X949" s="17"/>
      <c r="Z949" s="17"/>
    </row>
    <row r="950" spans="1:26" ht="14.25" customHeight="1">
      <c r="A950" s="476" t="s">
        <v>2826</v>
      </c>
      <c r="B950" s="500" t="s">
        <v>350</v>
      </c>
      <c r="C950" s="499" t="s">
        <v>508</v>
      </c>
      <c r="D950" s="429" t="s">
        <v>1685</v>
      </c>
      <c r="E950" s="476">
        <v>197602</v>
      </c>
      <c r="F950" s="476"/>
      <c r="G950" s="476"/>
      <c r="H950" s="476"/>
      <c r="I950" s="476"/>
      <c r="J950" s="476" t="s">
        <v>807</v>
      </c>
      <c r="K950" s="476" t="s">
        <v>807</v>
      </c>
      <c r="L950" s="476" t="s">
        <v>807</v>
      </c>
      <c r="M950" s="476" t="s">
        <v>804</v>
      </c>
      <c r="N950" s="476">
        <v>20.547620770000002</v>
      </c>
      <c r="O950" s="476">
        <v>92.671058650000006</v>
      </c>
      <c r="P950" s="476" t="s">
        <v>808</v>
      </c>
      <c r="Q950" s="476" t="s">
        <v>789</v>
      </c>
      <c r="R950" s="482"/>
      <c r="S950" s="483"/>
      <c r="T950" s="502"/>
      <c r="U950" s="484"/>
      <c r="V950" s="476" t="s">
        <v>508</v>
      </c>
      <c r="W950" s="482"/>
      <c r="X950" s="17"/>
      <c r="Z950" s="17"/>
    </row>
    <row r="951" spans="1:26" ht="14.25" customHeight="1">
      <c r="A951" s="476" t="s">
        <v>2826</v>
      </c>
      <c r="B951" s="510" t="s">
        <v>350</v>
      </c>
      <c r="C951" s="511" t="s">
        <v>514</v>
      </c>
      <c r="D951" s="481" t="s">
        <v>1685</v>
      </c>
      <c r="E951" s="476" t="s">
        <v>1408</v>
      </c>
      <c r="F951" s="508"/>
      <c r="G951" s="476"/>
      <c r="H951" s="476" t="s">
        <v>43</v>
      </c>
      <c r="I951" s="476"/>
      <c r="J951" s="476" t="s">
        <v>807</v>
      </c>
      <c r="K951" s="476" t="s">
        <v>807</v>
      </c>
      <c r="L951" s="476" t="s">
        <v>1685</v>
      </c>
      <c r="M951" s="476" t="s">
        <v>804</v>
      </c>
      <c r="N951" s="476">
        <v>20.569219</v>
      </c>
      <c r="O951" s="476">
        <v>92.640022000000002</v>
      </c>
      <c r="P951" s="476" t="s">
        <v>770</v>
      </c>
      <c r="Q951" s="476" t="s">
        <v>789</v>
      </c>
      <c r="R951" s="490"/>
      <c r="S951" s="483"/>
      <c r="T951" s="502"/>
      <c r="U951" s="484"/>
      <c r="V951" s="476" t="s">
        <v>514</v>
      </c>
      <c r="W951" s="482"/>
      <c r="X951" s="17"/>
      <c r="Z951" s="17"/>
    </row>
    <row r="952" spans="1:26" ht="14.25" customHeight="1">
      <c r="A952" s="476" t="s">
        <v>2826</v>
      </c>
      <c r="B952" s="500" t="s">
        <v>350</v>
      </c>
      <c r="C952" s="499" t="s">
        <v>511</v>
      </c>
      <c r="D952" s="429" t="s">
        <v>1685</v>
      </c>
      <c r="E952" s="476">
        <v>197593</v>
      </c>
      <c r="F952" s="476"/>
      <c r="G952" s="476"/>
      <c r="H952" s="476"/>
      <c r="I952" s="476"/>
      <c r="J952" s="476" t="s">
        <v>807</v>
      </c>
      <c r="K952" s="476" t="s">
        <v>807</v>
      </c>
      <c r="L952" s="476" t="s">
        <v>807</v>
      </c>
      <c r="M952" s="476" t="s">
        <v>804</v>
      </c>
      <c r="N952" s="476">
        <v>20.555610659999999</v>
      </c>
      <c r="O952" s="476">
        <v>92.643516539999993</v>
      </c>
      <c r="P952" s="476" t="s">
        <v>808</v>
      </c>
      <c r="Q952" s="476" t="s">
        <v>811</v>
      </c>
      <c r="R952" s="482"/>
      <c r="S952" s="483"/>
      <c r="T952" s="502">
        <v>42926</v>
      </c>
      <c r="U952" s="484" t="s">
        <v>812</v>
      </c>
      <c r="V952" s="476"/>
      <c r="W952" s="482"/>
      <c r="X952" s="17"/>
      <c r="Z952" s="17"/>
    </row>
    <row r="953" spans="1:26" ht="14.25" customHeight="1">
      <c r="A953" s="476" t="s">
        <v>2826</v>
      </c>
      <c r="B953" s="500" t="s">
        <v>350</v>
      </c>
      <c r="C953" s="499" t="s">
        <v>512</v>
      </c>
      <c r="D953" s="429" t="s">
        <v>1685</v>
      </c>
      <c r="E953" s="476">
        <v>197593</v>
      </c>
      <c r="F953" s="476"/>
      <c r="G953" s="476"/>
      <c r="H953" s="476"/>
      <c r="I953" s="476"/>
      <c r="J953" s="476" t="s">
        <v>807</v>
      </c>
      <c r="K953" s="476" t="s">
        <v>807</v>
      </c>
      <c r="L953" s="476" t="s">
        <v>807</v>
      </c>
      <c r="M953" s="476" t="s">
        <v>307</v>
      </c>
      <c r="N953" s="476">
        <v>20.555610659999999</v>
      </c>
      <c r="O953" s="476">
        <v>92.643516539999993</v>
      </c>
      <c r="P953" s="476" t="s">
        <v>808</v>
      </c>
      <c r="Q953" s="476" t="s">
        <v>789</v>
      </c>
      <c r="R953" s="482"/>
      <c r="S953" s="483"/>
      <c r="T953" s="502" t="s">
        <v>814</v>
      </c>
      <c r="U953" s="484"/>
      <c r="V953" s="476"/>
      <c r="W953" s="482"/>
      <c r="X953" s="17"/>
      <c r="Z953" s="17"/>
    </row>
    <row r="954" spans="1:26" ht="14.25" customHeight="1">
      <c r="A954" s="476" t="s">
        <v>2826</v>
      </c>
      <c r="B954" s="500" t="s">
        <v>350</v>
      </c>
      <c r="C954" s="499" t="s">
        <v>533</v>
      </c>
      <c r="D954" s="429" t="s">
        <v>1685</v>
      </c>
      <c r="E954" s="476">
        <v>197691</v>
      </c>
      <c r="F954" s="476"/>
      <c r="G954" s="476"/>
      <c r="H954" s="476"/>
      <c r="I954" s="476"/>
      <c r="J954" s="476" t="s">
        <v>807</v>
      </c>
      <c r="K954" s="476" t="s">
        <v>807</v>
      </c>
      <c r="L954" s="476" t="s">
        <v>807</v>
      </c>
      <c r="M954" s="476" t="s">
        <v>307</v>
      </c>
      <c r="N954" s="476">
        <v>20.65517998</v>
      </c>
      <c r="O954" s="476">
        <v>92.720321659999996</v>
      </c>
      <c r="P954" s="476" t="s">
        <v>808</v>
      </c>
      <c r="Q954" s="476" t="s">
        <v>789</v>
      </c>
      <c r="R954" s="486"/>
      <c r="S954" s="487"/>
      <c r="T954" s="502" t="s">
        <v>814</v>
      </c>
      <c r="U954" s="484"/>
      <c r="V954" s="476"/>
      <c r="W954" s="482"/>
      <c r="X954" s="17"/>
      <c r="Z954" s="17"/>
    </row>
    <row r="955" spans="1:26" ht="14.25" customHeight="1">
      <c r="A955" s="476" t="s">
        <v>2826</v>
      </c>
      <c r="B955" s="500" t="s">
        <v>350</v>
      </c>
      <c r="C955" s="499" t="s">
        <v>479</v>
      </c>
      <c r="D955" s="429" t="s">
        <v>2352</v>
      </c>
      <c r="E955" s="480" t="s">
        <v>1400</v>
      </c>
      <c r="F955" s="476" t="s">
        <v>479</v>
      </c>
      <c r="G955" s="476" t="s">
        <v>479</v>
      </c>
      <c r="H955" s="476"/>
      <c r="I955" s="476"/>
      <c r="J955" s="476" t="s">
        <v>807</v>
      </c>
      <c r="K955" s="476" t="s">
        <v>807</v>
      </c>
      <c r="L955" s="476" t="s">
        <v>892</v>
      </c>
      <c r="M955" s="476" t="s">
        <v>804</v>
      </c>
      <c r="N955" s="476">
        <v>20.399269</v>
      </c>
      <c r="O955" s="476">
        <v>92.781294000000003</v>
      </c>
      <c r="P955" s="476" t="s">
        <v>808</v>
      </c>
      <c r="Q955" s="476" t="s">
        <v>789</v>
      </c>
      <c r="R955" s="482">
        <v>32</v>
      </c>
      <c r="S955" s="483">
        <v>157</v>
      </c>
      <c r="T955" s="502"/>
      <c r="U955" s="484"/>
      <c r="V955" s="476" t="s">
        <v>479</v>
      </c>
      <c r="W955" s="482"/>
      <c r="X955" s="17"/>
      <c r="Z955" s="17"/>
    </row>
    <row r="956" spans="1:26" ht="14.25" customHeight="1">
      <c r="A956" s="486" t="s">
        <v>2826</v>
      </c>
      <c r="B956" s="510" t="s">
        <v>350</v>
      </c>
      <c r="C956" s="511" t="s">
        <v>3013</v>
      </c>
      <c r="D956" s="481"/>
      <c r="E956" s="476" t="s">
        <v>3014</v>
      </c>
      <c r="F956" s="476"/>
      <c r="G956" s="476"/>
      <c r="H956" s="476"/>
      <c r="I956" s="476"/>
      <c r="J956" s="476" t="s">
        <v>2836</v>
      </c>
      <c r="K956" s="476" t="s">
        <v>2798</v>
      </c>
      <c r="L956" s="476" t="s">
        <v>2798</v>
      </c>
      <c r="M956" s="476"/>
      <c r="N956" s="476"/>
      <c r="O956" s="476"/>
      <c r="P956" s="476"/>
      <c r="Q956" s="476"/>
      <c r="R956" s="490"/>
      <c r="S956" s="483"/>
      <c r="T956" s="502">
        <v>43591</v>
      </c>
      <c r="U956" s="490"/>
      <c r="V956" s="487" t="s">
        <v>2977</v>
      </c>
      <c r="W956" s="482"/>
      <c r="X956" s="17"/>
      <c r="Z956" s="17"/>
    </row>
    <row r="957" spans="1:26" ht="14.25" customHeight="1">
      <c r="A957" s="476" t="s">
        <v>2826</v>
      </c>
      <c r="B957" s="500" t="s">
        <v>350</v>
      </c>
      <c r="C957" s="499" t="s">
        <v>548</v>
      </c>
      <c r="D957" s="429" t="s">
        <v>1685</v>
      </c>
      <c r="E957" s="476">
        <v>197674</v>
      </c>
      <c r="F957" s="476"/>
      <c r="G957" s="476"/>
      <c r="H957" s="476"/>
      <c r="I957" s="476"/>
      <c r="J957" s="476" t="s">
        <v>807</v>
      </c>
      <c r="K957" s="476" t="s">
        <v>807</v>
      </c>
      <c r="L957" s="476" t="s">
        <v>807</v>
      </c>
      <c r="M957" s="476" t="s">
        <v>804</v>
      </c>
      <c r="N957" s="476">
        <v>20.67845917</v>
      </c>
      <c r="O957" s="476">
        <v>92.663757320000002</v>
      </c>
      <c r="P957" s="476" t="s">
        <v>808</v>
      </c>
      <c r="Q957" s="476" t="s">
        <v>789</v>
      </c>
      <c r="R957" s="482"/>
      <c r="S957" s="483"/>
      <c r="T957" s="502" t="s">
        <v>814</v>
      </c>
      <c r="U957" s="484"/>
      <c r="V957" s="476"/>
      <c r="W957" s="482"/>
      <c r="X957" s="17"/>
      <c r="Z957" s="17"/>
    </row>
    <row r="958" spans="1:26" ht="14.25" customHeight="1">
      <c r="A958" s="476" t="s">
        <v>2826</v>
      </c>
      <c r="B958" s="500" t="s">
        <v>350</v>
      </c>
      <c r="C958" s="499" t="s">
        <v>916</v>
      </c>
      <c r="D958" s="429" t="s">
        <v>1685</v>
      </c>
      <c r="E958" s="476">
        <v>197603</v>
      </c>
      <c r="F958" s="476"/>
      <c r="G958" s="476"/>
      <c r="H958" s="476"/>
      <c r="I958" s="476"/>
      <c r="J958" s="476" t="s">
        <v>807</v>
      </c>
      <c r="K958" s="476" t="s">
        <v>807</v>
      </c>
      <c r="L958" s="476" t="s">
        <v>807</v>
      </c>
      <c r="M958" s="476" t="s">
        <v>804</v>
      </c>
      <c r="N958" s="476">
        <v>20.55364037</v>
      </c>
      <c r="O958" s="476">
        <v>92.674217220000003</v>
      </c>
      <c r="P958" s="476" t="s">
        <v>808</v>
      </c>
      <c r="Q958" s="476"/>
      <c r="R958" s="482"/>
      <c r="S958" s="483"/>
      <c r="T958" s="502"/>
      <c r="U958" s="484"/>
      <c r="V958" s="476" t="s">
        <v>916</v>
      </c>
      <c r="W958" s="482"/>
      <c r="X958" s="17"/>
      <c r="Z958" s="17"/>
    </row>
    <row r="959" spans="1:26" ht="14.25" customHeight="1">
      <c r="A959" s="476" t="s">
        <v>2826</v>
      </c>
      <c r="B959" s="500" t="s">
        <v>350</v>
      </c>
      <c r="C959" s="499" t="s">
        <v>383</v>
      </c>
      <c r="D959" s="429" t="s">
        <v>1685</v>
      </c>
      <c r="E959" s="476">
        <v>220977</v>
      </c>
      <c r="F959" s="476" t="s">
        <v>2892</v>
      </c>
      <c r="G959" s="476"/>
      <c r="H959" s="476"/>
      <c r="I959" s="476"/>
      <c r="J959" s="476" t="s">
        <v>807</v>
      </c>
      <c r="K959" s="476" t="s">
        <v>807</v>
      </c>
      <c r="L959" s="476" t="s">
        <v>807</v>
      </c>
      <c r="M959" s="476" t="s">
        <v>307</v>
      </c>
      <c r="N959" s="476"/>
      <c r="O959" s="476"/>
      <c r="P959" s="476" t="s">
        <v>808</v>
      </c>
      <c r="Q959" s="476" t="s">
        <v>811</v>
      </c>
      <c r="R959" s="482"/>
      <c r="S959" s="483"/>
      <c r="T959" s="502">
        <v>42926</v>
      </c>
      <c r="U959" s="484" t="s">
        <v>812</v>
      </c>
      <c r="V959" s="476"/>
      <c r="W959" s="482"/>
      <c r="X959" s="17"/>
      <c r="Z959" s="17"/>
    </row>
    <row r="960" spans="1:26" ht="14.25" customHeight="1">
      <c r="A960" s="486" t="s">
        <v>2826</v>
      </c>
      <c r="B960" s="510" t="s">
        <v>350</v>
      </c>
      <c r="C960" s="511" t="s">
        <v>3012</v>
      </c>
      <c r="D960" s="481"/>
      <c r="E960" s="476">
        <v>220693</v>
      </c>
      <c r="F960" s="476"/>
      <c r="G960" s="476"/>
      <c r="H960" s="476"/>
      <c r="I960" s="476"/>
      <c r="J960" s="476" t="s">
        <v>2836</v>
      </c>
      <c r="K960" s="476" t="s">
        <v>2798</v>
      </c>
      <c r="L960" s="476" t="s">
        <v>2798</v>
      </c>
      <c r="M960" s="476"/>
      <c r="N960" s="476">
        <v>20.586620330810501</v>
      </c>
      <c r="O960" s="476">
        <v>92.689620971679702</v>
      </c>
      <c r="P960" s="476"/>
      <c r="Q960" s="476"/>
      <c r="R960" s="490"/>
      <c r="S960" s="483"/>
      <c r="T960" s="502">
        <v>43591</v>
      </c>
      <c r="U960" s="490"/>
      <c r="V960" s="476" t="s">
        <v>2976</v>
      </c>
      <c r="W960" s="482"/>
      <c r="X960" s="17"/>
      <c r="Z960" s="17"/>
    </row>
    <row r="961" spans="1:26" ht="14.25" customHeight="1">
      <c r="A961" s="476" t="s">
        <v>2826</v>
      </c>
      <c r="B961" s="500" t="s">
        <v>350</v>
      </c>
      <c r="C961" s="499" t="s">
        <v>491</v>
      </c>
      <c r="D961" s="429" t="s">
        <v>1685</v>
      </c>
      <c r="E961" s="476">
        <v>197631</v>
      </c>
      <c r="F961" s="476" t="s">
        <v>486</v>
      </c>
      <c r="G961" s="476"/>
      <c r="H961" s="476"/>
      <c r="I961" s="476"/>
      <c r="J961" s="476" t="s">
        <v>807</v>
      </c>
      <c r="K961" s="476" t="s">
        <v>807</v>
      </c>
      <c r="L961" s="476" t="s">
        <v>807</v>
      </c>
      <c r="M961" s="476" t="s">
        <v>307</v>
      </c>
      <c r="N961" s="476">
        <v>20.473930360000001</v>
      </c>
      <c r="O961" s="476">
        <v>92.668853760000005</v>
      </c>
      <c r="P961" s="476" t="s">
        <v>808</v>
      </c>
      <c r="Q961" s="476" t="s">
        <v>811</v>
      </c>
      <c r="R961" s="482"/>
      <c r="S961" s="483"/>
      <c r="T961" s="502">
        <v>42926</v>
      </c>
      <c r="U961" s="484" t="s">
        <v>812</v>
      </c>
      <c r="V961" s="476"/>
      <c r="W961" s="482"/>
      <c r="X961" s="17"/>
      <c r="Z961" s="17"/>
    </row>
    <row r="962" spans="1:26" ht="14.25" customHeight="1">
      <c r="A962" s="476" t="s">
        <v>2826</v>
      </c>
      <c r="B962" s="500" t="s">
        <v>350</v>
      </c>
      <c r="C962" s="499" t="s">
        <v>507</v>
      </c>
      <c r="D962" s="429" t="s">
        <v>1685</v>
      </c>
      <c r="E962" s="476">
        <v>197601</v>
      </c>
      <c r="F962" s="476"/>
      <c r="G962" s="476"/>
      <c r="H962" s="476"/>
      <c r="I962" s="476"/>
      <c r="J962" s="476" t="s">
        <v>807</v>
      </c>
      <c r="K962" s="476" t="s">
        <v>807</v>
      </c>
      <c r="L962" s="476" t="s">
        <v>807</v>
      </c>
      <c r="M962" s="476" t="s">
        <v>804</v>
      </c>
      <c r="N962" s="476">
        <v>20.54644012</v>
      </c>
      <c r="O962" s="476">
        <v>92.648399350000005</v>
      </c>
      <c r="P962" s="476" t="s">
        <v>808</v>
      </c>
      <c r="Q962" s="476" t="s">
        <v>789</v>
      </c>
      <c r="R962" s="482"/>
      <c r="S962" s="483"/>
      <c r="T962" s="502"/>
      <c r="U962" s="484"/>
      <c r="V962" s="476" t="s">
        <v>507</v>
      </c>
      <c r="W962" s="482"/>
      <c r="X962" s="17"/>
      <c r="Z962" s="17"/>
    </row>
    <row r="963" spans="1:26" ht="14.25" customHeight="1">
      <c r="A963" s="476" t="s">
        <v>2826</v>
      </c>
      <c r="B963" s="500" t="s">
        <v>350</v>
      </c>
      <c r="C963" s="499" t="s">
        <v>480</v>
      </c>
      <c r="D963" s="429" t="s">
        <v>1685</v>
      </c>
      <c r="E963" s="476" t="s">
        <v>1402</v>
      </c>
      <c r="F963" s="476"/>
      <c r="G963" s="476"/>
      <c r="H963" s="476" t="s">
        <v>43</v>
      </c>
      <c r="I963" s="476"/>
      <c r="J963" s="476" t="s">
        <v>807</v>
      </c>
      <c r="K963" s="476" t="s">
        <v>807</v>
      </c>
      <c r="L963" s="476" t="s">
        <v>1685</v>
      </c>
      <c r="M963" s="476" t="s">
        <v>804</v>
      </c>
      <c r="N963" s="476">
        <v>20.408453000000002</v>
      </c>
      <c r="O963" s="476">
        <v>92.660360999999995</v>
      </c>
      <c r="P963" s="476" t="s">
        <v>770</v>
      </c>
      <c r="Q963" s="476" t="s">
        <v>789</v>
      </c>
      <c r="R963" s="482"/>
      <c r="S963" s="483"/>
      <c r="T963" s="502"/>
      <c r="U963" s="484" t="s">
        <v>1934</v>
      </c>
      <c r="V963" s="476" t="s">
        <v>480</v>
      </c>
      <c r="W963" s="482"/>
      <c r="X963" s="17"/>
      <c r="Z963" s="17"/>
    </row>
    <row r="964" spans="1:26" ht="14.25" customHeight="1">
      <c r="A964" s="476" t="s">
        <v>2826</v>
      </c>
      <c r="B964" s="500" t="s">
        <v>350</v>
      </c>
      <c r="C964" s="499" t="s">
        <v>901</v>
      </c>
      <c r="D964" s="429" t="s">
        <v>1685</v>
      </c>
      <c r="E964" s="476">
        <v>197650</v>
      </c>
      <c r="F964" s="476"/>
      <c r="G964" s="476"/>
      <c r="H964" s="476"/>
      <c r="I964" s="476"/>
      <c r="J964" s="476" t="s">
        <v>888</v>
      </c>
      <c r="K964" s="476" t="s">
        <v>807</v>
      </c>
      <c r="L964" s="476" t="s">
        <v>807</v>
      </c>
      <c r="M964" s="476" t="s">
        <v>307</v>
      </c>
      <c r="N964" s="476">
        <v>20.397039410000001</v>
      </c>
      <c r="O964" s="476">
        <v>92.664451600000007</v>
      </c>
      <c r="P964" s="476" t="s">
        <v>808</v>
      </c>
      <c r="Q964" s="476"/>
      <c r="R964" s="482"/>
      <c r="S964" s="483"/>
      <c r="T964" s="502">
        <v>42849</v>
      </c>
      <c r="U964" s="484" t="s">
        <v>902</v>
      </c>
      <c r="V964" s="476"/>
      <c r="W964" s="482"/>
      <c r="X964" s="17"/>
      <c r="Z964" s="17"/>
    </row>
    <row r="965" spans="1:26" ht="14.25" customHeight="1">
      <c r="A965" s="476" t="s">
        <v>2826</v>
      </c>
      <c r="B965" s="500" t="s">
        <v>350</v>
      </c>
      <c r="C965" s="499" t="s">
        <v>516</v>
      </c>
      <c r="D965" s="429" t="s">
        <v>1685</v>
      </c>
      <c r="E965" s="476">
        <v>197591</v>
      </c>
      <c r="F965" s="476"/>
      <c r="G965" s="476"/>
      <c r="H965" s="476"/>
      <c r="I965" s="476"/>
      <c r="J965" s="476" t="s">
        <v>807</v>
      </c>
      <c r="K965" s="476" t="s">
        <v>807</v>
      </c>
      <c r="L965" s="476" t="s">
        <v>807</v>
      </c>
      <c r="M965" s="476" t="s">
        <v>804</v>
      </c>
      <c r="N965" s="476">
        <v>20.581470490000001</v>
      </c>
      <c r="O965" s="476">
        <v>92.643272400000001</v>
      </c>
      <c r="P965" s="476" t="s">
        <v>808</v>
      </c>
      <c r="Q965" s="476" t="s">
        <v>789</v>
      </c>
      <c r="R965" s="482"/>
      <c r="S965" s="483"/>
      <c r="T965" s="502"/>
      <c r="U965" s="484" t="s">
        <v>812</v>
      </c>
      <c r="V965" s="476" t="s">
        <v>516</v>
      </c>
      <c r="W965" s="482"/>
      <c r="X965" s="17"/>
      <c r="Z965" s="17"/>
    </row>
    <row r="966" spans="1:26" ht="14.25" customHeight="1">
      <c r="A966" s="476" t="s">
        <v>2826</v>
      </c>
      <c r="B966" s="510" t="s">
        <v>350</v>
      </c>
      <c r="C966" s="511" t="s">
        <v>1106</v>
      </c>
      <c r="D966" s="481" t="s">
        <v>1685</v>
      </c>
      <c r="E966" s="476"/>
      <c r="F966" s="476"/>
      <c r="G966" s="476"/>
      <c r="H966" s="476"/>
      <c r="I966" s="476"/>
      <c r="J966" s="476" t="s">
        <v>807</v>
      </c>
      <c r="K966" s="476" t="s">
        <v>807</v>
      </c>
      <c r="L966" s="476" t="s">
        <v>807</v>
      </c>
      <c r="M966" s="476" t="s">
        <v>820</v>
      </c>
      <c r="N966" s="476"/>
      <c r="O966" s="476"/>
      <c r="P966" s="476" t="s">
        <v>808</v>
      </c>
      <c r="Q966" s="476" t="s">
        <v>811</v>
      </c>
      <c r="R966" s="490"/>
      <c r="S966" s="483"/>
      <c r="T966" s="502">
        <v>42926</v>
      </c>
      <c r="U966" s="484" t="s">
        <v>812</v>
      </c>
      <c r="V966" s="476"/>
      <c r="W966" s="482"/>
      <c r="X966" s="17"/>
      <c r="Z966" s="17"/>
    </row>
    <row r="967" spans="1:26" ht="14.25" customHeight="1">
      <c r="A967" s="476" t="s">
        <v>2826</v>
      </c>
      <c r="B967" s="510" t="s">
        <v>350</v>
      </c>
      <c r="C967" s="511" t="s">
        <v>515</v>
      </c>
      <c r="D967" s="481" t="s">
        <v>1685</v>
      </c>
      <c r="E967" s="476">
        <v>197590</v>
      </c>
      <c r="F967" s="476"/>
      <c r="G967" s="476"/>
      <c r="H967" s="476"/>
      <c r="I967" s="476"/>
      <c r="J967" s="476" t="s">
        <v>807</v>
      </c>
      <c r="K967" s="476" t="s">
        <v>807</v>
      </c>
      <c r="L967" s="476" t="s">
        <v>807</v>
      </c>
      <c r="M967" s="476" t="s">
        <v>307</v>
      </c>
      <c r="N967" s="476">
        <v>20.56975937</v>
      </c>
      <c r="O967" s="509">
        <v>92.641799930000005</v>
      </c>
      <c r="P967" s="476" t="s">
        <v>808</v>
      </c>
      <c r="Q967" s="476" t="s">
        <v>789</v>
      </c>
      <c r="R967" s="490"/>
      <c r="S967" s="483"/>
      <c r="T967" s="502"/>
      <c r="U967" s="484" t="s">
        <v>812</v>
      </c>
      <c r="V967" s="476" t="s">
        <v>515</v>
      </c>
      <c r="W967" s="482"/>
      <c r="X967" s="17"/>
      <c r="Z967" s="17"/>
    </row>
    <row r="968" spans="1:26" ht="14.25" customHeight="1">
      <c r="A968" s="476" t="s">
        <v>2826</v>
      </c>
      <c r="B968" s="510" t="s">
        <v>350</v>
      </c>
      <c r="C968" s="511" t="s">
        <v>922</v>
      </c>
      <c r="D968" s="481" t="s">
        <v>1685</v>
      </c>
      <c r="E968" s="476">
        <v>197585</v>
      </c>
      <c r="F968" s="476"/>
      <c r="G968" s="476"/>
      <c r="H968" s="476"/>
      <c r="I968" s="476"/>
      <c r="J968" s="476" t="s">
        <v>807</v>
      </c>
      <c r="K968" s="476" t="s">
        <v>807</v>
      </c>
      <c r="L968" s="476" t="s">
        <v>807</v>
      </c>
      <c r="M968" s="476" t="s">
        <v>307</v>
      </c>
      <c r="N968" s="476">
        <v>20.585840229999999</v>
      </c>
      <c r="O968" s="476">
        <v>92.670722960000006</v>
      </c>
      <c r="P968" s="476" t="s">
        <v>808</v>
      </c>
      <c r="Q968" s="476"/>
      <c r="R968" s="490"/>
      <c r="S968" s="483"/>
      <c r="T968" s="502"/>
      <c r="U968" s="484"/>
      <c r="V968" s="476" t="s">
        <v>922</v>
      </c>
      <c r="W968" s="482"/>
      <c r="X968" s="17"/>
      <c r="Z968" s="17"/>
    </row>
    <row r="969" spans="1:26" ht="14.25" customHeight="1">
      <c r="A969" s="486" t="s">
        <v>2826</v>
      </c>
      <c r="B969" s="510" t="s">
        <v>350</v>
      </c>
      <c r="C969" s="511" t="s">
        <v>3011</v>
      </c>
      <c r="D969" s="481"/>
      <c r="E969" s="476">
        <v>197581</v>
      </c>
      <c r="F969" s="476"/>
      <c r="G969" s="476"/>
      <c r="H969" s="476"/>
      <c r="I969" s="476"/>
      <c r="J969" s="476" t="s">
        <v>2836</v>
      </c>
      <c r="K969" s="476" t="s">
        <v>2798</v>
      </c>
      <c r="L969" s="476" t="s">
        <v>2798</v>
      </c>
      <c r="M969" s="476"/>
      <c r="N969" s="476">
        <v>20.631229400634801</v>
      </c>
      <c r="O969" s="476">
        <v>92.641532897949205</v>
      </c>
      <c r="P969" s="476"/>
      <c r="Q969" s="476"/>
      <c r="R969" s="490"/>
      <c r="S969" s="483"/>
      <c r="T969" s="502">
        <v>43591</v>
      </c>
      <c r="U969" s="490"/>
      <c r="V969" s="476" t="s">
        <v>2975</v>
      </c>
      <c r="W969" s="482"/>
      <c r="X969" s="17"/>
      <c r="Z969" s="17"/>
    </row>
    <row r="970" spans="1:26" ht="14.25" customHeight="1">
      <c r="A970" s="476" t="s">
        <v>2826</v>
      </c>
      <c r="B970" s="500" t="s">
        <v>350</v>
      </c>
      <c r="C970" s="499" t="s">
        <v>591</v>
      </c>
      <c r="D970" s="481" t="s">
        <v>1685</v>
      </c>
      <c r="E970" s="476">
        <v>197616</v>
      </c>
      <c r="F970" s="476" t="s">
        <v>495</v>
      </c>
      <c r="G970" s="476"/>
      <c r="H970" s="476"/>
      <c r="I970" s="476"/>
      <c r="J970" s="476" t="s">
        <v>807</v>
      </c>
      <c r="K970" s="476" t="s">
        <v>807</v>
      </c>
      <c r="L970" s="476" t="s">
        <v>807</v>
      </c>
      <c r="M970" s="476" t="s">
        <v>307</v>
      </c>
      <c r="N970" s="476">
        <v>20.495670319999999</v>
      </c>
      <c r="O970" s="476">
        <v>92.651496890000004</v>
      </c>
      <c r="P970" s="476" t="s">
        <v>808</v>
      </c>
      <c r="Q970" s="476" t="s">
        <v>811</v>
      </c>
      <c r="R970" s="480"/>
      <c r="S970" s="480"/>
      <c r="T970" s="502">
        <v>42926</v>
      </c>
      <c r="U970" s="484" t="s">
        <v>812</v>
      </c>
      <c r="V970" s="476"/>
      <c r="W970" s="482"/>
      <c r="X970" s="17"/>
      <c r="Z970" s="17"/>
    </row>
    <row r="971" spans="1:26" ht="14.25" customHeight="1">
      <c r="A971" s="476" t="s">
        <v>2826</v>
      </c>
      <c r="B971" s="500" t="s">
        <v>350</v>
      </c>
      <c r="C971" s="499" t="s">
        <v>550</v>
      </c>
      <c r="D971" s="429" t="s">
        <v>1685</v>
      </c>
      <c r="E971" s="476">
        <v>197670</v>
      </c>
      <c r="F971" s="480"/>
      <c r="G971" s="476"/>
      <c r="H971" s="476"/>
      <c r="I971" s="476"/>
      <c r="J971" s="476" t="s">
        <v>807</v>
      </c>
      <c r="K971" s="476" t="s">
        <v>807</v>
      </c>
      <c r="L971" s="476" t="s">
        <v>807</v>
      </c>
      <c r="M971" s="476" t="s">
        <v>804</v>
      </c>
      <c r="N971" s="476">
        <v>20.6833992</v>
      </c>
      <c r="O971" s="476">
        <v>92.656608579999997</v>
      </c>
      <c r="P971" s="476" t="s">
        <v>808</v>
      </c>
      <c r="Q971" s="476" t="s">
        <v>789</v>
      </c>
      <c r="R971" s="486"/>
      <c r="S971" s="487"/>
      <c r="T971" s="502" t="s">
        <v>814</v>
      </c>
      <c r="U971" s="484"/>
      <c r="V971" s="476"/>
      <c r="W971" s="482"/>
      <c r="X971" s="17"/>
      <c r="Z971" s="17"/>
    </row>
    <row r="972" spans="1:26" ht="14.25" customHeight="1">
      <c r="A972" s="476" t="s">
        <v>2826</v>
      </c>
      <c r="B972" s="500" t="s">
        <v>350</v>
      </c>
      <c r="C972" s="499" t="s">
        <v>482</v>
      </c>
      <c r="D972" s="429" t="s">
        <v>1685</v>
      </c>
      <c r="E972" s="476" t="s">
        <v>1404</v>
      </c>
      <c r="F972" s="476"/>
      <c r="G972" s="476"/>
      <c r="H972" s="476" t="s">
        <v>43</v>
      </c>
      <c r="I972" s="476"/>
      <c r="J972" s="476" t="s">
        <v>807</v>
      </c>
      <c r="K972" s="476" t="s">
        <v>807</v>
      </c>
      <c r="L972" s="476" t="s">
        <v>1685</v>
      </c>
      <c r="M972" s="476" t="s">
        <v>804</v>
      </c>
      <c r="N972" s="476">
        <v>20.447261000000001</v>
      </c>
      <c r="O972" s="476">
        <v>92.639589000000001</v>
      </c>
      <c r="P972" s="476" t="s">
        <v>770</v>
      </c>
      <c r="Q972" s="476" t="s">
        <v>789</v>
      </c>
      <c r="R972" s="482"/>
      <c r="S972" s="482"/>
      <c r="T972" s="502"/>
      <c r="U972" s="484" t="s">
        <v>1934</v>
      </c>
      <c r="V972" s="476" t="s">
        <v>482</v>
      </c>
      <c r="W972" s="482"/>
      <c r="X972" s="17"/>
      <c r="Z972" s="17"/>
    </row>
    <row r="973" spans="1:26" ht="14.25" customHeight="1">
      <c r="A973" s="476" t="s">
        <v>2826</v>
      </c>
      <c r="B973" s="500" t="s">
        <v>350</v>
      </c>
      <c r="C973" s="499" t="s">
        <v>906</v>
      </c>
      <c r="D973" s="429" t="s">
        <v>1685</v>
      </c>
      <c r="E973" s="476">
        <v>197654</v>
      </c>
      <c r="F973" s="476"/>
      <c r="G973" s="476"/>
      <c r="H973" s="476"/>
      <c r="I973" s="476"/>
      <c r="J973" s="476" t="s">
        <v>888</v>
      </c>
      <c r="K973" s="476" t="s">
        <v>807</v>
      </c>
      <c r="L973" s="476" t="s">
        <v>807</v>
      </c>
      <c r="M973" s="476" t="s">
        <v>307</v>
      </c>
      <c r="N973" s="476">
        <v>20.447399140000002</v>
      </c>
      <c r="O973" s="476">
        <v>92.630462649999998</v>
      </c>
      <c r="P973" s="476" t="s">
        <v>808</v>
      </c>
      <c r="Q973" s="476"/>
      <c r="R973" s="486"/>
      <c r="S973" s="487"/>
      <c r="T973" s="502">
        <v>42849</v>
      </c>
      <c r="U973" s="484" t="s">
        <v>902</v>
      </c>
      <c r="V973" s="476" t="s">
        <v>482</v>
      </c>
      <c r="W973" s="482"/>
      <c r="X973" s="17"/>
      <c r="Z973" s="17"/>
    </row>
    <row r="974" spans="1:26" ht="14.25" customHeight="1">
      <c r="A974" s="476" t="s">
        <v>2826</v>
      </c>
      <c r="B974" s="500" t="s">
        <v>350</v>
      </c>
      <c r="C974" s="499" t="s">
        <v>531</v>
      </c>
      <c r="D974" s="429" t="s">
        <v>1685</v>
      </c>
      <c r="E974" s="476">
        <v>197695</v>
      </c>
      <c r="F974" s="476" t="s">
        <v>2893</v>
      </c>
      <c r="G974" s="476"/>
      <c r="H974" s="476"/>
      <c r="I974" s="476"/>
      <c r="J974" s="476" t="s">
        <v>807</v>
      </c>
      <c r="K974" s="476" t="s">
        <v>807</v>
      </c>
      <c r="L974" s="476" t="s">
        <v>807</v>
      </c>
      <c r="M974" s="476" t="s">
        <v>307</v>
      </c>
      <c r="N974" s="476">
        <v>20.651939389999999</v>
      </c>
      <c r="O974" s="476">
        <v>92.684577939999997</v>
      </c>
      <c r="P974" s="476" t="s">
        <v>808</v>
      </c>
      <c r="Q974" s="476" t="s">
        <v>811</v>
      </c>
      <c r="R974" s="486"/>
      <c r="S974" s="487"/>
      <c r="T974" s="502">
        <v>42926</v>
      </c>
      <c r="U974" s="484" t="s">
        <v>812</v>
      </c>
      <c r="V974" s="476"/>
      <c r="W974" s="482"/>
      <c r="X974" s="17"/>
      <c r="Z974" s="17"/>
    </row>
    <row r="975" spans="1:26" ht="14.25" customHeight="1">
      <c r="A975" s="476" t="s">
        <v>2826</v>
      </c>
      <c r="B975" s="500" t="s">
        <v>350</v>
      </c>
      <c r="C975" s="499" t="s">
        <v>486</v>
      </c>
      <c r="D975" s="429" t="s">
        <v>1685</v>
      </c>
      <c r="E975" s="476">
        <v>197629</v>
      </c>
      <c r="F975" s="480" t="s">
        <v>486</v>
      </c>
      <c r="G975" s="476"/>
      <c r="H975" s="476"/>
      <c r="I975" s="476"/>
      <c r="J975" s="476" t="s">
        <v>807</v>
      </c>
      <c r="K975" s="476" t="s">
        <v>807</v>
      </c>
      <c r="L975" s="476" t="s">
        <v>807</v>
      </c>
      <c r="M975" s="476" t="s">
        <v>307</v>
      </c>
      <c r="N975" s="476">
        <v>20.463909149999999</v>
      </c>
      <c r="O975" s="476">
        <v>92.675468440000003</v>
      </c>
      <c r="P975" s="476" t="s">
        <v>808</v>
      </c>
      <c r="Q975" s="476" t="s">
        <v>811</v>
      </c>
      <c r="R975" s="482"/>
      <c r="S975" s="482"/>
      <c r="T975" s="502">
        <v>42926</v>
      </c>
      <c r="U975" s="484" t="s">
        <v>812</v>
      </c>
      <c r="V975" s="476"/>
      <c r="W975" s="482"/>
      <c r="X975" s="17"/>
      <c r="Z975" s="17"/>
    </row>
    <row r="976" spans="1:26" ht="14.25" customHeight="1">
      <c r="A976" s="476" t="s">
        <v>2826</v>
      </c>
      <c r="B976" s="500" t="s">
        <v>350</v>
      </c>
      <c r="C976" s="520" t="s">
        <v>526</v>
      </c>
      <c r="D976" s="429" t="s">
        <v>1685</v>
      </c>
      <c r="E976" s="476">
        <v>197706</v>
      </c>
      <c r="F976" s="476" t="s">
        <v>526</v>
      </c>
      <c r="G976" s="476"/>
      <c r="H976" s="476"/>
      <c r="I976" s="492"/>
      <c r="J976" s="476" t="s">
        <v>807</v>
      </c>
      <c r="K976" s="476" t="s">
        <v>807</v>
      </c>
      <c r="L976" s="492" t="s">
        <v>807</v>
      </c>
      <c r="M976" s="476" t="s">
        <v>307</v>
      </c>
      <c r="N976" s="476">
        <v>20.643590929999998</v>
      </c>
      <c r="O976" s="476">
        <v>92.722618100000005</v>
      </c>
      <c r="P976" s="476" t="s">
        <v>808</v>
      </c>
      <c r="Q976" s="476" t="s">
        <v>789</v>
      </c>
      <c r="R976" s="482"/>
      <c r="S976" s="482"/>
      <c r="T976" s="502" t="s">
        <v>814</v>
      </c>
      <c r="U976" s="484"/>
      <c r="V976" s="476"/>
      <c r="W976" s="513"/>
      <c r="X976" s="17"/>
      <c r="Z976" s="17"/>
    </row>
    <row r="977" spans="1:26" ht="14.25" customHeight="1">
      <c r="A977" s="476" t="s">
        <v>2826</v>
      </c>
      <c r="B977" s="516" t="s">
        <v>350</v>
      </c>
      <c r="C977" s="521" t="s">
        <v>924</v>
      </c>
      <c r="D977" s="429" t="s">
        <v>1685</v>
      </c>
      <c r="E977" s="514">
        <v>197583</v>
      </c>
      <c r="F977" s="517"/>
      <c r="G977" s="517"/>
      <c r="H977" s="517"/>
      <c r="I977" s="492"/>
      <c r="J977" s="517" t="s">
        <v>807</v>
      </c>
      <c r="K977" s="517" t="s">
        <v>807</v>
      </c>
      <c r="L977" s="492" t="s">
        <v>807</v>
      </c>
      <c r="M977" s="517"/>
      <c r="N977" s="517">
        <v>20.598709110000001</v>
      </c>
      <c r="O977" s="517">
        <v>92.664337160000002</v>
      </c>
      <c r="P977" s="517" t="s">
        <v>808</v>
      </c>
      <c r="Q977" s="517"/>
      <c r="R977" s="482"/>
      <c r="S977" s="482"/>
      <c r="T977" s="518"/>
      <c r="U977" s="519"/>
      <c r="V977" s="517" t="s">
        <v>924</v>
      </c>
      <c r="W977" s="513"/>
      <c r="X977" s="17"/>
      <c r="Z977" s="17"/>
    </row>
    <row r="978" spans="1:26" ht="14.25" customHeight="1">
      <c r="A978" s="476" t="s">
        <v>2826</v>
      </c>
      <c r="B978" s="500" t="s">
        <v>350</v>
      </c>
      <c r="C978" s="499" t="s">
        <v>498</v>
      </c>
      <c r="D978" s="429" t="s">
        <v>1685</v>
      </c>
      <c r="E978" s="476">
        <v>197615</v>
      </c>
      <c r="F978" s="476"/>
      <c r="G978" s="476"/>
      <c r="H978" s="476"/>
      <c r="I978" s="476"/>
      <c r="J978" s="476" t="s">
        <v>807</v>
      </c>
      <c r="K978" s="476" t="s">
        <v>807</v>
      </c>
      <c r="L978" s="476" t="s">
        <v>807</v>
      </c>
      <c r="M978" s="476" t="s">
        <v>307</v>
      </c>
      <c r="N978" s="476">
        <v>20.502599719999999</v>
      </c>
      <c r="O978" s="476">
        <v>92.6474762</v>
      </c>
      <c r="P978" s="476" t="s">
        <v>808</v>
      </c>
      <c r="Q978" s="476" t="s">
        <v>811</v>
      </c>
      <c r="R978" s="486"/>
      <c r="S978" s="487"/>
      <c r="T978" s="502">
        <v>42926</v>
      </c>
      <c r="U978" s="484" t="s">
        <v>812</v>
      </c>
      <c r="V978" s="476"/>
      <c r="W978" s="482"/>
      <c r="X978" s="17"/>
      <c r="Z978" s="17"/>
    </row>
    <row r="979" spans="1:26" ht="14.25" customHeight="1">
      <c r="A979" s="476" t="s">
        <v>2826</v>
      </c>
      <c r="B979" s="500" t="s">
        <v>350</v>
      </c>
      <c r="C979" s="499" t="s">
        <v>915</v>
      </c>
      <c r="D979" s="429" t="s">
        <v>1685</v>
      </c>
      <c r="E979" s="476">
        <v>197608</v>
      </c>
      <c r="F979" s="476"/>
      <c r="G979" s="476"/>
      <c r="H979" s="476"/>
      <c r="I979" s="476"/>
      <c r="J979" s="476" t="s">
        <v>807</v>
      </c>
      <c r="K979" s="476" t="s">
        <v>807</v>
      </c>
      <c r="L979" s="476" t="s">
        <v>807</v>
      </c>
      <c r="M979" s="476" t="s">
        <v>307</v>
      </c>
      <c r="N979" s="476">
        <v>20.521270749999999</v>
      </c>
      <c r="O979" s="476">
        <v>92.686096190000001</v>
      </c>
      <c r="P979" s="476" t="s">
        <v>808</v>
      </c>
      <c r="Q979" s="476"/>
      <c r="R979" s="486"/>
      <c r="S979" s="487"/>
      <c r="T979" s="502"/>
      <c r="U979" s="484"/>
      <c r="V979" s="476" t="s">
        <v>915</v>
      </c>
      <c r="W979" s="482"/>
      <c r="X979" s="17"/>
      <c r="Z979" s="17"/>
    </row>
    <row r="980" spans="1:26" ht="14.25" customHeight="1">
      <c r="A980" s="476" t="s">
        <v>2826</v>
      </c>
      <c r="B980" s="500" t="s">
        <v>350</v>
      </c>
      <c r="C980" s="499" t="s">
        <v>493</v>
      </c>
      <c r="D980" s="429" t="s">
        <v>1685</v>
      </c>
      <c r="E980" s="476">
        <v>197618</v>
      </c>
      <c r="F980" s="480"/>
      <c r="G980" s="476"/>
      <c r="H980" s="476"/>
      <c r="I980" s="476"/>
      <c r="J980" s="476" t="s">
        <v>807</v>
      </c>
      <c r="K980" s="476" t="s">
        <v>807</v>
      </c>
      <c r="L980" s="476" t="s">
        <v>807</v>
      </c>
      <c r="M980" s="476" t="s">
        <v>307</v>
      </c>
      <c r="N980" s="476">
        <v>20.480100629999999</v>
      </c>
      <c r="O980" s="476">
        <v>92.70481873</v>
      </c>
      <c r="P980" s="476" t="s">
        <v>808</v>
      </c>
      <c r="Q980" s="476" t="s">
        <v>811</v>
      </c>
      <c r="R980" s="482"/>
      <c r="S980" s="482"/>
      <c r="T980" s="502">
        <v>42926</v>
      </c>
      <c r="U980" s="484" t="s">
        <v>812</v>
      </c>
      <c r="V980" s="476"/>
      <c r="W980" s="482"/>
      <c r="X980" s="17"/>
      <c r="Z980" s="17"/>
    </row>
    <row r="981" spans="1:26" ht="14.25" customHeight="1">
      <c r="A981" s="476" t="s">
        <v>2826</v>
      </c>
      <c r="B981" s="500" t="s">
        <v>350</v>
      </c>
      <c r="C981" s="499" t="s">
        <v>525</v>
      </c>
      <c r="D981" s="429" t="s">
        <v>1685</v>
      </c>
      <c r="E981" s="476">
        <v>197707</v>
      </c>
      <c r="F981" s="476"/>
      <c r="G981" s="476"/>
      <c r="H981" s="476"/>
      <c r="I981" s="476"/>
      <c r="J981" s="476" t="s">
        <v>807</v>
      </c>
      <c r="K981" s="476" t="s">
        <v>807</v>
      </c>
      <c r="L981" s="476" t="s">
        <v>807</v>
      </c>
      <c r="M981" s="476" t="s">
        <v>307</v>
      </c>
      <c r="N981" s="476">
        <v>20.639530180000001</v>
      </c>
      <c r="O981" s="476">
        <v>92.721908569999997</v>
      </c>
      <c r="P981" s="476" t="s">
        <v>808</v>
      </c>
      <c r="Q981" s="476" t="s">
        <v>789</v>
      </c>
      <c r="R981" s="482"/>
      <c r="S981" s="482"/>
      <c r="T981" s="502" t="s">
        <v>814</v>
      </c>
      <c r="U981" s="484"/>
      <c r="V981" s="476"/>
      <c r="W981" s="482"/>
      <c r="X981" s="17"/>
      <c r="Z981" s="17"/>
    </row>
    <row r="982" spans="1:26" ht="14.25" customHeight="1">
      <c r="A982" s="476" t="s">
        <v>2826</v>
      </c>
      <c r="B982" s="500" t="s">
        <v>350</v>
      </c>
      <c r="C982" s="499" t="s">
        <v>517</v>
      </c>
      <c r="D982" s="429" t="s">
        <v>1685</v>
      </c>
      <c r="E982" s="476">
        <v>197580</v>
      </c>
      <c r="F982" s="476"/>
      <c r="G982" s="476"/>
      <c r="H982" s="476"/>
      <c r="I982" s="476"/>
      <c r="J982" s="476" t="s">
        <v>807</v>
      </c>
      <c r="K982" s="476" t="s">
        <v>807</v>
      </c>
      <c r="L982" s="476" t="s">
        <v>807</v>
      </c>
      <c r="M982" s="476" t="s">
        <v>307</v>
      </c>
      <c r="N982" s="476">
        <v>20.582699999999999</v>
      </c>
      <c r="O982" s="476">
        <v>92.664699999999996</v>
      </c>
      <c r="P982" s="476" t="s">
        <v>808</v>
      </c>
      <c r="Q982" s="476" t="s">
        <v>789</v>
      </c>
      <c r="R982" s="482"/>
      <c r="S982" s="482"/>
      <c r="T982" s="502"/>
      <c r="U982" s="484"/>
      <c r="V982" s="476" t="s">
        <v>517</v>
      </c>
      <c r="W982" s="482"/>
      <c r="X982" s="17"/>
      <c r="Z982" s="17"/>
    </row>
    <row r="983" spans="1:26" ht="14.25" customHeight="1">
      <c r="A983" s="476" t="s">
        <v>2826</v>
      </c>
      <c r="B983" s="500" t="s">
        <v>350</v>
      </c>
      <c r="C983" s="499" t="s">
        <v>490</v>
      </c>
      <c r="D983" s="429" t="s">
        <v>1685</v>
      </c>
      <c r="E983" s="476">
        <v>197630</v>
      </c>
      <c r="F983" s="476"/>
      <c r="G983" s="476"/>
      <c r="H983" s="476"/>
      <c r="I983" s="476"/>
      <c r="J983" s="476" t="s">
        <v>807</v>
      </c>
      <c r="K983" s="476" t="s">
        <v>807</v>
      </c>
      <c r="L983" s="476" t="s">
        <v>807</v>
      </c>
      <c r="M983" s="476" t="s">
        <v>307</v>
      </c>
      <c r="N983" s="476">
        <v>20.470119480000001</v>
      </c>
      <c r="O983" s="476">
        <v>92.672653199999999</v>
      </c>
      <c r="P983" s="476" t="s">
        <v>808</v>
      </c>
      <c r="Q983" s="476" t="s">
        <v>811</v>
      </c>
      <c r="R983" s="486"/>
      <c r="S983" s="487"/>
      <c r="T983" s="502">
        <v>42926</v>
      </c>
      <c r="U983" s="484" t="s">
        <v>812</v>
      </c>
      <c r="V983" s="476"/>
      <c r="W983" s="482"/>
      <c r="X983" s="17"/>
      <c r="Z983" s="17"/>
    </row>
    <row r="984" spans="1:26" ht="14.25" customHeight="1">
      <c r="A984" s="476" t="s">
        <v>2826</v>
      </c>
      <c r="B984" s="500" t="s">
        <v>350</v>
      </c>
      <c r="C984" s="499" t="s">
        <v>1944</v>
      </c>
      <c r="D984" s="429"/>
      <c r="E984" s="476">
        <v>197611</v>
      </c>
      <c r="F984" s="476" t="s">
        <v>1944</v>
      </c>
      <c r="G984" s="476"/>
      <c r="H984" s="476"/>
      <c r="I984" s="476"/>
      <c r="J984" s="476" t="s">
        <v>807</v>
      </c>
      <c r="K984" s="476" t="s">
        <v>807</v>
      </c>
      <c r="L984" s="476" t="s">
        <v>807</v>
      </c>
      <c r="M984" s="476" t="s">
        <v>307</v>
      </c>
      <c r="N984" s="476">
        <v>20.504730219999999</v>
      </c>
      <c r="O984" s="476">
        <v>92.6831131</v>
      </c>
      <c r="P984" s="476" t="s">
        <v>808</v>
      </c>
      <c r="Q984" s="476" t="s">
        <v>1941</v>
      </c>
      <c r="R984" s="482"/>
      <c r="S984" s="482"/>
      <c r="T984" s="502">
        <v>43245</v>
      </c>
      <c r="U984" s="484"/>
      <c r="V984" s="476"/>
      <c r="W984" s="482"/>
      <c r="X984" s="17"/>
      <c r="Z984" s="17"/>
    </row>
    <row r="985" spans="1:26" ht="14.25" customHeight="1">
      <c r="A985" s="476" t="s">
        <v>2826</v>
      </c>
      <c r="B985" s="500" t="s">
        <v>350</v>
      </c>
      <c r="C985" s="499" t="s">
        <v>1945</v>
      </c>
      <c r="D985" s="429"/>
      <c r="E985" s="476">
        <v>197613</v>
      </c>
      <c r="F985" s="480"/>
      <c r="G985" s="476"/>
      <c r="H985" s="476"/>
      <c r="I985" s="476"/>
      <c r="J985" s="476" t="s">
        <v>807</v>
      </c>
      <c r="K985" s="476" t="s">
        <v>807</v>
      </c>
      <c r="L985" s="476" t="s">
        <v>807</v>
      </c>
      <c r="M985" s="476" t="s">
        <v>307</v>
      </c>
      <c r="N985" s="476">
        <v>20.49729919</v>
      </c>
      <c r="O985" s="476">
        <v>92.683097840000002</v>
      </c>
      <c r="P985" s="476" t="s">
        <v>808</v>
      </c>
      <c r="Q985" s="476" t="s">
        <v>1941</v>
      </c>
      <c r="R985" s="482"/>
      <c r="S985" s="482"/>
      <c r="T985" s="502">
        <v>43245</v>
      </c>
      <c r="U985" s="484"/>
      <c r="V985" s="476"/>
      <c r="W985" s="482"/>
      <c r="X985" s="17"/>
      <c r="Z985" s="17"/>
    </row>
    <row r="986" spans="1:26" ht="14.25" customHeight="1">
      <c r="A986" s="476" t="s">
        <v>2826</v>
      </c>
      <c r="B986" s="500" t="s">
        <v>350</v>
      </c>
      <c r="C986" s="499" t="s">
        <v>501</v>
      </c>
      <c r="D986" s="429" t="s">
        <v>1685</v>
      </c>
      <c r="E986" s="476">
        <v>197596</v>
      </c>
      <c r="F986" s="476"/>
      <c r="G986" s="476"/>
      <c r="H986" s="476"/>
      <c r="I986" s="476"/>
      <c r="J986" s="476" t="s">
        <v>807</v>
      </c>
      <c r="K986" s="476" t="s">
        <v>807</v>
      </c>
      <c r="L986" s="476" t="s">
        <v>807</v>
      </c>
      <c r="M986" s="476" t="s">
        <v>307</v>
      </c>
      <c r="N986" s="476">
        <v>20.511900000000001</v>
      </c>
      <c r="O986" s="476">
        <v>92.645300000000006</v>
      </c>
      <c r="P986" s="476" t="s">
        <v>808</v>
      </c>
      <c r="Q986" s="476" t="s">
        <v>789</v>
      </c>
      <c r="R986" s="482"/>
      <c r="S986" s="482"/>
      <c r="T986" s="502"/>
      <c r="U986" s="484"/>
      <c r="V986" s="476" t="s">
        <v>501</v>
      </c>
      <c r="W986" s="482"/>
      <c r="X986" s="17"/>
      <c r="Z986" s="17"/>
    </row>
    <row r="987" spans="1:26" ht="14.25" customHeight="1">
      <c r="A987" s="476" t="s">
        <v>2826</v>
      </c>
      <c r="B987" s="500" t="s">
        <v>350</v>
      </c>
      <c r="C987" s="499" t="s">
        <v>483</v>
      </c>
      <c r="D987" s="429" t="s">
        <v>1685</v>
      </c>
      <c r="E987" s="476">
        <v>197621</v>
      </c>
      <c r="F987" s="476"/>
      <c r="G987" s="476"/>
      <c r="H987" s="476"/>
      <c r="I987" s="476"/>
      <c r="J987" s="476" t="s">
        <v>807</v>
      </c>
      <c r="K987" s="476" t="s">
        <v>807</v>
      </c>
      <c r="L987" s="476" t="s">
        <v>807</v>
      </c>
      <c r="M987" s="476" t="s">
        <v>307</v>
      </c>
      <c r="N987" s="476">
        <v>20.453830719999999</v>
      </c>
      <c r="O987" s="476">
        <v>92.683090210000003</v>
      </c>
      <c r="P987" s="476" t="s">
        <v>808</v>
      </c>
      <c r="Q987" s="476" t="s">
        <v>811</v>
      </c>
      <c r="R987" s="486"/>
      <c r="S987" s="487"/>
      <c r="T987" s="502">
        <v>42926</v>
      </c>
      <c r="U987" s="484" t="s">
        <v>812</v>
      </c>
      <c r="V987" s="499"/>
      <c r="W987" s="482"/>
      <c r="X987" s="17"/>
      <c r="Z987" s="17"/>
    </row>
    <row r="988" spans="1:26" ht="14.25" customHeight="1">
      <c r="A988" s="476" t="s">
        <v>2826</v>
      </c>
      <c r="B988" s="500" t="s">
        <v>350</v>
      </c>
      <c r="C988" s="499" t="s">
        <v>524</v>
      </c>
      <c r="D988" s="429" t="s">
        <v>1685</v>
      </c>
      <c r="E988" s="476">
        <v>197690</v>
      </c>
      <c r="F988" s="476"/>
      <c r="G988" s="476"/>
      <c r="H988" s="476"/>
      <c r="I988" s="476"/>
      <c r="J988" s="476" t="s">
        <v>807</v>
      </c>
      <c r="K988" s="476" t="s">
        <v>807</v>
      </c>
      <c r="L988" s="476" t="s">
        <v>807</v>
      </c>
      <c r="M988" s="476" t="s">
        <v>307</v>
      </c>
      <c r="N988" s="476">
        <v>20.636510850000001</v>
      </c>
      <c r="O988" s="476">
        <v>92.713378910000003</v>
      </c>
      <c r="P988" s="476" t="s">
        <v>808</v>
      </c>
      <c r="Q988" s="476" t="s">
        <v>789</v>
      </c>
      <c r="R988" s="482"/>
      <c r="S988" s="482"/>
      <c r="T988" s="502" t="s">
        <v>814</v>
      </c>
      <c r="U988" s="484"/>
      <c r="V988" s="480"/>
      <c r="W988" s="482"/>
      <c r="X988" s="17"/>
      <c r="Z988" s="17"/>
    </row>
    <row r="989" spans="1:26" ht="14.25" customHeight="1">
      <c r="A989" s="476" t="s">
        <v>2826</v>
      </c>
      <c r="B989" s="500" t="s">
        <v>350</v>
      </c>
      <c r="C989" s="499" t="s">
        <v>510</v>
      </c>
      <c r="D989" s="429" t="s">
        <v>1685</v>
      </c>
      <c r="E989" s="476">
        <v>197597</v>
      </c>
      <c r="F989" s="480"/>
      <c r="G989" s="476"/>
      <c r="H989" s="476"/>
      <c r="I989" s="476"/>
      <c r="J989" s="476" t="s">
        <v>807</v>
      </c>
      <c r="K989" s="476" t="s">
        <v>807</v>
      </c>
      <c r="L989" s="476" t="s">
        <v>807</v>
      </c>
      <c r="M989" s="476" t="s">
        <v>804</v>
      </c>
      <c r="N989" s="476">
        <v>20.550769809999998</v>
      </c>
      <c r="O989" s="476">
        <v>92.650512699999993</v>
      </c>
      <c r="P989" s="476" t="s">
        <v>808</v>
      </c>
      <c r="Q989" s="476" t="s">
        <v>789</v>
      </c>
      <c r="R989" s="482"/>
      <c r="S989" s="482"/>
      <c r="T989" s="502"/>
      <c r="U989" s="484"/>
      <c r="V989" s="476" t="s">
        <v>510</v>
      </c>
      <c r="W989" s="482"/>
      <c r="X989" s="17"/>
      <c r="Z989" s="17"/>
    </row>
    <row r="990" spans="1:26" ht="14.25" customHeight="1">
      <c r="A990" s="476" t="s">
        <v>2826</v>
      </c>
      <c r="B990" s="500" t="s">
        <v>350</v>
      </c>
      <c r="C990" s="499" t="s">
        <v>470</v>
      </c>
      <c r="D990" s="429" t="s">
        <v>2352</v>
      </c>
      <c r="E990" s="476" t="s">
        <v>1396</v>
      </c>
      <c r="F990" s="476"/>
      <c r="G990" s="476"/>
      <c r="H990" s="476"/>
      <c r="I990" s="476"/>
      <c r="J990" s="476" t="s">
        <v>807</v>
      </c>
      <c r="K990" s="476" t="s">
        <v>807</v>
      </c>
      <c r="L990" s="476" t="s">
        <v>892</v>
      </c>
      <c r="M990" s="476" t="s">
        <v>804</v>
      </c>
      <c r="N990" s="476">
        <v>20.335864000000001</v>
      </c>
      <c r="O990" s="476">
        <v>92.785706000000005</v>
      </c>
      <c r="P990" s="476" t="s">
        <v>808</v>
      </c>
      <c r="Q990" s="476" t="s">
        <v>789</v>
      </c>
      <c r="R990" s="482">
        <v>56</v>
      </c>
      <c r="S990" s="483">
        <v>332</v>
      </c>
      <c r="T990" s="502"/>
      <c r="U990" s="484"/>
      <c r="V990" s="476" t="s">
        <v>893</v>
      </c>
      <c r="W990" s="482"/>
      <c r="X990" s="17"/>
      <c r="Z990" s="17"/>
    </row>
    <row r="991" spans="1:26" ht="14.25" customHeight="1">
      <c r="A991" s="476" t="s">
        <v>2826</v>
      </c>
      <c r="B991" s="500" t="s">
        <v>350</v>
      </c>
      <c r="C991" s="499" t="s">
        <v>471</v>
      </c>
      <c r="D991" s="429" t="s">
        <v>1685</v>
      </c>
      <c r="E991" s="476">
        <v>197779</v>
      </c>
      <c r="F991" s="476"/>
      <c r="G991" s="476"/>
      <c r="H991" s="476"/>
      <c r="I991" s="476"/>
      <c r="J991" s="476" t="s">
        <v>807</v>
      </c>
      <c r="K991" s="476" t="s">
        <v>807</v>
      </c>
      <c r="L991" s="476" t="s">
        <v>807</v>
      </c>
      <c r="M991" s="476" t="s">
        <v>307</v>
      </c>
      <c r="N991" s="476">
        <v>20.339799880000001</v>
      </c>
      <c r="O991" s="476">
        <v>92.782653809999999</v>
      </c>
      <c r="P991" s="476" t="s">
        <v>808</v>
      </c>
      <c r="Q991" s="476" t="s">
        <v>789</v>
      </c>
      <c r="R991" s="486"/>
      <c r="S991" s="487"/>
      <c r="T991" s="502"/>
      <c r="U991" s="484"/>
      <c r="V991" s="476"/>
      <c r="W991" s="482"/>
      <c r="X991" s="17"/>
      <c r="Z991" s="17"/>
    </row>
    <row r="992" spans="1:26" ht="14.25" customHeight="1">
      <c r="A992" s="476" t="s">
        <v>2826</v>
      </c>
      <c r="B992" s="500" t="s">
        <v>350</v>
      </c>
      <c r="C992" s="499" t="s">
        <v>559</v>
      </c>
      <c r="D992" s="429" t="s">
        <v>1685</v>
      </c>
      <c r="E992" s="476">
        <v>197671</v>
      </c>
      <c r="F992" s="476"/>
      <c r="G992" s="476"/>
      <c r="H992" s="476"/>
      <c r="I992" s="476"/>
      <c r="J992" s="476" t="s">
        <v>807</v>
      </c>
      <c r="K992" s="476" t="s">
        <v>807</v>
      </c>
      <c r="L992" s="476" t="s">
        <v>807</v>
      </c>
      <c r="M992" s="476" t="s">
        <v>307</v>
      </c>
      <c r="N992" s="476">
        <v>20.694499969999999</v>
      </c>
      <c r="O992" s="476">
        <v>92.647750849999994</v>
      </c>
      <c r="P992" s="476" t="s">
        <v>808</v>
      </c>
      <c r="Q992" s="476" t="s">
        <v>789</v>
      </c>
      <c r="R992" s="482"/>
      <c r="S992" s="482"/>
      <c r="T992" s="502" t="s">
        <v>789</v>
      </c>
      <c r="U992" s="484"/>
      <c r="V992" s="480"/>
      <c r="W992" s="482"/>
      <c r="X992" s="17"/>
      <c r="Z992" s="17"/>
    </row>
    <row r="993" spans="1:26" ht="14.25" customHeight="1">
      <c r="A993" s="476" t="s">
        <v>2826</v>
      </c>
      <c r="B993" s="500" t="s">
        <v>350</v>
      </c>
      <c r="C993" s="499" t="s">
        <v>552</v>
      </c>
      <c r="D993" s="429" t="s">
        <v>1685</v>
      </c>
      <c r="E993" s="476">
        <v>197672</v>
      </c>
      <c r="F993" s="476" t="s">
        <v>552</v>
      </c>
      <c r="G993" s="476"/>
      <c r="H993" s="476"/>
      <c r="I993" s="476"/>
      <c r="J993" s="476" t="s">
        <v>807</v>
      </c>
      <c r="K993" s="476" t="s">
        <v>807</v>
      </c>
      <c r="L993" s="476" t="s">
        <v>807</v>
      </c>
      <c r="M993" s="476" t="s">
        <v>307</v>
      </c>
      <c r="N993" s="476">
        <v>20.686460490000002</v>
      </c>
      <c r="O993" s="476">
        <v>92.682327270000002</v>
      </c>
      <c r="P993" s="476" t="s">
        <v>808</v>
      </c>
      <c r="Q993" s="476" t="s">
        <v>789</v>
      </c>
      <c r="R993" s="482"/>
      <c r="S993" s="482"/>
      <c r="T993" s="502" t="s">
        <v>789</v>
      </c>
      <c r="U993" s="484"/>
      <c r="V993" s="480"/>
      <c r="W993" s="482"/>
      <c r="X993" s="17"/>
      <c r="Z993" s="17"/>
    </row>
    <row r="994" spans="1:26" ht="14.25" customHeight="1">
      <c r="A994" s="476" t="s">
        <v>2826</v>
      </c>
      <c r="B994" s="500" t="s">
        <v>350</v>
      </c>
      <c r="C994" s="499" t="s">
        <v>556</v>
      </c>
      <c r="D994" s="429" t="s">
        <v>1685</v>
      </c>
      <c r="E994" s="476">
        <v>197669</v>
      </c>
      <c r="F994" s="480"/>
      <c r="G994" s="476"/>
      <c r="H994" s="476"/>
      <c r="I994" s="476"/>
      <c r="J994" s="476" t="s">
        <v>2836</v>
      </c>
      <c r="K994" s="476" t="s">
        <v>2798</v>
      </c>
      <c r="L994" s="476" t="s">
        <v>2798</v>
      </c>
      <c r="M994" s="476" t="s">
        <v>307</v>
      </c>
      <c r="N994" s="476">
        <v>20.688629150000001</v>
      </c>
      <c r="O994" s="476">
        <v>92.652481080000001</v>
      </c>
      <c r="P994" s="476" t="s">
        <v>808</v>
      </c>
      <c r="Q994" s="476" t="s">
        <v>789</v>
      </c>
      <c r="R994" s="482"/>
      <c r="S994" s="482"/>
      <c r="T994" s="502" t="s">
        <v>814</v>
      </c>
      <c r="U994" s="484"/>
      <c r="V994" s="476"/>
      <c r="W994" s="482"/>
      <c r="X994" s="17"/>
      <c r="Z994" s="17"/>
    </row>
    <row r="995" spans="1:26" ht="14.25" customHeight="1">
      <c r="A995" s="476" t="s">
        <v>2826</v>
      </c>
      <c r="B995" s="507" t="s">
        <v>350</v>
      </c>
      <c r="C995" s="512" t="s">
        <v>502</v>
      </c>
      <c r="D995" s="429" t="s">
        <v>1685</v>
      </c>
      <c r="E995" s="492">
        <v>197609</v>
      </c>
      <c r="F995" s="476"/>
      <c r="G995" s="476"/>
      <c r="H995" s="492"/>
      <c r="I995" s="492"/>
      <c r="J995" s="492" t="s">
        <v>807</v>
      </c>
      <c r="K995" s="492" t="s">
        <v>807</v>
      </c>
      <c r="L995" s="492" t="s">
        <v>807</v>
      </c>
      <c r="M995" s="492" t="s">
        <v>307</v>
      </c>
      <c r="N995" s="492">
        <v>20.5177002</v>
      </c>
      <c r="O995" s="492">
        <v>92.660263060000005</v>
      </c>
      <c r="P995" s="476" t="s">
        <v>808</v>
      </c>
      <c r="Q995" s="493" t="s">
        <v>789</v>
      </c>
      <c r="R995" s="482"/>
      <c r="S995" s="482"/>
      <c r="T995" s="504"/>
      <c r="U995" s="492"/>
      <c r="V995" s="476" t="s">
        <v>502</v>
      </c>
      <c r="W995" s="482"/>
      <c r="X995" s="17"/>
      <c r="Z995" s="17"/>
    </row>
    <row r="996" spans="1:26" ht="14.25" customHeight="1">
      <c r="A996" s="476" t="s">
        <v>2826</v>
      </c>
      <c r="B996" s="500" t="s">
        <v>350</v>
      </c>
      <c r="C996" s="499" t="s">
        <v>506</v>
      </c>
      <c r="D996" s="429" t="s">
        <v>1685</v>
      </c>
      <c r="E996" s="476">
        <v>197599</v>
      </c>
      <c r="F996" s="476"/>
      <c r="G996" s="476"/>
      <c r="H996" s="476"/>
      <c r="I996" s="476"/>
      <c r="J996" s="476" t="s">
        <v>807</v>
      </c>
      <c r="K996" s="476" t="s">
        <v>807</v>
      </c>
      <c r="L996" s="476" t="s">
        <v>807</v>
      </c>
      <c r="M996" s="476" t="s">
        <v>307</v>
      </c>
      <c r="N996" s="476">
        <v>20.543479919999999</v>
      </c>
      <c r="O996" s="476">
        <v>92.676979059999994</v>
      </c>
      <c r="P996" s="476" t="s">
        <v>808</v>
      </c>
      <c r="Q996" s="476" t="s">
        <v>789</v>
      </c>
      <c r="R996" s="482"/>
      <c r="S996" s="482"/>
      <c r="T996" s="502"/>
      <c r="U996" s="484"/>
      <c r="V996" s="476" t="s">
        <v>506</v>
      </c>
      <c r="W996" s="482"/>
      <c r="X996" s="17"/>
      <c r="Z996" s="17"/>
    </row>
    <row r="997" spans="1:26" ht="14.25" customHeight="1">
      <c r="A997" s="476" t="s">
        <v>2826</v>
      </c>
      <c r="B997" s="500" t="s">
        <v>350</v>
      </c>
      <c r="C997" s="499" t="s">
        <v>547</v>
      </c>
      <c r="D997" s="481" t="s">
        <v>1685</v>
      </c>
      <c r="E997" s="476">
        <v>197683</v>
      </c>
      <c r="F997" s="480"/>
      <c r="G997" s="476"/>
      <c r="H997" s="476"/>
      <c r="I997" s="476"/>
      <c r="J997" s="476" t="s">
        <v>2836</v>
      </c>
      <c r="K997" s="476" t="s">
        <v>2798</v>
      </c>
      <c r="L997" s="476" t="s">
        <v>2798</v>
      </c>
      <c r="M997" s="476" t="s">
        <v>307</v>
      </c>
      <c r="N997" s="476">
        <v>20.678159709999999</v>
      </c>
      <c r="O997" s="476">
        <v>92.713821409999994</v>
      </c>
      <c r="P997" s="476" t="s">
        <v>808</v>
      </c>
      <c r="Q997" s="476" t="s">
        <v>789</v>
      </c>
      <c r="R997" s="480"/>
      <c r="S997" s="480"/>
      <c r="T997" s="502" t="s">
        <v>789</v>
      </c>
      <c r="U997" s="484"/>
      <c r="V997" s="476"/>
      <c r="W997" s="482"/>
      <c r="X997" s="17"/>
      <c r="Z997" s="17"/>
    </row>
    <row r="998" spans="1:26" ht="14.25" customHeight="1">
      <c r="A998" s="476" t="s">
        <v>2826</v>
      </c>
      <c r="B998" s="510" t="s">
        <v>350</v>
      </c>
      <c r="C998" s="511" t="s">
        <v>919</v>
      </c>
      <c r="D998" s="481" t="s">
        <v>1685</v>
      </c>
      <c r="E998" s="476">
        <v>220694</v>
      </c>
      <c r="F998" s="476"/>
      <c r="G998" s="476"/>
      <c r="H998" s="476"/>
      <c r="I998" s="476"/>
      <c r="J998" s="476" t="s">
        <v>807</v>
      </c>
      <c r="K998" s="476" t="s">
        <v>807</v>
      </c>
      <c r="L998" s="480" t="s">
        <v>807</v>
      </c>
      <c r="M998" s="476" t="s">
        <v>307</v>
      </c>
      <c r="N998" s="476">
        <v>20.581470490000001</v>
      </c>
      <c r="O998" s="476">
        <v>92.643272400000001</v>
      </c>
      <c r="P998" s="476" t="s">
        <v>808</v>
      </c>
      <c r="Q998" s="476"/>
      <c r="R998" s="490"/>
      <c r="S998" s="483"/>
      <c r="T998" s="502"/>
      <c r="U998" s="484"/>
      <c r="V998" s="476" t="s">
        <v>920</v>
      </c>
      <c r="W998" s="482"/>
      <c r="X998" s="17"/>
      <c r="Z998" s="17"/>
    </row>
    <row r="999" spans="1:26" ht="14.25" customHeight="1">
      <c r="A999" s="476" t="s">
        <v>2826</v>
      </c>
      <c r="B999" s="500" t="s">
        <v>350</v>
      </c>
      <c r="C999" s="499" t="s">
        <v>351</v>
      </c>
      <c r="D999" s="429" t="s">
        <v>1685</v>
      </c>
      <c r="E999" s="476"/>
      <c r="F999" s="476"/>
      <c r="G999" s="476"/>
      <c r="H999" s="476"/>
      <c r="I999" s="476"/>
      <c r="J999" s="476" t="s">
        <v>807</v>
      </c>
      <c r="K999" s="476" t="s">
        <v>807</v>
      </c>
      <c r="L999" s="476" t="s">
        <v>807</v>
      </c>
      <c r="M999" s="476" t="s">
        <v>307</v>
      </c>
      <c r="N999" s="476"/>
      <c r="O999" s="476"/>
      <c r="P999" s="476" t="s">
        <v>808</v>
      </c>
      <c r="Q999" s="476" t="s">
        <v>789</v>
      </c>
      <c r="R999" s="486"/>
      <c r="S999" s="487"/>
      <c r="T999" s="502" t="s">
        <v>814</v>
      </c>
      <c r="U999" s="484"/>
      <c r="V999" s="476"/>
      <c r="W999" s="482"/>
      <c r="X999" s="17"/>
      <c r="Z999" s="17"/>
    </row>
    <row r="1000" spans="1:26" ht="14.25" customHeight="1">
      <c r="A1000" s="476" t="s">
        <v>2826</v>
      </c>
      <c r="B1000" s="500" t="s">
        <v>350</v>
      </c>
      <c r="C1000" s="499" t="s">
        <v>2894</v>
      </c>
      <c r="D1000" s="429" t="s">
        <v>1685</v>
      </c>
      <c r="E1000" s="476">
        <v>197586</v>
      </c>
      <c r="F1000" s="476" t="s">
        <v>2066</v>
      </c>
      <c r="G1000" s="476"/>
      <c r="H1000" s="476"/>
      <c r="I1000" s="476"/>
      <c r="J1000" s="476" t="s">
        <v>807</v>
      </c>
      <c r="K1000" s="476" t="s">
        <v>807</v>
      </c>
      <c r="L1000" s="476" t="s">
        <v>807</v>
      </c>
      <c r="M1000" s="476" t="s">
        <v>307</v>
      </c>
      <c r="N1000" s="476">
        <v>20.58996964</v>
      </c>
      <c r="O1000" s="476">
        <v>92.691757199999998</v>
      </c>
      <c r="P1000" s="476" t="s">
        <v>808</v>
      </c>
      <c r="Q1000" s="476" t="s">
        <v>789</v>
      </c>
      <c r="R1000" s="482"/>
      <c r="S1000" s="482"/>
      <c r="T1000" s="502"/>
      <c r="U1000" s="484"/>
      <c r="V1000" s="476" t="s">
        <v>519</v>
      </c>
      <c r="W1000" s="515"/>
      <c r="X1000" s="17"/>
      <c r="Z1000" s="17"/>
    </row>
    <row r="1001" spans="1:26" ht="14.25" customHeight="1">
      <c r="A1001" s="476" t="s">
        <v>2826</v>
      </c>
      <c r="B1001" s="500" t="s">
        <v>350</v>
      </c>
      <c r="C1001" s="499" t="s">
        <v>3010</v>
      </c>
      <c r="D1001" s="429" t="s">
        <v>1685</v>
      </c>
      <c r="E1001" s="476">
        <v>197589</v>
      </c>
      <c r="F1001" s="476" t="s">
        <v>917</v>
      </c>
      <c r="G1001" s="476"/>
      <c r="H1001" s="476"/>
      <c r="I1001" s="476"/>
      <c r="J1001" s="476" t="s">
        <v>2836</v>
      </c>
      <c r="K1001" s="476" t="s">
        <v>2798</v>
      </c>
      <c r="L1001" s="476" t="s">
        <v>2798</v>
      </c>
      <c r="M1001" s="476"/>
      <c r="N1001" s="476">
        <v>20.575780868530298</v>
      </c>
      <c r="O1001" s="476">
        <v>92.670402526855497</v>
      </c>
      <c r="P1001" s="476"/>
      <c r="Q1001" s="476"/>
      <c r="R1001" s="482"/>
      <c r="S1001" s="483"/>
      <c r="T1001" s="502"/>
      <c r="U1001" s="484"/>
      <c r="V1001" s="476" t="s">
        <v>2973</v>
      </c>
      <c r="W1001" s="482"/>
      <c r="X1001" s="17"/>
      <c r="Z1001" s="17"/>
    </row>
    <row r="1002" spans="1:26" ht="14.25" customHeight="1">
      <c r="A1002" s="486" t="s">
        <v>2826</v>
      </c>
      <c r="B1002" s="510" t="s">
        <v>350</v>
      </c>
      <c r="C1002" s="511" t="s">
        <v>2979</v>
      </c>
      <c r="D1002" s="481"/>
      <c r="E1002" s="476"/>
      <c r="F1002" s="476"/>
      <c r="G1002" s="476"/>
      <c r="H1002" s="476"/>
      <c r="I1002" s="476"/>
      <c r="J1002" s="476" t="s">
        <v>2836</v>
      </c>
      <c r="K1002" s="476" t="s">
        <v>2798</v>
      </c>
      <c r="L1002" s="476" t="s">
        <v>2798</v>
      </c>
      <c r="M1002" s="476"/>
      <c r="N1002" s="476"/>
      <c r="O1002" s="476"/>
      <c r="P1002" s="476"/>
      <c r="Q1002" s="476"/>
      <c r="R1002" s="490"/>
      <c r="S1002" s="483"/>
      <c r="T1002" s="502">
        <v>43591</v>
      </c>
      <c r="U1002" s="490"/>
      <c r="V1002" s="487" t="s">
        <v>2979</v>
      </c>
      <c r="W1002" s="482"/>
      <c r="X1002" s="17"/>
      <c r="Z1002" s="17"/>
    </row>
    <row r="1003" spans="1:26" ht="14.25" customHeight="1">
      <c r="A1003" s="476" t="s">
        <v>2826</v>
      </c>
      <c r="B1003" s="500" t="s">
        <v>350</v>
      </c>
      <c r="C1003" s="499" t="s">
        <v>896</v>
      </c>
      <c r="D1003" s="429" t="s">
        <v>1685</v>
      </c>
      <c r="E1003" s="476">
        <v>197765</v>
      </c>
      <c r="F1003" s="476"/>
      <c r="G1003" s="476"/>
      <c r="H1003" s="476"/>
      <c r="I1003" s="476"/>
      <c r="J1003" s="476" t="s">
        <v>807</v>
      </c>
      <c r="K1003" s="476" t="s">
        <v>807</v>
      </c>
      <c r="L1003" s="476" t="s">
        <v>807</v>
      </c>
      <c r="M1003" s="476" t="s">
        <v>307</v>
      </c>
      <c r="N1003" s="476">
        <v>20.3917</v>
      </c>
      <c r="O1003" s="476">
        <v>92.770899999999997</v>
      </c>
      <c r="P1003" s="476" t="s">
        <v>808</v>
      </c>
      <c r="Q1003" s="476"/>
      <c r="R1003" s="482"/>
      <c r="S1003" s="482"/>
      <c r="T1003" s="502"/>
      <c r="U1003" s="484"/>
      <c r="V1003" s="476" t="s">
        <v>896</v>
      </c>
      <c r="W1003" s="482"/>
      <c r="X1003" s="17"/>
      <c r="Z1003" s="17"/>
    </row>
    <row r="1004" spans="1:26" ht="14.25" customHeight="1">
      <c r="A1004" s="486" t="s">
        <v>2826</v>
      </c>
      <c r="B1004" s="510" t="s">
        <v>350</v>
      </c>
      <c r="C1004" s="511" t="s">
        <v>2980</v>
      </c>
      <c r="D1004" s="481"/>
      <c r="E1004" s="476"/>
      <c r="F1004" s="476"/>
      <c r="G1004" s="476"/>
      <c r="H1004" s="476"/>
      <c r="I1004" s="476"/>
      <c r="J1004" s="476" t="s">
        <v>2836</v>
      </c>
      <c r="K1004" s="476" t="s">
        <v>2798</v>
      </c>
      <c r="L1004" s="476" t="s">
        <v>2798</v>
      </c>
      <c r="M1004" s="476"/>
      <c r="N1004" s="476"/>
      <c r="O1004" s="476"/>
      <c r="P1004" s="476"/>
      <c r="Q1004" s="476"/>
      <c r="R1004" s="490"/>
      <c r="S1004" s="483"/>
      <c r="T1004" s="502">
        <v>43591</v>
      </c>
      <c r="U1004" s="490"/>
      <c r="V1004" s="476"/>
      <c r="W1004" s="482"/>
      <c r="X1004" s="17"/>
      <c r="Z1004" s="17"/>
    </row>
    <row r="1005" spans="1:26" ht="14.25" customHeight="1">
      <c r="A1005" s="476" t="s">
        <v>2826</v>
      </c>
      <c r="B1005" s="500" t="s">
        <v>350</v>
      </c>
      <c r="C1005" s="499" t="s">
        <v>574</v>
      </c>
      <c r="D1005" s="429" t="s">
        <v>1685</v>
      </c>
      <c r="E1005" s="476">
        <v>197666</v>
      </c>
      <c r="F1005" s="476"/>
      <c r="G1005" s="476"/>
      <c r="H1005" s="476"/>
      <c r="I1005" s="476"/>
      <c r="J1005" s="476" t="s">
        <v>807</v>
      </c>
      <c r="K1005" s="476" t="s">
        <v>807</v>
      </c>
      <c r="L1005" s="476" t="s">
        <v>807</v>
      </c>
      <c r="M1005" s="476" t="s">
        <v>804</v>
      </c>
      <c r="N1005" s="476">
        <v>20.716560359999999</v>
      </c>
      <c r="O1005" s="476">
        <v>92.645408630000006</v>
      </c>
      <c r="P1005" s="476" t="s">
        <v>808</v>
      </c>
      <c r="Q1005" s="476" t="s">
        <v>789</v>
      </c>
      <c r="R1005" s="486"/>
      <c r="S1005" s="487"/>
      <c r="T1005" s="502" t="s">
        <v>814</v>
      </c>
      <c r="U1005" s="484"/>
      <c r="V1005" s="476"/>
      <c r="W1005" s="482"/>
      <c r="X1005" s="17"/>
      <c r="Z1005" s="17"/>
    </row>
    <row r="1006" spans="1:26" ht="14.25" customHeight="1">
      <c r="A1006" s="476" t="s">
        <v>2826</v>
      </c>
      <c r="B1006" s="500" t="s">
        <v>350</v>
      </c>
      <c r="C1006" s="499" t="s">
        <v>584</v>
      </c>
      <c r="D1006" s="429" t="s">
        <v>1685</v>
      </c>
      <c r="E1006" s="476">
        <v>197665</v>
      </c>
      <c r="F1006" s="476"/>
      <c r="G1006" s="476"/>
      <c r="H1006" s="476"/>
      <c r="I1006" s="476"/>
      <c r="J1006" s="476" t="s">
        <v>807</v>
      </c>
      <c r="K1006" s="476" t="s">
        <v>807</v>
      </c>
      <c r="L1006" s="476" t="s">
        <v>807</v>
      </c>
      <c r="M1006" s="476" t="s">
        <v>307</v>
      </c>
      <c r="N1006" s="476">
        <v>20.72533035</v>
      </c>
      <c r="O1006" s="476">
        <v>92.64795685</v>
      </c>
      <c r="P1006" s="476" t="s">
        <v>808</v>
      </c>
      <c r="Q1006" s="476" t="s">
        <v>789</v>
      </c>
      <c r="R1006" s="486"/>
      <c r="S1006" s="487"/>
      <c r="T1006" s="502" t="s">
        <v>814</v>
      </c>
      <c r="U1006" s="484"/>
      <c r="V1006" s="476"/>
      <c r="W1006" s="482"/>
      <c r="X1006" s="17"/>
      <c r="Z1006" s="17"/>
    </row>
    <row r="1007" spans="1:26" ht="14.25" customHeight="1">
      <c r="A1007" s="476" t="s">
        <v>2826</v>
      </c>
      <c r="B1007" s="500" t="s">
        <v>350</v>
      </c>
      <c r="C1007" s="499" t="s">
        <v>504</v>
      </c>
      <c r="D1007" s="429" t="s">
        <v>1685</v>
      </c>
      <c r="E1007" s="476">
        <v>197595</v>
      </c>
      <c r="F1007" s="476" t="s">
        <v>514</v>
      </c>
      <c r="G1007" s="476"/>
      <c r="H1007" s="476"/>
      <c r="I1007" s="476"/>
      <c r="J1007" s="476" t="s">
        <v>807</v>
      </c>
      <c r="K1007" s="476" t="s">
        <v>807</v>
      </c>
      <c r="L1007" s="476" t="s">
        <v>807</v>
      </c>
      <c r="M1007" s="476" t="s">
        <v>307</v>
      </c>
      <c r="N1007" s="476">
        <v>20.523090360000001</v>
      </c>
      <c r="O1007" s="476">
        <v>92.637947080000004</v>
      </c>
      <c r="P1007" s="476" t="s">
        <v>808</v>
      </c>
      <c r="Q1007" s="476" t="s">
        <v>789</v>
      </c>
      <c r="R1007" s="482"/>
      <c r="S1007" s="483"/>
      <c r="T1007" s="502"/>
      <c r="U1007" s="484"/>
      <c r="V1007" s="476" t="s">
        <v>504</v>
      </c>
      <c r="W1007" s="482"/>
      <c r="X1007" s="17"/>
      <c r="Z1007" s="17"/>
    </row>
    <row r="1008" spans="1:26" ht="14.25" customHeight="1">
      <c r="A1008" s="486" t="s">
        <v>2826</v>
      </c>
      <c r="B1008" s="510" t="s">
        <v>350</v>
      </c>
      <c r="C1008" s="511" t="s">
        <v>2978</v>
      </c>
      <c r="D1008" s="481"/>
      <c r="E1008" s="476">
        <v>197677</v>
      </c>
      <c r="F1008" s="476"/>
      <c r="G1008" s="476"/>
      <c r="H1008" s="476"/>
      <c r="I1008" s="476"/>
      <c r="J1008" s="476" t="s">
        <v>2836</v>
      </c>
      <c r="K1008" s="476" t="s">
        <v>2798</v>
      </c>
      <c r="L1008" s="476" t="s">
        <v>2798</v>
      </c>
      <c r="M1008" s="476"/>
      <c r="N1008" s="476">
        <v>20.660871505737301</v>
      </c>
      <c r="O1008" s="476">
        <v>92.683090209960895</v>
      </c>
      <c r="P1008" s="476"/>
      <c r="Q1008" s="476"/>
      <c r="R1008" s="490"/>
      <c r="S1008" s="483"/>
      <c r="T1008" s="502">
        <v>43591</v>
      </c>
      <c r="U1008" s="490"/>
      <c r="V1008" s="476"/>
      <c r="W1008" s="482"/>
      <c r="X1008" s="17"/>
      <c r="Z1008" s="17"/>
    </row>
    <row r="1009" spans="1:26" ht="14.25" customHeight="1">
      <c r="A1009" s="476" t="s">
        <v>2826</v>
      </c>
      <c r="B1009" s="500" t="s">
        <v>350</v>
      </c>
      <c r="C1009" s="499" t="s">
        <v>509</v>
      </c>
      <c r="D1009" s="429" t="s">
        <v>1685</v>
      </c>
      <c r="E1009" s="476">
        <v>197600</v>
      </c>
      <c r="F1009" s="476"/>
      <c r="G1009" s="476"/>
      <c r="H1009" s="476"/>
      <c r="I1009" s="476"/>
      <c r="J1009" s="476" t="s">
        <v>807</v>
      </c>
      <c r="K1009" s="476" t="s">
        <v>807</v>
      </c>
      <c r="L1009" s="476" t="s">
        <v>807</v>
      </c>
      <c r="M1009" s="476" t="s">
        <v>804</v>
      </c>
      <c r="N1009" s="476">
        <v>20.550130840000001</v>
      </c>
      <c r="O1009" s="476">
        <v>92.656723020000001</v>
      </c>
      <c r="P1009" s="476" t="s">
        <v>808</v>
      </c>
      <c r="Q1009" s="476" t="s">
        <v>789</v>
      </c>
      <c r="R1009" s="482"/>
      <c r="S1009" s="483"/>
      <c r="T1009" s="502"/>
      <c r="U1009" s="484"/>
      <c r="V1009" s="476" t="s">
        <v>509</v>
      </c>
      <c r="W1009" s="482"/>
      <c r="X1009" s="17"/>
      <c r="Z1009" s="17"/>
    </row>
    <row r="1010" spans="1:26" ht="14.25" customHeight="1">
      <c r="A1010" s="476" t="s">
        <v>2826</v>
      </c>
      <c r="B1010" s="500" t="s">
        <v>350</v>
      </c>
      <c r="C1010" s="499" t="s">
        <v>495</v>
      </c>
      <c r="D1010" s="429" t="s">
        <v>1685</v>
      </c>
      <c r="E1010" s="476">
        <v>197614</v>
      </c>
      <c r="F1010" s="476" t="s">
        <v>495</v>
      </c>
      <c r="G1010" s="476"/>
      <c r="H1010" s="476"/>
      <c r="I1010" s="476"/>
      <c r="J1010" s="476" t="s">
        <v>807</v>
      </c>
      <c r="K1010" s="476" t="s">
        <v>807</v>
      </c>
      <c r="L1010" s="476" t="s">
        <v>807</v>
      </c>
      <c r="M1010" s="476" t="s">
        <v>307</v>
      </c>
      <c r="N1010" s="476">
        <v>20.48693085</v>
      </c>
      <c r="O1010" s="476">
        <v>92.662757869999993</v>
      </c>
      <c r="P1010" s="476" t="s">
        <v>808</v>
      </c>
      <c r="Q1010" s="476" t="s">
        <v>811</v>
      </c>
      <c r="R1010" s="482"/>
      <c r="S1010" s="482"/>
      <c r="T1010" s="502">
        <v>42926</v>
      </c>
      <c r="U1010" s="484" t="s">
        <v>812</v>
      </c>
      <c r="V1010" s="476"/>
      <c r="W1010" s="482"/>
      <c r="X1010" s="17"/>
      <c r="Z1010" s="17"/>
    </row>
    <row r="1011" spans="1:26" ht="14.25" customHeight="1">
      <c r="A1011" s="476" t="s">
        <v>2826</v>
      </c>
      <c r="B1011" s="500" t="s">
        <v>350</v>
      </c>
      <c r="C1011" s="499" t="s">
        <v>492</v>
      </c>
      <c r="D1011" s="429" t="s">
        <v>1685</v>
      </c>
      <c r="E1011" s="476">
        <v>197617</v>
      </c>
      <c r="F1011" s="480" t="s">
        <v>492</v>
      </c>
      <c r="G1011" s="476"/>
      <c r="H1011" s="476"/>
      <c r="I1011" s="476"/>
      <c r="J1011" s="476" t="s">
        <v>807</v>
      </c>
      <c r="K1011" s="476" t="s">
        <v>807</v>
      </c>
      <c r="L1011" s="476" t="s">
        <v>807</v>
      </c>
      <c r="M1011" s="476" t="s">
        <v>307</v>
      </c>
      <c r="N1011" s="476">
        <v>20.47896957</v>
      </c>
      <c r="O1011" s="476">
        <v>92.683746339999999</v>
      </c>
      <c r="P1011" s="476" t="s">
        <v>808</v>
      </c>
      <c r="Q1011" s="476" t="s">
        <v>811</v>
      </c>
      <c r="R1011" s="482"/>
      <c r="S1011" s="483"/>
      <c r="T1011" s="502">
        <v>42926</v>
      </c>
      <c r="U1011" s="484" t="s">
        <v>812</v>
      </c>
      <c r="V1011" s="476"/>
      <c r="W1011" s="482"/>
      <c r="X1011" s="17"/>
      <c r="Z1011" s="17"/>
    </row>
    <row r="1012" spans="1:26" ht="14.25" customHeight="1">
      <c r="A1012" s="486" t="s">
        <v>2826</v>
      </c>
      <c r="B1012" s="510" t="s">
        <v>350</v>
      </c>
      <c r="C1012" s="511" t="s">
        <v>2974</v>
      </c>
      <c r="D1012" s="481"/>
      <c r="E1012" s="476"/>
      <c r="F1012" s="476"/>
      <c r="G1012" s="476"/>
      <c r="H1012" s="476"/>
      <c r="I1012" s="476"/>
      <c r="J1012" s="476" t="s">
        <v>2836</v>
      </c>
      <c r="K1012" s="476" t="s">
        <v>2798</v>
      </c>
      <c r="L1012" s="476" t="s">
        <v>2798</v>
      </c>
      <c r="M1012" s="476"/>
      <c r="N1012" s="476"/>
      <c r="O1012" s="476"/>
      <c r="P1012" s="476"/>
      <c r="Q1012" s="476"/>
      <c r="R1012" s="490"/>
      <c r="S1012" s="483"/>
      <c r="T1012" s="502">
        <v>43591</v>
      </c>
      <c r="U1012" s="490"/>
      <c r="V1012" s="476"/>
      <c r="W1012" s="482"/>
      <c r="X1012" s="17"/>
      <c r="Z1012" s="17"/>
    </row>
    <row r="1013" spans="1:26" ht="14.25" customHeight="1">
      <c r="A1013" s="476" t="s">
        <v>2826</v>
      </c>
      <c r="B1013" s="500" t="s">
        <v>350</v>
      </c>
      <c r="C1013" s="499" t="s">
        <v>536</v>
      </c>
      <c r="D1013" s="429" t="s">
        <v>1685</v>
      </c>
      <c r="E1013" s="476">
        <v>197673</v>
      </c>
      <c r="F1013" s="476"/>
      <c r="G1013" s="476"/>
      <c r="H1013" s="476"/>
      <c r="I1013" s="476"/>
      <c r="J1013" s="476" t="s">
        <v>2836</v>
      </c>
      <c r="K1013" s="476" t="s">
        <v>2798</v>
      </c>
      <c r="L1013" s="476" t="s">
        <v>2798</v>
      </c>
      <c r="M1013" s="476" t="s">
        <v>307</v>
      </c>
      <c r="N1013" s="476">
        <v>20.66592979</v>
      </c>
      <c r="O1013" s="476">
        <v>92.672691349999994</v>
      </c>
      <c r="P1013" s="476" t="s">
        <v>808</v>
      </c>
      <c r="Q1013" s="476" t="s">
        <v>789</v>
      </c>
      <c r="R1013" s="482"/>
      <c r="S1013" s="483"/>
      <c r="T1013" s="502" t="s">
        <v>789</v>
      </c>
      <c r="U1013" s="484"/>
      <c r="V1013" s="476"/>
      <c r="W1013" s="482"/>
      <c r="X1013" s="17"/>
      <c r="Z1013" s="17"/>
    </row>
    <row r="1014" spans="1:26" ht="14.25" customHeight="1">
      <c r="A1014" s="486" t="s">
        <v>2826</v>
      </c>
      <c r="B1014" s="510" t="s">
        <v>350</v>
      </c>
      <c r="C1014" s="511" t="s">
        <v>540</v>
      </c>
      <c r="D1014" s="481"/>
      <c r="E1014" s="476">
        <v>197675</v>
      </c>
      <c r="F1014" s="476"/>
      <c r="G1014" s="476"/>
      <c r="H1014" s="476"/>
      <c r="I1014" s="476"/>
      <c r="J1014" s="476" t="s">
        <v>2836</v>
      </c>
      <c r="K1014" s="476" t="s">
        <v>2798</v>
      </c>
      <c r="L1014" s="476" t="s">
        <v>2798</v>
      </c>
      <c r="M1014" s="476" t="s">
        <v>307</v>
      </c>
      <c r="N1014" s="476">
        <v>20.670539860000002</v>
      </c>
      <c r="O1014" s="476">
        <v>92.703033450000007</v>
      </c>
      <c r="P1014" s="476" t="s">
        <v>808</v>
      </c>
      <c r="Q1014" s="476"/>
      <c r="R1014" s="490"/>
      <c r="S1014" s="483"/>
      <c r="T1014" s="502">
        <v>43591</v>
      </c>
      <c r="U1014" s="490"/>
      <c r="V1014" s="476"/>
      <c r="W1014" s="482"/>
      <c r="X1014" s="17"/>
      <c r="Z1014" s="17"/>
    </row>
    <row r="1015" spans="1:26" ht="14.25" customHeight="1">
      <c r="A1015" s="476" t="s">
        <v>2826</v>
      </c>
      <c r="B1015" s="500" t="s">
        <v>350</v>
      </c>
      <c r="C1015" s="499" t="s">
        <v>489</v>
      </c>
      <c r="D1015" s="429" t="s">
        <v>1685</v>
      </c>
      <c r="E1015" s="476">
        <v>197632</v>
      </c>
      <c r="F1015" s="476"/>
      <c r="G1015" s="476"/>
      <c r="H1015" s="476"/>
      <c r="I1015" s="476"/>
      <c r="J1015" s="476" t="s">
        <v>807</v>
      </c>
      <c r="K1015" s="476" t="s">
        <v>807</v>
      </c>
      <c r="L1015" s="476" t="s">
        <v>807</v>
      </c>
      <c r="M1015" s="476" t="s">
        <v>307</v>
      </c>
      <c r="N1015" s="476">
        <v>20.469949719999999</v>
      </c>
      <c r="O1015" s="476">
        <v>92.676437379999996</v>
      </c>
      <c r="P1015" s="476" t="s">
        <v>808</v>
      </c>
      <c r="Q1015" s="476" t="s">
        <v>811</v>
      </c>
      <c r="R1015" s="482"/>
      <c r="S1015" s="483"/>
      <c r="T1015" s="502">
        <v>42926</v>
      </c>
      <c r="U1015" s="484" t="s">
        <v>812</v>
      </c>
      <c r="V1015" s="476"/>
      <c r="W1015" s="482"/>
      <c r="X1015" s="17"/>
      <c r="Z1015" s="17"/>
    </row>
    <row r="1016" spans="1:26" ht="14.25" customHeight="1">
      <c r="A1016" s="476" t="s">
        <v>307</v>
      </c>
      <c r="B1016" s="500" t="s">
        <v>338</v>
      </c>
      <c r="C1016" s="499" t="s">
        <v>397</v>
      </c>
      <c r="D1016" s="429" t="s">
        <v>1685</v>
      </c>
      <c r="E1016" s="476">
        <v>199157</v>
      </c>
      <c r="F1016" s="476"/>
      <c r="G1016" s="476"/>
      <c r="H1016" s="476"/>
      <c r="I1016" s="476"/>
      <c r="J1016" s="476" t="s">
        <v>813</v>
      </c>
      <c r="K1016" s="476" t="s">
        <v>807</v>
      </c>
      <c r="L1016" s="476" t="s">
        <v>813</v>
      </c>
      <c r="M1016" s="476" t="s">
        <v>816</v>
      </c>
      <c r="N1016" s="476">
        <v>19.726810459999999</v>
      </c>
      <c r="O1016" s="476">
        <v>94.028686519999994</v>
      </c>
      <c r="P1016" s="476" t="s">
        <v>932</v>
      </c>
      <c r="Q1016" s="476" t="s">
        <v>789</v>
      </c>
      <c r="R1016" s="482"/>
      <c r="S1016" s="483"/>
      <c r="T1016" s="502" t="s">
        <v>814</v>
      </c>
      <c r="U1016" s="484"/>
      <c r="V1016" s="476" t="s">
        <v>397</v>
      </c>
      <c r="W1016" s="476"/>
      <c r="X1016" s="17"/>
      <c r="Z1016" s="17"/>
    </row>
    <row r="1017" spans="1:26" ht="14.25" customHeight="1">
      <c r="A1017" s="476" t="s">
        <v>307</v>
      </c>
      <c r="B1017" s="500" t="s">
        <v>338</v>
      </c>
      <c r="C1017" s="499" t="s">
        <v>409</v>
      </c>
      <c r="D1017" s="429" t="s">
        <v>1685</v>
      </c>
      <c r="E1017" s="476">
        <v>199233</v>
      </c>
      <c r="F1017" s="476"/>
      <c r="G1017" s="476"/>
      <c r="H1017" s="476"/>
      <c r="I1017" s="476"/>
      <c r="J1017" s="476" t="s">
        <v>813</v>
      </c>
      <c r="K1017" s="476" t="s">
        <v>807</v>
      </c>
      <c r="L1017" s="476" t="s">
        <v>813</v>
      </c>
      <c r="M1017" s="476" t="s">
        <v>307</v>
      </c>
      <c r="N1017" s="476">
        <v>19.994710919999999</v>
      </c>
      <c r="O1017" s="476">
        <v>93.836921689999997</v>
      </c>
      <c r="P1017" s="476" t="s">
        <v>932</v>
      </c>
      <c r="Q1017" s="476" t="s">
        <v>789</v>
      </c>
      <c r="R1017" s="482"/>
      <c r="S1017" s="483"/>
      <c r="T1017" s="502" t="s">
        <v>814</v>
      </c>
      <c r="U1017" s="484"/>
      <c r="V1017" s="476" t="s">
        <v>409</v>
      </c>
      <c r="W1017" s="476"/>
      <c r="X1017" s="101"/>
      <c r="Z1017" s="17"/>
    </row>
    <row r="1018" spans="1:26" ht="14.25" customHeight="1">
      <c r="A1018" s="476" t="s">
        <v>307</v>
      </c>
      <c r="B1018" s="500" t="s">
        <v>338</v>
      </c>
      <c r="C1018" s="500" t="s">
        <v>404</v>
      </c>
      <c r="D1018" s="429" t="s">
        <v>1685</v>
      </c>
      <c r="E1018" s="476">
        <v>199235</v>
      </c>
      <c r="F1018" s="476"/>
      <c r="G1018" s="476"/>
      <c r="H1018" s="476"/>
      <c r="I1018" s="476"/>
      <c r="J1018" s="476" t="s">
        <v>813</v>
      </c>
      <c r="K1018" s="476" t="s">
        <v>807</v>
      </c>
      <c r="L1018" s="476" t="s">
        <v>813</v>
      </c>
      <c r="M1018" s="476" t="s">
        <v>307</v>
      </c>
      <c r="N1018" s="476">
        <v>19.98567963</v>
      </c>
      <c r="O1018" s="476">
        <v>93.843322749999999</v>
      </c>
      <c r="P1018" s="476" t="s">
        <v>932</v>
      </c>
      <c r="Q1018" s="476" t="s">
        <v>789</v>
      </c>
      <c r="R1018" s="482"/>
      <c r="S1018" s="483"/>
      <c r="T1018" s="502" t="s">
        <v>814</v>
      </c>
      <c r="U1018" s="484"/>
      <c r="V1018" s="476" t="s">
        <v>404</v>
      </c>
      <c r="W1018" s="476"/>
      <c r="X1018" s="101"/>
      <c r="Z1018" s="17"/>
    </row>
    <row r="1019" spans="1:26" ht="14.25" customHeight="1">
      <c r="A1019" s="476" t="s">
        <v>307</v>
      </c>
      <c r="B1019" s="500" t="s">
        <v>338</v>
      </c>
      <c r="C1019" s="500" t="s">
        <v>406</v>
      </c>
      <c r="D1019" s="429" t="s">
        <v>1685</v>
      </c>
      <c r="E1019" s="476">
        <v>199236</v>
      </c>
      <c r="F1019" s="476"/>
      <c r="G1019" s="476"/>
      <c r="H1019" s="476"/>
      <c r="I1019" s="476"/>
      <c r="J1019" s="476" t="s">
        <v>813</v>
      </c>
      <c r="K1019" s="476" t="s">
        <v>807</v>
      </c>
      <c r="L1019" s="476" t="s">
        <v>813</v>
      </c>
      <c r="M1019" s="476" t="s">
        <v>307</v>
      </c>
      <c r="N1019" s="476">
        <v>19.98868942</v>
      </c>
      <c r="O1019" s="476">
        <v>93.842460630000005</v>
      </c>
      <c r="P1019" s="476" t="s">
        <v>932</v>
      </c>
      <c r="Q1019" s="476" t="s">
        <v>789</v>
      </c>
      <c r="R1019" s="482"/>
      <c r="S1019" s="483"/>
      <c r="T1019" s="502" t="s">
        <v>814</v>
      </c>
      <c r="U1019" s="484"/>
      <c r="V1019" s="476" t="s">
        <v>406</v>
      </c>
      <c r="W1019" s="476"/>
      <c r="X1019" s="101"/>
      <c r="Z1019" s="17"/>
    </row>
    <row r="1020" spans="1:26" ht="14.25" customHeight="1">
      <c r="A1020" s="476" t="s">
        <v>307</v>
      </c>
      <c r="B1020" s="500" t="s">
        <v>338</v>
      </c>
      <c r="C1020" s="500" t="s">
        <v>386</v>
      </c>
      <c r="D1020" s="429" t="s">
        <v>1685</v>
      </c>
      <c r="E1020" s="476">
        <v>199264</v>
      </c>
      <c r="F1020" s="476"/>
      <c r="G1020" s="476"/>
      <c r="H1020" s="476"/>
      <c r="I1020" s="476"/>
      <c r="J1020" s="476" t="s">
        <v>813</v>
      </c>
      <c r="K1020" s="476" t="s">
        <v>807</v>
      </c>
      <c r="L1020" s="476" t="s">
        <v>813</v>
      </c>
      <c r="M1020" s="476" t="s">
        <v>307</v>
      </c>
      <c r="N1020" s="476">
        <v>19.61097908</v>
      </c>
      <c r="O1020" s="476">
        <v>93.984741209999996</v>
      </c>
      <c r="P1020" s="476" t="s">
        <v>932</v>
      </c>
      <c r="Q1020" s="476" t="s">
        <v>789</v>
      </c>
      <c r="R1020" s="482"/>
      <c r="S1020" s="483"/>
      <c r="T1020" s="502" t="s">
        <v>814</v>
      </c>
      <c r="U1020" s="484"/>
      <c r="V1020" s="476" t="s">
        <v>386</v>
      </c>
      <c r="W1020" s="476"/>
      <c r="X1020" s="101"/>
      <c r="Z1020" s="17"/>
    </row>
    <row r="1021" spans="1:26" ht="14.25" customHeight="1">
      <c r="A1021" s="476" t="s">
        <v>307</v>
      </c>
      <c r="B1021" s="500" t="s">
        <v>338</v>
      </c>
      <c r="C1021" s="500" t="s">
        <v>395</v>
      </c>
      <c r="D1021" s="429" t="s">
        <v>1685</v>
      </c>
      <c r="E1021" s="476">
        <v>199159</v>
      </c>
      <c r="F1021" s="485"/>
      <c r="G1021" s="476"/>
      <c r="H1021" s="476"/>
      <c r="I1021" s="476"/>
      <c r="J1021" s="476" t="s">
        <v>813</v>
      </c>
      <c r="K1021" s="476" t="s">
        <v>807</v>
      </c>
      <c r="L1021" s="476" t="s">
        <v>813</v>
      </c>
      <c r="M1021" s="476" t="s">
        <v>307</v>
      </c>
      <c r="N1021" s="476">
        <v>19.721389769999998</v>
      </c>
      <c r="O1021" s="476">
        <v>94.019851680000002</v>
      </c>
      <c r="P1021" s="476" t="s">
        <v>932</v>
      </c>
      <c r="Q1021" s="476" t="s">
        <v>789</v>
      </c>
      <c r="R1021" s="482"/>
      <c r="S1021" s="483"/>
      <c r="T1021" s="502" t="s">
        <v>814</v>
      </c>
      <c r="U1021" s="484"/>
      <c r="V1021" s="476" t="s">
        <v>395</v>
      </c>
      <c r="W1021" s="476"/>
      <c r="X1021" s="101"/>
      <c r="Z1021" s="17"/>
    </row>
    <row r="1022" spans="1:26" ht="14.25" customHeight="1">
      <c r="A1022" s="476" t="s">
        <v>307</v>
      </c>
      <c r="B1022" s="500" t="s">
        <v>338</v>
      </c>
      <c r="C1022" s="571" t="s">
        <v>410</v>
      </c>
      <c r="D1022" s="429" t="s">
        <v>1685</v>
      </c>
      <c r="E1022" s="476">
        <v>199240</v>
      </c>
      <c r="F1022" s="480"/>
      <c r="G1022" s="476"/>
      <c r="H1022" s="476"/>
      <c r="I1022" s="476"/>
      <c r="J1022" s="476" t="s">
        <v>813</v>
      </c>
      <c r="K1022" s="476" t="s">
        <v>807</v>
      </c>
      <c r="L1022" s="476" t="s">
        <v>813</v>
      </c>
      <c r="M1022" s="476" t="s">
        <v>307</v>
      </c>
      <c r="N1022" s="476">
        <v>20.008769990000001</v>
      </c>
      <c r="O1022" s="476">
        <v>93.816879270000001</v>
      </c>
      <c r="P1022" s="476" t="s">
        <v>932</v>
      </c>
      <c r="Q1022" s="476" t="s">
        <v>789</v>
      </c>
      <c r="R1022" s="482"/>
      <c r="S1022" s="483"/>
      <c r="T1022" s="502" t="s">
        <v>814</v>
      </c>
      <c r="U1022" s="484"/>
      <c r="V1022" s="394" t="s">
        <v>410</v>
      </c>
      <c r="W1022" s="476"/>
      <c r="X1022" s="101"/>
      <c r="Z1022" s="17"/>
    </row>
    <row r="1023" spans="1:26" ht="14.25" customHeight="1">
      <c r="A1023" s="476" t="s">
        <v>307</v>
      </c>
      <c r="B1023" s="500" t="s">
        <v>338</v>
      </c>
      <c r="C1023" s="500" t="s">
        <v>402</v>
      </c>
      <c r="D1023" s="429" t="s">
        <v>1685</v>
      </c>
      <c r="E1023" s="476">
        <v>199134</v>
      </c>
      <c r="F1023" s="476"/>
      <c r="G1023" s="476"/>
      <c r="H1023" s="476"/>
      <c r="I1023" s="476"/>
      <c r="J1023" s="476" t="s">
        <v>813</v>
      </c>
      <c r="K1023" s="476" t="s">
        <v>807</v>
      </c>
      <c r="L1023" s="476" t="s">
        <v>813</v>
      </c>
      <c r="M1023" s="476" t="s">
        <v>820</v>
      </c>
      <c r="N1023" s="476">
        <v>19.95569038</v>
      </c>
      <c r="O1023" s="476">
        <v>93.80155182</v>
      </c>
      <c r="P1023" s="476" t="s">
        <v>932</v>
      </c>
      <c r="Q1023" s="476" t="s">
        <v>789</v>
      </c>
      <c r="R1023" s="482"/>
      <c r="S1023" s="483"/>
      <c r="T1023" s="502" t="s">
        <v>814</v>
      </c>
      <c r="U1023" s="484"/>
      <c r="V1023" s="476" t="s">
        <v>821</v>
      </c>
      <c r="W1023" s="476"/>
      <c r="X1023" s="101"/>
      <c r="Z1023" s="17"/>
    </row>
    <row r="1024" spans="1:26" ht="14.25" customHeight="1">
      <c r="A1024" s="476" t="s">
        <v>307</v>
      </c>
      <c r="B1024" s="500" t="s">
        <v>338</v>
      </c>
      <c r="C1024" s="500" t="s">
        <v>394</v>
      </c>
      <c r="D1024" s="429" t="s">
        <v>1685</v>
      </c>
      <c r="E1024" s="476">
        <v>199161</v>
      </c>
      <c r="F1024" s="476"/>
      <c r="G1024" s="476"/>
      <c r="H1024" s="476"/>
      <c r="I1024" s="476"/>
      <c r="J1024" s="476" t="s">
        <v>813</v>
      </c>
      <c r="K1024" s="476" t="s">
        <v>807</v>
      </c>
      <c r="L1024" s="476" t="s">
        <v>813</v>
      </c>
      <c r="M1024" s="476" t="s">
        <v>816</v>
      </c>
      <c r="N1024" s="476">
        <v>19.70627975</v>
      </c>
      <c r="O1024" s="476">
        <v>94.016433719999995</v>
      </c>
      <c r="P1024" s="476" t="s">
        <v>932</v>
      </c>
      <c r="Q1024" s="476" t="s">
        <v>789</v>
      </c>
      <c r="R1024" s="482"/>
      <c r="S1024" s="483"/>
      <c r="T1024" s="502" t="s">
        <v>814</v>
      </c>
      <c r="U1024" s="484"/>
      <c r="V1024" s="476" t="s">
        <v>394</v>
      </c>
      <c r="W1024" s="476"/>
      <c r="X1024" s="101"/>
      <c r="Z1024" s="17"/>
    </row>
    <row r="1025" spans="1:26" ht="14.25" customHeight="1">
      <c r="A1025" s="476" t="s">
        <v>307</v>
      </c>
      <c r="B1025" s="500" t="s">
        <v>338</v>
      </c>
      <c r="C1025" s="500" t="s">
        <v>389</v>
      </c>
      <c r="D1025" s="429" t="s">
        <v>1685</v>
      </c>
      <c r="E1025" s="476">
        <v>199266</v>
      </c>
      <c r="F1025" s="476"/>
      <c r="G1025" s="476"/>
      <c r="H1025" s="476"/>
      <c r="I1025" s="476"/>
      <c r="J1025" s="476" t="s">
        <v>813</v>
      </c>
      <c r="K1025" s="476" t="s">
        <v>807</v>
      </c>
      <c r="L1025" s="476" t="s">
        <v>813</v>
      </c>
      <c r="M1025" s="476" t="s">
        <v>816</v>
      </c>
      <c r="N1025" s="476">
        <v>19.6192894</v>
      </c>
      <c r="O1025" s="476">
        <v>93.95968628</v>
      </c>
      <c r="P1025" s="476" t="s">
        <v>932</v>
      </c>
      <c r="Q1025" s="476" t="s">
        <v>789</v>
      </c>
      <c r="R1025" s="482"/>
      <c r="S1025" s="483"/>
      <c r="T1025" s="502" t="s">
        <v>814</v>
      </c>
      <c r="U1025" s="484"/>
      <c r="V1025" s="476" t="s">
        <v>389</v>
      </c>
      <c r="W1025" s="476"/>
      <c r="X1025" s="101"/>
      <c r="Z1025" s="17"/>
    </row>
    <row r="1026" spans="1:26" ht="14.25" customHeight="1">
      <c r="A1026" s="476" t="s">
        <v>307</v>
      </c>
      <c r="B1026" s="500" t="s">
        <v>338</v>
      </c>
      <c r="C1026" s="500" t="s">
        <v>384</v>
      </c>
      <c r="D1026" s="429" t="s">
        <v>1685</v>
      </c>
      <c r="E1026" s="476">
        <v>199191</v>
      </c>
      <c r="F1026" s="480"/>
      <c r="G1026" s="476"/>
      <c r="H1026" s="476"/>
      <c r="I1026" s="476"/>
      <c r="J1026" s="476" t="s">
        <v>813</v>
      </c>
      <c r="K1026" s="476" t="s">
        <v>807</v>
      </c>
      <c r="L1026" s="476" t="s">
        <v>813</v>
      </c>
      <c r="M1026" s="476" t="s">
        <v>307</v>
      </c>
      <c r="N1026" s="476">
        <v>19.484790799999999</v>
      </c>
      <c r="O1026" s="476">
        <v>94.007926940000004</v>
      </c>
      <c r="P1026" s="476" t="s">
        <v>932</v>
      </c>
      <c r="Q1026" s="476" t="s">
        <v>789</v>
      </c>
      <c r="R1026" s="482"/>
      <c r="S1026" s="483"/>
      <c r="T1026" s="502" t="s">
        <v>814</v>
      </c>
      <c r="U1026" s="484"/>
      <c r="V1026" s="476" t="s">
        <v>384</v>
      </c>
      <c r="W1026" s="476"/>
      <c r="X1026" s="101"/>
      <c r="Z1026" s="17"/>
    </row>
    <row r="1027" spans="1:26" ht="14.25" customHeight="1">
      <c r="A1027" s="476" t="s">
        <v>307</v>
      </c>
      <c r="B1027" s="500" t="s">
        <v>338</v>
      </c>
      <c r="C1027" s="500" t="s">
        <v>339</v>
      </c>
      <c r="D1027" s="429" t="s">
        <v>1685</v>
      </c>
      <c r="E1027" s="476"/>
      <c r="F1027" s="480"/>
      <c r="G1027" s="476"/>
      <c r="H1027" s="476"/>
      <c r="I1027" s="476"/>
      <c r="J1027" s="476" t="s">
        <v>813</v>
      </c>
      <c r="K1027" s="476" t="s">
        <v>807</v>
      </c>
      <c r="L1027" s="476" t="s">
        <v>813</v>
      </c>
      <c r="M1027" s="476" t="s">
        <v>820</v>
      </c>
      <c r="N1027" s="476"/>
      <c r="O1027" s="476"/>
      <c r="P1027" s="476" t="s">
        <v>932</v>
      </c>
      <c r="Q1027" s="476" t="s">
        <v>789</v>
      </c>
      <c r="R1027" s="482"/>
      <c r="S1027" s="483"/>
      <c r="T1027" s="502" t="s">
        <v>814</v>
      </c>
      <c r="U1027" s="484"/>
      <c r="V1027" s="476" t="s">
        <v>339</v>
      </c>
      <c r="W1027" s="476"/>
      <c r="X1027" s="101"/>
      <c r="Z1027" s="17"/>
    </row>
    <row r="1028" spans="1:26" ht="14.25" customHeight="1">
      <c r="A1028" s="476" t="s">
        <v>307</v>
      </c>
      <c r="B1028" s="500" t="s">
        <v>338</v>
      </c>
      <c r="C1028" s="500" t="s">
        <v>407</v>
      </c>
      <c r="D1028" s="429" t="s">
        <v>1685</v>
      </c>
      <c r="E1028" s="476">
        <v>199250</v>
      </c>
      <c r="F1028" s="476"/>
      <c r="G1028" s="476"/>
      <c r="H1028" s="476"/>
      <c r="I1028" s="476"/>
      <c r="J1028" s="476" t="s">
        <v>813</v>
      </c>
      <c r="K1028" s="476" t="s">
        <v>807</v>
      </c>
      <c r="L1028" s="476" t="s">
        <v>813</v>
      </c>
      <c r="M1028" s="476" t="s">
        <v>307</v>
      </c>
      <c r="N1028" s="476">
        <v>19.989589689999999</v>
      </c>
      <c r="O1028" s="476">
        <v>93.823867800000002</v>
      </c>
      <c r="P1028" s="476" t="s">
        <v>932</v>
      </c>
      <c r="Q1028" s="476" t="s">
        <v>789</v>
      </c>
      <c r="R1028" s="482"/>
      <c r="S1028" s="483"/>
      <c r="T1028" s="502" t="s">
        <v>814</v>
      </c>
      <c r="U1028" s="484"/>
      <c r="V1028" s="476" t="s">
        <v>823</v>
      </c>
      <c r="W1028" s="476"/>
      <c r="X1028" s="101"/>
      <c r="Z1028" s="17"/>
    </row>
    <row r="1029" spans="1:26" ht="14.25" customHeight="1">
      <c r="A1029" s="476" t="s">
        <v>307</v>
      </c>
      <c r="B1029" s="500" t="s">
        <v>338</v>
      </c>
      <c r="C1029" s="500" t="s">
        <v>396</v>
      </c>
      <c r="D1029" s="429" t="s">
        <v>1685</v>
      </c>
      <c r="E1029" s="476">
        <v>199158</v>
      </c>
      <c r="F1029" s="476"/>
      <c r="G1029" s="476"/>
      <c r="H1029" s="476"/>
      <c r="I1029" s="476"/>
      <c r="J1029" s="476" t="s">
        <v>813</v>
      </c>
      <c r="K1029" s="476" t="s">
        <v>807</v>
      </c>
      <c r="L1029" s="476" t="s">
        <v>813</v>
      </c>
      <c r="M1029" s="476" t="s">
        <v>307</v>
      </c>
      <c r="N1029" s="476">
        <v>19.725629810000001</v>
      </c>
      <c r="O1029" s="476">
        <v>94.03105927</v>
      </c>
      <c r="P1029" s="476" t="s">
        <v>932</v>
      </c>
      <c r="Q1029" s="476" t="s">
        <v>789</v>
      </c>
      <c r="R1029" s="482"/>
      <c r="S1029" s="483"/>
      <c r="T1029" s="502" t="s">
        <v>814</v>
      </c>
      <c r="U1029" s="484"/>
      <c r="V1029" s="476" t="s">
        <v>817</v>
      </c>
      <c r="W1029" s="476"/>
      <c r="X1029" s="101"/>
      <c r="Z1029" s="17"/>
    </row>
    <row r="1030" spans="1:26" ht="14.25" customHeight="1">
      <c r="A1030" s="476" t="s">
        <v>307</v>
      </c>
      <c r="B1030" s="500" t="s">
        <v>338</v>
      </c>
      <c r="C1030" s="500" t="s">
        <v>385</v>
      </c>
      <c r="D1030" s="429" t="s">
        <v>1685</v>
      </c>
      <c r="E1030" s="476">
        <v>199195</v>
      </c>
      <c r="F1030" s="476"/>
      <c r="G1030" s="476"/>
      <c r="H1030" s="476"/>
      <c r="I1030" s="476"/>
      <c r="J1030" s="476" t="s">
        <v>813</v>
      </c>
      <c r="K1030" s="476" t="s">
        <v>807</v>
      </c>
      <c r="L1030" s="476" t="s">
        <v>813</v>
      </c>
      <c r="M1030" s="476" t="s">
        <v>307</v>
      </c>
      <c r="N1030" s="476">
        <v>19.591590879999998</v>
      </c>
      <c r="O1030" s="476">
        <v>93.80825806</v>
      </c>
      <c r="P1030" s="476" t="s">
        <v>932</v>
      </c>
      <c r="Q1030" s="476" t="s">
        <v>789</v>
      </c>
      <c r="R1030" s="482"/>
      <c r="S1030" s="483"/>
      <c r="T1030" s="502">
        <v>42745</v>
      </c>
      <c r="U1030" s="484"/>
      <c r="V1030" s="476"/>
      <c r="W1030" s="476"/>
      <c r="X1030" s="101"/>
      <c r="Z1030" s="17"/>
    </row>
    <row r="1031" spans="1:26" ht="14.25" customHeight="1">
      <c r="A1031" s="476" t="s">
        <v>307</v>
      </c>
      <c r="B1031" s="500" t="s">
        <v>338</v>
      </c>
      <c r="C1031" s="500" t="s">
        <v>391</v>
      </c>
      <c r="D1031" s="429" t="s">
        <v>1685</v>
      </c>
      <c r="E1031" s="476">
        <v>199223</v>
      </c>
      <c r="F1031" s="476"/>
      <c r="G1031" s="476"/>
      <c r="H1031" s="476"/>
      <c r="I1031" s="476"/>
      <c r="J1031" s="476" t="s">
        <v>813</v>
      </c>
      <c r="K1031" s="476" t="s">
        <v>807</v>
      </c>
      <c r="L1031" s="476" t="s">
        <v>813</v>
      </c>
      <c r="M1031" s="476" t="s">
        <v>816</v>
      </c>
      <c r="N1031" s="476">
        <v>19.639009479999999</v>
      </c>
      <c r="O1031" s="476">
        <v>94.036079409999999</v>
      </c>
      <c r="P1031" s="476" t="s">
        <v>932</v>
      </c>
      <c r="Q1031" s="476" t="s">
        <v>789</v>
      </c>
      <c r="R1031" s="482"/>
      <c r="S1031" s="483"/>
      <c r="T1031" s="502" t="s">
        <v>814</v>
      </c>
      <c r="U1031" s="484"/>
      <c r="V1031" s="476" t="s">
        <v>391</v>
      </c>
      <c r="W1031" s="476"/>
      <c r="X1031" s="101"/>
      <c r="Z1031" s="17"/>
    </row>
    <row r="1032" spans="1:26" ht="14.25" customHeight="1">
      <c r="A1032" s="500" t="s">
        <v>307</v>
      </c>
      <c r="B1032" s="500" t="s">
        <v>338</v>
      </c>
      <c r="C1032" s="500" t="s">
        <v>398</v>
      </c>
      <c r="D1032" s="429" t="s">
        <v>1685</v>
      </c>
      <c r="E1032" s="476">
        <v>199160</v>
      </c>
      <c r="F1032" s="476"/>
      <c r="G1032" s="476"/>
      <c r="H1032" s="476"/>
      <c r="I1032" s="476"/>
      <c r="J1032" s="476" t="s">
        <v>813</v>
      </c>
      <c r="K1032" s="476" t="s">
        <v>807</v>
      </c>
      <c r="L1032" s="476" t="s">
        <v>813</v>
      </c>
      <c r="M1032" s="476" t="s">
        <v>307</v>
      </c>
      <c r="N1032" s="476">
        <v>19.738719939999999</v>
      </c>
      <c r="O1032" s="476">
        <v>94.03549194</v>
      </c>
      <c r="P1032" s="476" t="s">
        <v>932</v>
      </c>
      <c r="Q1032" s="476" t="s">
        <v>789</v>
      </c>
      <c r="R1032" s="482"/>
      <c r="S1032" s="483"/>
      <c r="T1032" s="502" t="s">
        <v>814</v>
      </c>
      <c r="U1032" s="484"/>
      <c r="V1032" s="476" t="s">
        <v>398</v>
      </c>
      <c r="W1032" s="476"/>
    </row>
    <row r="1033" spans="1:26" ht="14.25" customHeight="1">
      <c r="A1033" s="500" t="s">
        <v>307</v>
      </c>
      <c r="B1033" s="500" t="s">
        <v>338</v>
      </c>
      <c r="C1033" s="500" t="s">
        <v>392</v>
      </c>
      <c r="D1033" s="429" t="s">
        <v>1685</v>
      </c>
      <c r="E1033" s="476">
        <v>199218</v>
      </c>
      <c r="F1033" s="476"/>
      <c r="G1033" s="476"/>
      <c r="H1033" s="476"/>
      <c r="I1033" s="476"/>
      <c r="J1033" s="476" t="s">
        <v>813</v>
      </c>
      <c r="K1033" s="476" t="s">
        <v>807</v>
      </c>
      <c r="L1033" s="476" t="s">
        <v>813</v>
      </c>
      <c r="M1033" s="476" t="s">
        <v>307</v>
      </c>
      <c r="N1033" s="476">
        <v>19.646549220000001</v>
      </c>
      <c r="O1033" s="476">
        <v>94.004188540000001</v>
      </c>
      <c r="P1033" s="476" t="s">
        <v>932</v>
      </c>
      <c r="Q1033" s="476" t="s">
        <v>789</v>
      </c>
      <c r="R1033" s="486"/>
      <c r="S1033" s="487"/>
      <c r="T1033" s="502" t="s">
        <v>814</v>
      </c>
      <c r="U1033" s="484"/>
      <c r="V1033" s="476" t="s">
        <v>392</v>
      </c>
      <c r="W1033" s="476"/>
    </row>
    <row r="1034" spans="1:26" ht="14.25" customHeight="1">
      <c r="A1034" s="500" t="s">
        <v>307</v>
      </c>
      <c r="B1034" s="500" t="s">
        <v>338</v>
      </c>
      <c r="C1034" s="500" t="s">
        <v>408</v>
      </c>
      <c r="D1034" s="429" t="s">
        <v>1685</v>
      </c>
      <c r="E1034" s="476">
        <v>199248</v>
      </c>
      <c r="F1034" s="476"/>
      <c r="G1034" s="476"/>
      <c r="H1034" s="476"/>
      <c r="I1034" s="476"/>
      <c r="J1034" s="476" t="s">
        <v>813</v>
      </c>
      <c r="K1034" s="480" t="s">
        <v>807</v>
      </c>
      <c r="L1034" s="480" t="s">
        <v>813</v>
      </c>
      <c r="M1034" s="476" t="s">
        <v>816</v>
      </c>
      <c r="N1034" s="476">
        <v>19.991359710000001</v>
      </c>
      <c r="O1034" s="476">
        <v>93.834663390000003</v>
      </c>
      <c r="P1034" s="476" t="s">
        <v>932</v>
      </c>
      <c r="Q1034" s="476" t="s">
        <v>789</v>
      </c>
      <c r="R1034" s="482"/>
      <c r="S1034" s="483"/>
      <c r="T1034" s="502" t="s">
        <v>814</v>
      </c>
      <c r="U1034" s="484"/>
      <c r="V1034" s="476" t="s">
        <v>408</v>
      </c>
      <c r="W1034" s="476"/>
    </row>
    <row r="1035" spans="1:26" ht="14.25" customHeight="1">
      <c r="A1035" s="500" t="s">
        <v>307</v>
      </c>
      <c r="B1035" s="500" t="s">
        <v>338</v>
      </c>
      <c r="C1035" s="500" t="s">
        <v>399</v>
      </c>
      <c r="D1035" s="429" t="s">
        <v>1685</v>
      </c>
      <c r="E1035" s="476">
        <v>199137</v>
      </c>
      <c r="F1035" s="480"/>
      <c r="G1035" s="476"/>
      <c r="H1035" s="476"/>
      <c r="I1035" s="476"/>
      <c r="J1035" s="476" t="s">
        <v>813</v>
      </c>
      <c r="K1035" s="476" t="s">
        <v>807</v>
      </c>
      <c r="L1035" s="476" t="s">
        <v>813</v>
      </c>
      <c r="M1035" s="476" t="s">
        <v>307</v>
      </c>
      <c r="N1035" s="476">
        <v>19.904430390000002</v>
      </c>
      <c r="O1035" s="476">
        <v>93.79277802</v>
      </c>
      <c r="P1035" s="476" t="s">
        <v>932</v>
      </c>
      <c r="Q1035" s="476" t="s">
        <v>789</v>
      </c>
      <c r="R1035" s="482"/>
      <c r="S1035" s="483"/>
      <c r="T1035" s="502" t="s">
        <v>814</v>
      </c>
      <c r="U1035" s="484"/>
      <c r="V1035" s="476" t="s">
        <v>399</v>
      </c>
      <c r="W1035" s="476"/>
    </row>
    <row r="1036" spans="1:26" ht="14.25" customHeight="1">
      <c r="A1036" s="500" t="s">
        <v>307</v>
      </c>
      <c r="B1036" s="500" t="s">
        <v>338</v>
      </c>
      <c r="C1036" s="500" t="s">
        <v>401</v>
      </c>
      <c r="D1036" s="429" t="s">
        <v>1685</v>
      </c>
      <c r="E1036" s="476">
        <v>199135</v>
      </c>
      <c r="F1036" s="476"/>
      <c r="G1036" s="476"/>
      <c r="H1036" s="476"/>
      <c r="I1036" s="476"/>
      <c r="J1036" s="476" t="s">
        <v>813</v>
      </c>
      <c r="K1036" s="476" t="s">
        <v>807</v>
      </c>
      <c r="L1036" s="476" t="s">
        <v>813</v>
      </c>
      <c r="M1036" s="476" t="s">
        <v>816</v>
      </c>
      <c r="N1036" s="476">
        <v>19.930080409999999</v>
      </c>
      <c r="O1036" s="476">
        <v>93.787002560000005</v>
      </c>
      <c r="P1036" s="476" t="s">
        <v>932</v>
      </c>
      <c r="Q1036" s="476" t="s">
        <v>789</v>
      </c>
      <c r="R1036" s="482"/>
      <c r="S1036" s="483"/>
      <c r="T1036" s="502" t="s">
        <v>814</v>
      </c>
      <c r="U1036" s="484"/>
      <c r="V1036" s="476" t="s">
        <v>401</v>
      </c>
      <c r="W1036" s="476"/>
    </row>
    <row r="1037" spans="1:26" ht="14.25" customHeight="1">
      <c r="A1037" s="500" t="s">
        <v>307</v>
      </c>
      <c r="B1037" s="500" t="s">
        <v>338</v>
      </c>
      <c r="C1037" s="500" t="s">
        <v>387</v>
      </c>
      <c r="D1037" s="429" t="s">
        <v>1685</v>
      </c>
      <c r="E1037" s="476">
        <v>199261</v>
      </c>
      <c r="F1037" s="476"/>
      <c r="G1037" s="476"/>
      <c r="H1037" s="476"/>
      <c r="I1037" s="476"/>
      <c r="J1037" s="476" t="s">
        <v>813</v>
      </c>
      <c r="K1037" s="476" t="s">
        <v>807</v>
      </c>
      <c r="L1037" s="476" t="s">
        <v>813</v>
      </c>
      <c r="M1037" s="476" t="s">
        <v>307</v>
      </c>
      <c r="N1037" s="476">
        <v>19.61120987</v>
      </c>
      <c r="O1037" s="476">
        <v>93.995933530000002</v>
      </c>
      <c r="P1037" s="476" t="s">
        <v>932</v>
      </c>
      <c r="Q1037" s="476" t="s">
        <v>789</v>
      </c>
      <c r="R1037" s="482"/>
      <c r="S1037" s="483"/>
      <c r="T1037" s="502" t="s">
        <v>814</v>
      </c>
      <c r="U1037" s="484"/>
      <c r="V1037" s="476" t="s">
        <v>815</v>
      </c>
      <c r="W1037" s="476"/>
    </row>
    <row r="1038" spans="1:26" ht="14.25" customHeight="1">
      <c r="A1038" s="500" t="s">
        <v>307</v>
      </c>
      <c r="B1038" s="500" t="s">
        <v>338</v>
      </c>
      <c r="C1038" s="500" t="s">
        <v>393</v>
      </c>
      <c r="D1038" s="429" t="s">
        <v>1685</v>
      </c>
      <c r="E1038" s="476">
        <v>199156</v>
      </c>
      <c r="F1038" s="476"/>
      <c r="G1038" s="476"/>
      <c r="H1038" s="476"/>
      <c r="I1038" s="476"/>
      <c r="J1038" s="476" t="s">
        <v>813</v>
      </c>
      <c r="K1038" s="476" t="s">
        <v>807</v>
      </c>
      <c r="L1038" s="476" t="s">
        <v>813</v>
      </c>
      <c r="M1038" s="476" t="s">
        <v>816</v>
      </c>
      <c r="N1038" s="476">
        <v>19.686580660000001</v>
      </c>
      <c r="O1038" s="476">
        <v>94.048843379999994</v>
      </c>
      <c r="P1038" s="476" t="s">
        <v>932</v>
      </c>
      <c r="Q1038" s="476" t="s">
        <v>789</v>
      </c>
      <c r="R1038" s="482"/>
      <c r="S1038" s="483"/>
      <c r="T1038" s="502" t="s">
        <v>814</v>
      </c>
      <c r="U1038" s="484"/>
      <c r="V1038" s="476" t="s">
        <v>393</v>
      </c>
      <c r="W1038" s="476"/>
    </row>
    <row r="1039" spans="1:26" ht="14.25" customHeight="1">
      <c r="A1039" s="500" t="s">
        <v>307</v>
      </c>
      <c r="B1039" s="500" t="s">
        <v>338</v>
      </c>
      <c r="C1039" s="500" t="s">
        <v>390</v>
      </c>
      <c r="D1039" s="429" t="s">
        <v>1685</v>
      </c>
      <c r="E1039" s="480">
        <v>199265</v>
      </c>
      <c r="F1039" s="476"/>
      <c r="G1039" s="476"/>
      <c r="H1039" s="476"/>
      <c r="I1039" s="476"/>
      <c r="J1039" s="476" t="s">
        <v>813</v>
      </c>
      <c r="K1039" s="476" t="s">
        <v>807</v>
      </c>
      <c r="L1039" s="476" t="s">
        <v>813</v>
      </c>
      <c r="M1039" s="476" t="s">
        <v>307</v>
      </c>
      <c r="N1039" s="476">
        <v>19.627199170000001</v>
      </c>
      <c r="O1039" s="476">
        <v>93.962989809999996</v>
      </c>
      <c r="P1039" s="476" t="s">
        <v>932</v>
      </c>
      <c r="Q1039" s="476" t="s">
        <v>789</v>
      </c>
      <c r="R1039" s="482"/>
      <c r="S1039" s="483"/>
      <c r="T1039" s="502" t="s">
        <v>814</v>
      </c>
      <c r="U1039" s="484"/>
      <c r="V1039" s="476" t="s">
        <v>390</v>
      </c>
      <c r="W1039" s="476"/>
    </row>
    <row r="1040" spans="1:26" ht="14.25" customHeight="1">
      <c r="A1040" s="500" t="s">
        <v>307</v>
      </c>
      <c r="B1040" s="500" t="s">
        <v>338</v>
      </c>
      <c r="C1040" s="500" t="s">
        <v>388</v>
      </c>
      <c r="D1040" s="429" t="s">
        <v>1685</v>
      </c>
      <c r="E1040" s="476">
        <v>199262</v>
      </c>
      <c r="F1040" s="476"/>
      <c r="G1040" s="476"/>
      <c r="H1040" s="476"/>
      <c r="I1040" s="476"/>
      <c r="J1040" s="476" t="s">
        <v>813</v>
      </c>
      <c r="K1040" s="476" t="s">
        <v>807</v>
      </c>
      <c r="L1040" s="476" t="s">
        <v>813</v>
      </c>
      <c r="M1040" s="476" t="s">
        <v>307</v>
      </c>
      <c r="N1040" s="476">
        <v>19.61580086</v>
      </c>
      <c r="O1040" s="476">
        <v>94.000473020000001</v>
      </c>
      <c r="P1040" s="476" t="s">
        <v>932</v>
      </c>
      <c r="Q1040" s="476" t="s">
        <v>789</v>
      </c>
      <c r="R1040" s="482"/>
      <c r="S1040" s="483"/>
      <c r="T1040" s="502" t="s">
        <v>814</v>
      </c>
      <c r="U1040" s="484"/>
      <c r="V1040" s="476" t="s">
        <v>388</v>
      </c>
      <c r="W1040" s="476"/>
    </row>
    <row r="1041" spans="1:23" ht="14.25" customHeight="1">
      <c r="A1041" s="500" t="s">
        <v>307</v>
      </c>
      <c r="B1041" s="500" t="s">
        <v>338</v>
      </c>
      <c r="C1041" s="500" t="s">
        <v>405</v>
      </c>
      <c r="D1041" s="429" t="s">
        <v>1685</v>
      </c>
      <c r="E1041" s="476">
        <v>199241</v>
      </c>
      <c r="F1041" s="476"/>
      <c r="G1041" s="476"/>
      <c r="H1041" s="476"/>
      <c r="I1041" s="476"/>
      <c r="J1041" s="476" t="s">
        <v>813</v>
      </c>
      <c r="K1041" s="476" t="s">
        <v>807</v>
      </c>
      <c r="L1041" s="476" t="s">
        <v>813</v>
      </c>
      <c r="M1041" s="476" t="s">
        <v>816</v>
      </c>
      <c r="N1041" s="476">
        <v>19.988599780000001</v>
      </c>
      <c r="O1041" s="476">
        <v>93.803939819999997</v>
      </c>
      <c r="P1041" s="476" t="s">
        <v>932</v>
      </c>
      <c r="Q1041" s="476" t="s">
        <v>789</v>
      </c>
      <c r="R1041" s="482"/>
      <c r="S1041" s="483"/>
      <c r="T1041" s="502" t="s">
        <v>814</v>
      </c>
      <c r="U1041" s="484"/>
      <c r="V1041" s="394" t="s">
        <v>822</v>
      </c>
      <c r="W1041" s="476"/>
    </row>
    <row r="1042" spans="1:23" ht="14.25" customHeight="1">
      <c r="A1042" s="500" t="s">
        <v>307</v>
      </c>
      <c r="B1042" s="500" t="s">
        <v>338</v>
      </c>
      <c r="C1042" s="500" t="s">
        <v>403</v>
      </c>
      <c r="D1042" s="429" t="s">
        <v>1685</v>
      </c>
      <c r="E1042" s="476">
        <v>220838</v>
      </c>
      <c r="F1042" s="476"/>
      <c r="G1042" s="476"/>
      <c r="H1042" s="476"/>
      <c r="I1042" s="476"/>
      <c r="J1042" s="476" t="s">
        <v>813</v>
      </c>
      <c r="K1042" s="476" t="s">
        <v>807</v>
      </c>
      <c r="L1042" s="476" t="s">
        <v>813</v>
      </c>
      <c r="M1042" s="476" t="s">
        <v>816</v>
      </c>
      <c r="N1042" s="494">
        <v>19.962713239999999</v>
      </c>
      <c r="O1042" s="494">
        <v>93.885574340000005</v>
      </c>
      <c r="P1042" s="476" t="s">
        <v>932</v>
      </c>
      <c r="Q1042" s="476" t="s">
        <v>789</v>
      </c>
      <c r="R1042" s="482"/>
      <c r="S1042" s="483"/>
      <c r="T1042" s="502" t="s">
        <v>814</v>
      </c>
      <c r="U1042" s="484"/>
      <c r="V1042" s="476" t="s">
        <v>403</v>
      </c>
      <c r="W1042" s="476"/>
    </row>
    <row r="1043" spans="1:23" ht="14.25" customHeight="1">
      <c r="A1043" s="500" t="s">
        <v>307</v>
      </c>
      <c r="B1043" s="500" t="s">
        <v>338</v>
      </c>
      <c r="C1043" s="500" t="s">
        <v>400</v>
      </c>
      <c r="D1043" s="429" t="s">
        <v>1685</v>
      </c>
      <c r="E1043" s="476">
        <v>199133</v>
      </c>
      <c r="F1043" s="476"/>
      <c r="G1043" s="476"/>
      <c r="H1043" s="476"/>
      <c r="I1043" s="476"/>
      <c r="J1043" s="476" t="s">
        <v>813</v>
      </c>
      <c r="K1043" s="476" t="s">
        <v>807</v>
      </c>
      <c r="L1043" s="476" t="s">
        <v>813</v>
      </c>
      <c r="M1043" s="476" t="s">
        <v>307</v>
      </c>
      <c r="N1043" s="476">
        <v>19.925739289999999</v>
      </c>
      <c r="O1043" s="476">
        <v>93.792991639999997</v>
      </c>
      <c r="P1043" s="476" t="s">
        <v>932</v>
      </c>
      <c r="Q1043" s="476" t="s">
        <v>789</v>
      </c>
      <c r="R1043" s="482"/>
      <c r="S1043" s="483"/>
      <c r="T1043" s="502" t="s">
        <v>814</v>
      </c>
      <c r="U1043" s="484"/>
      <c r="V1043" s="476" t="s">
        <v>818</v>
      </c>
      <c r="W1043" s="476"/>
    </row>
    <row r="1044" spans="1:23" ht="14.25" customHeight="1">
      <c r="A1044" s="439" t="s">
        <v>711</v>
      </c>
      <c r="B1044" s="510" t="s">
        <v>730</v>
      </c>
      <c r="C1044" s="439" t="s">
        <v>3103</v>
      </c>
      <c r="D1044" s="481"/>
      <c r="E1044" s="476"/>
      <c r="F1044" s="476"/>
      <c r="G1044" s="476"/>
      <c r="H1044" s="476"/>
      <c r="I1044" s="476"/>
      <c r="J1044" s="476" t="s">
        <v>2836</v>
      </c>
      <c r="K1044" s="476" t="s">
        <v>2798</v>
      </c>
      <c r="L1044" s="476" t="s">
        <v>2798</v>
      </c>
      <c r="M1044" s="476" t="s">
        <v>46</v>
      </c>
      <c r="N1044" s="476"/>
      <c r="O1044" s="476"/>
      <c r="P1044" s="476" t="s">
        <v>2032</v>
      </c>
      <c r="Q1044" s="476" t="s">
        <v>3061</v>
      </c>
      <c r="R1044" s="490"/>
      <c r="S1044" s="483"/>
      <c r="T1044" s="502">
        <v>43759</v>
      </c>
      <c r="U1044" s="490"/>
      <c r="V1044" s="476"/>
      <c r="W1044" s="482"/>
    </row>
    <row r="1045" spans="1:23" ht="14.25" customHeight="1">
      <c r="A1045" s="439" t="s">
        <v>711</v>
      </c>
      <c r="B1045" s="510" t="s">
        <v>730</v>
      </c>
      <c r="C1045" s="439" t="s">
        <v>3099</v>
      </c>
      <c r="D1045" s="481"/>
      <c r="E1045" s="476"/>
      <c r="F1045" s="476"/>
      <c r="G1045" s="476"/>
      <c r="H1045" s="476"/>
      <c r="I1045" s="476"/>
      <c r="J1045" s="476" t="s">
        <v>2836</v>
      </c>
      <c r="K1045" s="476" t="s">
        <v>2798</v>
      </c>
      <c r="L1045" s="476" t="s">
        <v>2798</v>
      </c>
      <c r="M1045" s="476" t="s">
        <v>46</v>
      </c>
      <c r="N1045" s="476"/>
      <c r="O1045" s="476"/>
      <c r="P1045" s="476" t="s">
        <v>2032</v>
      </c>
      <c r="Q1045" s="476" t="s">
        <v>3061</v>
      </c>
      <c r="R1045" s="490"/>
      <c r="S1045" s="483"/>
      <c r="T1045" s="502">
        <v>43759</v>
      </c>
      <c r="U1045" s="490"/>
      <c r="V1045" s="476"/>
      <c r="W1045" s="482"/>
    </row>
    <row r="1046" spans="1:23" ht="14.25" customHeight="1">
      <c r="A1046" s="439" t="s">
        <v>711</v>
      </c>
      <c r="B1046" s="510" t="s">
        <v>730</v>
      </c>
      <c r="C1046" s="439" t="s">
        <v>731</v>
      </c>
      <c r="D1046" s="429" t="s">
        <v>3135</v>
      </c>
      <c r="E1046" s="476" t="s">
        <v>1441</v>
      </c>
      <c r="F1046" s="476" t="s">
        <v>731</v>
      </c>
      <c r="G1046" s="476" t="s">
        <v>731</v>
      </c>
      <c r="H1046" s="476" t="s">
        <v>43</v>
      </c>
      <c r="I1046" s="476" t="s">
        <v>2856</v>
      </c>
      <c r="J1046" s="476" t="s">
        <v>45</v>
      </c>
      <c r="K1046" s="476" t="s">
        <v>45</v>
      </c>
      <c r="L1046" s="476" t="s">
        <v>45</v>
      </c>
      <c r="M1046" s="476" t="s">
        <v>46</v>
      </c>
      <c r="N1046" s="476">
        <v>23.354268999999999</v>
      </c>
      <c r="O1046" s="476">
        <v>98.218626999999998</v>
      </c>
      <c r="P1046" s="476" t="s">
        <v>770</v>
      </c>
      <c r="Q1046" s="476" t="s">
        <v>789</v>
      </c>
      <c r="R1046" s="482">
        <v>48</v>
      </c>
      <c r="S1046" s="482">
        <v>262</v>
      </c>
      <c r="T1046" s="502"/>
      <c r="U1046" s="484"/>
      <c r="V1046" s="476" t="s">
        <v>731</v>
      </c>
      <c r="W1046" s="395" t="s">
        <v>2232</v>
      </c>
    </row>
    <row r="1047" spans="1:23" ht="14.25" customHeight="1">
      <c r="A1047" s="439" t="s">
        <v>711</v>
      </c>
      <c r="B1047" s="510" t="s">
        <v>730</v>
      </c>
      <c r="C1047" s="439" t="s">
        <v>754</v>
      </c>
      <c r="D1047" s="429" t="s">
        <v>3160</v>
      </c>
      <c r="E1047" s="476" t="s">
        <v>1442</v>
      </c>
      <c r="F1047" s="476" t="s">
        <v>1789</v>
      </c>
      <c r="G1047" s="476" t="s">
        <v>1789</v>
      </c>
      <c r="H1047" s="476"/>
      <c r="I1047" s="476" t="s">
        <v>2181</v>
      </c>
      <c r="J1047" s="476" t="s">
        <v>45</v>
      </c>
      <c r="K1047" s="476" t="s">
        <v>977</v>
      </c>
      <c r="L1047" s="476" t="s">
        <v>45</v>
      </c>
      <c r="M1047" s="476" t="s">
        <v>787</v>
      </c>
      <c r="N1047" s="476">
        <v>23.372409999999999</v>
      </c>
      <c r="O1047" s="476">
        <v>98.352670000000003</v>
      </c>
      <c r="P1047" s="476" t="s">
        <v>782</v>
      </c>
      <c r="Q1047" s="476" t="s">
        <v>789</v>
      </c>
      <c r="R1047" s="490"/>
      <c r="S1047" s="483"/>
      <c r="T1047" s="502">
        <v>43276</v>
      </c>
      <c r="U1047" s="484" t="s">
        <v>2023</v>
      </c>
      <c r="V1047" s="476" t="s">
        <v>754</v>
      </c>
      <c r="W1047" s="395" t="s">
        <v>2233</v>
      </c>
    </row>
    <row r="1048" spans="1:23" ht="14.25" customHeight="1">
      <c r="A1048" s="439" t="s">
        <v>711</v>
      </c>
      <c r="B1048" s="510" t="s">
        <v>730</v>
      </c>
      <c r="C1048" s="439" t="s">
        <v>760</v>
      </c>
      <c r="D1048" s="481" t="s">
        <v>1686</v>
      </c>
      <c r="E1048" s="476" t="s">
        <v>1440</v>
      </c>
      <c r="F1048" s="476" t="s">
        <v>1697</v>
      </c>
      <c r="G1048" s="476" t="s">
        <v>1697</v>
      </c>
      <c r="H1048" s="476"/>
      <c r="I1048" s="476">
        <v>0</v>
      </c>
      <c r="J1048" s="476" t="s">
        <v>45</v>
      </c>
      <c r="K1048" s="476" t="s">
        <v>45</v>
      </c>
      <c r="L1048" s="476" t="s">
        <v>769</v>
      </c>
      <c r="M1048" s="476" t="s">
        <v>46</v>
      </c>
      <c r="N1048" s="476">
        <v>23.353999999999999</v>
      </c>
      <c r="O1048" s="476">
        <v>98.221000000000004</v>
      </c>
      <c r="P1048" s="476" t="s">
        <v>770</v>
      </c>
      <c r="Q1048" s="476" t="s">
        <v>771</v>
      </c>
      <c r="R1048" s="490"/>
      <c r="S1048" s="483"/>
      <c r="T1048" s="502"/>
      <c r="U1048" s="484"/>
      <c r="V1048" s="476"/>
      <c r="W1048" s="395" t="s">
        <v>2234</v>
      </c>
    </row>
    <row r="1049" spans="1:23" ht="14.25" customHeight="1">
      <c r="A1049" s="439" t="s">
        <v>711</v>
      </c>
      <c r="B1049" s="510" t="s">
        <v>752</v>
      </c>
      <c r="C1049" s="439" t="s">
        <v>2820</v>
      </c>
      <c r="D1049" s="481"/>
      <c r="E1049" s="476"/>
      <c r="F1049" s="476"/>
      <c r="G1049" s="476"/>
      <c r="H1049" s="476"/>
      <c r="I1049" s="476"/>
      <c r="J1049" s="476" t="s">
        <v>2836</v>
      </c>
      <c r="K1049" s="476" t="s">
        <v>2798</v>
      </c>
      <c r="L1049" s="476" t="s">
        <v>2798</v>
      </c>
      <c r="M1049" s="476" t="s">
        <v>46</v>
      </c>
      <c r="N1049" s="476"/>
      <c r="O1049" s="476"/>
      <c r="P1049" s="476" t="s">
        <v>2032</v>
      </c>
      <c r="Q1049" s="476"/>
      <c r="R1049" s="490"/>
      <c r="S1049" s="483"/>
      <c r="T1049" s="502">
        <v>43567</v>
      </c>
      <c r="U1049" s="484"/>
      <c r="V1049" s="476"/>
      <c r="W1049" s="482"/>
    </row>
    <row r="1050" spans="1:23" ht="14.25" customHeight="1">
      <c r="A1050" s="439" t="s">
        <v>711</v>
      </c>
      <c r="B1050" s="510" t="s">
        <v>752</v>
      </c>
      <c r="C1050" s="439" t="s">
        <v>753</v>
      </c>
      <c r="D1050" s="429" t="s">
        <v>3135</v>
      </c>
      <c r="E1050" s="476" t="s">
        <v>1432</v>
      </c>
      <c r="F1050" s="476" t="s">
        <v>1785</v>
      </c>
      <c r="G1050" s="476" t="s">
        <v>1786</v>
      </c>
      <c r="H1050" s="476"/>
      <c r="I1050" s="480" t="s">
        <v>2181</v>
      </c>
      <c r="J1050" s="476" t="s">
        <v>45</v>
      </c>
      <c r="K1050" s="476" t="s">
        <v>45</v>
      </c>
      <c r="L1050" s="476" t="s">
        <v>785</v>
      </c>
      <c r="M1050" s="476" t="s">
        <v>46</v>
      </c>
      <c r="N1050" s="476">
        <v>22.677008000000001</v>
      </c>
      <c r="O1050" s="476">
        <v>97.314762999999999</v>
      </c>
      <c r="P1050" s="476" t="s">
        <v>770</v>
      </c>
      <c r="Q1050" s="476" t="s">
        <v>771</v>
      </c>
      <c r="R1050" s="482">
        <v>37</v>
      </c>
      <c r="S1050" s="482">
        <v>120</v>
      </c>
      <c r="T1050" s="502"/>
      <c r="U1050" s="484" t="s">
        <v>971</v>
      </c>
      <c r="V1050" s="476" t="s">
        <v>972</v>
      </c>
      <c r="W1050" s="395" t="s">
        <v>2235</v>
      </c>
    </row>
    <row r="1051" spans="1:23" ht="14.25" customHeight="1">
      <c r="A1051" s="439" t="s">
        <v>711</v>
      </c>
      <c r="B1051" s="510" t="s">
        <v>752</v>
      </c>
      <c r="C1051" s="439" t="s">
        <v>2821</v>
      </c>
      <c r="D1051" s="481"/>
      <c r="E1051" s="476"/>
      <c r="F1051" s="476"/>
      <c r="G1051" s="476"/>
      <c r="H1051" s="476"/>
      <c r="I1051" s="476"/>
      <c r="J1051" s="476" t="s">
        <v>2836</v>
      </c>
      <c r="K1051" s="476" t="s">
        <v>2798</v>
      </c>
      <c r="L1051" s="476" t="s">
        <v>2798</v>
      </c>
      <c r="M1051" s="476" t="s">
        <v>46</v>
      </c>
      <c r="N1051" s="476"/>
      <c r="O1051" s="476"/>
      <c r="P1051" s="476" t="s">
        <v>2032</v>
      </c>
      <c r="Q1051" s="476"/>
      <c r="R1051" s="490"/>
      <c r="S1051" s="483"/>
      <c r="T1051" s="502">
        <v>43567</v>
      </c>
      <c r="U1051" s="484"/>
      <c r="V1051" s="476"/>
      <c r="W1051" s="482"/>
    </row>
    <row r="1052" spans="1:23" ht="14.25" customHeight="1">
      <c r="A1052" s="439" t="s">
        <v>711</v>
      </c>
      <c r="B1052" s="510" t="s">
        <v>752</v>
      </c>
      <c r="C1052" s="439" t="s">
        <v>2822</v>
      </c>
      <c r="D1052" s="481"/>
      <c r="E1052" s="476"/>
      <c r="F1052" s="476"/>
      <c r="G1052" s="476"/>
      <c r="H1052" s="476"/>
      <c r="I1052" s="476"/>
      <c r="J1052" s="476" t="s">
        <v>2836</v>
      </c>
      <c r="K1052" s="476" t="s">
        <v>2798</v>
      </c>
      <c r="L1052" s="476" t="s">
        <v>2798</v>
      </c>
      <c r="M1052" s="476" t="s">
        <v>46</v>
      </c>
      <c r="N1052" s="476"/>
      <c r="O1052" s="476"/>
      <c r="P1052" s="476" t="s">
        <v>2032</v>
      </c>
      <c r="Q1052" s="476"/>
      <c r="R1052" s="490"/>
      <c r="S1052" s="483"/>
      <c r="T1052" s="502">
        <v>43567</v>
      </c>
      <c r="U1052" s="484"/>
      <c r="V1052" s="476"/>
      <c r="W1052" s="482"/>
    </row>
    <row r="1053" spans="1:23" ht="14.25" customHeight="1">
      <c r="A1053" s="439" t="s">
        <v>711</v>
      </c>
      <c r="B1053" s="510" t="s">
        <v>715</v>
      </c>
      <c r="C1053" s="439" t="s">
        <v>2301</v>
      </c>
      <c r="D1053" s="481"/>
      <c r="E1053" s="476"/>
      <c r="F1053" s="476"/>
      <c r="G1053" s="476"/>
      <c r="H1053" s="476"/>
      <c r="I1053" s="476"/>
      <c r="J1053" s="476" t="s">
        <v>2836</v>
      </c>
      <c r="K1053" s="476" t="s">
        <v>2798</v>
      </c>
      <c r="L1053" s="476" t="s">
        <v>2798</v>
      </c>
      <c r="M1053" s="476" t="s">
        <v>46</v>
      </c>
      <c r="N1053" s="476"/>
      <c r="O1053" s="476"/>
      <c r="P1053" s="476" t="s">
        <v>2032</v>
      </c>
      <c r="Q1053" s="476" t="s">
        <v>3061</v>
      </c>
      <c r="R1053" s="490"/>
      <c r="S1053" s="483"/>
      <c r="T1053" s="502">
        <v>43759</v>
      </c>
      <c r="U1053" s="490"/>
      <c r="V1053" s="476"/>
      <c r="W1053" s="482"/>
    </row>
    <row r="1054" spans="1:23" ht="14.25" customHeight="1">
      <c r="A1054" s="439" t="s">
        <v>711</v>
      </c>
      <c r="B1054" s="510" t="s">
        <v>715</v>
      </c>
      <c r="C1054" s="439" t="s">
        <v>2299</v>
      </c>
      <c r="D1054" s="429" t="s">
        <v>3135</v>
      </c>
      <c r="E1054" s="476" t="s">
        <v>2300</v>
      </c>
      <c r="F1054" s="476" t="s">
        <v>2301</v>
      </c>
      <c r="G1054" s="476" t="s">
        <v>2301</v>
      </c>
      <c r="H1054" s="476"/>
      <c r="I1054" s="480" t="s">
        <v>2181</v>
      </c>
      <c r="J1054" s="476" t="s">
        <v>45</v>
      </c>
      <c r="K1054" s="476" t="s">
        <v>45</v>
      </c>
      <c r="L1054" s="476" t="s">
        <v>785</v>
      </c>
      <c r="M1054" s="476" t="s">
        <v>46</v>
      </c>
      <c r="N1054" s="476">
        <v>0</v>
      </c>
      <c r="O1054" s="476">
        <v>0</v>
      </c>
      <c r="P1054" s="476" t="s">
        <v>770</v>
      </c>
      <c r="Q1054" s="476" t="s">
        <v>2302</v>
      </c>
      <c r="R1054" s="482">
        <v>86</v>
      </c>
      <c r="S1054" s="482">
        <v>525</v>
      </c>
      <c r="T1054" s="502">
        <v>43405</v>
      </c>
      <c r="U1054" s="484" t="s">
        <v>2303</v>
      </c>
      <c r="V1054" s="476" t="s">
        <v>2299</v>
      </c>
      <c r="W1054" s="395" t="s">
        <v>2304</v>
      </c>
    </row>
    <row r="1055" spans="1:23" ht="14.25" customHeight="1">
      <c r="A1055" s="439" t="s">
        <v>711</v>
      </c>
      <c r="B1055" s="510" t="s">
        <v>715</v>
      </c>
      <c r="C1055" s="439" t="s">
        <v>2305</v>
      </c>
      <c r="D1055" s="429" t="s">
        <v>3135</v>
      </c>
      <c r="E1055" s="476" t="s">
        <v>2306</v>
      </c>
      <c r="F1055" s="476" t="s">
        <v>2307</v>
      </c>
      <c r="G1055" s="476"/>
      <c r="H1055" s="476" t="s">
        <v>43</v>
      </c>
      <c r="I1055" s="476" t="s">
        <v>1347</v>
      </c>
      <c r="J1055" s="476" t="s">
        <v>45</v>
      </c>
      <c r="K1055" s="476" t="s">
        <v>45</v>
      </c>
      <c r="L1055" s="476" t="s">
        <v>45</v>
      </c>
      <c r="M1055" s="476" t="s">
        <v>46</v>
      </c>
      <c r="N1055" s="476">
        <v>0</v>
      </c>
      <c r="O1055" s="476">
        <v>0</v>
      </c>
      <c r="P1055" s="476" t="s">
        <v>770</v>
      </c>
      <c r="Q1055" s="476" t="s">
        <v>2302</v>
      </c>
      <c r="R1055" s="482">
        <v>32</v>
      </c>
      <c r="S1055" s="482">
        <v>146</v>
      </c>
      <c r="T1055" s="502"/>
      <c r="U1055" s="484" t="s">
        <v>2308</v>
      </c>
      <c r="V1055" s="476" t="s">
        <v>2305</v>
      </c>
      <c r="W1055" s="395" t="s">
        <v>2311</v>
      </c>
    </row>
    <row r="1056" spans="1:23" ht="14.25" customHeight="1">
      <c r="A1056" s="439" t="s">
        <v>711</v>
      </c>
      <c r="B1056" s="510" t="s">
        <v>715</v>
      </c>
      <c r="C1056" s="439" t="s">
        <v>3104</v>
      </c>
      <c r="D1056" s="481"/>
      <c r="E1056" s="476"/>
      <c r="F1056" s="476"/>
      <c r="G1056" s="476"/>
      <c r="H1056" s="476"/>
      <c r="I1056" s="476"/>
      <c r="J1056" s="476" t="s">
        <v>2836</v>
      </c>
      <c r="K1056" s="476" t="s">
        <v>2798</v>
      </c>
      <c r="L1056" s="476" t="s">
        <v>2798</v>
      </c>
      <c r="M1056" s="476" t="s">
        <v>46</v>
      </c>
      <c r="N1056" s="476"/>
      <c r="O1056" s="476"/>
      <c r="P1056" s="476" t="s">
        <v>2032</v>
      </c>
      <c r="Q1056" s="476" t="s">
        <v>3061</v>
      </c>
      <c r="R1056" s="490"/>
      <c r="S1056" s="483"/>
      <c r="T1056" s="502">
        <v>43759</v>
      </c>
      <c r="U1056" s="490"/>
      <c r="V1056" s="476"/>
      <c r="W1056" s="482"/>
    </row>
    <row r="1057" spans="1:23" ht="14.25" customHeight="1">
      <c r="A1057" s="439" t="s">
        <v>711</v>
      </c>
      <c r="B1057" s="510" t="s">
        <v>715</v>
      </c>
      <c r="C1057" s="439" t="s">
        <v>736</v>
      </c>
      <c r="D1057" s="481" t="s">
        <v>1686</v>
      </c>
      <c r="E1057" s="476" t="s">
        <v>1445</v>
      </c>
      <c r="F1057" s="476" t="s">
        <v>1698</v>
      </c>
      <c r="G1057" s="476" t="s">
        <v>1699</v>
      </c>
      <c r="H1057" s="476" t="s">
        <v>43</v>
      </c>
      <c r="I1057" s="476" t="s">
        <v>144</v>
      </c>
      <c r="J1057" s="476" t="s">
        <v>45</v>
      </c>
      <c r="K1057" s="476" t="s">
        <v>977</v>
      </c>
      <c r="L1057" s="476" t="s">
        <v>769</v>
      </c>
      <c r="M1057" s="476" t="s">
        <v>46</v>
      </c>
      <c r="N1057" s="476">
        <v>23.4008</v>
      </c>
      <c r="O1057" s="476">
        <v>97.848529999999997</v>
      </c>
      <c r="P1057" s="476" t="s">
        <v>770</v>
      </c>
      <c r="Q1057" s="476" t="s">
        <v>789</v>
      </c>
      <c r="R1057" s="490"/>
      <c r="S1057" s="483"/>
      <c r="T1057" s="502">
        <v>43049</v>
      </c>
      <c r="U1057" s="484" t="s">
        <v>979</v>
      </c>
      <c r="V1057" s="476" t="s">
        <v>736</v>
      </c>
      <c r="W1057" s="395" t="s">
        <v>2236</v>
      </c>
    </row>
    <row r="1058" spans="1:23" ht="14.25" customHeight="1">
      <c r="A1058" s="439" t="s">
        <v>711</v>
      </c>
      <c r="B1058" s="510" t="s">
        <v>715</v>
      </c>
      <c r="C1058" s="439" t="s">
        <v>1113</v>
      </c>
      <c r="D1058" s="481"/>
      <c r="E1058" s="476"/>
      <c r="F1058" s="476"/>
      <c r="G1058" s="476"/>
      <c r="H1058" s="476"/>
      <c r="I1058" s="476"/>
      <c r="J1058" s="476" t="s">
        <v>1476</v>
      </c>
      <c r="K1058" s="476" t="s">
        <v>45</v>
      </c>
      <c r="L1058" s="476" t="s">
        <v>1108</v>
      </c>
      <c r="M1058" s="476" t="s">
        <v>46</v>
      </c>
      <c r="N1058" s="476"/>
      <c r="O1058" s="476"/>
      <c r="P1058" s="476" t="s">
        <v>770</v>
      </c>
      <c r="Q1058" s="476" t="s">
        <v>789</v>
      </c>
      <c r="R1058" s="490"/>
      <c r="S1058" s="483"/>
      <c r="T1058" s="502"/>
      <c r="U1058" s="484" t="s">
        <v>1104</v>
      </c>
      <c r="V1058" s="476" t="s">
        <v>1113</v>
      </c>
      <c r="W1058" s="482"/>
    </row>
    <row r="1059" spans="1:23" ht="14.25" customHeight="1">
      <c r="A1059" s="439" t="s">
        <v>711</v>
      </c>
      <c r="B1059" s="510" t="s">
        <v>715</v>
      </c>
      <c r="C1059" s="439" t="s">
        <v>737</v>
      </c>
      <c r="D1059" s="429" t="s">
        <v>3135</v>
      </c>
      <c r="E1059" s="476" t="s">
        <v>1447</v>
      </c>
      <c r="F1059" s="476" t="s">
        <v>1790</v>
      </c>
      <c r="G1059" s="476" t="s">
        <v>1791</v>
      </c>
      <c r="H1059" s="476" t="s">
        <v>43</v>
      </c>
      <c r="I1059" s="476" t="s">
        <v>2856</v>
      </c>
      <c r="J1059" s="476" t="s">
        <v>45</v>
      </c>
      <c r="K1059" s="476" t="s">
        <v>45</v>
      </c>
      <c r="L1059" s="476" t="s">
        <v>45</v>
      </c>
      <c r="M1059" s="476" t="s">
        <v>46</v>
      </c>
      <c r="N1059" s="476">
        <v>23.450914000000001</v>
      </c>
      <c r="O1059" s="476">
        <v>97.926813999999993</v>
      </c>
      <c r="P1059" s="476" t="s">
        <v>770</v>
      </c>
      <c r="Q1059" s="476" t="s">
        <v>789</v>
      </c>
      <c r="R1059" s="482">
        <v>53</v>
      </c>
      <c r="S1059" s="482">
        <v>314</v>
      </c>
      <c r="T1059" s="502"/>
      <c r="U1059" s="484"/>
      <c r="V1059" s="476" t="s">
        <v>737</v>
      </c>
      <c r="W1059" s="395" t="s">
        <v>2237</v>
      </c>
    </row>
    <row r="1060" spans="1:23" ht="14.25" customHeight="1">
      <c r="A1060" s="439" t="s">
        <v>711</v>
      </c>
      <c r="B1060" s="510" t="s">
        <v>715</v>
      </c>
      <c r="C1060" s="439" t="s">
        <v>742</v>
      </c>
      <c r="D1060" s="429" t="s">
        <v>3135</v>
      </c>
      <c r="E1060" s="476" t="s">
        <v>1448</v>
      </c>
      <c r="F1060" s="476" t="s">
        <v>1790</v>
      </c>
      <c r="G1060" s="476" t="s">
        <v>1690</v>
      </c>
      <c r="H1060" s="476" t="s">
        <v>43</v>
      </c>
      <c r="I1060" s="476" t="s">
        <v>2856</v>
      </c>
      <c r="J1060" s="476" t="s">
        <v>45</v>
      </c>
      <c r="K1060" s="476" t="s">
        <v>45</v>
      </c>
      <c r="L1060" s="476" t="s">
        <v>45</v>
      </c>
      <c r="M1060" s="476" t="s">
        <v>46</v>
      </c>
      <c r="N1060" s="476">
        <v>23.460349999999998</v>
      </c>
      <c r="O1060" s="476">
        <v>97.947360000000003</v>
      </c>
      <c r="P1060" s="476" t="s">
        <v>770</v>
      </c>
      <c r="Q1060" s="476" t="s">
        <v>771</v>
      </c>
      <c r="R1060" s="482">
        <v>36</v>
      </c>
      <c r="S1060" s="482">
        <v>153</v>
      </c>
      <c r="T1060" s="502">
        <v>42836</v>
      </c>
      <c r="U1060" s="484" t="s">
        <v>980</v>
      </c>
      <c r="V1060" s="476"/>
      <c r="W1060" s="395" t="s">
        <v>2238</v>
      </c>
    </row>
    <row r="1061" spans="1:23" ht="14.25" customHeight="1">
      <c r="A1061" s="439" t="s">
        <v>711</v>
      </c>
      <c r="B1061" s="510" t="s">
        <v>715</v>
      </c>
      <c r="C1061" s="439" t="s">
        <v>716</v>
      </c>
      <c r="D1061" s="429" t="s">
        <v>3135</v>
      </c>
      <c r="E1061" s="476" t="s">
        <v>1449</v>
      </c>
      <c r="F1061" s="476" t="s">
        <v>1790</v>
      </c>
      <c r="G1061" s="476" t="s">
        <v>1792</v>
      </c>
      <c r="H1061" s="476" t="s">
        <v>43</v>
      </c>
      <c r="I1061" s="476" t="s">
        <v>1347</v>
      </c>
      <c r="J1061" s="476" t="s">
        <v>45</v>
      </c>
      <c r="K1061" s="476" t="s">
        <v>45</v>
      </c>
      <c r="L1061" s="476" t="s">
        <v>45</v>
      </c>
      <c r="M1061" s="476" t="s">
        <v>46</v>
      </c>
      <c r="N1061" s="476">
        <v>23.460349999999998</v>
      </c>
      <c r="O1061" s="476">
        <v>97.947360000000003</v>
      </c>
      <c r="P1061" s="476" t="s">
        <v>770</v>
      </c>
      <c r="Q1061" s="476" t="s">
        <v>789</v>
      </c>
      <c r="R1061" s="482">
        <v>26</v>
      </c>
      <c r="S1061" s="482">
        <v>132</v>
      </c>
      <c r="T1061" s="502"/>
      <c r="U1061" s="484"/>
      <c r="V1061" s="476" t="s">
        <v>716</v>
      </c>
      <c r="W1061" s="395" t="s">
        <v>2239</v>
      </c>
    </row>
    <row r="1062" spans="1:23" ht="14.25" customHeight="1">
      <c r="A1062" s="439" t="s">
        <v>711</v>
      </c>
      <c r="B1062" s="510" t="s">
        <v>715</v>
      </c>
      <c r="C1062" s="439" t="s">
        <v>761</v>
      </c>
      <c r="D1062" s="481"/>
      <c r="E1062" s="476"/>
      <c r="F1062" s="476"/>
      <c r="G1062" s="476"/>
      <c r="H1062" s="476"/>
      <c r="I1062" s="476"/>
      <c r="J1062" s="476" t="s">
        <v>1476</v>
      </c>
      <c r="K1062" s="476" t="s">
        <v>45</v>
      </c>
      <c r="L1062" s="476" t="s">
        <v>45</v>
      </c>
      <c r="M1062" s="476" t="s">
        <v>46</v>
      </c>
      <c r="N1062" s="476"/>
      <c r="O1062" s="476"/>
      <c r="P1062" s="476" t="s">
        <v>770</v>
      </c>
      <c r="Q1062" s="476" t="s">
        <v>789</v>
      </c>
      <c r="R1062" s="490"/>
      <c r="S1062" s="483"/>
      <c r="T1062" s="502">
        <v>42747</v>
      </c>
      <c r="U1062" s="484"/>
      <c r="V1062" s="476"/>
      <c r="W1062" s="482"/>
    </row>
    <row r="1063" spans="1:23" ht="14.25" customHeight="1">
      <c r="A1063" s="439" t="s">
        <v>711</v>
      </c>
      <c r="B1063" s="510" t="s">
        <v>715</v>
      </c>
      <c r="C1063" s="439" t="s">
        <v>2178</v>
      </c>
      <c r="D1063" s="429" t="s">
        <v>3135</v>
      </c>
      <c r="E1063" s="476" t="s">
        <v>1452</v>
      </c>
      <c r="F1063" s="476" t="s">
        <v>1795</v>
      </c>
      <c r="G1063" s="476" t="s">
        <v>1795</v>
      </c>
      <c r="H1063" s="476" t="s">
        <v>43</v>
      </c>
      <c r="I1063" s="476" t="s">
        <v>1347</v>
      </c>
      <c r="J1063" s="476" t="s">
        <v>45</v>
      </c>
      <c r="K1063" s="476" t="s">
        <v>45</v>
      </c>
      <c r="L1063" s="476" t="s">
        <v>45</v>
      </c>
      <c r="M1063" s="476" t="s">
        <v>46</v>
      </c>
      <c r="N1063" s="476">
        <v>23.591999999999999</v>
      </c>
      <c r="O1063" s="476">
        <v>97.796999999999997</v>
      </c>
      <c r="P1063" s="476" t="s">
        <v>770</v>
      </c>
      <c r="Q1063" s="476" t="s">
        <v>789</v>
      </c>
      <c r="R1063" s="482">
        <v>66</v>
      </c>
      <c r="S1063" s="482">
        <v>346</v>
      </c>
      <c r="T1063" s="502" t="s">
        <v>814</v>
      </c>
      <c r="U1063" s="484"/>
      <c r="V1063" s="476"/>
      <c r="W1063" s="395" t="s">
        <v>2240</v>
      </c>
    </row>
    <row r="1064" spans="1:23" ht="14.25" customHeight="1">
      <c r="A1064" s="439" t="s">
        <v>711</v>
      </c>
      <c r="B1064" s="510" t="s">
        <v>715</v>
      </c>
      <c r="C1064" s="439" t="s">
        <v>750</v>
      </c>
      <c r="D1064" s="429" t="s">
        <v>3135</v>
      </c>
      <c r="E1064" s="476" t="s">
        <v>1638</v>
      </c>
      <c r="F1064" s="476" t="s">
        <v>1878</v>
      </c>
      <c r="G1064" s="476" t="s">
        <v>750</v>
      </c>
      <c r="H1064" s="476"/>
      <c r="I1064" s="480" t="s">
        <v>2181</v>
      </c>
      <c r="J1064" s="476" t="s">
        <v>45</v>
      </c>
      <c r="K1064" s="476" t="s">
        <v>45</v>
      </c>
      <c r="L1064" s="476" t="s">
        <v>785</v>
      </c>
      <c r="M1064" s="476" t="s">
        <v>46</v>
      </c>
      <c r="N1064" s="476">
        <v>0</v>
      </c>
      <c r="O1064" s="476">
        <v>0</v>
      </c>
      <c r="P1064" s="476" t="s">
        <v>770</v>
      </c>
      <c r="Q1064" s="476" t="s">
        <v>811</v>
      </c>
      <c r="R1064" s="482">
        <v>24</v>
      </c>
      <c r="S1064" s="482">
        <v>84</v>
      </c>
      <c r="T1064" s="502" t="s">
        <v>1092</v>
      </c>
      <c r="U1064" s="484"/>
      <c r="V1064" s="476"/>
      <c r="W1064" s="395" t="s">
        <v>2241</v>
      </c>
    </row>
    <row r="1065" spans="1:23" ht="14.25" customHeight="1">
      <c r="A1065" s="439" t="s">
        <v>711</v>
      </c>
      <c r="B1065" s="510" t="s">
        <v>715</v>
      </c>
      <c r="C1065" s="439" t="s">
        <v>3108</v>
      </c>
      <c r="D1065" s="481"/>
      <c r="E1065" s="476"/>
      <c r="F1065" s="476"/>
      <c r="G1065" s="476"/>
      <c r="H1065" s="476"/>
      <c r="I1065" s="476"/>
      <c r="J1065" s="476" t="s">
        <v>2836</v>
      </c>
      <c r="K1065" s="476" t="s">
        <v>2798</v>
      </c>
      <c r="L1065" s="476" t="s">
        <v>2798</v>
      </c>
      <c r="M1065" s="476" t="s">
        <v>46</v>
      </c>
      <c r="N1065" s="476"/>
      <c r="O1065" s="476"/>
      <c r="P1065" s="476" t="s">
        <v>2032</v>
      </c>
      <c r="Q1065" s="476" t="s">
        <v>3061</v>
      </c>
      <c r="R1065" s="490"/>
      <c r="S1065" s="483"/>
      <c r="T1065" s="502">
        <v>43759</v>
      </c>
      <c r="U1065" s="490"/>
      <c r="V1065" s="476"/>
      <c r="W1065" s="482"/>
    </row>
    <row r="1066" spans="1:23" ht="14.25" customHeight="1">
      <c r="A1066" s="439" t="s">
        <v>711</v>
      </c>
      <c r="B1066" s="510" t="s">
        <v>715</v>
      </c>
      <c r="C1066" s="439" t="s">
        <v>2179</v>
      </c>
      <c r="D1066" s="429" t="s">
        <v>3135</v>
      </c>
      <c r="E1066" s="476" t="s">
        <v>1451</v>
      </c>
      <c r="F1066" s="476" t="s">
        <v>1795</v>
      </c>
      <c r="G1066" s="476" t="s">
        <v>1795</v>
      </c>
      <c r="H1066" s="476" t="s">
        <v>43</v>
      </c>
      <c r="I1066" s="476" t="s">
        <v>1347</v>
      </c>
      <c r="J1066" s="476" t="s">
        <v>45</v>
      </c>
      <c r="K1066" s="476" t="s">
        <v>977</v>
      </c>
      <c r="L1066" s="476" t="s">
        <v>45</v>
      </c>
      <c r="M1066" s="476" t="s">
        <v>46</v>
      </c>
      <c r="N1066" s="476">
        <v>23.588920000000002</v>
      </c>
      <c r="O1066" s="476">
        <v>97.793019999999999</v>
      </c>
      <c r="P1066" s="476" t="s">
        <v>770</v>
      </c>
      <c r="Q1066" s="476" t="s">
        <v>789</v>
      </c>
      <c r="R1066" s="482">
        <v>76</v>
      </c>
      <c r="S1066" s="482">
        <v>344</v>
      </c>
      <c r="T1066" s="502"/>
      <c r="U1066" s="484"/>
      <c r="V1066" s="476" t="s">
        <v>745</v>
      </c>
      <c r="W1066" s="395" t="s">
        <v>2242</v>
      </c>
    </row>
    <row r="1067" spans="1:23" ht="14.25" customHeight="1">
      <c r="A1067" s="439" t="s">
        <v>711</v>
      </c>
      <c r="B1067" s="510" t="s">
        <v>715</v>
      </c>
      <c r="C1067" s="439" t="s">
        <v>1125</v>
      </c>
      <c r="D1067" s="481"/>
      <c r="E1067" s="476"/>
      <c r="F1067" s="476"/>
      <c r="G1067" s="476"/>
      <c r="H1067" s="476"/>
      <c r="I1067" s="476"/>
      <c r="J1067" s="476" t="s">
        <v>1476</v>
      </c>
      <c r="K1067" s="476" t="s">
        <v>45</v>
      </c>
      <c r="L1067" s="476" t="s">
        <v>45</v>
      </c>
      <c r="M1067" s="476" t="s">
        <v>46</v>
      </c>
      <c r="N1067" s="476"/>
      <c r="O1067" s="476"/>
      <c r="P1067" s="476" t="s">
        <v>770</v>
      </c>
      <c r="Q1067" s="476" t="s">
        <v>789</v>
      </c>
      <c r="R1067" s="490"/>
      <c r="S1067" s="483"/>
      <c r="T1067" s="502"/>
      <c r="U1067" s="484" t="s">
        <v>1104</v>
      </c>
      <c r="V1067" s="476"/>
      <c r="W1067" s="482"/>
    </row>
    <row r="1068" spans="1:23" ht="14.25" customHeight="1">
      <c r="A1068" s="439" t="s">
        <v>711</v>
      </c>
      <c r="B1068" s="510" t="s">
        <v>715</v>
      </c>
      <c r="C1068" s="439" t="s">
        <v>741</v>
      </c>
      <c r="D1068" s="429" t="s">
        <v>3135</v>
      </c>
      <c r="E1068" s="476" t="s">
        <v>1469</v>
      </c>
      <c r="F1068" s="476" t="s">
        <v>1799</v>
      </c>
      <c r="G1068" s="476" t="s">
        <v>1800</v>
      </c>
      <c r="H1068" s="476"/>
      <c r="I1068" s="480" t="s">
        <v>2181</v>
      </c>
      <c r="J1068" s="476" t="s">
        <v>45</v>
      </c>
      <c r="K1068" s="476" t="s">
        <v>45</v>
      </c>
      <c r="L1068" s="476" t="s">
        <v>785</v>
      </c>
      <c r="M1068" s="476" t="s">
        <v>46</v>
      </c>
      <c r="N1068" s="476">
        <v>23.850999999999999</v>
      </c>
      <c r="O1068" s="476">
        <v>98.337999999999994</v>
      </c>
      <c r="P1068" s="476" t="s">
        <v>770</v>
      </c>
      <c r="Q1068" s="476" t="s">
        <v>771</v>
      </c>
      <c r="R1068" s="482">
        <v>30</v>
      </c>
      <c r="S1068" s="482">
        <v>170</v>
      </c>
      <c r="T1068" s="502"/>
      <c r="U1068" s="484" t="s">
        <v>991</v>
      </c>
      <c r="V1068" s="476"/>
      <c r="W1068" s="395" t="s">
        <v>2243</v>
      </c>
    </row>
    <row r="1069" spans="1:23" ht="14.25" customHeight="1">
      <c r="A1069" s="439" t="s">
        <v>711</v>
      </c>
      <c r="B1069" s="510" t="s">
        <v>715</v>
      </c>
      <c r="C1069" s="439" t="s">
        <v>724</v>
      </c>
      <c r="D1069" s="429" t="s">
        <v>3135</v>
      </c>
      <c r="E1069" s="476" t="s">
        <v>1444</v>
      </c>
      <c r="F1069" s="476"/>
      <c r="G1069" s="476"/>
      <c r="H1069" s="476" t="s">
        <v>43</v>
      </c>
      <c r="I1069" s="476" t="s">
        <v>2856</v>
      </c>
      <c r="J1069" s="476" t="s">
        <v>45</v>
      </c>
      <c r="K1069" s="476" t="s">
        <v>977</v>
      </c>
      <c r="L1069" s="476" t="s">
        <v>45</v>
      </c>
      <c r="M1069" s="476" t="s">
        <v>46</v>
      </c>
      <c r="N1069" s="476">
        <v>23.400155999999999</v>
      </c>
      <c r="O1069" s="476">
        <v>98.220614999999995</v>
      </c>
      <c r="P1069" s="476" t="s">
        <v>770</v>
      </c>
      <c r="Q1069" s="476" t="s">
        <v>789</v>
      </c>
      <c r="R1069" s="482">
        <v>38</v>
      </c>
      <c r="S1069" s="482">
        <v>210</v>
      </c>
      <c r="T1069" s="502"/>
      <c r="U1069" s="484"/>
      <c r="V1069" s="476" t="s">
        <v>978</v>
      </c>
      <c r="W1069" s="395" t="s">
        <v>2244</v>
      </c>
    </row>
    <row r="1070" spans="1:23" ht="14.25" customHeight="1">
      <c r="A1070" s="439" t="s">
        <v>711</v>
      </c>
      <c r="B1070" s="510" t="s">
        <v>715</v>
      </c>
      <c r="C1070" s="439" t="s">
        <v>720</v>
      </c>
      <c r="D1070" s="429" t="s">
        <v>3135</v>
      </c>
      <c r="E1070" s="476" t="s">
        <v>1450</v>
      </c>
      <c r="F1070" s="476" t="s">
        <v>1793</v>
      </c>
      <c r="G1070" s="476" t="s">
        <v>1794</v>
      </c>
      <c r="H1070" s="476" t="s">
        <v>43</v>
      </c>
      <c r="I1070" s="476" t="s">
        <v>1347</v>
      </c>
      <c r="J1070" s="476" t="s">
        <v>45</v>
      </c>
      <c r="K1070" s="476" t="s">
        <v>45</v>
      </c>
      <c r="L1070" s="476" t="s">
        <v>45</v>
      </c>
      <c r="M1070" s="476" t="s">
        <v>46</v>
      </c>
      <c r="N1070" s="476">
        <v>23.463000000000001</v>
      </c>
      <c r="O1070" s="476">
        <v>98.248999999999995</v>
      </c>
      <c r="P1070" s="476" t="s">
        <v>770</v>
      </c>
      <c r="Q1070" s="476" t="s">
        <v>789</v>
      </c>
      <c r="R1070" s="482">
        <v>19</v>
      </c>
      <c r="S1070" s="482">
        <v>89</v>
      </c>
      <c r="T1070" s="502"/>
      <c r="U1070" s="484"/>
      <c r="V1070" s="476" t="s">
        <v>981</v>
      </c>
      <c r="W1070" s="395" t="s">
        <v>2245</v>
      </c>
    </row>
    <row r="1071" spans="1:23" ht="14.25" customHeight="1">
      <c r="A1071" s="439" t="s">
        <v>711</v>
      </c>
      <c r="B1071" s="510" t="s">
        <v>715</v>
      </c>
      <c r="C1071" s="439" t="s">
        <v>1129</v>
      </c>
      <c r="D1071" s="481"/>
      <c r="E1071" s="476"/>
      <c r="F1071" s="476"/>
      <c r="G1071" s="476"/>
      <c r="H1071" s="476"/>
      <c r="I1071" s="476"/>
      <c r="J1071" s="476" t="s">
        <v>1476</v>
      </c>
      <c r="K1071" s="476" t="s">
        <v>45</v>
      </c>
      <c r="L1071" s="476" t="s">
        <v>1108</v>
      </c>
      <c r="M1071" s="476" t="s">
        <v>46</v>
      </c>
      <c r="N1071" s="476"/>
      <c r="O1071" s="476"/>
      <c r="P1071" s="476" t="s">
        <v>770</v>
      </c>
      <c r="Q1071" s="476" t="s">
        <v>789</v>
      </c>
      <c r="R1071" s="490"/>
      <c r="S1071" s="483"/>
      <c r="T1071" s="502"/>
      <c r="U1071" s="484" t="s">
        <v>1104</v>
      </c>
      <c r="V1071" s="476" t="s">
        <v>1130</v>
      </c>
      <c r="W1071" s="482"/>
    </row>
    <row r="1072" spans="1:23" ht="14.25" customHeight="1">
      <c r="A1072" s="439" t="s">
        <v>711</v>
      </c>
      <c r="B1072" s="510" t="s">
        <v>715</v>
      </c>
      <c r="C1072" s="439" t="s">
        <v>727</v>
      </c>
      <c r="D1072" s="429" t="s">
        <v>3135</v>
      </c>
      <c r="E1072" s="476" t="s">
        <v>1456</v>
      </c>
      <c r="F1072" s="476" t="s">
        <v>1796</v>
      </c>
      <c r="G1072" s="476" t="s">
        <v>1797</v>
      </c>
      <c r="H1072" s="476" t="s">
        <v>43</v>
      </c>
      <c r="I1072" s="476" t="s">
        <v>2856</v>
      </c>
      <c r="J1072" s="476" t="s">
        <v>45</v>
      </c>
      <c r="K1072" s="476" t="s">
        <v>45</v>
      </c>
      <c r="L1072" s="476" t="s">
        <v>45</v>
      </c>
      <c r="M1072" s="476" t="s">
        <v>46</v>
      </c>
      <c r="N1072" s="476">
        <v>23.694130000000001</v>
      </c>
      <c r="O1072" s="476">
        <v>97.818979999999996</v>
      </c>
      <c r="P1072" s="476" t="s">
        <v>770</v>
      </c>
      <c r="Q1072" s="476" t="s">
        <v>789</v>
      </c>
      <c r="R1072" s="482">
        <v>53</v>
      </c>
      <c r="S1072" s="482">
        <v>253</v>
      </c>
      <c r="T1072" s="502"/>
      <c r="U1072" s="484"/>
      <c r="V1072" s="476" t="s">
        <v>727</v>
      </c>
      <c r="W1072" s="395" t="s">
        <v>2246</v>
      </c>
    </row>
    <row r="1073" spans="1:23" ht="14.25" customHeight="1">
      <c r="A1073" s="439" t="s">
        <v>711</v>
      </c>
      <c r="B1073" s="510" t="s">
        <v>715</v>
      </c>
      <c r="C1073" s="439" t="s">
        <v>2180</v>
      </c>
      <c r="D1073" s="429" t="s">
        <v>3135</v>
      </c>
      <c r="E1073" s="476" t="s">
        <v>1455</v>
      </c>
      <c r="F1073" s="476"/>
      <c r="G1073" s="476"/>
      <c r="H1073" s="476" t="s">
        <v>43</v>
      </c>
      <c r="I1073" s="476" t="s">
        <v>1347</v>
      </c>
      <c r="J1073" s="476" t="s">
        <v>45</v>
      </c>
      <c r="K1073" s="476" t="s">
        <v>45</v>
      </c>
      <c r="L1073" s="476" t="s">
        <v>45</v>
      </c>
      <c r="M1073" s="476" t="s">
        <v>46</v>
      </c>
      <c r="N1073" s="476">
        <v>23.682887999999998</v>
      </c>
      <c r="O1073" s="476">
        <v>97.810101000000003</v>
      </c>
      <c r="P1073" s="476" t="s">
        <v>770</v>
      </c>
      <c r="Q1073" s="476" t="s">
        <v>789</v>
      </c>
      <c r="R1073" s="482">
        <v>36</v>
      </c>
      <c r="S1073" s="482">
        <v>120</v>
      </c>
      <c r="T1073" s="502" t="s">
        <v>814</v>
      </c>
      <c r="U1073" s="484"/>
      <c r="V1073" s="476"/>
      <c r="W1073" s="395" t="s">
        <v>2247</v>
      </c>
    </row>
    <row r="1074" spans="1:23" ht="14.25" customHeight="1">
      <c r="A1074" s="439" t="s">
        <v>711</v>
      </c>
      <c r="B1074" s="510" t="s">
        <v>715</v>
      </c>
      <c r="C1074" s="439" t="s">
        <v>3095</v>
      </c>
      <c r="D1074" s="481"/>
      <c r="E1074" s="476"/>
      <c r="F1074" s="476"/>
      <c r="G1074" s="476"/>
      <c r="H1074" s="476"/>
      <c r="I1074" s="476"/>
      <c r="J1074" s="476" t="s">
        <v>2836</v>
      </c>
      <c r="K1074" s="476" t="s">
        <v>2798</v>
      </c>
      <c r="L1074" s="476" t="s">
        <v>2798</v>
      </c>
      <c r="M1074" s="476" t="s">
        <v>46</v>
      </c>
      <c r="N1074" s="476"/>
      <c r="O1074" s="476"/>
      <c r="P1074" s="476" t="s">
        <v>2032</v>
      </c>
      <c r="Q1074" s="476" t="s">
        <v>3061</v>
      </c>
      <c r="R1074" s="490"/>
      <c r="S1074" s="483"/>
      <c r="T1074" s="502">
        <v>43759</v>
      </c>
      <c r="U1074" s="490"/>
      <c r="V1074" s="476"/>
      <c r="W1074" s="482"/>
    </row>
    <row r="1075" spans="1:23" ht="14.25" customHeight="1">
      <c r="A1075" s="439" t="s">
        <v>711</v>
      </c>
      <c r="B1075" s="510" t="s">
        <v>715</v>
      </c>
      <c r="C1075" s="439" t="s">
        <v>738</v>
      </c>
      <c r="D1075" s="429" t="s">
        <v>3135</v>
      </c>
      <c r="E1075" s="476" t="s">
        <v>1446</v>
      </c>
      <c r="F1075" s="476" t="s">
        <v>1698</v>
      </c>
      <c r="G1075" s="476">
        <v>0</v>
      </c>
      <c r="H1075" s="476" t="s">
        <v>43</v>
      </c>
      <c r="I1075" s="476" t="s">
        <v>1347</v>
      </c>
      <c r="J1075" s="476" t="s">
        <v>45</v>
      </c>
      <c r="K1075" s="476" t="s">
        <v>977</v>
      </c>
      <c r="L1075" s="476" t="s">
        <v>45</v>
      </c>
      <c r="M1075" s="476" t="s">
        <v>46</v>
      </c>
      <c r="N1075" s="476">
        <v>23.447111</v>
      </c>
      <c r="O1075" s="476">
        <v>97.868876999999998</v>
      </c>
      <c r="P1075" s="476" t="s">
        <v>770</v>
      </c>
      <c r="Q1075" s="476" t="s">
        <v>771</v>
      </c>
      <c r="R1075" s="482">
        <v>105</v>
      </c>
      <c r="S1075" s="482">
        <v>649</v>
      </c>
      <c r="T1075" s="502"/>
      <c r="U1075" s="484"/>
      <c r="V1075" s="476"/>
      <c r="W1075" s="395" t="s">
        <v>2248</v>
      </c>
    </row>
    <row r="1076" spans="1:23" ht="14.25" customHeight="1">
      <c r="A1076" s="439" t="s">
        <v>711</v>
      </c>
      <c r="B1076" s="510" t="s">
        <v>715</v>
      </c>
      <c r="C1076" s="439" t="s">
        <v>758</v>
      </c>
      <c r="D1076" s="429" t="s">
        <v>3135</v>
      </c>
      <c r="E1076" s="476" t="s">
        <v>1933</v>
      </c>
      <c r="F1076" s="476" t="s">
        <v>758</v>
      </c>
      <c r="G1076" s="476" t="s">
        <v>758</v>
      </c>
      <c r="H1076" s="476" t="s">
        <v>43</v>
      </c>
      <c r="I1076" s="476" t="s">
        <v>1347</v>
      </c>
      <c r="J1076" s="476" t="s">
        <v>45</v>
      </c>
      <c r="K1076" s="476" t="s">
        <v>45</v>
      </c>
      <c r="L1076" s="476" t="s">
        <v>45</v>
      </c>
      <c r="M1076" s="476" t="s">
        <v>46</v>
      </c>
      <c r="N1076" s="476">
        <v>0</v>
      </c>
      <c r="O1076" s="476">
        <v>0</v>
      </c>
      <c r="P1076" s="476" t="s">
        <v>770</v>
      </c>
      <c r="Q1076" s="476"/>
      <c r="R1076" s="482">
        <v>36</v>
      </c>
      <c r="S1076" s="482">
        <v>189</v>
      </c>
      <c r="T1076" s="502"/>
      <c r="U1076" s="484" t="s">
        <v>1162</v>
      </c>
      <c r="V1076" s="476"/>
      <c r="W1076" s="395" t="s">
        <v>2249</v>
      </c>
    </row>
    <row r="1077" spans="1:23" ht="14.25" customHeight="1">
      <c r="A1077" s="439" t="s">
        <v>711</v>
      </c>
      <c r="B1077" s="510" t="s">
        <v>715</v>
      </c>
      <c r="C1077" s="439" t="s">
        <v>3106</v>
      </c>
      <c r="D1077" s="481"/>
      <c r="E1077" s="476"/>
      <c r="F1077" s="476"/>
      <c r="G1077" s="476"/>
      <c r="H1077" s="476"/>
      <c r="I1077" s="476"/>
      <c r="J1077" s="476" t="s">
        <v>2836</v>
      </c>
      <c r="K1077" s="476" t="s">
        <v>2798</v>
      </c>
      <c r="L1077" s="476" t="s">
        <v>2798</v>
      </c>
      <c r="M1077" s="476" t="s">
        <v>46</v>
      </c>
      <c r="N1077" s="476"/>
      <c r="O1077" s="476"/>
      <c r="P1077" s="476" t="s">
        <v>2032</v>
      </c>
      <c r="Q1077" s="476" t="s">
        <v>3061</v>
      </c>
      <c r="R1077" s="490"/>
      <c r="S1077" s="483"/>
      <c r="T1077" s="502">
        <v>43759</v>
      </c>
      <c r="U1077" s="490"/>
      <c r="V1077" s="476"/>
      <c r="W1077" s="482"/>
    </row>
    <row r="1078" spans="1:23" ht="14.25" customHeight="1">
      <c r="A1078" s="439" t="s">
        <v>711</v>
      </c>
      <c r="B1078" s="510" t="s">
        <v>715</v>
      </c>
      <c r="C1078" s="439" t="s">
        <v>3107</v>
      </c>
      <c r="D1078" s="481"/>
      <c r="E1078" s="476"/>
      <c r="F1078" s="476"/>
      <c r="G1078" s="476"/>
      <c r="H1078" s="476"/>
      <c r="I1078" s="476"/>
      <c r="J1078" s="476" t="s">
        <v>2836</v>
      </c>
      <c r="K1078" s="476" t="s">
        <v>2798</v>
      </c>
      <c r="L1078" s="476" t="s">
        <v>2798</v>
      </c>
      <c r="M1078" s="476" t="s">
        <v>46</v>
      </c>
      <c r="N1078" s="476"/>
      <c r="O1078" s="476"/>
      <c r="P1078" s="476" t="s">
        <v>2032</v>
      </c>
      <c r="Q1078" s="476" t="s">
        <v>3061</v>
      </c>
      <c r="R1078" s="490"/>
      <c r="S1078" s="483"/>
      <c r="T1078" s="502">
        <v>43759</v>
      </c>
      <c r="U1078" s="490"/>
      <c r="V1078" s="476"/>
      <c r="W1078" s="482"/>
    </row>
    <row r="1079" spans="1:23" ht="14.25" customHeight="1">
      <c r="A1079" s="439" t="s">
        <v>711</v>
      </c>
      <c r="B1079" s="510" t="s">
        <v>715</v>
      </c>
      <c r="C1079" s="439" t="s">
        <v>3105</v>
      </c>
      <c r="D1079" s="481"/>
      <c r="E1079" s="476"/>
      <c r="F1079" s="476"/>
      <c r="G1079" s="476"/>
      <c r="H1079" s="476"/>
      <c r="I1079" s="476"/>
      <c r="J1079" s="476" t="s">
        <v>2836</v>
      </c>
      <c r="K1079" s="476" t="s">
        <v>2798</v>
      </c>
      <c r="L1079" s="476" t="s">
        <v>2798</v>
      </c>
      <c r="M1079" s="476" t="s">
        <v>46</v>
      </c>
      <c r="N1079" s="476"/>
      <c r="O1079" s="476"/>
      <c r="P1079" s="476" t="s">
        <v>2032</v>
      </c>
      <c r="Q1079" s="476" t="s">
        <v>3061</v>
      </c>
      <c r="R1079" s="490"/>
      <c r="S1079" s="483"/>
      <c r="T1079" s="502">
        <v>43759</v>
      </c>
      <c r="U1079" s="490"/>
      <c r="V1079" s="476"/>
      <c r="W1079" s="482"/>
    </row>
    <row r="1080" spans="1:23" ht="14.25" customHeight="1">
      <c r="A1080" s="439" t="s">
        <v>711</v>
      </c>
      <c r="B1080" s="510" t="s">
        <v>715</v>
      </c>
      <c r="C1080" s="439" t="s">
        <v>734</v>
      </c>
      <c r="D1080" s="429" t="s">
        <v>3135</v>
      </c>
      <c r="E1080" s="476" t="s">
        <v>1443</v>
      </c>
      <c r="F1080" s="476" t="s">
        <v>1698</v>
      </c>
      <c r="G1080" s="476" t="s">
        <v>1699</v>
      </c>
      <c r="H1080" s="476" t="s">
        <v>43</v>
      </c>
      <c r="I1080" s="476" t="s">
        <v>2856</v>
      </c>
      <c r="J1080" s="476" t="s">
        <v>45</v>
      </c>
      <c r="K1080" s="476" t="s">
        <v>977</v>
      </c>
      <c r="L1080" s="476" t="s">
        <v>45</v>
      </c>
      <c r="M1080" s="476" t="s">
        <v>46</v>
      </c>
      <c r="N1080" s="476">
        <v>23.38503</v>
      </c>
      <c r="O1080" s="476">
        <v>97.837040000000002</v>
      </c>
      <c r="P1080" s="476" t="s">
        <v>770</v>
      </c>
      <c r="Q1080" s="476" t="s">
        <v>789</v>
      </c>
      <c r="R1080" s="482">
        <v>206</v>
      </c>
      <c r="S1080" s="482">
        <v>1040</v>
      </c>
      <c r="T1080" s="502"/>
      <c r="U1080" s="484"/>
      <c r="V1080" s="476" t="s">
        <v>734</v>
      </c>
      <c r="W1080" s="395" t="s">
        <v>2250</v>
      </c>
    </row>
    <row r="1081" spans="1:23" ht="14.25" customHeight="1">
      <c r="A1081" s="439" t="s">
        <v>711</v>
      </c>
      <c r="B1081" s="510" t="s">
        <v>1266</v>
      </c>
      <c r="C1081" s="439" t="s">
        <v>3139</v>
      </c>
      <c r="D1081" s="481"/>
      <c r="E1081" s="476"/>
      <c r="F1081" s="476"/>
      <c r="G1081" s="476"/>
      <c r="H1081" s="476"/>
      <c r="I1081" s="476"/>
      <c r="J1081" s="476" t="s">
        <v>2836</v>
      </c>
      <c r="K1081" s="476" t="s">
        <v>2798</v>
      </c>
      <c r="L1081" s="476" t="s">
        <v>2798</v>
      </c>
      <c r="M1081" s="476" t="s">
        <v>46</v>
      </c>
      <c r="N1081" s="476"/>
      <c r="O1081" s="476"/>
      <c r="P1081" s="476"/>
      <c r="Q1081" s="476" t="s">
        <v>3134</v>
      </c>
      <c r="R1081" s="490"/>
      <c r="S1081" s="483"/>
      <c r="T1081" s="502">
        <v>43841</v>
      </c>
      <c r="U1081" s="490"/>
      <c r="V1081" s="476"/>
      <c r="W1081" s="482"/>
    </row>
    <row r="1082" spans="1:23" ht="14.25" customHeight="1">
      <c r="A1082" s="439" t="s">
        <v>711</v>
      </c>
      <c r="B1082" s="510" t="s">
        <v>1266</v>
      </c>
      <c r="C1082" s="439" t="s">
        <v>3141</v>
      </c>
      <c r="D1082" s="481"/>
      <c r="E1082" s="476"/>
      <c r="F1082" s="476"/>
      <c r="G1082" s="476"/>
      <c r="H1082" s="476"/>
      <c r="I1082" s="476"/>
      <c r="J1082" s="476" t="s">
        <v>2836</v>
      </c>
      <c r="K1082" s="476" t="s">
        <v>2798</v>
      </c>
      <c r="L1082" s="476" t="s">
        <v>2798</v>
      </c>
      <c r="M1082" s="476" t="s">
        <v>46</v>
      </c>
      <c r="N1082" s="476"/>
      <c r="O1082" s="476"/>
      <c r="P1082" s="476"/>
      <c r="Q1082" s="476" t="s">
        <v>3134</v>
      </c>
      <c r="R1082" s="490"/>
      <c r="S1082" s="483"/>
      <c r="T1082" s="502">
        <v>43841</v>
      </c>
      <c r="U1082" s="490"/>
      <c r="V1082" s="476"/>
      <c r="W1082" s="482"/>
    </row>
    <row r="1083" spans="1:23" ht="14.25" customHeight="1">
      <c r="A1083" s="439" t="s">
        <v>711</v>
      </c>
      <c r="B1083" s="510" t="s">
        <v>1266</v>
      </c>
      <c r="C1083" s="439" t="s">
        <v>3140</v>
      </c>
      <c r="D1083" s="481"/>
      <c r="E1083" s="476"/>
      <c r="F1083" s="476"/>
      <c r="G1083" s="476"/>
      <c r="H1083" s="476"/>
      <c r="I1083" s="476"/>
      <c r="J1083" s="476" t="s">
        <v>2836</v>
      </c>
      <c r="K1083" s="476" t="s">
        <v>2798</v>
      </c>
      <c r="L1083" s="476" t="s">
        <v>2798</v>
      </c>
      <c r="M1083" s="476" t="s">
        <v>46</v>
      </c>
      <c r="N1083" s="476"/>
      <c r="O1083" s="476"/>
      <c r="P1083" s="476"/>
      <c r="Q1083" s="476" t="s">
        <v>3134</v>
      </c>
      <c r="R1083" s="490"/>
      <c r="S1083" s="483"/>
      <c r="T1083" s="502">
        <v>43841</v>
      </c>
      <c r="U1083" s="490"/>
      <c r="V1083" s="476"/>
      <c r="W1083" s="482"/>
    </row>
    <row r="1084" spans="1:23" ht="14.25" customHeight="1">
      <c r="A1084" s="439" t="s">
        <v>711</v>
      </c>
      <c r="B1084" s="510" t="s">
        <v>1267</v>
      </c>
      <c r="C1084" s="439" t="s">
        <v>3032</v>
      </c>
      <c r="D1084" s="481"/>
      <c r="E1084" s="476"/>
      <c r="F1084" s="476"/>
      <c r="G1084" s="476"/>
      <c r="H1084" s="476"/>
      <c r="I1084" s="476"/>
      <c r="J1084" s="476" t="s">
        <v>1476</v>
      </c>
      <c r="K1084" s="476" t="s">
        <v>45</v>
      </c>
      <c r="L1084" s="476" t="s">
        <v>785</v>
      </c>
      <c r="M1084" s="476" t="s">
        <v>46</v>
      </c>
      <c r="N1084" s="476"/>
      <c r="O1084" s="476"/>
      <c r="P1084" s="476" t="s">
        <v>770</v>
      </c>
      <c r="Q1084" s="476" t="s">
        <v>3033</v>
      </c>
      <c r="R1084" s="490"/>
      <c r="S1084" s="483"/>
      <c r="T1084" s="502"/>
      <c r="U1084" s="484"/>
      <c r="V1084" s="482"/>
      <c r="W1084" s="533"/>
    </row>
    <row r="1085" spans="1:23" ht="14.25" customHeight="1">
      <c r="A1085" s="439" t="s">
        <v>711</v>
      </c>
      <c r="B1085" s="510" t="s">
        <v>1267</v>
      </c>
      <c r="C1085" s="439" t="s">
        <v>1329</v>
      </c>
      <c r="D1085" s="481"/>
      <c r="E1085" s="476"/>
      <c r="F1085" s="476" t="s">
        <v>1905</v>
      </c>
      <c r="G1085" s="476"/>
      <c r="H1085" s="476"/>
      <c r="I1085" s="476"/>
      <c r="J1085" s="476" t="s">
        <v>1476</v>
      </c>
      <c r="K1085" s="480" t="s">
        <v>45</v>
      </c>
      <c r="L1085" s="480" t="s">
        <v>45</v>
      </c>
      <c r="M1085" s="476"/>
      <c r="N1085" s="476"/>
      <c r="O1085" s="476"/>
      <c r="P1085" s="476" t="s">
        <v>770</v>
      </c>
      <c r="Q1085" s="476"/>
      <c r="R1085" s="490"/>
      <c r="S1085" s="483"/>
      <c r="T1085" s="502"/>
      <c r="U1085" s="484"/>
      <c r="V1085" s="476"/>
      <c r="W1085" s="482"/>
    </row>
    <row r="1086" spans="1:23" ht="14.25" customHeight="1">
      <c r="A1086" s="439" t="s">
        <v>711</v>
      </c>
      <c r="B1086" s="510" t="s">
        <v>1267</v>
      </c>
      <c r="C1086" s="439" t="s">
        <v>3034</v>
      </c>
      <c r="D1086" s="481"/>
      <c r="E1086" s="476"/>
      <c r="F1086" s="476"/>
      <c r="G1086" s="476"/>
      <c r="H1086" s="476"/>
      <c r="I1086" s="476"/>
      <c r="J1086" s="476" t="s">
        <v>1476</v>
      </c>
      <c r="K1086" s="476" t="s">
        <v>45</v>
      </c>
      <c r="L1086" s="476" t="s">
        <v>785</v>
      </c>
      <c r="M1086" s="476" t="s">
        <v>46</v>
      </c>
      <c r="N1086" s="476"/>
      <c r="O1086" s="476"/>
      <c r="P1086" s="476" t="s">
        <v>770</v>
      </c>
      <c r="Q1086" s="476" t="s">
        <v>3033</v>
      </c>
      <c r="R1086" s="490"/>
      <c r="S1086" s="483"/>
      <c r="T1086" s="502">
        <v>43633</v>
      </c>
      <c r="U1086" s="490"/>
      <c r="V1086" s="476"/>
      <c r="W1086" s="482"/>
    </row>
    <row r="1087" spans="1:23" ht="14.25" customHeight="1">
      <c r="A1087" s="439" t="s">
        <v>711</v>
      </c>
      <c r="B1087" s="510" t="s">
        <v>1267</v>
      </c>
      <c r="C1087" s="439" t="s">
        <v>3098</v>
      </c>
      <c r="D1087" s="481"/>
      <c r="E1087" s="476"/>
      <c r="F1087" s="476"/>
      <c r="G1087" s="476"/>
      <c r="H1087" s="476"/>
      <c r="I1087" s="476"/>
      <c r="J1087" s="476" t="s">
        <v>2836</v>
      </c>
      <c r="K1087" s="476" t="s">
        <v>2798</v>
      </c>
      <c r="L1087" s="476" t="s">
        <v>2798</v>
      </c>
      <c r="M1087" s="476" t="s">
        <v>46</v>
      </c>
      <c r="N1087" s="476"/>
      <c r="O1087" s="476"/>
      <c r="P1087" s="476" t="s">
        <v>2032</v>
      </c>
      <c r="Q1087" s="476" t="s">
        <v>3061</v>
      </c>
      <c r="R1087" s="490"/>
      <c r="S1087" s="483"/>
      <c r="T1087" s="502">
        <v>43759</v>
      </c>
      <c r="U1087" s="490"/>
      <c r="V1087" s="476"/>
      <c r="W1087" s="482"/>
    </row>
    <row r="1088" spans="1:23" ht="14.25" customHeight="1">
      <c r="A1088" s="439" t="s">
        <v>711</v>
      </c>
      <c r="B1088" s="510" t="s">
        <v>1267</v>
      </c>
      <c r="C1088" s="439" t="s">
        <v>3097</v>
      </c>
      <c r="D1088" s="481"/>
      <c r="E1088" s="476"/>
      <c r="F1088" s="476"/>
      <c r="G1088" s="476"/>
      <c r="H1088" s="476"/>
      <c r="I1088" s="476"/>
      <c r="J1088" s="476" t="s">
        <v>2836</v>
      </c>
      <c r="K1088" s="476" t="s">
        <v>2798</v>
      </c>
      <c r="L1088" s="476" t="s">
        <v>2798</v>
      </c>
      <c r="M1088" s="476" t="s">
        <v>46</v>
      </c>
      <c r="N1088" s="476"/>
      <c r="O1088" s="476"/>
      <c r="P1088" s="476" t="s">
        <v>2032</v>
      </c>
      <c r="Q1088" s="476" t="s">
        <v>3061</v>
      </c>
      <c r="R1088" s="490"/>
      <c r="S1088" s="483"/>
      <c r="T1088" s="502">
        <v>43759</v>
      </c>
      <c r="U1088" s="490"/>
      <c r="V1088" s="476"/>
      <c r="W1088" s="482"/>
    </row>
    <row r="1089" spans="1:23" ht="14.25" customHeight="1">
      <c r="A1089" s="439" t="s">
        <v>711</v>
      </c>
      <c r="B1089" s="510" t="s">
        <v>1267</v>
      </c>
      <c r="C1089" s="439" t="s">
        <v>3096</v>
      </c>
      <c r="D1089" s="481"/>
      <c r="E1089" s="476"/>
      <c r="F1089" s="476"/>
      <c r="G1089" s="476"/>
      <c r="H1089" s="476"/>
      <c r="I1089" s="476"/>
      <c r="J1089" s="476" t="s">
        <v>2836</v>
      </c>
      <c r="K1089" s="476" t="s">
        <v>2798</v>
      </c>
      <c r="L1089" s="476" t="s">
        <v>2798</v>
      </c>
      <c r="M1089" s="476" t="s">
        <v>46</v>
      </c>
      <c r="N1089" s="476"/>
      <c r="O1089" s="476"/>
      <c r="P1089" s="476" t="s">
        <v>2032</v>
      </c>
      <c r="Q1089" s="476" t="s">
        <v>3061</v>
      </c>
      <c r="R1089" s="490"/>
      <c r="S1089" s="483"/>
      <c r="T1089" s="502">
        <v>43759</v>
      </c>
      <c r="U1089" s="490"/>
      <c r="V1089" s="476"/>
      <c r="W1089" s="482"/>
    </row>
    <row r="1090" spans="1:23" ht="14.25" customHeight="1">
      <c r="A1090" s="439" t="s">
        <v>711</v>
      </c>
      <c r="B1090" s="510" t="s">
        <v>1267</v>
      </c>
      <c r="C1090" s="439" t="s">
        <v>3100</v>
      </c>
      <c r="D1090" s="481"/>
      <c r="E1090" s="476"/>
      <c r="F1090" s="476"/>
      <c r="G1090" s="476"/>
      <c r="H1090" s="476"/>
      <c r="I1090" s="476"/>
      <c r="J1090" s="476" t="s">
        <v>2836</v>
      </c>
      <c r="K1090" s="476" t="s">
        <v>2798</v>
      </c>
      <c r="L1090" s="476" t="s">
        <v>2798</v>
      </c>
      <c r="M1090" s="476" t="s">
        <v>46</v>
      </c>
      <c r="N1090" s="476"/>
      <c r="O1090" s="476"/>
      <c r="P1090" s="476" t="s">
        <v>2032</v>
      </c>
      <c r="Q1090" s="476" t="s">
        <v>3061</v>
      </c>
      <c r="R1090" s="490"/>
      <c r="S1090" s="483"/>
      <c r="T1090" s="502">
        <v>43759</v>
      </c>
      <c r="U1090" s="490"/>
      <c r="V1090" s="476"/>
      <c r="W1090" s="482"/>
    </row>
    <row r="1091" spans="1:23" ht="14.25" customHeight="1">
      <c r="A1091" s="439" t="s">
        <v>711</v>
      </c>
      <c r="B1091" s="510" t="s">
        <v>1267</v>
      </c>
      <c r="C1091" s="439" t="s">
        <v>2542</v>
      </c>
      <c r="D1091" s="481"/>
      <c r="E1091" s="476"/>
      <c r="F1091" s="476"/>
      <c r="G1091" s="476"/>
      <c r="H1091" s="476"/>
      <c r="I1091" s="476"/>
      <c r="J1091" s="476" t="s">
        <v>2836</v>
      </c>
      <c r="K1091" s="476" t="s">
        <v>2798</v>
      </c>
      <c r="L1091" s="476" t="s">
        <v>2798</v>
      </c>
      <c r="M1091" s="476" t="s">
        <v>46</v>
      </c>
      <c r="N1091" s="476"/>
      <c r="O1091" s="476"/>
      <c r="P1091" s="476" t="s">
        <v>2032</v>
      </c>
      <c r="Q1091" s="476"/>
      <c r="R1091" s="490"/>
      <c r="S1091" s="483"/>
      <c r="T1091" s="502">
        <v>43759</v>
      </c>
      <c r="U1091" s="484"/>
      <c r="V1091" s="476"/>
      <c r="W1091" s="482"/>
    </row>
    <row r="1092" spans="1:23" ht="14.25" customHeight="1">
      <c r="A1092" s="439" t="s">
        <v>711</v>
      </c>
      <c r="B1092" s="534" t="s">
        <v>1269</v>
      </c>
      <c r="C1092" s="535" t="s">
        <v>3041</v>
      </c>
      <c r="D1092" s="481"/>
      <c r="E1092" s="476"/>
      <c r="F1092" s="476"/>
      <c r="G1092" s="476"/>
      <c r="H1092" s="476"/>
      <c r="I1092" s="476"/>
      <c r="J1092" s="476" t="s">
        <v>807</v>
      </c>
      <c r="K1092" s="476" t="s">
        <v>807</v>
      </c>
      <c r="L1092" s="476" t="s">
        <v>807</v>
      </c>
      <c r="M1092" s="476" t="s">
        <v>46</v>
      </c>
      <c r="N1092" s="476"/>
      <c r="O1092" s="476"/>
      <c r="P1092" s="476" t="s">
        <v>808</v>
      </c>
      <c r="Q1092" s="476" t="s">
        <v>3033</v>
      </c>
      <c r="R1092" s="490"/>
      <c r="S1092" s="483"/>
      <c r="T1092" s="502">
        <v>43650</v>
      </c>
      <c r="U1092" s="490"/>
      <c r="V1092" s="476"/>
      <c r="W1092" s="482"/>
    </row>
    <row r="1093" spans="1:23" ht="14.25" customHeight="1">
      <c r="A1093" s="439" t="s">
        <v>711</v>
      </c>
      <c r="B1093" s="534" t="s">
        <v>1269</v>
      </c>
      <c r="C1093" s="534" t="s">
        <v>3039</v>
      </c>
      <c r="D1093" s="481"/>
      <c r="E1093" s="476"/>
      <c r="F1093" s="476"/>
      <c r="G1093" s="476"/>
      <c r="H1093" s="476"/>
      <c r="I1093" s="476"/>
      <c r="J1093" s="476" t="s">
        <v>807</v>
      </c>
      <c r="K1093" s="476" t="s">
        <v>807</v>
      </c>
      <c r="L1093" s="476" t="s">
        <v>807</v>
      </c>
      <c r="M1093" s="476" t="s">
        <v>46</v>
      </c>
      <c r="N1093" s="476"/>
      <c r="O1093" s="476"/>
      <c r="P1093" s="476" t="s">
        <v>808</v>
      </c>
      <c r="Q1093" s="476" t="s">
        <v>3033</v>
      </c>
      <c r="R1093" s="490"/>
      <c r="S1093" s="483"/>
      <c r="T1093" s="502">
        <v>43650</v>
      </c>
      <c r="U1093" s="490"/>
      <c r="V1093" s="476"/>
      <c r="W1093" s="482"/>
    </row>
    <row r="1094" spans="1:23" ht="14.25" customHeight="1">
      <c r="A1094" s="439" t="s">
        <v>711</v>
      </c>
      <c r="B1094" s="534" t="s">
        <v>1269</v>
      </c>
      <c r="C1094" s="535" t="s">
        <v>3040</v>
      </c>
      <c r="D1094" s="481"/>
      <c r="E1094" s="476"/>
      <c r="F1094" s="476"/>
      <c r="G1094" s="476"/>
      <c r="H1094" s="476"/>
      <c r="I1094" s="476"/>
      <c r="J1094" s="476" t="s">
        <v>807</v>
      </c>
      <c r="K1094" s="476" t="s">
        <v>807</v>
      </c>
      <c r="L1094" s="476" t="s">
        <v>807</v>
      </c>
      <c r="M1094" s="476" t="s">
        <v>46</v>
      </c>
      <c r="N1094" s="476"/>
      <c r="O1094" s="476"/>
      <c r="P1094" s="476" t="s">
        <v>808</v>
      </c>
      <c r="Q1094" s="476" t="s">
        <v>3033</v>
      </c>
      <c r="R1094" s="490"/>
      <c r="S1094" s="483"/>
      <c r="T1094" s="502">
        <v>43650</v>
      </c>
      <c r="U1094" s="490"/>
      <c r="V1094" s="476"/>
      <c r="W1094" s="482"/>
    </row>
    <row r="1095" spans="1:23" ht="14.25" customHeight="1">
      <c r="A1095" s="439" t="s">
        <v>711</v>
      </c>
      <c r="B1095" s="534" t="s">
        <v>1269</v>
      </c>
      <c r="C1095" s="535" t="s">
        <v>3042</v>
      </c>
      <c r="D1095" s="481"/>
      <c r="E1095" s="476"/>
      <c r="F1095" s="476"/>
      <c r="G1095" s="476"/>
      <c r="H1095" s="476"/>
      <c r="I1095" s="476"/>
      <c r="J1095" s="476" t="s">
        <v>807</v>
      </c>
      <c r="K1095" s="476" t="s">
        <v>807</v>
      </c>
      <c r="L1095" s="476" t="s">
        <v>807</v>
      </c>
      <c r="M1095" s="476" t="s">
        <v>46</v>
      </c>
      <c r="N1095" s="476"/>
      <c r="O1095" s="476"/>
      <c r="P1095" s="476" t="s">
        <v>808</v>
      </c>
      <c r="Q1095" s="476" t="s">
        <v>3033</v>
      </c>
      <c r="R1095" s="490"/>
      <c r="S1095" s="483"/>
      <c r="T1095" s="502">
        <v>43650</v>
      </c>
      <c r="U1095" s="490"/>
      <c r="V1095" s="476"/>
      <c r="W1095" s="482"/>
    </row>
    <row r="1096" spans="1:23" ht="14.25" customHeight="1">
      <c r="A1096" s="439" t="s">
        <v>711</v>
      </c>
      <c r="B1096" s="510" t="s">
        <v>718</v>
      </c>
      <c r="C1096" s="439" t="s">
        <v>1093</v>
      </c>
      <c r="D1096" s="481" t="s">
        <v>1685</v>
      </c>
      <c r="E1096" s="476"/>
      <c r="F1096" s="476"/>
      <c r="G1096" s="476"/>
      <c r="H1096" s="476"/>
      <c r="I1096" s="476"/>
      <c r="J1096" s="476" t="s">
        <v>807</v>
      </c>
      <c r="K1096" s="476" t="s">
        <v>807</v>
      </c>
      <c r="L1096" s="476" t="s">
        <v>807</v>
      </c>
      <c r="M1096" s="476"/>
      <c r="N1096" s="476"/>
      <c r="O1096" s="476"/>
      <c r="P1096" s="476" t="s">
        <v>808</v>
      </c>
      <c r="Q1096" s="476"/>
      <c r="R1096" s="490"/>
      <c r="S1096" s="483"/>
      <c r="T1096" s="502"/>
      <c r="U1096" s="484"/>
      <c r="V1096" s="476" t="s">
        <v>1094</v>
      </c>
      <c r="W1096" s="482"/>
    </row>
    <row r="1097" spans="1:23" ht="14.25" customHeight="1">
      <c r="A1097" s="439" t="s">
        <v>711</v>
      </c>
      <c r="B1097" s="510" t="s">
        <v>718</v>
      </c>
      <c r="C1097" s="439" t="s">
        <v>756</v>
      </c>
      <c r="D1097" s="481" t="s">
        <v>2309</v>
      </c>
      <c r="E1097" s="476" t="s">
        <v>1348</v>
      </c>
      <c r="F1097" s="476">
        <v>0</v>
      </c>
      <c r="G1097" s="476">
        <v>0</v>
      </c>
      <c r="H1097" s="476"/>
      <c r="I1097" s="476" t="s">
        <v>2181</v>
      </c>
      <c r="J1097" s="476" t="s">
        <v>45</v>
      </c>
      <c r="K1097" s="476" t="s">
        <v>45</v>
      </c>
      <c r="L1097" s="476" t="s">
        <v>769</v>
      </c>
      <c r="M1097" s="476" t="s">
        <v>46</v>
      </c>
      <c r="N1097" s="476"/>
      <c r="O1097" s="476"/>
      <c r="P1097" s="476" t="s">
        <v>770</v>
      </c>
      <c r="Q1097" s="476" t="s">
        <v>771</v>
      </c>
      <c r="R1097" s="490"/>
      <c r="S1097" s="483"/>
      <c r="T1097" s="502"/>
      <c r="U1097" s="484" t="s">
        <v>2860</v>
      </c>
      <c r="V1097" s="476"/>
      <c r="W1097" s="395" t="s">
        <v>2310</v>
      </c>
    </row>
    <row r="1098" spans="1:23" ht="14.25" customHeight="1">
      <c r="A1098" s="487" t="s">
        <v>711</v>
      </c>
      <c r="B1098" s="510" t="s">
        <v>718</v>
      </c>
      <c r="C1098" s="439" t="s">
        <v>744</v>
      </c>
      <c r="D1098" s="429" t="s">
        <v>3135</v>
      </c>
      <c r="E1098" s="476" t="s">
        <v>1439</v>
      </c>
      <c r="F1098" s="476" t="s">
        <v>1715</v>
      </c>
      <c r="G1098" s="476" t="s">
        <v>1735</v>
      </c>
      <c r="H1098" s="476" t="s">
        <v>43</v>
      </c>
      <c r="I1098" s="476" t="s">
        <v>2856</v>
      </c>
      <c r="J1098" s="476" t="s">
        <v>45</v>
      </c>
      <c r="K1098" s="476" t="s">
        <v>45</v>
      </c>
      <c r="L1098" s="476" t="s">
        <v>45</v>
      </c>
      <c r="M1098" s="476" t="s">
        <v>46</v>
      </c>
      <c r="N1098" s="476">
        <v>23.250678000000001</v>
      </c>
      <c r="O1098" s="476">
        <v>97.124403000000001</v>
      </c>
      <c r="P1098" s="476" t="s">
        <v>770</v>
      </c>
      <c r="Q1098" s="476" t="s">
        <v>789</v>
      </c>
      <c r="R1098" s="482">
        <v>28</v>
      </c>
      <c r="S1098" s="482">
        <v>150</v>
      </c>
      <c r="T1098" s="502"/>
      <c r="U1098" s="484"/>
      <c r="V1098" s="476" t="s">
        <v>744</v>
      </c>
      <c r="W1098" s="395" t="s">
        <v>2251</v>
      </c>
    </row>
    <row r="1099" spans="1:23" ht="14.25" customHeight="1">
      <c r="A1099" s="487" t="s">
        <v>711</v>
      </c>
      <c r="B1099" s="510" t="s">
        <v>718</v>
      </c>
      <c r="C1099" s="439" t="s">
        <v>719</v>
      </c>
      <c r="D1099" s="429" t="s">
        <v>3135</v>
      </c>
      <c r="E1099" s="476" t="s">
        <v>1438</v>
      </c>
      <c r="F1099" s="476" t="s">
        <v>1715</v>
      </c>
      <c r="G1099" s="476" t="s">
        <v>1735</v>
      </c>
      <c r="H1099" s="476" t="s">
        <v>43</v>
      </c>
      <c r="I1099" s="476" t="s">
        <v>1347</v>
      </c>
      <c r="J1099" s="476" t="s">
        <v>45</v>
      </c>
      <c r="K1099" s="476" t="s">
        <v>45</v>
      </c>
      <c r="L1099" s="476" t="s">
        <v>45</v>
      </c>
      <c r="M1099" s="476" t="s">
        <v>46</v>
      </c>
      <c r="N1099" s="476">
        <v>23.24661</v>
      </c>
      <c r="O1099" s="476">
        <v>97.116680000000002</v>
      </c>
      <c r="P1099" s="476" t="s">
        <v>770</v>
      </c>
      <c r="Q1099" s="476" t="s">
        <v>789</v>
      </c>
      <c r="R1099" s="482">
        <v>30</v>
      </c>
      <c r="S1099" s="482">
        <v>155</v>
      </c>
      <c r="T1099" s="502"/>
      <c r="U1099" s="484"/>
      <c r="V1099" s="476" t="s">
        <v>719</v>
      </c>
      <c r="W1099" s="395" t="s">
        <v>2252</v>
      </c>
    </row>
    <row r="1100" spans="1:23" ht="14.25" customHeight="1">
      <c r="A1100" s="487" t="s">
        <v>711</v>
      </c>
      <c r="B1100" s="510" t="s">
        <v>721</v>
      </c>
      <c r="C1100" s="439" t="s">
        <v>768</v>
      </c>
      <c r="D1100" s="481" t="s">
        <v>1686</v>
      </c>
      <c r="E1100" s="476" t="s">
        <v>1333</v>
      </c>
      <c r="F1100" s="476" t="s">
        <v>1704</v>
      </c>
      <c r="G1100" s="476" t="s">
        <v>1705</v>
      </c>
      <c r="H1100" s="476"/>
      <c r="I1100" s="476">
        <v>0</v>
      </c>
      <c r="J1100" s="476" t="s">
        <v>45</v>
      </c>
      <c r="K1100" s="476" t="s">
        <v>45</v>
      </c>
      <c r="L1100" s="476" t="s">
        <v>769</v>
      </c>
      <c r="M1100" s="476" t="s">
        <v>46</v>
      </c>
      <c r="N1100" s="476"/>
      <c r="O1100" s="476"/>
      <c r="P1100" s="476" t="s">
        <v>770</v>
      </c>
      <c r="Q1100" s="476" t="s">
        <v>771</v>
      </c>
      <c r="R1100" s="490"/>
      <c r="S1100" s="483"/>
      <c r="T1100" s="502">
        <v>42832</v>
      </c>
      <c r="U1100" s="484"/>
      <c r="V1100" s="476"/>
      <c r="W1100" s="395" t="s">
        <v>2253</v>
      </c>
    </row>
    <row r="1101" spans="1:23" ht="14.25" customHeight="1">
      <c r="A1101" s="487" t="s">
        <v>711</v>
      </c>
      <c r="B1101" s="510" t="s">
        <v>721</v>
      </c>
      <c r="C1101" s="439" t="s">
        <v>772</v>
      </c>
      <c r="D1101" s="481" t="s">
        <v>1686</v>
      </c>
      <c r="E1101" s="476" t="s">
        <v>1334</v>
      </c>
      <c r="F1101" s="476" t="s">
        <v>1704</v>
      </c>
      <c r="G1101" s="476" t="s">
        <v>1706</v>
      </c>
      <c r="H1101" s="476"/>
      <c r="I1101" s="476">
        <v>0</v>
      </c>
      <c r="J1101" s="476" t="s">
        <v>45</v>
      </c>
      <c r="K1101" s="476" t="s">
        <v>45</v>
      </c>
      <c r="L1101" s="476" t="s">
        <v>769</v>
      </c>
      <c r="M1101" s="476" t="s">
        <v>46</v>
      </c>
      <c r="N1101" s="476"/>
      <c r="O1101" s="476"/>
      <c r="P1101" s="476" t="s">
        <v>770</v>
      </c>
      <c r="Q1101" s="476" t="s">
        <v>771</v>
      </c>
      <c r="R1101" s="490"/>
      <c r="S1101" s="483"/>
      <c r="T1101" s="502"/>
      <c r="U1101" s="484"/>
      <c r="V1101" s="476">
        <v>42920</v>
      </c>
      <c r="W1101" s="395" t="s">
        <v>2253</v>
      </c>
    </row>
    <row r="1102" spans="1:23" ht="14.25" customHeight="1">
      <c r="A1102" s="487" t="s">
        <v>711</v>
      </c>
      <c r="B1102" s="510" t="s">
        <v>721</v>
      </c>
      <c r="C1102" s="439" t="s">
        <v>773</v>
      </c>
      <c r="D1102" s="481" t="s">
        <v>1686</v>
      </c>
      <c r="E1102" s="476" t="s">
        <v>1335</v>
      </c>
      <c r="F1102" s="476" t="s">
        <v>1704</v>
      </c>
      <c r="G1102" s="476" t="s">
        <v>1706</v>
      </c>
      <c r="H1102" s="476"/>
      <c r="I1102" s="476">
        <v>0</v>
      </c>
      <c r="J1102" s="476" t="s">
        <v>45</v>
      </c>
      <c r="K1102" s="476" t="s">
        <v>45</v>
      </c>
      <c r="L1102" s="476" t="s">
        <v>769</v>
      </c>
      <c r="M1102" s="476" t="s">
        <v>46</v>
      </c>
      <c r="N1102" s="476"/>
      <c r="O1102" s="476"/>
      <c r="P1102" s="476" t="s">
        <v>770</v>
      </c>
      <c r="Q1102" s="476" t="s">
        <v>771</v>
      </c>
      <c r="R1102" s="490"/>
      <c r="S1102" s="483"/>
      <c r="T1102" s="502"/>
      <c r="U1102" s="484"/>
      <c r="V1102" s="476">
        <v>42920</v>
      </c>
      <c r="W1102" s="395" t="s">
        <v>2253</v>
      </c>
    </row>
    <row r="1103" spans="1:23" ht="14.25" customHeight="1">
      <c r="A1103" s="487" t="s">
        <v>711</v>
      </c>
      <c r="B1103" s="510" t="s">
        <v>721</v>
      </c>
      <c r="C1103" s="439" t="s">
        <v>994</v>
      </c>
      <c r="D1103" s="481" t="s">
        <v>1686</v>
      </c>
      <c r="E1103" s="476" t="s">
        <v>1472</v>
      </c>
      <c r="F1103" s="476" t="s">
        <v>1722</v>
      </c>
      <c r="G1103" s="476" t="s">
        <v>1723</v>
      </c>
      <c r="H1103" s="476"/>
      <c r="I1103" s="476">
        <v>0</v>
      </c>
      <c r="J1103" s="476" t="s">
        <v>45</v>
      </c>
      <c r="K1103" s="476" t="s">
        <v>45</v>
      </c>
      <c r="L1103" s="476" t="s">
        <v>769</v>
      </c>
      <c r="M1103" s="476" t="s">
        <v>46</v>
      </c>
      <c r="N1103" s="476">
        <v>23.917631</v>
      </c>
      <c r="O1103" s="476">
        <v>98.116817999999995</v>
      </c>
      <c r="P1103" s="476" t="s">
        <v>770</v>
      </c>
      <c r="Q1103" s="476" t="s">
        <v>771</v>
      </c>
      <c r="R1103" s="490"/>
      <c r="S1103" s="483"/>
      <c r="T1103" s="502">
        <v>42836</v>
      </c>
      <c r="U1103" s="484"/>
      <c r="V1103" s="476"/>
      <c r="W1103" s="395" t="s">
        <v>2254</v>
      </c>
    </row>
    <row r="1104" spans="1:23" ht="14.25" customHeight="1">
      <c r="A1104" s="487" t="s">
        <v>711</v>
      </c>
      <c r="B1104" s="510" t="s">
        <v>721</v>
      </c>
      <c r="C1104" s="439" t="s">
        <v>751</v>
      </c>
      <c r="D1104" s="429" t="s">
        <v>3135</v>
      </c>
      <c r="E1104" s="476" t="s">
        <v>1636</v>
      </c>
      <c r="F1104" s="476" t="s">
        <v>1876</v>
      </c>
      <c r="G1104" s="476" t="s">
        <v>751</v>
      </c>
      <c r="H1104" s="476" t="s">
        <v>43</v>
      </c>
      <c r="I1104" s="476" t="s">
        <v>2856</v>
      </c>
      <c r="J1104" s="476" t="s">
        <v>45</v>
      </c>
      <c r="K1104" s="476" t="s">
        <v>45</v>
      </c>
      <c r="L1104" s="476" t="s">
        <v>45</v>
      </c>
      <c r="M1104" s="476" t="s">
        <v>46</v>
      </c>
      <c r="N1104" s="476">
        <v>24.08738</v>
      </c>
      <c r="O1104" s="476">
        <v>98.115809999999996</v>
      </c>
      <c r="P1104" s="476" t="s">
        <v>770</v>
      </c>
      <c r="Q1104" s="476" t="s">
        <v>811</v>
      </c>
      <c r="R1104" s="482">
        <v>152</v>
      </c>
      <c r="S1104" s="482">
        <v>784</v>
      </c>
      <c r="T1104" s="502" t="s">
        <v>1092</v>
      </c>
      <c r="U1104" s="484"/>
      <c r="V1104" s="476"/>
      <c r="W1104" s="395" t="s">
        <v>2238</v>
      </c>
    </row>
    <row r="1105" spans="1:23" ht="14.25" customHeight="1">
      <c r="A1105" s="487" t="s">
        <v>711</v>
      </c>
      <c r="B1105" s="510" t="s">
        <v>721</v>
      </c>
      <c r="C1105" s="439" t="s">
        <v>755</v>
      </c>
      <c r="D1105" s="429" t="s">
        <v>3160</v>
      </c>
      <c r="E1105" s="476" t="s">
        <v>1483</v>
      </c>
      <c r="F1105" s="476" t="s">
        <v>751</v>
      </c>
      <c r="G1105" s="476" t="s">
        <v>751</v>
      </c>
      <c r="H1105" s="476"/>
      <c r="I1105" s="476">
        <v>0</v>
      </c>
      <c r="J1105" s="476" t="s">
        <v>45</v>
      </c>
      <c r="K1105" s="476" t="s">
        <v>45</v>
      </c>
      <c r="L1105" s="476" t="s">
        <v>769</v>
      </c>
      <c r="M1105" s="476" t="s">
        <v>46</v>
      </c>
      <c r="N1105" s="476">
        <v>24.08738</v>
      </c>
      <c r="O1105" s="476">
        <v>98.115809999999996</v>
      </c>
      <c r="P1105" s="476" t="s">
        <v>770</v>
      </c>
      <c r="Q1105" s="476" t="s">
        <v>789</v>
      </c>
      <c r="R1105" s="490"/>
      <c r="S1105" s="483"/>
      <c r="T1105" s="502">
        <v>43276</v>
      </c>
      <c r="U1105" s="484" t="s">
        <v>2024</v>
      </c>
      <c r="V1105" s="476" t="s">
        <v>755</v>
      </c>
      <c r="W1105" s="395" t="s">
        <v>2024</v>
      </c>
    </row>
    <row r="1106" spans="1:23" ht="14.25" customHeight="1">
      <c r="A1106" s="487" t="s">
        <v>711</v>
      </c>
      <c r="B1106" s="510" t="s">
        <v>721</v>
      </c>
      <c r="C1106" s="439" t="s">
        <v>762</v>
      </c>
      <c r="D1106" s="481" t="s">
        <v>1686</v>
      </c>
      <c r="E1106" s="476" t="s">
        <v>1342</v>
      </c>
      <c r="F1106" s="476">
        <v>0</v>
      </c>
      <c r="G1106" s="476">
        <v>0</v>
      </c>
      <c r="H1106" s="476"/>
      <c r="I1106" s="476">
        <v>0</v>
      </c>
      <c r="J1106" s="476" t="s">
        <v>45</v>
      </c>
      <c r="K1106" s="476" t="s">
        <v>45</v>
      </c>
      <c r="L1106" s="476" t="s">
        <v>769</v>
      </c>
      <c r="M1106" s="476" t="s">
        <v>46</v>
      </c>
      <c r="N1106" s="476"/>
      <c r="O1106" s="476"/>
      <c r="P1106" s="476" t="s">
        <v>770</v>
      </c>
      <c r="Q1106" s="476" t="s">
        <v>771</v>
      </c>
      <c r="R1106" s="490"/>
      <c r="S1106" s="483"/>
      <c r="T1106" s="502"/>
      <c r="U1106" s="484"/>
      <c r="V1106" s="476">
        <v>42920</v>
      </c>
      <c r="W1106" s="395" t="s">
        <v>2253</v>
      </c>
    </row>
    <row r="1107" spans="1:23" ht="14.25" customHeight="1">
      <c r="A1107" s="487" t="s">
        <v>711</v>
      </c>
      <c r="B1107" s="510" t="s">
        <v>721</v>
      </c>
      <c r="C1107" s="439" t="s">
        <v>779</v>
      </c>
      <c r="D1107" s="481" t="s">
        <v>1686</v>
      </c>
      <c r="E1107" s="476" t="s">
        <v>1343</v>
      </c>
      <c r="F1107" s="476" t="s">
        <v>1704</v>
      </c>
      <c r="G1107" s="476" t="s">
        <v>1706</v>
      </c>
      <c r="H1107" s="476"/>
      <c r="I1107" s="476">
        <v>0</v>
      </c>
      <c r="J1107" s="476" t="s">
        <v>45</v>
      </c>
      <c r="K1107" s="476" t="s">
        <v>45</v>
      </c>
      <c r="L1107" s="476" t="s">
        <v>769</v>
      </c>
      <c r="M1107" s="476" t="s">
        <v>46</v>
      </c>
      <c r="N1107" s="476"/>
      <c r="O1107" s="476"/>
      <c r="P1107" s="476" t="s">
        <v>770</v>
      </c>
      <c r="Q1107" s="476" t="s">
        <v>771</v>
      </c>
      <c r="R1107" s="490"/>
      <c r="S1107" s="483"/>
      <c r="T1107" s="502"/>
      <c r="U1107" s="484"/>
      <c r="V1107" s="476">
        <v>42920</v>
      </c>
      <c r="W1107" s="395" t="s">
        <v>2253</v>
      </c>
    </row>
    <row r="1108" spans="1:23" ht="14.25" customHeight="1">
      <c r="A1108" s="487" t="s">
        <v>711</v>
      </c>
      <c r="B1108" s="510" t="s">
        <v>721</v>
      </c>
      <c r="C1108" s="439" t="s">
        <v>1002</v>
      </c>
      <c r="D1108" s="429" t="s">
        <v>3160</v>
      </c>
      <c r="E1108" s="476" t="s">
        <v>1484</v>
      </c>
      <c r="F1108" s="476"/>
      <c r="G1108" s="476"/>
      <c r="H1108" s="476" t="s">
        <v>43</v>
      </c>
      <c r="I1108" s="476" t="s">
        <v>144</v>
      </c>
      <c r="J1108" s="476" t="s">
        <v>45</v>
      </c>
      <c r="K1108" s="476" t="s">
        <v>45</v>
      </c>
      <c r="L1108" s="476" t="s">
        <v>45</v>
      </c>
      <c r="M1108" s="476" t="s">
        <v>787</v>
      </c>
      <c r="N1108" s="476">
        <v>24.101320999999999</v>
      </c>
      <c r="O1108" s="476">
        <v>98.320651999999995</v>
      </c>
      <c r="P1108" s="476" t="s">
        <v>770</v>
      </c>
      <c r="Q1108" s="476"/>
      <c r="R1108" s="490"/>
      <c r="S1108" s="483"/>
      <c r="T1108" s="502"/>
      <c r="U1108" s="484"/>
      <c r="V1108" s="476" t="s">
        <v>1003</v>
      </c>
      <c r="W1108" s="395" t="s">
        <v>2255</v>
      </c>
    </row>
    <row r="1109" spans="1:23" ht="14.25" customHeight="1">
      <c r="A1109" s="487" t="s">
        <v>711</v>
      </c>
      <c r="B1109" s="510" t="s">
        <v>721</v>
      </c>
      <c r="C1109" s="439" t="s">
        <v>1001</v>
      </c>
      <c r="D1109" s="481" t="s">
        <v>1686</v>
      </c>
      <c r="E1109" s="476" t="s">
        <v>1481</v>
      </c>
      <c r="F1109" s="485" t="s">
        <v>1001</v>
      </c>
      <c r="G1109" s="476" t="s">
        <v>1001</v>
      </c>
      <c r="H1109" s="476"/>
      <c r="I1109" s="476">
        <v>0</v>
      </c>
      <c r="J1109" s="476" t="s">
        <v>45</v>
      </c>
      <c r="K1109" s="476" t="s">
        <v>45</v>
      </c>
      <c r="L1109" s="476" t="s">
        <v>769</v>
      </c>
      <c r="M1109" s="476" t="s">
        <v>787</v>
      </c>
      <c r="N1109" s="476">
        <v>24.008452999999999</v>
      </c>
      <c r="O1109" s="476">
        <v>98.054946000000001</v>
      </c>
      <c r="P1109" s="476" t="s">
        <v>770</v>
      </c>
      <c r="Q1109" s="476" t="s">
        <v>789</v>
      </c>
      <c r="R1109" s="490"/>
      <c r="S1109" s="483"/>
      <c r="T1109" s="502"/>
      <c r="U1109" s="484"/>
      <c r="V1109" s="476" t="s">
        <v>1001</v>
      </c>
      <c r="W1109" s="395" t="s">
        <v>2256</v>
      </c>
    </row>
    <row r="1110" spans="1:23" ht="14.25" customHeight="1">
      <c r="A1110" s="487" t="s">
        <v>711</v>
      </c>
      <c r="B1110" s="510" t="s">
        <v>721</v>
      </c>
      <c r="C1110" s="439" t="s">
        <v>746</v>
      </c>
      <c r="D1110" s="429" t="s">
        <v>3160</v>
      </c>
      <c r="E1110" s="476" t="s">
        <v>1479</v>
      </c>
      <c r="F1110" s="476" t="s">
        <v>1704</v>
      </c>
      <c r="G1110" s="476" t="s">
        <v>1706</v>
      </c>
      <c r="H1110" s="476"/>
      <c r="I1110" s="480" t="s">
        <v>2181</v>
      </c>
      <c r="J1110" s="476" t="s">
        <v>45</v>
      </c>
      <c r="K1110" s="476" t="s">
        <v>45</v>
      </c>
      <c r="L1110" s="476" t="s">
        <v>769</v>
      </c>
      <c r="M1110" s="476" t="s">
        <v>46</v>
      </c>
      <c r="N1110" s="476">
        <v>24.006319999999999</v>
      </c>
      <c r="O1110" s="476">
        <v>97.909400000000005</v>
      </c>
      <c r="P1110" s="476" t="s">
        <v>770</v>
      </c>
      <c r="Q1110" s="476" t="s">
        <v>789</v>
      </c>
      <c r="R1110" s="482"/>
      <c r="S1110" s="482"/>
      <c r="T1110" s="502"/>
      <c r="U1110" s="484"/>
      <c r="V1110" s="476" t="s">
        <v>999</v>
      </c>
      <c r="W1110" s="395" t="s">
        <v>2257</v>
      </c>
    </row>
    <row r="1111" spans="1:23" ht="14.25" customHeight="1">
      <c r="A1111" s="487" t="s">
        <v>711</v>
      </c>
      <c r="B1111" s="510" t="s">
        <v>721</v>
      </c>
      <c r="C1111" s="439" t="s">
        <v>722</v>
      </c>
      <c r="D1111" s="429" t="s">
        <v>3135</v>
      </c>
      <c r="E1111" s="476" t="s">
        <v>1480</v>
      </c>
      <c r="F1111" s="476" t="s">
        <v>1704</v>
      </c>
      <c r="G1111" s="476" t="s">
        <v>1706</v>
      </c>
      <c r="H1111" s="476" t="s">
        <v>43</v>
      </c>
      <c r="I1111" s="476" t="s">
        <v>1347</v>
      </c>
      <c r="J1111" s="476" t="s">
        <v>45</v>
      </c>
      <c r="K1111" s="476" t="s">
        <v>45</v>
      </c>
      <c r="L1111" s="476" t="s">
        <v>45</v>
      </c>
      <c r="M1111" s="476" t="s">
        <v>46</v>
      </c>
      <c r="N1111" s="476">
        <v>24.006789000000001</v>
      </c>
      <c r="O1111" s="476">
        <v>97.911647000000002</v>
      </c>
      <c r="P1111" s="476" t="s">
        <v>770</v>
      </c>
      <c r="Q1111" s="476" t="s">
        <v>789</v>
      </c>
      <c r="R1111" s="482">
        <v>17</v>
      </c>
      <c r="S1111" s="482">
        <v>80</v>
      </c>
      <c r="T1111" s="502"/>
      <c r="U1111" s="484"/>
      <c r="V1111" s="499" t="s">
        <v>1000</v>
      </c>
      <c r="W1111" s="395" t="s">
        <v>2258</v>
      </c>
    </row>
    <row r="1112" spans="1:23" ht="14.25" customHeight="1">
      <c r="A1112" s="487" t="s">
        <v>711</v>
      </c>
      <c r="B1112" s="510" t="s">
        <v>721</v>
      </c>
      <c r="C1112" s="439" t="s">
        <v>726</v>
      </c>
      <c r="D1112" s="481" t="s">
        <v>1686</v>
      </c>
      <c r="E1112" s="476" t="s">
        <v>1351</v>
      </c>
      <c r="F1112" s="480" t="s">
        <v>1687</v>
      </c>
      <c r="G1112" s="476" t="s">
        <v>1688</v>
      </c>
      <c r="H1112" s="476"/>
      <c r="I1112" s="476">
        <v>0</v>
      </c>
      <c r="J1112" s="476" t="s">
        <v>45</v>
      </c>
      <c r="K1112" s="476" t="s">
        <v>45</v>
      </c>
      <c r="L1112" s="476" t="s">
        <v>769</v>
      </c>
      <c r="M1112" s="476" t="s">
        <v>787</v>
      </c>
      <c r="N1112" s="476">
        <v>23.933098999999999</v>
      </c>
      <c r="O1112" s="476">
        <v>98.139397000000002</v>
      </c>
      <c r="P1112" s="476" t="s">
        <v>770</v>
      </c>
      <c r="Q1112" s="476" t="s">
        <v>789</v>
      </c>
      <c r="R1112" s="490"/>
      <c r="S1112" s="483"/>
      <c r="T1112" s="502"/>
      <c r="U1112" s="484"/>
      <c r="V1112" s="476" t="s">
        <v>726</v>
      </c>
      <c r="W1112" s="482" t="s">
        <v>2259</v>
      </c>
    </row>
    <row r="1113" spans="1:23" ht="14.25" customHeight="1">
      <c r="A1113" s="487" t="s">
        <v>711</v>
      </c>
      <c r="B1113" s="510" t="s">
        <v>721</v>
      </c>
      <c r="C1113" s="439" t="s">
        <v>995</v>
      </c>
      <c r="D1113" s="481" t="s">
        <v>1686</v>
      </c>
      <c r="E1113" s="476" t="s">
        <v>1475</v>
      </c>
      <c r="F1113" s="476" t="s">
        <v>1724</v>
      </c>
      <c r="G1113" s="476" t="s">
        <v>1725</v>
      </c>
      <c r="H1113" s="476"/>
      <c r="I1113" s="476">
        <v>0</v>
      </c>
      <c r="J1113" s="476" t="s">
        <v>45</v>
      </c>
      <c r="K1113" s="476" t="s">
        <v>45</v>
      </c>
      <c r="L1113" s="476" t="s">
        <v>769</v>
      </c>
      <c r="M1113" s="476" t="s">
        <v>46</v>
      </c>
      <c r="N1113" s="476">
        <v>23.978088</v>
      </c>
      <c r="O1113" s="476">
        <v>98.129380999999995</v>
      </c>
      <c r="P1113" s="476" t="s">
        <v>770</v>
      </c>
      <c r="Q1113" s="476" t="s">
        <v>771</v>
      </c>
      <c r="R1113" s="490"/>
      <c r="S1113" s="483"/>
      <c r="T1113" s="502">
        <v>42836</v>
      </c>
      <c r="U1113" s="484"/>
      <c r="V1113" s="476"/>
      <c r="W1113" s="395" t="s">
        <v>2254</v>
      </c>
    </row>
    <row r="1114" spans="1:23" ht="14.25" customHeight="1">
      <c r="A1114" s="487" t="s">
        <v>711</v>
      </c>
      <c r="B1114" s="510" t="s">
        <v>721</v>
      </c>
      <c r="C1114" s="439" t="s">
        <v>791</v>
      </c>
      <c r="D1114" s="481" t="s">
        <v>1686</v>
      </c>
      <c r="E1114" s="476" t="s">
        <v>1353</v>
      </c>
      <c r="F1114" s="476" t="s">
        <v>1710</v>
      </c>
      <c r="G1114" s="476" t="s">
        <v>1711</v>
      </c>
      <c r="H1114" s="476"/>
      <c r="I1114" s="476">
        <v>0</v>
      </c>
      <c r="J1114" s="476" t="s">
        <v>45</v>
      </c>
      <c r="K1114" s="476" t="s">
        <v>45</v>
      </c>
      <c r="L1114" s="476" t="s">
        <v>769</v>
      </c>
      <c r="M1114" s="476" t="s">
        <v>46</v>
      </c>
      <c r="N1114" s="476"/>
      <c r="O1114" s="476"/>
      <c r="P1114" s="476" t="s">
        <v>770</v>
      </c>
      <c r="Q1114" s="476" t="s">
        <v>771</v>
      </c>
      <c r="R1114" s="490"/>
      <c r="S1114" s="483"/>
      <c r="T1114" s="502">
        <v>42832</v>
      </c>
      <c r="U1114" s="484"/>
      <c r="V1114" s="480"/>
      <c r="W1114" s="395" t="s">
        <v>2253</v>
      </c>
    </row>
    <row r="1115" spans="1:23" ht="14.25" customHeight="1">
      <c r="A1115" s="487" t="s">
        <v>711</v>
      </c>
      <c r="B1115" s="486" t="s">
        <v>721</v>
      </c>
      <c r="C1115" s="487" t="s">
        <v>799</v>
      </c>
      <c r="D1115" s="481" t="s">
        <v>1686</v>
      </c>
      <c r="E1115" s="476" t="s">
        <v>1358</v>
      </c>
      <c r="F1115" s="476" t="s">
        <v>1704</v>
      </c>
      <c r="G1115" s="476" t="s">
        <v>1706</v>
      </c>
      <c r="H1115" s="476"/>
      <c r="I1115" s="476">
        <v>0</v>
      </c>
      <c r="J1115" s="476" t="s">
        <v>45</v>
      </c>
      <c r="K1115" s="476" t="s">
        <v>45</v>
      </c>
      <c r="L1115" s="476" t="s">
        <v>769</v>
      </c>
      <c r="M1115" s="476" t="s">
        <v>46</v>
      </c>
      <c r="N1115" s="476"/>
      <c r="O1115" s="476"/>
      <c r="P1115" s="476" t="s">
        <v>770</v>
      </c>
      <c r="Q1115" s="476" t="s">
        <v>771</v>
      </c>
      <c r="R1115" s="490"/>
      <c r="S1115" s="483"/>
      <c r="T1115" s="502">
        <v>42832</v>
      </c>
      <c r="U1115" s="484"/>
      <c r="V1115" s="476"/>
      <c r="W1115" s="395" t="s">
        <v>2253</v>
      </c>
    </row>
    <row r="1116" spans="1:23" ht="14.25" customHeight="1">
      <c r="A1116" s="487" t="s">
        <v>711</v>
      </c>
      <c r="B1116" s="486" t="s">
        <v>721</v>
      </c>
      <c r="C1116" s="487" t="s">
        <v>801</v>
      </c>
      <c r="D1116" s="481" t="s">
        <v>1686</v>
      </c>
      <c r="E1116" s="476" t="s">
        <v>1360</v>
      </c>
      <c r="F1116" s="476">
        <v>0</v>
      </c>
      <c r="G1116" s="476">
        <v>0</v>
      </c>
      <c r="H1116" s="476"/>
      <c r="I1116" s="476">
        <v>0</v>
      </c>
      <c r="J1116" s="476" t="s">
        <v>45</v>
      </c>
      <c r="K1116" s="476" t="s">
        <v>45</v>
      </c>
      <c r="L1116" s="476" t="s">
        <v>769</v>
      </c>
      <c r="M1116" s="476" t="s">
        <v>46</v>
      </c>
      <c r="N1116" s="476"/>
      <c r="O1116" s="476"/>
      <c r="P1116" s="476" t="s">
        <v>770</v>
      </c>
      <c r="Q1116" s="476" t="s">
        <v>771</v>
      </c>
      <c r="R1116" s="490"/>
      <c r="S1116" s="483"/>
      <c r="T1116" s="502">
        <v>42832</v>
      </c>
      <c r="U1116" s="484"/>
      <c r="V1116" s="476"/>
      <c r="W1116" s="395" t="s">
        <v>2253</v>
      </c>
    </row>
    <row r="1117" spans="1:23" ht="14.25" customHeight="1">
      <c r="A1117" s="487" t="s">
        <v>711</v>
      </c>
      <c r="B1117" s="486" t="s">
        <v>712</v>
      </c>
      <c r="C1117" s="487" t="s">
        <v>757</v>
      </c>
      <c r="D1117" s="429" t="s">
        <v>3135</v>
      </c>
      <c r="E1117" s="476" t="s">
        <v>1453</v>
      </c>
      <c r="F1117" s="476" t="s">
        <v>1719</v>
      </c>
      <c r="G1117" s="476" t="s">
        <v>1719</v>
      </c>
      <c r="H1117" s="476"/>
      <c r="I1117" s="480" t="s">
        <v>2181</v>
      </c>
      <c r="J1117" s="476" t="s">
        <v>45</v>
      </c>
      <c r="K1117" s="476" t="s">
        <v>45</v>
      </c>
      <c r="L1117" s="476" t="s">
        <v>785</v>
      </c>
      <c r="M1117" s="476" t="s">
        <v>46</v>
      </c>
      <c r="N1117" s="476">
        <v>23.611999999999998</v>
      </c>
      <c r="O1117" s="476">
        <v>97.506</v>
      </c>
      <c r="P1117" s="476" t="s">
        <v>770</v>
      </c>
      <c r="Q1117" s="476" t="s">
        <v>771</v>
      </c>
      <c r="R1117" s="482">
        <v>62</v>
      </c>
      <c r="S1117" s="482">
        <v>328</v>
      </c>
      <c r="T1117" s="502"/>
      <c r="U1117" s="484" t="s">
        <v>982</v>
      </c>
      <c r="V1117" s="476"/>
      <c r="W1117" s="395" t="s">
        <v>2260</v>
      </c>
    </row>
    <row r="1118" spans="1:23" ht="14.25" customHeight="1">
      <c r="A1118" s="487" t="s">
        <v>711</v>
      </c>
      <c r="B1118" s="486" t="s">
        <v>712</v>
      </c>
      <c r="C1118" s="487" t="s">
        <v>983</v>
      </c>
      <c r="D1118" s="481" t="s">
        <v>1686</v>
      </c>
      <c r="E1118" s="476" t="s">
        <v>1454</v>
      </c>
      <c r="F1118" s="476" t="s">
        <v>1719</v>
      </c>
      <c r="G1118" s="476" t="s">
        <v>1719</v>
      </c>
      <c r="H1118" s="476"/>
      <c r="I1118" s="476">
        <v>0</v>
      </c>
      <c r="J1118" s="476" t="s">
        <v>45</v>
      </c>
      <c r="K1118" s="476" t="s">
        <v>45</v>
      </c>
      <c r="L1118" s="476" t="s">
        <v>769</v>
      </c>
      <c r="M1118" s="476" t="s">
        <v>46</v>
      </c>
      <c r="N1118" s="476">
        <v>23.611999999999998</v>
      </c>
      <c r="O1118" s="476">
        <v>97.504999999999995</v>
      </c>
      <c r="P1118" s="476" t="s">
        <v>770</v>
      </c>
      <c r="Q1118" s="476" t="s">
        <v>771</v>
      </c>
      <c r="R1118" s="490"/>
      <c r="S1118" s="483"/>
      <c r="T1118" s="502"/>
      <c r="U1118" s="484"/>
      <c r="V1118" s="476"/>
      <c r="W1118" s="395" t="s">
        <v>2261</v>
      </c>
    </row>
    <row r="1119" spans="1:23" ht="14.25" customHeight="1">
      <c r="A1119" s="487" t="s">
        <v>711</v>
      </c>
      <c r="B1119" s="486" t="s">
        <v>712</v>
      </c>
      <c r="C1119" s="439" t="s">
        <v>723</v>
      </c>
      <c r="D1119" s="429" t="s">
        <v>3135</v>
      </c>
      <c r="E1119" s="476" t="s">
        <v>1459</v>
      </c>
      <c r="F1119" s="476" t="s">
        <v>1708</v>
      </c>
      <c r="G1119" s="476" t="s">
        <v>1708</v>
      </c>
      <c r="H1119" s="476" t="s">
        <v>43</v>
      </c>
      <c r="I1119" s="476" t="s">
        <v>2856</v>
      </c>
      <c r="J1119" s="476" t="s">
        <v>45</v>
      </c>
      <c r="K1119" s="476" t="s">
        <v>45</v>
      </c>
      <c r="L1119" s="476" t="s">
        <v>45</v>
      </c>
      <c r="M1119" s="476" t="s">
        <v>46</v>
      </c>
      <c r="N1119" s="476">
        <v>23.821380000000001</v>
      </c>
      <c r="O1119" s="476">
        <v>97.681970000000007</v>
      </c>
      <c r="P1119" s="476" t="s">
        <v>770</v>
      </c>
      <c r="Q1119" s="476" t="s">
        <v>789</v>
      </c>
      <c r="R1119" s="482">
        <v>77</v>
      </c>
      <c r="S1119" s="482">
        <v>388</v>
      </c>
      <c r="T1119" s="502"/>
      <c r="U1119" s="484"/>
      <c r="V1119" s="476" t="s">
        <v>723</v>
      </c>
      <c r="W1119" s="395" t="s">
        <v>2262</v>
      </c>
    </row>
    <row r="1120" spans="1:23" ht="14.25" customHeight="1">
      <c r="A1120" s="487" t="s">
        <v>711</v>
      </c>
      <c r="B1120" s="486" t="s">
        <v>712</v>
      </c>
      <c r="C1120" s="439" t="s">
        <v>759</v>
      </c>
      <c r="D1120" s="429" t="s">
        <v>3135</v>
      </c>
      <c r="E1120" s="476" t="s">
        <v>1462</v>
      </c>
      <c r="F1120" s="476" t="s">
        <v>1708</v>
      </c>
      <c r="G1120" s="476" t="s">
        <v>1708</v>
      </c>
      <c r="H1120" s="476" t="s">
        <v>43</v>
      </c>
      <c r="I1120" s="476" t="s">
        <v>2856</v>
      </c>
      <c r="J1120" s="476" t="s">
        <v>45</v>
      </c>
      <c r="K1120" s="476" t="s">
        <v>45</v>
      </c>
      <c r="L1120" s="476" t="s">
        <v>45</v>
      </c>
      <c r="M1120" s="476" t="s">
        <v>46</v>
      </c>
      <c r="N1120" s="476">
        <v>23.828520000000001</v>
      </c>
      <c r="O1120" s="476">
        <v>97.669557999999995</v>
      </c>
      <c r="P1120" s="476" t="s">
        <v>770</v>
      </c>
      <c r="Q1120" s="476" t="s">
        <v>789</v>
      </c>
      <c r="R1120" s="482">
        <v>62</v>
      </c>
      <c r="S1120" s="482">
        <v>338</v>
      </c>
      <c r="T1120" s="502"/>
      <c r="U1120" s="484"/>
      <c r="V1120" s="476" t="s">
        <v>759</v>
      </c>
      <c r="W1120" s="395" t="s">
        <v>2263</v>
      </c>
    </row>
    <row r="1121" spans="1:23" ht="14.25" customHeight="1">
      <c r="A1121" s="487" t="s">
        <v>711</v>
      </c>
      <c r="B1121" s="510" t="s">
        <v>712</v>
      </c>
      <c r="C1121" s="439" t="s">
        <v>747</v>
      </c>
      <c r="D1121" s="429" t="s">
        <v>3135</v>
      </c>
      <c r="E1121" s="476" t="s">
        <v>1468</v>
      </c>
      <c r="F1121" s="476" t="s">
        <v>1708</v>
      </c>
      <c r="G1121" s="476" t="s">
        <v>1708</v>
      </c>
      <c r="H1121" s="476" t="s">
        <v>43</v>
      </c>
      <c r="I1121" s="476" t="s">
        <v>2856</v>
      </c>
      <c r="J1121" s="476" t="s">
        <v>45</v>
      </c>
      <c r="K1121" s="476" t="s">
        <v>45</v>
      </c>
      <c r="L1121" s="476" t="s">
        <v>45</v>
      </c>
      <c r="M1121" s="476" t="s">
        <v>46</v>
      </c>
      <c r="N1121" s="476">
        <v>23.841646999999998</v>
      </c>
      <c r="O1121" s="476">
        <v>97.700940000000003</v>
      </c>
      <c r="P1121" s="476" t="s">
        <v>770</v>
      </c>
      <c r="Q1121" s="476" t="s">
        <v>789</v>
      </c>
      <c r="R1121" s="482">
        <v>19</v>
      </c>
      <c r="S1121" s="482">
        <v>109</v>
      </c>
      <c r="T1121" s="502"/>
      <c r="U1121" s="484"/>
      <c r="V1121" s="476" t="s">
        <v>990</v>
      </c>
      <c r="W1121" s="395" t="s">
        <v>2264</v>
      </c>
    </row>
    <row r="1122" spans="1:23" ht="14.25" customHeight="1">
      <c r="A1122" s="487" t="s">
        <v>711</v>
      </c>
      <c r="B1122" s="510" t="s">
        <v>712</v>
      </c>
      <c r="C1122" s="439" t="s">
        <v>713</v>
      </c>
      <c r="D1122" s="429" t="s">
        <v>3135</v>
      </c>
      <c r="E1122" s="476" t="s">
        <v>1461</v>
      </c>
      <c r="F1122" s="476" t="s">
        <v>1708</v>
      </c>
      <c r="G1122" s="476" t="s">
        <v>1708</v>
      </c>
      <c r="H1122" s="476" t="s">
        <v>43</v>
      </c>
      <c r="I1122" s="476" t="s">
        <v>1347</v>
      </c>
      <c r="J1122" s="476" t="s">
        <v>45</v>
      </c>
      <c r="K1122" s="476" t="s">
        <v>45</v>
      </c>
      <c r="L1122" s="476" t="s">
        <v>45</v>
      </c>
      <c r="M1122" s="476" t="s">
        <v>46</v>
      </c>
      <c r="N1122" s="476">
        <v>23.828150000000001</v>
      </c>
      <c r="O1122" s="476">
        <v>97.670360000000002</v>
      </c>
      <c r="P1122" s="476" t="s">
        <v>770</v>
      </c>
      <c r="Q1122" s="476" t="s">
        <v>789</v>
      </c>
      <c r="R1122" s="482">
        <v>42</v>
      </c>
      <c r="S1122" s="482">
        <v>216</v>
      </c>
      <c r="T1122" s="502"/>
      <c r="U1122" s="484"/>
      <c r="V1122" s="476" t="s">
        <v>713</v>
      </c>
      <c r="W1122" s="395" t="s">
        <v>2265</v>
      </c>
    </row>
    <row r="1123" spans="1:23" ht="14.25" customHeight="1">
      <c r="A1123" s="487" t="s">
        <v>711</v>
      </c>
      <c r="B1123" s="510" t="s">
        <v>712</v>
      </c>
      <c r="C1123" s="439" t="s">
        <v>788</v>
      </c>
      <c r="D1123" s="481" t="s">
        <v>1686</v>
      </c>
      <c r="E1123" s="476" t="s">
        <v>1350</v>
      </c>
      <c r="F1123" s="476" t="s">
        <v>1708</v>
      </c>
      <c r="G1123" s="476" t="s">
        <v>1708</v>
      </c>
      <c r="H1123" s="476"/>
      <c r="I1123" s="476">
        <v>0</v>
      </c>
      <c r="J1123" s="476" t="s">
        <v>45</v>
      </c>
      <c r="K1123" s="476" t="s">
        <v>45</v>
      </c>
      <c r="L1123" s="476" t="s">
        <v>769</v>
      </c>
      <c r="M1123" s="476" t="s">
        <v>787</v>
      </c>
      <c r="N1123" s="476"/>
      <c r="O1123" s="476"/>
      <c r="P1123" s="476" t="s">
        <v>770</v>
      </c>
      <c r="Q1123" s="476"/>
      <c r="R1123" s="490"/>
      <c r="S1123" s="483"/>
      <c r="T1123" s="502"/>
      <c r="U1123" s="484"/>
      <c r="V1123" s="476" t="s">
        <v>788</v>
      </c>
      <c r="W1123" s="482" t="s">
        <v>2266</v>
      </c>
    </row>
    <row r="1124" spans="1:23" ht="14.25" customHeight="1">
      <c r="A1124" s="487" t="s">
        <v>711</v>
      </c>
      <c r="B1124" s="510" t="s">
        <v>712</v>
      </c>
      <c r="C1124" s="439" t="s">
        <v>749</v>
      </c>
      <c r="D1124" s="429" t="s">
        <v>3135</v>
      </c>
      <c r="E1124" s="476" t="s">
        <v>1467</v>
      </c>
      <c r="F1124" s="476" t="s">
        <v>1798</v>
      </c>
      <c r="G1124" s="476" t="s">
        <v>1787</v>
      </c>
      <c r="H1124" s="476" t="s">
        <v>43</v>
      </c>
      <c r="I1124" s="476" t="s">
        <v>2856</v>
      </c>
      <c r="J1124" s="476" t="s">
        <v>45</v>
      </c>
      <c r="K1124" s="476" t="s">
        <v>45</v>
      </c>
      <c r="L1124" s="476" t="s">
        <v>45</v>
      </c>
      <c r="M1124" s="476" t="s">
        <v>46</v>
      </c>
      <c r="N1124" s="476">
        <v>23.838190000000001</v>
      </c>
      <c r="O1124" s="476">
        <v>97.709879999999998</v>
      </c>
      <c r="P1124" s="476" t="s">
        <v>770</v>
      </c>
      <c r="Q1124" s="476" t="s">
        <v>789</v>
      </c>
      <c r="R1124" s="482">
        <v>110</v>
      </c>
      <c r="S1124" s="482">
        <v>530</v>
      </c>
      <c r="T1124" s="502"/>
      <c r="U1124" s="484"/>
      <c r="V1124" s="476" t="s">
        <v>989</v>
      </c>
      <c r="W1124" s="395" t="s">
        <v>2267</v>
      </c>
    </row>
    <row r="1125" spans="1:23" ht="14.25" customHeight="1">
      <c r="A1125" s="483" t="s">
        <v>711</v>
      </c>
      <c r="B1125" s="486" t="s">
        <v>1280</v>
      </c>
      <c r="C1125" s="487" t="s">
        <v>3102</v>
      </c>
      <c r="D1125" s="481"/>
      <c r="E1125" s="476"/>
      <c r="F1125" s="476"/>
      <c r="G1125" s="476"/>
      <c r="H1125" s="476"/>
      <c r="I1125" s="476"/>
      <c r="J1125" s="476" t="s">
        <v>2836</v>
      </c>
      <c r="K1125" s="476" t="s">
        <v>2798</v>
      </c>
      <c r="L1125" s="476" t="s">
        <v>2798</v>
      </c>
      <c r="M1125" s="476" t="s">
        <v>46</v>
      </c>
      <c r="N1125" s="476"/>
      <c r="O1125" s="476"/>
      <c r="P1125" s="476" t="s">
        <v>2032</v>
      </c>
      <c r="Q1125" s="476" t="s">
        <v>3061</v>
      </c>
      <c r="R1125" s="490"/>
      <c r="S1125" s="483"/>
      <c r="T1125" s="502">
        <v>43759</v>
      </c>
      <c r="U1125" s="490"/>
      <c r="V1125" s="476"/>
      <c r="W1125" s="482"/>
    </row>
    <row r="1126" spans="1:23" ht="14.25" customHeight="1">
      <c r="A1126" s="483" t="s">
        <v>711</v>
      </c>
      <c r="B1126" s="486" t="s">
        <v>1280</v>
      </c>
      <c r="C1126" s="487" t="s">
        <v>3101</v>
      </c>
      <c r="D1126" s="481"/>
      <c r="E1126" s="476"/>
      <c r="F1126" s="476"/>
      <c r="G1126" s="476"/>
      <c r="H1126" s="476"/>
      <c r="I1126" s="476"/>
      <c r="J1126" s="476" t="s">
        <v>2836</v>
      </c>
      <c r="K1126" s="476" t="s">
        <v>2798</v>
      </c>
      <c r="L1126" s="476" t="s">
        <v>2798</v>
      </c>
      <c r="M1126" s="476" t="s">
        <v>46</v>
      </c>
      <c r="N1126" s="476"/>
      <c r="O1126" s="476"/>
      <c r="P1126" s="476" t="s">
        <v>2032</v>
      </c>
      <c r="Q1126" s="476" t="s">
        <v>3061</v>
      </c>
      <c r="R1126" s="490"/>
      <c r="S1126" s="483"/>
      <c r="T1126" s="502">
        <v>43759</v>
      </c>
      <c r="U1126" s="490"/>
      <c r="V1126" s="476"/>
      <c r="W1126" s="482"/>
    </row>
    <row r="1127" spans="1:23" ht="14.25" customHeight="1">
      <c r="A1127" s="487" t="s">
        <v>711</v>
      </c>
      <c r="B1127" s="486" t="s">
        <v>732</v>
      </c>
      <c r="C1127" s="487" t="s">
        <v>739</v>
      </c>
      <c r="D1127" s="429" t="s">
        <v>3135</v>
      </c>
      <c r="E1127" s="476" t="s">
        <v>1436</v>
      </c>
      <c r="F1127" s="480" t="s">
        <v>1712</v>
      </c>
      <c r="G1127" s="476" t="s">
        <v>1713</v>
      </c>
      <c r="H1127" s="476" t="s">
        <v>43</v>
      </c>
      <c r="I1127" s="476" t="s">
        <v>1347</v>
      </c>
      <c r="J1127" s="476" t="s">
        <v>45</v>
      </c>
      <c r="K1127" s="476" t="s">
        <v>45</v>
      </c>
      <c r="L1127" s="476" t="s">
        <v>45</v>
      </c>
      <c r="M1127" s="476" t="s">
        <v>46</v>
      </c>
      <c r="N1127" s="476">
        <v>23.099304</v>
      </c>
      <c r="O1127" s="476">
        <v>97.400671000000003</v>
      </c>
      <c r="P1127" s="476" t="s">
        <v>770</v>
      </c>
      <c r="Q1127" s="476" t="s">
        <v>935</v>
      </c>
      <c r="R1127" s="482">
        <v>60</v>
      </c>
      <c r="S1127" s="482">
        <v>281</v>
      </c>
      <c r="T1127" s="502">
        <v>42983</v>
      </c>
      <c r="U1127" s="484"/>
      <c r="V1127" s="476"/>
      <c r="W1127" s="395" t="s">
        <v>2268</v>
      </c>
    </row>
    <row r="1128" spans="1:23" ht="14.25" customHeight="1">
      <c r="A1128" s="487" t="s">
        <v>711</v>
      </c>
      <c r="B1128" s="486" t="s">
        <v>732</v>
      </c>
      <c r="C1128" s="487" t="s">
        <v>1115</v>
      </c>
      <c r="D1128" s="481"/>
      <c r="E1128" s="476"/>
      <c r="F1128" s="480"/>
      <c r="G1128" s="476"/>
      <c r="H1128" s="476"/>
      <c r="I1128" s="476"/>
      <c r="J1128" s="476" t="s">
        <v>1476</v>
      </c>
      <c r="K1128" s="476" t="s">
        <v>45</v>
      </c>
      <c r="L1128" s="476" t="s">
        <v>45</v>
      </c>
      <c r="M1128" s="476" t="s">
        <v>46</v>
      </c>
      <c r="N1128" s="476"/>
      <c r="O1128" s="476"/>
      <c r="P1128" s="476" t="s">
        <v>770</v>
      </c>
      <c r="Q1128" s="476" t="s">
        <v>789</v>
      </c>
      <c r="R1128" s="490"/>
      <c r="S1128" s="483"/>
      <c r="T1128" s="502">
        <v>42747</v>
      </c>
      <c r="U1128" s="484"/>
      <c r="V1128" s="476"/>
      <c r="W1128" s="482"/>
    </row>
    <row r="1129" spans="1:23" ht="14.25" customHeight="1">
      <c r="A1129" s="487" t="s">
        <v>711</v>
      </c>
      <c r="B1129" s="486" t="s">
        <v>732</v>
      </c>
      <c r="C1129" s="487" t="s">
        <v>740</v>
      </c>
      <c r="D1129" s="429" t="s">
        <v>3135</v>
      </c>
      <c r="E1129" s="476" t="s">
        <v>1346</v>
      </c>
      <c r="F1129" s="476" t="s">
        <v>1712</v>
      </c>
      <c r="G1129" s="476" t="s">
        <v>1713</v>
      </c>
      <c r="H1129" s="476" t="s">
        <v>43</v>
      </c>
      <c r="I1129" s="476" t="s">
        <v>1347</v>
      </c>
      <c r="J1129" s="476" t="s">
        <v>45</v>
      </c>
      <c r="K1129" s="476" t="s">
        <v>45</v>
      </c>
      <c r="L1129" s="476" t="s">
        <v>45</v>
      </c>
      <c r="M1129" s="476" t="s">
        <v>46</v>
      </c>
      <c r="N1129" s="476">
        <v>0</v>
      </c>
      <c r="O1129" s="476">
        <v>0</v>
      </c>
      <c r="P1129" s="476" t="s">
        <v>770</v>
      </c>
      <c r="Q1129" s="476" t="s">
        <v>771</v>
      </c>
      <c r="R1129" s="482">
        <v>30</v>
      </c>
      <c r="S1129" s="482">
        <v>156</v>
      </c>
      <c r="T1129" s="502"/>
      <c r="U1129" s="484"/>
      <c r="V1129" s="480"/>
      <c r="W1129" s="395" t="s">
        <v>2268</v>
      </c>
    </row>
    <row r="1130" spans="1:23" ht="14.25" customHeight="1">
      <c r="A1130" s="483" t="s">
        <v>711</v>
      </c>
      <c r="B1130" s="486" t="s">
        <v>732</v>
      </c>
      <c r="C1130" s="487" t="s">
        <v>3094</v>
      </c>
      <c r="D1130" s="481"/>
      <c r="E1130" s="476"/>
      <c r="F1130" s="476"/>
      <c r="G1130" s="476"/>
      <c r="H1130" s="476"/>
      <c r="I1130" s="476"/>
      <c r="J1130" s="476" t="s">
        <v>2836</v>
      </c>
      <c r="K1130" s="476" t="s">
        <v>2798</v>
      </c>
      <c r="L1130" s="476" t="s">
        <v>2798</v>
      </c>
      <c r="M1130" s="476" t="s">
        <v>46</v>
      </c>
      <c r="N1130" s="476"/>
      <c r="O1130" s="476"/>
      <c r="P1130" s="476" t="s">
        <v>2032</v>
      </c>
      <c r="Q1130" s="476" t="s">
        <v>3061</v>
      </c>
      <c r="R1130" s="490"/>
      <c r="S1130" s="483"/>
      <c r="T1130" s="502">
        <v>43759</v>
      </c>
      <c r="U1130" s="490"/>
      <c r="V1130" s="476"/>
      <c r="W1130" s="482"/>
    </row>
    <row r="1131" spans="1:23" ht="14.25" customHeight="1">
      <c r="A1131" s="487" t="s">
        <v>711</v>
      </c>
      <c r="B1131" s="486" t="s">
        <v>732</v>
      </c>
      <c r="C1131" s="487" t="s">
        <v>1996</v>
      </c>
      <c r="D1131" s="481"/>
      <c r="E1131" s="476"/>
      <c r="F1131" s="476"/>
      <c r="G1131" s="476"/>
      <c r="H1131" s="476"/>
      <c r="I1131" s="476"/>
      <c r="J1131" s="476" t="s">
        <v>1476</v>
      </c>
      <c r="K1131" s="476" t="s">
        <v>45</v>
      </c>
      <c r="L1131" s="476" t="s">
        <v>45</v>
      </c>
      <c r="M1131" s="476" t="s">
        <v>46</v>
      </c>
      <c r="N1131" s="476"/>
      <c r="O1131" s="476"/>
      <c r="P1131" s="476" t="s">
        <v>770</v>
      </c>
      <c r="Q1131" s="476" t="s">
        <v>1988</v>
      </c>
      <c r="R1131" s="490"/>
      <c r="S1131" s="483"/>
      <c r="T1131" s="502">
        <v>43270</v>
      </c>
      <c r="U1131" s="484"/>
      <c r="V1131" s="480"/>
      <c r="W1131" s="482"/>
    </row>
    <row r="1132" spans="1:23" ht="14.25" customHeight="1">
      <c r="A1132" s="487" t="s">
        <v>711</v>
      </c>
      <c r="B1132" s="486" t="s">
        <v>732</v>
      </c>
      <c r="C1132" s="487" t="s">
        <v>743</v>
      </c>
      <c r="D1132" s="429" t="s">
        <v>3135</v>
      </c>
      <c r="E1132" s="476" t="s">
        <v>1435</v>
      </c>
      <c r="F1132" s="480" t="s">
        <v>1712</v>
      </c>
      <c r="G1132" s="476" t="s">
        <v>1713</v>
      </c>
      <c r="H1132" s="476" t="s">
        <v>43</v>
      </c>
      <c r="I1132" s="476" t="s">
        <v>2856</v>
      </c>
      <c r="J1132" s="476" t="s">
        <v>45</v>
      </c>
      <c r="K1132" s="476" t="s">
        <v>45</v>
      </c>
      <c r="L1132" s="476" t="s">
        <v>45</v>
      </c>
      <c r="M1132" s="476" t="s">
        <v>46</v>
      </c>
      <c r="N1132" s="476">
        <v>23.094290000000001</v>
      </c>
      <c r="O1132" s="476">
        <v>97.404089999999997</v>
      </c>
      <c r="P1132" s="476" t="s">
        <v>770</v>
      </c>
      <c r="Q1132" s="476" t="s">
        <v>789</v>
      </c>
      <c r="R1132" s="482">
        <v>35</v>
      </c>
      <c r="S1132" s="482">
        <v>153</v>
      </c>
      <c r="T1132" s="502"/>
      <c r="U1132" s="484"/>
      <c r="V1132" s="476" t="s">
        <v>743</v>
      </c>
      <c r="W1132" s="395" t="s">
        <v>2269</v>
      </c>
    </row>
    <row r="1133" spans="1:23" ht="14.25" customHeight="1">
      <c r="A1133" s="487" t="s">
        <v>711</v>
      </c>
      <c r="B1133" s="486" t="s">
        <v>732</v>
      </c>
      <c r="C1133" s="487" t="s">
        <v>974</v>
      </c>
      <c r="D1133" s="481" t="s">
        <v>1686</v>
      </c>
      <c r="E1133" s="476" t="s">
        <v>1434</v>
      </c>
      <c r="F1133" s="480" t="s">
        <v>1712</v>
      </c>
      <c r="G1133" s="476" t="s">
        <v>1713</v>
      </c>
      <c r="H1133" s="476"/>
      <c r="I1133" s="476">
        <v>0</v>
      </c>
      <c r="J1133" s="476" t="s">
        <v>45</v>
      </c>
      <c r="K1133" s="476" t="s">
        <v>45</v>
      </c>
      <c r="L1133" s="476" t="s">
        <v>769</v>
      </c>
      <c r="M1133" s="476" t="s">
        <v>46</v>
      </c>
      <c r="N1133" s="476">
        <v>23.088058</v>
      </c>
      <c r="O1133" s="476">
        <v>97.398989</v>
      </c>
      <c r="P1133" s="476" t="s">
        <v>782</v>
      </c>
      <c r="Q1133" s="476" t="s">
        <v>789</v>
      </c>
      <c r="R1133" s="490"/>
      <c r="S1133" s="483"/>
      <c r="T1133" s="502"/>
      <c r="U1133" s="484"/>
      <c r="V1133" s="476" t="s">
        <v>796</v>
      </c>
      <c r="W1133" s="482" t="s">
        <v>2270</v>
      </c>
    </row>
    <row r="1134" spans="1:23" ht="14.25" customHeight="1">
      <c r="A1134" s="487" t="s">
        <v>711</v>
      </c>
      <c r="B1134" s="486" t="s">
        <v>732</v>
      </c>
      <c r="C1134" s="487" t="s">
        <v>792</v>
      </c>
      <c r="D1134" s="481" t="s">
        <v>1686</v>
      </c>
      <c r="E1134" s="476" t="s">
        <v>1354</v>
      </c>
      <c r="F1134" s="476" t="s">
        <v>1712</v>
      </c>
      <c r="G1134" s="476" t="s">
        <v>1713</v>
      </c>
      <c r="H1134" s="476"/>
      <c r="I1134" s="476">
        <v>0</v>
      </c>
      <c r="J1134" s="476" t="s">
        <v>45</v>
      </c>
      <c r="K1134" s="476" t="s">
        <v>45</v>
      </c>
      <c r="L1134" s="476" t="s">
        <v>769</v>
      </c>
      <c r="M1134" s="476" t="s">
        <v>46</v>
      </c>
      <c r="N1134" s="476"/>
      <c r="O1134" s="476"/>
      <c r="P1134" s="476" t="s">
        <v>770</v>
      </c>
      <c r="Q1134" s="476" t="s">
        <v>771</v>
      </c>
      <c r="R1134" s="490"/>
      <c r="S1134" s="483"/>
      <c r="T1134" s="502">
        <v>43019</v>
      </c>
      <c r="U1134" s="484" t="s">
        <v>793</v>
      </c>
      <c r="V1134" s="476"/>
      <c r="W1134" s="395" t="s">
        <v>793</v>
      </c>
    </row>
    <row r="1135" spans="1:23" ht="14.25" customHeight="1">
      <c r="A1135" s="487" t="s">
        <v>711</v>
      </c>
      <c r="B1135" s="486" t="s">
        <v>732</v>
      </c>
      <c r="C1135" s="487" t="s">
        <v>794</v>
      </c>
      <c r="D1135" s="481" t="s">
        <v>1686</v>
      </c>
      <c r="E1135" s="476" t="s">
        <v>1355</v>
      </c>
      <c r="F1135" s="476" t="s">
        <v>1712</v>
      </c>
      <c r="G1135" s="476" t="s">
        <v>1713</v>
      </c>
      <c r="H1135" s="476"/>
      <c r="I1135" s="476">
        <v>0</v>
      </c>
      <c r="J1135" s="476" t="s">
        <v>45</v>
      </c>
      <c r="K1135" s="476" t="s">
        <v>45</v>
      </c>
      <c r="L1135" s="476" t="s">
        <v>769</v>
      </c>
      <c r="M1135" s="476" t="s">
        <v>46</v>
      </c>
      <c r="N1135" s="476"/>
      <c r="O1135" s="476"/>
      <c r="P1135" s="476" t="s">
        <v>770</v>
      </c>
      <c r="Q1135" s="476" t="s">
        <v>771</v>
      </c>
      <c r="R1135" s="490"/>
      <c r="S1135" s="483"/>
      <c r="T1135" s="502">
        <v>42927</v>
      </c>
      <c r="U1135" s="484" t="s">
        <v>795</v>
      </c>
      <c r="V1135" s="480"/>
      <c r="W1135" s="395" t="s">
        <v>793</v>
      </c>
    </row>
    <row r="1136" spans="1:23" ht="14.25" customHeight="1">
      <c r="A1136" s="487" t="s">
        <v>711</v>
      </c>
      <c r="B1136" s="486" t="s">
        <v>732</v>
      </c>
      <c r="C1136" s="487" t="s">
        <v>796</v>
      </c>
      <c r="D1136" s="481" t="s">
        <v>1686</v>
      </c>
      <c r="E1136" s="476" t="s">
        <v>1356</v>
      </c>
      <c r="F1136" s="476" t="s">
        <v>1712</v>
      </c>
      <c r="G1136" s="476" t="s">
        <v>1713</v>
      </c>
      <c r="H1136" s="476"/>
      <c r="I1136" s="476">
        <v>0</v>
      </c>
      <c r="J1136" s="476" t="s">
        <v>45</v>
      </c>
      <c r="K1136" s="476" t="s">
        <v>45</v>
      </c>
      <c r="L1136" s="476" t="s">
        <v>769</v>
      </c>
      <c r="M1136" s="476" t="s">
        <v>46</v>
      </c>
      <c r="N1136" s="476"/>
      <c r="O1136" s="476"/>
      <c r="P1136" s="476" t="s">
        <v>770</v>
      </c>
      <c r="Q1136" s="476" t="s">
        <v>771</v>
      </c>
      <c r="R1136" s="490"/>
      <c r="S1136" s="483"/>
      <c r="T1136" s="502">
        <v>42927</v>
      </c>
      <c r="U1136" s="484" t="s">
        <v>797</v>
      </c>
      <c r="V1136" s="476"/>
      <c r="W1136" s="482" t="s">
        <v>2259</v>
      </c>
    </row>
    <row r="1137" spans="1:23" ht="14.25" customHeight="1">
      <c r="A1137" s="483" t="s">
        <v>711</v>
      </c>
      <c r="B1137" s="486" t="s">
        <v>732</v>
      </c>
      <c r="C1137" s="487" t="s">
        <v>733</v>
      </c>
      <c r="D1137" s="429" t="s">
        <v>3135</v>
      </c>
      <c r="E1137" s="476" t="s">
        <v>1433</v>
      </c>
      <c r="F1137" s="480" t="s">
        <v>1787</v>
      </c>
      <c r="G1137" s="476" t="s">
        <v>1788</v>
      </c>
      <c r="H1137" s="476"/>
      <c r="I1137" s="480" t="s">
        <v>2181</v>
      </c>
      <c r="J1137" s="476" t="s">
        <v>45</v>
      </c>
      <c r="K1137" s="476" t="s">
        <v>45</v>
      </c>
      <c r="L1137" s="476" t="s">
        <v>785</v>
      </c>
      <c r="M1137" s="476" t="s">
        <v>46</v>
      </c>
      <c r="N1137" s="476">
        <v>22.765999999999998</v>
      </c>
      <c r="O1137" s="476">
        <v>97.358999999999995</v>
      </c>
      <c r="P1137" s="476" t="s">
        <v>770</v>
      </c>
      <c r="Q1137" s="476" t="s">
        <v>771</v>
      </c>
      <c r="R1137" s="482">
        <v>6</v>
      </c>
      <c r="S1137" s="482">
        <v>27</v>
      </c>
      <c r="T1137" s="502"/>
      <c r="U1137" s="484" t="s">
        <v>973</v>
      </c>
      <c r="V1137" s="476"/>
      <c r="W1137" s="395" t="s">
        <v>2271</v>
      </c>
    </row>
    <row r="1138" spans="1:23" ht="14.25" customHeight="1">
      <c r="A1138" s="483" t="s">
        <v>711</v>
      </c>
      <c r="B1138" s="486" t="s">
        <v>732</v>
      </c>
      <c r="C1138" s="487" t="s">
        <v>975</v>
      </c>
      <c r="D1138" s="429" t="s">
        <v>3160</v>
      </c>
      <c r="E1138" s="476" t="s">
        <v>1437</v>
      </c>
      <c r="F1138" s="480"/>
      <c r="G1138" s="476"/>
      <c r="H1138" s="476"/>
      <c r="I1138" s="476">
        <v>0</v>
      </c>
      <c r="J1138" s="476" t="s">
        <v>45</v>
      </c>
      <c r="K1138" s="476" t="s">
        <v>45</v>
      </c>
      <c r="L1138" s="476" t="s">
        <v>45</v>
      </c>
      <c r="M1138" s="476" t="s">
        <v>46</v>
      </c>
      <c r="N1138" s="476">
        <v>23.099304</v>
      </c>
      <c r="O1138" s="476">
        <v>97.400671000000003</v>
      </c>
      <c r="P1138" s="476" t="s">
        <v>770</v>
      </c>
      <c r="Q1138" s="476" t="s">
        <v>771</v>
      </c>
      <c r="R1138" s="490"/>
      <c r="S1138" s="483"/>
      <c r="T1138" s="502">
        <v>42747</v>
      </c>
      <c r="U1138" s="484" t="s">
        <v>976</v>
      </c>
      <c r="V1138" s="476"/>
      <c r="W1138" s="395" t="s">
        <v>2272</v>
      </c>
    </row>
    <row r="1139" spans="1:23" ht="14.25" customHeight="1">
      <c r="A1139" s="483" t="s">
        <v>711</v>
      </c>
      <c r="B1139" s="486" t="s">
        <v>732</v>
      </c>
      <c r="C1139" s="487" t="s">
        <v>1157</v>
      </c>
      <c r="D1139" s="429" t="s">
        <v>3160</v>
      </c>
      <c r="E1139" s="476"/>
      <c r="F1139" s="476"/>
      <c r="G1139" s="476"/>
      <c r="H1139" s="476"/>
      <c r="I1139" s="476"/>
      <c r="J1139" s="476" t="s">
        <v>1476</v>
      </c>
      <c r="K1139" s="476" t="s">
        <v>45</v>
      </c>
      <c r="L1139" s="476" t="s">
        <v>45</v>
      </c>
      <c r="M1139" s="476" t="s">
        <v>46</v>
      </c>
      <c r="N1139" s="476"/>
      <c r="O1139" s="476"/>
      <c r="P1139" s="476" t="s">
        <v>770</v>
      </c>
      <c r="Q1139" s="476" t="s">
        <v>789</v>
      </c>
      <c r="R1139" s="490"/>
      <c r="S1139" s="483"/>
      <c r="T1139" s="502">
        <v>42747</v>
      </c>
      <c r="U1139" s="484"/>
      <c r="V1139" s="480"/>
      <c r="W1139" s="482"/>
    </row>
    <row r="1140" spans="1:23" ht="14.25" customHeight="1">
      <c r="A1140" s="483" t="s">
        <v>711</v>
      </c>
      <c r="B1140" s="510" t="s">
        <v>732</v>
      </c>
      <c r="C1140" s="439" t="s">
        <v>1157</v>
      </c>
      <c r="D1140" s="481"/>
      <c r="E1140" s="476"/>
      <c r="F1140" s="476"/>
      <c r="G1140" s="476"/>
      <c r="H1140" s="476"/>
      <c r="I1140" s="476"/>
      <c r="J1140" s="476" t="s">
        <v>2836</v>
      </c>
      <c r="K1140" s="476" t="s">
        <v>2798</v>
      </c>
      <c r="L1140" s="476" t="s">
        <v>2798</v>
      </c>
      <c r="M1140" s="476" t="s">
        <v>46</v>
      </c>
      <c r="N1140" s="476"/>
      <c r="O1140" s="476"/>
      <c r="P1140" s="476"/>
      <c r="Q1140" s="476" t="s">
        <v>3134</v>
      </c>
      <c r="R1140" s="490"/>
      <c r="S1140" s="483"/>
      <c r="T1140" s="502">
        <v>43841</v>
      </c>
      <c r="U1140" s="490"/>
      <c r="V1140" s="476"/>
      <c r="W1140" s="482"/>
    </row>
    <row r="1141" spans="1:23" ht="14.25" customHeight="1">
      <c r="A1141" s="483" t="s">
        <v>711</v>
      </c>
      <c r="B1141" s="510" t="s">
        <v>1285</v>
      </c>
      <c r="C1141" s="487" t="s">
        <v>2294</v>
      </c>
      <c r="D1141" s="481"/>
      <c r="E1141" s="476"/>
      <c r="F1141" s="480"/>
      <c r="G1141" s="476"/>
      <c r="H1141" s="476"/>
      <c r="I1141" s="476"/>
      <c r="J1141" s="476" t="s">
        <v>1476</v>
      </c>
      <c r="K1141" s="476" t="s">
        <v>45</v>
      </c>
      <c r="L1141" s="476" t="s">
        <v>45</v>
      </c>
      <c r="M1141" s="476" t="s">
        <v>46</v>
      </c>
      <c r="N1141" s="476"/>
      <c r="O1141" s="476"/>
      <c r="P1141" s="476" t="s">
        <v>770</v>
      </c>
      <c r="Q1141" s="476" t="s">
        <v>935</v>
      </c>
      <c r="R1141" s="490"/>
      <c r="S1141" s="483"/>
      <c r="T1141" s="502">
        <v>43392</v>
      </c>
      <c r="U1141" s="484"/>
      <c r="V1141" s="480"/>
      <c r="W1141" s="482"/>
    </row>
    <row r="1142" spans="1:23" ht="14.25" customHeight="1">
      <c r="A1142" s="483" t="s">
        <v>711</v>
      </c>
      <c r="B1142" s="510" t="s">
        <v>1285</v>
      </c>
      <c r="C1142" s="487" t="s">
        <v>1135</v>
      </c>
      <c r="D1142" s="429" t="s">
        <v>3160</v>
      </c>
      <c r="E1142" s="476"/>
      <c r="F1142" s="476"/>
      <c r="G1142" s="476"/>
      <c r="H1142" s="476"/>
      <c r="I1142" s="476"/>
      <c r="J1142" s="476" t="s">
        <v>1476</v>
      </c>
      <c r="K1142" s="476" t="s">
        <v>45</v>
      </c>
      <c r="L1142" s="476" t="s">
        <v>45</v>
      </c>
      <c r="M1142" s="476" t="s">
        <v>46</v>
      </c>
      <c r="N1142" s="476"/>
      <c r="O1142" s="476"/>
      <c r="P1142" s="476" t="s">
        <v>770</v>
      </c>
      <c r="Q1142" s="476" t="s">
        <v>789</v>
      </c>
      <c r="R1142" s="490"/>
      <c r="S1142" s="483"/>
      <c r="T1142" s="502">
        <v>42747</v>
      </c>
      <c r="U1142" s="484"/>
      <c r="V1142" s="476"/>
      <c r="W1142" s="482"/>
    </row>
    <row r="1143" spans="1:23" ht="14.25" customHeight="1">
      <c r="A1143" s="483" t="s">
        <v>711</v>
      </c>
      <c r="B1143" s="510" t="s">
        <v>1288</v>
      </c>
      <c r="C1143" s="439" t="s">
        <v>1330</v>
      </c>
      <c r="D1143" s="481"/>
      <c r="E1143" s="476"/>
      <c r="F1143" s="476"/>
      <c r="G1143" s="476"/>
      <c r="H1143" s="476"/>
      <c r="I1143" s="476"/>
      <c r="J1143" s="476" t="s">
        <v>1476</v>
      </c>
      <c r="K1143" s="476" t="s">
        <v>45</v>
      </c>
      <c r="L1143" s="476" t="s">
        <v>785</v>
      </c>
      <c r="M1143" s="476" t="s">
        <v>2060</v>
      </c>
      <c r="N1143" s="476"/>
      <c r="O1143" s="476"/>
      <c r="P1143" s="476" t="s">
        <v>770</v>
      </c>
      <c r="Q1143" s="476"/>
      <c r="R1143" s="490"/>
      <c r="S1143" s="483"/>
      <c r="T1143" s="502">
        <v>43298</v>
      </c>
      <c r="U1143" s="484"/>
      <c r="V1143" s="480"/>
      <c r="W1143" s="482"/>
    </row>
    <row r="1144" spans="1:23" ht="14.25" customHeight="1">
      <c r="A1144" s="483" t="s">
        <v>39</v>
      </c>
      <c r="B1144" s="510" t="s">
        <v>784</v>
      </c>
      <c r="C1144" s="439" t="s">
        <v>3145</v>
      </c>
      <c r="D1144" s="481"/>
      <c r="E1144" s="476"/>
      <c r="F1144" s="476"/>
      <c r="G1144" s="476"/>
      <c r="H1144" s="476"/>
      <c r="I1144" s="476"/>
      <c r="J1144" s="476" t="s">
        <v>807</v>
      </c>
      <c r="K1144" s="476" t="s">
        <v>807</v>
      </c>
      <c r="L1144" s="476" t="s">
        <v>1108</v>
      </c>
      <c r="M1144" s="476" t="s">
        <v>787</v>
      </c>
      <c r="N1144" s="476"/>
      <c r="O1144" s="476"/>
      <c r="P1144" s="476"/>
      <c r="Q1144" s="476" t="s">
        <v>3134</v>
      </c>
      <c r="R1144" s="490"/>
      <c r="S1144" s="483"/>
      <c r="T1144" s="502">
        <v>43851</v>
      </c>
      <c r="U1144" s="490"/>
      <c r="V1144" s="476"/>
      <c r="W1144" s="482"/>
    </row>
    <row r="1145" spans="1:23" ht="14.25" customHeight="1">
      <c r="A1145" s="483" t="s">
        <v>39</v>
      </c>
      <c r="B1145" s="486" t="s">
        <v>784</v>
      </c>
      <c r="C1145" s="487" t="s">
        <v>3146</v>
      </c>
      <c r="D1145" s="481"/>
      <c r="E1145" s="476"/>
      <c r="F1145" s="476"/>
      <c r="G1145" s="476"/>
      <c r="H1145" s="476"/>
      <c r="I1145" s="476"/>
      <c r="J1145" s="476" t="s">
        <v>807</v>
      </c>
      <c r="K1145" s="476" t="s">
        <v>807</v>
      </c>
      <c r="L1145" s="476" t="s">
        <v>1108</v>
      </c>
      <c r="M1145" s="476" t="s">
        <v>787</v>
      </c>
      <c r="N1145" s="476"/>
      <c r="O1145" s="476"/>
      <c r="P1145" s="476"/>
      <c r="Q1145" s="476" t="s">
        <v>3134</v>
      </c>
      <c r="R1145" s="490"/>
      <c r="S1145" s="483"/>
      <c r="T1145" s="502">
        <v>43851</v>
      </c>
      <c r="U1145" s="490"/>
      <c r="V1145" s="476"/>
      <c r="W1145" s="482"/>
    </row>
    <row r="1146" spans="1:23" ht="14.25" customHeight="1">
      <c r="A1146" s="483" t="s">
        <v>39</v>
      </c>
      <c r="B1146" s="486" t="s">
        <v>187</v>
      </c>
      <c r="C1146" s="487" t="s">
        <v>3147</v>
      </c>
      <c r="D1146" s="481"/>
      <c r="E1146" s="476"/>
      <c r="F1146" s="476"/>
      <c r="G1146" s="476"/>
      <c r="H1146" s="476"/>
      <c r="I1146" s="476"/>
      <c r="J1146" s="476" t="s">
        <v>807</v>
      </c>
      <c r="K1146" s="476" t="s">
        <v>807</v>
      </c>
      <c r="L1146" s="476" t="s">
        <v>1108</v>
      </c>
      <c r="M1146" s="476" t="s">
        <v>787</v>
      </c>
      <c r="N1146" s="476"/>
      <c r="O1146" s="476"/>
      <c r="P1146" s="476"/>
      <c r="Q1146" s="476" t="s">
        <v>3134</v>
      </c>
      <c r="R1146" s="490"/>
      <c r="S1146" s="483"/>
      <c r="T1146" s="502">
        <v>43851</v>
      </c>
      <c r="U1146" s="490"/>
      <c r="V1146" s="476"/>
      <c r="W1146" s="482"/>
    </row>
    <row r="1147" spans="1:23" ht="14.25" customHeight="1">
      <c r="A1147" s="483" t="s">
        <v>39</v>
      </c>
      <c r="B1147" s="486" t="s">
        <v>187</v>
      </c>
      <c r="C1147" s="487" t="s">
        <v>3148</v>
      </c>
      <c r="D1147" s="481"/>
      <c r="E1147" s="476"/>
      <c r="F1147" s="476"/>
      <c r="G1147" s="476"/>
      <c r="H1147" s="476"/>
      <c r="I1147" s="476"/>
      <c r="J1147" s="476" t="s">
        <v>807</v>
      </c>
      <c r="K1147" s="476" t="s">
        <v>807</v>
      </c>
      <c r="L1147" s="476" t="s">
        <v>1108</v>
      </c>
      <c r="M1147" s="476" t="s">
        <v>787</v>
      </c>
      <c r="N1147" s="476"/>
      <c r="O1147" s="476"/>
      <c r="P1147" s="476"/>
      <c r="Q1147" s="476" t="s">
        <v>3134</v>
      </c>
      <c r="R1147" s="490"/>
      <c r="S1147" s="483"/>
      <c r="T1147" s="502">
        <v>43851</v>
      </c>
      <c r="U1147" s="490"/>
      <c r="V1147" s="476"/>
      <c r="W1147" s="482"/>
    </row>
    <row r="1148" spans="1:23" ht="14.25" customHeight="1">
      <c r="A1148" s="483" t="s">
        <v>39</v>
      </c>
      <c r="B1148" s="486" t="s">
        <v>187</v>
      </c>
      <c r="C1148" s="487" t="s">
        <v>3149</v>
      </c>
      <c r="D1148" s="481"/>
      <c r="E1148" s="476"/>
      <c r="F1148" s="476"/>
      <c r="G1148" s="476"/>
      <c r="H1148" s="476"/>
      <c r="I1148" s="476"/>
      <c r="J1148" s="476" t="s">
        <v>807</v>
      </c>
      <c r="K1148" s="476" t="s">
        <v>807</v>
      </c>
      <c r="L1148" s="476" t="s">
        <v>1108</v>
      </c>
      <c r="M1148" s="476" t="s">
        <v>787</v>
      </c>
      <c r="N1148" s="476"/>
      <c r="O1148" s="476"/>
      <c r="P1148" s="476"/>
      <c r="Q1148" s="476" t="s">
        <v>3134</v>
      </c>
      <c r="R1148" s="490"/>
      <c r="S1148" s="483"/>
      <c r="T1148" s="502">
        <v>43851</v>
      </c>
      <c r="U1148" s="490"/>
      <c r="V1148" s="476"/>
      <c r="W1148" s="482"/>
    </row>
    <row r="1149" spans="1:23" ht="14.25" customHeight="1">
      <c r="A1149" s="483" t="s">
        <v>39</v>
      </c>
      <c r="B1149" s="486" t="s">
        <v>187</v>
      </c>
      <c r="C1149" s="487" t="s">
        <v>3150</v>
      </c>
      <c r="D1149" s="481"/>
      <c r="E1149" s="476"/>
      <c r="F1149" s="476"/>
      <c r="G1149" s="476"/>
      <c r="H1149" s="476"/>
      <c r="I1149" s="476"/>
      <c r="J1149" s="476" t="s">
        <v>807</v>
      </c>
      <c r="K1149" s="476" t="s">
        <v>807</v>
      </c>
      <c r="L1149" s="476" t="s">
        <v>1108</v>
      </c>
      <c r="M1149" s="476" t="s">
        <v>787</v>
      </c>
      <c r="N1149" s="476"/>
      <c r="O1149" s="476"/>
      <c r="P1149" s="476"/>
      <c r="Q1149" s="476" t="s">
        <v>3134</v>
      </c>
      <c r="R1149" s="490"/>
      <c r="S1149" s="483"/>
      <c r="T1149" s="502">
        <v>43851</v>
      </c>
      <c r="U1149" s="490"/>
      <c r="V1149" s="476"/>
      <c r="W1149" s="482"/>
    </row>
  </sheetData>
  <conditionalFormatting sqref="V226">
    <cfRule type="duplicateValues" dxfId="708" priority="9"/>
  </conditionalFormatting>
  <conditionalFormatting sqref="V942">
    <cfRule type="duplicateValues" dxfId="707" priority="8"/>
  </conditionalFormatting>
  <conditionalFormatting sqref="V987">
    <cfRule type="duplicateValues" dxfId="706" priority="7"/>
  </conditionalFormatting>
  <conditionalFormatting sqref="V1111">
    <cfRule type="duplicateValues" dxfId="705" priority="6"/>
  </conditionalFormatting>
  <conditionalFormatting sqref="C3:C402 C404:C1139">
    <cfRule type="duplicateValues" dxfId="704" priority="10"/>
  </conditionalFormatting>
  <conditionalFormatting sqref="C403">
    <cfRule type="duplicateValues" dxfId="703" priority="4"/>
  </conditionalFormatting>
  <conditionalFormatting sqref="V398">
    <cfRule type="duplicateValues" dxfId="702" priority="3"/>
  </conditionalFormatting>
  <conditionalFormatting sqref="E3:E402 E404:E592 E594:E1119">
    <cfRule type="duplicateValues" dxfId="701" priority="12306"/>
  </conditionalFormatting>
  <conditionalFormatting sqref="E403">
    <cfRule type="duplicateValues" dxfId="700" priority="12310"/>
  </conditionalFormatting>
  <dataValidations count="2">
    <dataValidation type="list" allowBlank="1" showInputMessage="1" showErrorMessage="1" sqref="C771" xr:uid="{7C7565C2-5D5E-4329-ABB8-2C81E161F247}">
      <formula1>OFFSET(ဖ,MATCH(B771,z, 0),1, COUNTIF(z,B771),1)</formula1>
    </dataValidation>
    <dataValidation type="list" allowBlank="1" showInputMessage="1" showErrorMessage="1" sqref="C1114" xr:uid="{0C947F1F-B2C7-4140-A9B5-BC2307C73D97}">
      <formula1>OFFSET(Township_start,MATCH(A1114,Township_list, 0),1, COUNTIF(Township_list,A1114),1)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L532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0"/>
  <sheetViews>
    <sheetView zoomScale="120" zoomScaleNormal="120" zoomScaleSheetLayoutView="50" workbookViewId="0">
      <pane xSplit="2" ySplit="2" topLeftCell="C36" activePane="bottomRight" state="frozen"/>
      <selection activeCell="H81" sqref="H81"/>
      <selection pane="topRight" activeCell="H81" sqref="H81"/>
      <selection pane="bottomLeft" activeCell="H81" sqref="H81"/>
      <selection pane="bottomRight" activeCell="G44" sqref="G44"/>
    </sheetView>
  </sheetViews>
  <sheetFormatPr defaultColWidth="8" defaultRowHeight="45" customHeight="1"/>
  <cols>
    <col min="1" max="1" width="7.58203125" style="645" bestFit="1" customWidth="1"/>
    <col min="2" max="2" width="7.58203125" style="279" bestFit="1" customWidth="1"/>
    <col min="3" max="3" width="42.6640625" style="301" bestFit="1" customWidth="1"/>
    <col min="4" max="4" width="11.58203125" style="301" customWidth="1"/>
    <col min="5" max="5" width="3.5" style="301" hidden="1" customWidth="1"/>
    <col min="6" max="6" width="13.1640625" style="301" hidden="1" customWidth="1"/>
    <col min="7" max="7" width="61.5" style="301" bestFit="1" customWidth="1"/>
    <col min="8" max="8" width="57.1640625" style="538" bestFit="1" customWidth="1"/>
    <col min="9" max="16380" width="8" style="278"/>
    <col min="16381" max="16384" width="21.1640625" style="278" customWidth="1"/>
  </cols>
  <sheetData>
    <row r="1" spans="1:8" ht="45" customHeight="1">
      <c r="A1" s="643"/>
      <c r="B1" s="1079"/>
      <c r="C1" s="1079"/>
      <c r="D1" s="1079"/>
      <c r="E1" s="1079"/>
      <c r="F1" s="1079"/>
      <c r="G1" s="1079"/>
    </row>
    <row r="2" spans="1:8" s="282" customFormat="1" ht="45" customHeight="1">
      <c r="A2" s="644"/>
      <c r="B2" s="280" t="s">
        <v>47</v>
      </c>
      <c r="C2" s="281" t="s">
        <v>2353</v>
      </c>
      <c r="D2" s="281" t="s">
        <v>2354</v>
      </c>
      <c r="E2" s="281" t="s">
        <v>2355</v>
      </c>
      <c r="F2" s="281" t="s">
        <v>2356</v>
      </c>
      <c r="G2" s="281" t="s">
        <v>48</v>
      </c>
      <c r="H2" s="200" t="s">
        <v>3195</v>
      </c>
    </row>
    <row r="3" spans="1:8" ht="45" customHeight="1">
      <c r="A3" s="1080" t="s">
        <v>3180</v>
      </c>
      <c r="B3" s="684" t="s">
        <v>0</v>
      </c>
      <c r="C3" s="283" t="s">
        <v>2357</v>
      </c>
      <c r="D3" s="283" t="s">
        <v>16</v>
      </c>
      <c r="E3" s="283"/>
      <c r="F3" s="283" t="s">
        <v>2358</v>
      </c>
      <c r="G3" s="685"/>
      <c r="H3" s="539"/>
    </row>
    <row r="4" spans="1:8" ht="62.75" customHeight="1">
      <c r="A4" s="1081"/>
      <c r="B4" s="684" t="s">
        <v>1</v>
      </c>
      <c r="C4" s="283" t="s">
        <v>2359</v>
      </c>
      <c r="D4" s="283" t="s">
        <v>16</v>
      </c>
      <c r="E4" s="283"/>
      <c r="F4" s="283" t="s">
        <v>2358</v>
      </c>
      <c r="G4" s="685" t="s">
        <v>2360</v>
      </c>
      <c r="H4" s="539"/>
    </row>
    <row r="5" spans="1:8" ht="45" customHeight="1">
      <c r="A5" s="1081"/>
      <c r="B5" s="684" t="s">
        <v>2</v>
      </c>
      <c r="C5" s="283" t="s">
        <v>2361</v>
      </c>
      <c r="D5" s="283" t="s">
        <v>16</v>
      </c>
      <c r="E5" s="283"/>
      <c r="F5" s="283" t="s">
        <v>2358</v>
      </c>
      <c r="G5" s="685" t="s">
        <v>2362</v>
      </c>
      <c r="H5" s="539"/>
    </row>
    <row r="6" spans="1:8" ht="45" customHeight="1">
      <c r="A6" s="1081"/>
      <c r="B6" s="684" t="s">
        <v>3</v>
      </c>
      <c r="C6" s="283" t="s">
        <v>2363</v>
      </c>
      <c r="D6" s="283" t="s">
        <v>18</v>
      </c>
      <c r="E6" s="283"/>
      <c r="F6" s="283" t="s">
        <v>2358</v>
      </c>
      <c r="G6" s="685" t="s">
        <v>2557</v>
      </c>
      <c r="H6" s="539"/>
    </row>
    <row r="7" spans="1:8" ht="45" customHeight="1">
      <c r="A7" s="1081"/>
      <c r="B7" s="684" t="s">
        <v>4</v>
      </c>
      <c r="C7" s="283" t="s">
        <v>22</v>
      </c>
      <c r="D7" s="283" t="s">
        <v>16</v>
      </c>
      <c r="E7" s="283"/>
      <c r="F7" s="283" t="s">
        <v>2358</v>
      </c>
      <c r="G7" s="685" t="s">
        <v>2364</v>
      </c>
      <c r="H7" s="539"/>
    </row>
    <row r="8" spans="1:8" ht="45" customHeight="1">
      <c r="A8" s="1081"/>
      <c r="B8" s="684" t="s">
        <v>1163</v>
      </c>
      <c r="C8" s="283" t="s">
        <v>23</v>
      </c>
      <c r="D8" s="283" t="s">
        <v>16</v>
      </c>
      <c r="E8" s="283"/>
      <c r="F8" s="283" t="s">
        <v>2358</v>
      </c>
      <c r="G8" s="685" t="s">
        <v>2364</v>
      </c>
      <c r="H8" s="539"/>
    </row>
    <row r="9" spans="1:8" ht="45" customHeight="1">
      <c r="A9" s="1081"/>
      <c r="B9" s="684" t="s">
        <v>5</v>
      </c>
      <c r="C9" s="283" t="s">
        <v>2365</v>
      </c>
      <c r="D9" s="283" t="s">
        <v>2543</v>
      </c>
      <c r="E9" s="283"/>
      <c r="F9" s="283" t="s">
        <v>2358</v>
      </c>
      <c r="G9" s="685" t="s">
        <v>2366</v>
      </c>
      <c r="H9" s="539"/>
    </row>
    <row r="10" spans="1:8" ht="45" customHeight="1">
      <c r="A10" s="1081"/>
      <c r="B10" s="684" t="s">
        <v>6</v>
      </c>
      <c r="C10" s="283" t="s">
        <v>2367</v>
      </c>
      <c r="D10" s="283" t="s">
        <v>16</v>
      </c>
      <c r="E10" s="283"/>
      <c r="F10" s="283" t="s">
        <v>2358</v>
      </c>
      <c r="G10" s="685" t="s">
        <v>2368</v>
      </c>
      <c r="H10" s="539"/>
    </row>
    <row r="11" spans="1:8" ht="75" customHeight="1">
      <c r="A11" s="1081"/>
      <c r="B11" s="684" t="s">
        <v>49</v>
      </c>
      <c r="C11" s="283" t="s">
        <v>25</v>
      </c>
      <c r="D11" s="283" t="s">
        <v>17</v>
      </c>
      <c r="E11" s="283"/>
      <c r="F11" s="283" t="s">
        <v>2358</v>
      </c>
      <c r="G11" s="685" t="s">
        <v>2444</v>
      </c>
      <c r="H11" s="539"/>
    </row>
    <row r="12" spans="1:8" ht="85.25" customHeight="1">
      <c r="A12" s="1081"/>
      <c r="B12" s="684" t="s">
        <v>50</v>
      </c>
      <c r="C12" s="283" t="s">
        <v>1928</v>
      </c>
      <c r="D12" s="283" t="s">
        <v>17</v>
      </c>
      <c r="E12" s="283"/>
      <c r="F12" s="283" t="s">
        <v>2358</v>
      </c>
      <c r="G12" s="685" t="s">
        <v>2444</v>
      </c>
      <c r="H12" s="539"/>
    </row>
    <row r="13" spans="1:8" ht="45" customHeight="1">
      <c r="A13" s="1081"/>
      <c r="B13" s="684" t="s">
        <v>53</v>
      </c>
      <c r="C13" s="283" t="s">
        <v>2369</v>
      </c>
      <c r="D13" s="283" t="s">
        <v>19</v>
      </c>
      <c r="E13" s="283"/>
      <c r="F13" s="283" t="s">
        <v>2358</v>
      </c>
      <c r="G13" s="685" t="s">
        <v>2370</v>
      </c>
      <c r="H13" s="539"/>
    </row>
    <row r="14" spans="1:8" ht="45" customHeight="1">
      <c r="A14" s="1081"/>
      <c r="B14" s="684" t="s">
        <v>55</v>
      </c>
      <c r="C14" s="283" t="s">
        <v>2371</v>
      </c>
      <c r="D14" s="283" t="s">
        <v>19</v>
      </c>
      <c r="E14" s="283"/>
      <c r="F14" s="283" t="s">
        <v>2358</v>
      </c>
      <c r="G14" s="685" t="s">
        <v>2372</v>
      </c>
      <c r="H14" s="539"/>
    </row>
    <row r="15" spans="1:8" ht="45" customHeight="1">
      <c r="A15" s="1081"/>
      <c r="B15" s="684" t="s">
        <v>56</v>
      </c>
      <c r="C15" s="283" t="s">
        <v>2589</v>
      </c>
      <c r="D15" s="283" t="s">
        <v>17</v>
      </c>
      <c r="E15" s="283"/>
      <c r="F15" s="283" t="s">
        <v>2541</v>
      </c>
      <c r="G15" s="685"/>
      <c r="H15" s="539"/>
    </row>
    <row r="16" spans="1:8" ht="45" customHeight="1">
      <c r="A16" s="1081"/>
      <c r="B16" s="684" t="s">
        <v>118</v>
      </c>
      <c r="C16" s="283" t="s">
        <v>2028</v>
      </c>
      <c r="D16" s="283" t="s">
        <v>17</v>
      </c>
      <c r="E16" s="283"/>
      <c r="F16" s="283" t="s">
        <v>307</v>
      </c>
      <c r="G16" s="685" t="s">
        <v>2590</v>
      </c>
      <c r="H16" s="539"/>
    </row>
    <row r="17" spans="1:8" ht="45" customHeight="1">
      <c r="A17" s="1081"/>
      <c r="B17" s="684" t="s">
        <v>119</v>
      </c>
      <c r="C17" s="283" t="s">
        <v>2030</v>
      </c>
      <c r="D17" s="283" t="s">
        <v>17</v>
      </c>
      <c r="E17" s="283"/>
      <c r="F17" s="283" t="s">
        <v>307</v>
      </c>
      <c r="G17" s="685" t="s">
        <v>2591</v>
      </c>
      <c r="H17" s="539"/>
    </row>
    <row r="18" spans="1:8" ht="45" customHeight="1">
      <c r="A18" s="1081"/>
      <c r="B18" s="684" t="s">
        <v>61</v>
      </c>
      <c r="C18" s="283" t="s">
        <v>2373</v>
      </c>
      <c r="D18" s="283" t="s">
        <v>17</v>
      </c>
      <c r="E18" s="283" t="s">
        <v>2592</v>
      </c>
      <c r="F18" s="283" t="s">
        <v>2358</v>
      </c>
      <c r="G18" s="685" t="s">
        <v>2593</v>
      </c>
      <c r="H18" s="539"/>
    </row>
    <row r="19" spans="1:8" ht="45" customHeight="1">
      <c r="A19" s="1081"/>
      <c r="B19" s="684" t="s">
        <v>59</v>
      </c>
      <c r="C19" s="283" t="s">
        <v>2374</v>
      </c>
      <c r="D19" s="283" t="s">
        <v>2375</v>
      </c>
      <c r="E19" s="283"/>
      <c r="F19" s="283" t="s">
        <v>2358</v>
      </c>
      <c r="G19" s="685" t="s">
        <v>2594</v>
      </c>
      <c r="H19" s="539"/>
    </row>
    <row r="20" spans="1:8" ht="45" customHeight="1">
      <c r="A20" s="1081"/>
      <c r="B20" s="684" t="s">
        <v>63</v>
      </c>
      <c r="C20" s="283" t="s">
        <v>2376</v>
      </c>
      <c r="D20" s="283" t="s">
        <v>17</v>
      </c>
      <c r="E20" s="283"/>
      <c r="F20" s="283" t="s">
        <v>2358</v>
      </c>
      <c r="G20" s="685" t="s">
        <v>2595</v>
      </c>
      <c r="H20" s="539"/>
    </row>
    <row r="21" spans="1:8" ht="45" customHeight="1">
      <c r="A21" s="1082"/>
      <c r="B21" s="684" t="s">
        <v>1164</v>
      </c>
      <c r="C21" s="283" t="s">
        <v>2377</v>
      </c>
      <c r="D21" s="283" t="s">
        <v>17</v>
      </c>
      <c r="E21" s="283"/>
      <c r="F21" s="283" t="s">
        <v>2358</v>
      </c>
      <c r="G21" s="685" t="s">
        <v>2595</v>
      </c>
      <c r="H21" s="539"/>
    </row>
    <row r="22" spans="1:8" ht="45" customHeight="1">
      <c r="A22" s="1083" t="s">
        <v>2041</v>
      </c>
      <c r="B22" s="686" t="s">
        <v>64</v>
      </c>
      <c r="C22" s="201" t="s">
        <v>2549</v>
      </c>
      <c r="D22" s="201" t="s">
        <v>17</v>
      </c>
      <c r="E22" s="201"/>
      <c r="F22" s="201" t="s">
        <v>2358</v>
      </c>
      <c r="G22" s="261" t="s">
        <v>2379</v>
      </c>
      <c r="H22" s="687" t="s">
        <v>3210</v>
      </c>
    </row>
    <row r="23" spans="1:8" ht="45" customHeight="1">
      <c r="A23" s="1084"/>
      <c r="B23" s="686" t="s">
        <v>65</v>
      </c>
      <c r="C23" s="201" t="s">
        <v>2509</v>
      </c>
      <c r="D23" s="201" t="s">
        <v>17</v>
      </c>
      <c r="E23" s="201"/>
      <c r="F23" s="201" t="s">
        <v>2358</v>
      </c>
      <c r="G23" s="261" t="s">
        <v>2510</v>
      </c>
      <c r="H23" s="539"/>
    </row>
    <row r="24" spans="1:8" ht="45" customHeight="1">
      <c r="A24" s="1084"/>
      <c r="B24" s="686" t="s">
        <v>66</v>
      </c>
      <c r="C24" s="201" t="s">
        <v>2511</v>
      </c>
      <c r="D24" s="201" t="s">
        <v>17</v>
      </c>
      <c r="E24" s="201"/>
      <c r="F24" s="201" t="s">
        <v>2358</v>
      </c>
      <c r="G24" s="261" t="s">
        <v>2544</v>
      </c>
      <c r="H24" s="539"/>
    </row>
    <row r="25" spans="1:8" ht="45" customHeight="1">
      <c r="A25" s="1084"/>
      <c r="B25" s="686" t="s">
        <v>68</v>
      </c>
      <c r="C25" s="202" t="s">
        <v>2545</v>
      </c>
      <c r="D25" s="202" t="s">
        <v>17</v>
      </c>
      <c r="E25" s="201"/>
      <c r="F25" s="202" t="s">
        <v>2358</v>
      </c>
      <c r="G25" s="261" t="s">
        <v>57</v>
      </c>
      <c r="H25" s="687" t="s">
        <v>3210</v>
      </c>
    </row>
    <row r="26" spans="1:8" ht="45" customHeight="1">
      <c r="A26" s="1084"/>
      <c r="B26" s="686" t="s">
        <v>1165</v>
      </c>
      <c r="C26" s="202" t="s">
        <v>2550</v>
      </c>
      <c r="D26" s="202" t="s">
        <v>17</v>
      </c>
      <c r="E26" s="201"/>
      <c r="F26" s="202" t="s">
        <v>2358</v>
      </c>
      <c r="G26" s="261" t="s">
        <v>2551</v>
      </c>
      <c r="H26" s="687" t="s">
        <v>3210</v>
      </c>
    </row>
    <row r="27" spans="1:8" ht="45" customHeight="1">
      <c r="A27" s="1084"/>
      <c r="B27" s="686" t="s">
        <v>69</v>
      </c>
      <c r="C27" s="202" t="s">
        <v>2596</v>
      </c>
      <c r="D27" s="202" t="s">
        <v>17</v>
      </c>
      <c r="E27" s="201"/>
      <c r="F27" s="202" t="s">
        <v>2358</v>
      </c>
      <c r="G27" s="261" t="s">
        <v>2597</v>
      </c>
      <c r="H27" s="539"/>
    </row>
    <row r="28" spans="1:8" ht="45" customHeight="1">
      <c r="A28" s="1084"/>
      <c r="B28" s="686" t="s">
        <v>70</v>
      </c>
      <c r="C28" s="202" t="s">
        <v>2598</v>
      </c>
      <c r="D28" s="202" t="s">
        <v>17</v>
      </c>
      <c r="E28" s="201"/>
      <c r="F28" s="202" t="s">
        <v>2358</v>
      </c>
      <c r="G28" s="261" t="s">
        <v>2599</v>
      </c>
      <c r="H28" s="539"/>
    </row>
    <row r="29" spans="1:8" ht="45" customHeight="1">
      <c r="A29" s="1084"/>
      <c r="B29" s="686" t="s">
        <v>71</v>
      </c>
      <c r="C29" s="202" t="s">
        <v>2600</v>
      </c>
      <c r="D29" s="202" t="s">
        <v>2601</v>
      </c>
      <c r="E29" s="202" t="s">
        <v>2529</v>
      </c>
      <c r="F29" s="202" t="s">
        <v>2358</v>
      </c>
      <c r="G29" s="261" t="s">
        <v>2600</v>
      </c>
      <c r="H29" s="687" t="s">
        <v>3210</v>
      </c>
    </row>
    <row r="30" spans="1:8" ht="45" customHeight="1">
      <c r="A30" s="1084"/>
      <c r="B30" s="686" t="s">
        <v>72</v>
      </c>
      <c r="C30" s="202" t="s">
        <v>2558</v>
      </c>
      <c r="D30" s="202" t="s">
        <v>2601</v>
      </c>
      <c r="E30" s="202"/>
      <c r="F30" s="202" t="s">
        <v>2358</v>
      </c>
      <c r="G30" s="261" t="s">
        <v>2560</v>
      </c>
      <c r="H30" s="539"/>
    </row>
    <row r="31" spans="1:8" ht="45" customHeight="1">
      <c r="A31" s="1084"/>
      <c r="B31" s="686" t="s">
        <v>1317</v>
      </c>
      <c r="C31" s="202" t="s">
        <v>2559</v>
      </c>
      <c r="D31" s="202" t="s">
        <v>2601</v>
      </c>
      <c r="E31" s="202"/>
      <c r="F31" s="202" t="s">
        <v>2358</v>
      </c>
      <c r="G31" s="261" t="s">
        <v>2561</v>
      </c>
      <c r="H31" s="541"/>
    </row>
    <row r="32" spans="1:8" ht="45" customHeight="1">
      <c r="A32" s="1084"/>
      <c r="B32" s="686" t="s">
        <v>1318</v>
      </c>
      <c r="C32" s="202" t="s">
        <v>3218</v>
      </c>
      <c r="D32" s="202" t="s">
        <v>17</v>
      </c>
      <c r="E32" s="201" t="s">
        <v>2602</v>
      </c>
      <c r="F32" s="202" t="s">
        <v>2541</v>
      </c>
      <c r="G32" s="261" t="s">
        <v>2380</v>
      </c>
      <c r="H32" s="687" t="s">
        <v>3210</v>
      </c>
    </row>
    <row r="33" spans="1:8" ht="45" customHeight="1">
      <c r="A33" s="1084"/>
      <c r="B33" s="686" t="s">
        <v>1319</v>
      </c>
      <c r="C33" s="202" t="s">
        <v>2530</v>
      </c>
      <c r="D33" s="264" t="s">
        <v>17</v>
      </c>
      <c r="E33" s="201" t="s">
        <v>2378</v>
      </c>
      <c r="F33" s="264" t="s">
        <v>307</v>
      </c>
      <c r="G33" s="261" t="s">
        <v>58</v>
      </c>
      <c r="H33" s="687" t="s">
        <v>3210</v>
      </c>
    </row>
    <row r="34" spans="1:8" ht="45" customHeight="1">
      <c r="A34" s="1084"/>
      <c r="B34" s="686" t="s">
        <v>1320</v>
      </c>
      <c r="C34" s="202" t="s">
        <v>3219</v>
      </c>
      <c r="D34" s="264" t="s">
        <v>17</v>
      </c>
      <c r="E34" s="201" t="s">
        <v>2378</v>
      </c>
      <c r="F34" s="264" t="s">
        <v>2358</v>
      </c>
      <c r="G34" s="261" t="s">
        <v>2604</v>
      </c>
      <c r="H34" s="687" t="s">
        <v>3210</v>
      </c>
    </row>
    <row r="35" spans="1:8" ht="45" customHeight="1">
      <c r="A35" s="1084"/>
      <c r="B35" s="686" t="s">
        <v>1321</v>
      </c>
      <c r="C35" s="202" t="s">
        <v>2605</v>
      </c>
      <c r="D35" s="284" t="s">
        <v>17</v>
      </c>
      <c r="E35" s="285"/>
      <c r="F35" s="286" t="s">
        <v>307</v>
      </c>
      <c r="G35" s="287" t="s">
        <v>2606</v>
      </c>
      <c r="H35" s="542"/>
    </row>
    <row r="36" spans="1:8" ht="45" customHeight="1">
      <c r="A36" s="1084"/>
      <c r="B36" s="686" t="s">
        <v>1322</v>
      </c>
      <c r="C36" s="202" t="s">
        <v>2381</v>
      </c>
      <c r="D36" s="286" t="s">
        <v>17</v>
      </c>
      <c r="E36" s="286"/>
      <c r="F36" s="286" t="s">
        <v>307</v>
      </c>
      <c r="G36" s="287" t="s">
        <v>60</v>
      </c>
      <c r="H36" s="542"/>
    </row>
    <row r="37" spans="1:8" ht="45" customHeight="1">
      <c r="A37" s="1084"/>
      <c r="B37" s="686" t="s">
        <v>1323</v>
      </c>
      <c r="C37" s="203" t="s">
        <v>3165</v>
      </c>
      <c r="D37" s="203" t="s">
        <v>17</v>
      </c>
      <c r="E37" s="203"/>
      <c r="F37" s="203" t="s">
        <v>2358</v>
      </c>
      <c r="G37" s="261" t="s">
        <v>3167</v>
      </c>
      <c r="H37" s="539"/>
    </row>
    <row r="38" spans="1:8" ht="45" customHeight="1">
      <c r="A38" s="1084"/>
      <c r="B38" s="686" t="s">
        <v>1324</v>
      </c>
      <c r="C38" s="203" t="s">
        <v>3168</v>
      </c>
      <c r="D38" s="203" t="s">
        <v>17</v>
      </c>
      <c r="E38" s="203"/>
      <c r="F38" s="203" t="s">
        <v>2358</v>
      </c>
      <c r="G38" s="261" t="s">
        <v>3169</v>
      </c>
      <c r="H38" s="539"/>
    </row>
    <row r="39" spans="1:8" ht="45" customHeight="1">
      <c r="A39" s="1084"/>
      <c r="B39" s="686" t="s">
        <v>1325</v>
      </c>
      <c r="C39" s="203" t="s">
        <v>3170</v>
      </c>
      <c r="D39" s="688" t="s">
        <v>17</v>
      </c>
      <c r="E39" s="688"/>
      <c r="F39" s="203" t="s">
        <v>2358</v>
      </c>
      <c r="G39" s="261" t="s">
        <v>3172</v>
      </c>
      <c r="H39" s="539"/>
    </row>
    <row r="40" spans="1:8" ht="45" customHeight="1">
      <c r="A40" s="1084"/>
      <c r="B40" s="686" t="s">
        <v>1326</v>
      </c>
      <c r="C40" s="203" t="s">
        <v>3171</v>
      </c>
      <c r="D40" s="688" t="s">
        <v>17</v>
      </c>
      <c r="E40" s="688"/>
      <c r="F40" s="203" t="s">
        <v>2358</v>
      </c>
      <c r="G40" s="261" t="s">
        <v>3173</v>
      </c>
      <c r="H40" s="539"/>
    </row>
    <row r="41" spans="1:8" ht="45" customHeight="1">
      <c r="A41" s="1084"/>
      <c r="B41" s="686" t="s">
        <v>2027</v>
      </c>
      <c r="C41" s="260" t="s">
        <v>3194</v>
      </c>
      <c r="D41" s="202" t="s">
        <v>17</v>
      </c>
      <c r="E41" s="202"/>
      <c r="F41" s="203" t="s">
        <v>2541</v>
      </c>
      <c r="G41" s="261" t="s">
        <v>3193</v>
      </c>
      <c r="H41" s="539"/>
    </row>
    <row r="42" spans="1:8" ht="91">
      <c r="A42" s="1084"/>
      <c r="B42" s="686" t="s">
        <v>2029</v>
      </c>
      <c r="C42" s="201" t="s">
        <v>3163</v>
      </c>
      <c r="D42" s="260" t="s">
        <v>17</v>
      </c>
      <c r="E42" s="202"/>
      <c r="F42" s="203" t="s">
        <v>2541</v>
      </c>
      <c r="G42" s="261" t="s">
        <v>3164</v>
      </c>
      <c r="H42" s="687" t="s">
        <v>3216</v>
      </c>
    </row>
    <row r="43" spans="1:8" ht="45" customHeight="1">
      <c r="A43" s="1085"/>
      <c r="B43" s="686" t="s">
        <v>2275</v>
      </c>
      <c r="C43" s="260" t="s">
        <v>62</v>
      </c>
      <c r="D43" s="260" t="s">
        <v>18</v>
      </c>
      <c r="E43" s="260"/>
      <c r="F43" s="260" t="s">
        <v>2358</v>
      </c>
      <c r="G43" s="261"/>
      <c r="H43" s="539"/>
    </row>
    <row r="44" spans="1:8" ht="87.65" customHeight="1">
      <c r="A44" s="1086" t="s">
        <v>2042</v>
      </c>
      <c r="B44" s="689" t="s">
        <v>2383</v>
      </c>
      <c r="C44" s="204" t="s">
        <v>2552</v>
      </c>
      <c r="D44" s="204" t="s">
        <v>17</v>
      </c>
      <c r="E44" s="204"/>
      <c r="F44" s="204" t="s">
        <v>2358</v>
      </c>
      <c r="G44" s="288" t="s">
        <v>1316</v>
      </c>
      <c r="H44" s="690" t="s">
        <v>3205</v>
      </c>
    </row>
    <row r="45" spans="1:8" ht="39">
      <c r="A45" s="1087"/>
      <c r="B45" s="689" t="s">
        <v>2385</v>
      </c>
      <c r="C45" s="204" t="s">
        <v>2553</v>
      </c>
      <c r="D45" s="204" t="s">
        <v>17</v>
      </c>
      <c r="E45" s="204"/>
      <c r="F45" s="204" t="s">
        <v>2358</v>
      </c>
      <c r="G45" s="288" t="s">
        <v>2554</v>
      </c>
      <c r="H45" s="690" t="s">
        <v>3205</v>
      </c>
    </row>
    <row r="46" spans="1:8" ht="26">
      <c r="A46" s="1087"/>
      <c r="B46" s="689" t="s">
        <v>2386</v>
      </c>
      <c r="C46" s="204" t="s">
        <v>2607</v>
      </c>
      <c r="D46" s="204" t="s">
        <v>18</v>
      </c>
      <c r="E46" s="204"/>
      <c r="F46" s="204" t="s">
        <v>2358</v>
      </c>
      <c r="G46" s="288" t="s">
        <v>2607</v>
      </c>
      <c r="H46" s="539"/>
    </row>
    <row r="47" spans="1:8" ht="45" customHeight="1">
      <c r="A47" s="1087"/>
      <c r="B47" s="689" t="s">
        <v>2387</v>
      </c>
      <c r="C47" s="204" t="s">
        <v>2608</v>
      </c>
      <c r="D47" s="204" t="s">
        <v>17</v>
      </c>
      <c r="E47" s="204"/>
      <c r="F47" s="204" t="s">
        <v>2358</v>
      </c>
      <c r="G47" s="288" t="s">
        <v>2384</v>
      </c>
      <c r="H47" s="539"/>
    </row>
    <row r="48" spans="1:8" ht="52">
      <c r="A48" s="1087"/>
      <c r="B48" s="689" t="s">
        <v>2388</v>
      </c>
      <c r="C48" s="204" t="s">
        <v>2609</v>
      </c>
      <c r="D48" s="204" t="s">
        <v>17</v>
      </c>
      <c r="E48" s="204"/>
      <c r="F48" s="204" t="s">
        <v>2358</v>
      </c>
      <c r="G48" s="288" t="s">
        <v>2610</v>
      </c>
      <c r="H48" s="539"/>
    </row>
    <row r="49" spans="1:8" ht="26">
      <c r="A49" s="1087"/>
      <c r="B49" s="689" t="s">
        <v>2389</v>
      </c>
      <c r="C49" s="204" t="s">
        <v>2611</v>
      </c>
      <c r="D49" s="204" t="s">
        <v>17</v>
      </c>
      <c r="E49" s="204"/>
      <c r="F49" s="204" t="s">
        <v>2358</v>
      </c>
      <c r="G49" s="288" t="s">
        <v>2612</v>
      </c>
      <c r="H49" s="539" t="s">
        <v>2382</v>
      </c>
    </row>
    <row r="50" spans="1:8" ht="26">
      <c r="A50" s="1087"/>
      <c r="B50" s="689" t="s">
        <v>2390</v>
      </c>
      <c r="C50" s="289" t="s">
        <v>2505</v>
      </c>
      <c r="D50" s="289" t="s">
        <v>2601</v>
      </c>
      <c r="E50" s="289"/>
      <c r="F50" s="289" t="s">
        <v>307</v>
      </c>
      <c r="G50" s="288" t="s">
        <v>2613</v>
      </c>
      <c r="H50" s="539" t="s">
        <v>2382</v>
      </c>
    </row>
    <row r="51" spans="1:8" ht="45" customHeight="1">
      <c r="A51" s="1087"/>
      <c r="B51" s="689" t="s">
        <v>2392</v>
      </c>
      <c r="C51" s="204" t="s">
        <v>2614</v>
      </c>
      <c r="D51" s="204" t="s">
        <v>17</v>
      </c>
      <c r="E51" s="204"/>
      <c r="F51" s="204" t="s">
        <v>307</v>
      </c>
      <c r="G51" s="288" t="s">
        <v>2615</v>
      </c>
      <c r="H51" s="539"/>
    </row>
    <row r="52" spans="1:8" ht="45" customHeight="1">
      <c r="A52" s="1087"/>
      <c r="B52" s="689" t="s">
        <v>2394</v>
      </c>
      <c r="C52" s="290" t="s">
        <v>2424</v>
      </c>
      <c r="D52" s="204" t="s">
        <v>2512</v>
      </c>
      <c r="E52" s="291"/>
      <c r="F52" s="291" t="s">
        <v>2358</v>
      </c>
      <c r="G52" s="288" t="s">
        <v>2391</v>
      </c>
      <c r="H52" s="539"/>
    </row>
    <row r="53" spans="1:8" ht="51.75" customHeight="1">
      <c r="A53" s="1087"/>
      <c r="B53" s="689" t="s">
        <v>2395</v>
      </c>
      <c r="C53" s="292" t="s">
        <v>2425</v>
      </c>
      <c r="D53" s="204" t="s">
        <v>2508</v>
      </c>
      <c r="E53" s="293"/>
      <c r="F53" s="293" t="s">
        <v>2358</v>
      </c>
      <c r="G53" s="288" t="s">
        <v>2393</v>
      </c>
      <c r="H53" s="539"/>
    </row>
    <row r="54" spans="1:8" ht="45" customHeight="1">
      <c r="A54" s="1087"/>
      <c r="B54" s="689" t="s">
        <v>2396</v>
      </c>
      <c r="C54" s="293" t="s">
        <v>3206</v>
      </c>
      <c r="D54" s="293" t="s">
        <v>17</v>
      </c>
      <c r="E54" s="293"/>
      <c r="F54" s="293" t="s">
        <v>2358</v>
      </c>
      <c r="G54" s="288" t="s">
        <v>1315</v>
      </c>
      <c r="H54" s="690" t="s">
        <v>3205</v>
      </c>
    </row>
    <row r="55" spans="1:8" ht="45" customHeight="1">
      <c r="A55" s="1087"/>
      <c r="B55" s="689" t="s">
        <v>2397</v>
      </c>
      <c r="C55" s="293" t="s">
        <v>3207</v>
      </c>
      <c r="D55" s="293" t="s">
        <v>17</v>
      </c>
      <c r="E55" s="293"/>
      <c r="F55" s="293" t="s">
        <v>2358</v>
      </c>
      <c r="G55" s="288" t="s">
        <v>1315</v>
      </c>
      <c r="H55" s="690" t="s">
        <v>3205</v>
      </c>
    </row>
    <row r="56" spans="1:8" ht="65">
      <c r="A56" s="1087"/>
      <c r="B56" s="689" t="s">
        <v>2398</v>
      </c>
      <c r="C56" s="293" t="s">
        <v>3220</v>
      </c>
      <c r="D56" s="293" t="s">
        <v>17</v>
      </c>
      <c r="E56" s="293"/>
      <c r="F56" s="293" t="s">
        <v>2541</v>
      </c>
      <c r="G56" s="288" t="s">
        <v>3221</v>
      </c>
      <c r="H56" s="690" t="s">
        <v>3211</v>
      </c>
    </row>
    <row r="57" spans="1:8" ht="65">
      <c r="A57" s="1087"/>
      <c r="B57" s="689" t="s">
        <v>2400</v>
      </c>
      <c r="C57" s="293" t="s">
        <v>3222</v>
      </c>
      <c r="D57" s="293" t="s">
        <v>17</v>
      </c>
      <c r="E57" s="293"/>
      <c r="F57" s="293" t="s">
        <v>2541</v>
      </c>
      <c r="G57" s="288" t="s">
        <v>3223</v>
      </c>
      <c r="H57" s="690" t="s">
        <v>3211</v>
      </c>
    </row>
    <row r="58" spans="1:8" ht="52">
      <c r="A58" s="1087"/>
      <c r="B58" s="689" t="s">
        <v>2402</v>
      </c>
      <c r="C58" s="656" t="s">
        <v>3204</v>
      </c>
      <c r="D58" s="293" t="s">
        <v>17</v>
      </c>
      <c r="E58" s="293"/>
      <c r="F58" s="293"/>
      <c r="G58" s="288" t="s">
        <v>3066</v>
      </c>
      <c r="H58" s="690" t="s">
        <v>3205</v>
      </c>
    </row>
    <row r="59" spans="1:8" ht="45" customHeight="1">
      <c r="A59" s="1088"/>
      <c r="B59" s="689" t="s">
        <v>2404</v>
      </c>
      <c r="C59" s="293" t="s">
        <v>67</v>
      </c>
      <c r="D59" s="293" t="s">
        <v>18</v>
      </c>
      <c r="E59" s="293"/>
      <c r="F59" s="293" t="s">
        <v>2358</v>
      </c>
      <c r="G59" s="288"/>
      <c r="H59" s="539"/>
    </row>
    <row r="60" spans="1:8" ht="45" customHeight="1">
      <c r="A60" s="1089" t="s">
        <v>2043</v>
      </c>
      <c r="B60" s="691" t="s">
        <v>2407</v>
      </c>
      <c r="C60" s="294" t="s">
        <v>2531</v>
      </c>
      <c r="D60" s="294" t="s">
        <v>17</v>
      </c>
      <c r="E60" s="294"/>
      <c r="F60" s="294" t="s">
        <v>2616</v>
      </c>
      <c r="G60" s="295" t="s">
        <v>2399</v>
      </c>
      <c r="H60" s="539"/>
    </row>
    <row r="61" spans="1:8" ht="45" customHeight="1">
      <c r="A61" s="1090"/>
      <c r="B61" s="691" t="s">
        <v>2410</v>
      </c>
      <c r="C61" s="294" t="s">
        <v>2562</v>
      </c>
      <c r="D61" s="294" t="s">
        <v>17</v>
      </c>
      <c r="E61" s="294"/>
      <c r="F61" s="294" t="s">
        <v>2616</v>
      </c>
      <c r="G61" s="295" t="s">
        <v>2563</v>
      </c>
      <c r="H61" s="539"/>
    </row>
    <row r="62" spans="1:8" ht="45" customHeight="1">
      <c r="A62" s="1090"/>
      <c r="B62" s="691" t="s">
        <v>2412</v>
      </c>
      <c r="C62" s="296" t="s">
        <v>2532</v>
      </c>
      <c r="D62" s="296" t="s">
        <v>17</v>
      </c>
      <c r="E62" s="296"/>
      <c r="F62" s="296" t="s">
        <v>307</v>
      </c>
      <c r="G62" s="295" t="s">
        <v>2403</v>
      </c>
      <c r="H62" s="539"/>
    </row>
    <row r="63" spans="1:8" ht="45" customHeight="1">
      <c r="A63" s="1090"/>
      <c r="B63" s="691" t="s">
        <v>2413</v>
      </c>
      <c r="C63" s="296" t="s">
        <v>2533</v>
      </c>
      <c r="D63" s="296" t="s">
        <v>17</v>
      </c>
      <c r="E63" s="296"/>
      <c r="F63" s="294" t="s">
        <v>2616</v>
      </c>
      <c r="G63" s="295" t="s">
        <v>2401</v>
      </c>
      <c r="H63" s="539"/>
    </row>
    <row r="64" spans="1:8" ht="45" customHeight="1">
      <c r="A64" s="1090"/>
      <c r="B64" s="691" t="s">
        <v>2414</v>
      </c>
      <c r="C64" s="296" t="s">
        <v>2564</v>
      </c>
      <c r="D64" s="296" t="s">
        <v>17</v>
      </c>
      <c r="E64" s="296"/>
      <c r="F64" s="294" t="s">
        <v>2616</v>
      </c>
      <c r="G64" s="295" t="s">
        <v>2565</v>
      </c>
      <c r="H64" s="539"/>
    </row>
    <row r="65" spans="1:8" ht="39">
      <c r="A65" s="1090"/>
      <c r="B65" s="691" t="s">
        <v>2415</v>
      </c>
      <c r="C65" s="296" t="s">
        <v>2405</v>
      </c>
      <c r="D65" s="296" t="s">
        <v>17</v>
      </c>
      <c r="E65" s="296"/>
      <c r="F65" s="296" t="s">
        <v>2358</v>
      </c>
      <c r="G65" s="297" t="s">
        <v>2406</v>
      </c>
      <c r="H65" s="692" t="s">
        <v>3212</v>
      </c>
    </row>
    <row r="66" spans="1:8" ht="39">
      <c r="A66" s="1090"/>
      <c r="B66" s="691" t="s">
        <v>2555</v>
      </c>
      <c r="C66" s="296" t="s">
        <v>2408</v>
      </c>
      <c r="D66" s="296" t="s">
        <v>17</v>
      </c>
      <c r="E66" s="296"/>
      <c r="F66" s="296" t="s">
        <v>2358</v>
      </c>
      <c r="G66" s="297" t="s">
        <v>2409</v>
      </c>
      <c r="H66" s="692" t="s">
        <v>3212</v>
      </c>
    </row>
    <row r="67" spans="1:8" ht="45" customHeight="1">
      <c r="A67" s="1090"/>
      <c r="B67" s="691" t="s">
        <v>2556</v>
      </c>
      <c r="C67" s="296" t="s">
        <v>2411</v>
      </c>
      <c r="D67" s="263" t="s">
        <v>17</v>
      </c>
      <c r="E67" s="263"/>
      <c r="F67" s="296" t="s">
        <v>2358</v>
      </c>
      <c r="G67" s="297" t="s">
        <v>2617</v>
      </c>
      <c r="H67" s="692" t="s">
        <v>3212</v>
      </c>
    </row>
    <row r="68" spans="1:8" ht="39">
      <c r="A68" s="1090"/>
      <c r="B68" s="691" t="s">
        <v>2619</v>
      </c>
      <c r="C68" s="296" t="s">
        <v>3224</v>
      </c>
      <c r="D68" s="263" t="s">
        <v>17</v>
      </c>
      <c r="E68" s="263"/>
      <c r="F68" s="296" t="s">
        <v>2358</v>
      </c>
      <c r="G68" s="297" t="s">
        <v>3225</v>
      </c>
      <c r="H68" s="692" t="s">
        <v>3212</v>
      </c>
    </row>
    <row r="69" spans="1:8" ht="45" customHeight="1">
      <c r="A69" s="1090"/>
      <c r="B69" s="691" t="s">
        <v>2622</v>
      </c>
      <c r="C69" s="263" t="s">
        <v>2618</v>
      </c>
      <c r="D69" s="263" t="s">
        <v>2507</v>
      </c>
      <c r="E69" s="263"/>
      <c r="F69" s="263" t="s">
        <v>2541</v>
      </c>
      <c r="G69" s="297"/>
      <c r="H69" s="539"/>
    </row>
    <row r="70" spans="1:8" ht="45" customHeight="1">
      <c r="A70" s="1090"/>
      <c r="B70" s="691" t="s">
        <v>2624</v>
      </c>
      <c r="C70" s="263" t="s">
        <v>2620</v>
      </c>
      <c r="D70" s="263" t="s">
        <v>17</v>
      </c>
      <c r="E70" s="263"/>
      <c r="F70" s="263" t="s">
        <v>2541</v>
      </c>
      <c r="G70" s="297" t="s">
        <v>2621</v>
      </c>
      <c r="H70" s="539"/>
    </row>
    <row r="71" spans="1:8" ht="45" customHeight="1">
      <c r="A71" s="1090"/>
      <c r="B71" s="691" t="s">
        <v>3071</v>
      </c>
      <c r="C71" s="298" t="s">
        <v>2623</v>
      </c>
      <c r="D71" s="298" t="s">
        <v>54</v>
      </c>
      <c r="E71" s="298"/>
      <c r="F71" s="263" t="s">
        <v>307</v>
      </c>
      <c r="G71" s="299" t="s">
        <v>2623</v>
      </c>
      <c r="H71" s="542"/>
    </row>
    <row r="72" spans="1:8" ht="45" customHeight="1">
      <c r="A72" s="1091"/>
      <c r="B72" s="691" t="s">
        <v>3072</v>
      </c>
      <c r="C72" s="298" t="s">
        <v>74</v>
      </c>
      <c r="D72" s="298" t="s">
        <v>18</v>
      </c>
      <c r="E72" s="298"/>
      <c r="F72" s="298" t="s">
        <v>2358</v>
      </c>
      <c r="G72" s="299"/>
      <c r="H72" s="542"/>
    </row>
    <row r="73" spans="1:8" ht="45" customHeight="1">
      <c r="A73" s="1092" t="s">
        <v>3121</v>
      </c>
      <c r="B73" s="693" t="s">
        <v>3073</v>
      </c>
      <c r="C73" s="566" t="s">
        <v>3067</v>
      </c>
      <c r="D73" s="566" t="s">
        <v>54</v>
      </c>
      <c r="F73" s="566" t="s">
        <v>2358</v>
      </c>
      <c r="G73" s="567"/>
    </row>
    <row r="74" spans="1:8" ht="45" customHeight="1">
      <c r="A74" s="1093"/>
      <c r="B74" s="693" t="s">
        <v>3074</v>
      </c>
      <c r="C74" s="566" t="s">
        <v>3068</v>
      </c>
      <c r="D74" s="566" t="s">
        <v>54</v>
      </c>
      <c r="F74" s="566" t="s">
        <v>2358</v>
      </c>
      <c r="G74" s="567"/>
    </row>
    <row r="75" spans="1:8" ht="45" customHeight="1">
      <c r="A75" s="1093"/>
      <c r="B75" s="693" t="s">
        <v>3075</v>
      </c>
      <c r="C75" s="566" t="s">
        <v>3069</v>
      </c>
      <c r="D75" s="566" t="s">
        <v>17</v>
      </c>
      <c r="F75" s="566" t="s">
        <v>2358</v>
      </c>
      <c r="G75" s="567"/>
    </row>
    <row r="76" spans="1:8" ht="45" customHeight="1">
      <c r="A76" s="1094"/>
      <c r="B76" s="693" t="s">
        <v>3177</v>
      </c>
      <c r="C76" s="566" t="s">
        <v>3070</v>
      </c>
      <c r="D76" s="566" t="s">
        <v>54</v>
      </c>
      <c r="F76" s="566" t="s">
        <v>2358</v>
      </c>
      <c r="G76" s="567"/>
    </row>
    <row r="77" spans="1:8" ht="45" customHeight="1">
      <c r="A77" s="1077" t="s">
        <v>3181</v>
      </c>
      <c r="B77" s="653" t="s">
        <v>3178</v>
      </c>
      <c r="C77" s="567" t="s">
        <v>3174</v>
      </c>
      <c r="D77" s="567" t="s">
        <v>17</v>
      </c>
      <c r="E77" s="567" t="s">
        <v>3166</v>
      </c>
      <c r="F77" s="642"/>
      <c r="G77" s="567"/>
      <c r="H77" s="694" t="s">
        <v>3217</v>
      </c>
    </row>
    <row r="78" spans="1:8" ht="45" customHeight="1">
      <c r="A78" s="1078"/>
      <c r="B78" s="653" t="s">
        <v>3179</v>
      </c>
      <c r="C78" s="567" t="s">
        <v>3175</v>
      </c>
      <c r="D78" s="567" t="s">
        <v>17</v>
      </c>
      <c r="E78" s="567" t="s">
        <v>3166</v>
      </c>
      <c r="F78" s="642"/>
      <c r="G78" s="567"/>
      <c r="H78" s="694" t="s">
        <v>3217</v>
      </c>
    </row>
    <row r="79" spans="1:8" ht="45" customHeight="1">
      <c r="A79" s="1078"/>
      <c r="B79" s="653" t="s">
        <v>3226</v>
      </c>
      <c r="C79" s="567" t="s">
        <v>3176</v>
      </c>
      <c r="D79" s="567" t="s">
        <v>17</v>
      </c>
      <c r="E79" s="567" t="s">
        <v>3166</v>
      </c>
      <c r="F79" s="642"/>
      <c r="G79" s="567"/>
      <c r="H79" s="694" t="s">
        <v>3217</v>
      </c>
    </row>
    <row r="80" spans="1:8" ht="45" customHeight="1">
      <c r="C80" s="300" t="s">
        <v>1657</v>
      </c>
    </row>
  </sheetData>
  <autoFilter ref="B2:H72" xr:uid="{00000000-0009-0000-0000-000004000000}"/>
  <mergeCells count="7">
    <mergeCell ref="A77:A79"/>
    <mergeCell ref="B1:G1"/>
    <mergeCell ref="A3:A21"/>
    <mergeCell ref="A22:A43"/>
    <mergeCell ref="A44:A59"/>
    <mergeCell ref="A60:A72"/>
    <mergeCell ref="A73:A76"/>
  </mergeCells>
  <pageMargins left="0.25" right="0.25" top="0" bottom="0" header="0.3" footer="0.3"/>
  <pageSetup scale="60" orientation="portrait" r:id="rId1"/>
  <rowBreaks count="3" manualBreakCount="3">
    <brk id="24" min="1" max="6" man="1"/>
    <brk id="49" min="1" max="6" man="1"/>
    <brk id="72"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1"/>
  <sheetViews>
    <sheetView topLeftCell="A69" zoomScale="110" zoomScaleNormal="110" zoomScaleSheetLayoutView="91" workbookViewId="0">
      <selection activeCell="H81" sqref="H81"/>
    </sheetView>
  </sheetViews>
  <sheetFormatPr defaultColWidth="8" defaultRowHeight="45" customHeight="1"/>
  <cols>
    <col min="1" max="1" width="7.58203125" style="645" bestFit="1" customWidth="1"/>
    <col min="2" max="2" width="6.08203125" style="279" customWidth="1"/>
    <col min="3" max="3" width="46.5" style="306" customWidth="1"/>
    <col min="4" max="4" width="11.58203125" style="301" customWidth="1"/>
    <col min="5" max="5" width="16.58203125" style="301" hidden="1" customWidth="1"/>
    <col min="6" max="6" width="13.1640625" style="301" hidden="1" customWidth="1"/>
    <col min="7" max="7" width="65.1640625" style="305" customWidth="1"/>
    <col min="8" max="8" width="57.1640625" style="199" bestFit="1" customWidth="1"/>
    <col min="9" max="16384" width="8" style="302"/>
  </cols>
  <sheetData>
    <row r="1" spans="1:8" ht="45" customHeight="1">
      <c r="A1" s="643"/>
      <c r="B1" s="1095"/>
      <c r="C1" s="1095"/>
      <c r="D1" s="1095"/>
      <c r="E1" s="1095"/>
      <c r="F1" s="1095"/>
      <c r="G1" s="1095"/>
    </row>
    <row r="2" spans="1:8" s="303" customFormat="1" ht="56.25" customHeight="1">
      <c r="A2" s="644"/>
      <c r="B2" s="280" t="s">
        <v>47</v>
      </c>
      <c r="C2" s="256" t="s">
        <v>2353</v>
      </c>
      <c r="D2" s="281" t="s">
        <v>2354</v>
      </c>
      <c r="E2" s="281" t="s">
        <v>2355</v>
      </c>
      <c r="F2" s="281" t="s">
        <v>2356</v>
      </c>
      <c r="G2" s="281" t="s">
        <v>48</v>
      </c>
      <c r="H2" s="200" t="s">
        <v>3195</v>
      </c>
    </row>
    <row r="3" spans="1:8" ht="21">
      <c r="A3" s="1080" t="s">
        <v>3180</v>
      </c>
      <c r="B3" s="684" t="s">
        <v>0</v>
      </c>
      <c r="C3" s="255" t="s">
        <v>2457</v>
      </c>
      <c r="D3" s="283" t="s">
        <v>16</v>
      </c>
      <c r="E3" s="283"/>
      <c r="F3" s="283" t="s">
        <v>2358</v>
      </c>
      <c r="G3" s="695" t="s">
        <v>2457</v>
      </c>
      <c r="H3" s="539"/>
    </row>
    <row r="4" spans="1:8" ht="21">
      <c r="A4" s="1081"/>
      <c r="B4" s="684" t="s">
        <v>1</v>
      </c>
      <c r="C4" s="255" t="s">
        <v>2458</v>
      </c>
      <c r="D4" s="283" t="s">
        <v>16</v>
      </c>
      <c r="E4" s="283"/>
      <c r="F4" s="283" t="s">
        <v>2358</v>
      </c>
      <c r="G4" s="695" t="s">
        <v>2569</v>
      </c>
      <c r="H4" s="539"/>
    </row>
    <row r="5" spans="1:8" ht="21">
      <c r="A5" s="1081"/>
      <c r="B5" s="684" t="s">
        <v>2</v>
      </c>
      <c r="C5" s="255" t="s">
        <v>2459</v>
      </c>
      <c r="D5" s="283" t="s">
        <v>16</v>
      </c>
      <c r="E5" s="283"/>
      <c r="F5" s="283" t="s">
        <v>2358</v>
      </c>
      <c r="G5" s="695" t="s">
        <v>2459</v>
      </c>
      <c r="H5" s="539"/>
    </row>
    <row r="6" spans="1:8" ht="21">
      <c r="A6" s="1081"/>
      <c r="B6" s="684" t="s">
        <v>3</v>
      </c>
      <c r="C6" s="255" t="s">
        <v>2460</v>
      </c>
      <c r="D6" s="283" t="s">
        <v>18</v>
      </c>
      <c r="E6" s="283"/>
      <c r="F6" s="283" t="s">
        <v>2358</v>
      </c>
      <c r="G6" s="695" t="s">
        <v>2568</v>
      </c>
      <c r="H6" s="539"/>
    </row>
    <row r="7" spans="1:8" ht="21">
      <c r="A7" s="1081"/>
      <c r="B7" s="684" t="s">
        <v>4</v>
      </c>
      <c r="C7" s="255" t="s">
        <v>2461</v>
      </c>
      <c r="D7" s="283" t="s">
        <v>16</v>
      </c>
      <c r="E7" s="283"/>
      <c r="F7" s="283" t="s">
        <v>2358</v>
      </c>
      <c r="G7" s="695" t="s">
        <v>2461</v>
      </c>
      <c r="H7" s="539"/>
    </row>
    <row r="8" spans="1:8" ht="21">
      <c r="A8" s="1081"/>
      <c r="B8" s="684" t="s">
        <v>1163</v>
      </c>
      <c r="C8" s="255" t="s">
        <v>2462</v>
      </c>
      <c r="D8" s="283" t="s">
        <v>16</v>
      </c>
      <c r="E8" s="283"/>
      <c r="F8" s="283" t="s">
        <v>2358</v>
      </c>
      <c r="G8" s="695" t="s">
        <v>2462</v>
      </c>
      <c r="H8" s="539"/>
    </row>
    <row r="9" spans="1:8" ht="26">
      <c r="A9" s="1081"/>
      <c r="B9" s="684" t="s">
        <v>5</v>
      </c>
      <c r="C9" s="255" t="s">
        <v>2463</v>
      </c>
      <c r="D9" s="283" t="s">
        <v>2543</v>
      </c>
      <c r="E9" s="283"/>
      <c r="F9" s="283" t="s">
        <v>2358</v>
      </c>
      <c r="G9" s="695" t="s">
        <v>2463</v>
      </c>
      <c r="H9" s="539"/>
    </row>
    <row r="10" spans="1:8" ht="21">
      <c r="A10" s="1081"/>
      <c r="B10" s="684" t="s">
        <v>6</v>
      </c>
      <c r="C10" s="255" t="s">
        <v>2464</v>
      </c>
      <c r="D10" s="283" t="s">
        <v>16</v>
      </c>
      <c r="E10" s="283"/>
      <c r="F10" s="283" t="s">
        <v>2358</v>
      </c>
      <c r="G10" s="695" t="s">
        <v>2464</v>
      </c>
      <c r="H10" s="539"/>
    </row>
    <row r="11" spans="1:8" ht="21">
      <c r="A11" s="1081"/>
      <c r="B11" s="684" t="s">
        <v>49</v>
      </c>
      <c r="C11" s="255" t="s">
        <v>2504</v>
      </c>
      <c r="D11" s="283" t="s">
        <v>17</v>
      </c>
      <c r="E11" s="283"/>
      <c r="F11" s="283" t="s">
        <v>2358</v>
      </c>
      <c r="G11" s="695" t="s">
        <v>2570</v>
      </c>
      <c r="H11" s="539"/>
    </row>
    <row r="12" spans="1:8" ht="21">
      <c r="A12" s="1081"/>
      <c r="B12" s="684" t="s">
        <v>50</v>
      </c>
      <c r="C12" s="255" t="s">
        <v>2503</v>
      </c>
      <c r="D12" s="283" t="s">
        <v>17</v>
      </c>
      <c r="E12" s="283"/>
      <c r="F12" s="283" t="s">
        <v>2358</v>
      </c>
      <c r="G12" s="695" t="s">
        <v>2571</v>
      </c>
      <c r="H12" s="539"/>
    </row>
    <row r="13" spans="1:8" ht="21">
      <c r="A13" s="1081"/>
      <c r="B13" s="684" t="s">
        <v>53</v>
      </c>
      <c r="C13" s="255" t="s">
        <v>2465</v>
      </c>
      <c r="D13" s="283" t="s">
        <v>19</v>
      </c>
      <c r="E13" s="283"/>
      <c r="F13" s="283" t="s">
        <v>2358</v>
      </c>
      <c r="G13" s="695" t="s">
        <v>2465</v>
      </c>
      <c r="H13" s="539"/>
    </row>
    <row r="14" spans="1:8" ht="21">
      <c r="A14" s="1081"/>
      <c r="B14" s="684" t="s">
        <v>55</v>
      </c>
      <c r="C14" s="255" t="s">
        <v>2466</v>
      </c>
      <c r="D14" s="283" t="s">
        <v>19</v>
      </c>
      <c r="E14" s="283"/>
      <c r="F14" s="283" t="s">
        <v>2358</v>
      </c>
      <c r="G14" s="695" t="s">
        <v>2466</v>
      </c>
      <c r="H14" s="539"/>
    </row>
    <row r="15" spans="1:8" ht="39">
      <c r="A15" s="1081"/>
      <c r="B15" s="684" t="s">
        <v>56</v>
      </c>
      <c r="C15" s="255" t="s">
        <v>2625</v>
      </c>
      <c r="D15" s="283" t="s">
        <v>17</v>
      </c>
      <c r="E15" s="283"/>
      <c r="F15" s="283" t="s">
        <v>2541</v>
      </c>
      <c r="G15" s="695" t="s">
        <v>2625</v>
      </c>
      <c r="H15" s="539"/>
    </row>
    <row r="16" spans="1:8" ht="39">
      <c r="A16" s="1081"/>
      <c r="B16" s="684" t="s">
        <v>118</v>
      </c>
      <c r="C16" s="255" t="s">
        <v>2031</v>
      </c>
      <c r="D16" s="283" t="s">
        <v>17</v>
      </c>
      <c r="E16" s="283"/>
      <c r="F16" s="283" t="s">
        <v>307</v>
      </c>
      <c r="G16" s="695" t="s">
        <v>2467</v>
      </c>
      <c r="H16" s="539"/>
    </row>
    <row r="17" spans="1:8" ht="39">
      <c r="A17" s="1081"/>
      <c r="B17" s="684" t="s">
        <v>119</v>
      </c>
      <c r="C17" s="255" t="s">
        <v>2468</v>
      </c>
      <c r="D17" s="283" t="s">
        <v>17</v>
      </c>
      <c r="E17" s="283"/>
      <c r="F17" s="283" t="s">
        <v>307</v>
      </c>
      <c r="G17" s="695" t="s">
        <v>2469</v>
      </c>
      <c r="H17" s="539"/>
    </row>
    <row r="18" spans="1:8" ht="39">
      <c r="A18" s="1081"/>
      <c r="B18" s="684" t="s">
        <v>61</v>
      </c>
      <c r="C18" s="255" t="s">
        <v>2470</v>
      </c>
      <c r="D18" s="283" t="s">
        <v>17</v>
      </c>
      <c r="E18" s="283" t="s">
        <v>2592</v>
      </c>
      <c r="F18" s="283" t="s">
        <v>2358</v>
      </c>
      <c r="G18" s="695" t="s">
        <v>2471</v>
      </c>
      <c r="H18" s="539"/>
    </row>
    <row r="19" spans="1:8" ht="39">
      <c r="A19" s="1081"/>
      <c r="B19" s="684" t="s">
        <v>59</v>
      </c>
      <c r="C19" s="255" t="s">
        <v>2472</v>
      </c>
      <c r="D19" s="283" t="s">
        <v>2375</v>
      </c>
      <c r="E19" s="283"/>
      <c r="F19" s="283" t="s">
        <v>2358</v>
      </c>
      <c r="G19" s="695" t="s">
        <v>2572</v>
      </c>
      <c r="H19" s="539"/>
    </row>
    <row r="20" spans="1:8" ht="21">
      <c r="A20" s="1081"/>
      <c r="B20" s="684" t="s">
        <v>63</v>
      </c>
      <c r="C20" s="255" t="s">
        <v>2473</v>
      </c>
      <c r="D20" s="283" t="s">
        <v>17</v>
      </c>
      <c r="E20" s="283"/>
      <c r="F20" s="283" t="s">
        <v>2358</v>
      </c>
      <c r="G20" s="695" t="s">
        <v>2574</v>
      </c>
      <c r="H20" s="539"/>
    </row>
    <row r="21" spans="1:8" ht="21">
      <c r="A21" s="1082"/>
      <c r="B21" s="684" t="s">
        <v>1164</v>
      </c>
      <c r="C21" s="255" t="s">
        <v>2474</v>
      </c>
      <c r="D21" s="283" t="s">
        <v>17</v>
      </c>
      <c r="E21" s="283"/>
      <c r="F21" s="283" t="s">
        <v>2358</v>
      </c>
      <c r="G21" s="695" t="s">
        <v>2573</v>
      </c>
      <c r="H21" s="539"/>
    </row>
    <row r="22" spans="1:8" ht="39">
      <c r="A22" s="1083" t="s">
        <v>2041</v>
      </c>
      <c r="B22" s="686" t="s">
        <v>64</v>
      </c>
      <c r="C22" s="246" t="s">
        <v>2546</v>
      </c>
      <c r="D22" s="201" t="s">
        <v>17</v>
      </c>
      <c r="E22" s="201"/>
      <c r="F22" s="201" t="s">
        <v>2358</v>
      </c>
      <c r="G22" s="244" t="s">
        <v>2575</v>
      </c>
      <c r="H22" s="540" t="s">
        <v>3210</v>
      </c>
    </row>
    <row r="23" spans="1:8" ht="39">
      <c r="A23" s="1084"/>
      <c r="B23" s="686" t="s">
        <v>65</v>
      </c>
      <c r="C23" s="246" t="s">
        <v>2513</v>
      </c>
      <c r="D23" s="201" t="s">
        <v>17</v>
      </c>
      <c r="E23" s="201"/>
      <c r="F23" s="201" t="s">
        <v>2358</v>
      </c>
      <c r="G23" s="244" t="s">
        <v>2513</v>
      </c>
      <c r="H23" s="539"/>
    </row>
    <row r="24" spans="1:8" ht="39">
      <c r="A24" s="1084"/>
      <c r="B24" s="686" t="s">
        <v>66</v>
      </c>
      <c r="C24" s="246" t="s">
        <v>2514</v>
      </c>
      <c r="D24" s="201" t="s">
        <v>17</v>
      </c>
      <c r="E24" s="201"/>
      <c r="F24" s="201" t="s">
        <v>2358</v>
      </c>
      <c r="G24" s="247" t="s">
        <v>2515</v>
      </c>
      <c r="H24" s="539"/>
    </row>
    <row r="25" spans="1:8" ht="58.5">
      <c r="A25" s="1084"/>
      <c r="B25" s="686" t="s">
        <v>68</v>
      </c>
      <c r="C25" s="248" t="s">
        <v>2626</v>
      </c>
      <c r="D25" s="202" t="s">
        <v>17</v>
      </c>
      <c r="E25" s="201"/>
      <c r="F25" s="202" t="s">
        <v>2358</v>
      </c>
      <c r="G25" s="245" t="s">
        <v>2547</v>
      </c>
      <c r="H25" s="540" t="s">
        <v>3210</v>
      </c>
    </row>
    <row r="26" spans="1:8" ht="54">
      <c r="A26" s="1084"/>
      <c r="B26" s="686" t="s">
        <v>1165</v>
      </c>
      <c r="C26" s="246" t="s">
        <v>2548</v>
      </c>
      <c r="D26" s="202" t="s">
        <v>17</v>
      </c>
      <c r="E26" s="201"/>
      <c r="F26" s="202" t="s">
        <v>2358</v>
      </c>
      <c r="G26" s="247" t="s">
        <v>2497</v>
      </c>
      <c r="H26" s="540" t="s">
        <v>3210</v>
      </c>
    </row>
    <row r="27" spans="1:8" ht="90">
      <c r="A27" s="1084"/>
      <c r="B27" s="686" t="s">
        <v>69</v>
      </c>
      <c r="C27" s="248" t="s">
        <v>2627</v>
      </c>
      <c r="D27" s="202" t="s">
        <v>17</v>
      </c>
      <c r="E27" s="201"/>
      <c r="F27" s="202" t="s">
        <v>2358</v>
      </c>
      <c r="G27" s="248" t="s">
        <v>2627</v>
      </c>
      <c r="H27" s="539"/>
    </row>
    <row r="28" spans="1:8" ht="90">
      <c r="A28" s="1084"/>
      <c r="B28" s="686" t="s">
        <v>70</v>
      </c>
      <c r="C28" s="246" t="s">
        <v>2628</v>
      </c>
      <c r="D28" s="202" t="s">
        <v>17</v>
      </c>
      <c r="E28" s="201"/>
      <c r="F28" s="202" t="s">
        <v>2358</v>
      </c>
      <c r="G28" s="246" t="s">
        <v>2628</v>
      </c>
      <c r="H28" s="539"/>
    </row>
    <row r="29" spans="1:8" ht="39">
      <c r="A29" s="1084"/>
      <c r="B29" s="686" t="s">
        <v>71</v>
      </c>
      <c r="C29" s="248" t="s">
        <v>2576</v>
      </c>
      <c r="D29" s="202" t="s">
        <v>2601</v>
      </c>
      <c r="E29" s="202" t="s">
        <v>2529</v>
      </c>
      <c r="F29" s="202" t="s">
        <v>2358</v>
      </c>
      <c r="G29" s="245" t="s">
        <v>2498</v>
      </c>
      <c r="H29" s="540" t="s">
        <v>3210</v>
      </c>
    </row>
    <row r="30" spans="1:8" ht="54">
      <c r="A30" s="1084"/>
      <c r="B30" s="686" t="s">
        <v>72</v>
      </c>
      <c r="C30" s="248" t="s">
        <v>2581</v>
      </c>
      <c r="D30" s="202" t="s">
        <v>2601</v>
      </c>
      <c r="E30" s="202"/>
      <c r="F30" s="202" t="s">
        <v>2358</v>
      </c>
      <c r="G30" s="245" t="s">
        <v>2516</v>
      </c>
      <c r="H30" s="539"/>
    </row>
    <row r="31" spans="1:8" ht="72">
      <c r="A31" s="1084"/>
      <c r="B31" s="686" t="s">
        <v>1317</v>
      </c>
      <c r="C31" s="248" t="s">
        <v>2629</v>
      </c>
      <c r="D31" s="202" t="s">
        <v>2601</v>
      </c>
      <c r="E31" s="202"/>
      <c r="F31" s="202" t="s">
        <v>2358</v>
      </c>
      <c r="G31" s="245" t="s">
        <v>2517</v>
      </c>
      <c r="H31" s="541"/>
    </row>
    <row r="32" spans="1:8" ht="62" customHeight="1">
      <c r="A32" s="1084"/>
      <c r="B32" s="686" t="s">
        <v>1318</v>
      </c>
      <c r="C32" s="248" t="s">
        <v>3227</v>
      </c>
      <c r="D32" s="202" t="s">
        <v>17</v>
      </c>
      <c r="E32" s="201" t="s">
        <v>2602</v>
      </c>
      <c r="F32" s="202" t="s">
        <v>2541</v>
      </c>
      <c r="G32" s="247" t="s">
        <v>2475</v>
      </c>
      <c r="H32" s="540" t="s">
        <v>3210</v>
      </c>
    </row>
    <row r="33" spans="1:8" ht="39">
      <c r="A33" s="1084"/>
      <c r="B33" s="686" t="s">
        <v>1319</v>
      </c>
      <c r="C33" s="248" t="s">
        <v>2527</v>
      </c>
      <c r="D33" s="264" t="s">
        <v>17</v>
      </c>
      <c r="E33" s="201" t="s">
        <v>2378</v>
      </c>
      <c r="F33" s="264" t="s">
        <v>307</v>
      </c>
      <c r="G33" s="262" t="s">
        <v>2476</v>
      </c>
      <c r="H33" s="540" t="s">
        <v>3210</v>
      </c>
    </row>
    <row r="34" spans="1:8" ht="54">
      <c r="A34" s="1084"/>
      <c r="B34" s="686" t="s">
        <v>1320</v>
      </c>
      <c r="C34" s="248" t="s">
        <v>3228</v>
      </c>
      <c r="D34" s="264" t="s">
        <v>17</v>
      </c>
      <c r="E34" s="201" t="s">
        <v>2378</v>
      </c>
      <c r="F34" s="264" t="s">
        <v>2358</v>
      </c>
      <c r="G34" s="262" t="s">
        <v>2630</v>
      </c>
      <c r="H34" s="540" t="s">
        <v>3210</v>
      </c>
    </row>
    <row r="35" spans="1:8" ht="54">
      <c r="A35" s="1084"/>
      <c r="B35" s="686" t="s">
        <v>1321</v>
      </c>
      <c r="C35" s="248" t="s">
        <v>2631</v>
      </c>
      <c r="D35" s="284" t="s">
        <v>17</v>
      </c>
      <c r="E35" s="285"/>
      <c r="F35" s="286" t="s">
        <v>307</v>
      </c>
      <c r="G35" s="248" t="s">
        <v>2631</v>
      </c>
      <c r="H35" s="542"/>
    </row>
    <row r="36" spans="1:8" ht="55.25" customHeight="1">
      <c r="A36" s="1084"/>
      <c r="B36" s="686" t="s">
        <v>1322</v>
      </c>
      <c r="C36" s="248" t="s">
        <v>2632</v>
      </c>
      <c r="D36" s="286" t="s">
        <v>17</v>
      </c>
      <c r="E36" s="286"/>
      <c r="F36" s="286" t="s">
        <v>307</v>
      </c>
      <c r="G36" s="262" t="s">
        <v>2633</v>
      </c>
      <c r="H36" s="542"/>
    </row>
    <row r="37" spans="1:8" ht="39">
      <c r="A37" s="1084"/>
      <c r="B37" s="686" t="s">
        <v>1323</v>
      </c>
      <c r="C37" s="248" t="s">
        <v>2518</v>
      </c>
      <c r="D37" s="203" t="s">
        <v>17</v>
      </c>
      <c r="E37" s="203"/>
      <c r="F37" s="203" t="s">
        <v>2358</v>
      </c>
      <c r="G37" s="262" t="s">
        <v>2519</v>
      </c>
      <c r="H37" s="539"/>
    </row>
    <row r="38" spans="1:8" ht="58.5">
      <c r="A38" s="1084"/>
      <c r="B38" s="686" t="s">
        <v>1324</v>
      </c>
      <c r="C38" s="245" t="s">
        <v>3182</v>
      </c>
      <c r="D38" s="203" t="s">
        <v>17</v>
      </c>
      <c r="E38" s="203"/>
      <c r="F38" s="203" t="s">
        <v>2358</v>
      </c>
      <c r="G38" s="245" t="s">
        <v>3182</v>
      </c>
      <c r="H38" s="539"/>
    </row>
    <row r="39" spans="1:8" ht="39">
      <c r="A39" s="1084"/>
      <c r="B39" s="686" t="s">
        <v>1325</v>
      </c>
      <c r="C39" s="248" t="s">
        <v>2521</v>
      </c>
      <c r="D39" s="688" t="s">
        <v>17</v>
      </c>
      <c r="E39" s="688"/>
      <c r="F39" s="203" t="s">
        <v>2358</v>
      </c>
      <c r="G39" s="262" t="s">
        <v>2520</v>
      </c>
      <c r="H39" s="539"/>
    </row>
    <row r="40" spans="1:8" ht="62.75" customHeight="1">
      <c r="A40" s="1084"/>
      <c r="B40" s="686" t="s">
        <v>1326</v>
      </c>
      <c r="C40" s="248" t="s">
        <v>3183</v>
      </c>
      <c r="D40" s="688" t="s">
        <v>17</v>
      </c>
      <c r="E40" s="688"/>
      <c r="F40" s="203" t="s">
        <v>2358</v>
      </c>
      <c r="G40" s="262" t="s">
        <v>3184</v>
      </c>
      <c r="H40" s="539"/>
    </row>
    <row r="41" spans="1:8" ht="54">
      <c r="A41" s="1084"/>
      <c r="B41" s="686" t="s">
        <v>2027</v>
      </c>
      <c r="C41" s="248" t="s">
        <v>3190</v>
      </c>
      <c r="D41" s="202" t="s">
        <v>17</v>
      </c>
      <c r="E41" s="202"/>
      <c r="F41" s="203" t="s">
        <v>2541</v>
      </c>
      <c r="G41" s="248" t="s">
        <v>3190</v>
      </c>
      <c r="H41" s="539"/>
    </row>
    <row r="42" spans="1:8" ht="78">
      <c r="A42" s="1084"/>
      <c r="B42" s="686" t="s">
        <v>2029</v>
      </c>
      <c r="C42" s="248" t="s">
        <v>3191</v>
      </c>
      <c r="D42" s="260" t="s">
        <v>17</v>
      </c>
      <c r="E42" s="202"/>
      <c r="F42" s="203" t="s">
        <v>2541</v>
      </c>
      <c r="G42" s="262" t="s">
        <v>3192</v>
      </c>
      <c r="H42" s="540" t="s">
        <v>3216</v>
      </c>
    </row>
    <row r="43" spans="1:8" ht="36">
      <c r="A43" s="1085"/>
      <c r="B43" s="686" t="s">
        <v>2275</v>
      </c>
      <c r="C43" s="248" t="s">
        <v>2477</v>
      </c>
      <c r="D43" s="260" t="s">
        <v>18</v>
      </c>
      <c r="E43" s="260"/>
      <c r="F43" s="260" t="s">
        <v>2358</v>
      </c>
      <c r="G43" s="262" t="s">
        <v>2477</v>
      </c>
      <c r="H43" s="539"/>
    </row>
    <row r="44" spans="1:8" ht="87.65" customHeight="1">
      <c r="A44" s="1086" t="s">
        <v>2042</v>
      </c>
      <c r="B44" s="689" t="s">
        <v>2383</v>
      </c>
      <c r="C44" s="249" t="s">
        <v>2577</v>
      </c>
      <c r="D44" s="204" t="s">
        <v>17</v>
      </c>
      <c r="E44" s="204"/>
      <c r="F44" s="204" t="s">
        <v>2358</v>
      </c>
      <c r="G44" s="250" t="s">
        <v>2528</v>
      </c>
      <c r="H44" s="540" t="s">
        <v>3205</v>
      </c>
    </row>
    <row r="45" spans="1:8" ht="39">
      <c r="A45" s="1087"/>
      <c r="B45" s="689" t="s">
        <v>2385</v>
      </c>
      <c r="C45" s="249" t="s">
        <v>2634</v>
      </c>
      <c r="D45" s="204" t="s">
        <v>17</v>
      </c>
      <c r="E45" s="204"/>
      <c r="F45" s="204" t="s">
        <v>2358</v>
      </c>
      <c r="G45" s="250" t="s">
        <v>2578</v>
      </c>
      <c r="H45" s="540" t="s">
        <v>3205</v>
      </c>
    </row>
    <row r="46" spans="1:8" ht="37.5">
      <c r="A46" s="1087"/>
      <c r="B46" s="689" t="s">
        <v>2386</v>
      </c>
      <c r="C46" s="249" t="s">
        <v>2635</v>
      </c>
      <c r="D46" s="204" t="s">
        <v>18</v>
      </c>
      <c r="E46" s="204"/>
      <c r="F46" s="204" t="s">
        <v>2358</v>
      </c>
      <c r="G46" s="250" t="s">
        <v>2636</v>
      </c>
      <c r="H46" s="539"/>
    </row>
    <row r="47" spans="1:8" ht="54">
      <c r="A47" s="1087"/>
      <c r="B47" s="689" t="s">
        <v>2387</v>
      </c>
      <c r="C47" s="249" t="s">
        <v>2637</v>
      </c>
      <c r="D47" s="204" t="s">
        <v>17</v>
      </c>
      <c r="E47" s="204"/>
      <c r="F47" s="204" t="s">
        <v>2358</v>
      </c>
      <c r="G47" s="250" t="s">
        <v>2638</v>
      </c>
      <c r="H47" s="539"/>
    </row>
    <row r="48" spans="1:8" ht="78">
      <c r="A48" s="1087"/>
      <c r="B48" s="689" t="s">
        <v>2388</v>
      </c>
      <c r="C48" s="249" t="s">
        <v>2639</v>
      </c>
      <c r="D48" s="204" t="s">
        <v>17</v>
      </c>
      <c r="E48" s="204"/>
      <c r="F48" s="204" t="s">
        <v>2358</v>
      </c>
      <c r="G48" s="250" t="s">
        <v>2640</v>
      </c>
      <c r="H48" s="539"/>
    </row>
    <row r="49" spans="1:8" ht="39">
      <c r="A49" s="1087"/>
      <c r="B49" s="689" t="s">
        <v>2389</v>
      </c>
      <c r="C49" s="249" t="s">
        <v>2522</v>
      </c>
      <c r="D49" s="204" t="s">
        <v>17</v>
      </c>
      <c r="E49" s="204"/>
      <c r="F49" s="204" t="s">
        <v>2358</v>
      </c>
      <c r="G49" s="250" t="s">
        <v>2523</v>
      </c>
      <c r="H49" s="539" t="s">
        <v>2382</v>
      </c>
    </row>
    <row r="50" spans="1:8" ht="39">
      <c r="A50" s="1087"/>
      <c r="B50" s="689" t="s">
        <v>2390</v>
      </c>
      <c r="C50" s="249" t="s">
        <v>2525</v>
      </c>
      <c r="D50" s="289" t="s">
        <v>2601</v>
      </c>
      <c r="E50" s="289"/>
      <c r="F50" s="289" t="s">
        <v>307</v>
      </c>
      <c r="G50" s="250" t="s">
        <v>2524</v>
      </c>
      <c r="H50" s="539" t="s">
        <v>2382</v>
      </c>
    </row>
    <row r="51" spans="1:8" ht="39">
      <c r="A51" s="1087"/>
      <c r="B51" s="689" t="s">
        <v>2392</v>
      </c>
      <c r="C51" s="249" t="s">
        <v>2526</v>
      </c>
      <c r="D51" s="204" t="s">
        <v>17</v>
      </c>
      <c r="E51" s="204"/>
      <c r="F51" s="204" t="s">
        <v>307</v>
      </c>
      <c r="G51" s="250" t="s">
        <v>2478</v>
      </c>
      <c r="H51" s="539"/>
    </row>
    <row r="52" spans="1:8" ht="62" customHeight="1">
      <c r="A52" s="1087"/>
      <c r="B52" s="689" t="s">
        <v>2394</v>
      </c>
      <c r="C52" s="251" t="s">
        <v>2479</v>
      </c>
      <c r="D52" s="204" t="s">
        <v>2512</v>
      </c>
      <c r="E52" s="291"/>
      <c r="F52" s="291" t="s">
        <v>2358</v>
      </c>
      <c r="G52" s="250" t="s">
        <v>2480</v>
      </c>
      <c r="H52" s="539"/>
    </row>
    <row r="53" spans="1:8" ht="58.5">
      <c r="A53" s="1087"/>
      <c r="B53" s="689" t="s">
        <v>2395</v>
      </c>
      <c r="C53" s="251" t="s">
        <v>2499</v>
      </c>
      <c r="D53" s="204" t="s">
        <v>2508</v>
      </c>
      <c r="E53" s="293"/>
      <c r="F53" s="293" t="s">
        <v>2358</v>
      </c>
      <c r="G53" s="250" t="s">
        <v>2481</v>
      </c>
      <c r="H53" s="539"/>
    </row>
    <row r="54" spans="1:8" ht="39">
      <c r="A54" s="1087"/>
      <c r="B54" s="689" t="s">
        <v>2396</v>
      </c>
      <c r="C54" s="251" t="s">
        <v>2482</v>
      </c>
      <c r="D54" s="293" t="s">
        <v>17</v>
      </c>
      <c r="E54" s="293"/>
      <c r="F54" s="293" t="s">
        <v>2358</v>
      </c>
      <c r="G54" s="250" t="s">
        <v>2483</v>
      </c>
      <c r="H54" s="540" t="s">
        <v>3205</v>
      </c>
    </row>
    <row r="55" spans="1:8" ht="39">
      <c r="A55" s="1087"/>
      <c r="B55" s="689" t="s">
        <v>2397</v>
      </c>
      <c r="C55" s="251" t="s">
        <v>2484</v>
      </c>
      <c r="D55" s="293" t="s">
        <v>17</v>
      </c>
      <c r="E55" s="293"/>
      <c r="F55" s="293" t="s">
        <v>2358</v>
      </c>
      <c r="G55" s="250" t="s">
        <v>2485</v>
      </c>
      <c r="H55" s="540" t="s">
        <v>3205</v>
      </c>
    </row>
    <row r="56" spans="1:8" ht="65">
      <c r="A56" s="1087"/>
      <c r="B56" s="689" t="s">
        <v>2398</v>
      </c>
      <c r="C56" s="251" t="s">
        <v>3229</v>
      </c>
      <c r="D56" s="293" t="s">
        <v>17</v>
      </c>
      <c r="E56" s="293"/>
      <c r="F56" s="293" t="s">
        <v>2541</v>
      </c>
      <c r="G56" s="250" t="s">
        <v>3230</v>
      </c>
      <c r="H56" s="540" t="s">
        <v>3211</v>
      </c>
    </row>
    <row r="57" spans="1:8" ht="58.5">
      <c r="A57" s="1087"/>
      <c r="B57" s="689" t="s">
        <v>2400</v>
      </c>
      <c r="C57" s="251" t="s">
        <v>3231</v>
      </c>
      <c r="D57" s="293"/>
      <c r="E57" s="293"/>
      <c r="F57" s="293"/>
      <c r="G57" s="250" t="s">
        <v>3232</v>
      </c>
      <c r="H57" s="540"/>
    </row>
    <row r="58" spans="1:8" ht="54">
      <c r="A58" s="1087"/>
      <c r="B58" s="689" t="s">
        <v>2402</v>
      </c>
      <c r="C58" s="251" t="s">
        <v>3080</v>
      </c>
      <c r="D58" s="293" t="s">
        <v>17</v>
      </c>
      <c r="E58" s="293"/>
      <c r="F58" s="293" t="s">
        <v>2358</v>
      </c>
      <c r="G58" s="288" t="s">
        <v>3066</v>
      </c>
      <c r="H58" s="540" t="s">
        <v>3205</v>
      </c>
    </row>
    <row r="59" spans="1:8" ht="36">
      <c r="A59" s="1088"/>
      <c r="B59" s="689" t="s">
        <v>2404</v>
      </c>
      <c r="C59" s="251" t="s">
        <v>2486</v>
      </c>
      <c r="D59" s="293" t="s">
        <v>18</v>
      </c>
      <c r="E59" s="293"/>
      <c r="F59" s="293" t="s">
        <v>2358</v>
      </c>
      <c r="G59" s="250" t="s">
        <v>2487</v>
      </c>
      <c r="H59" s="539"/>
    </row>
    <row r="60" spans="1:8" ht="39">
      <c r="A60" s="1089" t="s">
        <v>2043</v>
      </c>
      <c r="B60" s="691" t="s">
        <v>2407</v>
      </c>
      <c r="C60" s="252" t="s">
        <v>2488</v>
      </c>
      <c r="D60" s="294" t="s">
        <v>17</v>
      </c>
      <c r="E60" s="294"/>
      <c r="F60" s="294" t="s">
        <v>2616</v>
      </c>
      <c r="G60" s="254" t="s">
        <v>2489</v>
      </c>
      <c r="H60" s="539"/>
    </row>
    <row r="61" spans="1:8" ht="36">
      <c r="A61" s="1090"/>
      <c r="B61" s="691" t="s">
        <v>2410</v>
      </c>
      <c r="C61" s="252" t="s">
        <v>2579</v>
      </c>
      <c r="D61" s="294" t="s">
        <v>17</v>
      </c>
      <c r="E61" s="294"/>
      <c r="F61" s="294" t="s">
        <v>2616</v>
      </c>
      <c r="G61" s="254" t="s">
        <v>2579</v>
      </c>
      <c r="H61" s="539"/>
    </row>
    <row r="62" spans="1:8" ht="21">
      <c r="A62" s="1090"/>
      <c r="B62" s="691" t="s">
        <v>2412</v>
      </c>
      <c r="C62" s="252" t="s">
        <v>2490</v>
      </c>
      <c r="D62" s="296" t="s">
        <v>17</v>
      </c>
      <c r="E62" s="296"/>
      <c r="F62" s="296" t="s">
        <v>307</v>
      </c>
      <c r="G62" s="254" t="s">
        <v>2490</v>
      </c>
      <c r="H62" s="539"/>
    </row>
    <row r="63" spans="1:8" ht="56.75" customHeight="1">
      <c r="A63" s="1090"/>
      <c r="B63" s="691" t="s">
        <v>2413</v>
      </c>
      <c r="C63" s="252" t="s">
        <v>2491</v>
      </c>
      <c r="D63" s="296" t="s">
        <v>17</v>
      </c>
      <c r="E63" s="296"/>
      <c r="F63" s="294" t="s">
        <v>2616</v>
      </c>
      <c r="G63" s="254" t="s">
        <v>2492</v>
      </c>
      <c r="H63" s="539"/>
    </row>
    <row r="64" spans="1:8" ht="56.75" customHeight="1">
      <c r="A64" s="1090"/>
      <c r="B64" s="691" t="s">
        <v>2414</v>
      </c>
      <c r="C64" s="252" t="s">
        <v>2580</v>
      </c>
      <c r="D64" s="296" t="s">
        <v>17</v>
      </c>
      <c r="E64" s="296"/>
      <c r="F64" s="294" t="s">
        <v>2616</v>
      </c>
      <c r="G64" s="254" t="s">
        <v>2580</v>
      </c>
      <c r="H64" s="539"/>
    </row>
    <row r="65" spans="1:8" ht="56.75" customHeight="1">
      <c r="A65" s="1090"/>
      <c r="B65" s="691" t="s">
        <v>2415</v>
      </c>
      <c r="C65" s="253" t="s">
        <v>2500</v>
      </c>
      <c r="D65" s="296" t="s">
        <v>17</v>
      </c>
      <c r="E65" s="296"/>
      <c r="F65" s="296" t="s">
        <v>2358</v>
      </c>
      <c r="G65" s="254" t="s">
        <v>2501</v>
      </c>
      <c r="H65" s="540" t="s">
        <v>3212</v>
      </c>
    </row>
    <row r="66" spans="1:8" ht="51" customHeight="1">
      <c r="A66" s="1090"/>
      <c r="B66" s="691" t="s">
        <v>2555</v>
      </c>
      <c r="C66" s="253" t="s">
        <v>2502</v>
      </c>
      <c r="D66" s="296" t="s">
        <v>17</v>
      </c>
      <c r="E66" s="296"/>
      <c r="F66" s="296" t="s">
        <v>2358</v>
      </c>
      <c r="G66" s="254" t="s">
        <v>2493</v>
      </c>
      <c r="H66" s="540" t="s">
        <v>3212</v>
      </c>
    </row>
    <row r="67" spans="1:8" ht="44.25" customHeight="1">
      <c r="A67" s="1090"/>
      <c r="B67" s="691" t="s">
        <v>2556</v>
      </c>
      <c r="C67" s="253" t="s">
        <v>2494</v>
      </c>
      <c r="D67" s="263" t="s">
        <v>17</v>
      </c>
      <c r="E67" s="263"/>
      <c r="F67" s="296" t="s">
        <v>2358</v>
      </c>
      <c r="G67" s="254" t="s">
        <v>2494</v>
      </c>
      <c r="H67" s="540" t="s">
        <v>3212</v>
      </c>
    </row>
    <row r="68" spans="1:8" ht="72">
      <c r="A68" s="1090"/>
      <c r="B68" s="691" t="s">
        <v>2619</v>
      </c>
      <c r="C68" s="253" t="s">
        <v>3233</v>
      </c>
      <c r="D68" s="263" t="s">
        <v>17</v>
      </c>
      <c r="E68" s="263"/>
      <c r="F68" s="296" t="s">
        <v>2358</v>
      </c>
      <c r="G68" s="254" t="s">
        <v>3233</v>
      </c>
      <c r="H68" s="540" t="s">
        <v>3212</v>
      </c>
    </row>
    <row r="69" spans="1:8" ht="39">
      <c r="A69" s="1090"/>
      <c r="B69" s="691" t="s">
        <v>2622</v>
      </c>
      <c r="C69" s="253" t="s">
        <v>2495</v>
      </c>
      <c r="D69" s="263" t="s">
        <v>2507</v>
      </c>
      <c r="E69" s="263"/>
      <c r="F69" s="263" t="s">
        <v>2541</v>
      </c>
      <c r="G69" s="254" t="s">
        <v>2495</v>
      </c>
      <c r="H69" s="296"/>
    </row>
    <row r="70" spans="1:8" ht="58.5">
      <c r="A70" s="1090"/>
      <c r="B70" s="691" t="s">
        <v>2624</v>
      </c>
      <c r="C70" s="253" t="s">
        <v>2641</v>
      </c>
      <c r="D70" s="263" t="s">
        <v>17</v>
      </c>
      <c r="E70" s="263"/>
      <c r="F70" s="263" t="s">
        <v>2541</v>
      </c>
      <c r="G70" s="254" t="s">
        <v>2641</v>
      </c>
      <c r="H70" s="539"/>
    </row>
    <row r="71" spans="1:8" ht="36">
      <c r="A71" s="1090"/>
      <c r="B71" s="691" t="s">
        <v>3071</v>
      </c>
      <c r="C71" s="253" t="s">
        <v>2642</v>
      </c>
      <c r="D71" s="298" t="s">
        <v>54</v>
      </c>
      <c r="E71" s="298"/>
      <c r="F71" s="263" t="s">
        <v>307</v>
      </c>
      <c r="G71" s="254" t="s">
        <v>2642</v>
      </c>
      <c r="H71" s="542"/>
    </row>
    <row r="72" spans="1:8" ht="54.75" customHeight="1">
      <c r="A72" s="1091"/>
      <c r="B72" s="691" t="s">
        <v>3072</v>
      </c>
      <c r="C72" s="253" t="s">
        <v>2496</v>
      </c>
      <c r="D72" s="298" t="s">
        <v>18</v>
      </c>
      <c r="E72" s="298"/>
      <c r="F72" s="298" t="s">
        <v>2358</v>
      </c>
      <c r="G72" s="254" t="s">
        <v>2496</v>
      </c>
      <c r="H72" s="542"/>
    </row>
    <row r="73" spans="1:8" ht="78">
      <c r="A73" s="1092" t="s">
        <v>3121</v>
      </c>
      <c r="B73" s="693" t="s">
        <v>3073</v>
      </c>
      <c r="C73" s="570" t="s">
        <v>3081</v>
      </c>
      <c r="D73" s="566" t="s">
        <v>54</v>
      </c>
      <c r="F73" s="566" t="s">
        <v>2358</v>
      </c>
      <c r="G73" s="570" t="s">
        <v>3081</v>
      </c>
      <c r="H73" s="538"/>
    </row>
    <row r="74" spans="1:8" ht="54.75" customHeight="1">
      <c r="A74" s="1093"/>
      <c r="B74" s="693" t="s">
        <v>3074</v>
      </c>
      <c r="C74" s="570" t="s">
        <v>3082</v>
      </c>
      <c r="D74" s="566" t="s">
        <v>54</v>
      </c>
      <c r="F74" s="566" t="s">
        <v>2358</v>
      </c>
      <c r="G74" s="570" t="s">
        <v>3082</v>
      </c>
      <c r="H74" s="538"/>
    </row>
    <row r="75" spans="1:8" ht="58.5">
      <c r="A75" s="1093"/>
      <c r="B75" s="693" t="s">
        <v>3075</v>
      </c>
      <c r="C75" s="570" t="s">
        <v>3084</v>
      </c>
      <c r="D75" s="566" t="s">
        <v>17</v>
      </c>
      <c r="F75" s="566" t="s">
        <v>2358</v>
      </c>
      <c r="G75" s="570" t="s">
        <v>3084</v>
      </c>
      <c r="H75" s="538"/>
    </row>
    <row r="76" spans="1:8" ht="58.5">
      <c r="A76" s="1094"/>
      <c r="B76" s="693" t="s">
        <v>3177</v>
      </c>
      <c r="C76" s="570" t="s">
        <v>3083</v>
      </c>
      <c r="D76" s="566" t="s">
        <v>54</v>
      </c>
      <c r="F76" s="566" t="s">
        <v>2358</v>
      </c>
      <c r="G76" s="570" t="s">
        <v>3083</v>
      </c>
      <c r="H76" s="538"/>
    </row>
    <row r="77" spans="1:8" ht="39">
      <c r="A77" s="1077" t="s">
        <v>3181</v>
      </c>
      <c r="B77" s="641" t="s">
        <v>3178</v>
      </c>
      <c r="C77" s="567" t="s">
        <v>3174</v>
      </c>
      <c r="D77" s="567" t="s">
        <v>17</v>
      </c>
      <c r="E77" s="567" t="s">
        <v>3166</v>
      </c>
      <c r="F77" s="642"/>
      <c r="G77" s="567"/>
      <c r="H77" s="540" t="s">
        <v>3217</v>
      </c>
    </row>
    <row r="78" spans="1:8" ht="39">
      <c r="A78" s="1078"/>
      <c r="B78" s="641" t="s">
        <v>3179</v>
      </c>
      <c r="C78" s="567" t="s">
        <v>3175</v>
      </c>
      <c r="D78" s="567" t="s">
        <v>17</v>
      </c>
      <c r="E78" s="567" t="s">
        <v>3166</v>
      </c>
      <c r="F78" s="642"/>
      <c r="G78" s="567"/>
      <c r="H78" s="540" t="s">
        <v>3217</v>
      </c>
    </row>
    <row r="79" spans="1:8" ht="26">
      <c r="A79" s="1078"/>
      <c r="B79" s="641" t="s">
        <v>3226</v>
      </c>
      <c r="C79" s="567" t="s">
        <v>3176</v>
      </c>
      <c r="D79" s="567" t="s">
        <v>17</v>
      </c>
      <c r="E79" s="567" t="s">
        <v>3166</v>
      </c>
      <c r="F79" s="642"/>
      <c r="G79" s="567"/>
      <c r="H79" s="540" t="s">
        <v>3217</v>
      </c>
    </row>
    <row r="81" spans="3:3" ht="45" customHeight="1">
      <c r="C81" s="304" t="s">
        <v>1657</v>
      </c>
    </row>
  </sheetData>
  <mergeCells count="7">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0622-EBA0-41CD-8580-7FA6110C79F3}">
  <sheetPr>
    <tabColor rgb="FF92D050"/>
  </sheetPr>
  <dimension ref="A1:G11"/>
  <sheetViews>
    <sheetView view="pageBreakPreview" zoomScale="89" zoomScaleNormal="85" zoomScaleSheetLayoutView="89" workbookViewId="0">
      <selection activeCell="E3" sqref="E3"/>
    </sheetView>
  </sheetViews>
  <sheetFormatPr defaultColWidth="6.6640625" defaultRowHeight="15.5"/>
  <cols>
    <col min="1" max="1" width="10.6640625" style="205" customWidth="1"/>
    <col min="2" max="2" width="45.5" style="205" customWidth="1"/>
    <col min="3" max="3" width="19" style="205" customWidth="1"/>
    <col min="4" max="4" width="63.5" style="205" customWidth="1"/>
    <col min="5" max="5" width="40.6640625" style="207" customWidth="1"/>
    <col min="6" max="6" width="25.1640625" style="207" customWidth="1"/>
    <col min="7" max="16384" width="6.6640625" style="207"/>
  </cols>
  <sheetData>
    <row r="1" spans="1:7">
      <c r="B1" s="206" t="s">
        <v>2416</v>
      </c>
      <c r="C1" s="206"/>
      <c r="D1" s="206"/>
    </row>
    <row r="2" spans="1:7" ht="37">
      <c r="A2" s="208" t="s">
        <v>75</v>
      </c>
      <c r="B2" s="208" t="s">
        <v>3234</v>
      </c>
      <c r="C2" s="208" t="s">
        <v>76</v>
      </c>
      <c r="D2" s="208" t="s">
        <v>77</v>
      </c>
      <c r="E2" s="208" t="s">
        <v>1314</v>
      </c>
      <c r="F2" s="208" t="s">
        <v>78</v>
      </c>
    </row>
    <row r="3" spans="1:7" ht="243" customHeight="1">
      <c r="A3" s="209" t="s">
        <v>1327</v>
      </c>
      <c r="B3" s="209" t="s">
        <v>3196</v>
      </c>
      <c r="C3" s="209" t="s">
        <v>3271</v>
      </c>
      <c r="D3" s="210" t="s">
        <v>3272</v>
      </c>
      <c r="E3" s="209" t="s">
        <v>2417</v>
      </c>
      <c r="F3" s="209" t="s">
        <v>3209</v>
      </c>
    </row>
    <row r="4" spans="1:7" ht="129.5">
      <c r="A4" s="211" t="s">
        <v>1328</v>
      </c>
      <c r="B4" s="211" t="s">
        <v>3197</v>
      </c>
      <c r="C4" s="211" t="s">
        <v>3274</v>
      </c>
      <c r="D4" s="211" t="s">
        <v>3273</v>
      </c>
      <c r="E4" s="211" t="s">
        <v>3208</v>
      </c>
      <c r="F4" s="211" t="s">
        <v>3209</v>
      </c>
    </row>
    <row r="5" spans="1:7" ht="195.75" customHeight="1">
      <c r="A5" s="212" t="s">
        <v>1644</v>
      </c>
      <c r="B5" s="212" t="s">
        <v>3198</v>
      </c>
      <c r="C5" s="212" t="s">
        <v>3235</v>
      </c>
      <c r="D5" s="212" t="s">
        <v>3236</v>
      </c>
      <c r="E5" s="212" t="s">
        <v>2673</v>
      </c>
      <c r="F5" s="212" t="s">
        <v>3209</v>
      </c>
    </row>
    <row r="6" spans="1:7" ht="148">
      <c r="A6" s="655" t="s">
        <v>3201</v>
      </c>
      <c r="B6" s="655" t="s">
        <v>3199</v>
      </c>
      <c r="C6" s="655" t="s">
        <v>3237</v>
      </c>
      <c r="D6" s="655" t="s">
        <v>3203</v>
      </c>
      <c r="E6" s="655" t="s">
        <v>3215</v>
      </c>
      <c r="F6" s="655" t="s">
        <v>3209</v>
      </c>
    </row>
    <row r="7" spans="1:7" ht="111">
      <c r="A7" s="654" t="s">
        <v>3202</v>
      </c>
      <c r="B7" s="654" t="s">
        <v>3200</v>
      </c>
      <c r="C7" s="654" t="s">
        <v>3238</v>
      </c>
      <c r="D7" s="654" t="s">
        <v>3239</v>
      </c>
      <c r="E7" s="654" t="s">
        <v>3215</v>
      </c>
      <c r="F7" s="654" t="s">
        <v>3209</v>
      </c>
    </row>
    <row r="8" spans="1:7" s="205" customFormat="1">
      <c r="G8" s="213"/>
    </row>
    <row r="9" spans="1:7" s="205" customFormat="1"/>
    <row r="10" spans="1:7">
      <c r="E10" s="205"/>
      <c r="F10" s="205"/>
    </row>
    <row r="11" spans="1:7">
      <c r="E11" s="205"/>
      <c r="F11" s="205"/>
    </row>
  </sheetData>
  <pageMargins left="0" right="0" top="0.5" bottom="0.5" header="0.3" footer="0.3"/>
  <pageSetup scale="58" orientation="landscape" r:id="rId1"/>
  <rowBreaks count="1" manualBreakCount="1">
    <brk id="7"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Guide</vt:lpstr>
      <vt:lpstr>Sheet2</vt:lpstr>
      <vt:lpstr>Sheet3</vt:lpstr>
      <vt:lpstr>Sheet4</vt:lpstr>
      <vt:lpstr>DATABASE</vt:lpstr>
      <vt:lpstr>Site_DB</vt:lpstr>
      <vt:lpstr>Indicator Summary  Eng</vt:lpstr>
      <vt:lpstr>Indicator Summary  MM</vt:lpstr>
      <vt:lpstr>HRP Calculations</vt:lpstr>
      <vt:lpstr>HRP</vt:lpstr>
      <vt:lpstr>Sheet1</vt:lpstr>
      <vt:lpstr>Analysis</vt:lpstr>
      <vt:lpstr>Quarterly Dashboard</vt:lpstr>
      <vt:lpstr>Kachin</vt:lpstr>
      <vt:lpstr>Shan(n)</vt:lpstr>
      <vt:lpstr>AAP-community Feedback</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'Shan(n)'!Township_list</vt:lpstr>
      <vt:lpstr>Township_list</vt:lpstr>
      <vt:lpstr>Kachin!Township_start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2020-11-09T05:13:00Z</cp:lastPrinted>
  <dcterms:created xsi:type="dcterms:W3CDTF">2016-05-30T15:30:45Z</dcterms:created>
  <dcterms:modified xsi:type="dcterms:W3CDTF">2020-11-30T07:29:03Z</dcterms:modified>
  <cp:category/>
  <cp:contentStatus/>
</cp:coreProperties>
</file>